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КАО Азот\КАО Азот ВС, ВО кор 2026 ПП РФ 1834\"/>
    </mc:Choice>
  </mc:AlternateContent>
  <xr:revisionPtr revIDLastSave="0" documentId="13_ncr:1_{9383F6B3-FF69-47E5-ABB6-34F12F73A7BF}" xr6:coauthVersionLast="47" xr6:coauthVersionMax="47" xr10:uidLastSave="{00000000-0000-0000-0000-000000000000}"/>
  <bookViews>
    <workbookView xWindow="-120" yWindow="-120" windowWidth="29040" windowHeight="15840" tabRatio="927" firstSheet="13"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 name="Черновик 1" sheetId="45" r:id="rId45"/>
    <sheet name="Черновик 2" sheetId="46" r:id="rId46"/>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Административные!$AB$107</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Амортизация!$AB$231</definedName>
    <definedName name="Amortization_vis_flags">Амортизация!$AI$2:$BB$2</definedName>
    <definedName name="AUTHORIZED_PERSON_EMAIL">'Общие сведения'!$AE$241</definedName>
    <definedName name="AUTHORIZED_PERSON_FIO">'Общие сведения'!$AE$238</definedName>
    <definedName name="AUTHORIZED_PERSON_PHONE">'Общие сведения'!$AE$240</definedName>
    <definedName name="AUTHORIZED_PERSON_POSITION">'Общие сведения'!$AE$239</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(МИ)'!$AB$607</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ДПР!$AB$238</definedName>
    <definedName name="DPR_vis_flags">ДПР!$W$28:$W$28</definedName>
    <definedName name="DPR_vis_flags2">ДПР!$AG$2:$AK$2</definedName>
    <definedName name="DPRConcessions_LOAD_1">'ДПР (концессии)'!$AC$26:$AK$26</definedName>
    <definedName name="DPRConcessions_pIns_comm">'ДПР (концессии)'!$AB$244</definedName>
    <definedName name="DPRConcessions_vis_flags">'ДПР (концессии)'!$W$26:$W$26</definedName>
    <definedName name="DPRConcessions_vis_flags2">'ДПР (концессии)'!$AG$2:$AK$2</definedName>
    <definedName name="Electricity_LOAD_1">ЭЭ!$AE$25:$BB$116</definedName>
    <definedName name="Electricity_vis_flags">ЭЭ!$AI$2:$BB$2</definedName>
    <definedName name="entityName">'Общие сведения'!$AI$24</definedName>
    <definedName name="et_AdminExpenses_tariff">Административные!$32:$107</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сведения'!$250:$250</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ГО'!$81:$81</definedName>
    <definedName name="et_SalesExpensesGO_tariff">'Сбытовые расходы ГО'!$32:$79</definedName>
    <definedName name="et_SavingsCorrection_tariff">Экономия_корр!$32:$63</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Административные!$AL$108</definedName>
    <definedName name="flag_end_AmorAnalog">'Амортизация (аналог)'!$AG$60</definedName>
    <definedName name="flag_end_Amortization">Амортизация!$BD$232</definedName>
    <definedName name="flag_end_Balance">Баланс!$BD$396</definedName>
    <definedName name="flag_end_CalcMeor">'Калькуляция (МЭОР)'!$AP$372</definedName>
    <definedName name="flag_end_CalcMiCorr">'Калькуляция (МИ корр)'!$BQ$609</definedName>
    <definedName name="flag_end_Calculation">'Калькуляция (МИ)'!$BQ$608</definedName>
    <definedName name="flag_end_Comments">Комментарии!$AC$34</definedName>
    <definedName name="flag_end_DPR">ДПР!$AL$239</definedName>
    <definedName name="flag_end_DPRConcessions">'ДПР (концессии)'!$AL$245</definedName>
    <definedName name="flag_end_Electricity">ЭЭ!$BD$125</definedName>
    <definedName name="flag_end_Explanations">Пояснения!$AE$27</definedName>
    <definedName name="flag_end_GeneralInfo">'Общие сведения'!$AF$251</definedName>
    <definedName name="flag_end_GO">ГО!$AF$388</definedName>
    <definedName name="flag_end_iika">ИИКА!$BB$47</definedName>
    <definedName name="flag_end_InvestmentSources">'ИП + источники'!$BF$150</definedName>
    <definedName name="flag_end_NegativeImpactFee">'Плата за негативное возд'!$AM$43</definedName>
    <definedName name="flag_end_NVVCorrection">'Корректировка НВВ'!$AI$238</definedName>
    <definedName name="flag_end_ObjectList">'Список объектов'!$AI$50</definedName>
    <definedName name="flag_end_Objects">'Перечень объектов'!$AK$90</definedName>
    <definedName name="flag_end_Purchase">Покупка!$BD$155</definedName>
    <definedName name="flag_end_Reagents">'Сырье и материалы'!$BD$88</definedName>
    <definedName name="flag_end_Rent">Аренда!$BD$74</definedName>
    <definedName name="flag_end_SalesExpensesGO">'Сбытовые расходы ГО'!$AL$80</definedName>
    <definedName name="flag_end_SavingsCorrection">Экономия_корр!$AZ$64</definedName>
    <definedName name="flag_end_Scenarios">Сценарии!$BG$136</definedName>
    <definedName name="flag_end_SheetList">'Список листов'!$AE$54</definedName>
    <definedName name="flag_end_TariffCalcMsa">'Калькуляция (МСА)'!$AG$110</definedName>
    <definedName name="flag_end_Taxes">Налоги!$BD$90</definedName>
    <definedName name="flag_end_TerritoryList">'Список территорий'!$AH$41</definedName>
    <definedName name="flag_end_TM">ТМ!$FX$259</definedName>
    <definedName name="flag_end_uslmetr">'Условные метры'!$AQ$46</definedName>
    <definedName name="flag_end_WageFund">ФОТ!$AL$132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сведения'!$AE$22:$AE$249</definedName>
    <definedName name="GeneralInfo_LOAD_1">'Общие сведения'!$AE$44:$AE$247</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сведения'!$AD$236</definedName>
    <definedName name="InvestmentSources_is_one_block">'ИП + источники'!$AD$24</definedName>
    <definedName name="InvestmentSources_LOAD_1">'ИП + источники'!$AE$27:$BD$145</definedName>
    <definedName name="InvestmentSources_LOAD_2">'ИП + источники'!$BE$26:$BE$145</definedName>
    <definedName name="InvestmentSources_pIns_comm">'ИП + источники'!$AB$149</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метры'!$AC$24:$AP$41</definedName>
    <definedName name="List04_pIns_comm">'Условные метры'!$AB$45</definedName>
    <definedName name="List05_LOAD_1">'Амортизация (аналог)'!$AE$25:$AF$55</definedName>
    <definedName name="List05_pIns_comm">'Амортизация (аналог)'!$AB$59</definedName>
    <definedName name="List06_LOAD_1">ГО!$AE$25:$AE$115</definedName>
    <definedName name="List06_pIns_comm">ГО!$AB$387</definedName>
    <definedName name="List07_LOAD_1">'Калькуляция (МСА)'!$AE$25:$AF$103</definedName>
    <definedName name="List07_pIns_comm">'Калькуляция (МСА)'!$AB$109</definedName>
    <definedName name="List15_LOAD_1">'Калькуляция (МЭОР)'!$AE$25:$AK$367</definedName>
    <definedName name="List15_LOAD_2">'Калькуляция (МЭОР)'!$AM$24:$AO$367</definedName>
    <definedName name="List15_pIns_comm">'Калькуляция (МЭОР)'!$AB$371</definedName>
    <definedName name="List15_vis_flags">'Калькуляция (МЭОР)'!$AE$17:$AL$17</definedName>
    <definedName name="List15_vis_flags2">'Калькуляция (МЭОР)'!$H$25:$H$367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возд'!$AB$42</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НВВ'!$AB$237</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сведения'!$AE$250</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ЭЭ!$AB$116</definedName>
    <definedName name="pIns_Electricity_voltage">ЭЭ!$AC:$AC</definedName>
    <definedName name="pIns_Iika">ИИКА!$AB$47</definedName>
    <definedName name="pIns_InvestmentSources_tariff">'ИП + источники'!$AB$145</definedName>
    <definedName name="pIns_List04_tariff">'Условные метры'!$AB$41</definedName>
    <definedName name="pIns_List05_tariff">'Амортизация (аналог)'!$AB$55</definedName>
    <definedName name="pIns_List07_tariff">'Калькуляция (МСА)'!$AB$103</definedName>
    <definedName name="pIns_List15_1">'Калькуляция (МЭОР)'!$AC:$AC</definedName>
    <definedName name="pIns_List15_tariff">'Калькуляция (МЭОР)'!$AB$367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материалы'!$AB$49</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Покупка!$AB$154</definedName>
    <definedName name="Purchase_vis_flags">Покупка!$AI$17:$BB$17</definedName>
    <definedName name="Reagents_LOAD_1">'Сырье и материалы'!$AE$25:$BB$49</definedName>
    <definedName name="Reagents_LOAD_2">'Сырье и материалы'!$BC$24:$BC$49</definedName>
    <definedName name="Reagents_pIns_comm">'Сырье и материалы'!$AB$87</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Аренда!$AB$73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ГО'!$AB$79</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Экономия_корр!$AB$63</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сведения'!$AF$180:$AF$236</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Налоги!$AB$89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ТМ!$AB$258</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ФОТ!$AB$131</definedName>
    <definedName name="WageFund_vis_flags">ФОТ!$AE$17:$AJ$17</definedName>
    <definedName name="wsAdmins_json_coms">Административные!$AC$105:$AC$107</definedName>
    <definedName name="wsAdmins_preload">Административные!$AE$28:$AH$103</definedName>
    <definedName name="wsAdmins_preload_coms">Административные!$AK$28:$AK$103</definedName>
    <definedName name="wsAdmins_preload_full">Административные!$AE$28:$AJ$103</definedName>
    <definedName name="wsAdmins_preload_json">Административные!$AE$28:$AK$103</definedName>
    <definedName name="wsAmor_json_coms">Амортизация!$AC$225:$AC$231</definedName>
    <definedName name="wsAmor_preload">Амортизация!$AE$28:$AH$223</definedName>
    <definedName name="wsAmor_preload_coms">Амортизация!$BC$28:$BC$223</definedName>
    <definedName name="wsAmor_preload_full">Амортизация!$AE$28:$BB$223</definedName>
    <definedName name="wsAmor_preload_json">Амортизация!$AE$28:$BC$223</definedName>
    <definedName name="wsAmorAnalog_json_coms">'Амортизация (аналог)'!$AC$57:$AC$59</definedName>
    <definedName name="wsAmorAnalog_preload">'Амортизация (аналог)'!$AE$28:$AF$55</definedName>
    <definedName name="wsAmorAnalog_preload_json">'Амортизация (аналог)'!$AE$28:$AF$55</definedName>
    <definedName name="wsBalance_json_coms">Баланс!$AC$393:$AC$395</definedName>
    <definedName name="wsBalance_preload">Баланс!$AE$28:$AH$391</definedName>
    <definedName name="wsBalance_preload_coms">Баланс!$BC$28:$BC$391</definedName>
    <definedName name="wsBalance_preload_full">Баланс!$AE$28:$BB$391</definedName>
    <definedName name="wsBalance_preload_json">Баланс!$AE$28:$BC$391</definedName>
    <definedName name="wsComments_json_coms">Комментарии!$AB$24:$AB$33</definedName>
    <definedName name="wsDPR_json_coms">ДПР!$AC$236:$AC$238</definedName>
    <definedName name="wsDPR_preload">ДПР!$AC$31:$AK$234</definedName>
    <definedName name="wsDPR_preload_json">ДПР!$AC$31:$AK$234</definedName>
    <definedName name="wsDPRconc_json_coms">'ДПР (концессии)'!$AC$242:$AC$244</definedName>
    <definedName name="wsDPRconc_preload">'ДПР (концессии)'!$AC$30:$AK$240</definedName>
    <definedName name="wsDPRconc_preload_json">'ДПР (концессии)'!$AC$30:$AK$240</definedName>
    <definedName name="wsEE_json_coms">ЭЭ!$AC$118:$AC$124</definedName>
    <definedName name="wsEe_preload">ЭЭ!$AE$28:$AH$116</definedName>
    <definedName name="wsEE_preload_coms">ЭЭ!$BC$28:$BC$116</definedName>
    <definedName name="wsEE_preload_full">ЭЭ!$AE$28:$BB$116</definedName>
    <definedName name="wsEE_preload_json">ЭЭ!$AE$28:$BC$116</definedName>
    <definedName name="wsGO_json_coms">ГО!$AC$385:$AC$387</definedName>
    <definedName name="wsGO_preload">ГО!$AE$28:$AE$383</definedName>
    <definedName name="wsGO_preload_json">ГО!$AE$28:$AE$383</definedName>
    <definedName name="wsIika_preload_json">ИИКА!$AE$28:$BA$47</definedName>
    <definedName name="wsIPSources_json_coms">'ИП + источники'!$AC$147:$AC$149</definedName>
    <definedName name="wsIPSources_preload">'ИП + источники'!$AE$30:$AJ$145</definedName>
    <definedName name="wsIPSources_preload_coms">'ИП + источники'!$BE$30:$BE$145</definedName>
    <definedName name="wsIPSources_preload_full">'ИП + источники'!$AE$30:$BD$145</definedName>
    <definedName name="wsIPSources_preload_json">'ИП + источники'!$AE$30:$BE$145</definedName>
    <definedName name="wsMeorCalc_json_coms">'Калькуляция (МЭОР)'!$AC$369:$AC$371</definedName>
    <definedName name="wsMeorCalc_preload">'Калькуляция (МЭОР)'!$AE$28:$AI$367</definedName>
    <definedName name="wsMeorCalc_preload_coms">'Калькуляция (МЭОР)'!$AM$28:$AO$367</definedName>
    <definedName name="wsMeorCalc_preload_full">'Калькуляция (МЭОР)'!$AE$28:$AL$367</definedName>
    <definedName name="wsMeorCalc_preload_json">'Калькуляция (МЭОР)'!$AE$28:$AO$367</definedName>
    <definedName name="wsMiCalc_json_coms">'Калькуляция (МИ)'!$AC$605:$AC$607</definedName>
    <definedName name="wsMiCalc_preload">'Калькуляция (МИ)'!$AE$28:$AI$603</definedName>
    <definedName name="wsMiCalc_preload_coms">'Калькуляция (МИ)'!$BN$28:$BP$603</definedName>
    <definedName name="wsMiCalc_preload_full">'Калькуляция (МИ)'!$AE$28:$BM$603</definedName>
    <definedName name="wsMiCalc_preload_json">'Калькуляция (МИ)'!$AE$28:$BP$603</definedName>
    <definedName name="wsMiCalcCorr_json_coms">'Калькуляция (МИ корр)'!$AC$605:$AC$608</definedName>
    <definedName name="wsMiCalcCorr_preload">'Калькуляция (МИ корр)'!$AE$28:$AI$603</definedName>
    <definedName name="wsMiCalcCorr_preload_coms">'Калькуляция (МИ корр)'!$BN$28:$BP$603</definedName>
    <definedName name="wsMiCalcCorr_preload_full">'Калькуляция (МИ корр)'!$AE$28:$BM$603</definedName>
    <definedName name="wsMiCalcCorr_preload_json">'Калькуляция (МИ корр)'!$AE$28:$BP$603</definedName>
    <definedName name="wsMsaCalc_json_coms">'Калькуляция (МСА)'!$AC$107:$AC$109</definedName>
    <definedName name="wsMsaCalc_preload">'Калькуляция (МСА)'!$AE$25</definedName>
    <definedName name="wsMsaCalc_preload_full">'Калькуляция (МСА)'!$AE$28:$AF$103</definedName>
    <definedName name="wsMsaCalc_preload_json">'Калькуляция (МСА)'!$AE$28:$AF$103</definedName>
    <definedName name="wsNegativePays_json_coms">'Плата за негативное возд'!$AC$40:$AC$42</definedName>
    <definedName name="wsNegativePays_preload">'Плата за негативное возд'!$AE$27:$AL$38</definedName>
    <definedName name="wsNegativePays_preload_json">'Плата за негативное возд'!$AE$27:$AL$38</definedName>
    <definedName name="wsNvvCorr_json_coms">'Корректировка НВВ'!$AC$233:$AC$237</definedName>
    <definedName name="wsNvvCorr_preload">'Корректировка НВВ'!$AF$28:$AG$231</definedName>
    <definedName name="wsNvvCorr_preload_coms">'Корректировка НВВ'!$AH$28:$AH$231</definedName>
    <definedName name="wsNvvCorr_preload_json">'Корректировка НВВ'!$AF$28:$AH$231</definedName>
    <definedName name="wsObjectList_preload_json">'Список объектов'!$AH$28:$AH$50</definedName>
    <definedName name="wsObjects_json_coms">'Перечень объектов'!$AC$77:$AC$89</definedName>
    <definedName name="wsObjects_preload">'Перечень объектов'!$AF$28:$AG$75</definedName>
    <definedName name="wsObjects_preload_full">'Перечень объектов'!$AF$28:$AJ$75</definedName>
    <definedName name="wsObjects_preload_json">'Перечень объектов'!$AF$28:$AJ$75</definedName>
    <definedName name="wsPurchase_json_coms">Покупка!$AC$152:$AC$154</definedName>
    <definedName name="wsPurchase_preload">Покупка!$AE$28:$AH$150</definedName>
    <definedName name="wsPurchase_preload_coms">Покупка!$BC$28:$BC$150</definedName>
    <definedName name="wsPurchase_preload_full">Покупка!$AE$28:$BB$150</definedName>
    <definedName name="wsPurchase_preload_json">Покупка!$AE$28:$BC$150</definedName>
    <definedName name="wsReagents_json_coms">'Сырье и материалы'!$AC$51:$AC$87</definedName>
    <definedName name="wsReagents_preload">'Сырье и материалы'!$AE$28:$AH$48</definedName>
    <definedName name="wsReagents_preload_coms">'Сырье и материалы'!$BC$28:$BC$48</definedName>
    <definedName name="wsReagents_preload_full">'Сырье и материалы'!$AE$28:$BB$48</definedName>
    <definedName name="wsReagents_preload_json">'Сырье и материалы'!$AE$28:$BC$48</definedName>
    <definedName name="wsRent_json_coms">Аренда!$AC$69:$AC$73</definedName>
    <definedName name="wsRent_preload">Аренда!$AE$28:$AH$67</definedName>
    <definedName name="wsRent_preload_coms">Аренда!$BC$28:$BC$67</definedName>
    <definedName name="wsRent_preload_full">Аренда!$AE$28:$BB$67</definedName>
    <definedName name="wsRent_preload_json">Аренда!$AE$28:$BC$67</definedName>
    <definedName name="wsSavingsCorr_json_coms">Экономия_корр!$AC$61:$AC$63</definedName>
    <definedName name="wsSavingsCorr_preload">Экономия_корр!$AE$25</definedName>
    <definedName name="wsSavingsCorr_preload_coms">Экономия_корр!$AY$28:$AY$59</definedName>
    <definedName name="wsSavingsCorr_preload_full">Экономия_корр!$AE$28:$AX$59</definedName>
    <definedName name="wsSavingsCorr_preload_json">Экономия_корр!$AE$28:$AY$59</definedName>
    <definedName name="wsScenarios_preload">Сценарии!$AE$29:$AI$136</definedName>
    <definedName name="wsScenarios_preload_coms">Сценарии!$AH$29:$AN$136</definedName>
    <definedName name="wsScenarios_preload_full">Сценарии!$AE$29:$BF$136</definedName>
    <definedName name="wsScenarios_preload_json">Сценарии!$AE$29:$BF$136</definedName>
    <definedName name="wsSellingCosts_json_coms">'Сбытовые расходы ГО'!$AC$77:$AC$79</definedName>
    <definedName name="wsSellingCosts_preload">'Сбытовые расходы ГО'!$AE$28:$AH$75</definedName>
    <definedName name="wsSellingCosts_preload_coms">'Сбытовые расходы ГО'!$AK$28:$AK$75</definedName>
    <definedName name="wsSellingCosts_preload_full">'Сбытовые расходы ГО'!$AE$28:$AJ$75</definedName>
    <definedName name="wsSellingCosts_preload_json">'Сбытовые расходы ГО'!$AE$28:$AK$75</definedName>
    <definedName name="wsTaxes_json_coms">Налоги!$AC$85:$AC$89</definedName>
    <definedName name="wsTaxes_preload">Налоги!$AE$28:$AH$83</definedName>
    <definedName name="wsTaxes_preload_coms">Налоги!$BC$28:$BC$83</definedName>
    <definedName name="wsTaxes_preload_full">Налоги!$AE$28:$BB$83</definedName>
    <definedName name="wsTaxes_preload_json">Налоги!$AE$28:$BC$83</definedName>
    <definedName name="wsTerritoryList_preload">'Список территорий'!$AC$27:$AG$41</definedName>
    <definedName name="wsTerritoryList_preload_json">'Список территорий'!$AF$27:$AG$41</definedName>
    <definedName name="wsTM_json_coms">ТМ!$AC$255:$AC$258</definedName>
    <definedName name="wsTM_preload">ТМ!$AD$26:$AD$26</definedName>
    <definedName name="wsTM_preload_full">ТМ!$AD$34:$FW$253</definedName>
    <definedName name="wsTM_preload_json">ТМ!$AD$34:$FW$253</definedName>
    <definedName name="wsUslMetr_json_coms">'Условные метры'!$AC$43:$AC$45</definedName>
    <definedName name="wsUslMetr_preload">'Условные метры'!$AC$30:$AP$41</definedName>
    <definedName name="wsUslMetr_preload_json">'Условные метры'!$AD$30:$AP$41</definedName>
    <definedName name="wsWageFund_json_coms">ФОТ!$AC$129:$AC$131</definedName>
    <definedName name="wsWageFund_preload">ФОТ!$AE$28:$AH$127</definedName>
    <definedName name="wsWageFund_preload_coms">ФОТ!$AK$28:$AK$127</definedName>
    <definedName name="wsWageFund_preload_full">ФОТ!$AE$28:$AJ$127</definedName>
    <definedName name="wsWageFund_preload_json">ФОТ!$AE$28:$AK$127</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2" i="35"/>
  <c r="T108" i="34"/>
  <c r="AF102" i="34"/>
  <c r="AE102" i="34"/>
  <c r="AC90" i="34"/>
  <c r="AC89" i="34"/>
  <c r="AF86" i="34"/>
  <c r="AF95" i="34" s="1"/>
  <c r="AE86" i="34"/>
  <c r="AE95" i="34" s="1"/>
  <c r="M86" i="34" a="1"/>
  <c r="M86" i="34" s="1"/>
  <c r="L86" i="34" a="1"/>
  <c r="L86" i="34" s="1"/>
  <c r="T84" i="34"/>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F84" i="34" a="1"/>
  <c r="F84" i="34" s="1"/>
  <c r="F85" i="34" s="1" a="1"/>
  <c r="F85" i="34" s="1"/>
  <c r="F86" i="34" s="1" a="1"/>
  <c r="F86" i="34" s="1"/>
  <c r="AF83" i="34"/>
  <c r="AE83" i="34"/>
  <c r="AC71" i="34"/>
  <c r="AC70" i="34"/>
  <c r="AF67" i="34"/>
  <c r="AE67" i="34"/>
  <c r="AE76" i="34" s="1"/>
  <c r="L67" i="34" a="1"/>
  <c r="L67" i="34" s="1"/>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F65" i="34" a="1"/>
  <c r="F65" i="34" s="1"/>
  <c r="F66" i="34" s="1" a="1"/>
  <c r="F66" i="34" s="1"/>
  <c r="F67" i="34" s="1" a="1"/>
  <c r="F67" i="34" s="1"/>
  <c r="AF64" i="34"/>
  <c r="AE64" i="34"/>
  <c r="AF57" i="34"/>
  <c r="AC52" i="34"/>
  <c r="AC51" i="34"/>
  <c r="AF48" i="34"/>
  <c r="AE48" i="34"/>
  <c r="AE57" i="34" s="1"/>
  <c r="M48" i="34" a="1"/>
  <c r="M48" i="34" s="1"/>
  <c r="L48" i="34" a="1"/>
  <c r="L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AF29" i="34"/>
  <c r="AE29" i="34"/>
  <c r="AE38" i="34" s="1"/>
  <c r="T29" i="34"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M29" i="34" a="1"/>
  <c r="M29" i="34" s="1"/>
  <c r="L29" i="34" a="1"/>
  <c r="L29" i="34" s="1"/>
  <c r="T28" i="34" a="1"/>
  <c r="T28" i="34"/>
  <c r="T27" i="34"/>
  <c r="F27" i="34" a="1"/>
  <c r="F27" i="34"/>
  <c r="F28" i="34" s="1" a="1"/>
  <c r="F28" i="34" s="1"/>
  <c r="F29" i="34" s="1" a="1"/>
  <c r="F29" i="34" s="1"/>
  <c r="AE24" i="34"/>
  <c r="AF9" i="34" a="1"/>
  <c r="AF9" i="34" s="1"/>
  <c r="AE9" i="34" a="1"/>
  <c r="AE9" i="34"/>
  <c r="AF7" i="34" a="1"/>
  <c r="AF7" i="34" s="1"/>
  <c r="AE7" i="34" a="1"/>
  <c r="AE7" i="34" s="1"/>
  <c r="AF6" i="34" a="1"/>
  <c r="AF6" i="34" s="1"/>
  <c r="AE6" i="34" a="1"/>
  <c r="AE6" i="34"/>
  <c r="T386" i="33"/>
  <c r="I381" i="33"/>
  <c r="AJ380" i="33" a="1"/>
  <c r="AJ380" i="33"/>
  <c r="AB380" i="33"/>
  <c r="I380" i="33" a="1"/>
  <c r="I380" i="33"/>
  <c r="AE379" i="33"/>
  <c r="AE371" i="33"/>
  <c r="AE359" i="33"/>
  <c r="AE346" i="33"/>
  <c r="AE345" i="33" s="1"/>
  <c r="I344" i="33"/>
  <c r="AJ343" i="33" a="1"/>
  <c r="AJ343" i="33" s="1"/>
  <c r="AB343" i="33"/>
  <c r="I343" i="33" a="1"/>
  <c r="I343" i="33"/>
  <c r="AE342" i="33"/>
  <c r="AE338" i="33"/>
  <c r="AE329" i="33"/>
  <c r="AE322" i="33" s="1"/>
  <c r="AE323" i="33"/>
  <c r="AE317" i="33"/>
  <c r="AE314" i="33"/>
  <c r="AE306" i="33"/>
  <c r="AE299" i="33"/>
  <c r="T298" i="33"/>
  <c r="T299" i="33" s="1" a="1"/>
  <c r="T299" i="33" s="1"/>
  <c r="T300" i="33" s="1" a="1"/>
  <c r="T300" i="33" s="1"/>
  <c r="T301" i="33" s="1" a="1"/>
  <c r="T301" i="33" s="1"/>
  <c r="T302" i="33" s="1" a="1"/>
  <c r="T302" i="33" s="1"/>
  <c r="T303" i="33" s="1" a="1"/>
  <c r="T303" i="33" s="1"/>
  <c r="T304" i="33" s="1" a="1"/>
  <c r="T304" i="33" s="1"/>
  <c r="T305" i="33" s="1" a="1"/>
  <c r="T305" i="33" s="1"/>
  <c r="T306" i="33" s="1" a="1"/>
  <c r="T306" i="33" s="1"/>
  <c r="T307" i="33" s="1" a="1"/>
  <c r="T307" i="33" s="1"/>
  <c r="T308" i="33" s="1" a="1"/>
  <c r="T308" i="33" s="1"/>
  <c r="T309" i="33" s="1" a="1"/>
  <c r="T309" i="33" s="1"/>
  <c r="T310" i="33" s="1" a="1"/>
  <c r="T310" i="33" s="1"/>
  <c r="T311" i="33" s="1" a="1"/>
  <c r="T311" i="33" s="1"/>
  <c r="T312" i="33" s="1" a="1"/>
  <c r="T312" i="33" s="1"/>
  <c r="T313" i="33" s="1" a="1"/>
  <c r="T313" i="33" s="1"/>
  <c r="T314" i="33" s="1" a="1"/>
  <c r="T314" i="33" s="1"/>
  <c r="T315" i="33" s="1" a="1"/>
  <c r="T315" i="33" s="1"/>
  <c r="T316" i="33" s="1" a="1"/>
  <c r="T316" i="33" s="1"/>
  <c r="T317" i="33" s="1" a="1"/>
  <c r="T317" i="33" s="1"/>
  <c r="T318" i="33" s="1" a="1"/>
  <c r="T318" i="33" s="1"/>
  <c r="T319" i="33" s="1" a="1"/>
  <c r="T319" i="33" s="1"/>
  <c r="T320" i="33" s="1" a="1"/>
  <c r="T320" i="33" s="1"/>
  <c r="T321" i="33" s="1" a="1"/>
  <c r="T321" i="33" s="1"/>
  <c r="T322" i="33" s="1" a="1"/>
  <c r="T322" i="33" s="1"/>
  <c r="T323" i="33" s="1" a="1"/>
  <c r="T323" i="33" s="1"/>
  <c r="T324" i="33" s="1" a="1"/>
  <c r="T324" i="33" s="1"/>
  <c r="T325" i="33" s="1" a="1"/>
  <c r="T325" i="33" s="1"/>
  <c r="T326" i="33" s="1" a="1"/>
  <c r="T326" i="33" s="1"/>
  <c r="T327" i="33" s="1" a="1"/>
  <c r="T327" i="33" s="1"/>
  <c r="T328" i="33" s="1" a="1"/>
  <c r="T328" i="33" s="1"/>
  <c r="T329" i="33" s="1" a="1"/>
  <c r="T329" i="33" s="1"/>
  <c r="T330" i="33" s="1" a="1"/>
  <c r="T330" i="33" s="1"/>
  <c r="T331" i="33" s="1" a="1"/>
  <c r="T331" i="33" s="1"/>
  <c r="T332" i="33" s="1" a="1"/>
  <c r="T332" i="33" s="1"/>
  <c r="T333" i="33" s="1" a="1"/>
  <c r="T333" i="33" s="1"/>
  <c r="T334" i="33" s="1" a="1"/>
  <c r="T334" i="33" s="1"/>
  <c r="T335" i="33" s="1" a="1"/>
  <c r="T335" i="33" s="1"/>
  <c r="T336" i="33" s="1" a="1"/>
  <c r="T336" i="33" s="1"/>
  <c r="T337" i="33" s="1" a="1"/>
  <c r="T337" i="33" s="1"/>
  <c r="T338" i="33" s="1" a="1"/>
  <c r="T338" i="33" s="1"/>
  <c r="T339" i="33" s="1" a="1"/>
  <c r="T339" i="33" s="1"/>
  <c r="T340" i="33" s="1" a="1"/>
  <c r="T340" i="33" s="1"/>
  <c r="T341" i="33" s="1" a="1"/>
  <c r="T341" i="33" s="1"/>
  <c r="T342" i="33" s="1" a="1"/>
  <c r="T342" i="33" s="1"/>
  <c r="AE296" i="33"/>
  <c r="T296" i="33" a="1"/>
  <c r="T296" i="33" s="1"/>
  <c r="T297" i="33" s="1" a="1"/>
  <c r="T297" i="33" s="1"/>
  <c r="T298" i="33" s="1" a="1"/>
  <c r="T294" i="33"/>
  <c r="T295" i="33" s="1" a="1"/>
  <c r="T295" i="33" s="1"/>
  <c r="F294" i="33" a="1"/>
  <c r="F294" i="33" s="1"/>
  <c r="F295" i="33" s="1" a="1"/>
  <c r="F295" i="33" s="1"/>
  <c r="F296" i="33" s="1" a="1"/>
  <c r="F296" i="33" s="1"/>
  <c r="F297" i="33" s="1" a="1"/>
  <c r="F297" i="33" s="1"/>
  <c r="F298" i="33" s="1" a="1"/>
  <c r="F298" i="33" s="1"/>
  <c r="F299" i="33" s="1" a="1"/>
  <c r="F299" i="33" s="1"/>
  <c r="F300" i="33" s="1" a="1"/>
  <c r="F300" i="33" s="1"/>
  <c r="F301" i="33" s="1" a="1"/>
  <c r="F301" i="33" s="1"/>
  <c r="F302" i="33" s="1" a="1"/>
  <c r="F302" i="33" s="1"/>
  <c r="F303" i="33" s="1" a="1"/>
  <c r="F303" i="33" s="1"/>
  <c r="F304" i="33" s="1" a="1"/>
  <c r="F304" i="33" s="1"/>
  <c r="F305" i="33" s="1" a="1"/>
  <c r="F305" i="33" s="1"/>
  <c r="F306" i="33" s="1" a="1"/>
  <c r="F306" i="33" s="1"/>
  <c r="F307" i="33" s="1" a="1"/>
  <c r="F307" i="33" s="1"/>
  <c r="F308" i="33" s="1" a="1"/>
  <c r="F308" i="33" s="1"/>
  <c r="F309" i="33" s="1" a="1"/>
  <c r="F309" i="33" s="1"/>
  <c r="F310" i="33" s="1" a="1"/>
  <c r="F310" i="33" s="1"/>
  <c r="F311" i="33" s="1" a="1"/>
  <c r="F311" i="33" s="1"/>
  <c r="F312" i="33" s="1" a="1"/>
  <c r="F312" i="33" s="1"/>
  <c r="F313" i="33" s="1" a="1"/>
  <c r="F313" i="33" s="1"/>
  <c r="F314" i="33" s="1" a="1"/>
  <c r="F314" i="33" s="1"/>
  <c r="F315" i="33" s="1" a="1"/>
  <c r="F315" i="33" s="1"/>
  <c r="F316" i="33" s="1" a="1"/>
  <c r="F316" i="33" s="1"/>
  <c r="F317" i="33" s="1" a="1"/>
  <c r="F317" i="33" s="1"/>
  <c r="F318" i="33" s="1" a="1"/>
  <c r="F318" i="33" s="1"/>
  <c r="F319" i="33" s="1" a="1"/>
  <c r="F319" i="33" s="1"/>
  <c r="F320" i="33" s="1" a="1"/>
  <c r="F320" i="33" s="1"/>
  <c r="F321" i="33" s="1" a="1"/>
  <c r="F321" i="33" s="1"/>
  <c r="F322" i="33" s="1" a="1"/>
  <c r="F322" i="33" s="1"/>
  <c r="F323" i="33" s="1" a="1"/>
  <c r="F323" i="33" s="1"/>
  <c r="F324" i="33" s="1" a="1"/>
  <c r="F324" i="33" s="1"/>
  <c r="F325" i="33" s="1" a="1"/>
  <c r="F325" i="33" s="1"/>
  <c r="F326" i="33" s="1" a="1"/>
  <c r="F326" i="33" s="1"/>
  <c r="F327" i="33" s="1" a="1"/>
  <c r="F327" i="33" s="1"/>
  <c r="F328" i="33" s="1" a="1"/>
  <c r="F328" i="33" s="1"/>
  <c r="F329" i="33" s="1" a="1"/>
  <c r="F329" i="33" s="1"/>
  <c r="F330" i="33" s="1" a="1"/>
  <c r="F330" i="33" s="1"/>
  <c r="F331" i="33" s="1" a="1"/>
  <c r="F331" i="33" s="1"/>
  <c r="F332" i="33" s="1" a="1"/>
  <c r="F332" i="33" s="1"/>
  <c r="F333" i="33" s="1" a="1"/>
  <c r="F333" i="33" s="1"/>
  <c r="F334" i="33" s="1" a="1"/>
  <c r="F334" i="33" s="1"/>
  <c r="F335" i="33" s="1" a="1"/>
  <c r="F335" i="33" s="1"/>
  <c r="F336" i="33" s="1" a="1"/>
  <c r="F336" i="33" s="1"/>
  <c r="F337" i="33" s="1" a="1"/>
  <c r="F337" i="33" s="1"/>
  <c r="F338" i="33" s="1" a="1"/>
  <c r="F338" i="33" s="1"/>
  <c r="F339" i="33" s="1" a="1"/>
  <c r="F339" i="33" s="1"/>
  <c r="F340" i="33" s="1" a="1"/>
  <c r="F340" i="33" s="1"/>
  <c r="F341" i="33" s="1" a="1"/>
  <c r="F341" i="33" s="1"/>
  <c r="F342" i="33" s="1" a="1"/>
  <c r="F342" i="33" s="1"/>
  <c r="F343" i="33" s="1" a="1"/>
  <c r="F343" i="33" s="1"/>
  <c r="I292" i="33"/>
  <c r="AJ291" i="33" a="1"/>
  <c r="AJ291" i="33"/>
  <c r="AB291" i="33"/>
  <c r="I291" i="33" a="1"/>
  <c r="I291" i="33"/>
  <c r="AE290" i="33"/>
  <c r="AE282" i="33"/>
  <c r="AE270" i="33"/>
  <c r="AE256" i="33" s="1"/>
  <c r="AE257" i="33"/>
  <c r="I255" i="33"/>
  <c r="AJ254" i="33" a="1"/>
  <c r="AJ254" i="33" s="1"/>
  <c r="AB254" i="33"/>
  <c r="I254" i="33" a="1"/>
  <c r="I254" i="33" s="1"/>
  <c r="AE253" i="33"/>
  <c r="AE249" i="33"/>
  <c r="AE233" i="33" s="1"/>
  <c r="AE240" i="33"/>
  <c r="AE234" i="33"/>
  <c r="AE228" i="33"/>
  <c r="AE225" i="33" s="1"/>
  <c r="AE217" i="33"/>
  <c r="AE210" i="33"/>
  <c r="AE207" i="33"/>
  <c r="T205" i="33"/>
  <c r="T206" i="33" s="1" a="1"/>
  <c r="T206" i="33" s="1"/>
  <c r="T207" i="33" s="1" a="1"/>
  <c r="T207" i="33" s="1"/>
  <c r="T208" i="33" s="1"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F205" i="33" a="1"/>
  <c r="F205" i="33" s="1"/>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c r="AB202" i="33"/>
  <c r="I202" i="33" a="1"/>
  <c r="I202" i="33"/>
  <c r="AE201" i="33"/>
  <c r="AE193" i="33"/>
  <c r="AE181" i="33"/>
  <c r="AE168" i="33"/>
  <c r="I166" i="33"/>
  <c r="AJ165" i="33" a="1"/>
  <c r="AJ165" i="33"/>
  <c r="AB165" i="33"/>
  <c r="I165" i="33" a="1"/>
  <c r="I165" i="33"/>
  <c r="AE164" i="33"/>
  <c r="AE160" i="33"/>
  <c r="AE151" i="33"/>
  <c r="AE145" i="33"/>
  <c r="T140" i="33"/>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39" i="33"/>
  <c r="AE136" i="33"/>
  <c r="AE128" i="33"/>
  <c r="AE121" i="33"/>
  <c r="T120" i="33"/>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AE118" i="33"/>
  <c r="T118" i="33" a="1"/>
  <c r="T118" i="33" s="1"/>
  <c r="T119" i="33" s="1" a="1"/>
  <c r="T119" i="33" s="1"/>
  <c r="T120" i="33" s="1" a="1"/>
  <c r="T116" i="33"/>
  <c r="T117" i="33" s="1" a="1"/>
  <c r="T117"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s="1"/>
  <c r="AE112" i="33"/>
  <c r="AE104" i="33"/>
  <c r="AE92" i="33"/>
  <c r="AE79" i="33"/>
  <c r="AE78" i="33" s="1"/>
  <c r="I77" i="33"/>
  <c r="AJ76" i="33" a="1"/>
  <c r="AJ76" i="33"/>
  <c r="AB76" i="33"/>
  <c r="I76" i="33" a="1"/>
  <c r="I76" i="33"/>
  <c r="AE75" i="33"/>
  <c r="AE71" i="33"/>
  <c r="AE55" i="33" s="1"/>
  <c r="AE62" i="33"/>
  <c r="AE56" i="33"/>
  <c r="AE50" i="33"/>
  <c r="AE47" i="33" s="1"/>
  <c r="AE39" i="33"/>
  <c r="T35" i="33"/>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32" i="33"/>
  <c r="T32" i="33" a="1"/>
  <c r="T32" i="33" s="1"/>
  <c r="T33" i="33" s="1" a="1"/>
  <c r="T33" i="33" s="1"/>
  <c r="T34" i="33" s="1" a="1"/>
  <c r="T34" i="33" s="1"/>
  <c r="T35" i="33" s="1" a="1"/>
  <c r="AE29" i="33"/>
  <c r="AE28" i="33" s="1"/>
  <c r="T27" i="33"/>
  <c r="T28" i="33" s="1" a="1"/>
  <c r="T28" i="33" s="1"/>
  <c r="T29" i="33" s="1" a="1"/>
  <c r="T29" i="33" s="1"/>
  <c r="T30" i="33" s="1" a="1"/>
  <c r="T30" i="33" s="1"/>
  <c r="T31" i="33" s="1" a="1"/>
  <c r="T31" i="33" s="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243" i="32"/>
  <c r="G239" i="32"/>
  <c r="AN238" i="32" a="1"/>
  <c r="AN238" i="32" s="1"/>
  <c r="AB238" i="32"/>
  <c r="K238" i="32"/>
  <c r="B238" i="32"/>
  <c r="K237" i="32"/>
  <c r="AN237" i="32" s="1" a="1"/>
  <c r="AN237" i="32" s="1"/>
  <c r="B237" i="32"/>
  <c r="AN236" i="32"/>
  <c r="AB236" i="32"/>
  <c r="K236" i="32"/>
  <c r="AN236" i="32" s="1" a="1"/>
  <c r="B236" i="32"/>
  <c r="K235" i="32"/>
  <c r="AN234" i="32" a="1"/>
  <c r="AN234" i="32" s="1"/>
  <c r="AB234" i="32"/>
  <c r="K234" i="32"/>
  <c r="B234" i="32"/>
  <c r="K233" i="32"/>
  <c r="AN233" i="32" s="1" a="1"/>
  <c r="AN233" i="32" s="1"/>
  <c r="B233" i="32"/>
  <c r="AB232" i="32"/>
  <c r="K232" i="32"/>
  <c r="AN232" i="32" s="1" a="1"/>
  <c r="AN232" i="32" s="1"/>
  <c r="B232" i="32"/>
  <c r="K231" i="32"/>
  <c r="AN230" i="32" a="1"/>
  <c r="AN230" i="32" s="1"/>
  <c r="AB230" i="32"/>
  <c r="K230" i="32"/>
  <c r="B230" i="32"/>
  <c r="K229" i="32"/>
  <c r="AN229" i="32" s="1" a="1"/>
  <c r="AN229" i="32" s="1"/>
  <c r="B229" i="32"/>
  <c r="AB228" i="32"/>
  <c r="K228" i="32"/>
  <c r="AN228" i="32" s="1" a="1"/>
  <c r="AN228" i="32" s="1"/>
  <c r="B228" i="32"/>
  <c r="AN227" i="32" a="1"/>
  <c r="AN227" i="32" s="1"/>
  <c r="AB227" i="32"/>
  <c r="K227" i="32"/>
  <c r="B227" i="32"/>
  <c r="AB226" i="32"/>
  <c r="K226" i="32"/>
  <c r="AN226" i="32" s="1" a="1"/>
  <c r="AN226" i="32" s="1"/>
  <c r="B226" i="32"/>
  <c r="K225" i="32"/>
  <c r="AN224" i="32" a="1"/>
  <c r="AN224" i="32" s="1"/>
  <c r="K224" i="32"/>
  <c r="AB224" i="32" s="1"/>
  <c r="AN223" i="32" a="1"/>
  <c r="AN223" i="32" s="1"/>
  <c r="AB223" i="32"/>
  <c r="K223" i="32"/>
  <c r="B223" i="32"/>
  <c r="AB222" i="32"/>
  <c r="K222" i="32"/>
  <c r="AN222" i="32" s="1" a="1"/>
  <c r="AN222" i="32" s="1"/>
  <c r="B222" i="32"/>
  <c r="AN221" i="32"/>
  <c r="AB221" i="32"/>
  <c r="K221" i="32"/>
  <c r="AN221" i="32" s="1" a="1"/>
  <c r="B221" i="32"/>
  <c r="AN220" i="32"/>
  <c r="K220" i="32"/>
  <c r="AN220" i="32" s="1" a="1"/>
  <c r="AN219" i="32" a="1"/>
  <c r="AN219" i="32" s="1"/>
  <c r="AB219" i="32"/>
  <c r="K219" i="32"/>
  <c r="B219" i="32"/>
  <c r="AB218" i="32"/>
  <c r="K218" i="32"/>
  <c r="AN218" i="32" s="1" a="1"/>
  <c r="AN218" i="32" s="1"/>
  <c r="B218" i="32"/>
  <c r="AB217" i="32"/>
  <c r="K217" i="32"/>
  <c r="AN217" i="32" s="1" a="1"/>
  <c r="AN217" i="32" s="1"/>
  <c r="B217" i="32"/>
  <c r="K216" i="32"/>
  <c r="AN215" i="32" a="1"/>
  <c r="AN215" i="32" s="1"/>
  <c r="AB215" i="32"/>
  <c r="K215" i="32"/>
  <c r="B215" i="32"/>
  <c r="AB214" i="32"/>
  <c r="K214" i="32"/>
  <c r="AN214" i="32" s="1" a="1"/>
  <c r="AN214" i="32" s="1"/>
  <c r="B214" i="32"/>
  <c r="AN213" i="32"/>
  <c r="AB213" i="32"/>
  <c r="K213" i="32"/>
  <c r="AN213" i="32" s="1" a="1"/>
  <c r="B213" i="32"/>
  <c r="AN212" i="32"/>
  <c r="K212" i="32"/>
  <c r="AN212" i="32" s="1" a="1"/>
  <c r="AN211" i="32" a="1"/>
  <c r="AN211" i="32" s="1"/>
  <c r="AB211" i="32"/>
  <c r="K211" i="32"/>
  <c r="B211" i="32"/>
  <c r="AB210" i="32"/>
  <c r="K210" i="32"/>
  <c r="AN210" i="32" s="1" a="1"/>
  <c r="AN210" i="32" s="1"/>
  <c r="B210" i="32"/>
  <c r="AB209" i="32"/>
  <c r="K209" i="32"/>
  <c r="AN209" i="32" s="1" a="1"/>
  <c r="AN209" i="32" s="1"/>
  <c r="B209" i="32"/>
  <c r="K208" i="32"/>
  <c r="AN207" i="32" a="1"/>
  <c r="AN207" i="32" s="1"/>
  <c r="AB207" i="32"/>
  <c r="K207" i="32"/>
  <c r="B207" i="32"/>
  <c r="AB206" i="32"/>
  <c r="K206" i="32"/>
  <c r="AN206" i="32" s="1" a="1"/>
  <c r="AN206" i="32" s="1"/>
  <c r="B206" i="32"/>
  <c r="AN205" i="32"/>
  <c r="AB205" i="32"/>
  <c r="K205" i="32"/>
  <c r="AN205" i="32" s="1" a="1"/>
  <c r="B205" i="32"/>
  <c r="K204" i="32"/>
  <c r="AN204" i="32" s="1" a="1"/>
  <c r="AN204" i="32" s="1"/>
  <c r="AN203" i="32" a="1"/>
  <c r="AN203" i="32" s="1"/>
  <c r="AB203" i="32"/>
  <c r="K203" i="32"/>
  <c r="B203" i="32"/>
  <c r="AB202" i="32"/>
  <c r="K202" i="32"/>
  <c r="AN202" i="32" s="1" a="1"/>
  <c r="AN202" i="32" s="1"/>
  <c r="B202" i="32"/>
  <c r="AB201" i="32"/>
  <c r="K201" i="32"/>
  <c r="AN201" i="32" s="1" a="1"/>
  <c r="AN201" i="32" s="1"/>
  <c r="B201" i="32"/>
  <c r="K200" i="32"/>
  <c r="AN199" i="32" a="1"/>
  <c r="AN199" i="32" s="1"/>
  <c r="AB199" i="32"/>
  <c r="K199" i="32"/>
  <c r="B199" i="32"/>
  <c r="AB198" i="32"/>
  <c r="K198" i="32"/>
  <c r="AN198" i="32" s="1" a="1"/>
  <c r="AN198" i="32" s="1"/>
  <c r="B198" i="32"/>
  <c r="AN197" i="32"/>
  <c r="AB197" i="32"/>
  <c r="K197" i="32"/>
  <c r="AN197" i="32" s="1" a="1"/>
  <c r="B197" i="32"/>
  <c r="K196" i="32"/>
  <c r="AN196" i="32" s="1" a="1"/>
  <c r="AN196" i="32" s="1"/>
  <c r="AN195" i="32" a="1"/>
  <c r="AN195" i="32" s="1"/>
  <c r="AB195" i="32"/>
  <c r="K195" i="32"/>
  <c r="B195" i="32"/>
  <c r="AB194" i="32"/>
  <c r="K194" i="32"/>
  <c r="AN194" i="32" s="1" a="1"/>
  <c r="AN194" i="32" s="1"/>
  <c r="B194" i="32"/>
  <c r="AB193" i="32"/>
  <c r="K193" i="32"/>
  <c r="AN193" i="32" s="1" a="1"/>
  <c r="AN193" i="32" s="1"/>
  <c r="B193" i="32"/>
  <c r="K192" i="32"/>
  <c r="AN191" i="32" a="1"/>
  <c r="AN191" i="32" s="1"/>
  <c r="AB191" i="32"/>
  <c r="K191" i="32"/>
  <c r="B191" i="32"/>
  <c r="AB190" i="32"/>
  <c r="K190" i="32"/>
  <c r="AN190" i="32" s="1" a="1"/>
  <c r="AN190" i="32" s="1"/>
  <c r="G190" i="32" a="1"/>
  <c r="G190" i="32"/>
  <c r="G191" i="32" s="1" a="1"/>
  <c r="G191" i="32" s="1"/>
  <c r="G192" i="32" s="1" a="1"/>
  <c r="G192" i="32" s="1"/>
  <c r="G193" i="32" s="1" a="1"/>
  <c r="G193" i="32" s="1"/>
  <c r="G194" i="32" s="1" a="1"/>
  <c r="G194" i="32" s="1"/>
  <c r="G195" i="32" s="1" a="1"/>
  <c r="G195" i="32" s="1"/>
  <c r="G196" i="32" s="1" a="1"/>
  <c r="G196" i="32" s="1"/>
  <c r="G197" i="32" s="1" a="1"/>
  <c r="G197" i="32" s="1"/>
  <c r="G198" i="32" s="1" a="1"/>
  <c r="G198" i="32" s="1"/>
  <c r="G199" i="32" s="1" a="1"/>
  <c r="G199" i="32" s="1"/>
  <c r="G200" i="32" s="1" a="1"/>
  <c r="G200" i="32" s="1"/>
  <c r="G201" i="32" s="1" a="1"/>
  <c r="G201" i="32" s="1"/>
  <c r="G202" i="32" s="1" a="1"/>
  <c r="G202" i="32" s="1"/>
  <c r="G203" i="32" s="1" a="1"/>
  <c r="G203" i="32" s="1"/>
  <c r="G204" i="32" s="1" a="1"/>
  <c r="G204" i="32" s="1"/>
  <c r="G205" i="32" s="1" a="1"/>
  <c r="G205" i="32" s="1"/>
  <c r="G206" i="32" s="1" a="1"/>
  <c r="G206" i="32" s="1"/>
  <c r="G207" i="32" s="1" a="1"/>
  <c r="G207" i="32" s="1"/>
  <c r="G208" i="32" s="1" a="1"/>
  <c r="G208" i="32" s="1"/>
  <c r="G209" i="32" s="1" a="1"/>
  <c r="G209" i="32" s="1"/>
  <c r="G210" i="32" s="1" a="1"/>
  <c r="G210" i="32" s="1"/>
  <c r="G211" i="32" s="1" a="1"/>
  <c r="G211" i="32" s="1"/>
  <c r="G212" i="32" s="1" a="1"/>
  <c r="G212" i="32" s="1"/>
  <c r="G213" i="32" s="1" a="1"/>
  <c r="G213" i="32" s="1"/>
  <c r="G214" i="32" s="1" a="1"/>
  <c r="G214" i="32" s="1"/>
  <c r="G215" i="32" s="1" a="1"/>
  <c r="G215" i="32" s="1"/>
  <c r="G216" i="32" s="1" a="1"/>
  <c r="G216" i="32" s="1"/>
  <c r="G217" i="32" s="1" a="1"/>
  <c r="G217" i="32" s="1"/>
  <c r="G218" i="32" s="1" a="1"/>
  <c r="G218" i="32" s="1"/>
  <c r="G219" i="32" s="1" a="1"/>
  <c r="G219" i="32" s="1"/>
  <c r="G220" i="32" s="1" a="1"/>
  <c r="G220" i="32" s="1"/>
  <c r="G221" i="32" s="1" a="1"/>
  <c r="G221" i="32" s="1"/>
  <c r="G222" i="32" s="1" a="1"/>
  <c r="G222" i="32" s="1"/>
  <c r="G223" i="32" s="1" a="1"/>
  <c r="G223" i="32" s="1"/>
  <c r="G224" i="32" s="1" a="1"/>
  <c r="G224" i="32" s="1"/>
  <c r="G225" i="32" s="1" a="1"/>
  <c r="G225" i="32" s="1"/>
  <c r="G226" i="32" s="1" a="1"/>
  <c r="G226" i="32" s="1"/>
  <c r="G227" i="32" s="1" a="1"/>
  <c r="G227" i="32" s="1"/>
  <c r="G228" i="32" s="1" a="1"/>
  <c r="G228" i="32" s="1"/>
  <c r="G229" i="32" s="1" a="1"/>
  <c r="G229" i="32" s="1"/>
  <c r="G230" i="32" s="1" a="1"/>
  <c r="G230" i="32" s="1"/>
  <c r="G231" i="32" s="1" a="1"/>
  <c r="G231" i="32" s="1"/>
  <c r="G232" i="32" s="1" a="1"/>
  <c r="G232" i="32" s="1"/>
  <c r="G233" i="32" s="1" a="1"/>
  <c r="G233" i="32" s="1"/>
  <c r="G234" i="32" s="1" a="1"/>
  <c r="G234" i="32" s="1"/>
  <c r="G235" i="32" s="1" a="1"/>
  <c r="G235" i="32" s="1"/>
  <c r="G236" i="32" s="1" a="1"/>
  <c r="G236" i="32" s="1"/>
  <c r="G237" i="32" s="1" a="1"/>
  <c r="G237" i="32" s="1"/>
  <c r="G238" i="32" s="1" a="1"/>
  <c r="G238" i="32" s="1"/>
  <c r="B190" i="32"/>
  <c r="K189" i="32" a="1"/>
  <c r="K189" i="32"/>
  <c r="AP188" i="32" a="1"/>
  <c r="AP188" i="32"/>
  <c r="AP189" i="32" s="1" a="1"/>
  <c r="AP189" i="32" s="1"/>
  <c r="AP190" i="32" s="1" a="1"/>
  <c r="AP190" i="32" s="1"/>
  <c r="AP191" i="32" s="1" a="1"/>
  <c r="AP191" i="32" s="1"/>
  <c r="AP192" i="32" s="1" a="1"/>
  <c r="AP192" i="32" s="1"/>
  <c r="AP193" i="32" s="1" a="1"/>
  <c r="AP193" i="32" s="1"/>
  <c r="AP194" i="32" s="1" a="1"/>
  <c r="AP194" i="32" s="1"/>
  <c r="AP195" i="32" s="1" a="1"/>
  <c r="AP195" i="32" s="1"/>
  <c r="AP196" i="32" s="1" a="1"/>
  <c r="AP196" i="32" s="1"/>
  <c r="AP197" i="32" s="1" a="1"/>
  <c r="AP197" i="32" s="1"/>
  <c r="AP198" i="32" s="1" a="1"/>
  <c r="AP198" i="32" s="1"/>
  <c r="AP199" i="32" s="1" a="1"/>
  <c r="AP199" i="32" s="1"/>
  <c r="AP200" i="32" s="1" a="1"/>
  <c r="AP200" i="32" s="1"/>
  <c r="AP201" i="32" s="1" a="1"/>
  <c r="AP201" i="32" s="1"/>
  <c r="AP202" i="32" s="1" a="1"/>
  <c r="AP202" i="32" s="1"/>
  <c r="AP203" i="32" s="1" a="1"/>
  <c r="AP203" i="32" s="1"/>
  <c r="AP204" i="32" s="1" a="1"/>
  <c r="AP204" i="32" s="1"/>
  <c r="AP205" i="32" s="1" a="1"/>
  <c r="AP205" i="32" s="1"/>
  <c r="AP206" i="32" s="1" a="1"/>
  <c r="AP206" i="32" s="1"/>
  <c r="AP207" i="32" s="1" a="1"/>
  <c r="AP207" i="32" s="1"/>
  <c r="AP208" i="32" s="1" a="1"/>
  <c r="AP208" i="32" s="1"/>
  <c r="AP209" i="32" s="1" a="1"/>
  <c r="AP209" i="32" s="1"/>
  <c r="AP210" i="32" s="1" a="1"/>
  <c r="AP210" i="32" s="1"/>
  <c r="AP211" i="32" s="1" a="1"/>
  <c r="AP211" i="32" s="1"/>
  <c r="AP212" i="32" s="1" a="1"/>
  <c r="AP212" i="32" s="1"/>
  <c r="AP213" i="32" s="1" a="1"/>
  <c r="AP213" i="32" s="1"/>
  <c r="AP214" i="32" s="1" a="1"/>
  <c r="AP214" i="32" s="1"/>
  <c r="AP215" i="32" s="1" a="1"/>
  <c r="AP215" i="32" s="1"/>
  <c r="AP216" i="32" s="1" a="1"/>
  <c r="AP216" i="32" s="1"/>
  <c r="AP217" i="32" s="1" a="1"/>
  <c r="AP217" i="32" s="1"/>
  <c r="AP218" i="32" s="1" a="1"/>
  <c r="AP218" i="32" s="1"/>
  <c r="AP219" i="32" s="1" a="1"/>
  <c r="AP219" i="32" s="1"/>
  <c r="AP220" i="32" s="1" a="1"/>
  <c r="AP220" i="32" s="1"/>
  <c r="AP221" i="32" s="1" a="1"/>
  <c r="AP221" i="32" s="1"/>
  <c r="AP222" i="32" s="1" a="1"/>
  <c r="AP222" i="32" s="1"/>
  <c r="AP223" i="32" s="1" a="1"/>
  <c r="AP223" i="32" s="1"/>
  <c r="AP224" i="32" s="1" a="1"/>
  <c r="AP224" i="32" s="1"/>
  <c r="AP225" i="32" s="1" a="1"/>
  <c r="AP225" i="32" s="1"/>
  <c r="AP226" i="32" s="1" a="1"/>
  <c r="AP226" i="32" s="1"/>
  <c r="AP227" i="32" s="1" a="1"/>
  <c r="AP227" i="32" s="1"/>
  <c r="AP228" i="32" s="1" a="1"/>
  <c r="AP228" i="32" s="1"/>
  <c r="AP229" i="32" s="1" a="1"/>
  <c r="AP229" i="32" s="1"/>
  <c r="AP230" i="32" s="1" a="1"/>
  <c r="AP230" i="32" s="1"/>
  <c r="AP231" i="32" s="1" a="1"/>
  <c r="AP231" i="32" s="1"/>
  <c r="AP232" i="32" s="1" a="1"/>
  <c r="AP232" i="32" s="1"/>
  <c r="AP233" i="32" s="1" a="1"/>
  <c r="AP233" i="32" s="1"/>
  <c r="AP234" i="32" s="1" a="1"/>
  <c r="AP234" i="32" s="1"/>
  <c r="AP235" i="32" s="1" a="1"/>
  <c r="AP235" i="32" s="1"/>
  <c r="AP236" i="32" s="1" a="1"/>
  <c r="AP236" i="32" s="1"/>
  <c r="AP237" i="32" s="1" a="1"/>
  <c r="AP237" i="32" s="1"/>
  <c r="AP238" i="32" s="1" a="1"/>
  <c r="AP238" i="32" s="1"/>
  <c r="G188" i="32" a="1"/>
  <c r="G188" i="32"/>
  <c r="G189" i="32" s="1" a="1"/>
  <c r="G189" i="32" s="1"/>
  <c r="F188" i="32" a="1"/>
  <c r="F188" i="32" s="1"/>
  <c r="T187" i="32"/>
  <c r="F187" i="32" a="1"/>
  <c r="F187" i="32"/>
  <c r="G186" i="32"/>
  <c r="AB185" i="32"/>
  <c r="K185" i="32"/>
  <c r="AN185" i="32" s="1" a="1"/>
  <c r="AN185" i="32" s="1"/>
  <c r="B185" i="32"/>
  <c r="K184" i="32"/>
  <c r="AN183" i="32" a="1"/>
  <c r="AN183" i="32" s="1"/>
  <c r="AB183" i="32"/>
  <c r="K183" i="32"/>
  <c r="B183" i="32"/>
  <c r="AB182" i="32"/>
  <c r="K182" i="32"/>
  <c r="AN182" i="32" s="1" a="1"/>
  <c r="AN182" i="32" s="1"/>
  <c r="B182" i="32"/>
  <c r="AN181" i="32"/>
  <c r="AB181" i="32"/>
  <c r="K181" i="32"/>
  <c r="AN181" i="32" s="1" a="1"/>
  <c r="B181" i="32"/>
  <c r="K180" i="32"/>
  <c r="AN180" i="32" s="1" a="1"/>
  <c r="AN180" i="32" s="1"/>
  <c r="AN179" i="32" a="1"/>
  <c r="AN179" i="32" s="1"/>
  <c r="AB179" i="32"/>
  <c r="K179" i="32"/>
  <c r="B179" i="32"/>
  <c r="AB178" i="32"/>
  <c r="K178" i="32"/>
  <c r="AN178" i="32" s="1" a="1"/>
  <c r="AN178" i="32" s="1"/>
  <c r="B178" i="32"/>
  <c r="AB177" i="32"/>
  <c r="K177" i="32"/>
  <c r="AN177" i="32" s="1" a="1"/>
  <c r="AN177" i="32" s="1"/>
  <c r="B177" i="32"/>
  <c r="K176" i="32"/>
  <c r="AN175" i="32" a="1"/>
  <c r="AN175" i="32" s="1"/>
  <c r="AB175" i="32"/>
  <c r="K175" i="32"/>
  <c r="B175" i="32"/>
  <c r="AB174" i="32"/>
  <c r="K174" i="32"/>
  <c r="AN174" i="32" s="1" a="1"/>
  <c r="AN174" i="32" s="1"/>
  <c r="B174" i="32"/>
  <c r="AP173" i="32"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N173" i="32"/>
  <c r="AB173" i="32"/>
  <c r="K173" i="32"/>
  <c r="AN173" i="32" s="1" a="1"/>
  <c r="G173" i="32"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B173" i="32"/>
  <c r="K172" i="32"/>
  <c r="AN172" i="32" s="1" a="1"/>
  <c r="AN172" i="32" s="1"/>
  <c r="AN171" i="32" a="1"/>
  <c r="AN171" i="32" s="1"/>
  <c r="AB171" i="32"/>
  <c r="K171" i="32"/>
  <c r="B171" i="32"/>
  <c r="AB170" i="32"/>
  <c r="K170" i="32"/>
  <c r="AN170" i="32" s="1" a="1"/>
  <c r="AN170" i="32" s="1"/>
  <c r="B170" i="32"/>
  <c r="AB169" i="32"/>
  <c r="K169" i="32"/>
  <c r="AN169" i="32" s="1" a="1"/>
  <c r="AN169" i="32" s="1"/>
  <c r="B169" i="32"/>
  <c r="K168" i="32"/>
  <c r="AN167" i="32" a="1"/>
  <c r="AN167" i="32" s="1"/>
  <c r="AB167" i="32"/>
  <c r="K167" i="32"/>
  <c r="B167" i="32"/>
  <c r="AB166" i="32"/>
  <c r="K166" i="32"/>
  <c r="AN166" i="32" s="1" a="1"/>
  <c r="AN166" i="32" s="1"/>
  <c r="B166" i="32"/>
  <c r="AN165" i="32"/>
  <c r="AB165" i="32"/>
  <c r="K165" i="32"/>
  <c r="AN165" i="32" s="1" a="1"/>
  <c r="B165" i="32"/>
  <c r="AN164" i="32"/>
  <c r="K164" i="32"/>
  <c r="AN164" i="32" s="1" a="1"/>
  <c r="AN163" i="32" a="1"/>
  <c r="AN163" i="32" s="1"/>
  <c r="AB163" i="32"/>
  <c r="K163" i="32"/>
  <c r="B163" i="32"/>
  <c r="AB162" i="32"/>
  <c r="K162" i="32"/>
  <c r="AN162" i="32" s="1" a="1"/>
  <c r="AN162" i="32" s="1"/>
  <c r="B162" i="32"/>
  <c r="AB161" i="32"/>
  <c r="K161" i="32"/>
  <c r="AN161" i="32" s="1" a="1"/>
  <c r="AN161" i="32" s="1"/>
  <c r="B161" i="32"/>
  <c r="K160" i="32"/>
  <c r="AN159" i="32" a="1"/>
  <c r="AN159" i="32" s="1"/>
  <c r="AB159" i="32"/>
  <c r="K159" i="32"/>
  <c r="B159" i="32"/>
  <c r="AB158" i="32"/>
  <c r="K158" i="32"/>
  <c r="AN158" i="32" s="1" a="1"/>
  <c r="AN158" i="32" s="1"/>
  <c r="B158" i="32"/>
  <c r="AN157" i="32"/>
  <c r="AB157" i="32"/>
  <c r="K157" i="32"/>
  <c r="AN157" i="32" s="1" a="1"/>
  <c r="B157" i="32"/>
  <c r="AN156" i="32"/>
  <c r="K156" i="32"/>
  <c r="AN156" i="32" s="1" a="1"/>
  <c r="AN155" i="32" a="1"/>
  <c r="AN155" i="32" s="1"/>
  <c r="AB155" i="32"/>
  <c r="K155" i="32"/>
  <c r="B155" i="32"/>
  <c r="AB154" i="32"/>
  <c r="K154" i="32"/>
  <c r="AN154" i="32" s="1" a="1"/>
  <c r="AN154" i="32" s="1"/>
  <c r="B154" i="32"/>
  <c r="AB153" i="32"/>
  <c r="K153" i="32"/>
  <c r="AN153" i="32" s="1" a="1"/>
  <c r="AN153" i="32" s="1"/>
  <c r="B153" i="32"/>
  <c r="K152" i="32"/>
  <c r="AN151" i="32" a="1"/>
  <c r="AN151" i="32" s="1"/>
  <c r="AB151" i="32"/>
  <c r="K151" i="32"/>
  <c r="B151" i="32"/>
  <c r="AB150" i="32"/>
  <c r="K150" i="32"/>
  <c r="AN150" i="32" s="1" a="1"/>
  <c r="AN150" i="32" s="1"/>
  <c r="B150" i="32"/>
  <c r="AN149" i="32"/>
  <c r="AB149" i="32"/>
  <c r="K149" i="32"/>
  <c r="AN149" i="32" s="1" a="1"/>
  <c r="B149" i="32"/>
  <c r="K148" i="32"/>
  <c r="AN148" i="32" s="1" a="1"/>
  <c r="AN148" i="32" s="1"/>
  <c r="AN147" i="32" a="1"/>
  <c r="AN147" i="32" s="1"/>
  <c r="AB147" i="32"/>
  <c r="K147" i="32"/>
  <c r="B147" i="32"/>
  <c r="AB146" i="32"/>
  <c r="K146" i="32"/>
  <c r="AN146" i="32" s="1" a="1"/>
  <c r="AN146" i="32" s="1"/>
  <c r="B146" i="32"/>
  <c r="AB145" i="32"/>
  <c r="K145" i="32"/>
  <c r="AN145" i="32" s="1" a="1"/>
  <c r="AN145" i="32" s="1"/>
  <c r="B145" i="32"/>
  <c r="K144" i="32"/>
  <c r="AN143" i="32" a="1"/>
  <c r="AN143" i="32" s="1"/>
  <c r="AB143" i="32"/>
  <c r="K143" i="32"/>
  <c r="B143" i="32"/>
  <c r="AB142" i="32"/>
  <c r="K142" i="32"/>
  <c r="AN142" i="32" s="1" a="1"/>
  <c r="AN142" i="32" s="1"/>
  <c r="B142" i="32"/>
  <c r="AN141" i="32"/>
  <c r="AB141" i="32"/>
  <c r="K141" i="32"/>
  <c r="AN141" i="32" s="1" a="1"/>
  <c r="B141" i="32"/>
  <c r="K140" i="32"/>
  <c r="AN140" i="32" s="1" a="1"/>
  <c r="AN140" i="32" s="1"/>
  <c r="AN139" i="32" a="1"/>
  <c r="AN139" i="32" s="1"/>
  <c r="AB139" i="32"/>
  <c r="K139" i="32"/>
  <c r="B139" i="32"/>
  <c r="AB138" i="32"/>
  <c r="K138" i="32"/>
  <c r="AN138" i="32" s="1" a="1"/>
  <c r="AN138" i="32" s="1"/>
  <c r="B138" i="32"/>
  <c r="AP137" i="32"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B137" i="32"/>
  <c r="K137" i="32"/>
  <c r="AN137" i="32" s="1" a="1"/>
  <c r="AN137" i="32" s="1"/>
  <c r="B137" i="32"/>
  <c r="K136" i="32" a="1"/>
  <c r="K136" i="32" s="1"/>
  <c r="AP135" i="32" a="1"/>
  <c r="AP135" i="32"/>
  <c r="AP136" i="32" s="1" a="1"/>
  <c r="AP136" i="32" s="1"/>
  <c r="G135" i="32" a="1"/>
  <c r="G135" i="32"/>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T134" i="32"/>
  <c r="F134" i="32" a="1"/>
  <c r="F134" i="32"/>
  <c r="F135" i="32" s="1" a="1"/>
  <c r="F135" i="32" s="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G133" i="32"/>
  <c r="K132" i="32"/>
  <c r="AB131" i="32"/>
  <c r="K131" i="32"/>
  <c r="AN131" i="32" s="1" a="1"/>
  <c r="AN131" i="32" s="1"/>
  <c r="B131" i="32"/>
  <c r="K130" i="32"/>
  <c r="AN129" i="32" a="1"/>
  <c r="AN129" i="32" s="1"/>
  <c r="AB129" i="32"/>
  <c r="K129" i="32"/>
  <c r="B129" i="32"/>
  <c r="K128" i="32"/>
  <c r="AN127" i="32" a="1"/>
  <c r="AN127" i="32" s="1"/>
  <c r="AB127" i="32"/>
  <c r="K127" i="32"/>
  <c r="B127" i="32"/>
  <c r="K126" i="32"/>
  <c r="AN125" i="32" a="1"/>
  <c r="AN125" i="32" s="1"/>
  <c r="AB125" i="32"/>
  <c r="K125" i="32"/>
  <c r="B125" i="32"/>
  <c r="K124" i="32"/>
  <c r="AN123" i="32" a="1"/>
  <c r="AN123" i="32" s="1"/>
  <c r="AB123" i="32"/>
  <c r="K123" i="32"/>
  <c r="B123" i="32"/>
  <c r="K122" i="32"/>
  <c r="AN121" i="32" a="1"/>
  <c r="AN121" i="32" s="1"/>
  <c r="AB121" i="32"/>
  <c r="K121" i="32"/>
  <c r="B121" i="32"/>
  <c r="K120" i="32"/>
  <c r="AN119" i="32" a="1"/>
  <c r="AN119" i="32" s="1"/>
  <c r="AB119" i="32"/>
  <c r="K119" i="32"/>
  <c r="B119" i="32"/>
  <c r="K118" i="32"/>
  <c r="B118" i="32"/>
  <c r="K117" i="32"/>
  <c r="AB117" i="32" s="1"/>
  <c r="B117" i="32"/>
  <c r="K116" i="32"/>
  <c r="AN115" i="32" a="1"/>
  <c r="AN115" i="32" s="1"/>
  <c r="AB115" i="32"/>
  <c r="K115" i="32"/>
  <c r="B115" i="32"/>
  <c r="AB114" i="32"/>
  <c r="K114" i="32"/>
  <c r="AN114" i="32" s="1" a="1"/>
  <c r="AN114" i="32" s="1"/>
  <c r="AN113" i="32" a="1"/>
  <c r="AN113" i="32" s="1"/>
  <c r="AB113" i="32"/>
  <c r="K113" i="32"/>
  <c r="B113" i="32"/>
  <c r="AB112" i="32"/>
  <c r="K112" i="32"/>
  <c r="AN112" i="32" s="1" a="1"/>
  <c r="AN112" i="32" s="1"/>
  <c r="B112" i="32"/>
  <c r="K111" i="32"/>
  <c r="AN110" i="32" a="1"/>
  <c r="AN110" i="32" s="1"/>
  <c r="K110" i="32"/>
  <c r="AB110" i="32" s="1"/>
  <c r="AN109" i="32" a="1"/>
  <c r="AN109" i="32" s="1"/>
  <c r="AB109" i="32"/>
  <c r="K109" i="32"/>
  <c r="B109" i="32"/>
  <c r="AB108" i="32"/>
  <c r="K108" i="32"/>
  <c r="AN108" i="32" s="1" a="1"/>
  <c r="AN108" i="32" s="1"/>
  <c r="B108" i="32"/>
  <c r="K107" i="32"/>
  <c r="AN106" i="32" a="1"/>
  <c r="AN106" i="32" s="1"/>
  <c r="K106" i="32"/>
  <c r="AB106" i="32" s="1"/>
  <c r="AN105" i="32" a="1"/>
  <c r="AN105" i="32" s="1"/>
  <c r="AB105" i="32"/>
  <c r="K105" i="32"/>
  <c r="G105" i="32"/>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105" i="32"/>
  <c r="AB104" i="32"/>
  <c r="K104" i="32"/>
  <c r="AN104" i="32" s="1" a="1"/>
  <c r="AN104" i="32" s="1"/>
  <c r="B104" i="32"/>
  <c r="K103" i="32"/>
  <c r="AN102" i="32" a="1"/>
  <c r="AN102" i="32" s="1"/>
  <c r="K102" i="32"/>
  <c r="AB102" i="32" s="1"/>
  <c r="AN101" i="32" a="1"/>
  <c r="AN101" i="32" s="1"/>
  <c r="AB101" i="32"/>
  <c r="K101" i="32"/>
  <c r="B101" i="32"/>
  <c r="AB100" i="32"/>
  <c r="K100" i="32"/>
  <c r="AN100" i="32" s="1" a="1"/>
  <c r="AN100" i="32" s="1"/>
  <c r="B100" i="32"/>
  <c r="K99" i="32"/>
  <c r="AN98" i="32" a="1"/>
  <c r="AN98" i="32" s="1"/>
  <c r="K98" i="32"/>
  <c r="AB98" i="32" s="1"/>
  <c r="AN97" i="32" a="1"/>
  <c r="AN97" i="32" s="1"/>
  <c r="AB97" i="32"/>
  <c r="K97" i="32"/>
  <c r="B97" i="32"/>
  <c r="AB96" i="32"/>
  <c r="K96" i="32"/>
  <c r="AN96" i="32" s="1" a="1"/>
  <c r="AN96" i="32" s="1"/>
  <c r="B96" i="32"/>
  <c r="K95" i="32"/>
  <c r="AN94" i="32" a="1"/>
  <c r="AN94" i="32" s="1"/>
  <c r="K94" i="32"/>
  <c r="AB94" i="32" s="1"/>
  <c r="AN93" i="32" a="1"/>
  <c r="AN93" i="32" s="1"/>
  <c r="AB93" i="32"/>
  <c r="K93" i="32"/>
  <c r="B93" i="32"/>
  <c r="AB92" i="32"/>
  <c r="K92" i="32"/>
  <c r="AN92" i="32" s="1" a="1"/>
  <c r="AN92" i="32" s="1"/>
  <c r="B92" i="32"/>
  <c r="K91" i="32"/>
  <c r="AN90" i="32" a="1"/>
  <c r="AN90" i="32" s="1"/>
  <c r="K90" i="32"/>
  <c r="AB90" i="32" s="1"/>
  <c r="AN89" i="32" a="1"/>
  <c r="AN89" i="32" s="1"/>
  <c r="AB89" i="32"/>
  <c r="K89" i="32"/>
  <c r="G89" i="32"/>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B89" i="32"/>
  <c r="AB88" i="32"/>
  <c r="K88" i="32"/>
  <c r="AN88" i="32" s="1" a="1"/>
  <c r="AN88" i="32" s="1"/>
  <c r="B88" i="32"/>
  <c r="K87" i="32"/>
  <c r="AN86" i="32" a="1"/>
  <c r="AN86" i="32" s="1"/>
  <c r="K86" i="32"/>
  <c r="AB86" i="32" s="1"/>
  <c r="AN85" i="32" a="1"/>
  <c r="AN85" i="32" s="1"/>
  <c r="AB85" i="32"/>
  <c r="K85" i="32"/>
  <c r="B85" i="32"/>
  <c r="AB84" i="32"/>
  <c r="K84" i="32"/>
  <c r="AN84" i="32" s="1" a="1"/>
  <c r="AN84" i="32" s="1"/>
  <c r="G84" i="32" a="1"/>
  <c r="G84" i="32" s="1"/>
  <c r="G85" i="32" s="1" a="1"/>
  <c r="G85" i="32" s="1"/>
  <c r="G86" i="32" s="1" a="1"/>
  <c r="G86" i="32" s="1"/>
  <c r="G87" i="32" s="1" a="1"/>
  <c r="G87" i="32" s="1"/>
  <c r="G88" i="32" s="1" a="1"/>
  <c r="G88" i="32" s="1"/>
  <c r="G89" i="32" s="1" a="1"/>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G83" i="32" s="1"/>
  <c r="T81" i="32"/>
  <c r="F81" i="32" a="1"/>
  <c r="F81" i="32"/>
  <c r="F82" i="32" s="1"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G80" i="32"/>
  <c r="K79" i="32"/>
  <c r="AN78" i="32" a="1"/>
  <c r="AN78" i="32" s="1"/>
  <c r="K78" i="32"/>
  <c r="AB78" i="32" s="1"/>
  <c r="AN77" i="32" a="1"/>
  <c r="AN77" i="32" s="1"/>
  <c r="AB77" i="32"/>
  <c r="K77" i="32"/>
  <c r="B77" i="32"/>
  <c r="AB76" i="32"/>
  <c r="K76" i="32"/>
  <c r="AN76" i="32" s="1" a="1"/>
  <c r="AN76" i="32" s="1"/>
  <c r="B76" i="32"/>
  <c r="K75" i="32"/>
  <c r="AN74" i="32" a="1"/>
  <c r="AN74" i="32" s="1"/>
  <c r="K74" i="32"/>
  <c r="AB74" i="32" s="1"/>
  <c r="AN73" i="32" a="1"/>
  <c r="AN73" i="32" s="1"/>
  <c r="AB73" i="32"/>
  <c r="K73" i="32"/>
  <c r="B73" i="32"/>
  <c r="AB72" i="32"/>
  <c r="K72" i="32"/>
  <c r="AN72" i="32" s="1" a="1"/>
  <c r="AN72" i="32" s="1"/>
  <c r="B72" i="32"/>
  <c r="K71" i="32"/>
  <c r="AN70" i="32" a="1"/>
  <c r="AN70" i="32" s="1"/>
  <c r="K70" i="32"/>
  <c r="AB70" i="32" s="1"/>
  <c r="AN69" i="32" a="1"/>
  <c r="AN69" i="32" s="1"/>
  <c r="AB69" i="32"/>
  <c r="K69" i="32"/>
  <c r="B69" i="32"/>
  <c r="AB68" i="32"/>
  <c r="K68" i="32"/>
  <c r="AN68" i="32" s="1" a="1"/>
  <c r="AN68" i="32" s="1"/>
  <c r="B68" i="32"/>
  <c r="K67" i="32"/>
  <c r="AN66" i="32" a="1"/>
  <c r="AN66" i="32" s="1"/>
  <c r="K66" i="32"/>
  <c r="AB66" i="32" s="1"/>
  <c r="AN65" i="32" a="1"/>
  <c r="AN65" i="32" s="1"/>
  <c r="AB65" i="32"/>
  <c r="K65" i="32"/>
  <c r="B65" i="32"/>
  <c r="AB64" i="32"/>
  <c r="K64" i="32"/>
  <c r="AN64" i="32" s="1" a="1"/>
  <c r="AN64" i="32" s="1"/>
  <c r="B64" i="32"/>
  <c r="K63" i="32"/>
  <c r="AN62" i="32" a="1"/>
  <c r="AN62" i="32" s="1"/>
  <c r="K62" i="32"/>
  <c r="AB62" i="32" s="1"/>
  <c r="AN61" i="32" a="1"/>
  <c r="AN61" i="32" s="1"/>
  <c r="AB61" i="32"/>
  <c r="K61" i="32"/>
  <c r="B61" i="32"/>
  <c r="AB60" i="32"/>
  <c r="K60" i="32"/>
  <c r="AN60" i="32" s="1" a="1"/>
  <c r="AN60" i="32" s="1"/>
  <c r="B60" i="32"/>
  <c r="K59" i="32"/>
  <c r="AN58" i="32" a="1"/>
  <c r="AN58" i="32" s="1"/>
  <c r="K58" i="32"/>
  <c r="AB58" i="32" s="1"/>
  <c r="AN57" i="32" a="1"/>
  <c r="AN57" i="32" s="1"/>
  <c r="AB57" i="32"/>
  <c r="K57" i="32"/>
  <c r="B57" i="32"/>
  <c r="AB56" i="32"/>
  <c r="K56" i="32"/>
  <c r="AN56" i="32" s="1" a="1"/>
  <c r="AN56" i="32" s="1"/>
  <c r="B56" i="32"/>
  <c r="K55" i="32"/>
  <c r="AN54" i="32" a="1"/>
  <c r="AN54" i="32" s="1"/>
  <c r="K54" i="32"/>
  <c r="AB54" i="32" s="1"/>
  <c r="AN53" i="32" a="1"/>
  <c r="AN53" i="32" s="1"/>
  <c r="AB53" i="32"/>
  <c r="K53" i="32"/>
  <c r="B53" i="32"/>
  <c r="AB52" i="32"/>
  <c r="K52" i="32"/>
  <c r="AN52" i="32" s="1" a="1"/>
  <c r="AN52" i="32" s="1"/>
  <c r="B52" i="32"/>
  <c r="K51" i="32"/>
  <c r="AN50" i="32" a="1"/>
  <c r="AN50" i="32" s="1"/>
  <c r="K50" i="32"/>
  <c r="AB50" i="32" s="1"/>
  <c r="AN49" i="32" a="1"/>
  <c r="AN49" i="32" s="1"/>
  <c r="AB49" i="32"/>
  <c r="K49" i="32"/>
  <c r="B49" i="32"/>
  <c r="AB48" i="32"/>
  <c r="K48" i="32"/>
  <c r="AN48" i="32" s="1" a="1"/>
  <c r="AN48" i="32" s="1"/>
  <c r="B48" i="32"/>
  <c r="K47" i="32"/>
  <c r="AN46" i="32" a="1"/>
  <c r="AN46" i="32" s="1"/>
  <c r="K46" i="32"/>
  <c r="AB46" i="32" s="1"/>
  <c r="AN45" i="32" a="1"/>
  <c r="AN45" i="32" s="1"/>
  <c r="AB45" i="32"/>
  <c r="K45" i="32"/>
  <c r="B45" i="32"/>
  <c r="AB44" i="32"/>
  <c r="K44" i="32"/>
  <c r="AN44" i="32" s="1" a="1"/>
  <c r="AN44" i="32" s="1"/>
  <c r="B44" i="32"/>
  <c r="K43" i="32"/>
  <c r="AN42" i="32" a="1"/>
  <c r="AN42" i="32" s="1"/>
  <c r="K42" i="32"/>
  <c r="AB42" i="32" s="1"/>
  <c r="AN41" i="32" a="1"/>
  <c r="AN41" i="32" s="1"/>
  <c r="AB41" i="32"/>
  <c r="K41" i="32"/>
  <c r="B41" i="32"/>
  <c r="AB40" i="32"/>
  <c r="K40" i="32"/>
  <c r="AN40" i="32" s="1" a="1"/>
  <c r="AN40" i="32" s="1"/>
  <c r="B40" i="32"/>
  <c r="K39" i="32"/>
  <c r="AN38" i="32" a="1"/>
  <c r="AN38" i="32" s="1"/>
  <c r="K38" i="32"/>
  <c r="AB38" i="32" s="1"/>
  <c r="AN37" i="32" a="1"/>
  <c r="AN37" i="32" s="1"/>
  <c r="AB37" i="32"/>
  <c r="K37" i="32"/>
  <c r="B37" i="32"/>
  <c r="AB36" i="32"/>
  <c r="K36" i="32"/>
  <c r="AN36" i="32" s="1" a="1"/>
  <c r="AN36" i="32" s="1"/>
  <c r="B36" i="32"/>
  <c r="K35" i="32"/>
  <c r="AN34" i="32" a="1"/>
  <c r="AN34" i="32" s="1"/>
  <c r="K34" i="32"/>
  <c r="AB34" i="32" s="1"/>
  <c r="AN33" i="32" a="1"/>
  <c r="AN33" i="32" s="1"/>
  <c r="AB33" i="32"/>
  <c r="K33" i="32"/>
  <c r="B33" i="32"/>
  <c r="AB32" i="32"/>
  <c r="K32" i="32"/>
  <c r="AN32" i="32" s="1" a="1"/>
  <c r="AN32" i="32" s="1"/>
  <c r="B32" i="32"/>
  <c r="K31" i="32"/>
  <c r="AN30" i="32" a="1"/>
  <c r="AN30" i="32" s="1"/>
  <c r="K30" i="32" a="1"/>
  <c r="K30" i="32" s="1"/>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F29" i="32" a="1"/>
  <c r="F29" i="32" s="1"/>
  <c r="T28" i="32"/>
  <c r="F28" i="32" a="1"/>
  <c r="F28" i="32"/>
  <c r="AK2" i="32"/>
  <c r="AJ2" i="32"/>
  <c r="AI2" i="32"/>
  <c r="AH2" i="32"/>
  <c r="AG2" i="32"/>
  <c r="T237" i="31"/>
  <c r="AO233" i="31" a="1"/>
  <c r="AO233" i="31" s="1"/>
  <c r="K233" i="31"/>
  <c r="AB233" i="31" s="1"/>
  <c r="B233" i="31"/>
  <c r="AO232" i="31" a="1"/>
  <c r="AO232" i="31" s="1"/>
  <c r="AB232" i="31"/>
  <c r="K232" i="31"/>
  <c r="B232" i="31"/>
  <c r="AB231" i="31"/>
  <c r="K231" i="31"/>
  <c r="AO231" i="31" s="1" a="1"/>
  <c r="AO231" i="31" s="1"/>
  <c r="K230" i="31"/>
  <c r="AO229" i="31" a="1"/>
  <c r="AO229" i="31" s="1"/>
  <c r="K229" i="31"/>
  <c r="AB229" i="31" s="1"/>
  <c r="B229" i="31"/>
  <c r="AO228" i="31" a="1"/>
  <c r="AO228" i="31" s="1"/>
  <c r="AB228" i="31"/>
  <c r="K228" i="31"/>
  <c r="B228" i="31"/>
  <c r="AB227" i="31"/>
  <c r="K227" i="31"/>
  <c r="AO227" i="31" s="1" a="1"/>
  <c r="AO227" i="31" s="1"/>
  <c r="K226" i="31"/>
  <c r="AO225" i="31" a="1"/>
  <c r="AO225" i="31" s="1"/>
  <c r="K225" i="31"/>
  <c r="AB225" i="31" s="1"/>
  <c r="B225" i="31"/>
  <c r="AO224" i="31" a="1"/>
  <c r="AO224" i="31" s="1"/>
  <c r="AB224" i="31"/>
  <c r="K224" i="31"/>
  <c r="B224" i="31"/>
  <c r="AB223" i="31"/>
  <c r="K223" i="31"/>
  <c r="AO223" i="31" s="1" a="1"/>
  <c r="AO223" i="31" s="1"/>
  <c r="K222" i="31"/>
  <c r="AO221" i="31" a="1"/>
  <c r="AO221" i="31" s="1"/>
  <c r="K221" i="31"/>
  <c r="AB221" i="31" s="1"/>
  <c r="B221" i="31"/>
  <c r="AO220" i="31" a="1"/>
  <c r="AO220" i="31" s="1"/>
  <c r="AB220" i="31"/>
  <c r="K220" i="31"/>
  <c r="B220" i="31"/>
  <c r="AB219" i="31"/>
  <c r="K219" i="31"/>
  <c r="AO219" i="31" s="1" a="1"/>
  <c r="AO219" i="31" s="1"/>
  <c r="K218" i="31"/>
  <c r="AO217" i="31" a="1"/>
  <c r="AO217" i="31" s="1"/>
  <c r="K217" i="31"/>
  <c r="AB217" i="31" s="1"/>
  <c r="B217" i="31"/>
  <c r="AO216" i="31" a="1"/>
  <c r="AO216" i="31" s="1"/>
  <c r="AB216" i="31"/>
  <c r="K216" i="31"/>
  <c r="B216" i="31"/>
  <c r="AB215" i="31"/>
  <c r="K215" i="31"/>
  <c r="AO215" i="31" s="1" a="1"/>
  <c r="AO215" i="31" s="1"/>
  <c r="K214" i="31"/>
  <c r="AO213" i="31" a="1"/>
  <c r="AO213" i="31" s="1"/>
  <c r="K213" i="31"/>
  <c r="AB213" i="31" s="1"/>
  <c r="B213" i="31"/>
  <c r="AO212" i="31" a="1"/>
  <c r="AO212" i="31" s="1"/>
  <c r="AB212" i="31"/>
  <c r="K212" i="31"/>
  <c r="B212" i="31"/>
  <c r="AB211" i="31"/>
  <c r="K211" i="31"/>
  <c r="AO211" i="31" s="1" a="1"/>
  <c r="AO211" i="31" s="1"/>
  <c r="K210" i="31"/>
  <c r="AO209" i="31" a="1"/>
  <c r="AO209" i="31" s="1"/>
  <c r="K209" i="31"/>
  <c r="AB209" i="31" s="1"/>
  <c r="B209" i="31"/>
  <c r="AO208" i="31" a="1"/>
  <c r="AO208" i="31" s="1"/>
  <c r="AB208" i="31"/>
  <c r="K208" i="31"/>
  <c r="B208" i="31"/>
  <c r="AB207" i="31"/>
  <c r="K207" i="31"/>
  <c r="AO207" i="31" s="1" a="1"/>
  <c r="AO207" i="31" s="1"/>
  <c r="K206" i="31"/>
  <c r="AO205" i="31" a="1"/>
  <c r="AO205" i="31" s="1"/>
  <c r="K205" i="31"/>
  <c r="AB205" i="31" s="1"/>
  <c r="B205" i="31"/>
  <c r="AO204" i="31" a="1"/>
  <c r="AO204" i="31" s="1"/>
  <c r="AB204" i="31"/>
  <c r="K204" i="31"/>
  <c r="B204" i="31"/>
  <c r="AB203" i="31"/>
  <c r="K203" i="31"/>
  <c r="AO203" i="31" s="1" a="1"/>
  <c r="AO203" i="31" s="1"/>
  <c r="AB202" i="31"/>
  <c r="K202" i="31"/>
  <c r="AO201" i="31" a="1"/>
  <c r="AO201" i="31"/>
  <c r="K201" i="31"/>
  <c r="AB201" i="31" s="1"/>
  <c r="B201" i="31"/>
  <c r="AO200" i="31" a="1"/>
  <c r="AO200" i="31" s="1"/>
  <c r="AB200" i="31"/>
  <c r="K200" i="31"/>
  <c r="B200" i="31"/>
  <c r="AB199" i="31"/>
  <c r="K199" i="31"/>
  <c r="AO199" i="31" s="1" a="1"/>
  <c r="AO199" i="31" s="1"/>
  <c r="K198" i="31"/>
  <c r="AO197" i="31" a="1"/>
  <c r="AO197" i="31" s="1"/>
  <c r="K197" i="31"/>
  <c r="AB197" i="31" s="1"/>
  <c r="B197" i="31"/>
  <c r="AO196" i="31" a="1"/>
  <c r="AO196" i="31" s="1"/>
  <c r="AB196" i="31"/>
  <c r="K196" i="31"/>
  <c r="B196" i="31"/>
  <c r="AB195" i="31"/>
  <c r="K195" i="31"/>
  <c r="AO195" i="31" s="1" a="1"/>
  <c r="AO195" i="31" s="1"/>
  <c r="K194" i="31"/>
  <c r="AO193" i="31" a="1"/>
  <c r="AO193" i="31"/>
  <c r="AB193" i="31"/>
  <c r="K193" i="31"/>
  <c r="B193" i="31"/>
  <c r="K192" i="31"/>
  <c r="AO191" i="31" a="1"/>
  <c r="AO191" i="31"/>
  <c r="AB191" i="31"/>
  <c r="K191" i="31"/>
  <c r="B191" i="31"/>
  <c r="K190" i="31"/>
  <c r="AO189" i="31" a="1"/>
  <c r="AO189" i="31"/>
  <c r="AB189" i="31"/>
  <c r="K189" i="31"/>
  <c r="B189" i="31"/>
  <c r="AO188" i="31"/>
  <c r="AB188" i="31"/>
  <c r="K188" i="31"/>
  <c r="AO188" i="31" s="1" a="1"/>
  <c r="B188" i="31"/>
  <c r="AB187" i="31"/>
  <c r="K187" i="31"/>
  <c r="AO187" i="31" s="1" a="1"/>
  <c r="AO187" i="31" s="1"/>
  <c r="B187" i="31"/>
  <c r="AO186" i="31"/>
  <c r="AB186" i="31"/>
  <c r="K186" i="31"/>
  <c r="AO186" i="31" s="1" a="1"/>
  <c r="B186" i="31"/>
  <c r="AB185" i="31"/>
  <c r="K185" i="31"/>
  <c r="AO185" i="31" s="1" a="1"/>
  <c r="AO185" i="31" s="1"/>
  <c r="B185" i="31"/>
  <c r="AB184" i="31"/>
  <c r="K184" i="31" a="1"/>
  <c r="K184" i="31"/>
  <c r="F184" i="31" a="1"/>
  <c r="F184" i="31" s="1"/>
  <c r="F185" i="31" s="1" a="1"/>
  <c r="F185" i="31" s="1"/>
  <c r="B184" i="31"/>
  <c r="T183" i="31"/>
  <c r="T184" i="31" s="1" a="1"/>
  <c r="T184" i="31" s="1"/>
  <c r="T185" i="31" s="1" a="1"/>
  <c r="T185" i="31" s="1"/>
  <c r="T186" i="31" s="1" a="1"/>
  <c r="T186" i="31" s="1"/>
  <c r="T187" i="31" s="1" a="1"/>
  <c r="T187" i="31" s="1"/>
  <c r="T188" i="31" s="1" a="1"/>
  <c r="T188" i="31" s="1"/>
  <c r="T189" i="31" s="1" a="1"/>
  <c r="T189" i="31" s="1"/>
  <c r="T190" i="31" s="1" a="1"/>
  <c r="T190" i="31" s="1"/>
  <c r="T191" i="31" s="1" a="1"/>
  <c r="T191" i="31" s="1"/>
  <c r="T192" i="31" s="1" a="1"/>
  <c r="T192" i="31" s="1"/>
  <c r="T193" i="31" s="1" a="1"/>
  <c r="T193" i="31" s="1"/>
  <c r="T194" i="31" s="1" a="1"/>
  <c r="T194" i="31" s="1"/>
  <c r="T195" i="31" s="1" a="1"/>
  <c r="T195" i="31" s="1"/>
  <c r="T196" i="31" s="1" a="1"/>
  <c r="T196" i="31" s="1"/>
  <c r="T197" i="31" s="1" a="1"/>
  <c r="T197" i="31" s="1"/>
  <c r="T198" i="31" s="1" a="1"/>
  <c r="T198" i="31" s="1"/>
  <c r="T199" i="31" s="1" a="1"/>
  <c r="T199" i="31" s="1"/>
  <c r="T200" i="31" s="1" a="1"/>
  <c r="T200" i="31" s="1"/>
  <c r="T201" i="31" s="1" a="1"/>
  <c r="T201" i="31" s="1"/>
  <c r="T202" i="31" s="1" a="1"/>
  <c r="T202" i="31" s="1"/>
  <c r="T203" i="31" s="1" a="1"/>
  <c r="T203" i="31" s="1"/>
  <c r="T204" i="31" s="1" a="1"/>
  <c r="T204" i="31" s="1"/>
  <c r="T205" i="31" s="1" a="1"/>
  <c r="T205" i="31" s="1"/>
  <c r="T206" i="31" s="1" a="1"/>
  <c r="T206" i="31" s="1"/>
  <c r="T207" i="31" s="1" a="1"/>
  <c r="T207" i="31" s="1"/>
  <c r="T208" i="31" s="1" a="1"/>
  <c r="T208" i="31" s="1"/>
  <c r="T209" i="31" s="1" a="1"/>
  <c r="T209" i="31" s="1"/>
  <c r="T210" i="31" s="1" a="1"/>
  <c r="T210" i="31" s="1"/>
  <c r="T211" i="31" s="1" a="1"/>
  <c r="T211" i="31" s="1"/>
  <c r="T212" i="31" s="1" a="1"/>
  <c r="T212" i="31" s="1"/>
  <c r="T213" i="31" s="1" a="1"/>
  <c r="T213" i="31" s="1"/>
  <c r="T214" i="31" s="1" a="1"/>
  <c r="T214" i="31" s="1"/>
  <c r="T215" i="31" s="1" a="1"/>
  <c r="T215" i="31" s="1"/>
  <c r="T216" i="31" s="1" a="1"/>
  <c r="T216" i="31" s="1"/>
  <c r="T217" i="31" s="1" a="1"/>
  <c r="T217" i="31" s="1"/>
  <c r="T218" i="31" s="1" a="1"/>
  <c r="T218" i="31" s="1"/>
  <c r="T219" i="31" s="1" a="1"/>
  <c r="T219" i="31" s="1"/>
  <c r="T220" i="31" s="1" a="1"/>
  <c r="T220" i="31" s="1"/>
  <c r="T221" i="31" s="1" a="1"/>
  <c r="T221" i="31" s="1"/>
  <c r="T222" i="31" s="1" a="1"/>
  <c r="T222" i="31" s="1"/>
  <c r="T223" i="31" s="1" a="1"/>
  <c r="T223" i="31" s="1"/>
  <c r="T224" i="31" s="1" a="1"/>
  <c r="T224" i="31" s="1"/>
  <c r="T225" i="31" s="1" a="1"/>
  <c r="T225" i="31" s="1"/>
  <c r="T226" i="31" s="1" a="1"/>
  <c r="T226" i="31" s="1"/>
  <c r="T227" i="31" s="1" a="1"/>
  <c r="T227" i="31" s="1"/>
  <c r="T228" i="31" s="1" a="1"/>
  <c r="T228" i="31" s="1"/>
  <c r="T229" i="31" s="1" a="1"/>
  <c r="T229" i="31" s="1"/>
  <c r="T230" i="31" s="1" a="1"/>
  <c r="T230" i="31" s="1"/>
  <c r="T231" i="31" s="1" a="1"/>
  <c r="T231" i="31" s="1"/>
  <c r="T232" i="31" s="1" a="1"/>
  <c r="T232" i="31" s="1"/>
  <c r="T233" i="31" s="1" a="1"/>
  <c r="T233" i="31" s="1"/>
  <c r="F183" i="31" a="1"/>
  <c r="F183" i="31" s="1"/>
  <c r="AB182" i="31"/>
  <c r="K182" i="31"/>
  <c r="AO182" i="31" s="1" a="1"/>
  <c r="AO182" i="31" s="1"/>
  <c r="B182" i="31"/>
  <c r="K181" i="31"/>
  <c r="AB181" i="31" s="1"/>
  <c r="B181" i="31"/>
  <c r="AO180" i="31" a="1"/>
  <c r="AO180" i="31" s="1"/>
  <c r="AB180" i="31"/>
  <c r="K180" i="31"/>
  <c r="B180" i="31"/>
  <c r="K179" i="31"/>
  <c r="AB178" i="31"/>
  <c r="K178" i="31"/>
  <c r="AO178" i="31" s="1" a="1"/>
  <c r="AO178" i="31" s="1"/>
  <c r="B178" i="31"/>
  <c r="K177" i="31"/>
  <c r="AB177" i="31" s="1"/>
  <c r="B177" i="31"/>
  <c r="AO176" i="31" a="1"/>
  <c r="AO176" i="31" s="1"/>
  <c r="AB176" i="31"/>
  <c r="K176" i="31"/>
  <c r="B176" i="31"/>
  <c r="K175" i="31"/>
  <c r="AB174" i="31"/>
  <c r="K174" i="31"/>
  <c r="AO174" i="31" s="1" a="1"/>
  <c r="AO174" i="31" s="1"/>
  <c r="B174" i="31"/>
  <c r="K173" i="31"/>
  <c r="AB173" i="31" s="1"/>
  <c r="B173" i="31"/>
  <c r="AO172" i="31" a="1"/>
  <c r="AO172" i="31" s="1"/>
  <c r="AB172" i="31"/>
  <c r="K172" i="31"/>
  <c r="B172" i="31"/>
  <c r="K171" i="31"/>
  <c r="AB170" i="31"/>
  <c r="K170" i="31"/>
  <c r="AO170" i="31" s="1" a="1"/>
  <c r="AO170" i="31" s="1"/>
  <c r="B170" i="31"/>
  <c r="K169" i="31"/>
  <c r="AB169" i="31" s="1"/>
  <c r="B169" i="31"/>
  <c r="AO168" i="31" a="1"/>
  <c r="AO168" i="31" s="1"/>
  <c r="AB168" i="31"/>
  <c r="K168" i="31"/>
  <c r="B168" i="31"/>
  <c r="K167" i="31"/>
  <c r="AB166" i="31"/>
  <c r="K166" i="31"/>
  <c r="AO166" i="31" s="1" a="1"/>
  <c r="AO166" i="31" s="1"/>
  <c r="B166" i="31"/>
  <c r="K165" i="31"/>
  <c r="AB165" i="31" s="1"/>
  <c r="B165" i="31"/>
  <c r="AO164" i="31" a="1"/>
  <c r="AO164" i="31" s="1"/>
  <c r="AB164" i="31"/>
  <c r="K164" i="31"/>
  <c r="B164" i="31"/>
  <c r="K163" i="31"/>
  <c r="AB162" i="31"/>
  <c r="K162" i="31"/>
  <c r="AO162" i="31" s="1" a="1"/>
  <c r="AO162" i="31" s="1"/>
  <c r="B162" i="31"/>
  <c r="K161" i="31"/>
  <c r="AB161" i="31" s="1"/>
  <c r="B161" i="31"/>
  <c r="AO160" i="31" a="1"/>
  <c r="AO160" i="31" s="1"/>
  <c r="AB160" i="31"/>
  <c r="K160" i="31"/>
  <c r="B160" i="31"/>
  <c r="K159" i="31"/>
  <c r="AB158" i="31"/>
  <c r="K158" i="31"/>
  <c r="AO158" i="31" s="1" a="1"/>
  <c r="AO158" i="31" s="1"/>
  <c r="B158" i="31"/>
  <c r="K157" i="31"/>
  <c r="AB157" i="31" s="1"/>
  <c r="B157" i="31"/>
  <c r="AO156" i="31" a="1"/>
  <c r="AO156" i="31" s="1"/>
  <c r="AB156" i="31"/>
  <c r="K156" i="31"/>
  <c r="B156" i="31"/>
  <c r="K155" i="31"/>
  <c r="AB154" i="31"/>
  <c r="K154" i="31"/>
  <c r="AO154" i="31" s="1" a="1"/>
  <c r="AO154" i="31" s="1"/>
  <c r="B154" i="31"/>
  <c r="K153" i="31"/>
  <c r="AB153" i="31" s="1"/>
  <c r="B153" i="31"/>
  <c r="AO152" i="31" a="1"/>
  <c r="AO152" i="31" s="1"/>
  <c r="AB152" i="31"/>
  <c r="K152" i="31"/>
  <c r="B152" i="31"/>
  <c r="K151" i="31"/>
  <c r="AB150" i="31"/>
  <c r="K150" i="31"/>
  <c r="AO150" i="31" s="1" a="1"/>
  <c r="AO150" i="31" s="1"/>
  <c r="B150" i="31"/>
  <c r="K149" i="31"/>
  <c r="AB149" i="31" s="1"/>
  <c r="B149" i="31"/>
  <c r="AO148" i="31" a="1"/>
  <c r="AO148" i="31" s="1"/>
  <c r="AB148" i="31"/>
  <c r="K148" i="31"/>
  <c r="B148" i="31"/>
  <c r="K147" i="31"/>
  <c r="AB146" i="31"/>
  <c r="K146" i="31"/>
  <c r="AO146" i="31" s="1" a="1"/>
  <c r="AO146" i="31" s="1"/>
  <c r="B146" i="31"/>
  <c r="K145" i="31"/>
  <c r="AB145" i="31" s="1"/>
  <c r="B145" i="31"/>
  <c r="AO144" i="31" a="1"/>
  <c r="AO144" i="31" s="1"/>
  <c r="AB144" i="31"/>
  <c r="K144" i="31"/>
  <c r="B144" i="31"/>
  <c r="K143" i="31"/>
  <c r="K142" i="31"/>
  <c r="B142" i="31"/>
  <c r="K141" i="31"/>
  <c r="K140" i="31"/>
  <c r="AB139" i="31"/>
  <c r="K139" i="31"/>
  <c r="AO139" i="31" s="1" a="1"/>
  <c r="AO139" i="31" s="1"/>
  <c r="K138" i="31"/>
  <c r="AO137" i="31" a="1"/>
  <c r="AO137" i="31" s="1"/>
  <c r="K137" i="31"/>
  <c r="AB137" i="31" s="1"/>
  <c r="B137" i="31"/>
  <c r="AO136" i="31" a="1"/>
  <c r="AO136" i="31" s="1"/>
  <c r="K136" i="31"/>
  <c r="AB136" i="31" s="1"/>
  <c r="B136" i="31"/>
  <c r="K135" i="31"/>
  <c r="AB135" i="31" s="1"/>
  <c r="K134" i="31"/>
  <c r="T133" i="3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3" i="31" a="1"/>
  <c r="K133" i="31"/>
  <c r="F133" i="31" a="1"/>
  <c r="F133" i="31" s="1"/>
  <c r="F134" i="31" s="1" a="1"/>
  <c r="F134" i="31" s="1"/>
  <c r="F135" i="31" s="1" a="1"/>
  <c r="F135" i="31" s="1"/>
  <c r="T132" i="31"/>
  <c r="F132" i="31" a="1"/>
  <c r="F132" i="31"/>
  <c r="K131" i="31"/>
  <c r="AB130" i="31"/>
  <c r="K130" i="31"/>
  <c r="AO130" i="31" s="1" a="1"/>
  <c r="AO130" i="31" s="1"/>
  <c r="B130" i="31"/>
  <c r="K129" i="31"/>
  <c r="AB129" i="31" s="1"/>
  <c r="B129" i="31"/>
  <c r="AO128" i="31" a="1"/>
  <c r="AO128" i="31" s="1"/>
  <c r="AB128" i="31"/>
  <c r="K128" i="31"/>
  <c r="B128" i="31"/>
  <c r="K127" i="31"/>
  <c r="AB126" i="31"/>
  <c r="K126" i="31"/>
  <c r="AO126" i="31" s="1" a="1"/>
  <c r="AO126" i="31" s="1"/>
  <c r="B126" i="31"/>
  <c r="K125" i="31"/>
  <c r="AB125" i="31" s="1"/>
  <c r="B125" i="31"/>
  <c r="AO124" i="31" a="1"/>
  <c r="AO124" i="31" s="1"/>
  <c r="AB124" i="31"/>
  <c r="K124" i="31"/>
  <c r="B124" i="31"/>
  <c r="K123" i="31"/>
  <c r="AB122" i="31"/>
  <c r="K122" i="31"/>
  <c r="AO122" i="31" s="1" a="1"/>
  <c r="AO122" i="31" s="1"/>
  <c r="B122" i="31"/>
  <c r="T121" i="3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21" i="31"/>
  <c r="AB121" i="31" s="1"/>
  <c r="B121" i="31"/>
  <c r="AO120" i="31" a="1"/>
  <c r="AO120" i="31" s="1"/>
  <c r="AB120" i="31"/>
  <c r="K120" i="31"/>
  <c r="B120" i="31"/>
  <c r="K119" i="31"/>
  <c r="AB118" i="31"/>
  <c r="K118" i="31"/>
  <c r="AO118" i="31" s="1" a="1"/>
  <c r="AO118" i="31" s="1"/>
  <c r="B118" i="31"/>
  <c r="K117" i="31"/>
  <c r="AB117" i="31" s="1"/>
  <c r="B117" i="31"/>
  <c r="AO116" i="31" a="1"/>
  <c r="AO116" i="31" s="1"/>
  <c r="AB116" i="31"/>
  <c r="K116" i="31"/>
  <c r="B116" i="31"/>
  <c r="K115" i="31"/>
  <c r="AB114" i="31"/>
  <c r="K114" i="31"/>
  <c r="AO114" i="31" s="1" a="1"/>
  <c r="AO114" i="31" s="1"/>
  <c r="B114" i="31"/>
  <c r="K113" i="31"/>
  <c r="AB113" i="31" s="1"/>
  <c r="B113" i="31"/>
  <c r="AO112" i="31" a="1"/>
  <c r="AO112" i="31" s="1"/>
  <c r="AB112" i="31"/>
  <c r="K112" i="31"/>
  <c r="B112" i="31"/>
  <c r="K111" i="31"/>
  <c r="AB110" i="31"/>
  <c r="K110" i="31"/>
  <c r="AO110" i="31" s="1" a="1"/>
  <c r="AO110" i="31" s="1"/>
  <c r="B110" i="31"/>
  <c r="K109" i="31"/>
  <c r="AB109" i="31" s="1"/>
  <c r="B109" i="31"/>
  <c r="AO108" i="31" a="1"/>
  <c r="AO108" i="31" s="1"/>
  <c r="AB108" i="31"/>
  <c r="K108" i="31"/>
  <c r="B108" i="31"/>
  <c r="K107" i="31"/>
  <c r="AB106" i="31"/>
  <c r="K106" i="31"/>
  <c r="AO106" i="31" s="1" a="1"/>
  <c r="AO106" i="31" s="1"/>
  <c r="B106" i="31"/>
  <c r="K105" i="31"/>
  <c r="AB105" i="31" s="1"/>
  <c r="B105" i="31"/>
  <c r="AO104" i="31" a="1"/>
  <c r="AO104" i="31" s="1"/>
  <c r="AB104" i="31"/>
  <c r="K104" i="31"/>
  <c r="B104" i="31"/>
  <c r="K103" i="31"/>
  <c r="AB102" i="31"/>
  <c r="K102" i="31"/>
  <c r="AO102" i="31" s="1" a="1"/>
  <c r="AO102" i="31" s="1"/>
  <c r="B102" i="31"/>
  <c r="K101" i="31"/>
  <c r="AB101" i="31" s="1"/>
  <c r="B101" i="31"/>
  <c r="AO100" i="31" a="1"/>
  <c r="AO100" i="31" s="1"/>
  <c r="AB100" i="31"/>
  <c r="K100" i="31"/>
  <c r="B100" i="31"/>
  <c r="K99" i="31"/>
  <c r="AO98" i="31"/>
  <c r="AB98" i="31"/>
  <c r="K98" i="31"/>
  <c r="AO98" i="31" s="1" a="1"/>
  <c r="B98" i="31"/>
  <c r="K97" i="31"/>
  <c r="AB97" i="31" s="1"/>
  <c r="B97" i="31"/>
  <c r="AO96" i="31" a="1"/>
  <c r="AO96" i="31" s="1"/>
  <c r="AB96" i="31"/>
  <c r="K96" i="31"/>
  <c r="B96" i="31"/>
  <c r="K95" i="31"/>
  <c r="AO94" i="31"/>
  <c r="AB94" i="31"/>
  <c r="K94" i="31"/>
  <c r="AO94" i="31" s="1" a="1"/>
  <c r="B94" i="31"/>
  <c r="K93" i="31"/>
  <c r="AB93" i="31" s="1"/>
  <c r="B93" i="31"/>
  <c r="AO92" i="31" a="1"/>
  <c r="AO92" i="31" s="1"/>
  <c r="AB92" i="31"/>
  <c r="K92" i="31"/>
  <c r="B92" i="31"/>
  <c r="K91" i="31"/>
  <c r="K90" i="31"/>
  <c r="AO89" i="31" a="1"/>
  <c r="AO89" i="31"/>
  <c r="K89" i="31"/>
  <c r="B89" i="31"/>
  <c r="K88" i="31"/>
  <c r="AO87" i="31" a="1"/>
  <c r="AO87" i="31" s="1"/>
  <c r="K87" i="31"/>
  <c r="B87" i="31"/>
  <c r="K86" i="31"/>
  <c r="AO86" i="31" s="1" a="1"/>
  <c r="AO86" i="31" s="1"/>
  <c r="B86" i="31"/>
  <c r="K85" i="31"/>
  <c r="AO85" i="31" s="1" a="1"/>
  <c r="AO85" i="31" s="1"/>
  <c r="B85" i="31"/>
  <c r="K84" i="31"/>
  <c r="AO84" i="31" s="1" a="1"/>
  <c r="AO84" i="31" s="1"/>
  <c r="B84" i="31"/>
  <c r="K83" i="31"/>
  <c r="AO83" i="31" s="1" a="1"/>
  <c r="AO83" i="31" s="1"/>
  <c r="B83" i="31"/>
  <c r="AB82" i="3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K82" i="31" a="1"/>
  <c r="K82" i="31"/>
  <c r="F82" i="31" a="1"/>
  <c r="F82" i="31" s="1"/>
  <c r="F83" i="31" s="1" a="1"/>
  <c r="F83" i="31" s="1"/>
  <c r="T81" i="31"/>
  <c r="F81" i="31" a="1"/>
  <c r="F81" i="31" s="1"/>
  <c r="K80" i="31"/>
  <c r="K79" i="31"/>
  <c r="AO78" i="31" a="1"/>
  <c r="AO78" i="31" s="1"/>
  <c r="K78" i="31"/>
  <c r="AB78" i="31" s="1"/>
  <c r="B78" i="31"/>
  <c r="AO77" i="31" a="1"/>
  <c r="AO77" i="31" s="1"/>
  <c r="AB77" i="31"/>
  <c r="K77" i="31"/>
  <c r="B77" i="31"/>
  <c r="AB76" i="31"/>
  <c r="K76" i="31"/>
  <c r="AO75" i="31" a="1"/>
  <c r="AO75" i="31"/>
  <c r="K75" i="31"/>
  <c r="AB75" i="31" s="1"/>
  <c r="B75" i="31"/>
  <c r="AO74" i="31" a="1"/>
  <c r="AO74" i="31" s="1"/>
  <c r="K74" i="31"/>
  <c r="AB74" i="31" s="1"/>
  <c r="B74" i="31"/>
  <c r="AO73" i="31" a="1"/>
  <c r="AO73" i="31" s="1"/>
  <c r="AB73" i="31"/>
  <c r="K73" i="31"/>
  <c r="B73" i="31"/>
  <c r="K72" i="31"/>
  <c r="K71" i="31"/>
  <c r="AO70" i="31" a="1"/>
  <c r="AO70" i="31" s="1"/>
  <c r="K70" i="31"/>
  <c r="AB70" i="31" s="1"/>
  <c r="B70" i="31"/>
  <c r="AO69" i="31" a="1"/>
  <c r="AO69" i="31" s="1"/>
  <c r="AB69" i="31"/>
  <c r="K69" i="31"/>
  <c r="B69" i="31"/>
  <c r="AB68" i="31"/>
  <c r="K68" i="31"/>
  <c r="AO67" i="31" a="1"/>
  <c r="AO67" i="31"/>
  <c r="K67" i="31"/>
  <c r="AB67" i="31" s="1"/>
  <c r="B67" i="31"/>
  <c r="AO66" i="31" a="1"/>
  <c r="AO66" i="31" s="1"/>
  <c r="K66" i="31"/>
  <c r="AB66" i="31" s="1"/>
  <c r="B66" i="31"/>
  <c r="AO65" i="31" a="1"/>
  <c r="AO65" i="31" s="1"/>
  <c r="AB65" i="31"/>
  <c r="K65" i="31"/>
  <c r="B65" i="31"/>
  <c r="K64" i="31"/>
  <c r="K63" i="31"/>
  <c r="AO62" i="31" a="1"/>
  <c r="AO62" i="31" s="1"/>
  <c r="K62" i="31"/>
  <c r="AB62" i="31" s="1"/>
  <c r="B62" i="31"/>
  <c r="AO61" i="31" a="1"/>
  <c r="AO61" i="31" s="1"/>
  <c r="AB61" i="31"/>
  <c r="K61" i="31"/>
  <c r="B61" i="31"/>
  <c r="AB60" i="31"/>
  <c r="K60" i="31"/>
  <c r="AO59" i="31" a="1"/>
  <c r="AO59" i="31"/>
  <c r="K59" i="31"/>
  <c r="AB59" i="31" s="1"/>
  <c r="B59" i="31"/>
  <c r="AO58" i="31" a="1"/>
  <c r="AO58" i="31" s="1"/>
  <c r="K58" i="31"/>
  <c r="AB58" i="31" s="1"/>
  <c r="B58" i="31"/>
  <c r="AO57" i="31" a="1"/>
  <c r="AO57" i="31" s="1"/>
  <c r="AB57" i="31"/>
  <c r="K57" i="31"/>
  <c r="B57" i="31"/>
  <c r="K56" i="31"/>
  <c r="K55" i="31"/>
  <c r="AO54" i="31" a="1"/>
  <c r="AO54" i="31" s="1"/>
  <c r="K54" i="31"/>
  <c r="AB54" i="31" s="1"/>
  <c r="B54" i="31"/>
  <c r="AO53" i="31" a="1"/>
  <c r="AO53" i="31" s="1"/>
  <c r="AB53" i="31"/>
  <c r="K53" i="31"/>
  <c r="B53" i="31"/>
  <c r="AB52" i="31"/>
  <c r="K52" i="31"/>
  <c r="AO51" i="31" a="1"/>
  <c r="AO51" i="31"/>
  <c r="K51" i="31"/>
  <c r="AB51" i="31" s="1"/>
  <c r="B51" i="31"/>
  <c r="AO50" i="31" a="1"/>
  <c r="AO50" i="31" s="1"/>
  <c r="K50" i="31"/>
  <c r="AB50" i="31" s="1"/>
  <c r="B50" i="31"/>
  <c r="AO49" i="31" a="1"/>
  <c r="AO49" i="31" s="1"/>
  <c r="AB49" i="31"/>
  <c r="K49" i="31"/>
  <c r="B49" i="31"/>
  <c r="K48" i="31"/>
  <c r="K47" i="31"/>
  <c r="AO46" i="31" a="1"/>
  <c r="AO46" i="31" s="1"/>
  <c r="K46" i="31"/>
  <c r="AB46" i="31" s="1"/>
  <c r="B46" i="31"/>
  <c r="AO45" i="31" a="1"/>
  <c r="AO45" i="31" s="1"/>
  <c r="AB45" i="31"/>
  <c r="K45" i="31"/>
  <c r="B45" i="31"/>
  <c r="AB44" i="31"/>
  <c r="K44" i="31"/>
  <c r="AO43" i="31" a="1"/>
  <c r="AO43" i="31"/>
  <c r="K43" i="31"/>
  <c r="AB43" i="31" s="1"/>
  <c r="B43" i="31"/>
  <c r="AO42" i="31" a="1"/>
  <c r="AO42" i="31" s="1"/>
  <c r="K42" i="31"/>
  <c r="AB42" i="31" s="1"/>
  <c r="B42" i="31"/>
  <c r="AO41" i="31" a="1"/>
  <c r="AO41" i="31" s="1"/>
  <c r="AB41" i="31"/>
  <c r="K41" i="31"/>
  <c r="B41" i="31"/>
  <c r="AO40" i="31"/>
  <c r="AB40" i="31"/>
  <c r="K40" i="31"/>
  <c r="AO40" i="31" s="1" a="1"/>
  <c r="B40" i="31"/>
  <c r="AB39" i="31"/>
  <c r="K39" i="31"/>
  <c r="AO39" i="31" s="1" a="1"/>
  <c r="AO39" i="31" s="1"/>
  <c r="B39" i="31"/>
  <c r="AO38" i="31"/>
  <c r="AB38" i="31"/>
  <c r="K38" i="31"/>
  <c r="AO38" i="31" s="1" a="1"/>
  <c r="B38" i="31"/>
  <c r="AB37" i="31"/>
  <c r="T37" i="3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7" i="31"/>
  <c r="AO37" i="31" s="1" a="1"/>
  <c r="AO37" i="31" s="1"/>
  <c r="B37" i="31"/>
  <c r="AO36" i="31"/>
  <c r="AB36" i="31"/>
  <c r="K36" i="31"/>
  <c r="AO36" i="31" s="1" a="1"/>
  <c r="B36" i="31"/>
  <c r="AB35" i="31"/>
  <c r="K35" i="31"/>
  <c r="AO35" i="31" s="1" a="1"/>
  <c r="AO35" i="31" s="1"/>
  <c r="B35" i="31"/>
  <c r="AO34" i="31"/>
  <c r="AB34" i="31"/>
  <c r="K34" i="31"/>
  <c r="AO34" i="31" s="1" a="1"/>
  <c r="B34" i="31"/>
  <c r="AB33" i="31"/>
  <c r="T33" i="31" a="1"/>
  <c r="T33" i="31" s="1"/>
  <c r="T34" i="31" s="1" a="1"/>
  <c r="T34" i="31" s="1"/>
  <c r="T35" i="31" s="1" a="1"/>
  <c r="T35" i="31" s="1"/>
  <c r="T36" i="31" s="1" a="1"/>
  <c r="T36" i="31" s="1"/>
  <c r="K33" i="31"/>
  <c r="AO33" i="31" s="1" a="1"/>
  <c r="AO33" i="31" s="1"/>
  <c r="B33" i="31"/>
  <c r="AO32" i="31"/>
  <c r="AB32" i="31"/>
  <c r="K32" i="31"/>
  <c r="AO32" i="31" s="1" a="1"/>
  <c r="B32" i="31"/>
  <c r="AB31" i="31"/>
  <c r="T31" i="31" a="1"/>
  <c r="T31" i="31" s="1"/>
  <c r="T32" i="31" s="1" a="1"/>
  <c r="T32" i="31" s="1"/>
  <c r="K31" i="31" a="1"/>
  <c r="K31" i="31"/>
  <c r="B31" i="31"/>
  <c r="T30" i="31"/>
  <c r="F30" i="31" a="1"/>
  <c r="F30" i="31"/>
  <c r="F31" i="31" s="1" a="1"/>
  <c r="F31" i="31" s="1"/>
  <c r="AK2" i="31"/>
  <c r="AJ2" i="31"/>
  <c r="AI2" i="31"/>
  <c r="AH2" i="31"/>
  <c r="AG2" i="31"/>
  <c r="T607" i="30"/>
  <c r="T606" i="30"/>
  <c r="AH602" i="30"/>
  <c r="AH601" i="30"/>
  <c r="AH600" i="30"/>
  <c r="AH592" i="30"/>
  <c r="AT591" i="30"/>
  <c r="AS591" i="30"/>
  <c r="AR591" i="30"/>
  <c r="AQ591" i="30"/>
  <c r="AP591" i="30"/>
  <c r="AO591" i="30"/>
  <c r="AN591" i="30"/>
  <c r="AM591" i="30"/>
  <c r="AL591" i="30"/>
  <c r="AK591" i="30"/>
  <c r="AJ591" i="30"/>
  <c r="AI591" i="30"/>
  <c r="AG591" i="30"/>
  <c r="AF591" i="30"/>
  <c r="AE591" i="30"/>
  <c r="AH590" i="30"/>
  <c r="AU588" i="30" a="1"/>
  <c r="AU588" i="30" s="1"/>
  <c r="AH588" i="30"/>
  <c r="AH587" i="30"/>
  <c r="AH585" i="30"/>
  <c r="B585" i="30"/>
  <c r="AH584" i="30"/>
  <c r="B584" i="30"/>
  <c r="AH580" i="30"/>
  <c r="AH579" i="30"/>
  <c r="AH578" i="30"/>
  <c r="AH577" i="30"/>
  <c r="AH576" i="30"/>
  <c r="BL575" i="30"/>
  <c r="BK575" i="30"/>
  <c r="BH575" i="30"/>
  <c r="BG575" i="30"/>
  <c r="BC575" i="30"/>
  <c r="BB575" i="30"/>
  <c r="BM575" i="30" s="1"/>
  <c r="BA575" i="30"/>
  <c r="AZ575" i="30"/>
  <c r="AY575" i="30"/>
  <c r="BJ575" i="30" s="1"/>
  <c r="AX575" i="30"/>
  <c r="BI575" i="30" s="1"/>
  <c r="AW575" i="30"/>
  <c r="AV575" i="30"/>
  <c r="AU575" i="30"/>
  <c r="AS575" i="30"/>
  <c r="AR575" i="30"/>
  <c r="AQ575" i="30"/>
  <c r="AP575" i="30"/>
  <c r="AO575" i="30"/>
  <c r="AN575" i="30"/>
  <c r="AM575" i="30"/>
  <c r="AL575" i="30"/>
  <c r="AK575" i="30"/>
  <c r="AI575" i="30"/>
  <c r="BD575" i="30" s="1"/>
  <c r="AH575" i="30"/>
  <c r="AG575" i="30"/>
  <c r="AF575" i="30"/>
  <c r="AE575" i="30"/>
  <c r="AH574" i="30"/>
  <c r="AH573" i="30"/>
  <c r="AH572" i="30"/>
  <c r="AH571" i="30"/>
  <c r="AH570" i="30"/>
  <c r="AH569" i="30"/>
  <c r="BM567" i="30"/>
  <c r="BL567" i="30"/>
  <c r="BK567" i="30"/>
  <c r="BJ567" i="30"/>
  <c r="BI567" i="30"/>
  <c r="BH567" i="30"/>
  <c r="BG567" i="30"/>
  <c r="BF567" i="30"/>
  <c r="BE567" i="30"/>
  <c r="BD567" i="30"/>
  <c r="AH567" i="30"/>
  <c r="BM558" i="30"/>
  <c r="BL558" i="30"/>
  <c r="BK558" i="30"/>
  <c r="BJ558" i="30"/>
  <c r="BI558" i="30"/>
  <c r="BH558" i="30"/>
  <c r="BG558" i="30"/>
  <c r="BF558" i="30"/>
  <c r="BE558" i="30"/>
  <c r="BD558" i="30"/>
  <c r="AH558" i="30"/>
  <c r="B556" i="30" a="1"/>
  <c r="B556" i="30" s="1"/>
  <c r="B557" i="30" s="1" a="1"/>
  <c r="B557" i="30" s="1"/>
  <c r="B558" i="30" s="1" a="1"/>
  <c r="B558" i="30" s="1"/>
  <c r="B559" i="30" s="1" a="1"/>
  <c r="B559" i="30" s="1"/>
  <c r="B560" i="30" s="1" a="1"/>
  <c r="B560" i="30" s="1"/>
  <c r="B561" i="30" s="1" a="1"/>
  <c r="B561" i="30" s="1"/>
  <c r="B562" i="30" s="1" a="1"/>
  <c r="B562" i="30" s="1"/>
  <c r="B563" i="30" s="1" a="1"/>
  <c r="B563" i="30" s="1"/>
  <c r="B564" i="30" s="1" a="1"/>
  <c r="B564" i="30" s="1"/>
  <c r="B565" i="30" s="1" a="1"/>
  <c r="B565" i="30" s="1"/>
  <c r="B566" i="30" s="1" a="1"/>
  <c r="B566" i="30" s="1"/>
  <c r="D567" i="30" s="1"/>
  <c r="BM555" i="30"/>
  <c r="BL555" i="30"/>
  <c r="BK555" i="30"/>
  <c r="BJ555" i="30"/>
  <c r="BI555" i="30"/>
  <c r="BH555" i="30"/>
  <c r="BG555" i="30"/>
  <c r="BF555" i="30"/>
  <c r="BE555" i="30"/>
  <c r="BD555" i="30"/>
  <c r="AH555" i="30"/>
  <c r="B555" i="30"/>
  <c r="BM554" i="30"/>
  <c r="BL554" i="30"/>
  <c r="BK554" i="30"/>
  <c r="BJ554" i="30"/>
  <c r="BI554" i="30"/>
  <c r="BH554" i="30"/>
  <c r="BG554" i="30"/>
  <c r="BF554" i="30"/>
  <c r="BE554" i="30"/>
  <c r="BD554" i="30"/>
  <c r="AH554" i="30"/>
  <c r="B554" i="30"/>
  <c r="BM553" i="30"/>
  <c r="BL553" i="30"/>
  <c r="BK553" i="30"/>
  <c r="BJ553" i="30"/>
  <c r="BI553" i="30"/>
  <c r="BH553" i="30"/>
  <c r="BG553" i="30"/>
  <c r="BF553" i="30"/>
  <c r="BE553" i="30"/>
  <c r="BD553" i="30"/>
  <c r="AH553" i="30"/>
  <c r="B550" i="30" a="1"/>
  <c r="B550" i="30" s="1"/>
  <c r="B551" i="30" s="1" a="1"/>
  <c r="B551" i="30" s="1"/>
  <c r="B552" i="30" s="1" a="1"/>
  <c r="B552" i="30" s="1"/>
  <c r="B553" i="30" s="1" a="1"/>
  <c r="B553" i="30" s="1"/>
  <c r="B547" i="30"/>
  <c r="B548" i="30" s="1" a="1"/>
  <c r="B548" i="30" s="1"/>
  <c r="B549" i="30" s="1" a="1"/>
  <c r="B549" i="30" s="1"/>
  <c r="BM545" i="30"/>
  <c r="BL545" i="30"/>
  <c r="BK545" i="30"/>
  <c r="BJ545" i="30"/>
  <c r="BI545" i="30"/>
  <c r="BH545" i="30"/>
  <c r="BG545" i="30"/>
  <c r="BF545" i="30"/>
  <c r="BE545" i="30"/>
  <c r="BD545" i="30"/>
  <c r="AH545" i="30"/>
  <c r="BM544" i="30"/>
  <c r="BL544" i="30"/>
  <c r="BK544" i="30"/>
  <c r="BJ544" i="30"/>
  <c r="BI544" i="30"/>
  <c r="BH544" i="30"/>
  <c r="BG544" i="30"/>
  <c r="BF544" i="30"/>
  <c r="BE544" i="30"/>
  <c r="BD544" i="30"/>
  <c r="AH544" i="30"/>
  <c r="BM543" i="30"/>
  <c r="BL543" i="30"/>
  <c r="BK543" i="30"/>
  <c r="BJ543" i="30"/>
  <c r="BI543" i="30"/>
  <c r="BH543" i="30"/>
  <c r="BG543" i="30"/>
  <c r="BF543" i="30"/>
  <c r="BE543" i="30"/>
  <c r="BD543" i="30"/>
  <c r="AH543" i="30"/>
  <c r="BM542" i="30"/>
  <c r="BJ542" i="30"/>
  <c r="BI542" i="30"/>
  <c r="BF542" i="30"/>
  <c r="BE542" i="30"/>
  <c r="BD542" i="30"/>
  <c r="BC542" i="30"/>
  <c r="BB542" i="30"/>
  <c r="BA542" i="30"/>
  <c r="BL542" i="30" s="1"/>
  <c r="AZ542" i="30"/>
  <c r="BK542" i="30" s="1"/>
  <c r="AY542" i="30"/>
  <c r="AX542" i="30"/>
  <c r="AW542" i="30"/>
  <c r="BH542" i="30" s="1"/>
  <c r="AV542" i="30"/>
  <c r="BG542" i="30" s="1"/>
  <c r="AU542" i="30"/>
  <c r="AT542" i="30"/>
  <c r="AS542" i="30"/>
  <c r="AR542" i="30"/>
  <c r="AQ542" i="30"/>
  <c r="AP542" i="30"/>
  <c r="AO542" i="30"/>
  <c r="AN542" i="30"/>
  <c r="AM542" i="30"/>
  <c r="AL542" i="30"/>
  <c r="AK542" i="30"/>
  <c r="AJ542" i="30"/>
  <c r="AI542" i="30"/>
  <c r="AG542" i="30"/>
  <c r="AH542" i="30" s="1"/>
  <c r="AF542" i="30"/>
  <c r="AE542" i="30"/>
  <c r="BM541" i="30"/>
  <c r="BL541" i="30"/>
  <c r="BK541" i="30"/>
  <c r="BJ541" i="30"/>
  <c r="BI541" i="30"/>
  <c r="BH541" i="30"/>
  <c r="BG541" i="30"/>
  <c r="BF541" i="30"/>
  <c r="BE541" i="30"/>
  <c r="BD541" i="30"/>
  <c r="AH541" i="30"/>
  <c r="BM540" i="30"/>
  <c r="BL540" i="30"/>
  <c r="BK540" i="30"/>
  <c r="BJ540" i="30"/>
  <c r="BI540" i="30"/>
  <c r="BH540" i="30"/>
  <c r="BG540" i="30"/>
  <c r="BF540" i="30"/>
  <c r="BE540" i="30"/>
  <c r="BD540" i="30"/>
  <c r="AH540" i="30"/>
  <c r="BD539" i="30"/>
  <c r="AH539" i="30"/>
  <c r="BM538" i="30"/>
  <c r="BL538" i="30"/>
  <c r="BK538" i="30"/>
  <c r="BJ538" i="30"/>
  <c r="BI538" i="30"/>
  <c r="BH538" i="30"/>
  <c r="BG538" i="30"/>
  <c r="BF538" i="30"/>
  <c r="BE538" i="30"/>
  <c r="BD538" i="30"/>
  <c r="AH538" i="30"/>
  <c r="B538" i="30"/>
  <c r="BM537" i="30"/>
  <c r="BL537" i="30"/>
  <c r="BK537" i="30"/>
  <c r="BJ537" i="30"/>
  <c r="BI537" i="30"/>
  <c r="BH537" i="30"/>
  <c r="BG537" i="30"/>
  <c r="BF537" i="30"/>
  <c r="BE537" i="30"/>
  <c r="BD537" i="30"/>
  <c r="AH537" i="30"/>
  <c r="B537" i="30"/>
  <c r="BM535" i="30"/>
  <c r="BL535" i="30"/>
  <c r="BK535" i="30"/>
  <c r="BJ535" i="30"/>
  <c r="BI535" i="30"/>
  <c r="BH535" i="30"/>
  <c r="BG535" i="30"/>
  <c r="BF535" i="30"/>
  <c r="BE535" i="30"/>
  <c r="BD535" i="30"/>
  <c r="AH535" i="30"/>
  <c r="BM518" i="30"/>
  <c r="BL518" i="30"/>
  <c r="BK518" i="30"/>
  <c r="BJ518" i="30"/>
  <c r="BI518" i="30"/>
  <c r="BH518" i="30"/>
  <c r="BG518" i="30"/>
  <c r="BF518" i="30"/>
  <c r="BE518" i="30"/>
  <c r="BD518" i="30"/>
  <c r="AH518" i="30"/>
  <c r="BM517" i="30"/>
  <c r="BL517" i="30"/>
  <c r="BK517" i="30"/>
  <c r="BJ517" i="30"/>
  <c r="BI517" i="30"/>
  <c r="BH517" i="30"/>
  <c r="BG517" i="30"/>
  <c r="BF517" i="30"/>
  <c r="BE517" i="30"/>
  <c r="BD517" i="30"/>
  <c r="AH517" i="30"/>
  <c r="BU508" i="30" a="1"/>
  <c r="BU508" i="30" s="1"/>
  <c r="AH508" i="30"/>
  <c r="AB508" i="30"/>
  <c r="J508" i="30" a="1"/>
  <c r="J508" i="30" s="1"/>
  <c r="AI507" i="30"/>
  <c r="AG507" i="30"/>
  <c r="AF507" i="30"/>
  <c r="AE507" i="30"/>
  <c r="AH506" i="30"/>
  <c r="AH505" i="30"/>
  <c r="B505" i="30"/>
  <c r="AH504" i="30"/>
  <c r="AH503" i="30"/>
  <c r="AH502" i="30"/>
  <c r="AI501" i="30"/>
  <c r="AH501" i="30"/>
  <c r="AG501" i="30"/>
  <c r="AF501" i="30"/>
  <c r="AE501" i="30"/>
  <c r="AH500" i="30"/>
  <c r="AH499" i="30"/>
  <c r="AH498" i="30"/>
  <c r="AH497" i="30"/>
  <c r="AH495" i="30"/>
  <c r="AH493" i="30"/>
  <c r="AH492" i="30"/>
  <c r="AH491" i="30"/>
  <c r="AH490" i="30"/>
  <c r="AH489" i="30"/>
  <c r="AH488" i="30"/>
  <c r="AH487" i="30"/>
  <c r="AI486" i="30"/>
  <c r="AG486" i="30"/>
  <c r="AH486" i="30" s="1"/>
  <c r="AF486" i="30"/>
  <c r="AE486" i="30"/>
  <c r="AH483" i="30"/>
  <c r="AH482" i="30"/>
  <c r="AH481" i="30"/>
  <c r="AH480" i="30"/>
  <c r="AI479" i="30"/>
  <c r="AH479" i="30"/>
  <c r="AG479" i="30"/>
  <c r="AF479" i="30"/>
  <c r="AE479" i="30"/>
  <c r="AH478" i="30"/>
  <c r="AH477" i="30"/>
  <c r="AH476" i="30"/>
  <c r="AH475" i="30"/>
  <c r="AH474" i="30"/>
  <c r="AH473" i="30"/>
  <c r="AH472" i="30"/>
  <c r="AI471" i="30"/>
  <c r="AH471" i="30"/>
  <c r="AG471" i="30"/>
  <c r="AF471" i="30"/>
  <c r="AE471" i="30"/>
  <c r="AH470" i="30"/>
  <c r="AH469" i="30"/>
  <c r="AH468" i="30"/>
  <c r="AG467" i="30"/>
  <c r="AF467" i="30"/>
  <c r="AF462" i="30" s="1"/>
  <c r="AE467" i="30"/>
  <c r="AH466" i="30"/>
  <c r="AH465" i="30"/>
  <c r="AH464" i="30"/>
  <c r="AI463" i="30"/>
  <c r="AG463" i="30"/>
  <c r="AH463" i="30" s="1"/>
  <c r="AF463" i="30"/>
  <c r="AE463" i="30"/>
  <c r="AE462" i="30" s="1"/>
  <c r="AH461" i="30"/>
  <c r="T461" i="30"/>
  <c r="T462" i="30" s="1" a="1"/>
  <c r="T462" i="30" s="1"/>
  <c r="T463" i="30" s="1" a="1"/>
  <c r="T463" i="30" s="1"/>
  <c r="T464" i="30" s="1" a="1"/>
  <c r="T464" i="30" s="1"/>
  <c r="T465" i="30" s="1" a="1"/>
  <c r="T465" i="30" s="1"/>
  <c r="T466" i="30" s="1" a="1"/>
  <c r="T466" i="30" s="1"/>
  <c r="T467" i="30" s="1" a="1"/>
  <c r="T467" i="30" s="1"/>
  <c r="T468" i="30" s="1" a="1"/>
  <c r="T468" i="30" s="1"/>
  <c r="T469" i="30" s="1" a="1"/>
  <c r="T469" i="30" s="1"/>
  <c r="T470" i="30" s="1" a="1"/>
  <c r="T470" i="30" s="1"/>
  <c r="T471" i="30" s="1" a="1"/>
  <c r="T471" i="30" s="1"/>
  <c r="T472" i="30" s="1" a="1"/>
  <c r="T472" i="30" s="1"/>
  <c r="T473" i="30" s="1" a="1"/>
  <c r="T473" i="30" s="1"/>
  <c r="T474" i="30" s="1" a="1"/>
  <c r="T474" i="30" s="1"/>
  <c r="T475" i="30" s="1" a="1"/>
  <c r="T475" i="30" s="1"/>
  <c r="T476" i="30" s="1" a="1"/>
  <c r="T476" i="30" s="1"/>
  <c r="T477" i="30" s="1" a="1"/>
  <c r="T477" i="30" s="1"/>
  <c r="T478" i="30" s="1" a="1"/>
  <c r="T478" i="30" s="1"/>
  <c r="T479" i="30" s="1" a="1"/>
  <c r="T479" i="30" s="1"/>
  <c r="T480" i="30" s="1" a="1"/>
  <c r="T480" i="30" s="1"/>
  <c r="T481" i="30" s="1" a="1"/>
  <c r="T481" i="30" s="1"/>
  <c r="T482" i="30" s="1" a="1"/>
  <c r="T482" i="30" s="1"/>
  <c r="T483" i="30" s="1" a="1"/>
  <c r="T483" i="30" s="1"/>
  <c r="T484" i="30" s="1" a="1"/>
  <c r="T484" i="30" s="1"/>
  <c r="T485" i="30" s="1" a="1"/>
  <c r="T485" i="30" s="1"/>
  <c r="T486" i="30" s="1" a="1"/>
  <c r="T486" i="30" s="1"/>
  <c r="T487" i="30" s="1" a="1"/>
  <c r="T487" i="30" s="1"/>
  <c r="T488" i="30" s="1" a="1"/>
  <c r="T488" i="30" s="1"/>
  <c r="T489" i="30" s="1" a="1"/>
  <c r="T489" i="30" s="1"/>
  <c r="T490" i="30" s="1" a="1"/>
  <c r="T490" i="30" s="1"/>
  <c r="T491" i="30" s="1" a="1"/>
  <c r="T491" i="30" s="1"/>
  <c r="T492" i="30" s="1" a="1"/>
  <c r="T492" i="30" s="1"/>
  <c r="T493" i="30" s="1" a="1"/>
  <c r="T493" i="30" s="1"/>
  <c r="T494" i="30" s="1" a="1"/>
  <c r="T494" i="30" s="1"/>
  <c r="T495" i="30" s="1" a="1"/>
  <c r="T495" i="30" s="1"/>
  <c r="T496" i="30" s="1" a="1"/>
  <c r="T496" i="30" s="1"/>
  <c r="T497" i="30" s="1" a="1"/>
  <c r="T497" i="30" s="1"/>
  <c r="T498" i="30" s="1" a="1"/>
  <c r="T498" i="30" s="1"/>
  <c r="T499" i="30" s="1" a="1"/>
  <c r="T499" i="30" s="1"/>
  <c r="T500" i="30" s="1" a="1"/>
  <c r="T500" i="30" s="1"/>
  <c r="T501" i="30" s="1" a="1"/>
  <c r="T501" i="30" s="1"/>
  <c r="T502" i="30" s="1" a="1"/>
  <c r="T502" i="30" s="1"/>
  <c r="T503" i="30" s="1" a="1"/>
  <c r="T503" i="30" s="1"/>
  <c r="T504" i="30" s="1" a="1"/>
  <c r="T504" i="30" s="1"/>
  <c r="T505" i="30" s="1" a="1"/>
  <c r="T505" i="30" s="1"/>
  <c r="T506" i="30" s="1" a="1"/>
  <c r="T506" i="30" s="1"/>
  <c r="T507" i="30" s="1" a="1"/>
  <c r="T507" i="30" s="1"/>
  <c r="BD460" i="30"/>
  <c r="T460" i="30"/>
  <c r="T461" i="30" s="1" a="1"/>
  <c r="T459" i="30"/>
  <c r="T460" i="30" s="1" a="1"/>
  <c r="S459" i="30" a="1"/>
  <c r="S459" i="30" s="1"/>
  <c r="B572" i="30" s="1"/>
  <c r="B573" i="30" s="1" a="1"/>
  <c r="B573" i="30" s="1"/>
  <c r="F459" i="30" a="1"/>
  <c r="F459" i="30" s="1"/>
  <c r="F460" i="30" s="1" a="1"/>
  <c r="F460" i="30" s="1"/>
  <c r="F461" i="30" s="1" a="1"/>
  <c r="F461" i="30" s="1"/>
  <c r="F462" i="30" s="1" a="1"/>
  <c r="F462" i="30" s="1"/>
  <c r="F463" i="30" s="1" a="1"/>
  <c r="F463" i="30" s="1"/>
  <c r="F464" i="30" s="1" a="1"/>
  <c r="F464" i="30" s="1"/>
  <c r="F465" i="30" s="1" a="1"/>
  <c r="F465" i="30" s="1"/>
  <c r="F466" i="30" s="1" a="1"/>
  <c r="F466" i="30" s="1"/>
  <c r="F467" i="30" s="1" a="1"/>
  <c r="F467" i="30" s="1"/>
  <c r="F468" i="30" s="1" a="1"/>
  <c r="F468" i="30" s="1"/>
  <c r="AH458" i="30"/>
  <c r="AH457" i="30"/>
  <c r="AH456" i="30"/>
  <c r="AH448" i="30"/>
  <c r="AT447" i="30"/>
  <c r="AS447" i="30"/>
  <c r="AR447" i="30"/>
  <c r="AQ447" i="30"/>
  <c r="AP447" i="30"/>
  <c r="AO447" i="30"/>
  <c r="AN447" i="30"/>
  <c r="AM447" i="30"/>
  <c r="AL447" i="30"/>
  <c r="AK447" i="30"/>
  <c r="AJ447" i="30"/>
  <c r="AI447" i="30"/>
  <c r="AG447" i="30"/>
  <c r="AF447" i="30"/>
  <c r="AE447" i="30"/>
  <c r="AH446" i="30"/>
  <c r="AU444" i="30" a="1"/>
  <c r="AU444" i="30"/>
  <c r="AH444" i="30"/>
  <c r="AH443" i="30"/>
  <c r="AH441" i="30"/>
  <c r="B441" i="30"/>
  <c r="AH440" i="30"/>
  <c r="B440" i="30"/>
  <c r="AH436" i="30"/>
  <c r="AH435" i="30"/>
  <c r="AH434" i="30"/>
  <c r="AH433" i="30"/>
  <c r="AH432" i="30"/>
  <c r="BM431" i="30"/>
  <c r="BK431" i="30"/>
  <c r="BI431" i="30"/>
  <c r="BG431" i="30"/>
  <c r="BE431" i="30"/>
  <c r="BD431" i="30"/>
  <c r="BC431" i="30"/>
  <c r="BB431" i="30"/>
  <c r="BA431" i="30"/>
  <c r="BL431" i="30" s="1"/>
  <c r="AZ431" i="30"/>
  <c r="AY431" i="30"/>
  <c r="BJ431" i="30" s="1"/>
  <c r="AX431" i="30"/>
  <c r="AW431" i="30"/>
  <c r="BH431" i="30" s="1"/>
  <c r="AV431" i="30"/>
  <c r="AU431" i="30"/>
  <c r="BF431" i="30" s="1"/>
  <c r="AS431" i="30"/>
  <c r="AR431" i="30"/>
  <c r="AQ431" i="30"/>
  <c r="AP431" i="30"/>
  <c r="AO431" i="30"/>
  <c r="AN431" i="30"/>
  <c r="AM431" i="30"/>
  <c r="AL431" i="30"/>
  <c r="AK431" i="30"/>
  <c r="AG431" i="30"/>
  <c r="AH431" i="30" s="1"/>
  <c r="AF431" i="30"/>
  <c r="AE431" i="30"/>
  <c r="AH430" i="30"/>
  <c r="AH429" i="30"/>
  <c r="AH428" i="30"/>
  <c r="AH427" i="30"/>
  <c r="AH426" i="30"/>
  <c r="AH425" i="30"/>
  <c r="BM423" i="30"/>
  <c r="BL423" i="30"/>
  <c r="BK423" i="30"/>
  <c r="BJ423" i="30"/>
  <c r="BI423" i="30"/>
  <c r="BH423" i="30"/>
  <c r="BG423" i="30"/>
  <c r="BF423" i="30"/>
  <c r="BE423" i="30"/>
  <c r="BD423" i="30"/>
  <c r="AH423" i="30"/>
  <c r="B417" i="30" a="1"/>
  <c r="B417" i="30" s="1"/>
  <c r="B418" i="30" s="1" a="1"/>
  <c r="B418" i="30" s="1"/>
  <c r="B419" i="30" s="1" a="1"/>
  <c r="B419" i="30" s="1"/>
  <c r="B420" i="30" s="1" a="1"/>
  <c r="B420" i="30" s="1"/>
  <c r="B421" i="30" s="1" a="1"/>
  <c r="B421" i="30" s="1"/>
  <c r="B422" i="30" s="1" a="1"/>
  <c r="B422" i="30" s="1"/>
  <c r="D423" i="30" s="1"/>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5" i="30"/>
  <c r="B406" i="30" s="1" a="1"/>
  <c r="B406" i="30" s="1"/>
  <c r="B407" i="30" s="1" a="1"/>
  <c r="B407" i="30" s="1"/>
  <c r="B408" i="30" s="1" a="1"/>
  <c r="B408" i="30" s="1"/>
  <c r="B409" i="30" s="1" a="1"/>
  <c r="B409" i="30" s="1"/>
  <c r="B404" i="30" a="1"/>
  <c r="B404" i="30" s="1"/>
  <c r="B405" i="30" s="1" a="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M398" i="30"/>
  <c r="BK398" i="30"/>
  <c r="BI398" i="30"/>
  <c r="BG398" i="30"/>
  <c r="BE398" i="30"/>
  <c r="BC398" i="30"/>
  <c r="BB398" i="30"/>
  <c r="BA398" i="30"/>
  <c r="BL398" i="30" s="1"/>
  <c r="AZ398" i="30"/>
  <c r="AY398" i="30"/>
  <c r="BJ398" i="30" s="1"/>
  <c r="AX398" i="30"/>
  <c r="AW398" i="30"/>
  <c r="BH398" i="30" s="1"/>
  <c r="AV398" i="30"/>
  <c r="AU398" i="30"/>
  <c r="BF398" i="30" s="1"/>
  <c r="AT398" i="30"/>
  <c r="AS398" i="30"/>
  <c r="AR398" i="30"/>
  <c r="AQ398" i="30"/>
  <c r="AP398" i="30"/>
  <c r="AO398" i="30"/>
  <c r="AN398" i="30"/>
  <c r="AM398" i="30"/>
  <c r="AL398" i="30"/>
  <c r="AK398" i="30"/>
  <c r="AJ398" i="30"/>
  <c r="AI398" i="30"/>
  <c r="BD398" i="30" s="1"/>
  <c r="AG398" i="30"/>
  <c r="AH398" i="30" s="1"/>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G363" i="30"/>
  <c r="AH363" i="30" s="1"/>
  <c r="AF363" i="30"/>
  <c r="AE363" i="30"/>
  <c r="AH362" i="30"/>
  <c r="AH361" i="30"/>
  <c r="B361" i="30"/>
  <c r="AH360" i="30"/>
  <c r="AH359" i="30"/>
  <c r="AH358" i="30"/>
  <c r="AI357" i="30"/>
  <c r="AG357" i="30"/>
  <c r="AF357" i="30"/>
  <c r="AH357" i="30" s="1"/>
  <c r="AE357" i="30"/>
  <c r="AH356" i="30"/>
  <c r="AH355" i="30"/>
  <c r="AH354" i="30"/>
  <c r="AH353" i="30"/>
  <c r="AH351" i="30"/>
  <c r="AH349" i="30"/>
  <c r="AH348" i="30"/>
  <c r="AH347" i="30"/>
  <c r="AH346" i="30"/>
  <c r="AH345" i="30"/>
  <c r="AH344" i="30"/>
  <c r="AH343" i="30"/>
  <c r="AI342" i="30"/>
  <c r="AG342" i="30"/>
  <c r="AF342" i="30"/>
  <c r="AE342" i="30"/>
  <c r="AH339" i="30"/>
  <c r="AH338" i="30"/>
  <c r="AH337" i="30"/>
  <c r="AH336" i="30"/>
  <c r="AI335" i="30"/>
  <c r="AH335" i="30"/>
  <c r="AG335" i="30"/>
  <c r="AF335" i="30"/>
  <c r="AE335" i="30"/>
  <c r="AH334" i="30"/>
  <c r="AH333" i="30"/>
  <c r="AH332" i="30"/>
  <c r="AH331" i="30"/>
  <c r="AH330" i="30"/>
  <c r="AH329" i="30"/>
  <c r="AH328" i="30"/>
  <c r="AI327" i="30"/>
  <c r="AH327" i="30"/>
  <c r="AG327" i="30"/>
  <c r="AF327" i="30"/>
  <c r="AE327" i="30"/>
  <c r="AH326" i="30"/>
  <c r="AH325" i="30"/>
  <c r="AH324" i="30"/>
  <c r="AG323" i="30"/>
  <c r="AH323" i="30" s="1"/>
  <c r="AF323" i="30"/>
  <c r="AE323" i="30"/>
  <c r="AH322" i="30"/>
  <c r="AH321" i="30"/>
  <c r="AH320" i="30"/>
  <c r="AI319" i="30"/>
  <c r="AG319" i="30"/>
  <c r="AF319" i="30"/>
  <c r="AE319" i="30"/>
  <c r="AE318" i="30" s="1"/>
  <c r="AF318" i="30"/>
  <c r="AH317" i="30"/>
  <c r="T317" i="30"/>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BD316" i="30"/>
  <c r="T316" i="30"/>
  <c r="T317" i="30" s="1" a="1"/>
  <c r="T315" i="30"/>
  <c r="T316" i="30" s="1" a="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H304" i="30"/>
  <c r="AT303" i="30"/>
  <c r="AS303" i="30"/>
  <c r="AR303" i="30"/>
  <c r="AQ303" i="30"/>
  <c r="AP303" i="30"/>
  <c r="AO303" i="30"/>
  <c r="AN303" i="30"/>
  <c r="AM303" i="30"/>
  <c r="AL303" i="30"/>
  <c r="AK303" i="30"/>
  <c r="AJ303" i="30"/>
  <c r="AI303" i="30"/>
  <c r="AF303" i="30"/>
  <c r="AE303" i="30"/>
  <c r="AG302" i="30" a="1"/>
  <c r="AG302" i="30"/>
  <c r="AH302" i="30" s="1"/>
  <c r="AU300" i="30" a="1"/>
  <c r="AU300" i="30" s="1"/>
  <c r="AG300" i="30" a="1"/>
  <c r="AG300" i="30"/>
  <c r="AH299" i="30"/>
  <c r="AH297" i="30"/>
  <c r="B297" i="30"/>
  <c r="AH296" i="30"/>
  <c r="B296" i="30"/>
  <c r="AH292" i="30"/>
  <c r="AH291" i="30"/>
  <c r="AH290" i="30"/>
  <c r="AH289" i="30"/>
  <c r="AH288" i="30"/>
  <c r="BL287" i="30"/>
  <c r="BJ287" i="30"/>
  <c r="BH287" i="30"/>
  <c r="BF287" i="30"/>
  <c r="BC287" i="30"/>
  <c r="BB287" i="30"/>
  <c r="BM287" i="30" s="1"/>
  <c r="BA287" i="30"/>
  <c r="AZ287" i="30"/>
  <c r="BK287" i="30" s="1"/>
  <c r="AY287" i="30"/>
  <c r="AX287" i="30"/>
  <c r="BI287" i="30" s="1"/>
  <c r="AW287" i="30"/>
  <c r="AV287" i="30"/>
  <c r="BG287" i="30" s="1"/>
  <c r="AU287" i="30"/>
  <c r="AS287" i="30"/>
  <c r="AR287" i="30"/>
  <c r="AQ287" i="30"/>
  <c r="AP287" i="30"/>
  <c r="AO287" i="30"/>
  <c r="AN287" i="30"/>
  <c r="AM287" i="30"/>
  <c r="AL287" i="30"/>
  <c r="AK287" i="30"/>
  <c r="AF287" i="30"/>
  <c r="AH287" i="30" s="1"/>
  <c r="AH286" i="30"/>
  <c r="AH285" i="30"/>
  <c r="AH284" i="30"/>
  <c r="AH283" i="30"/>
  <c r="AH282" i="30"/>
  <c r="AH281" i="30"/>
  <c r="BM279" i="30"/>
  <c r="BL279" i="30"/>
  <c r="BK279" i="30"/>
  <c r="BJ279" i="30"/>
  <c r="BI279" i="30"/>
  <c r="BH279" i="30"/>
  <c r="BG279" i="30"/>
  <c r="BF279" i="30"/>
  <c r="BE279" i="30"/>
  <c r="BD279" i="30"/>
  <c r="AH279" i="30"/>
  <c r="B271" i="30"/>
  <c r="B272" i="30" s="1" a="1"/>
  <c r="B272" i="30" s="1"/>
  <c r="B273" i="30" s="1" a="1"/>
  <c r="B273" i="30" s="1"/>
  <c r="B274" i="30" s="1" a="1"/>
  <c r="B274" i="30" s="1"/>
  <c r="B275" i="30" s="1" a="1"/>
  <c r="B275" i="30" s="1"/>
  <c r="B276" i="30" s="1" a="1"/>
  <c r="B276" i="30" s="1"/>
  <c r="B277" i="30" s="1" a="1"/>
  <c r="B277" i="30" s="1"/>
  <c r="B278" i="30" s="1" a="1"/>
  <c r="B278" i="30" s="1"/>
  <c r="D279" i="30" s="1"/>
  <c r="BM270" i="30"/>
  <c r="BL270" i="30"/>
  <c r="BK270" i="30"/>
  <c r="BJ270" i="30"/>
  <c r="BI270" i="30"/>
  <c r="BH270" i="30"/>
  <c r="BG270" i="30"/>
  <c r="BF270" i="30"/>
  <c r="BE270" i="30"/>
  <c r="BD270" i="30"/>
  <c r="AH270" i="30"/>
  <c r="B268" i="30" a="1"/>
  <c r="B268" i="30" s="1"/>
  <c r="B269" i="30" s="1" a="1"/>
  <c r="B269" i="30" s="1"/>
  <c r="B270" i="30" s="1" a="1"/>
  <c r="B270" i="30" s="1"/>
  <c r="B271" i="30" s="1" a="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L254" i="30"/>
  <c r="BJ254" i="30"/>
  <c r="BH254" i="30"/>
  <c r="BF254" i="30"/>
  <c r="BD254" i="30"/>
  <c r="BC254" i="30"/>
  <c r="BB254" i="30"/>
  <c r="BM254" i="30" s="1"/>
  <c r="BA254" i="30"/>
  <c r="AZ254" i="30"/>
  <c r="BK254" i="30" s="1"/>
  <c r="AY254" i="30"/>
  <c r="AX254" i="30"/>
  <c r="BI254" i="30" s="1"/>
  <c r="AW254" i="30"/>
  <c r="AV254" i="30"/>
  <c r="BG254" i="30" s="1"/>
  <c r="AU254" i="30"/>
  <c r="AT254" i="30"/>
  <c r="BE254" i="30" s="1"/>
  <c r="AS254" i="30"/>
  <c r="AR254" i="30"/>
  <c r="AQ254" i="30"/>
  <c r="AP254" i="30"/>
  <c r="AO254" i="30"/>
  <c r="AN254" i="30"/>
  <c r="AM254" i="30"/>
  <c r="AL254" i="30"/>
  <c r="AK254" i="30"/>
  <c r="AJ254" i="30"/>
  <c r="AI254" i="30"/>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H219" i="30" s="1"/>
  <c r="AE219" i="30"/>
  <c r="AH218" i="30"/>
  <c r="AH217" i="30"/>
  <c r="B217" i="30"/>
  <c r="AH216" i="30"/>
  <c r="AH215" i="30"/>
  <c r="AH214" i="30"/>
  <c r="AI213" i="30"/>
  <c r="AG213" i="30"/>
  <c r="AH213" i="30" s="1"/>
  <c r="AF213" i="30"/>
  <c r="AE213" i="30"/>
  <c r="AH212" i="30"/>
  <c r="AH211" i="30"/>
  <c r="AH210" i="30"/>
  <c r="AH209" i="30"/>
  <c r="AH207" i="30"/>
  <c r="AH205" i="30"/>
  <c r="AH204" i="30"/>
  <c r="AH203" i="30"/>
  <c r="AH202" i="30"/>
  <c r="AH201" i="30"/>
  <c r="AH200" i="30"/>
  <c r="AH199" i="30"/>
  <c r="AI198" i="30"/>
  <c r="AG198" i="30"/>
  <c r="AF198" i="30"/>
  <c r="AE198"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1" i="30"/>
  <c r="AH180" i="30"/>
  <c r="AG179" i="30"/>
  <c r="AF179" i="30"/>
  <c r="AH179" i="30" s="1"/>
  <c r="AE179" i="30"/>
  <c r="AH178" i="30"/>
  <c r="AH177" i="30"/>
  <c r="AH176" i="30"/>
  <c r="AI175" i="30"/>
  <c r="AG175" i="30"/>
  <c r="AF175" i="30"/>
  <c r="AE175" i="30"/>
  <c r="AG174" i="30"/>
  <c r="AE174" i="30"/>
  <c r="AH173" i="30"/>
  <c r="BD172" i="30"/>
  <c r="F172" i="30"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c r="B284" i="30" s="1"/>
  <c r="B285" i="30" s="1" a="1"/>
  <c r="B285" i="30" s="1"/>
  <c r="F171" i="30" a="1"/>
  <c r="F171" i="30"/>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K143" i="30"/>
  <c r="BI143" i="30"/>
  <c r="BG143" i="30"/>
  <c r="BC143" i="30"/>
  <c r="BB143" i="30"/>
  <c r="BA143" i="30"/>
  <c r="BL143" i="30" s="1"/>
  <c r="AZ143" i="30"/>
  <c r="AY143" i="30"/>
  <c r="BJ143" i="30" s="1"/>
  <c r="AX143" i="30"/>
  <c r="AW143" i="30"/>
  <c r="BH143" i="30" s="1"/>
  <c r="AV143" i="30"/>
  <c r="AU143" i="30"/>
  <c r="BF143" i="30" s="1"/>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124" i="30"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9" i="30"/>
  <c r="B120" i="30" s="1" a="1"/>
  <c r="B120" i="30" s="1"/>
  <c r="B121" i="30" s="1" a="1"/>
  <c r="B121" i="30" s="1"/>
  <c r="B116" i="30"/>
  <c r="B117" i="30" s="1" a="1"/>
  <c r="B117" i="30" s="1"/>
  <c r="B118" i="30" s="1" a="1"/>
  <c r="B118" i="30" s="1"/>
  <c r="B119" i="30" s="1" a="1"/>
  <c r="B115" i="30"/>
  <c r="B116" i="30" s="1" a="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J110" i="30"/>
  <c r="BH110" i="30"/>
  <c r="BF110" i="30"/>
  <c r="BD110" i="30"/>
  <c r="BC110" i="30"/>
  <c r="BB110" i="30"/>
  <c r="BM110" i="30" s="1"/>
  <c r="BA110" i="30"/>
  <c r="AZ110" i="30"/>
  <c r="BK110" i="30" s="1"/>
  <c r="AY110" i="30"/>
  <c r="AX110" i="30"/>
  <c r="BI110" i="30" s="1"/>
  <c r="AW110" i="30"/>
  <c r="AV110" i="30"/>
  <c r="BG110" i="30" s="1"/>
  <c r="AU110" i="30"/>
  <c r="AT110" i="30"/>
  <c r="BE110" i="30" s="1"/>
  <c r="AS110" i="30"/>
  <c r="AR110" i="30"/>
  <c r="AQ110" i="30"/>
  <c r="AP110" i="30"/>
  <c r="AO110" i="30"/>
  <c r="AN110" i="30"/>
  <c r="AM110" i="30"/>
  <c r="AL110" i="30"/>
  <c r="AK110" i="30"/>
  <c r="AJ110" i="30"/>
  <c r="AI110" i="30"/>
  <c r="AG110" i="30"/>
  <c r="AF110" i="30"/>
  <c r="AH110" i="30" s="1"/>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T30" i="30"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29" i="30"/>
  <c r="T27" i="30"/>
  <c r="T28" i="30" s="1" a="1"/>
  <c r="T28" i="30" s="1"/>
  <c r="T29" i="30" s="1" a="1"/>
  <c r="T29"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c r="BA10" i="30" a="1"/>
  <c r="BA10" i="30"/>
  <c r="AZ10" i="30" a="1"/>
  <c r="AZ10" i="30"/>
  <c r="AY10" i="30" a="1"/>
  <c r="AY10" i="30"/>
  <c r="AX10" i="30" a="1"/>
  <c r="AX10" i="30"/>
  <c r="AW10" i="30" a="1"/>
  <c r="AW10" i="30"/>
  <c r="AV10" i="30" a="1"/>
  <c r="AV10" i="30"/>
  <c r="AU10" i="30" a="1"/>
  <c r="AU10" i="30"/>
  <c r="AT10" i="30" a="1"/>
  <c r="AT10" i="30"/>
  <c r="AS10" i="30" a="1"/>
  <c r="AS10" i="30"/>
  <c r="AR10" i="30" a="1"/>
  <c r="AR10" i="30"/>
  <c r="AQ10" i="30" a="1"/>
  <c r="AQ10" i="30"/>
  <c r="AP10" i="30" a="1"/>
  <c r="AP10" i="30"/>
  <c r="AO10" i="30" a="1"/>
  <c r="AO10" i="30"/>
  <c r="AN10" i="30" a="1"/>
  <c r="AN10" i="30"/>
  <c r="AM10" i="30" a="1"/>
  <c r="AM10" i="30"/>
  <c r="AL10" i="30" a="1"/>
  <c r="AL10" i="30"/>
  <c r="AK10" i="30" a="1"/>
  <c r="AK10" i="30"/>
  <c r="AJ10" i="30" a="1"/>
  <c r="AJ10" i="30"/>
  <c r="AI10" i="30" a="1"/>
  <c r="AI10" i="30"/>
  <c r="AH10" i="30" a="1"/>
  <c r="AH10" i="30"/>
  <c r="AG10" i="30" a="1"/>
  <c r="AG10" i="30"/>
  <c r="AF10" i="30" a="1"/>
  <c r="AF10" i="30"/>
  <c r="AE10" i="30" a="1"/>
  <c r="AE10" i="30"/>
  <c r="BM9" i="30"/>
  <c r="BC9" i="30"/>
  <c r="AY9" i="30"/>
  <c r="AU9" i="30"/>
  <c r="AR9" i="30"/>
  <c r="AN9" i="30"/>
  <c r="AG9" i="30"/>
  <c r="AF9" i="30"/>
  <c r="AZ8" i="30"/>
  <c r="AR8" i="30"/>
  <c r="AP8" i="30"/>
  <c r="AJ8" i="30"/>
  <c r="BC7" i="30" a="1"/>
  <c r="BC7" i="30" s="1"/>
  <c r="BB7" i="30" a="1"/>
  <c r="BB7" i="30" s="1"/>
  <c r="BA7" i="30" a="1"/>
  <c r="BA7" i="30" s="1"/>
  <c r="AZ7" i="30" a="1"/>
  <c r="AZ7" i="30" s="1"/>
  <c r="AY7" i="30" a="1"/>
  <c r="AY7" i="30" s="1"/>
  <c r="AX7" i="30" a="1"/>
  <c r="AX7" i="30" s="1"/>
  <c r="AW7" i="30" a="1"/>
  <c r="AW7" i="30" s="1"/>
  <c r="AV7" i="30" a="1"/>
  <c r="AV7" i="30" s="1"/>
  <c r="AU7" i="30" a="1"/>
  <c r="AU7" i="30" s="1"/>
  <c r="AT7" i="30" a="1"/>
  <c r="AT7" i="30" s="1"/>
  <c r="AS7" i="30" a="1"/>
  <c r="AS7" i="30" s="1"/>
  <c r="AR7" i="30" a="1"/>
  <c r="AR7" i="30" s="1"/>
  <c r="AQ7" i="30" a="1"/>
  <c r="AQ7" i="30" s="1"/>
  <c r="AP7" i="30" a="1"/>
  <c r="AP7" i="30" s="1"/>
  <c r="AO7" i="30" a="1"/>
  <c r="AO7" i="30" s="1"/>
  <c r="AN7" i="30" a="1"/>
  <c r="AN7" i="30" s="1"/>
  <c r="AN8" i="30" s="1"/>
  <c r="AM7" i="30" a="1"/>
  <c r="AM7" i="30" s="1"/>
  <c r="AL7" i="30" a="1"/>
  <c r="AL7" i="30" s="1"/>
  <c r="AL8" i="30" s="1"/>
  <c r="AK7" i="30" a="1"/>
  <c r="AK7" i="30" s="1"/>
  <c r="AJ7" i="30" a="1"/>
  <c r="AJ7" i="30" s="1"/>
  <c r="AI7" i="30" a="1"/>
  <c r="AI7" i="30" s="1"/>
  <c r="AH7" i="30" a="1"/>
  <c r="AH7" i="30" s="1"/>
  <c r="AG7" i="30" a="1"/>
  <c r="AG7" i="30" s="1"/>
  <c r="AF7" i="30" a="1"/>
  <c r="AF7" i="30" s="1"/>
  <c r="AF8" i="30" s="1"/>
  <c r="AE7" i="30" a="1"/>
  <c r="AE7" i="30" s="1"/>
  <c r="BM6" i="30"/>
  <c r="BM9" i="30" s="1" a="1"/>
  <c r="BL6" i="30"/>
  <c r="BL9" i="30" s="1" a="1"/>
  <c r="BL9" i="30" s="1"/>
  <c r="BK6" i="30"/>
  <c r="BK9" i="30" s="1" a="1"/>
  <c r="BK9" i="30" s="1"/>
  <c r="BJ6" i="30"/>
  <c r="BJ9" i="30" s="1" a="1"/>
  <c r="BJ9" i="30" s="1"/>
  <c r="BI6" i="30"/>
  <c r="BH6" i="30"/>
  <c r="BH9" i="30" s="1" a="1"/>
  <c r="BH9" i="30" s="1"/>
  <c r="BG6" i="30"/>
  <c r="BG9" i="30" s="1" a="1"/>
  <c r="BG9" i="30" s="1"/>
  <c r="BF6" i="30"/>
  <c r="BF9" i="30" s="1" a="1"/>
  <c r="BF9" i="30" s="1"/>
  <c r="BE6" i="30"/>
  <c r="BD6" i="30" a="1"/>
  <c r="BD6" i="30"/>
  <c r="BC6" i="30"/>
  <c r="BC9" i="30" s="1" a="1"/>
  <c r="BB6" i="30"/>
  <c r="BA6" i="30"/>
  <c r="BA9" i="30" s="1" a="1"/>
  <c r="BA9" i="30" s="1"/>
  <c r="AZ6" i="30"/>
  <c r="AY6" i="30"/>
  <c r="AY9" i="30" s="1" a="1"/>
  <c r="AX6" i="30"/>
  <c r="AW6" i="30"/>
  <c r="AW9" i="30" s="1" a="1"/>
  <c r="AW9" i="30" s="1"/>
  <c r="AV6" i="30"/>
  <c r="AU6" i="30"/>
  <c r="AU9" i="30" s="1" a="1"/>
  <c r="AT6" i="30" a="1"/>
  <c r="AT6" i="30" s="1"/>
  <c r="AS6" i="30"/>
  <c r="AR6" i="30"/>
  <c r="AR9" i="30" s="1" a="1"/>
  <c r="AQ6" i="30"/>
  <c r="AP6" i="30"/>
  <c r="AP9" i="30" s="1" a="1"/>
  <c r="AP9" i="30" s="1"/>
  <c r="AO6" i="30"/>
  <c r="AN6" i="30"/>
  <c r="AN9" i="30" s="1" a="1"/>
  <c r="AM6" i="30"/>
  <c r="AL6" i="30"/>
  <c r="AL9" i="30" s="1" a="1"/>
  <c r="AL9" i="30" s="1"/>
  <c r="AK6" i="30"/>
  <c r="AJ6" i="30" a="1"/>
  <c r="AJ6" i="30"/>
  <c r="AI6" i="30"/>
  <c r="AI9" i="30" s="1" a="1"/>
  <c r="AI9" i="30" s="1"/>
  <c r="AH6" i="30"/>
  <c r="AG6" i="30"/>
  <c r="AG9" i="30" s="1" a="1"/>
  <c r="AF6" i="30"/>
  <c r="AF9" i="30" s="1" a="1"/>
  <c r="AE6" i="30"/>
  <c r="AE9" i="30" s="1" a="1"/>
  <c r="AE9" i="30" s="1"/>
  <c r="T606" i="29"/>
  <c r="AH602" i="29"/>
  <c r="AH601" i="29"/>
  <c r="AH600" i="29"/>
  <c r="AH599" i="29"/>
  <c r="AH592" i="29"/>
  <c r="AT591" i="29"/>
  <c r="AS591" i="29"/>
  <c r="AR591" i="29"/>
  <c r="AQ591" i="29"/>
  <c r="AP591" i="29"/>
  <c r="AO591" i="29"/>
  <c r="AN591" i="29"/>
  <c r="AM591" i="29"/>
  <c r="AL591" i="29"/>
  <c r="AK591" i="29"/>
  <c r="AJ591" i="29"/>
  <c r="AI591" i="29"/>
  <c r="AG591" i="29"/>
  <c r="AF591" i="29"/>
  <c r="AE591" i="29"/>
  <c r="AH590" i="29"/>
  <c r="AU588" i="29" a="1"/>
  <c r="AU588" i="29" s="1"/>
  <c r="AH588" i="29"/>
  <c r="AH587" i="29"/>
  <c r="AH585" i="29"/>
  <c r="B585" i="29"/>
  <c r="AH584" i="29"/>
  <c r="B584" i="29"/>
  <c r="AH580" i="29"/>
  <c r="AH579" i="29"/>
  <c r="AH578" i="29"/>
  <c r="AH577" i="29"/>
  <c r="AH576" i="29"/>
  <c r="BL575" i="29"/>
  <c r="BJ575" i="29"/>
  <c r="BH575" i="29"/>
  <c r="BF575" i="29"/>
  <c r="BC575" i="29"/>
  <c r="BB575" i="29"/>
  <c r="BM575" i="29" s="1"/>
  <c r="BA575" i="29"/>
  <c r="AZ575" i="29"/>
  <c r="BK575" i="29" s="1"/>
  <c r="AY575" i="29"/>
  <c r="AX575" i="29"/>
  <c r="BI575" i="29" s="1"/>
  <c r="AW575" i="29"/>
  <c r="AV575" i="29"/>
  <c r="BG575" i="29" s="1"/>
  <c r="AU575" i="29"/>
  <c r="BE575" i="29" s="1"/>
  <c r="AS575" i="29"/>
  <c r="AR575" i="29"/>
  <c r="AQ575" i="29"/>
  <c r="AP575" i="29"/>
  <c r="AO575" i="29"/>
  <c r="AN575" i="29"/>
  <c r="AM575" i="29"/>
  <c r="AL575" i="29"/>
  <c r="AK575" i="29"/>
  <c r="AI575" i="29"/>
  <c r="BD575" i="29" s="1"/>
  <c r="AG575" i="29"/>
  <c r="AH575" i="29" s="1"/>
  <c r="AF575" i="29"/>
  <c r="AE575" i="29"/>
  <c r="AH574" i="29"/>
  <c r="AH573" i="29"/>
  <c r="AH572" i="29"/>
  <c r="AH571" i="29"/>
  <c r="AH570" i="29"/>
  <c r="AH569" i="29"/>
  <c r="BM567" i="29"/>
  <c r="BL567" i="29"/>
  <c r="BK567" i="29"/>
  <c r="BJ567" i="29"/>
  <c r="BI567" i="29"/>
  <c r="BH567" i="29"/>
  <c r="BG567" i="29"/>
  <c r="BF567" i="29"/>
  <c r="BE567" i="29"/>
  <c r="BD567" i="29"/>
  <c r="AH567" i="29"/>
  <c r="BM558" i="29"/>
  <c r="BL558" i="29"/>
  <c r="BK558" i="29"/>
  <c r="BJ558" i="29"/>
  <c r="BI558" i="29"/>
  <c r="BH558" i="29"/>
  <c r="BG558" i="29"/>
  <c r="BF558" i="29"/>
  <c r="BE558" i="29"/>
  <c r="BD558" i="29"/>
  <c r="AH558" i="29"/>
  <c r="BM555" i="29"/>
  <c r="BL555" i="29"/>
  <c r="BK555" i="29"/>
  <c r="BJ555" i="29"/>
  <c r="BI555" i="29"/>
  <c r="BH555" i="29"/>
  <c r="BG555" i="29"/>
  <c r="BF555" i="29"/>
  <c r="BE555" i="29"/>
  <c r="BD555" i="29"/>
  <c r="AH555" i="29"/>
  <c r="B555" i="29"/>
  <c r="B556" i="29" s="1" a="1"/>
  <c r="B556" i="29" s="1"/>
  <c r="B557" i="29" s="1" a="1"/>
  <c r="B557" i="29" s="1"/>
  <c r="B558" i="29" s="1" a="1"/>
  <c r="B558" i="29" s="1"/>
  <c r="B559" i="29" s="1" a="1"/>
  <c r="B559" i="29" s="1"/>
  <c r="B560" i="29" s="1" a="1"/>
  <c r="B560" i="29" s="1"/>
  <c r="B561" i="29" s="1" a="1"/>
  <c r="B561" i="29" s="1"/>
  <c r="B562" i="29" s="1" a="1"/>
  <c r="B562" i="29" s="1"/>
  <c r="B563" i="29" s="1" a="1"/>
  <c r="B563" i="29" s="1"/>
  <c r="B564" i="29" s="1" a="1"/>
  <c r="B564" i="29" s="1"/>
  <c r="B565" i="29" s="1" a="1"/>
  <c r="B565" i="29" s="1"/>
  <c r="B566" i="29" s="1" a="1"/>
  <c r="B566" i="29" s="1"/>
  <c r="D567" i="29" s="1"/>
  <c r="BM554" i="29"/>
  <c r="BL554" i="29"/>
  <c r="BK554" i="29"/>
  <c r="BJ554" i="29"/>
  <c r="BI554" i="29"/>
  <c r="BH554" i="29"/>
  <c r="BG554" i="29"/>
  <c r="BF554" i="29"/>
  <c r="BE554" i="29"/>
  <c r="BD554" i="29"/>
  <c r="AH554" i="29"/>
  <c r="B554" i="29"/>
  <c r="BM553" i="29"/>
  <c r="BL553" i="29"/>
  <c r="BK553" i="29"/>
  <c r="BJ553" i="29"/>
  <c r="BI553" i="29"/>
  <c r="BH553" i="29"/>
  <c r="BG553" i="29"/>
  <c r="BF553" i="29"/>
  <c r="BE553" i="29"/>
  <c r="BD553" i="29"/>
  <c r="AH553" i="29"/>
  <c r="B549" i="29"/>
  <c r="B550" i="29" s="1" a="1"/>
  <c r="B550" i="29" s="1"/>
  <c r="B551" i="29" s="1" a="1"/>
  <c r="B551" i="29" s="1"/>
  <c r="B552" i="29" s="1" a="1"/>
  <c r="B552" i="29" s="1"/>
  <c r="B553" i="29" s="1" a="1"/>
  <c r="B553" i="29" s="1"/>
  <c r="B548" i="29" a="1"/>
  <c r="B548" i="29" s="1"/>
  <c r="B549" i="29" s="1" a="1"/>
  <c r="B547" i="29"/>
  <c r="BM545" i="29"/>
  <c r="BL545" i="29"/>
  <c r="BK545" i="29"/>
  <c r="BJ545" i="29"/>
  <c r="BI545" i="29"/>
  <c r="BH545" i="29"/>
  <c r="BG545" i="29"/>
  <c r="BF545" i="29"/>
  <c r="BE545" i="29"/>
  <c r="BD545" i="29"/>
  <c r="AH545" i="29"/>
  <c r="BM544" i="29"/>
  <c r="BL544" i="29"/>
  <c r="BK544" i="29"/>
  <c r="BJ544" i="29"/>
  <c r="BI544" i="29"/>
  <c r="BH544" i="29"/>
  <c r="BG544" i="29"/>
  <c r="BF544" i="29"/>
  <c r="BE544" i="29"/>
  <c r="BD544" i="29"/>
  <c r="AH544" i="29"/>
  <c r="BM543" i="29"/>
  <c r="BL543" i="29"/>
  <c r="BK543" i="29"/>
  <c r="BJ543" i="29"/>
  <c r="BI543" i="29"/>
  <c r="BH543" i="29"/>
  <c r="BG543" i="29"/>
  <c r="BF543" i="29"/>
  <c r="BE543" i="29"/>
  <c r="BD543" i="29"/>
  <c r="AH543" i="29"/>
  <c r="BK542" i="29"/>
  <c r="BG542" i="29"/>
  <c r="BC542" i="29"/>
  <c r="BB542" i="29"/>
  <c r="BM542" i="29" s="1"/>
  <c r="BA542" i="29"/>
  <c r="BL542" i="29" s="1"/>
  <c r="AZ542" i="29"/>
  <c r="AY542" i="29"/>
  <c r="BJ542" i="29" s="1"/>
  <c r="AX542" i="29"/>
  <c r="BI542" i="29" s="1"/>
  <c r="AW542" i="29"/>
  <c r="BH542" i="29" s="1"/>
  <c r="AV542" i="29"/>
  <c r="AU542" i="29"/>
  <c r="BF542" i="29" s="1"/>
  <c r="AT542" i="29"/>
  <c r="BE542" i="29" s="1"/>
  <c r="AS542" i="29"/>
  <c r="AR542" i="29"/>
  <c r="AQ542" i="29"/>
  <c r="AP542" i="29"/>
  <c r="AO542" i="29"/>
  <c r="AN542" i="29"/>
  <c r="AM542" i="29"/>
  <c r="AL542" i="29"/>
  <c r="AK542" i="29"/>
  <c r="AJ542" i="29"/>
  <c r="AI542" i="29"/>
  <c r="BD542" i="29" s="1"/>
  <c r="AH542" i="29"/>
  <c r="AG542" i="29"/>
  <c r="AF542" i="29"/>
  <c r="AE542" i="29"/>
  <c r="BM541" i="29"/>
  <c r="BL541" i="29"/>
  <c r="BK541" i="29"/>
  <c r="BJ541" i="29"/>
  <c r="BI541" i="29"/>
  <c r="BH541" i="29"/>
  <c r="BG541" i="29"/>
  <c r="BF541" i="29"/>
  <c r="BE541" i="29"/>
  <c r="BD541" i="29"/>
  <c r="AH541" i="29"/>
  <c r="BM540" i="29"/>
  <c r="BL540" i="29"/>
  <c r="BK540" i="29"/>
  <c r="BJ540" i="29"/>
  <c r="BI540" i="29"/>
  <c r="BH540" i="29"/>
  <c r="BG540" i="29"/>
  <c r="BF540" i="29"/>
  <c r="BE540" i="29"/>
  <c r="BD540" i="29"/>
  <c r="AH540" i="29"/>
  <c r="BD539" i="29"/>
  <c r="AH539" i="29"/>
  <c r="BM538" i="29"/>
  <c r="BL538" i="29"/>
  <c r="BK538" i="29"/>
  <c r="BJ538" i="29"/>
  <c r="BI538" i="29"/>
  <c r="BH538" i="29"/>
  <c r="BG538" i="29"/>
  <c r="BF538" i="29"/>
  <c r="B538" i="29"/>
  <c r="BJ537" i="29"/>
  <c r="BC537" i="29" a="1"/>
  <c r="BC537" i="29"/>
  <c r="BB537" i="29" a="1"/>
  <c r="BB537" i="29" s="1"/>
  <c r="BM537" i="29" s="1"/>
  <c r="BA537" i="29" a="1"/>
  <c r="BA537" i="29"/>
  <c r="BL537" i="29" s="1"/>
  <c r="AZ537" i="29" a="1"/>
  <c r="AZ537" i="29" s="1"/>
  <c r="BK537" i="29" s="1"/>
  <c r="AY537" i="29" a="1"/>
  <c r="AY537" i="29"/>
  <c r="AX537" i="29" a="1"/>
  <c r="AX537" i="29" s="1"/>
  <c r="BI537" i="29" s="1"/>
  <c r="AW537" i="29" a="1"/>
  <c r="AW537" i="29"/>
  <c r="BH537" i="29" s="1"/>
  <c r="AV537" i="29" a="1"/>
  <c r="AV537" i="29" s="1"/>
  <c r="BG537" i="29" s="1"/>
  <c r="AU537" i="29" a="1"/>
  <c r="AU537" i="29"/>
  <c r="BF537" i="29" s="1"/>
  <c r="AS537" i="29" a="1"/>
  <c r="AS537" i="29"/>
  <c r="AR537" i="29" a="1"/>
  <c r="AR537" i="29" s="1"/>
  <c r="AQ537" i="29" a="1"/>
  <c r="AQ537" i="29"/>
  <c r="AP537" i="29" a="1"/>
  <c r="AP537" i="29" s="1"/>
  <c r="AO537" i="29" a="1"/>
  <c r="AO537" i="29"/>
  <c r="AN537" i="29" a="1"/>
  <c r="AN537" i="29" s="1"/>
  <c r="AM537" i="29" a="1"/>
  <c r="AM537" i="29"/>
  <c r="AL537" i="29" a="1"/>
  <c r="AL537" i="29" s="1"/>
  <c r="AK537" i="29" a="1"/>
  <c r="AK537" i="29"/>
  <c r="B537" i="29"/>
  <c r="BM535" i="29"/>
  <c r="BL535" i="29"/>
  <c r="BK535" i="29"/>
  <c r="BJ535" i="29"/>
  <c r="BI535" i="29"/>
  <c r="BH535" i="29"/>
  <c r="BG535" i="29"/>
  <c r="BF535" i="29"/>
  <c r="BE535" i="29"/>
  <c r="BD535" i="29"/>
  <c r="AH535" i="29"/>
  <c r="BM518" i="29"/>
  <c r="BL518" i="29"/>
  <c r="BK518" i="29"/>
  <c r="BJ518" i="29"/>
  <c r="BI518" i="29"/>
  <c r="BH518" i="29"/>
  <c r="BG518" i="29"/>
  <c r="BF518" i="29"/>
  <c r="BE518" i="29"/>
  <c r="BD518" i="29"/>
  <c r="AH518" i="29"/>
  <c r="BM517" i="29"/>
  <c r="BL517" i="29"/>
  <c r="BK517" i="29"/>
  <c r="BJ517" i="29"/>
  <c r="BI517" i="29"/>
  <c r="BH517" i="29"/>
  <c r="BG517" i="29"/>
  <c r="BF517" i="29"/>
  <c r="BE517" i="29"/>
  <c r="BD517" i="29"/>
  <c r="AH517" i="29"/>
  <c r="BU508" i="29" a="1"/>
  <c r="BU508" i="29"/>
  <c r="BD508" i="29"/>
  <c r="AH508" i="29"/>
  <c r="AB508" i="29"/>
  <c r="J508" i="29" a="1"/>
  <c r="J508" i="29" s="1"/>
  <c r="B508" i="29"/>
  <c r="B509" i="29" s="1" a="1"/>
  <c r="B509" i="29" s="1"/>
  <c r="AT507" i="29"/>
  <c r="AJ507" i="29"/>
  <c r="AI507" i="29"/>
  <c r="BD507" i="29" s="1"/>
  <c r="AG507" i="29"/>
  <c r="AF507" i="29"/>
  <c r="AE507" i="29"/>
  <c r="BD506" i="29"/>
  <c r="AH506" i="29"/>
  <c r="B505" i="29"/>
  <c r="BD481" i="29"/>
  <c r="AH481" i="29"/>
  <c r="BD480" i="29"/>
  <c r="AH480" i="29"/>
  <c r="BD478" i="29"/>
  <c r="AH478" i="29"/>
  <c r="BD477" i="29"/>
  <c r="AH477" i="29"/>
  <c r="BD476" i="29"/>
  <c r="AH476" i="29"/>
  <c r="BD475" i="29"/>
  <c r="AH475" i="29"/>
  <c r="BD474" i="29"/>
  <c r="AH474" i="29"/>
  <c r="BD473" i="29"/>
  <c r="AH473" i="29"/>
  <c r="BD472" i="29"/>
  <c r="AH472" i="29"/>
  <c r="AT471" i="29"/>
  <c r="AJ471" i="29"/>
  <c r="AI471" i="29"/>
  <c r="BD471" i="29" s="1"/>
  <c r="AG471" i="29"/>
  <c r="AF471" i="29"/>
  <c r="AH471" i="29" s="1"/>
  <c r="AE471" i="29"/>
  <c r="BD470" i="29"/>
  <c r="AH470" i="29"/>
  <c r="BD466" i="29"/>
  <c r="AH466" i="29"/>
  <c r="BD465" i="29"/>
  <c r="AH465" i="29"/>
  <c r="BD464" i="29"/>
  <c r="AH464" i="29"/>
  <c r="BD463" i="29"/>
  <c r="AT463" i="29"/>
  <c r="AJ463" i="29"/>
  <c r="AI463" i="29"/>
  <c r="AH463" i="29"/>
  <c r="AG463" i="29"/>
  <c r="AF463" i="29"/>
  <c r="AE463" i="29"/>
  <c r="BD461" i="29"/>
  <c r="AH461" i="29"/>
  <c r="T459" i="29"/>
  <c r="T460" i="29" s="1" a="1"/>
  <c r="T460" i="29" s="1"/>
  <c r="T461" i="29" s="1" a="1"/>
  <c r="T461" i="29" s="1"/>
  <c r="T462" i="29" s="1" a="1"/>
  <c r="T462" i="29" s="1"/>
  <c r="T463" i="29" s="1" a="1"/>
  <c r="T463" i="29" s="1"/>
  <c r="T464" i="29" s="1" a="1"/>
  <c r="T464" i="29" s="1"/>
  <c r="T465" i="29" s="1" a="1"/>
  <c r="T465" i="29" s="1"/>
  <c r="T466" i="29" s="1" a="1"/>
  <c r="T466" i="29" s="1"/>
  <c r="T467" i="29" s="1" a="1"/>
  <c r="T467" i="29" s="1"/>
  <c r="T468" i="29" s="1" a="1"/>
  <c r="T468" i="29" s="1"/>
  <c r="T469" i="29" s="1" a="1"/>
  <c r="T469" i="29" s="1"/>
  <c r="T470" i="29" s="1" a="1"/>
  <c r="T470" i="29" s="1"/>
  <c r="T471" i="29" s="1" a="1"/>
  <c r="T471" i="29" s="1"/>
  <c r="T472" i="29" s="1" a="1"/>
  <c r="T472" i="29" s="1"/>
  <c r="T473" i="29" s="1" a="1"/>
  <c r="T473" i="29" s="1"/>
  <c r="T474" i="29" s="1" a="1"/>
  <c r="T474" i="29" s="1"/>
  <c r="T475" i="29" s="1" a="1"/>
  <c r="T475" i="29" s="1"/>
  <c r="T476" i="29" s="1" a="1"/>
  <c r="T476" i="29" s="1"/>
  <c r="T477" i="29" s="1" a="1"/>
  <c r="T477" i="29" s="1"/>
  <c r="T478" i="29" s="1" a="1"/>
  <c r="T478" i="29" s="1"/>
  <c r="T479" i="29" s="1" a="1"/>
  <c r="T479" i="29" s="1"/>
  <c r="T480" i="29" s="1" a="1"/>
  <c r="T480" i="29" s="1"/>
  <c r="T481" i="29" s="1" a="1"/>
  <c r="T481" i="29" s="1"/>
  <c r="T482" i="29" s="1" a="1"/>
  <c r="T482" i="29" s="1"/>
  <c r="T483" i="29" s="1" a="1"/>
  <c r="T483" i="29" s="1"/>
  <c r="T484" i="29" s="1" a="1"/>
  <c r="T484" i="29" s="1"/>
  <c r="T485" i="29" s="1" a="1"/>
  <c r="T485" i="29" s="1"/>
  <c r="T486" i="29" s="1" a="1"/>
  <c r="T486" i="29" s="1"/>
  <c r="T487" i="29" s="1" a="1"/>
  <c r="T487" i="29" s="1"/>
  <c r="T488" i="29" s="1" a="1"/>
  <c r="T488" i="29" s="1"/>
  <c r="T489" i="29" s="1" a="1"/>
  <c r="T489" i="29" s="1"/>
  <c r="T490" i="29" s="1" a="1"/>
  <c r="T490" i="29" s="1"/>
  <c r="T491" i="29" s="1" a="1"/>
  <c r="T491" i="29" s="1"/>
  <c r="T492" i="29" s="1" a="1"/>
  <c r="T492" i="29" s="1"/>
  <c r="T493" i="29" s="1" a="1"/>
  <c r="T493" i="29" s="1"/>
  <c r="T494" i="29" s="1" a="1"/>
  <c r="T494" i="29" s="1"/>
  <c r="T495" i="29" s="1" a="1"/>
  <c r="T495" i="29" s="1"/>
  <c r="T496" i="29" s="1" a="1"/>
  <c r="T496" i="29" s="1"/>
  <c r="T497" i="29" s="1" a="1"/>
  <c r="T497" i="29" s="1"/>
  <c r="T498" i="29" s="1" a="1"/>
  <c r="T498" i="29" s="1"/>
  <c r="T499" i="29" s="1" a="1"/>
  <c r="T499" i="29" s="1"/>
  <c r="T500" i="29" s="1" a="1"/>
  <c r="T500" i="29" s="1"/>
  <c r="T501" i="29" s="1" a="1"/>
  <c r="T501" i="29" s="1"/>
  <c r="T502" i="29" s="1" a="1"/>
  <c r="T502" i="29" s="1"/>
  <c r="T503" i="29" s="1" a="1"/>
  <c r="T503" i="29" s="1"/>
  <c r="T504" i="29" s="1" a="1"/>
  <c r="T504" i="29" s="1"/>
  <c r="T505" i="29" s="1" a="1"/>
  <c r="T505" i="29" s="1"/>
  <c r="T506" i="29" s="1" a="1"/>
  <c r="T506" i="29" s="1"/>
  <c r="S459" i="29" a="1"/>
  <c r="S459" i="29" s="1"/>
  <c r="B572" i="29" s="1"/>
  <c r="B573" i="29" s="1" a="1"/>
  <c r="B573" i="29" s="1"/>
  <c r="F459" i="29" a="1"/>
  <c r="F459" i="29"/>
  <c r="F460" i="29" s="1" a="1"/>
  <c r="F460" i="29" s="1"/>
  <c r="F461" i="29" s="1" a="1"/>
  <c r="F461" i="29" s="1"/>
  <c r="F462" i="29" s="1" a="1"/>
  <c r="F462" i="29" s="1"/>
  <c r="F463" i="29" s="1" a="1"/>
  <c r="F463" i="29" s="1"/>
  <c r="F464" i="29" s="1" a="1"/>
  <c r="F464" i="29" s="1"/>
  <c r="F465" i="29" s="1" a="1"/>
  <c r="F465" i="29" s="1"/>
  <c r="F466" i="29" s="1" a="1"/>
  <c r="F466" i="29" s="1"/>
  <c r="F467" i="29" s="1" a="1"/>
  <c r="F467" i="29" s="1"/>
  <c r="F468" i="29" s="1" a="1"/>
  <c r="F468" i="29" s="1"/>
  <c r="AH458" i="29"/>
  <c r="AH457" i="29"/>
  <c r="AH456" i="29"/>
  <c r="AH455" i="29"/>
  <c r="AH448" i="29"/>
  <c r="AT447" i="29"/>
  <c r="AS447" i="29"/>
  <c r="AR447" i="29"/>
  <c r="AQ447" i="29"/>
  <c r="AP447" i="29"/>
  <c r="AO447" i="29"/>
  <c r="AN447" i="29"/>
  <c r="AM447" i="29"/>
  <c r="AL447" i="29"/>
  <c r="AK447" i="29"/>
  <c r="AJ447" i="29"/>
  <c r="AI447" i="29"/>
  <c r="AG447" i="29"/>
  <c r="AF447" i="29"/>
  <c r="AE447" i="29"/>
  <c r="AH446" i="29"/>
  <c r="AU444" i="29" a="1"/>
  <c r="AU444" i="29"/>
  <c r="AH444" i="29"/>
  <c r="AH443" i="29"/>
  <c r="AH441" i="29"/>
  <c r="B441" i="29"/>
  <c r="AH440" i="29"/>
  <c r="B440" i="29"/>
  <c r="AH436" i="29"/>
  <c r="AH435" i="29"/>
  <c r="AH434" i="29"/>
  <c r="AH433" i="29"/>
  <c r="AH432" i="29"/>
  <c r="BM431" i="29"/>
  <c r="BI431" i="29"/>
  <c r="BE431" i="29"/>
  <c r="BD431" i="29"/>
  <c r="BC431" i="29"/>
  <c r="BB431" i="29"/>
  <c r="BA431" i="29"/>
  <c r="BL431" i="29" s="1"/>
  <c r="AZ431" i="29"/>
  <c r="BK431" i="29" s="1"/>
  <c r="AY431" i="29"/>
  <c r="BJ431" i="29" s="1"/>
  <c r="AX431" i="29"/>
  <c r="AW431" i="29"/>
  <c r="BH431" i="29" s="1"/>
  <c r="AV431" i="29"/>
  <c r="BG431" i="29" s="1"/>
  <c r="AU431" i="29"/>
  <c r="BF431" i="29" s="1"/>
  <c r="AS431" i="29"/>
  <c r="AR431" i="29"/>
  <c r="AQ431" i="29"/>
  <c r="AP431" i="29"/>
  <c r="AO431" i="29"/>
  <c r="AN431" i="29"/>
  <c r="AM431" i="29"/>
  <c r="AL431" i="29"/>
  <c r="AK431" i="29"/>
  <c r="AH431" i="29"/>
  <c r="AG431" i="29"/>
  <c r="AF431" i="29"/>
  <c r="AE431" i="29"/>
  <c r="AH430" i="29"/>
  <c r="AH429" i="29"/>
  <c r="AH428" i="29"/>
  <c r="AH427" i="29"/>
  <c r="AH426" i="29"/>
  <c r="AH425" i="29"/>
  <c r="BM423" i="29"/>
  <c r="BL423" i="29"/>
  <c r="BK423" i="29"/>
  <c r="BJ423" i="29"/>
  <c r="BI423" i="29"/>
  <c r="BH423" i="29"/>
  <c r="BG423" i="29"/>
  <c r="BF423" i="29"/>
  <c r="BE423" i="29"/>
  <c r="BD423" i="29"/>
  <c r="AH423" i="29"/>
  <c r="BM414" i="29"/>
  <c r="BL414" i="29"/>
  <c r="BK414" i="29"/>
  <c r="BJ414" i="29"/>
  <c r="BI414" i="29"/>
  <c r="BH414" i="29"/>
  <c r="BG414" i="29"/>
  <c r="BF414" i="29"/>
  <c r="BE414" i="29"/>
  <c r="BD414" i="29"/>
  <c r="AH414" i="29"/>
  <c r="B414" i="29"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413" i="29"/>
  <c r="B412" i="29" a="1"/>
  <c r="B412" i="29" s="1"/>
  <c r="B413" i="29" s="1" a="1"/>
  <c r="BM411" i="29"/>
  <c r="BL411" i="29"/>
  <c r="BK411" i="29"/>
  <c r="BJ411" i="29"/>
  <c r="BI411" i="29"/>
  <c r="BH411" i="29"/>
  <c r="BG411" i="29"/>
  <c r="BF411" i="29"/>
  <c r="BE411" i="29"/>
  <c r="BD411" i="29"/>
  <c r="AH411" i="29"/>
  <c r="B411" i="29"/>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5" i="29" a="1"/>
  <c r="B405" i="29" s="1"/>
  <c r="B406" i="29" s="1" a="1"/>
  <c r="B406" i="29" s="1"/>
  <c r="B407" i="29" s="1" a="1"/>
  <c r="B407" i="29" s="1"/>
  <c r="B408" i="29" s="1" a="1"/>
  <c r="B408" i="29" s="1"/>
  <c r="B409" i="29" s="1" a="1"/>
  <c r="B409" i="29" s="1"/>
  <c r="B404" i="29" a="1"/>
  <c r="B404"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M398" i="29"/>
  <c r="BI398" i="29"/>
  <c r="BH398" i="29"/>
  <c r="BE398" i="29"/>
  <c r="BD398" i="29"/>
  <c r="BC398" i="29"/>
  <c r="BB398" i="29"/>
  <c r="BA398" i="29"/>
  <c r="BL398" i="29" s="1"/>
  <c r="AZ398" i="29"/>
  <c r="BK398" i="29" s="1"/>
  <c r="AY398" i="29"/>
  <c r="BJ398" i="29" s="1"/>
  <c r="AX398" i="29"/>
  <c r="AW398" i="29"/>
  <c r="AV398" i="29"/>
  <c r="BG398" i="29" s="1"/>
  <c r="AU398" i="29"/>
  <c r="BF398" i="29" s="1"/>
  <c r="AT398" i="29"/>
  <c r="AS398" i="29"/>
  <c r="AR398" i="29"/>
  <c r="AQ398" i="29"/>
  <c r="AP398" i="29"/>
  <c r="AO398" i="29"/>
  <c r="AN398" i="29"/>
  <c r="AM398" i="29"/>
  <c r="AL398" i="29"/>
  <c r="AK398" i="29"/>
  <c r="AJ398" i="29"/>
  <c r="AI398" i="29"/>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K393" i="29"/>
  <c r="BC393" i="29" a="1"/>
  <c r="BC393" i="29" s="1"/>
  <c r="BB393" i="29" a="1"/>
  <c r="BB393" i="29"/>
  <c r="BM393" i="29" s="1"/>
  <c r="BA393" i="29" a="1"/>
  <c r="BA393" i="29" s="1"/>
  <c r="BL393" i="29" s="1"/>
  <c r="AZ393" i="29" a="1"/>
  <c r="AZ393" i="29"/>
  <c r="AY393" i="29" a="1"/>
  <c r="AY393" i="29" s="1"/>
  <c r="BJ393" i="29" s="1"/>
  <c r="AX393" i="29" a="1"/>
  <c r="AX393" i="29"/>
  <c r="BI393" i="29" s="1"/>
  <c r="AW393" i="29" a="1"/>
  <c r="AW393" i="29" s="1"/>
  <c r="BH393" i="29" s="1"/>
  <c r="AV393" i="29" a="1"/>
  <c r="AV393" i="29"/>
  <c r="BG393" i="29" s="1"/>
  <c r="AU393" i="29" a="1"/>
  <c r="AU393" i="29" s="1"/>
  <c r="BF393" i="29" s="1"/>
  <c r="AS393" i="29" a="1"/>
  <c r="AS393" i="29" s="1"/>
  <c r="AR393" i="29" a="1"/>
  <c r="AR393" i="29"/>
  <c r="AQ393" i="29" a="1"/>
  <c r="AQ393" i="29" s="1"/>
  <c r="AP393" i="29" a="1"/>
  <c r="AP393" i="29"/>
  <c r="AO393" i="29" a="1"/>
  <c r="AO393" i="29" s="1"/>
  <c r="AN393" i="29" a="1"/>
  <c r="AN393" i="29"/>
  <c r="AM393" i="29" a="1"/>
  <c r="AM393" i="29" s="1"/>
  <c r="AL393" i="29" a="1"/>
  <c r="AL393" i="29"/>
  <c r="AK393" i="29" a="1"/>
  <c r="AK393" i="29" s="1"/>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H327" i="29" s="1"/>
  <c r="AF327" i="29"/>
  <c r="AE327" i="29"/>
  <c r="BD326" i="29"/>
  <c r="AH326" i="29"/>
  <c r="BD322" i="29"/>
  <c r="AH322" i="29"/>
  <c r="BD321" i="29"/>
  <c r="AH321" i="29"/>
  <c r="T321" i="29"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BD320" i="29"/>
  <c r="AH320" i="29"/>
  <c r="AT319" i="29"/>
  <c r="AJ319" i="29"/>
  <c r="AI319" i="29"/>
  <c r="AG319" i="29"/>
  <c r="AF319" i="29"/>
  <c r="AH319" i="29" s="1"/>
  <c r="AE319" i="29"/>
  <c r="BD317" i="29"/>
  <c r="AH317" i="29"/>
  <c r="T315" i="29"/>
  <c r="T316" i="29" s="1" a="1"/>
  <c r="T316" i="29" s="1"/>
  <c r="T317" i="29" s="1" a="1"/>
  <c r="T317" i="29" s="1"/>
  <c r="T318" i="29" s="1" a="1"/>
  <c r="T318" i="29" s="1"/>
  <c r="T319" i="29" s="1" a="1"/>
  <c r="T319" i="29" s="1"/>
  <c r="T320" i="29" s="1" a="1"/>
  <c r="T320"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H304" i="29"/>
  <c r="AT303" i="29"/>
  <c r="AS303" i="29"/>
  <c r="AR303" i="29"/>
  <c r="AQ303" i="29"/>
  <c r="AP303" i="29"/>
  <c r="AO303" i="29"/>
  <c r="AN303" i="29"/>
  <c r="AM303" i="29"/>
  <c r="AL303" i="29"/>
  <c r="AK303" i="29"/>
  <c r="AJ303" i="29"/>
  <c r="AI303" i="29"/>
  <c r="AG303" i="29"/>
  <c r="AF303" i="29"/>
  <c r="AE303" i="29"/>
  <c r="AH302" i="29"/>
  <c r="AU300" i="29" a="1"/>
  <c r="AU300" i="29" s="1"/>
  <c r="AH300" i="29"/>
  <c r="AH299" i="29"/>
  <c r="AH297" i="29"/>
  <c r="B297" i="29"/>
  <c r="AH296" i="29"/>
  <c r="B296" i="29"/>
  <c r="AH292" i="29"/>
  <c r="AH291" i="29"/>
  <c r="AH290" i="29"/>
  <c r="AH289" i="29"/>
  <c r="AH288" i="29"/>
  <c r="BJ287" i="29"/>
  <c r="BF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F287" i="29"/>
  <c r="AH287" i="29" s="1"/>
  <c r="AH286" i="29"/>
  <c r="AH285" i="29"/>
  <c r="AH284" i="29"/>
  <c r="AH283" i="29"/>
  <c r="AH282" i="29"/>
  <c r="AH281" i="29"/>
  <c r="BM279" i="29"/>
  <c r="BL279" i="29"/>
  <c r="BK279" i="29"/>
  <c r="BJ279" i="29"/>
  <c r="BI279" i="29"/>
  <c r="BH279" i="29"/>
  <c r="BG279" i="29"/>
  <c r="BF279" i="29"/>
  <c r="BE279" i="29"/>
  <c r="BD279" i="29"/>
  <c r="AH279" i="29"/>
  <c r="B271" i="29"/>
  <c r="B272" i="29" s="1" a="1"/>
  <c r="B272" i="29" s="1"/>
  <c r="B273" i="29" s="1" a="1"/>
  <c r="B273" i="29" s="1"/>
  <c r="B274" i="29" s="1" a="1"/>
  <c r="B274" i="29" s="1"/>
  <c r="B275" i="29" s="1" a="1"/>
  <c r="B275" i="29" s="1"/>
  <c r="B276" i="29" s="1" a="1"/>
  <c r="B276" i="29" s="1"/>
  <c r="B277" i="29" s="1" a="1"/>
  <c r="B277" i="29" s="1"/>
  <c r="B278" i="29" s="1" a="1"/>
  <c r="B278" i="29" s="1"/>
  <c r="D279" i="29" s="1"/>
  <c r="BM270" i="29"/>
  <c r="BL270" i="29"/>
  <c r="BK270" i="29"/>
  <c r="BJ270" i="29"/>
  <c r="BI270" i="29"/>
  <c r="BH270" i="29"/>
  <c r="BG270" i="29"/>
  <c r="BF270" i="29"/>
  <c r="BE270" i="29"/>
  <c r="BD270" i="29"/>
  <c r="AH270" i="29"/>
  <c r="B268" i="29" a="1"/>
  <c r="B268" i="29" s="1"/>
  <c r="B269" i="29" s="1" a="1"/>
  <c r="B269" i="29" s="1"/>
  <c r="B270" i="29" s="1" a="1"/>
  <c r="B270" i="29" s="1"/>
  <c r="B271" i="29" s="1"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J254" i="29"/>
  <c r="BI254" i="29"/>
  <c r="BF254" i="29"/>
  <c r="BE254" i="29"/>
  <c r="BD254" i="29"/>
  <c r="BC254" i="29"/>
  <c r="BB254" i="29"/>
  <c r="BA254" i="29"/>
  <c r="BL254" i="29" s="1"/>
  <c r="AZ254" i="29"/>
  <c r="BK254" i="29" s="1"/>
  <c r="AY254" i="29"/>
  <c r="AX254" i="29"/>
  <c r="AW254" i="29"/>
  <c r="BH254" i="29" s="1"/>
  <c r="AV254" i="29"/>
  <c r="BG254" i="29" s="1"/>
  <c r="AU254" i="29"/>
  <c r="AT254" i="29"/>
  <c r="AS254" i="29"/>
  <c r="AR254" i="29"/>
  <c r="AQ254" i="29"/>
  <c r="AP254" i="29"/>
  <c r="AO254" i="29"/>
  <c r="AN254" i="29"/>
  <c r="AM254" i="29"/>
  <c r="AL254" i="29"/>
  <c r="AK254" i="29"/>
  <c r="AJ254" i="29"/>
  <c r="AI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H249" i="29"/>
  <c r="BC249" i="29" a="1"/>
  <c r="BC249" i="29" s="1"/>
  <c r="BB249" i="29" a="1"/>
  <c r="BB249" i="29"/>
  <c r="BM249" i="29" s="1"/>
  <c r="BA249" i="29" a="1"/>
  <c r="BA249" i="29" s="1"/>
  <c r="BL249" i="29" s="1"/>
  <c r="AZ249" i="29" a="1"/>
  <c r="AZ249" i="29"/>
  <c r="BK249" i="29" s="1"/>
  <c r="AY249" i="29" a="1"/>
  <c r="AY249" i="29" s="1"/>
  <c r="BJ249" i="29" s="1"/>
  <c r="AX249" i="29" a="1"/>
  <c r="AX249" i="29"/>
  <c r="BI249" i="29" s="1"/>
  <c r="AW249" i="29" a="1"/>
  <c r="AW249" i="29" s="1"/>
  <c r="AV249" i="29" a="1"/>
  <c r="AV249" i="29"/>
  <c r="BG249" i="29" s="1"/>
  <c r="AU249" i="29" a="1"/>
  <c r="AU249" i="29" s="1"/>
  <c r="BF249" i="29" s="1"/>
  <c r="AS249" i="29" a="1"/>
  <c r="AS249" i="29" s="1"/>
  <c r="AR249" i="29" a="1"/>
  <c r="AR249" i="29"/>
  <c r="AQ249" i="29" a="1"/>
  <c r="AQ249" i="29" s="1"/>
  <c r="AP249" i="29" a="1"/>
  <c r="AP249" i="29"/>
  <c r="AO249" i="29" a="1"/>
  <c r="AO249" i="29" s="1"/>
  <c r="AN249" i="29" a="1"/>
  <c r="AN249" i="29"/>
  <c r="AM249" i="29" a="1"/>
  <c r="AM249" i="29" s="1"/>
  <c r="AL249" i="29" a="1"/>
  <c r="AL249" i="29"/>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c r="B220" i="29"/>
  <c r="B221" i="29" s="1" a="1"/>
  <c r="B221" i="29" s="1"/>
  <c r="BD219" i="29"/>
  <c r="AT219" i="29"/>
  <c r="AJ219" i="29"/>
  <c r="AI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E183" i="29"/>
  <c r="BD182" i="29"/>
  <c r="AH182" i="29"/>
  <c r="BD178" i="29"/>
  <c r="AH178" i="29"/>
  <c r="BD177" i="29"/>
  <c r="AH177" i="29"/>
  <c r="BD176" i="29"/>
  <c r="AH176" i="29"/>
  <c r="BD175" i="29"/>
  <c r="AT175" i="29"/>
  <c r="AJ175" i="29"/>
  <c r="AI175" i="29"/>
  <c r="AH175" i="29"/>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K143" i="29"/>
  <c r="BJ143" i="29"/>
  <c r="BG143" i="29"/>
  <c r="BF143" i="29"/>
  <c r="BC143" i="29"/>
  <c r="BB143" i="29"/>
  <c r="BM143" i="29" s="1"/>
  <c r="BA143" i="29"/>
  <c r="BL143" i="29" s="1"/>
  <c r="AZ143" i="29"/>
  <c r="AY143" i="29"/>
  <c r="AX143" i="29"/>
  <c r="BI143" i="29" s="1"/>
  <c r="AW143" i="29"/>
  <c r="BH143" i="29" s="1"/>
  <c r="AV143" i="29"/>
  <c r="AU143" i="29"/>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127" i="29" a="1"/>
  <c r="B127" i="29" s="1"/>
  <c r="B128" i="29" s="1" a="1"/>
  <c r="B128" i="29" s="1"/>
  <c r="B129" i="29" s="1" a="1"/>
  <c r="B129" i="29" s="1"/>
  <c r="B130" i="29" s="1" a="1"/>
  <c r="B130" i="29" s="1"/>
  <c r="B131" i="29" s="1" a="1"/>
  <c r="B131" i="29" s="1"/>
  <c r="B132" i="29" s="1" a="1"/>
  <c r="B132" i="29" s="1"/>
  <c r="B133" i="29" s="1" a="1"/>
  <c r="B133" i="29" s="1"/>
  <c r="B134" i="29" s="1" a="1"/>
  <c r="B134" i="29" s="1"/>
  <c r="D135" i="29" s="1"/>
  <c r="BM126" i="29"/>
  <c r="BL126" i="29"/>
  <c r="BK126" i="29"/>
  <c r="BJ126" i="29"/>
  <c r="BI126" i="29"/>
  <c r="BH126" i="29"/>
  <c r="BG126" i="29"/>
  <c r="BF126" i="29"/>
  <c r="BE126" i="29"/>
  <c r="BD126" i="29"/>
  <c r="AH126" i="29"/>
  <c r="B124" i="29" a="1"/>
  <c r="B124" i="29" s="1"/>
  <c r="B125" i="29" s="1" a="1"/>
  <c r="B125" i="29" s="1"/>
  <c r="B126" i="29" s="1" a="1"/>
  <c r="B126"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20" i="29"/>
  <c r="B121" i="29" s="1" a="1"/>
  <c r="B121" i="29" s="1"/>
  <c r="B115" i="29"/>
  <c r="B116" i="29" s="1" a="1"/>
  <c r="B116" i="29" s="1"/>
  <c r="B117" i="29" s="1" a="1"/>
  <c r="B117" i="29" s="1"/>
  <c r="B118" i="29" s="1" a="1"/>
  <c r="B118" i="29" s="1"/>
  <c r="B119" i="29" s="1" a="1"/>
  <c r="B119" i="29" s="1"/>
  <c r="B120" i="29" s="1" a="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K110" i="29"/>
  <c r="BH110" i="29"/>
  <c r="BG110" i="29"/>
  <c r="BF110" i="29"/>
  <c r="BC110" i="29"/>
  <c r="BB110" i="29"/>
  <c r="BM110" i="29" s="1"/>
  <c r="BA110" i="29"/>
  <c r="AZ110" i="29"/>
  <c r="AY110" i="29"/>
  <c r="BJ110" i="29" s="1"/>
  <c r="AX110" i="29"/>
  <c r="BI110" i="29" s="1"/>
  <c r="AW110" i="29"/>
  <c r="AV110" i="29"/>
  <c r="AU110" i="29"/>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M105" i="29"/>
  <c r="BJ105" i="29"/>
  <c r="BC105" i="29" a="1"/>
  <c r="BC105" i="29"/>
  <c r="BB105" i="29" a="1"/>
  <c r="BB105" i="29" s="1"/>
  <c r="BA105" i="29" a="1"/>
  <c r="BA105" i="29"/>
  <c r="BL105" i="29" s="1"/>
  <c r="AZ105" i="29" a="1"/>
  <c r="AZ105" i="29" s="1"/>
  <c r="BK105" i="29" s="1"/>
  <c r="AY105" i="29" a="1"/>
  <c r="AY105" i="29"/>
  <c r="AX105" i="29" a="1"/>
  <c r="AX105" i="29" s="1"/>
  <c r="BI105" i="29" s="1"/>
  <c r="AW105" i="29" a="1"/>
  <c r="AW105" i="29"/>
  <c r="BH105" i="29" s="1"/>
  <c r="AV105" i="29" a="1"/>
  <c r="AV105" i="29" s="1"/>
  <c r="BG105" i="29" s="1"/>
  <c r="AU105" i="29" a="1"/>
  <c r="AU105" i="29"/>
  <c r="BF105" i="29" s="1"/>
  <c r="AS105" i="29" a="1"/>
  <c r="AS105" i="29"/>
  <c r="AR105" i="29" a="1"/>
  <c r="AR105" i="29" s="1"/>
  <c r="AQ105" i="29" a="1"/>
  <c r="AQ105" i="29"/>
  <c r="AP105" i="29" a="1"/>
  <c r="AP105" i="29" s="1"/>
  <c r="AO105" i="29" a="1"/>
  <c r="AO105" i="29"/>
  <c r="AN105" i="29" a="1"/>
  <c r="AN105" i="29" s="1"/>
  <c r="AM105" i="29" a="1"/>
  <c r="AM105" i="29"/>
  <c r="AL105" i="29" a="1"/>
  <c r="AL105" i="29" s="1"/>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77" i="29" a="1"/>
  <c r="B77" i="29" s="1"/>
  <c r="BU76" i="29" a="1"/>
  <c r="BU76" i="29"/>
  <c r="BD76" i="29"/>
  <c r="AH76" i="29"/>
  <c r="AB76" i="29"/>
  <c r="J76" i="29" a="1"/>
  <c r="J76" i="29"/>
  <c r="B76" i="29"/>
  <c r="AT75" i="29"/>
  <c r="AJ75" i="29"/>
  <c r="AI75" i="29"/>
  <c r="BD75" i="29" s="1"/>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F31" i="29"/>
  <c r="AE31" i="29"/>
  <c r="T31" i="29"/>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29" i="29"/>
  <c r="AH29" i="29"/>
  <c r="T29" i="29"/>
  <c r="T30" i="29" s="1" a="1"/>
  <c r="T30" i="29" s="1"/>
  <c r="T31" i="29" s="1" a="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T27" i="29"/>
  <c r="T28" i="29" s="1" a="1"/>
  <c r="T28" i="29" s="1"/>
  <c r="T29" i="29" s="1" a="1"/>
  <c r="S27" i="29" a="1"/>
  <c r="S27" i="29" s="1"/>
  <c r="B140" i="29" s="1"/>
  <c r="B141" i="29" s="1" a="1"/>
  <c r="B141" i="29" s="1"/>
  <c r="F27" i="29" a="1"/>
  <c r="F27"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J9" i="29" a="1"/>
  <c r="BJ9" i="29" s="1"/>
  <c r="BF9" i="29" a="1"/>
  <c r="BF9" i="29" s="1"/>
  <c r="BB9" i="29" a="1"/>
  <c r="BB9" i="29" s="1"/>
  <c r="AZ9" i="29" a="1"/>
  <c r="AZ9" i="29"/>
  <c r="AX9" i="29" a="1"/>
  <c r="AX9" i="29" s="1"/>
  <c r="AV9" i="29" a="1"/>
  <c r="AV9" i="29"/>
  <c r="AR9" i="29" a="1"/>
  <c r="AR9" i="29"/>
  <c r="AN9" i="29" a="1"/>
  <c r="AN9" i="29"/>
  <c r="AJ9" i="29" a="1"/>
  <c r="AJ9" i="29"/>
  <c r="AF9" i="29" a="1"/>
  <c r="AF9" i="29"/>
  <c r="BC8" i="29"/>
  <c r="AX8" i="29"/>
  <c r="AU8" i="29"/>
  <c r="AM8" i="29"/>
  <c r="AH8" i="29"/>
  <c r="BC7" i="29" a="1"/>
  <c r="BC7" i="29" s="1"/>
  <c r="BB7" i="29" a="1"/>
  <c r="BB7" i="29"/>
  <c r="BB8" i="29" s="1"/>
  <c r="BA7" i="29" a="1"/>
  <c r="BA7" i="29" s="1"/>
  <c r="AZ7" i="29" a="1"/>
  <c r="AZ7" i="29"/>
  <c r="AY7" i="29" a="1"/>
  <c r="AY7" i="29" s="1"/>
  <c r="AY8" i="29" s="1"/>
  <c r="AX7" i="29" a="1"/>
  <c r="AX7" i="29"/>
  <c r="AW7" i="29" a="1"/>
  <c r="AW7" i="29" s="1"/>
  <c r="AV7" i="29" a="1"/>
  <c r="AV7" i="29"/>
  <c r="AU7" i="29" a="1"/>
  <c r="AU7" i="29" s="1"/>
  <c r="AT7" i="29" a="1"/>
  <c r="AT7" i="29"/>
  <c r="AS7" i="29" a="1"/>
  <c r="AS7" i="29" s="1"/>
  <c r="AR7" i="29" a="1"/>
  <c r="AR7" i="29"/>
  <c r="AR8" i="29" s="1"/>
  <c r="AQ7" i="29" a="1"/>
  <c r="AQ7" i="29" s="1"/>
  <c r="AQ8" i="29" s="1"/>
  <c r="AP7" i="29" a="1"/>
  <c r="AP7" i="29"/>
  <c r="AO7" i="29" a="1"/>
  <c r="AO7" i="29" s="1"/>
  <c r="AN7" i="29" a="1"/>
  <c r="AN7" i="29"/>
  <c r="AN8" i="29" s="1"/>
  <c r="AM7" i="29" a="1"/>
  <c r="AM7" i="29" s="1"/>
  <c r="AL7" i="29" a="1"/>
  <c r="AL7" i="29"/>
  <c r="AK7" i="29" a="1"/>
  <c r="AK7" i="29" s="1"/>
  <c r="AJ7" i="29" a="1"/>
  <c r="AJ7" i="29"/>
  <c r="AI7" i="29" a="1"/>
  <c r="AI7" i="29" s="1"/>
  <c r="AH7" i="29" a="1"/>
  <c r="AH7" i="29"/>
  <c r="AG7" i="29" a="1"/>
  <c r="AG7" i="29" s="1"/>
  <c r="AF7" i="29" a="1"/>
  <c r="AF7" i="29"/>
  <c r="AE7" i="29" a="1"/>
  <c r="AE7" i="29" s="1"/>
  <c r="BM6" i="29"/>
  <c r="BM9" i="29" s="1" a="1"/>
  <c r="BM9" i="29" s="1"/>
  <c r="BL6" i="29"/>
  <c r="BK6" i="29"/>
  <c r="BJ6" i="29"/>
  <c r="BI6" i="29"/>
  <c r="BI9" i="29" s="1" a="1"/>
  <c r="BI9" i="29" s="1"/>
  <c r="BH6" i="29"/>
  <c r="BG6" i="29"/>
  <c r="BF6" i="29"/>
  <c r="BE6" i="29"/>
  <c r="BE9" i="29" s="1" a="1"/>
  <c r="BE9" i="29" s="1"/>
  <c r="BD6" i="29" a="1"/>
  <c r="BD6" i="29" s="1"/>
  <c r="BC6" i="29"/>
  <c r="BC9" i="29" s="1" a="1"/>
  <c r="BC9" i="29" s="1"/>
  <c r="BB6" i="29"/>
  <c r="BA6" i="29"/>
  <c r="AZ6" i="29"/>
  <c r="AY6" i="29"/>
  <c r="AY9" i="29" s="1" a="1"/>
  <c r="AY9" i="29" s="1"/>
  <c r="AX6" i="29"/>
  <c r="AW6" i="29"/>
  <c r="AV6" i="29"/>
  <c r="AU6" i="29"/>
  <c r="AU9" i="29" s="1" a="1"/>
  <c r="AU9" i="29" s="1"/>
  <c r="AT6" i="29" a="1"/>
  <c r="AT6" i="29"/>
  <c r="AS6" i="29"/>
  <c r="AR6" i="29"/>
  <c r="AQ6" i="29"/>
  <c r="AQ9" i="29" s="1" a="1"/>
  <c r="AQ9" i="29" s="1"/>
  <c r="AP6" i="29"/>
  <c r="AP9" i="29" s="1" a="1"/>
  <c r="AP9" i="29" s="1"/>
  <c r="AO6" i="29"/>
  <c r="AN6" i="29"/>
  <c r="AM6" i="29"/>
  <c r="AM9" i="29" s="1" a="1"/>
  <c r="AM9" i="29" s="1"/>
  <c r="AL6" i="29"/>
  <c r="AK6" i="29"/>
  <c r="AJ6" i="29" a="1"/>
  <c r="AJ6" i="29"/>
  <c r="AI6" i="29"/>
  <c r="AH6" i="29"/>
  <c r="AH9" i="29" s="1" a="1"/>
  <c r="AH9" i="29" s="1"/>
  <c r="AG6" i="29"/>
  <c r="AG9" i="29" s="1" a="1"/>
  <c r="AG9" i="29" s="1"/>
  <c r="AF6" i="29"/>
  <c r="AF8" i="29" s="1"/>
  <c r="AE6" i="29"/>
  <c r="T370" i="28"/>
  <c r="AH366" i="28"/>
  <c r="AH365" i="28"/>
  <c r="AH364" i="28"/>
  <c r="AK356" i="28"/>
  <c r="AJ356" i="28"/>
  <c r="AI356" i="28"/>
  <c r="AG356" i="28"/>
  <c r="AF356" i="28"/>
  <c r="AE356" i="28"/>
  <c r="AH353" i="28"/>
  <c r="AL350" i="28"/>
  <c r="AH350" i="28"/>
  <c r="AL349" i="28"/>
  <c r="AH349" i="28"/>
  <c r="AL347" i="28"/>
  <c r="AH347" i="28"/>
  <c r="AL346" i="28"/>
  <c r="AH346" i="28"/>
  <c r="AL345" i="28"/>
  <c r="AH345" i="28"/>
  <c r="AL344" i="28"/>
  <c r="AH344" i="28"/>
  <c r="AK343" i="28"/>
  <c r="AJ343" i="28"/>
  <c r="AI343" i="28"/>
  <c r="AL343" i="28" s="1"/>
  <c r="AG343" i="28"/>
  <c r="AF343" i="28"/>
  <c r="AE343" i="28"/>
  <c r="AL342" i="28"/>
  <c r="AH342" i="28"/>
  <c r="AL341" i="28"/>
  <c r="AH341" i="28"/>
  <c r="AL340" i="28"/>
  <c r="AH340" i="28"/>
  <c r="AL339" i="28"/>
  <c r="AL338" i="28"/>
  <c r="AH338" i="28"/>
  <c r="B338" i="28"/>
  <c r="AL337" i="28"/>
  <c r="B329" i="28"/>
  <c r="AL312" i="28"/>
  <c r="AH312" i="28"/>
  <c r="AT309" i="28" a="1"/>
  <c r="AT309" i="28" s="1"/>
  <c r="AL309" i="28"/>
  <c r="AH309" i="28"/>
  <c r="AB309" i="28"/>
  <c r="J309" i="28" a="1"/>
  <c r="J309" i="28"/>
  <c r="AL308" i="28"/>
  <c r="AH308" i="28"/>
  <c r="AL307" i="28"/>
  <c r="AH307" i="28"/>
  <c r="AL306" i="28"/>
  <c r="AH306" i="28"/>
  <c r="AL305" i="28"/>
  <c r="AH305" i="28"/>
  <c r="AL304" i="28"/>
  <c r="AK304" i="28"/>
  <c r="AJ304" i="28"/>
  <c r="AI304" i="28"/>
  <c r="AG304" i="28"/>
  <c r="AH304" i="28" s="1"/>
  <c r="AF304" i="28"/>
  <c r="AE304" i="28"/>
  <c r="AL303" i="28"/>
  <c r="AH303" i="28"/>
  <c r="AL302" i="28"/>
  <c r="AH302" i="28"/>
  <c r="AL298" i="28"/>
  <c r="AH298" i="28"/>
  <c r="AL287" i="28"/>
  <c r="AH287" i="28"/>
  <c r="AL286" i="28"/>
  <c r="AH286" i="28"/>
  <c r="T282" i="28"/>
  <c r="T283" i="28" s="1" a="1"/>
  <c r="T283" i="28" s="1"/>
  <c r="T284" i="28" s="1" a="1"/>
  <c r="T284" i="28" s="1"/>
  <c r="T285" i="28" s="1" a="1"/>
  <c r="T285" i="28" s="1"/>
  <c r="T286" i="28" s="1" a="1"/>
  <c r="T286" i="28" s="1"/>
  <c r="T287" i="28" s="1" a="1"/>
  <c r="T287" i="28" s="1"/>
  <c r="T288" i="28" s="1" a="1"/>
  <c r="T288" i="28" s="1"/>
  <c r="T289" i="28" s="1" a="1"/>
  <c r="T289" i="28" s="1"/>
  <c r="T290" i="28" s="1" a="1"/>
  <c r="T290" i="28" s="1"/>
  <c r="T291" i="28" s="1" a="1"/>
  <c r="T291" i="28" s="1"/>
  <c r="T292" i="28" s="1" a="1"/>
  <c r="T292" i="28" s="1"/>
  <c r="T293" i="28" s="1" a="1"/>
  <c r="T293" i="28" s="1"/>
  <c r="T294" i="28" s="1" a="1"/>
  <c r="T294" i="28" s="1"/>
  <c r="T295" i="28" s="1" a="1"/>
  <c r="T295" i="28" s="1"/>
  <c r="T296" i="28" s="1" a="1"/>
  <c r="T296" i="28" s="1"/>
  <c r="T297" i="28" s="1" a="1"/>
  <c r="T297" i="28" s="1"/>
  <c r="T298" i="28" s="1" a="1"/>
  <c r="T298" i="28" s="1"/>
  <c r="T299" i="28" s="1" a="1"/>
  <c r="T299" i="28" s="1"/>
  <c r="T300" i="28" s="1" a="1"/>
  <c r="T300" i="28" s="1"/>
  <c r="T301" i="28" s="1" a="1"/>
  <c r="T301" i="28" s="1"/>
  <c r="T302" i="28" s="1" a="1"/>
  <c r="T302" i="28" s="1"/>
  <c r="T303" i="28" s="1" a="1"/>
  <c r="T303" i="28" s="1"/>
  <c r="T304" i="28" s="1" a="1"/>
  <c r="T304" i="28" s="1"/>
  <c r="T305" i="28" s="1" a="1"/>
  <c r="T305" i="28" s="1"/>
  <c r="T306" i="28" s="1" a="1"/>
  <c r="T306" i="28" s="1"/>
  <c r="T307" i="28" s="1" a="1"/>
  <c r="T307" i="28" s="1"/>
  <c r="T308" i="28" s="1" a="1"/>
  <c r="T308" i="28" s="1"/>
  <c r="F282" i="28" a="1"/>
  <c r="F282" i="28" s="1"/>
  <c r="F283" i="28" s="1" a="1"/>
  <c r="F283" i="28" s="1"/>
  <c r="F284" i="28" s="1" a="1"/>
  <c r="F284" i="28" s="1"/>
  <c r="F285" i="28" s="1" a="1"/>
  <c r="F285" i="28" s="1"/>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L219" i="28"/>
  <c r="AK219" i="28"/>
  <c r="AJ219" i="28"/>
  <c r="AI219" i="28"/>
  <c r="AH219" i="28"/>
  <c r="AG219" i="28"/>
  <c r="AF219" i="28"/>
  <c r="AE219" i="28"/>
  <c r="AL218" i="28"/>
  <c r="AH218" i="28"/>
  <c r="AL217" i="28"/>
  <c r="AH217" i="28"/>
  <c r="AL213" i="28"/>
  <c r="AH213" i="28"/>
  <c r="AL202" i="28"/>
  <c r="AH202" i="28"/>
  <c r="AL201" i="28"/>
  <c r="AH201" i="28"/>
  <c r="T199" i="28"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8" i="28" a="1"/>
  <c r="F198" i="28" s="1"/>
  <c r="F199" i="28" s="1" a="1"/>
  <c r="F199" i="28" s="1"/>
  <c r="F200" i="28" s="1" a="1"/>
  <c r="F200" i="28" s="1"/>
  <c r="T197" i="28"/>
  <c r="T198" i="28" s="1" a="1"/>
  <c r="T198" i="28" s="1"/>
  <c r="F197" i="28" a="1"/>
  <c r="F197"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3" i="28"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12" i="28"/>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G88" i="28"/>
  <c r="AH88" i="28" s="1"/>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G10" i="28" a="1"/>
  <c r="AG10" i="28" s="1"/>
  <c r="AK8" i="28" a="1"/>
  <c r="AK8" i="28" s="1"/>
  <c r="AJ8" i="28" a="1"/>
  <c r="AJ8" i="28" s="1"/>
  <c r="AI8" i="28" a="1"/>
  <c r="AI8" i="28" s="1"/>
  <c r="AH8" i="28" a="1"/>
  <c r="AH8" i="28" s="1"/>
  <c r="AG8" i="28" a="1"/>
  <c r="AG8" i="28" s="1"/>
  <c r="AF8" i="28" a="1"/>
  <c r="AF8" i="28"/>
  <c r="AF9" i="28" s="1"/>
  <c r="AE8" i="28" a="1"/>
  <c r="AE8" i="28" s="1"/>
  <c r="AK7" i="28" a="1"/>
  <c r="AK7" i="28"/>
  <c r="AK10" i="28" s="1" a="1"/>
  <c r="AK10" i="28" s="1"/>
  <c r="AJ7" i="28" a="1"/>
  <c r="AJ7" i="28" s="1"/>
  <c r="AJ10" i="28" s="1" a="1"/>
  <c r="AJ10" i="28" s="1"/>
  <c r="AI7" i="28"/>
  <c r="AI10" i="28" s="1" a="1"/>
  <c r="AI10" i="28" s="1"/>
  <c r="AH7" i="28"/>
  <c r="AG7" i="28"/>
  <c r="AG9" i="28" s="1"/>
  <c r="AF7" i="28"/>
  <c r="AF10" i="28" s="1" a="1"/>
  <c r="AF10" i="28" s="1"/>
  <c r="AE7" i="28"/>
  <c r="AE10" i="28" s="1" a="1"/>
  <c r="AE10" i="28" s="1"/>
  <c r="AO6" i="28" a="1"/>
  <c r="AO6" i="28" s="1"/>
  <c r="AN6" i="28" a="1"/>
  <c r="AN6" i="28"/>
  <c r="AM6" i="28" a="1"/>
  <c r="AM6" i="28" s="1"/>
  <c r="AI2" i="28"/>
  <c r="AH2" i="28"/>
  <c r="AG2" i="28"/>
  <c r="AF2" i="28"/>
  <c r="AE2" i="28"/>
  <c r="T257" i="27"/>
  <c r="T256" i="27"/>
  <c r="GB250" i="27" a="1"/>
  <c r="GB250" i="27" s="1"/>
  <c r="FW250" i="27"/>
  <c r="FT250" i="27"/>
  <c r="FQ250" i="27"/>
  <c r="FN250" i="27"/>
  <c r="FK250" i="27"/>
  <c r="FH250" i="27"/>
  <c r="FE250" i="27"/>
  <c r="FB250" i="27"/>
  <c r="EY250" i="27"/>
  <c r="EV250" i="27"/>
  <c r="ES250" i="27"/>
  <c r="EP250" i="27"/>
  <c r="EM250" i="27"/>
  <c r="EJ250" i="27"/>
  <c r="EG250" i="27"/>
  <c r="ED250" i="27"/>
  <c r="EA250" i="27"/>
  <c r="DX250" i="27"/>
  <c r="DU250" i="27"/>
  <c r="DR250" i="27"/>
  <c r="DO250" i="27"/>
  <c r="DL250" i="27"/>
  <c r="DI250" i="27"/>
  <c r="DF250" i="27"/>
  <c r="DC250" i="27"/>
  <c r="CZ250" i="27"/>
  <c r="CW250" i="27"/>
  <c r="CT250" i="27"/>
  <c r="CQ250" i="27"/>
  <c r="CN250" i="27"/>
  <c r="CK250" i="27"/>
  <c r="CH250" i="27"/>
  <c r="CE250" i="27"/>
  <c r="CB250" i="27"/>
  <c r="BY250" i="27"/>
  <c r="BV250" i="27"/>
  <c r="BS250" i="27"/>
  <c r="BP250" i="27"/>
  <c r="BM250" i="27"/>
  <c r="BJ250" i="27"/>
  <c r="BG250" i="27"/>
  <c r="BD250" i="27"/>
  <c r="BA250" i="27"/>
  <c r="AX250" i="27"/>
  <c r="AU250" i="27"/>
  <c r="AR250" i="27"/>
  <c r="AO250" i="27"/>
  <c r="AL250" i="27"/>
  <c r="AI250" i="27"/>
  <c r="AF250" i="27"/>
  <c r="I250" i="27" a="1"/>
  <c r="I250" i="27" s="1"/>
  <c r="FW249" i="27"/>
  <c r="FT249" i="27"/>
  <c r="FQ249" i="27"/>
  <c r="FN249" i="27"/>
  <c r="FK249" i="27"/>
  <c r="FH249" i="27"/>
  <c r="FE249" i="27"/>
  <c r="FB249" i="27"/>
  <c r="EY249" i="27"/>
  <c r="EV249" i="27"/>
  <c r="ES249" i="27"/>
  <c r="EP249" i="27"/>
  <c r="EM249" i="27"/>
  <c r="EJ249" i="27"/>
  <c r="EG249" i="27"/>
  <c r="ED249" i="27"/>
  <c r="EA249" i="27"/>
  <c r="DX249" i="27"/>
  <c r="DU249" i="27"/>
  <c r="DR249" i="27"/>
  <c r="DO249" i="27"/>
  <c r="DL249" i="27"/>
  <c r="DI249" i="27"/>
  <c r="DF249" i="27"/>
  <c r="DC249" i="27"/>
  <c r="CZ249" i="27"/>
  <c r="CW249" i="27"/>
  <c r="CT249" i="27"/>
  <c r="CQ249" i="27"/>
  <c r="CN249" i="27"/>
  <c r="CK249" i="27"/>
  <c r="CH249" i="27"/>
  <c r="CE249" i="27"/>
  <c r="CB249" i="27"/>
  <c r="BY249" i="27"/>
  <c r="BV249" i="27"/>
  <c r="BS249" i="27"/>
  <c r="BP249" i="27"/>
  <c r="BM249" i="27"/>
  <c r="BJ249" i="27"/>
  <c r="FV248" i="27"/>
  <c r="FU248" i="27"/>
  <c r="FS248" i="27"/>
  <c r="FR248" i="27"/>
  <c r="FP248" i="27"/>
  <c r="FO248" i="27"/>
  <c r="FM248" i="27"/>
  <c r="FL248" i="27"/>
  <c r="FJ248" i="27"/>
  <c r="FI248" i="27"/>
  <c r="FG248" i="27"/>
  <c r="FF248" i="27"/>
  <c r="FD248" i="27"/>
  <c r="FC248" i="27"/>
  <c r="FA248" i="27"/>
  <c r="EZ248" i="27"/>
  <c r="EX248" i="27"/>
  <c r="EW248" i="27"/>
  <c r="EU248" i="27"/>
  <c r="ET248" i="27"/>
  <c r="ER248" i="27"/>
  <c r="EQ248" i="27"/>
  <c r="EO248" i="27"/>
  <c r="EN248" i="27"/>
  <c r="EL248" i="27"/>
  <c r="EK248" i="27"/>
  <c r="EI248" i="27"/>
  <c r="EH248" i="27"/>
  <c r="EF248" i="27"/>
  <c r="EE248" i="27"/>
  <c r="EC248" i="27"/>
  <c r="EB248" i="27"/>
  <c r="DZ248" i="27"/>
  <c r="DY248" i="27"/>
  <c r="DW248" i="27"/>
  <c r="DV248" i="27"/>
  <c r="DT248" i="27"/>
  <c r="DS248" i="27"/>
  <c r="DQ248" i="27"/>
  <c r="DP248" i="27"/>
  <c r="DN248" i="27"/>
  <c r="DM248" i="27"/>
  <c r="DK248" i="27"/>
  <c r="DJ248" i="27"/>
  <c r="DH248" i="27"/>
  <c r="DG248" i="27"/>
  <c r="DE248" i="27"/>
  <c r="DD248" i="27"/>
  <c r="DB248" i="27"/>
  <c r="DA248" i="27"/>
  <c r="CY248" i="27"/>
  <c r="CX248" i="27"/>
  <c r="CV248" i="27"/>
  <c r="CU248" i="27"/>
  <c r="CS248" i="27"/>
  <c r="CR248" i="27"/>
  <c r="CP248" i="27"/>
  <c r="CO248" i="27"/>
  <c r="CM248" i="27"/>
  <c r="CL248" i="27"/>
  <c r="CJ248" i="27"/>
  <c r="CI248" i="27"/>
  <c r="CG248" i="27"/>
  <c r="CF248" i="27"/>
  <c r="CD248" i="27"/>
  <c r="CC248" i="27"/>
  <c r="CA248" i="27"/>
  <c r="BZ248" i="27"/>
  <c r="BX248" i="27"/>
  <c r="BW248" i="27"/>
  <c r="BU248" i="27"/>
  <c r="BT248" i="27"/>
  <c r="BR248" i="27"/>
  <c r="BQ248" i="27"/>
  <c r="BO248" i="27"/>
  <c r="BN248" i="27"/>
  <c r="BL248" i="27"/>
  <c r="BK248" i="27"/>
  <c r="BI248" i="27"/>
  <c r="BH248" i="27"/>
  <c r="FW247" i="27"/>
  <c r="FT247" i="27"/>
  <c r="FQ247" i="27"/>
  <c r="FN247" i="27"/>
  <c r="FK247" i="27"/>
  <c r="FH247" i="27"/>
  <c r="FE247" i="27"/>
  <c r="FB247" i="27"/>
  <c r="EY247" i="27"/>
  <c r="EV247" i="27"/>
  <c r="ES247" i="27"/>
  <c r="EP247" i="27"/>
  <c r="EM247" i="27"/>
  <c r="EJ247" i="27"/>
  <c r="EG247" i="27"/>
  <c r="ED247" i="27"/>
  <c r="EA247" i="27"/>
  <c r="DX247" i="27"/>
  <c r="DU247" i="27"/>
  <c r="DR247" i="27"/>
  <c r="DO247" i="27"/>
  <c r="DL247" i="27"/>
  <c r="DI247" i="27"/>
  <c r="DF247" i="27"/>
  <c r="DC247" i="27"/>
  <c r="CZ247" i="27"/>
  <c r="CW247" i="27"/>
  <c r="CT247" i="27"/>
  <c r="CQ247" i="27"/>
  <c r="CN247" i="27"/>
  <c r="CK247" i="27"/>
  <c r="CH247" i="27"/>
  <c r="CE247" i="27"/>
  <c r="CB247" i="27"/>
  <c r="BY247" i="27"/>
  <c r="BV247" i="27"/>
  <c r="BS247" i="27"/>
  <c r="BP247" i="27"/>
  <c r="BM247" i="27"/>
  <c r="BJ247" i="27"/>
  <c r="FW246" i="27"/>
  <c r="FT246" i="27"/>
  <c r="FQ246" i="27"/>
  <c r="FN246" i="27"/>
  <c r="FK246" i="27"/>
  <c r="FH246" i="27"/>
  <c r="FE246" i="27"/>
  <c r="FB246" i="27"/>
  <c r="EY246" i="27"/>
  <c r="EV246" i="27"/>
  <c r="ES246" i="27"/>
  <c r="EP246" i="27"/>
  <c r="EM246" i="27"/>
  <c r="EJ246" i="27"/>
  <c r="EG246" i="27"/>
  <c r="ED246" i="27"/>
  <c r="EA246" i="27"/>
  <c r="DX246" i="27"/>
  <c r="DU246" i="27"/>
  <c r="DR246" i="27"/>
  <c r="DO246" i="27"/>
  <c r="DL246" i="27"/>
  <c r="DI246" i="27"/>
  <c r="DF246" i="27"/>
  <c r="DC246" i="27"/>
  <c r="CZ246" i="27"/>
  <c r="CW246" i="27"/>
  <c r="CT246" i="27"/>
  <c r="CQ246" i="27"/>
  <c r="CN246" i="27"/>
  <c r="CK246" i="27"/>
  <c r="CH246" i="27"/>
  <c r="CE246" i="27"/>
  <c r="CB246" i="27"/>
  <c r="BY246" i="27"/>
  <c r="BV246" i="27"/>
  <c r="BS246" i="27"/>
  <c r="BP246" i="27"/>
  <c r="BM246" i="27"/>
  <c r="BJ246" i="27"/>
  <c r="FW243" i="27"/>
  <c r="FT243" i="27"/>
  <c r="FQ243" i="27"/>
  <c r="FN243" i="27"/>
  <c r="FK243" i="27"/>
  <c r="FH243" i="27"/>
  <c r="FE243" i="27"/>
  <c r="FB243" i="27"/>
  <c r="EY243" i="27"/>
  <c r="EV243" i="27"/>
  <c r="ES243" i="27"/>
  <c r="EP243" i="27"/>
  <c r="EM243" i="27"/>
  <c r="EJ243" i="27"/>
  <c r="EG243" i="27"/>
  <c r="ED243" i="27"/>
  <c r="EA243" i="27"/>
  <c r="DX243" i="27"/>
  <c r="DU243" i="27"/>
  <c r="DR243" i="27"/>
  <c r="DO243" i="27"/>
  <c r="DL243" i="27"/>
  <c r="DI243" i="27"/>
  <c r="DF243" i="27"/>
  <c r="DC243" i="27"/>
  <c r="CZ243" i="27"/>
  <c r="CW243" i="27"/>
  <c r="CT243" i="27"/>
  <c r="CQ243" i="27"/>
  <c r="CN243" i="27"/>
  <c r="CK243" i="27"/>
  <c r="CH243" i="27"/>
  <c r="CE243" i="27"/>
  <c r="CB243" i="27"/>
  <c r="BY243" i="27"/>
  <c r="BV243" i="27"/>
  <c r="BS243" i="27"/>
  <c r="BP243" i="27"/>
  <c r="BM243" i="27"/>
  <c r="BJ243" i="27"/>
  <c r="BG243" i="27"/>
  <c r="BD243" i="27"/>
  <c r="BA243" i="27"/>
  <c r="AX243" i="27"/>
  <c r="AU243" i="27"/>
  <c r="AR243" i="27"/>
  <c r="AO243" i="27"/>
  <c r="AL243" i="27"/>
  <c r="AI243" i="27"/>
  <c r="AF243" i="27"/>
  <c r="FW242" i="27"/>
  <c r="FT242" i="27"/>
  <c r="FQ242" i="27"/>
  <c r="FN242" i="27"/>
  <c r="FK242" i="27"/>
  <c r="FH242" i="27"/>
  <c r="FE242" i="27"/>
  <c r="FB242" i="27"/>
  <c r="EY242" i="27"/>
  <c r="EV242" i="27"/>
  <c r="ES242" i="27"/>
  <c r="EP242" i="27"/>
  <c r="EM242" i="27"/>
  <c r="EJ242" i="27"/>
  <c r="EG242" i="27"/>
  <c r="ED242" i="27"/>
  <c r="EA242" i="27"/>
  <c r="DX242" i="27"/>
  <c r="DU242" i="27"/>
  <c r="DR242" i="27"/>
  <c r="DO242" i="27"/>
  <c r="DL242" i="27"/>
  <c r="DI242" i="27"/>
  <c r="DF242" i="27"/>
  <c r="DC242" i="27"/>
  <c r="CZ242" i="27"/>
  <c r="CW242" i="27"/>
  <c r="CT242" i="27"/>
  <c r="CQ242" i="27"/>
  <c r="CN242" i="27"/>
  <c r="CK242" i="27"/>
  <c r="CH242" i="27"/>
  <c r="CE242" i="27"/>
  <c r="CB242" i="27"/>
  <c r="BY242" i="27"/>
  <c r="BV242" i="27"/>
  <c r="BS242" i="27"/>
  <c r="BP242" i="27"/>
  <c r="BM242" i="27"/>
  <c r="BJ242" i="27"/>
  <c r="BG242" i="27"/>
  <c r="BD242" i="27"/>
  <c r="BA242" i="27"/>
  <c r="AX242" i="27"/>
  <c r="AU242" i="27"/>
  <c r="AR242" i="27"/>
  <c r="AO242" i="27"/>
  <c r="AL242" i="27"/>
  <c r="AI242" i="27"/>
  <c r="AF242" i="27"/>
  <c r="FW241" i="27"/>
  <c r="FT241" i="27"/>
  <c r="FQ241" i="27"/>
  <c r="FN241" i="27"/>
  <c r="FK241" i="27"/>
  <c r="FH241" i="27"/>
  <c r="FE241" i="27"/>
  <c r="FB241" i="27"/>
  <c r="EY241" i="27"/>
  <c r="EV241" i="27"/>
  <c r="ES241" i="27"/>
  <c r="EP241" i="27"/>
  <c r="EM241" i="27"/>
  <c r="EJ241" i="27"/>
  <c r="EG241" i="27"/>
  <c r="ED241" i="27"/>
  <c r="EA241" i="27"/>
  <c r="DX241" i="27"/>
  <c r="DU241" i="27"/>
  <c r="DR241" i="27"/>
  <c r="DO241" i="27"/>
  <c r="DL241" i="27"/>
  <c r="DI241" i="27"/>
  <c r="DF241" i="27"/>
  <c r="DC241" i="27"/>
  <c r="CZ241" i="27"/>
  <c r="CW241" i="27"/>
  <c r="CT241" i="27"/>
  <c r="CQ241" i="27"/>
  <c r="CN241" i="27"/>
  <c r="CK241" i="27"/>
  <c r="CH241" i="27"/>
  <c r="CE241" i="27"/>
  <c r="CB241" i="27"/>
  <c r="BY241" i="27"/>
  <c r="BV241" i="27"/>
  <c r="BS241" i="27"/>
  <c r="BP241" i="27"/>
  <c r="BM241" i="27"/>
  <c r="BJ241" i="27"/>
  <c r="BG241" i="27"/>
  <c r="BD241" i="27"/>
  <c r="BA241" i="27"/>
  <c r="AX241" i="27"/>
  <c r="AU241" i="27"/>
  <c r="AR241" i="27"/>
  <c r="AO241" i="27"/>
  <c r="AL241" i="27"/>
  <c r="AI241" i="27"/>
  <c r="AF241" i="27"/>
  <c r="FW240" i="27"/>
  <c r="FT240" i="27"/>
  <c r="FQ240" i="27"/>
  <c r="FN240" i="27"/>
  <c r="FK240" i="27"/>
  <c r="FH240" i="27"/>
  <c r="FE240" i="27"/>
  <c r="FB240" i="27"/>
  <c r="EY240" i="27"/>
  <c r="EV240" i="27"/>
  <c r="ES240" i="27"/>
  <c r="EP240" i="27"/>
  <c r="EM240" i="27"/>
  <c r="EJ240" i="27"/>
  <c r="EG240" i="27"/>
  <c r="ED240" i="27"/>
  <c r="EA240" i="27"/>
  <c r="DX240" i="27"/>
  <c r="DU240" i="27"/>
  <c r="DR240" i="27"/>
  <c r="DO240" i="27"/>
  <c r="DL240" i="27"/>
  <c r="DI240" i="27"/>
  <c r="DF240" i="27"/>
  <c r="DC240" i="27"/>
  <c r="CZ240" i="27"/>
  <c r="CW240" i="27"/>
  <c r="CT240" i="27"/>
  <c r="CQ240" i="27"/>
  <c r="CN240" i="27"/>
  <c r="CK240" i="27"/>
  <c r="CH240" i="27"/>
  <c r="CE240" i="27"/>
  <c r="CB240" i="27"/>
  <c r="BY240" i="27"/>
  <c r="BV240" i="27"/>
  <c r="BS240" i="27"/>
  <c r="BP240" i="27"/>
  <c r="BM240" i="27"/>
  <c r="BJ240" i="27"/>
  <c r="BG240" i="27"/>
  <c r="BD240" i="27"/>
  <c r="BA240" i="27"/>
  <c r="AX240" i="27"/>
  <c r="AU240" i="27"/>
  <c r="AR240" i="27"/>
  <c r="AO240" i="27"/>
  <c r="AL240" i="27"/>
  <c r="AI240" i="27"/>
  <c r="AF240" i="27"/>
  <c r="GB239" i="27" a="1"/>
  <c r="GB239" i="27"/>
  <c r="GB240" i="27" s="1" a="1"/>
  <c r="GB240" i="27" s="1"/>
  <c r="GB241" i="27" s="1" a="1"/>
  <c r="GB241" i="27" s="1"/>
  <c r="GB242" i="27" s="1" a="1"/>
  <c r="GB242" i="27" s="1"/>
  <c r="GB243" i="27" s="1" a="1"/>
  <c r="GB243" i="27" s="1"/>
  <c r="FV239" i="27"/>
  <c r="FU239" i="27"/>
  <c r="FW239" i="27" s="1"/>
  <c r="FT239" i="27"/>
  <c r="FS239" i="27"/>
  <c r="FR239" i="27"/>
  <c r="FQ239" i="27"/>
  <c r="FP239" i="27"/>
  <c r="FO239" i="27"/>
  <c r="FM239" i="27"/>
  <c r="FL239" i="27"/>
  <c r="FN239" i="27" s="1"/>
  <c r="FJ239" i="27"/>
  <c r="FI239" i="27"/>
  <c r="FK239" i="27" s="1"/>
  <c r="FH239" i="27"/>
  <c r="FG239" i="27"/>
  <c r="FF239" i="27"/>
  <c r="FE239" i="27"/>
  <c r="FD239" i="27"/>
  <c r="FC239" i="27"/>
  <c r="FA239" i="27"/>
  <c r="EZ239" i="27"/>
  <c r="FB239" i="27" s="1"/>
  <c r="EX239" i="27"/>
  <c r="EW239" i="27"/>
  <c r="EY239" i="27" s="1"/>
  <c r="EV239" i="27"/>
  <c r="EU239" i="27"/>
  <c r="ET239" i="27"/>
  <c r="ES239" i="27"/>
  <c r="ER239" i="27"/>
  <c r="EQ239" i="27"/>
  <c r="EO239" i="27"/>
  <c r="EN239" i="27"/>
  <c r="EP239" i="27" s="1"/>
  <c r="EL239" i="27"/>
  <c r="EK239" i="27"/>
  <c r="EM239" i="27" s="1"/>
  <c r="EJ239" i="27"/>
  <c r="EI239" i="27"/>
  <c r="EH239" i="27"/>
  <c r="EG239" i="27"/>
  <c r="EF239" i="27"/>
  <c r="EE239" i="27"/>
  <c r="EC239" i="27"/>
  <c r="EB239" i="27"/>
  <c r="ED239" i="27" s="1"/>
  <c r="DZ239" i="27"/>
  <c r="DY239" i="27"/>
  <c r="EA239" i="27" s="1"/>
  <c r="DX239" i="27"/>
  <c r="DW239" i="27"/>
  <c r="DV239" i="27"/>
  <c r="DU239" i="27"/>
  <c r="DT239" i="27"/>
  <c r="DS239" i="27"/>
  <c r="DQ239" i="27"/>
  <c r="DP239" i="27"/>
  <c r="DR239" i="27" s="1"/>
  <c r="DN239" i="27"/>
  <c r="DM239" i="27"/>
  <c r="DO239" i="27" s="1"/>
  <c r="DL239" i="27"/>
  <c r="DK239" i="27"/>
  <c r="DJ239" i="27"/>
  <c r="DI239" i="27"/>
  <c r="DH239" i="27"/>
  <c r="DG239" i="27"/>
  <c r="DE239" i="27"/>
  <c r="DD239" i="27"/>
  <c r="DF239" i="27" s="1"/>
  <c r="DB239" i="27"/>
  <c r="DA239" i="27"/>
  <c r="DC239" i="27" s="1"/>
  <c r="CZ239" i="27"/>
  <c r="CY239" i="27"/>
  <c r="CX239" i="27"/>
  <c r="CW239" i="27"/>
  <c r="CV239" i="27"/>
  <c r="CU239" i="27"/>
  <c r="CS239" i="27"/>
  <c r="CR239" i="27"/>
  <c r="CT239" i="27" s="1"/>
  <c r="CP239" i="27"/>
  <c r="CO239" i="27"/>
  <c r="CQ239" i="27" s="1"/>
  <c r="CN239" i="27"/>
  <c r="CM239" i="27"/>
  <c r="CL239" i="27"/>
  <c r="CK239" i="27"/>
  <c r="CJ239" i="27"/>
  <c r="CI239" i="27"/>
  <c r="CG239" i="27"/>
  <c r="CF239" i="27"/>
  <c r="CH239" i="27" s="1"/>
  <c r="CD239" i="27"/>
  <c r="CC239" i="27"/>
  <c r="CE239" i="27" s="1"/>
  <c r="CB239" i="27"/>
  <c r="CA239" i="27"/>
  <c r="BZ239" i="27"/>
  <c r="BY239" i="27"/>
  <c r="BX239" i="27"/>
  <c r="BW239" i="27"/>
  <c r="BU239" i="27"/>
  <c r="BT239" i="27"/>
  <c r="BV239" i="27" s="1"/>
  <c r="BR239" i="27"/>
  <c r="BQ239" i="27"/>
  <c r="BS239" i="27" s="1"/>
  <c r="BP239" i="27"/>
  <c r="BO239" i="27"/>
  <c r="BN239" i="27"/>
  <c r="BM239" i="27"/>
  <c r="BL239" i="27"/>
  <c r="BK239" i="27"/>
  <c r="BI239" i="27"/>
  <c r="BH239" i="27"/>
  <c r="BJ239" i="27" s="1"/>
  <c r="BF239" i="27"/>
  <c r="BE239" i="27"/>
  <c r="BG239" i="27" s="1"/>
  <c r="BD239" i="27"/>
  <c r="BC239" i="27"/>
  <c r="BB239" i="27"/>
  <c r="BA239" i="27"/>
  <c r="AZ239" i="27"/>
  <c r="AY239" i="27"/>
  <c r="AW239" i="27"/>
  <c r="AV239" i="27"/>
  <c r="AX239" i="27" s="1"/>
  <c r="AT239" i="27"/>
  <c r="AS239" i="27"/>
  <c r="AU239" i="27" s="1"/>
  <c r="AR239" i="27"/>
  <c r="AQ239" i="27"/>
  <c r="AP239" i="27"/>
  <c r="AO239" i="27"/>
  <c r="AN239" i="27"/>
  <c r="AM239" i="27"/>
  <c r="AK239" i="27"/>
  <c r="AJ239" i="27"/>
  <c r="AL239" i="27" s="1"/>
  <c r="AH239" i="27"/>
  <c r="AG239" i="27"/>
  <c r="AI239" i="27" s="1"/>
  <c r="AF239" i="27"/>
  <c r="AE239" i="27"/>
  <c r="AD239" i="27"/>
  <c r="I239" i="27" a="1"/>
  <c r="I239" i="27" s="1"/>
  <c r="I240" i="27" s="1" a="1"/>
  <c r="I240" i="27" s="1"/>
  <c r="I241" i="27" s="1" a="1"/>
  <c r="I241" i="27" s="1"/>
  <c r="I242" i="27" s="1" a="1"/>
  <c r="I242" i="27" s="1"/>
  <c r="I243" i="27" s="1" a="1"/>
  <c r="I243" i="27" s="1"/>
  <c r="FW237" i="27"/>
  <c r="FT237" i="27"/>
  <c r="FQ237" i="27"/>
  <c r="FN237" i="27"/>
  <c r="FK237" i="27"/>
  <c r="FH237" i="27"/>
  <c r="FE237" i="27"/>
  <c r="FB237" i="27"/>
  <c r="EY237" i="27"/>
  <c r="EV237" i="27"/>
  <c r="ES237" i="27"/>
  <c r="EP237" i="27"/>
  <c r="EM237" i="27"/>
  <c r="EJ237" i="27"/>
  <c r="EG237" i="27"/>
  <c r="ED237" i="27"/>
  <c r="EA237" i="27"/>
  <c r="DX237" i="27"/>
  <c r="DU237" i="27"/>
  <c r="DR237" i="27"/>
  <c r="DO237" i="27"/>
  <c r="DL237" i="27"/>
  <c r="DI237" i="27"/>
  <c r="DF237" i="27"/>
  <c r="DC237" i="27"/>
  <c r="CZ237" i="27"/>
  <c r="CW237" i="27"/>
  <c r="CT237" i="27"/>
  <c r="CQ237" i="27"/>
  <c r="CN237" i="27"/>
  <c r="CK237" i="27"/>
  <c r="CH237" i="27"/>
  <c r="CE237" i="27"/>
  <c r="CB237" i="27"/>
  <c r="BY237" i="27"/>
  <c r="BV237" i="27"/>
  <c r="BS237" i="27"/>
  <c r="BP237" i="27"/>
  <c r="BM237" i="27"/>
  <c r="BJ237" i="27"/>
  <c r="BG237" i="27"/>
  <c r="BD237" i="27"/>
  <c r="BA237" i="27"/>
  <c r="AX237" i="27"/>
  <c r="AU237" i="27"/>
  <c r="AR237" i="27"/>
  <c r="AO237" i="27"/>
  <c r="AL237" i="27"/>
  <c r="AI237" i="27"/>
  <c r="AF237" i="27"/>
  <c r="FW236" i="27"/>
  <c r="FT236" i="27"/>
  <c r="FQ236" i="27"/>
  <c r="FN236" i="27"/>
  <c r="FK236" i="27"/>
  <c r="FH236" i="27"/>
  <c r="FE236" i="27"/>
  <c r="FB236" i="27"/>
  <c r="EY236" i="27"/>
  <c r="EV236" i="27"/>
  <c r="ES236" i="27"/>
  <c r="EP236" i="27"/>
  <c r="EM236" i="27"/>
  <c r="EJ236" i="27"/>
  <c r="EG236" i="27"/>
  <c r="ED236" i="27"/>
  <c r="EA236" i="27"/>
  <c r="DX236" i="27"/>
  <c r="DU236" i="27"/>
  <c r="DR236" i="27"/>
  <c r="DO236" i="27"/>
  <c r="DL236" i="27"/>
  <c r="DI236" i="27"/>
  <c r="DF236" i="27"/>
  <c r="DC236" i="27"/>
  <c r="CZ236" i="27"/>
  <c r="CW236" i="27"/>
  <c r="CT236" i="27"/>
  <c r="CQ236" i="27"/>
  <c r="CN236" i="27"/>
  <c r="CK236" i="27"/>
  <c r="CH236" i="27"/>
  <c r="CE236" i="27"/>
  <c r="CB236" i="27"/>
  <c r="BY236" i="27"/>
  <c r="BV236" i="27"/>
  <c r="BS236" i="27"/>
  <c r="BP236" i="27"/>
  <c r="BM236" i="27"/>
  <c r="BJ236" i="27"/>
  <c r="BG236" i="27"/>
  <c r="BD236" i="27"/>
  <c r="BA236" i="27"/>
  <c r="AX236" i="27"/>
  <c r="AU236" i="27"/>
  <c r="AR236" i="27"/>
  <c r="AO236" i="27"/>
  <c r="AL236" i="27"/>
  <c r="AI236" i="27"/>
  <c r="AF236" i="27"/>
  <c r="FW235" i="27"/>
  <c r="FT235" i="27"/>
  <c r="FQ235" i="27"/>
  <c r="FN235" i="27"/>
  <c r="FK235" i="27"/>
  <c r="FH235" i="27"/>
  <c r="FE235" i="27"/>
  <c r="FB235" i="27"/>
  <c r="EY235" i="27"/>
  <c r="EV235" i="27"/>
  <c r="ES235" i="27"/>
  <c r="EP235" i="27"/>
  <c r="EM235" i="27"/>
  <c r="EJ235" i="27"/>
  <c r="EG235" i="27"/>
  <c r="ED235" i="27"/>
  <c r="EA235" i="27"/>
  <c r="DX235" i="27"/>
  <c r="DU235" i="27"/>
  <c r="DR235" i="27"/>
  <c r="DO235" i="27"/>
  <c r="DL235" i="27"/>
  <c r="DI235" i="27"/>
  <c r="DF235" i="27"/>
  <c r="DC235" i="27"/>
  <c r="CZ235" i="27"/>
  <c r="CW235" i="27"/>
  <c r="CT235" i="27"/>
  <c r="CQ235" i="27"/>
  <c r="CN235" i="27"/>
  <c r="CK235" i="27"/>
  <c r="CH235" i="27"/>
  <c r="CE235" i="27"/>
  <c r="CB235" i="27"/>
  <c r="BY235" i="27"/>
  <c r="BV235" i="27"/>
  <c r="BS235" i="27"/>
  <c r="BP235" i="27"/>
  <c r="BM235" i="27"/>
  <c r="BJ235" i="27"/>
  <c r="FW234" i="27"/>
  <c r="FT234" i="27"/>
  <c r="FQ234" i="27"/>
  <c r="FN234" i="27"/>
  <c r="FK234" i="27"/>
  <c r="FH234" i="27"/>
  <c r="FE234" i="27"/>
  <c r="FB234" i="27"/>
  <c r="EY234" i="27"/>
  <c r="EV234" i="27"/>
  <c r="ES234" i="27"/>
  <c r="EP234" i="27"/>
  <c r="EM234" i="27"/>
  <c r="EJ234" i="27"/>
  <c r="EG234" i="27"/>
  <c r="ED234" i="27"/>
  <c r="EA234" i="27"/>
  <c r="DX234" i="27"/>
  <c r="DU234" i="27"/>
  <c r="DR234" i="27"/>
  <c r="DO234" i="27"/>
  <c r="DL234" i="27"/>
  <c r="DI234" i="27"/>
  <c r="DF234" i="27"/>
  <c r="DC234" i="27"/>
  <c r="CZ234" i="27"/>
  <c r="CW234" i="27"/>
  <c r="CT234" i="27"/>
  <c r="CQ234" i="27"/>
  <c r="CN234" i="27"/>
  <c r="CK234" i="27"/>
  <c r="CH234" i="27"/>
  <c r="CE234" i="27"/>
  <c r="CB234" i="27"/>
  <c r="BY234" i="27"/>
  <c r="BV234" i="27"/>
  <c r="BS234" i="27"/>
  <c r="BP234" i="27"/>
  <c r="BM234" i="27"/>
  <c r="BJ234" i="27"/>
  <c r="BG234" i="27"/>
  <c r="BD234" i="27"/>
  <c r="BA234" i="27"/>
  <c r="AX234" i="27"/>
  <c r="AU234" i="27"/>
  <c r="AR234" i="27"/>
  <c r="AO234" i="27"/>
  <c r="AL234" i="27"/>
  <c r="AI234" i="27"/>
  <c r="AF234" i="27"/>
  <c r="FW233" i="27"/>
  <c r="FV233" i="27"/>
  <c r="FU233" i="27"/>
  <c r="FS233" i="27"/>
  <c r="FR233" i="27"/>
  <c r="FT233" i="27" s="1"/>
  <c r="FP233" i="27"/>
  <c r="FO233" i="27"/>
  <c r="FQ233" i="27" s="1"/>
  <c r="FN233" i="27"/>
  <c r="FM233" i="27"/>
  <c r="FL233" i="27"/>
  <c r="FK233" i="27"/>
  <c r="FJ233" i="27"/>
  <c r="FI233" i="27"/>
  <c r="FG233" i="27"/>
  <c r="FF233" i="27"/>
  <c r="FH233" i="27" s="1"/>
  <c r="FD233" i="27"/>
  <c r="FC233" i="27"/>
  <c r="FE233" i="27" s="1"/>
  <c r="FB233" i="27"/>
  <c r="FA233" i="27"/>
  <c r="EZ233" i="27"/>
  <c r="EY233" i="27"/>
  <c r="EX233" i="27"/>
  <c r="EW233" i="27"/>
  <c r="EU233" i="27"/>
  <c r="ET233" i="27"/>
  <c r="EV233" i="27" s="1"/>
  <c r="ER233" i="27"/>
  <c r="EQ233" i="27"/>
  <c r="ES233" i="27" s="1"/>
  <c r="EP233" i="27"/>
  <c r="EO233" i="27"/>
  <c r="EN233" i="27"/>
  <c r="EM233" i="27"/>
  <c r="EL233" i="27"/>
  <c r="EK233" i="27"/>
  <c r="EI233" i="27"/>
  <c r="EH233" i="27"/>
  <c r="EJ233" i="27" s="1"/>
  <c r="EF233" i="27"/>
  <c r="EE233" i="27"/>
  <c r="EG233" i="27" s="1"/>
  <c r="ED233" i="27"/>
  <c r="EC233" i="27"/>
  <c r="EB233" i="27"/>
  <c r="EA233" i="27"/>
  <c r="DZ233" i="27"/>
  <c r="DY233" i="27"/>
  <c r="DW233" i="27"/>
  <c r="DV233" i="27"/>
  <c r="DX233" i="27" s="1"/>
  <c r="DT233" i="27"/>
  <c r="DS233" i="27"/>
  <c r="DU233" i="27" s="1"/>
  <c r="DR233" i="27"/>
  <c r="DQ233" i="27"/>
  <c r="DP233" i="27"/>
  <c r="DO233" i="27"/>
  <c r="DN233" i="27"/>
  <c r="DM233" i="27"/>
  <c r="DK233" i="27"/>
  <c r="DJ233" i="27"/>
  <c r="DL233" i="27" s="1"/>
  <c r="DH233" i="27"/>
  <c r="DG233" i="27"/>
  <c r="DI233" i="27" s="1"/>
  <c r="DF233" i="27"/>
  <c r="DE233" i="27"/>
  <c r="DD233" i="27"/>
  <c r="DC233" i="27"/>
  <c r="DB233" i="27"/>
  <c r="DA233" i="27"/>
  <c r="CY233" i="27"/>
  <c r="CX233" i="27"/>
  <c r="CZ233" i="27" s="1"/>
  <c r="CV233" i="27"/>
  <c r="CU233" i="27"/>
  <c r="CW233" i="27" s="1"/>
  <c r="CT233" i="27"/>
  <c r="CS233" i="27"/>
  <c r="CR233" i="27"/>
  <c r="CQ233" i="27"/>
  <c r="CP233" i="27"/>
  <c r="CO233" i="27"/>
  <c r="CM233" i="27"/>
  <c r="CL233" i="27"/>
  <c r="CN233" i="27" s="1"/>
  <c r="CJ233" i="27"/>
  <c r="CI233" i="27"/>
  <c r="CK233" i="27" s="1"/>
  <c r="CH233" i="27"/>
  <c r="CG233" i="27"/>
  <c r="CF233" i="27"/>
  <c r="CE233" i="27"/>
  <c r="CD233" i="27"/>
  <c r="CC233" i="27"/>
  <c r="CA233" i="27"/>
  <c r="BZ233" i="27"/>
  <c r="CB233" i="27" s="1"/>
  <c r="BX233" i="27"/>
  <c r="BW233" i="27"/>
  <c r="BY233" i="27" s="1"/>
  <c r="BV233" i="27"/>
  <c r="BU233" i="27"/>
  <c r="BT233" i="27"/>
  <c r="BS233" i="27"/>
  <c r="BR233" i="27"/>
  <c r="BQ233" i="27"/>
  <c r="BO233" i="27"/>
  <c r="BN233" i="27"/>
  <c r="BP233" i="27" s="1"/>
  <c r="BL233" i="27"/>
  <c r="BK233" i="27"/>
  <c r="BM233" i="27" s="1"/>
  <c r="BJ233" i="27"/>
  <c r="BI233" i="27"/>
  <c r="BH233" i="27"/>
  <c r="FW231" i="27"/>
  <c r="FT231" i="27"/>
  <c r="FQ231" i="27"/>
  <c r="FN231" i="27"/>
  <c r="FK231" i="27"/>
  <c r="FH231" i="27"/>
  <c r="FE231" i="27"/>
  <c r="FB231" i="27"/>
  <c r="EY231" i="27"/>
  <c r="EV231" i="27"/>
  <c r="ES231" i="27"/>
  <c r="EP231" i="27"/>
  <c r="EM231" i="27"/>
  <c r="EJ231" i="27"/>
  <c r="EG231" i="27"/>
  <c r="ED231" i="27"/>
  <c r="EA231" i="27"/>
  <c r="DX231" i="27"/>
  <c r="DU231" i="27"/>
  <c r="DR231" i="27"/>
  <c r="DO231" i="27"/>
  <c r="DL231" i="27"/>
  <c r="DI231" i="27"/>
  <c r="DF231" i="27"/>
  <c r="DC231" i="27"/>
  <c r="CZ231" i="27"/>
  <c r="CW231" i="27"/>
  <c r="CT231" i="27"/>
  <c r="CQ231" i="27"/>
  <c r="CN231" i="27"/>
  <c r="CK231" i="27"/>
  <c r="CH231" i="27"/>
  <c r="CE231" i="27"/>
  <c r="CB231" i="27"/>
  <c r="BY231" i="27"/>
  <c r="BV231" i="27"/>
  <c r="BS231" i="27"/>
  <c r="BP231" i="27"/>
  <c r="BM231" i="27"/>
  <c r="BJ231" i="27"/>
  <c r="BG231" i="27"/>
  <c r="BD231" i="27"/>
  <c r="BA231" i="27"/>
  <c r="AX231" i="27"/>
  <c r="AU231" i="27"/>
  <c r="AR231" i="27"/>
  <c r="AO231" i="27"/>
  <c r="AL231" i="27"/>
  <c r="AI231" i="27"/>
  <c r="AF231" i="27"/>
  <c r="FW230" i="27"/>
  <c r="FT230" i="27"/>
  <c r="FQ230" i="27"/>
  <c r="FN230" i="27"/>
  <c r="FK230" i="27"/>
  <c r="FH230" i="27"/>
  <c r="FE230" i="27"/>
  <c r="FB230" i="27"/>
  <c r="EY230" i="27"/>
  <c r="EV230" i="27"/>
  <c r="ES230" i="27"/>
  <c r="EP230" i="27"/>
  <c r="EM230" i="27"/>
  <c r="EJ230" i="27"/>
  <c r="EG230" i="27"/>
  <c r="ED230" i="27"/>
  <c r="EA230" i="27"/>
  <c r="DX230" i="27"/>
  <c r="DU230" i="27"/>
  <c r="DR230" i="27"/>
  <c r="DO230" i="27"/>
  <c r="DL230" i="27"/>
  <c r="DI230" i="27"/>
  <c r="DF230" i="27"/>
  <c r="DC230" i="27"/>
  <c r="CZ230" i="27"/>
  <c r="CW230" i="27"/>
  <c r="CT230" i="27"/>
  <c r="CQ230" i="27"/>
  <c r="CN230" i="27"/>
  <c r="CK230" i="27"/>
  <c r="CH230" i="27"/>
  <c r="CE230" i="27"/>
  <c r="CB230" i="27"/>
  <c r="BY230" i="27"/>
  <c r="BV230" i="27"/>
  <c r="BS230" i="27"/>
  <c r="BP230" i="27"/>
  <c r="BM230" i="27"/>
  <c r="BJ230" i="27"/>
  <c r="BG230" i="27"/>
  <c r="BD230" i="27"/>
  <c r="BA230" i="27"/>
  <c r="AX230" i="27"/>
  <c r="AU230" i="27"/>
  <c r="AR230" i="27"/>
  <c r="AO230" i="27"/>
  <c r="AL230" i="27"/>
  <c r="AI230" i="27"/>
  <c r="AF230" i="27"/>
  <c r="FW229" i="27"/>
  <c r="FT229" i="27"/>
  <c r="FQ229" i="27"/>
  <c r="FN229" i="27"/>
  <c r="FK229" i="27"/>
  <c r="FH229" i="27"/>
  <c r="FE229" i="27"/>
  <c r="FB229" i="27"/>
  <c r="EY229" i="27"/>
  <c r="EV229" i="27"/>
  <c r="ES229" i="27"/>
  <c r="EP229" i="27"/>
  <c r="EM229" i="27"/>
  <c r="EJ229" i="27"/>
  <c r="EG229" i="27"/>
  <c r="ED229" i="27"/>
  <c r="EA229" i="27"/>
  <c r="DX229" i="27"/>
  <c r="DU229" i="27"/>
  <c r="DR229" i="27"/>
  <c r="DO229" i="27"/>
  <c r="DL229" i="27"/>
  <c r="DI229" i="27"/>
  <c r="DF229" i="27"/>
  <c r="DC229" i="27"/>
  <c r="CZ229" i="27"/>
  <c r="CW229" i="27"/>
  <c r="CT229" i="27"/>
  <c r="CQ229" i="27"/>
  <c r="CN229" i="27"/>
  <c r="CK229" i="27"/>
  <c r="CH229" i="27"/>
  <c r="CE229" i="27"/>
  <c r="CB229" i="27"/>
  <c r="BY229" i="27"/>
  <c r="BV229" i="27"/>
  <c r="BS229" i="27"/>
  <c r="BP229" i="27"/>
  <c r="BM229" i="27"/>
  <c r="BJ229" i="27"/>
  <c r="FW228" i="27"/>
  <c r="FT228" i="27"/>
  <c r="FQ228" i="27"/>
  <c r="FN228" i="27"/>
  <c r="FK228" i="27"/>
  <c r="FH228" i="27"/>
  <c r="FE228" i="27"/>
  <c r="FB228" i="27"/>
  <c r="EY228" i="27"/>
  <c r="EV228" i="27"/>
  <c r="ES228" i="27"/>
  <c r="EP228" i="27"/>
  <c r="EM228" i="27"/>
  <c r="EJ228" i="27"/>
  <c r="EG228" i="27"/>
  <c r="ED228" i="27"/>
  <c r="EA228" i="27"/>
  <c r="DX228" i="27"/>
  <c r="DU228" i="27"/>
  <c r="DR228" i="27"/>
  <c r="DO228" i="27"/>
  <c r="DL228" i="27"/>
  <c r="DI228" i="27"/>
  <c r="DF228" i="27"/>
  <c r="DC228" i="27"/>
  <c r="CZ228" i="27"/>
  <c r="CW228" i="27"/>
  <c r="CT228" i="27"/>
  <c r="CQ228" i="27"/>
  <c r="CN228" i="27"/>
  <c r="CK228" i="27"/>
  <c r="CH228" i="27"/>
  <c r="CE228" i="27"/>
  <c r="CB228" i="27"/>
  <c r="BY228" i="27"/>
  <c r="BV228" i="27"/>
  <c r="BS228" i="27"/>
  <c r="BP228" i="27"/>
  <c r="BM228" i="27"/>
  <c r="BJ228" i="27"/>
  <c r="BG228" i="27"/>
  <c r="BD228" i="27"/>
  <c r="BA228" i="27"/>
  <c r="AX228" i="27"/>
  <c r="AU228" i="27"/>
  <c r="AR228" i="27"/>
  <c r="AO228" i="27"/>
  <c r="AL228" i="27"/>
  <c r="AI228" i="27"/>
  <c r="AF228" i="27"/>
  <c r="FW227" i="27"/>
  <c r="FV227" i="27"/>
  <c r="FU227" i="27"/>
  <c r="FT227" i="27"/>
  <c r="FS227" i="27"/>
  <c r="FR227" i="27"/>
  <c r="FP227" i="27"/>
  <c r="FO227" i="27"/>
  <c r="FQ227" i="27" s="1"/>
  <c r="FM227" i="27"/>
  <c r="FL227" i="27"/>
  <c r="FN227" i="27" s="1"/>
  <c r="FK227" i="27"/>
  <c r="FJ227" i="27"/>
  <c r="FI227" i="27"/>
  <c r="FH227" i="27"/>
  <c r="FG227" i="27"/>
  <c r="FF227" i="27"/>
  <c r="FD227" i="27"/>
  <c r="FC227" i="27"/>
  <c r="FE227" i="27" s="1"/>
  <c r="FA227" i="27"/>
  <c r="EZ227" i="27"/>
  <c r="FB227" i="27" s="1"/>
  <c r="EY227" i="27"/>
  <c r="EX227" i="27"/>
  <c r="EW227" i="27"/>
  <c r="EV227" i="27"/>
  <c r="EU227" i="27"/>
  <c r="ET227" i="27"/>
  <c r="ER227" i="27"/>
  <c r="EQ227" i="27"/>
  <c r="ES227" i="27" s="1"/>
  <c r="EO227" i="27"/>
  <c r="EN227" i="27"/>
  <c r="EP227" i="27" s="1"/>
  <c r="EM227" i="27"/>
  <c r="EL227" i="27"/>
  <c r="EK227" i="27"/>
  <c r="EJ227" i="27"/>
  <c r="EI227" i="27"/>
  <c r="EH227" i="27"/>
  <c r="EF227" i="27"/>
  <c r="EE227" i="27"/>
  <c r="EG227" i="27" s="1"/>
  <c r="EC227" i="27"/>
  <c r="EB227" i="27"/>
  <c r="ED227" i="27" s="1"/>
  <c r="EA227" i="27"/>
  <c r="DZ227" i="27"/>
  <c r="DY227" i="27"/>
  <c r="DX227" i="27"/>
  <c r="DW227" i="27"/>
  <c r="DV227" i="27"/>
  <c r="DT227" i="27"/>
  <c r="DS227" i="27"/>
  <c r="DU227" i="27" s="1"/>
  <c r="DQ227" i="27"/>
  <c r="DP227" i="27"/>
  <c r="DR227" i="27" s="1"/>
  <c r="DO227" i="27"/>
  <c r="DN227" i="27"/>
  <c r="DM227" i="27"/>
  <c r="DL227" i="27"/>
  <c r="DK227" i="27"/>
  <c r="DJ227" i="27"/>
  <c r="DH227" i="27"/>
  <c r="DG227" i="27"/>
  <c r="DI227" i="27" s="1"/>
  <c r="DE227" i="27"/>
  <c r="DD227" i="27"/>
  <c r="DF227" i="27" s="1"/>
  <c r="DC227" i="27"/>
  <c r="DB227" i="27"/>
  <c r="DA227" i="27"/>
  <c r="CZ227" i="27"/>
  <c r="CY227" i="27"/>
  <c r="CX227" i="27"/>
  <c r="CV227" i="27"/>
  <c r="CU227" i="27"/>
  <c r="CW227" i="27" s="1"/>
  <c r="CS227" i="27"/>
  <c r="CR227" i="27"/>
  <c r="CT227" i="27" s="1"/>
  <c r="CQ227" i="27"/>
  <c r="CP227" i="27"/>
  <c r="CO227" i="27"/>
  <c r="CN227" i="27"/>
  <c r="CM227" i="27"/>
  <c r="CL227" i="27"/>
  <c r="CJ227" i="27"/>
  <c r="CI227" i="27"/>
  <c r="CK227" i="27" s="1"/>
  <c r="CG227" i="27"/>
  <c r="CF227" i="27"/>
  <c r="CH227" i="27" s="1"/>
  <c r="CE227" i="27"/>
  <c r="CD227" i="27"/>
  <c r="CC227" i="27"/>
  <c r="CB227" i="27"/>
  <c r="CA227" i="27"/>
  <c r="BZ227" i="27"/>
  <c r="BX227" i="27"/>
  <c r="BW227" i="27"/>
  <c r="BY227" i="27" s="1"/>
  <c r="BU227" i="27"/>
  <c r="BT227" i="27"/>
  <c r="BV227" i="27" s="1"/>
  <c r="BS227" i="27"/>
  <c r="BR227" i="27"/>
  <c r="BQ227" i="27"/>
  <c r="BP227" i="27"/>
  <c r="BO227" i="27"/>
  <c r="BN227" i="27"/>
  <c r="BL227" i="27"/>
  <c r="BK227" i="27"/>
  <c r="BM227" i="27" s="1"/>
  <c r="BI227" i="27"/>
  <c r="BH227" i="27"/>
  <c r="BJ227" i="27" s="1"/>
  <c r="FW225" i="27"/>
  <c r="FT225" i="27"/>
  <c r="FQ225" i="27"/>
  <c r="FN225" i="27"/>
  <c r="FK225" i="27"/>
  <c r="FH225" i="27"/>
  <c r="FE225" i="27"/>
  <c r="FB225" i="27"/>
  <c r="EY225" i="27"/>
  <c r="EV225" i="27"/>
  <c r="ES225" i="27"/>
  <c r="EP225" i="27"/>
  <c r="EM225" i="27"/>
  <c r="EJ225" i="27"/>
  <c r="EG225" i="27"/>
  <c r="ED225" i="27"/>
  <c r="EA225" i="27"/>
  <c r="DX225" i="27"/>
  <c r="DU225" i="27"/>
  <c r="DR225" i="27"/>
  <c r="DO225" i="27"/>
  <c r="DL225" i="27"/>
  <c r="DI225" i="27"/>
  <c r="DF225" i="27"/>
  <c r="DC225" i="27"/>
  <c r="CZ225" i="27"/>
  <c r="CW225" i="27"/>
  <c r="CT225" i="27"/>
  <c r="CQ225" i="27"/>
  <c r="CN225" i="27"/>
  <c r="CK225" i="27"/>
  <c r="CH225" i="27"/>
  <c r="CE225" i="27"/>
  <c r="CB225" i="27"/>
  <c r="BY225" i="27"/>
  <c r="BV225" i="27"/>
  <c r="BS225" i="27"/>
  <c r="BP225" i="27"/>
  <c r="BM225" i="27"/>
  <c r="BJ225" i="27"/>
  <c r="BG225" i="27"/>
  <c r="BD225" i="27"/>
  <c r="BA225" i="27"/>
  <c r="AX225" i="27"/>
  <c r="AU225" i="27"/>
  <c r="AR225" i="27"/>
  <c r="AO225" i="27"/>
  <c r="AL225" i="27"/>
  <c r="AI225" i="27"/>
  <c r="AF225" i="27"/>
  <c r="FW224" i="27"/>
  <c r="FT224" i="27"/>
  <c r="FQ224" i="27"/>
  <c r="FN224" i="27"/>
  <c r="FK224" i="27"/>
  <c r="FH224" i="27"/>
  <c r="FE224" i="27"/>
  <c r="FB224" i="27"/>
  <c r="EY224" i="27"/>
  <c r="EV224" i="27"/>
  <c r="ES224" i="27"/>
  <c r="EP224" i="27"/>
  <c r="EM224" i="27"/>
  <c r="EJ224" i="27"/>
  <c r="EG224" i="27"/>
  <c r="ED224" i="27"/>
  <c r="EA224" i="27"/>
  <c r="DX224" i="27"/>
  <c r="DU224" i="27"/>
  <c r="DR224" i="27"/>
  <c r="DO224" i="27"/>
  <c r="DL224" i="27"/>
  <c r="DI224" i="27"/>
  <c r="DF224" i="27"/>
  <c r="DC224" i="27"/>
  <c r="CZ224" i="27"/>
  <c r="CW224" i="27"/>
  <c r="CT224" i="27"/>
  <c r="CQ224" i="27"/>
  <c r="CN224" i="27"/>
  <c r="CK224" i="27"/>
  <c r="CH224" i="27"/>
  <c r="CE224" i="27"/>
  <c r="CB224" i="27"/>
  <c r="BY224" i="27"/>
  <c r="BV224" i="27"/>
  <c r="BS224" i="27"/>
  <c r="BP224" i="27"/>
  <c r="BM224" i="27"/>
  <c r="BJ224" i="27"/>
  <c r="BG224" i="27"/>
  <c r="BD224" i="27"/>
  <c r="BA224" i="27"/>
  <c r="AX224" i="27"/>
  <c r="AU224" i="27"/>
  <c r="AR224" i="27"/>
  <c r="AO224" i="27"/>
  <c r="AL224" i="27"/>
  <c r="AI224" i="27"/>
  <c r="AF224" i="27"/>
  <c r="FW223" i="27"/>
  <c r="FT223" i="27"/>
  <c r="FQ223" i="27"/>
  <c r="FN223" i="27"/>
  <c r="FK223" i="27"/>
  <c r="FH223" i="27"/>
  <c r="FE223" i="27"/>
  <c r="FB223" i="27"/>
  <c r="EY223" i="27"/>
  <c r="EV223" i="27"/>
  <c r="ES223" i="27"/>
  <c r="EP223" i="27"/>
  <c r="EM223" i="27"/>
  <c r="EJ223" i="27"/>
  <c r="EG223" i="27"/>
  <c r="ED223" i="27"/>
  <c r="EA223" i="27"/>
  <c r="DX223" i="27"/>
  <c r="DU223" i="27"/>
  <c r="DR223" i="27"/>
  <c r="DO223" i="27"/>
  <c r="DL223" i="27"/>
  <c r="DI223" i="27"/>
  <c r="DF223" i="27"/>
  <c r="DC223" i="27"/>
  <c r="CZ223" i="27"/>
  <c r="CW223" i="27"/>
  <c r="CT223" i="27"/>
  <c r="CQ223" i="27"/>
  <c r="CN223" i="27"/>
  <c r="CK223" i="27"/>
  <c r="CH223" i="27"/>
  <c r="CE223" i="27"/>
  <c r="CB223" i="27"/>
  <c r="BY223" i="27"/>
  <c r="BV223" i="27"/>
  <c r="BS223" i="27"/>
  <c r="BP223" i="27"/>
  <c r="BM223" i="27"/>
  <c r="BJ223" i="27"/>
  <c r="FW222" i="27"/>
  <c r="FT222" i="27"/>
  <c r="FQ222" i="27"/>
  <c r="FN222" i="27"/>
  <c r="FK222" i="27"/>
  <c r="FH222" i="27"/>
  <c r="FE222" i="27"/>
  <c r="FB222" i="27"/>
  <c r="EY222" i="27"/>
  <c r="EV222" i="27"/>
  <c r="ES222" i="27"/>
  <c r="EP222" i="27"/>
  <c r="EM222" i="27"/>
  <c r="EJ222" i="27"/>
  <c r="EG222" i="27"/>
  <c r="ED222" i="27"/>
  <c r="EA222" i="27"/>
  <c r="DX222" i="27"/>
  <c r="DU222" i="27"/>
  <c r="DR222" i="27"/>
  <c r="DO222" i="27"/>
  <c r="DL222" i="27"/>
  <c r="DI222" i="27"/>
  <c r="DF222" i="27"/>
  <c r="DC222" i="27"/>
  <c r="CZ222" i="27"/>
  <c r="CW222" i="27"/>
  <c r="CT222" i="27"/>
  <c r="CQ222" i="27"/>
  <c r="CN222" i="27"/>
  <c r="CK222" i="27"/>
  <c r="CH222" i="27"/>
  <c r="CE222" i="27"/>
  <c r="CB222" i="27"/>
  <c r="BY222" i="27"/>
  <c r="BV222" i="27"/>
  <c r="BS222" i="27"/>
  <c r="BP222" i="27"/>
  <c r="BM222" i="27"/>
  <c r="BJ222" i="27"/>
  <c r="BG222" i="27"/>
  <c r="BD222" i="27"/>
  <c r="BA222" i="27"/>
  <c r="AX222" i="27"/>
  <c r="AU222" i="27"/>
  <c r="AR222" i="27"/>
  <c r="AO222" i="27"/>
  <c r="AL222" i="27"/>
  <c r="AI222" i="27"/>
  <c r="AF222" i="27"/>
  <c r="FV221" i="27"/>
  <c r="FU221" i="27"/>
  <c r="FW221" i="27" s="1"/>
  <c r="FT221" i="27"/>
  <c r="FS221" i="27"/>
  <c r="FR221" i="27"/>
  <c r="FQ221" i="27"/>
  <c r="FP221" i="27"/>
  <c r="FO221" i="27"/>
  <c r="FM221" i="27"/>
  <c r="FL221" i="27"/>
  <c r="FN221" i="27" s="1"/>
  <c r="FJ221" i="27"/>
  <c r="FI221" i="27"/>
  <c r="FK221" i="27" s="1"/>
  <c r="FH221" i="27"/>
  <c r="FG221" i="27"/>
  <c r="FF221" i="27"/>
  <c r="FE221" i="27"/>
  <c r="FD221" i="27"/>
  <c r="FC221" i="27"/>
  <c r="FA221" i="27"/>
  <c r="EZ221" i="27"/>
  <c r="FB221" i="27" s="1"/>
  <c r="EX221" i="27"/>
  <c r="EW221" i="27"/>
  <c r="EY221" i="27" s="1"/>
  <c r="EV221" i="27"/>
  <c r="EU221" i="27"/>
  <c r="ET221" i="27"/>
  <c r="ES221" i="27"/>
  <c r="ER221" i="27"/>
  <c r="EQ221" i="27"/>
  <c r="EO221" i="27"/>
  <c r="EN221" i="27"/>
  <c r="EP221" i="27" s="1"/>
  <c r="EL221" i="27"/>
  <c r="EK221" i="27"/>
  <c r="EM221" i="27" s="1"/>
  <c r="EJ221" i="27"/>
  <c r="EI221" i="27"/>
  <c r="EH221" i="27"/>
  <c r="EG221" i="27"/>
  <c r="EF221" i="27"/>
  <c r="EE221" i="27"/>
  <c r="EC221" i="27"/>
  <c r="EB221" i="27"/>
  <c r="ED221" i="27" s="1"/>
  <c r="DZ221" i="27"/>
  <c r="DY221" i="27"/>
  <c r="EA221" i="27" s="1"/>
  <c r="DX221" i="27"/>
  <c r="DW221" i="27"/>
  <c r="DV221" i="27"/>
  <c r="DU221" i="27"/>
  <c r="DT221" i="27"/>
  <c r="DS221" i="27"/>
  <c r="DQ221" i="27"/>
  <c r="DP221" i="27"/>
  <c r="DR221" i="27" s="1"/>
  <c r="DN221" i="27"/>
  <c r="DM221" i="27"/>
  <c r="DO221" i="27" s="1"/>
  <c r="DL221" i="27"/>
  <c r="DK221" i="27"/>
  <c r="DJ221" i="27"/>
  <c r="DI221" i="27"/>
  <c r="DH221" i="27"/>
  <c r="DG221" i="27"/>
  <c r="DE221" i="27"/>
  <c r="DD221" i="27"/>
  <c r="DF221" i="27" s="1"/>
  <c r="DB221" i="27"/>
  <c r="DA221" i="27"/>
  <c r="DC221" i="27" s="1"/>
  <c r="CZ221" i="27"/>
  <c r="CY221" i="27"/>
  <c r="CX221" i="27"/>
  <c r="CW221" i="27"/>
  <c r="CV221" i="27"/>
  <c r="CU221" i="27"/>
  <c r="CS221" i="27"/>
  <c r="CR221" i="27"/>
  <c r="CT221" i="27" s="1"/>
  <c r="CP221" i="27"/>
  <c r="CO221" i="27"/>
  <c r="CQ221" i="27" s="1"/>
  <c r="CN221" i="27"/>
  <c r="CM221" i="27"/>
  <c r="CL221" i="27"/>
  <c r="CK221" i="27"/>
  <c r="CJ221" i="27"/>
  <c r="CI221" i="27"/>
  <c r="CG221" i="27"/>
  <c r="CF221" i="27"/>
  <c r="CH221" i="27" s="1"/>
  <c r="CD221" i="27"/>
  <c r="CC221" i="27"/>
  <c r="CE221" i="27" s="1"/>
  <c r="CB221" i="27"/>
  <c r="CA221" i="27"/>
  <c r="BZ221" i="27"/>
  <c r="BY221" i="27"/>
  <c r="BX221" i="27"/>
  <c r="BW221" i="27"/>
  <c r="BU221" i="27"/>
  <c r="BT221" i="27"/>
  <c r="BV221" i="27" s="1"/>
  <c r="BR221" i="27"/>
  <c r="BQ221" i="27"/>
  <c r="BS221" i="27" s="1"/>
  <c r="BP221" i="27"/>
  <c r="BO221" i="27"/>
  <c r="BN221" i="27"/>
  <c r="BM221" i="27"/>
  <c r="BL221" i="27"/>
  <c r="BK221" i="27"/>
  <c r="BI221" i="27"/>
  <c r="BH221" i="27"/>
  <c r="BJ221" i="27" s="1"/>
  <c r="FW219" i="27"/>
  <c r="FT219" i="27"/>
  <c r="FQ219" i="27"/>
  <c r="FN219" i="27"/>
  <c r="FK219" i="27"/>
  <c r="FH219" i="27"/>
  <c r="FE219" i="27"/>
  <c r="FB219" i="27"/>
  <c r="EY219" i="27"/>
  <c r="EV219" i="27"/>
  <c r="ES219" i="27"/>
  <c r="EP219" i="27"/>
  <c r="EM219" i="27"/>
  <c r="EJ219" i="27"/>
  <c r="EG219" i="27"/>
  <c r="ED219" i="27"/>
  <c r="EA219" i="27"/>
  <c r="DX219" i="27"/>
  <c r="DU219" i="27"/>
  <c r="DR219" i="27"/>
  <c r="DO219" i="27"/>
  <c r="DL219" i="27"/>
  <c r="DI219" i="27"/>
  <c r="DF219" i="27"/>
  <c r="DC219" i="27"/>
  <c r="CZ219" i="27"/>
  <c r="CW219" i="27"/>
  <c r="CT219" i="27"/>
  <c r="CQ219" i="27"/>
  <c r="CN219" i="27"/>
  <c r="CK219" i="27"/>
  <c r="CH219" i="27"/>
  <c r="CE219" i="27"/>
  <c r="CB219" i="27"/>
  <c r="BY219" i="27"/>
  <c r="BV219" i="27"/>
  <c r="BS219" i="27"/>
  <c r="BP219" i="27"/>
  <c r="BM219" i="27"/>
  <c r="BJ219" i="27"/>
  <c r="BG219" i="27"/>
  <c r="BD219" i="27"/>
  <c r="BA219" i="27"/>
  <c r="AX219" i="27"/>
  <c r="AU219" i="27"/>
  <c r="AR219" i="27"/>
  <c r="AO219" i="27"/>
  <c r="AL219" i="27"/>
  <c r="AI219" i="27"/>
  <c r="AF219" i="27"/>
  <c r="FW218" i="27"/>
  <c r="FT218" i="27"/>
  <c r="FQ218" i="27"/>
  <c r="FN218" i="27"/>
  <c r="FK218" i="27"/>
  <c r="FH218" i="27"/>
  <c r="FE218" i="27"/>
  <c r="FB218" i="27"/>
  <c r="EY218" i="27"/>
  <c r="EV218" i="27"/>
  <c r="ES218" i="27"/>
  <c r="EP218" i="27"/>
  <c r="EM218" i="27"/>
  <c r="EJ218" i="27"/>
  <c r="EG218" i="27"/>
  <c r="ED218" i="27"/>
  <c r="EA218" i="27"/>
  <c r="DX218" i="27"/>
  <c r="DU218" i="27"/>
  <c r="DR218" i="27"/>
  <c r="DO218" i="27"/>
  <c r="DL218" i="27"/>
  <c r="DI218" i="27"/>
  <c r="DF218" i="27"/>
  <c r="DC218" i="27"/>
  <c r="CZ218" i="27"/>
  <c r="CW218" i="27"/>
  <c r="CT218" i="27"/>
  <c r="CQ218" i="27"/>
  <c r="CN218" i="27"/>
  <c r="CK218" i="27"/>
  <c r="CH218" i="27"/>
  <c r="CE218" i="27"/>
  <c r="CB218" i="27"/>
  <c r="BY218" i="27"/>
  <c r="BV218" i="27"/>
  <c r="BS218" i="27"/>
  <c r="BP218" i="27"/>
  <c r="BM218" i="27"/>
  <c r="BJ218" i="27"/>
  <c r="BG218" i="27"/>
  <c r="BD218" i="27"/>
  <c r="BA218" i="27"/>
  <c r="AX218" i="27"/>
  <c r="AU218" i="27"/>
  <c r="AR218" i="27"/>
  <c r="AO218" i="27"/>
  <c r="AL218" i="27"/>
  <c r="AI218" i="27"/>
  <c r="AF218" i="27"/>
  <c r="FW217" i="27"/>
  <c r="FT217" i="27"/>
  <c r="FQ217" i="27"/>
  <c r="FN217" i="27"/>
  <c r="FK217" i="27"/>
  <c r="FH217" i="27"/>
  <c r="FE217" i="27"/>
  <c r="FB217" i="27"/>
  <c r="EY217" i="27"/>
  <c r="EV217" i="27"/>
  <c r="ES217" i="27"/>
  <c r="EP217" i="27"/>
  <c r="EM217" i="27"/>
  <c r="EJ217" i="27"/>
  <c r="EG217" i="27"/>
  <c r="ED217" i="27"/>
  <c r="EA217" i="27"/>
  <c r="DX217" i="27"/>
  <c r="DU217" i="27"/>
  <c r="DR217" i="27"/>
  <c r="DO217" i="27"/>
  <c r="DL217" i="27"/>
  <c r="DI217" i="27"/>
  <c r="DF217" i="27"/>
  <c r="DC217" i="27"/>
  <c r="CZ217" i="27"/>
  <c r="CW217" i="27"/>
  <c r="CT217" i="27"/>
  <c r="CQ217" i="27"/>
  <c r="CN217" i="27"/>
  <c r="CK217" i="27"/>
  <c r="CH217" i="27"/>
  <c r="CE217" i="27"/>
  <c r="CB217" i="27"/>
  <c r="BY217" i="27"/>
  <c r="BV217" i="27"/>
  <c r="BS217" i="27"/>
  <c r="BP217" i="27"/>
  <c r="BM217" i="27"/>
  <c r="BJ217" i="27"/>
  <c r="FW216" i="27"/>
  <c r="FT216" i="27"/>
  <c r="FQ216" i="27"/>
  <c r="FN216" i="27"/>
  <c r="FK216" i="27"/>
  <c r="FH216" i="27"/>
  <c r="FE216" i="27"/>
  <c r="FB216" i="27"/>
  <c r="EY216" i="27"/>
  <c r="EV216" i="27"/>
  <c r="ES216" i="27"/>
  <c r="EP216" i="27"/>
  <c r="EM216" i="27"/>
  <c r="EJ216" i="27"/>
  <c r="EG216" i="27"/>
  <c r="ED216" i="27"/>
  <c r="EA216" i="27"/>
  <c r="DX216" i="27"/>
  <c r="DU216" i="27"/>
  <c r="DR216" i="27"/>
  <c r="DO216" i="27"/>
  <c r="DL216" i="27"/>
  <c r="DI216" i="27"/>
  <c r="DF216" i="27"/>
  <c r="DC216" i="27"/>
  <c r="CZ216" i="27"/>
  <c r="CW216" i="27"/>
  <c r="CT216" i="27"/>
  <c r="CQ216" i="27"/>
  <c r="CN216" i="27"/>
  <c r="CK216" i="27"/>
  <c r="CH216" i="27"/>
  <c r="CE216" i="27"/>
  <c r="CB216" i="27"/>
  <c r="BY216" i="27"/>
  <c r="BV216" i="27"/>
  <c r="BS216" i="27"/>
  <c r="BP216" i="27"/>
  <c r="BM216" i="27"/>
  <c r="BJ216" i="27"/>
  <c r="BG216" i="27"/>
  <c r="BD216" i="27"/>
  <c r="BA216" i="27"/>
  <c r="AX216" i="27"/>
  <c r="AU216" i="27"/>
  <c r="AR216" i="27"/>
  <c r="AO216" i="27"/>
  <c r="AL216" i="27"/>
  <c r="AI216" i="27"/>
  <c r="AF216" i="27"/>
  <c r="FV215" i="27"/>
  <c r="FU215" i="27"/>
  <c r="FW215" i="27" s="1"/>
  <c r="FS215" i="27"/>
  <c r="FR215" i="27"/>
  <c r="FT215" i="27" s="1"/>
  <c r="FQ215" i="27"/>
  <c r="FP215" i="27"/>
  <c r="FO215" i="27"/>
  <c r="FN215" i="27"/>
  <c r="FM215" i="27"/>
  <c r="FL215" i="27"/>
  <c r="FJ215" i="27"/>
  <c r="FI215" i="27"/>
  <c r="FK215" i="27" s="1"/>
  <c r="FG215" i="27"/>
  <c r="FF215" i="27"/>
  <c r="FH215" i="27" s="1"/>
  <c r="FE215" i="27"/>
  <c r="FD215" i="27"/>
  <c r="FC215" i="27"/>
  <c r="FB215" i="27"/>
  <c r="FA215" i="27"/>
  <c r="EZ215" i="27"/>
  <c r="EX215" i="27"/>
  <c r="EW215" i="27"/>
  <c r="EY215" i="27" s="1"/>
  <c r="EU215" i="27"/>
  <c r="ET215" i="27"/>
  <c r="EV215" i="27" s="1"/>
  <c r="ES215" i="27"/>
  <c r="ER215" i="27"/>
  <c r="EQ215" i="27"/>
  <c r="EP215" i="27"/>
  <c r="EO215" i="27"/>
  <c r="EN215" i="27"/>
  <c r="EL215" i="27"/>
  <c r="EK215" i="27"/>
  <c r="EM215" i="27" s="1"/>
  <c r="EI215" i="27"/>
  <c r="EH215" i="27"/>
  <c r="EJ215" i="27" s="1"/>
  <c r="EG215" i="27"/>
  <c r="EF215" i="27"/>
  <c r="EE215" i="27"/>
  <c r="ED215" i="27"/>
  <c r="EC215" i="27"/>
  <c r="EB215" i="27"/>
  <c r="DZ215" i="27"/>
  <c r="DY215" i="27"/>
  <c r="EA215" i="27" s="1"/>
  <c r="DW215" i="27"/>
  <c r="DV215" i="27"/>
  <c r="DX215" i="27" s="1"/>
  <c r="DU215" i="27"/>
  <c r="DT215" i="27"/>
  <c r="DS215" i="27"/>
  <c r="DR215" i="27"/>
  <c r="DQ215" i="27"/>
  <c r="DP215" i="27"/>
  <c r="DN215" i="27"/>
  <c r="DM215" i="27"/>
  <c r="DO215" i="27" s="1"/>
  <c r="DK215" i="27"/>
  <c r="DJ215" i="27"/>
  <c r="DL215" i="27" s="1"/>
  <c r="DI215" i="27"/>
  <c r="DH215" i="27"/>
  <c r="DG215" i="27"/>
  <c r="DF215" i="27"/>
  <c r="DE215" i="27"/>
  <c r="DD215" i="27"/>
  <c r="DB215" i="27"/>
  <c r="DA215" i="27"/>
  <c r="DC215" i="27" s="1"/>
  <c r="CY215" i="27"/>
  <c r="CX215" i="27"/>
  <c r="CZ215" i="27" s="1"/>
  <c r="CW215" i="27"/>
  <c r="CV215" i="27"/>
  <c r="CU215" i="27"/>
  <c r="CT215" i="27"/>
  <c r="CS215" i="27"/>
  <c r="CR215" i="27"/>
  <c r="CP215" i="27"/>
  <c r="CO215" i="27"/>
  <c r="CQ215" i="27" s="1"/>
  <c r="CM215" i="27"/>
  <c r="CL215" i="27"/>
  <c r="CN215" i="27" s="1"/>
  <c r="CK215" i="27"/>
  <c r="CJ215" i="27"/>
  <c r="CI215" i="27"/>
  <c r="CH215" i="27"/>
  <c r="CG215" i="27"/>
  <c r="CF215" i="27"/>
  <c r="CD215" i="27"/>
  <c r="CC215" i="27"/>
  <c r="CE215" i="27" s="1"/>
  <c r="CA215" i="27"/>
  <c r="BZ215" i="27"/>
  <c r="CB215" i="27" s="1"/>
  <c r="BY215" i="27"/>
  <c r="BX215" i="27"/>
  <c r="BW215" i="27"/>
  <c r="BV215" i="27"/>
  <c r="BU215" i="27"/>
  <c r="BT215" i="27"/>
  <c r="BR215" i="27"/>
  <c r="BQ215" i="27"/>
  <c r="BS215" i="27" s="1"/>
  <c r="BO215" i="27"/>
  <c r="BN215" i="27"/>
  <c r="BP215" i="27" s="1"/>
  <c r="BM215" i="27"/>
  <c r="BL215" i="27"/>
  <c r="BK215" i="27"/>
  <c r="BJ215" i="27"/>
  <c r="BI215" i="27"/>
  <c r="BH215" i="27"/>
  <c r="FW211" i="27"/>
  <c r="FT211" i="27"/>
  <c r="FQ211" i="27"/>
  <c r="FN211" i="27"/>
  <c r="FK211" i="27"/>
  <c r="FH211" i="27"/>
  <c r="FE211" i="27"/>
  <c r="FB211" i="27"/>
  <c r="EY211" i="27"/>
  <c r="EV211" i="27"/>
  <c r="ES211" i="27"/>
  <c r="EP211" i="27"/>
  <c r="EM211" i="27"/>
  <c r="EJ211" i="27"/>
  <c r="EG211" i="27"/>
  <c r="ED211" i="27"/>
  <c r="EA211" i="27"/>
  <c r="DX211" i="27"/>
  <c r="DU211" i="27"/>
  <c r="DR211" i="27"/>
  <c r="DO211" i="27"/>
  <c r="DL211" i="27"/>
  <c r="DI211" i="27"/>
  <c r="DF211" i="27"/>
  <c r="DC211" i="27"/>
  <c r="CZ211" i="27"/>
  <c r="CW211" i="27"/>
  <c r="CT211" i="27"/>
  <c r="CQ211" i="27"/>
  <c r="CN211" i="27"/>
  <c r="CK211" i="27"/>
  <c r="CH211" i="27"/>
  <c r="CE211" i="27"/>
  <c r="CB211" i="27"/>
  <c r="BY211" i="27"/>
  <c r="BV211" i="27"/>
  <c r="BS211" i="27"/>
  <c r="BP211" i="27"/>
  <c r="BM211" i="27"/>
  <c r="BJ211" i="27"/>
  <c r="BG211" i="27"/>
  <c r="BD211" i="27"/>
  <c r="BA211" i="27"/>
  <c r="AX211" i="27"/>
  <c r="AU211" i="27"/>
  <c r="AR211" i="27"/>
  <c r="AO211" i="27"/>
  <c r="AL211" i="27"/>
  <c r="AI211" i="27"/>
  <c r="AF211" i="27"/>
  <c r="GB210" i="27" a="1"/>
  <c r="GB210" i="27"/>
  <c r="GB211" i="27" s="1" a="1"/>
  <c r="GB211" i="27" s="1"/>
  <c r="FW210" i="27"/>
  <c r="FT210" i="27"/>
  <c r="FQ210" i="27"/>
  <c r="FN210" i="27"/>
  <c r="FK210" i="27"/>
  <c r="FH210" i="27"/>
  <c r="FE210" i="27"/>
  <c r="FB210" i="27"/>
  <c r="EY210" i="27"/>
  <c r="EV210" i="27"/>
  <c r="ES210" i="27"/>
  <c r="EP210" i="27"/>
  <c r="EM210" i="27"/>
  <c r="EJ210" i="27"/>
  <c r="EG210" i="27"/>
  <c r="ED210" i="27"/>
  <c r="EA210" i="27"/>
  <c r="DX210" i="27"/>
  <c r="DU210" i="27"/>
  <c r="DR210" i="27"/>
  <c r="DO210" i="27"/>
  <c r="DL210" i="27"/>
  <c r="DI210" i="27"/>
  <c r="DF210" i="27"/>
  <c r="DC210" i="27"/>
  <c r="CZ210" i="27"/>
  <c r="CW210" i="27"/>
  <c r="CT210" i="27"/>
  <c r="CQ210" i="27"/>
  <c r="CN210" i="27"/>
  <c r="CK210" i="27"/>
  <c r="CH210" i="27"/>
  <c r="CE210" i="27"/>
  <c r="CB210" i="27"/>
  <c r="BY210" i="27"/>
  <c r="BV210" i="27"/>
  <c r="BS210" i="27"/>
  <c r="BP210" i="27"/>
  <c r="BM210" i="27"/>
  <c r="BJ210" i="27"/>
  <c r="BG210" i="27"/>
  <c r="BD210" i="27"/>
  <c r="BA210" i="27"/>
  <c r="AX210" i="27"/>
  <c r="AU210" i="27"/>
  <c r="AR210" i="27"/>
  <c r="AO210" i="27"/>
  <c r="AL210" i="27"/>
  <c r="AI210" i="27"/>
  <c r="AF210" i="27"/>
  <c r="I210" i="27" a="1"/>
  <c r="I210" i="27"/>
  <c r="I211" i="27" s="1" a="1"/>
  <c r="I211" i="27" s="1"/>
  <c r="FW209" i="27"/>
  <c r="FT209" i="27"/>
  <c r="FQ209" i="27"/>
  <c r="FN209" i="27"/>
  <c r="FK209" i="27"/>
  <c r="FH209" i="27"/>
  <c r="FE209" i="27"/>
  <c r="FB209" i="27"/>
  <c r="EY209" i="27"/>
  <c r="EV209" i="27"/>
  <c r="ES209" i="27"/>
  <c r="EP209" i="27"/>
  <c r="EM209" i="27"/>
  <c r="EJ209" i="27"/>
  <c r="EG209" i="27"/>
  <c r="ED209" i="27"/>
  <c r="EA209" i="27"/>
  <c r="DX209" i="27"/>
  <c r="DU209" i="27"/>
  <c r="DR209" i="27"/>
  <c r="DO209" i="27"/>
  <c r="DL209" i="27"/>
  <c r="DI209" i="27"/>
  <c r="DF209" i="27"/>
  <c r="DC209" i="27"/>
  <c r="CZ209" i="27"/>
  <c r="CW209" i="27"/>
  <c r="CT209" i="27"/>
  <c r="CQ209" i="27"/>
  <c r="CN209" i="27"/>
  <c r="CK209" i="27"/>
  <c r="CH209" i="27"/>
  <c r="CE209" i="27"/>
  <c r="CB209" i="27"/>
  <c r="BY209" i="27"/>
  <c r="BV209" i="27"/>
  <c r="BS209" i="27"/>
  <c r="BP209" i="27"/>
  <c r="BM209" i="27"/>
  <c r="BJ209" i="27"/>
  <c r="FV208" i="27"/>
  <c r="FU208" i="27"/>
  <c r="FS208" i="27"/>
  <c r="FR208" i="27"/>
  <c r="FP208" i="27"/>
  <c r="FO208" i="27"/>
  <c r="FM208" i="27"/>
  <c r="FL208" i="27"/>
  <c r="FJ208" i="27"/>
  <c r="FI208" i="27"/>
  <c r="FG208" i="27"/>
  <c r="FF208" i="27"/>
  <c r="FD208" i="27"/>
  <c r="FC208" i="27"/>
  <c r="FA208" i="27"/>
  <c r="EZ208" i="27"/>
  <c r="EX208" i="27"/>
  <c r="EW208" i="27"/>
  <c r="EU208" i="27"/>
  <c r="ET208" i="27"/>
  <c r="ER208" i="27"/>
  <c r="EQ208" i="27"/>
  <c r="EO208" i="27"/>
  <c r="EN208" i="27"/>
  <c r="EL208" i="27"/>
  <c r="EK208" i="27"/>
  <c r="EI208" i="27"/>
  <c r="EH208" i="27"/>
  <c r="EF208" i="27"/>
  <c r="EE208" i="27"/>
  <c r="EC208" i="27"/>
  <c r="EB208" i="27"/>
  <c r="DZ208" i="27"/>
  <c r="DY208" i="27"/>
  <c r="DW208" i="27"/>
  <c r="DV208" i="27"/>
  <c r="DT208" i="27"/>
  <c r="DS208" i="27"/>
  <c r="DQ208" i="27"/>
  <c r="DP208" i="27"/>
  <c r="DN208" i="27"/>
  <c r="DM208" i="27"/>
  <c r="DK208" i="27"/>
  <c r="DJ208" i="27"/>
  <c r="DH208" i="27"/>
  <c r="DG208" i="27"/>
  <c r="DE208" i="27"/>
  <c r="DD208" i="27"/>
  <c r="DB208" i="27"/>
  <c r="DA208" i="27"/>
  <c r="CY208" i="27"/>
  <c r="CX208" i="27"/>
  <c r="CV208" i="27"/>
  <c r="CU208" i="27"/>
  <c r="CS208" i="27"/>
  <c r="CR208" i="27"/>
  <c r="CP208" i="27"/>
  <c r="CO208" i="27"/>
  <c r="CM208" i="27"/>
  <c r="CL208" i="27"/>
  <c r="CJ208" i="27"/>
  <c r="CI208" i="27"/>
  <c r="CG208" i="27"/>
  <c r="CF208" i="27"/>
  <c r="CD208" i="27"/>
  <c r="CC208" i="27"/>
  <c r="CA208" i="27"/>
  <c r="BZ208" i="27"/>
  <c r="BX208" i="27"/>
  <c r="BW208" i="27"/>
  <c r="BU208" i="27"/>
  <c r="BT208" i="27"/>
  <c r="BR208" i="27"/>
  <c r="BQ208" i="27"/>
  <c r="BO208" i="27"/>
  <c r="BN208" i="27"/>
  <c r="BL208" i="27"/>
  <c r="BK208" i="27"/>
  <c r="BI208" i="27"/>
  <c r="BH208" i="27"/>
  <c r="FW207" i="27"/>
  <c r="FT207" i="27"/>
  <c r="FQ207" i="27"/>
  <c r="FN207" i="27"/>
  <c r="FK207" i="27"/>
  <c r="FH207" i="27"/>
  <c r="FE207" i="27"/>
  <c r="FB207" i="27"/>
  <c r="EY207" i="27"/>
  <c r="EV207" i="27"/>
  <c r="ES207" i="27"/>
  <c r="EP207" i="27"/>
  <c r="EM207" i="27"/>
  <c r="EJ207" i="27"/>
  <c r="EG207" i="27"/>
  <c r="ED207" i="27"/>
  <c r="EA207" i="27"/>
  <c r="DX207" i="27"/>
  <c r="DU207" i="27"/>
  <c r="DR207" i="27"/>
  <c r="DO207" i="27"/>
  <c r="DL207" i="27"/>
  <c r="DI207" i="27"/>
  <c r="DF207" i="27"/>
  <c r="DC207" i="27"/>
  <c r="CZ207" i="27"/>
  <c r="CW207" i="27"/>
  <c r="CT207" i="27"/>
  <c r="CQ207" i="27"/>
  <c r="CN207" i="27"/>
  <c r="CK207" i="27"/>
  <c r="CH207" i="27"/>
  <c r="CE207" i="27"/>
  <c r="CB207" i="27"/>
  <c r="BY207" i="27"/>
  <c r="BV207" i="27"/>
  <c r="BS207" i="27"/>
  <c r="BP207" i="27"/>
  <c r="BM207" i="27"/>
  <c r="BJ207" i="27"/>
  <c r="FW206" i="27"/>
  <c r="FT206" i="27"/>
  <c r="FQ206" i="27"/>
  <c r="FN206" i="27"/>
  <c r="FK206" i="27"/>
  <c r="FH206" i="27"/>
  <c r="FE206" i="27"/>
  <c r="FB206" i="27"/>
  <c r="EY206" i="27"/>
  <c r="EV206" i="27"/>
  <c r="ES206" i="27"/>
  <c r="EP206" i="27"/>
  <c r="EM206" i="27"/>
  <c r="EJ206" i="27"/>
  <c r="EG206" i="27"/>
  <c r="ED206" i="27"/>
  <c r="EA206" i="27"/>
  <c r="DX206" i="27"/>
  <c r="DU206" i="27"/>
  <c r="DR206" i="27"/>
  <c r="DO206" i="27"/>
  <c r="DL206" i="27"/>
  <c r="DI206" i="27"/>
  <c r="DF206" i="27"/>
  <c r="DC206" i="27"/>
  <c r="CZ206" i="27"/>
  <c r="CW206" i="27"/>
  <c r="CT206" i="27"/>
  <c r="CQ206" i="27"/>
  <c r="CN206" i="27"/>
  <c r="CK206" i="27"/>
  <c r="CH206" i="27"/>
  <c r="CE206" i="27"/>
  <c r="CB206" i="27"/>
  <c r="BY206" i="27"/>
  <c r="BV206" i="27"/>
  <c r="BS206" i="27"/>
  <c r="BP206" i="27"/>
  <c r="BM206" i="27"/>
  <c r="BJ206" i="27"/>
  <c r="FW205" i="27"/>
  <c r="FT205" i="27"/>
  <c r="FQ205" i="27"/>
  <c r="FN205" i="27"/>
  <c r="FK205" i="27"/>
  <c r="FH205" i="27"/>
  <c r="FE205" i="27"/>
  <c r="FB205" i="27"/>
  <c r="EY205" i="27"/>
  <c r="EV205" i="27"/>
  <c r="ES205" i="27"/>
  <c r="EP205" i="27"/>
  <c r="EM205" i="27"/>
  <c r="EJ205" i="27"/>
  <c r="EG205" i="27"/>
  <c r="ED205" i="27"/>
  <c r="EA205" i="27"/>
  <c r="DX205" i="27"/>
  <c r="DU205" i="27"/>
  <c r="DR205" i="27"/>
  <c r="DO205" i="27"/>
  <c r="DL205" i="27"/>
  <c r="DI205" i="27"/>
  <c r="DF205" i="27"/>
  <c r="DC205" i="27"/>
  <c r="CZ205" i="27"/>
  <c r="CW205" i="27"/>
  <c r="CT205" i="27"/>
  <c r="CQ205" i="27"/>
  <c r="CN205" i="27"/>
  <c r="CK205" i="27"/>
  <c r="CH205" i="27"/>
  <c r="CE205" i="27"/>
  <c r="CB205" i="27"/>
  <c r="BY205" i="27"/>
  <c r="BV205" i="27"/>
  <c r="BS205" i="27"/>
  <c r="BP205" i="27"/>
  <c r="BM205" i="27"/>
  <c r="BJ205" i="27"/>
  <c r="FV204" i="27"/>
  <c r="FU204" i="27"/>
  <c r="FS204" i="27"/>
  <c r="FR204" i="27"/>
  <c r="FP204" i="27"/>
  <c r="FO204" i="27"/>
  <c r="FM204" i="27"/>
  <c r="FL204" i="27"/>
  <c r="FJ204" i="27"/>
  <c r="FI204" i="27"/>
  <c r="FG204" i="27"/>
  <c r="FF204" i="27"/>
  <c r="FD204" i="27"/>
  <c r="FC204" i="27"/>
  <c r="FA204" i="27"/>
  <c r="EZ204" i="27"/>
  <c r="EX204" i="27"/>
  <c r="EW204" i="27"/>
  <c r="EU204" i="27"/>
  <c r="ET204" i="27"/>
  <c r="ER204" i="27"/>
  <c r="EQ204" i="27"/>
  <c r="EO204" i="27"/>
  <c r="EN204" i="27"/>
  <c r="EL204" i="27"/>
  <c r="EK204" i="27"/>
  <c r="EI204" i="27"/>
  <c r="EH204" i="27"/>
  <c r="EF204" i="27"/>
  <c r="EE204" i="27"/>
  <c r="EC204" i="27"/>
  <c r="EB204" i="27"/>
  <c r="DZ204" i="27"/>
  <c r="DY204" i="27"/>
  <c r="DW204" i="27"/>
  <c r="DV204" i="27"/>
  <c r="DT204" i="27"/>
  <c r="DS204" i="27"/>
  <c r="DQ204" i="27"/>
  <c r="DP204" i="27"/>
  <c r="DN204" i="27"/>
  <c r="DM204" i="27"/>
  <c r="DK204" i="27"/>
  <c r="DJ204" i="27"/>
  <c r="DH204" i="27"/>
  <c r="DG204" i="27"/>
  <c r="DE204" i="27"/>
  <c r="DD204" i="27"/>
  <c r="DB204" i="27"/>
  <c r="DA204" i="27"/>
  <c r="CY204" i="27"/>
  <c r="CX204" i="27"/>
  <c r="CV204" i="27"/>
  <c r="CU204" i="27"/>
  <c r="CS204" i="27"/>
  <c r="CR204" i="27"/>
  <c r="CP204" i="27"/>
  <c r="CO204" i="27"/>
  <c r="CM204" i="27"/>
  <c r="CL204" i="27"/>
  <c r="CJ204" i="27"/>
  <c r="CI204" i="27"/>
  <c r="CG204" i="27"/>
  <c r="CF204" i="27"/>
  <c r="CD204" i="27"/>
  <c r="CC204" i="27"/>
  <c r="CA204" i="27"/>
  <c r="BZ204" i="27"/>
  <c r="BX204" i="27"/>
  <c r="BW204" i="27"/>
  <c r="BU204" i="27"/>
  <c r="BT204" i="27"/>
  <c r="BR204" i="27"/>
  <c r="BQ204" i="27"/>
  <c r="BO204" i="27"/>
  <c r="BN204" i="27"/>
  <c r="BL204" i="27"/>
  <c r="BK204" i="27"/>
  <c r="BI204" i="27"/>
  <c r="BH204" i="27"/>
  <c r="FW203" i="27"/>
  <c r="FT203" i="27"/>
  <c r="FQ203" i="27"/>
  <c r="FN203" i="27"/>
  <c r="FK203" i="27"/>
  <c r="FH203" i="27"/>
  <c r="FE203" i="27"/>
  <c r="FB203" i="27"/>
  <c r="EY203" i="27"/>
  <c r="EV203" i="27"/>
  <c r="ES203" i="27"/>
  <c r="EP203" i="27"/>
  <c r="EM203" i="27"/>
  <c r="EJ203" i="27"/>
  <c r="EG203" i="27"/>
  <c r="ED203" i="27"/>
  <c r="EA203" i="27"/>
  <c r="DX203" i="27"/>
  <c r="DU203" i="27"/>
  <c r="DR203" i="27"/>
  <c r="DO203" i="27"/>
  <c r="DL203" i="27"/>
  <c r="DI203" i="27"/>
  <c r="DF203" i="27"/>
  <c r="DC203" i="27"/>
  <c r="CZ203" i="27"/>
  <c r="CW203" i="27"/>
  <c r="CT203" i="27"/>
  <c r="CQ203" i="27"/>
  <c r="CN203" i="27"/>
  <c r="CK203" i="27"/>
  <c r="CH203" i="27"/>
  <c r="CE203" i="27"/>
  <c r="CB203" i="27"/>
  <c r="BY203" i="27"/>
  <c r="BV203" i="27"/>
  <c r="BS203" i="27"/>
  <c r="BP203" i="27"/>
  <c r="BM203" i="27"/>
  <c r="BJ203" i="27"/>
  <c r="FW202" i="27"/>
  <c r="FT202" i="27"/>
  <c r="FQ202" i="27"/>
  <c r="FN202" i="27"/>
  <c r="FK202" i="27"/>
  <c r="FH202" i="27"/>
  <c r="FE202" i="27"/>
  <c r="FB202" i="27"/>
  <c r="EY202" i="27"/>
  <c r="EV202" i="27"/>
  <c r="ES202" i="27"/>
  <c r="EP202" i="27"/>
  <c r="EM202" i="27"/>
  <c r="EJ202" i="27"/>
  <c r="EG202" i="27"/>
  <c r="ED202" i="27"/>
  <c r="EA202" i="27"/>
  <c r="DX202" i="27"/>
  <c r="DU202" i="27"/>
  <c r="DR202" i="27"/>
  <c r="DO202" i="27"/>
  <c r="DL202" i="27"/>
  <c r="DI202" i="27"/>
  <c r="DF202" i="27"/>
  <c r="DC202" i="27"/>
  <c r="CZ202" i="27"/>
  <c r="CW202" i="27"/>
  <c r="CT202" i="27"/>
  <c r="CQ202" i="27"/>
  <c r="CN202" i="27"/>
  <c r="CK202" i="27"/>
  <c r="CH202" i="27"/>
  <c r="CE202" i="27"/>
  <c r="CB202" i="27"/>
  <c r="BY202" i="27"/>
  <c r="BV202" i="27"/>
  <c r="BS202" i="27"/>
  <c r="BP202" i="27"/>
  <c r="BM202" i="27"/>
  <c r="BJ202" i="27"/>
  <c r="T197" i="27"/>
  <c r="T198" i="27" s="1" a="1"/>
  <c r="T198" i="27" s="1"/>
  <c r="T199" i="27" s="1" a="1"/>
  <c r="T199" i="27" s="1"/>
  <c r="T200" i="27" s="1" a="1"/>
  <c r="T200" i="27" s="1"/>
  <c r="T201" i="27" s="1" a="1"/>
  <c r="T201" i="27" s="1"/>
  <c r="T202" i="27" s="1" a="1"/>
  <c r="T202" i="27" s="1"/>
  <c r="T203" i="27" s="1" a="1"/>
  <c r="T203" i="27" s="1"/>
  <c r="T204" i="27" s="1" a="1"/>
  <c r="T204" i="27" s="1"/>
  <c r="T205" i="27" s="1" a="1"/>
  <c r="T205" i="27" s="1"/>
  <c r="T206" i="27" s="1" a="1"/>
  <c r="T206" i="27" s="1"/>
  <c r="T207" i="27" s="1" a="1"/>
  <c r="T207" i="27" s="1"/>
  <c r="T208" i="27" s="1" a="1"/>
  <c r="T208" i="27" s="1"/>
  <c r="T209" i="27" s="1" a="1"/>
  <c r="T209" i="27" s="1"/>
  <c r="Q197" i="27" a="1"/>
  <c r="Q197" i="27"/>
  <c r="F197" i="27" a="1"/>
  <c r="F197" i="27"/>
  <c r="F198" i="27" s="1" a="1"/>
  <c r="F198" i="27" s="1"/>
  <c r="F199" i="27" s="1" a="1"/>
  <c r="F199" i="27" s="1"/>
  <c r="F200" i="27" s="1" a="1"/>
  <c r="F200" i="27" s="1"/>
  <c r="F201" i="27" s="1" a="1"/>
  <c r="F201" i="27" s="1"/>
  <c r="F202" i="27" s="1" a="1"/>
  <c r="F202" i="27" s="1"/>
  <c r="F203" i="27" s="1" a="1"/>
  <c r="F203" i="27" s="1"/>
  <c r="F204" i="27" s="1" a="1"/>
  <c r="F204" i="27" s="1"/>
  <c r="F205" i="27" s="1" a="1"/>
  <c r="F205" i="27" s="1"/>
  <c r="F206" i="27" s="1" a="1"/>
  <c r="F206" i="27" s="1"/>
  <c r="F207" i="27" s="1" a="1"/>
  <c r="F207" i="27" s="1"/>
  <c r="F208" i="27" s="1" a="1"/>
  <c r="F208" i="27" s="1"/>
  <c r="F209" i="27" s="1" a="1"/>
  <c r="F209" i="27" s="1"/>
  <c r="F210" i="27" s="1" a="1"/>
  <c r="F210" i="27" s="1"/>
  <c r="GB194" i="27" a="1"/>
  <c r="GB194" i="27"/>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c r="GB184" i="27" s="1" a="1"/>
  <c r="GB184" i="27" s="1"/>
  <c r="GB185" i="27" s="1" a="1"/>
  <c r="GB185" i="27" s="1"/>
  <c r="GB186" i="27" s="1" a="1"/>
  <c r="GB186" i="27" s="1"/>
  <c r="GB187" i="27" s="1" a="1"/>
  <c r="GB187" i="27" s="1"/>
  <c r="FW183" i="27"/>
  <c r="FV183" i="27"/>
  <c r="FU183" i="27"/>
  <c r="FT183" i="27"/>
  <c r="FS183" i="27"/>
  <c r="FR183" i="27"/>
  <c r="FP183" i="27"/>
  <c r="FO183" i="27"/>
  <c r="FQ183" i="27" s="1"/>
  <c r="FM183" i="27"/>
  <c r="FL183" i="27"/>
  <c r="FN183" i="27" s="1"/>
  <c r="FK183" i="27"/>
  <c r="FJ183" i="27"/>
  <c r="FI183" i="27"/>
  <c r="FH183" i="27"/>
  <c r="FG183" i="27"/>
  <c r="FF183" i="27"/>
  <c r="FD183" i="27"/>
  <c r="FC183" i="27"/>
  <c r="FE183" i="27" s="1"/>
  <c r="FA183" i="27"/>
  <c r="EZ183" i="27"/>
  <c r="FB183" i="27" s="1"/>
  <c r="EY183" i="27"/>
  <c r="EX183" i="27"/>
  <c r="EW183" i="27"/>
  <c r="EV183" i="27"/>
  <c r="EU183" i="27"/>
  <c r="ET183" i="27"/>
  <c r="ER183" i="27"/>
  <c r="EQ183" i="27"/>
  <c r="ES183" i="27" s="1"/>
  <c r="EO183" i="27"/>
  <c r="EN183" i="27"/>
  <c r="EP183" i="27" s="1"/>
  <c r="EM183" i="27"/>
  <c r="EL183" i="27"/>
  <c r="EK183" i="27"/>
  <c r="EJ183" i="27"/>
  <c r="EI183" i="27"/>
  <c r="EH183" i="27"/>
  <c r="EF183" i="27"/>
  <c r="EE183" i="27"/>
  <c r="EG183" i="27" s="1"/>
  <c r="EC183" i="27"/>
  <c r="EB183" i="27"/>
  <c r="ED183" i="27" s="1"/>
  <c r="EA183" i="27"/>
  <c r="DZ183" i="27"/>
  <c r="DY183" i="27"/>
  <c r="DX183" i="27"/>
  <c r="DW183" i="27"/>
  <c r="DV183" i="27"/>
  <c r="DT183" i="27"/>
  <c r="DS183" i="27"/>
  <c r="DU183" i="27" s="1"/>
  <c r="DQ183" i="27"/>
  <c r="DP183" i="27"/>
  <c r="DR183" i="27" s="1"/>
  <c r="DO183" i="27"/>
  <c r="DN183" i="27"/>
  <c r="DM183" i="27"/>
  <c r="DL183" i="27"/>
  <c r="DK183" i="27"/>
  <c r="DJ183" i="27"/>
  <c r="DH183" i="27"/>
  <c r="DG183" i="27"/>
  <c r="DI183" i="27" s="1"/>
  <c r="DE183" i="27"/>
  <c r="DD183" i="27"/>
  <c r="DF183" i="27" s="1"/>
  <c r="DC183" i="27"/>
  <c r="DB183" i="27"/>
  <c r="DA183" i="27"/>
  <c r="CZ183" i="27"/>
  <c r="CY183" i="27"/>
  <c r="CX183" i="27"/>
  <c r="CV183" i="27"/>
  <c r="CU183" i="27"/>
  <c r="CW183" i="27" s="1"/>
  <c r="CS183" i="27"/>
  <c r="CR183" i="27"/>
  <c r="CT183" i="27" s="1"/>
  <c r="CQ183" i="27"/>
  <c r="CP183" i="27"/>
  <c r="CO183" i="27"/>
  <c r="CN183" i="27"/>
  <c r="CM183" i="27"/>
  <c r="CL183" i="27"/>
  <c r="CJ183" i="27"/>
  <c r="CI183" i="27"/>
  <c r="CK183" i="27" s="1"/>
  <c r="CG183" i="27"/>
  <c r="CF183" i="27"/>
  <c r="CH183" i="27" s="1"/>
  <c r="CE183" i="27"/>
  <c r="CD183" i="27"/>
  <c r="CC183" i="27"/>
  <c r="CB183" i="27"/>
  <c r="CA183" i="27"/>
  <c r="BZ183" i="27"/>
  <c r="BX183" i="27"/>
  <c r="BW183" i="27"/>
  <c r="BY183" i="27" s="1"/>
  <c r="BU183" i="27"/>
  <c r="BT183" i="27"/>
  <c r="BV183" i="27" s="1"/>
  <c r="BS183" i="27"/>
  <c r="BR183" i="27"/>
  <c r="BQ183" i="27"/>
  <c r="BP183" i="27"/>
  <c r="BO183" i="27"/>
  <c r="BN183" i="27"/>
  <c r="BL183" i="27"/>
  <c r="BK183" i="27"/>
  <c r="BM183" i="27" s="1"/>
  <c r="BI183" i="27"/>
  <c r="BH183" i="27"/>
  <c r="BJ183" i="27" s="1"/>
  <c r="BG183" i="27"/>
  <c r="BF183" i="27"/>
  <c r="BE183" i="27"/>
  <c r="BD183" i="27"/>
  <c r="BC183" i="27"/>
  <c r="BB183" i="27"/>
  <c r="AZ183" i="27"/>
  <c r="AY183" i="27"/>
  <c r="BA183" i="27" s="1"/>
  <c r="AW183" i="27"/>
  <c r="AV183" i="27"/>
  <c r="AX183" i="27" s="1"/>
  <c r="AU183" i="27"/>
  <c r="AT183" i="27"/>
  <c r="AS183" i="27"/>
  <c r="AR183" i="27"/>
  <c r="AQ183" i="27"/>
  <c r="AP183" i="27"/>
  <c r="AN183" i="27"/>
  <c r="AM183" i="27"/>
  <c r="AO183" i="27" s="1"/>
  <c r="AK183" i="27"/>
  <c r="AJ183" i="27"/>
  <c r="AL183" i="27" s="1"/>
  <c r="AI183" i="27"/>
  <c r="AH183" i="27"/>
  <c r="AG183" i="27"/>
  <c r="AF183" i="27"/>
  <c r="AE183" i="27"/>
  <c r="AD183" i="27"/>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S177" i="27"/>
  <c r="FR177" i="27"/>
  <c r="FT177" i="27" s="1"/>
  <c r="FQ177" i="27"/>
  <c r="FP177" i="27"/>
  <c r="FO177" i="27"/>
  <c r="FN177" i="27"/>
  <c r="FM177" i="27"/>
  <c r="FL177" i="27"/>
  <c r="FJ177" i="27"/>
  <c r="FI177" i="27"/>
  <c r="FK177" i="27" s="1"/>
  <c r="FG177" i="27"/>
  <c r="FF177" i="27"/>
  <c r="FH177" i="27" s="1"/>
  <c r="FE177" i="27"/>
  <c r="FD177" i="27"/>
  <c r="FC177" i="27"/>
  <c r="FB177" i="27"/>
  <c r="FA177" i="27"/>
  <c r="EZ177" i="27"/>
  <c r="EX177" i="27"/>
  <c r="EW177" i="27"/>
  <c r="EY177" i="27" s="1"/>
  <c r="EU177" i="27"/>
  <c r="ET177" i="27"/>
  <c r="EV177" i="27" s="1"/>
  <c r="ES177" i="27"/>
  <c r="ER177" i="27"/>
  <c r="EQ177" i="27"/>
  <c r="EP177" i="27"/>
  <c r="EO177" i="27"/>
  <c r="EN177" i="27"/>
  <c r="EL177" i="27"/>
  <c r="EK177" i="27"/>
  <c r="EM177" i="27" s="1"/>
  <c r="EI177" i="27"/>
  <c r="EH177" i="27"/>
  <c r="EJ177" i="27" s="1"/>
  <c r="EG177" i="27"/>
  <c r="EF177" i="27"/>
  <c r="EE177" i="27"/>
  <c r="ED177" i="27"/>
  <c r="EC177" i="27"/>
  <c r="EB177" i="27"/>
  <c r="DZ177" i="27"/>
  <c r="DY177" i="27"/>
  <c r="EA177" i="27" s="1"/>
  <c r="DW177" i="27"/>
  <c r="DV177" i="27"/>
  <c r="DX177" i="27" s="1"/>
  <c r="DU177" i="27"/>
  <c r="DT177" i="27"/>
  <c r="DS177" i="27"/>
  <c r="DR177" i="27"/>
  <c r="DQ177" i="27"/>
  <c r="DP177" i="27"/>
  <c r="DN177" i="27"/>
  <c r="DM177" i="27"/>
  <c r="DO177" i="27" s="1"/>
  <c r="DK177" i="27"/>
  <c r="DJ177" i="27"/>
  <c r="DL177" i="27" s="1"/>
  <c r="DI177" i="27"/>
  <c r="DH177" i="27"/>
  <c r="DG177" i="27"/>
  <c r="DF177" i="27"/>
  <c r="DE177" i="27"/>
  <c r="DD177" i="27"/>
  <c r="DB177" i="27"/>
  <c r="DA177" i="27"/>
  <c r="DC177" i="27" s="1"/>
  <c r="CY177" i="27"/>
  <c r="CX177" i="27"/>
  <c r="CZ177" i="27" s="1"/>
  <c r="CW177" i="27"/>
  <c r="CV177" i="27"/>
  <c r="CU177" i="27"/>
  <c r="CT177" i="27"/>
  <c r="CS177" i="27"/>
  <c r="CR177" i="27"/>
  <c r="CP177" i="27"/>
  <c r="CO177" i="27"/>
  <c r="CQ177" i="27" s="1"/>
  <c r="CM177" i="27"/>
  <c r="CL177" i="27"/>
  <c r="CN177" i="27" s="1"/>
  <c r="CK177" i="27"/>
  <c r="CJ177" i="27"/>
  <c r="CI177" i="27"/>
  <c r="CH177" i="27"/>
  <c r="CG177" i="27"/>
  <c r="CF177" i="27"/>
  <c r="CD177" i="27"/>
  <c r="CC177" i="27"/>
  <c r="CE177" i="27" s="1"/>
  <c r="CA177" i="27"/>
  <c r="BZ177" i="27"/>
  <c r="CB177" i="27" s="1"/>
  <c r="BY177" i="27"/>
  <c r="BX177" i="27"/>
  <c r="BW177" i="27"/>
  <c r="BV177" i="27"/>
  <c r="BU177" i="27"/>
  <c r="BT177" i="27"/>
  <c r="BR177" i="27"/>
  <c r="BQ177" i="27"/>
  <c r="BS177" i="27" s="1"/>
  <c r="BO177" i="27"/>
  <c r="BN177" i="27"/>
  <c r="BP177" i="27" s="1"/>
  <c r="BM177" i="27"/>
  <c r="BL177" i="27"/>
  <c r="BK177" i="27"/>
  <c r="BJ177" i="27"/>
  <c r="BI177" i="27"/>
  <c r="BH177" i="27"/>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W171" i="27"/>
  <c r="FV171" i="27"/>
  <c r="FU171" i="27"/>
  <c r="FS171" i="27"/>
  <c r="FR171" i="27"/>
  <c r="FT171" i="27" s="1"/>
  <c r="FP171" i="27"/>
  <c r="FO171" i="27"/>
  <c r="FQ171" i="27" s="1"/>
  <c r="FN171" i="27"/>
  <c r="FM171" i="27"/>
  <c r="FL171" i="27"/>
  <c r="FK171" i="27"/>
  <c r="FJ171" i="27"/>
  <c r="FI171" i="27"/>
  <c r="FG171" i="27"/>
  <c r="FF171" i="27"/>
  <c r="FH171" i="27" s="1"/>
  <c r="FD171" i="27"/>
  <c r="FC171" i="27"/>
  <c r="FE171" i="27" s="1"/>
  <c r="FB171" i="27"/>
  <c r="FA171" i="27"/>
  <c r="EZ171" i="27"/>
  <c r="EY171" i="27"/>
  <c r="EX171" i="27"/>
  <c r="EW171" i="27"/>
  <c r="EU171" i="27"/>
  <c r="ET171" i="27"/>
  <c r="EV171" i="27" s="1"/>
  <c r="ER171" i="27"/>
  <c r="EQ171" i="27"/>
  <c r="ES171" i="27" s="1"/>
  <c r="EP171" i="27"/>
  <c r="EO171" i="27"/>
  <c r="EN171" i="27"/>
  <c r="EM171" i="27"/>
  <c r="EL171" i="27"/>
  <c r="EK171" i="27"/>
  <c r="EI171" i="27"/>
  <c r="EH171" i="27"/>
  <c r="EJ171" i="27" s="1"/>
  <c r="EF171" i="27"/>
  <c r="EE171" i="27"/>
  <c r="EG171" i="27" s="1"/>
  <c r="ED171" i="27"/>
  <c r="EC171" i="27"/>
  <c r="EB171" i="27"/>
  <c r="EA171" i="27"/>
  <c r="DZ171" i="27"/>
  <c r="DY171" i="27"/>
  <c r="DW171" i="27"/>
  <c r="DV171" i="27"/>
  <c r="DX171" i="27" s="1"/>
  <c r="DT171" i="27"/>
  <c r="DS171" i="27"/>
  <c r="DU171" i="27" s="1"/>
  <c r="DR171" i="27"/>
  <c r="DQ171" i="27"/>
  <c r="DP171" i="27"/>
  <c r="DO171" i="27"/>
  <c r="DN171" i="27"/>
  <c r="DM171" i="27"/>
  <c r="DK171" i="27"/>
  <c r="DJ171" i="27"/>
  <c r="DL171" i="27" s="1"/>
  <c r="DH171" i="27"/>
  <c r="DG171" i="27"/>
  <c r="DI171" i="27" s="1"/>
  <c r="DF171" i="27"/>
  <c r="DE171" i="27"/>
  <c r="DD171" i="27"/>
  <c r="DC171" i="27"/>
  <c r="DB171" i="27"/>
  <c r="DA171" i="27"/>
  <c r="CY171" i="27"/>
  <c r="CX171" i="27"/>
  <c r="CZ171" i="27" s="1"/>
  <c r="CV171" i="27"/>
  <c r="CU171" i="27"/>
  <c r="CW171" i="27" s="1"/>
  <c r="CT171" i="27"/>
  <c r="CS171" i="27"/>
  <c r="CR171" i="27"/>
  <c r="CQ171" i="27"/>
  <c r="CP171" i="27"/>
  <c r="CO171" i="27"/>
  <c r="CM171" i="27"/>
  <c r="CL171" i="27"/>
  <c r="CN171" i="27" s="1"/>
  <c r="CJ171" i="27"/>
  <c r="CI171" i="27"/>
  <c r="CK171" i="27" s="1"/>
  <c r="CH171" i="27"/>
  <c r="CG171" i="27"/>
  <c r="CF171" i="27"/>
  <c r="CE171" i="27"/>
  <c r="CD171" i="27"/>
  <c r="CC171" i="27"/>
  <c r="CA171" i="27"/>
  <c r="BZ171" i="27"/>
  <c r="CB171" i="27" s="1"/>
  <c r="BX171" i="27"/>
  <c r="BW171" i="27"/>
  <c r="BY171" i="27" s="1"/>
  <c r="BV171" i="27"/>
  <c r="BU171" i="27"/>
  <c r="BT171" i="27"/>
  <c r="BS171" i="27"/>
  <c r="BR171" i="27"/>
  <c r="BQ171" i="27"/>
  <c r="BO171" i="27"/>
  <c r="BN171" i="27"/>
  <c r="BP171" i="27" s="1"/>
  <c r="BL171" i="27"/>
  <c r="BK171" i="27"/>
  <c r="BM171" i="27" s="1"/>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Y165" i="27"/>
  <c r="EX165" i="27"/>
  <c r="EW165" i="27"/>
  <c r="EV165" i="27"/>
  <c r="EU165" i="27"/>
  <c r="ET165" i="27"/>
  <c r="ER165" i="27"/>
  <c r="EQ165" i="27"/>
  <c r="ES165" i="27" s="1"/>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C165" i="27"/>
  <c r="DB165" i="27"/>
  <c r="DA165" i="27"/>
  <c r="CZ165" i="27"/>
  <c r="CY165" i="27"/>
  <c r="CX165" i="27"/>
  <c r="CV165" i="27"/>
  <c r="CU165" i="27"/>
  <c r="CW165" i="27" s="1"/>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AB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Q159" i="27"/>
  <c r="FP159" i="27"/>
  <c r="FO159" i="27"/>
  <c r="FM159" i="27"/>
  <c r="FL159" i="27"/>
  <c r="FN159" i="27" s="1"/>
  <c r="FJ159" i="27"/>
  <c r="FI159" i="27"/>
  <c r="FK159" i="27" s="1"/>
  <c r="FH159" i="27"/>
  <c r="FG159" i="27"/>
  <c r="FF159" i="27"/>
  <c r="FE159" i="27"/>
  <c r="FD159" i="27"/>
  <c r="FC159" i="27"/>
  <c r="FA159" i="27"/>
  <c r="EZ159" i="27"/>
  <c r="FB159" i="27" s="1"/>
  <c r="EX159" i="27"/>
  <c r="EW159" i="27"/>
  <c r="EY159" i="27" s="1"/>
  <c r="EV159" i="27"/>
  <c r="EU159" i="27"/>
  <c r="ET159" i="27"/>
  <c r="ES159" i="27"/>
  <c r="ER159" i="27"/>
  <c r="EQ159" i="27"/>
  <c r="EO159" i="27"/>
  <c r="EN159" i="27"/>
  <c r="EP159" i="27" s="1"/>
  <c r="EL159" i="27"/>
  <c r="EK159" i="27"/>
  <c r="EM159" i="27" s="1"/>
  <c r="EJ159" i="27"/>
  <c r="EI159" i="27"/>
  <c r="EH159" i="27"/>
  <c r="EG159" i="27"/>
  <c r="EF159" i="27"/>
  <c r="EE159" i="27"/>
  <c r="EC159" i="27"/>
  <c r="EB159" i="27"/>
  <c r="ED159" i="27" s="1"/>
  <c r="DZ159" i="27"/>
  <c r="DY159" i="27"/>
  <c r="EA159" i="27" s="1"/>
  <c r="DX159" i="27"/>
  <c r="DW159" i="27"/>
  <c r="DV159" i="27"/>
  <c r="DU159" i="27"/>
  <c r="DT159" i="27"/>
  <c r="DS159" i="27"/>
  <c r="DQ159" i="27"/>
  <c r="DP159" i="27"/>
  <c r="DR159" i="27" s="1"/>
  <c r="DN159" i="27"/>
  <c r="DM159" i="27"/>
  <c r="DO159" i="27" s="1"/>
  <c r="DL159" i="27"/>
  <c r="DK159" i="27"/>
  <c r="DJ159" i="27"/>
  <c r="DI159" i="27"/>
  <c r="DH159" i="27"/>
  <c r="DG159" i="27"/>
  <c r="DE159" i="27"/>
  <c r="DD159" i="27"/>
  <c r="DF159" i="27" s="1"/>
  <c r="DB159" i="27"/>
  <c r="DA159" i="27"/>
  <c r="DC159" i="27" s="1"/>
  <c r="CZ159" i="27"/>
  <c r="CY159" i="27"/>
  <c r="CX159" i="27"/>
  <c r="CW159" i="27"/>
  <c r="CV159" i="27"/>
  <c r="CU159" i="27"/>
  <c r="CS159" i="27"/>
  <c r="CR159" i="27"/>
  <c r="CT159" i="27" s="1"/>
  <c r="CP159" i="27"/>
  <c r="CO159" i="27"/>
  <c r="CQ159" i="27" s="1"/>
  <c r="CN159" i="27"/>
  <c r="CM159" i="27"/>
  <c r="CL159" i="27"/>
  <c r="CK159" i="27"/>
  <c r="CJ159" i="27"/>
  <c r="CI159" i="27"/>
  <c r="CG159" i="27"/>
  <c r="CF159" i="27"/>
  <c r="CH159" i="27" s="1"/>
  <c r="CD159" i="27"/>
  <c r="CC159" i="27"/>
  <c r="CE159" i="27" s="1"/>
  <c r="CB159" i="27"/>
  <c r="CA159" i="27"/>
  <c r="BZ159" i="27"/>
  <c r="BY159" i="27"/>
  <c r="BX159" i="27"/>
  <c r="BW159" i="27"/>
  <c r="BU159" i="27"/>
  <c r="BT159" i="27"/>
  <c r="BV159" i="27" s="1"/>
  <c r="BR159" i="27"/>
  <c r="BQ159" i="27"/>
  <c r="BS159" i="27" s="1"/>
  <c r="BP159" i="27"/>
  <c r="BO159" i="27"/>
  <c r="BN159" i="27"/>
  <c r="BM159" i="27"/>
  <c r="BL159" i="27"/>
  <c r="BK159" i="27"/>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c r="AB179" i="27" s="1"/>
  <c r="F141" i="27" a="1"/>
  <c r="F141" i="27"/>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GB128" i="27" a="1"/>
  <c r="GB128" i="27" s="1"/>
  <c r="GB129" i="27" s="1" a="1"/>
  <c r="GB129" i="27" s="1"/>
  <c r="GB130" i="27" s="1" a="1"/>
  <c r="GB130" i="27" s="1"/>
  <c r="GB131" i="27" s="1" a="1"/>
  <c r="GB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AB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G53" i="27"/>
  <c r="EF53" i="27"/>
  <c r="EE53" i="27"/>
  <c r="ED53" i="27"/>
  <c r="EC53" i="27"/>
  <c r="EB53" i="27"/>
  <c r="DZ53" i="27"/>
  <c r="DY53" i="27"/>
  <c r="EA53" i="27" s="1"/>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K53" i="27"/>
  <c r="CJ53" i="27"/>
  <c r="CI53" i="27"/>
  <c r="CH53" i="27"/>
  <c r="CG53" i="27"/>
  <c r="CF53" i="27"/>
  <c r="CD53" i="27"/>
  <c r="CC53" i="27"/>
  <c r="CE53" i="27" s="1"/>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c r="AB73" i="27" s="1"/>
  <c r="F29" i="27" a="1"/>
  <c r="F29"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c r="BD10" i="27" a="1"/>
  <c r="BD10" i="27"/>
  <c r="BC10" i="27" a="1"/>
  <c r="BC10" i="27"/>
  <c r="BB10" i="27" a="1"/>
  <c r="BB10" i="27"/>
  <c r="BA10" i="27" a="1"/>
  <c r="BA10" i="27"/>
  <c r="AZ10" i="27" a="1"/>
  <c r="AZ10" i="27"/>
  <c r="AY10" i="27" a="1"/>
  <c r="AY10" i="27"/>
  <c r="AX10" i="27" a="1"/>
  <c r="AX10" i="27"/>
  <c r="AW10" i="27" a="1"/>
  <c r="AW10" i="27"/>
  <c r="AV10" i="27" a="1"/>
  <c r="AV10" i="27"/>
  <c r="AU10" i="27" a="1"/>
  <c r="AU10" i="27"/>
  <c r="AT10" i="27" a="1"/>
  <c r="AT10" i="27"/>
  <c r="AS10" i="27" a="1"/>
  <c r="AS10" i="27"/>
  <c r="AR10" i="27" a="1"/>
  <c r="AR10" i="27"/>
  <c r="AQ10" i="27" a="1"/>
  <c r="AQ10" i="27"/>
  <c r="AP10" i="27" a="1"/>
  <c r="AP10" i="27"/>
  <c r="AO10" i="27" a="1"/>
  <c r="AO10" i="27"/>
  <c r="AN10" i="27" a="1"/>
  <c r="AN10" i="27"/>
  <c r="AM10" i="27" a="1"/>
  <c r="AM10" i="27"/>
  <c r="AL10" i="27" a="1"/>
  <c r="AL10" i="27"/>
  <c r="AK10" i="27" a="1"/>
  <c r="AK10" i="27"/>
  <c r="AJ10" i="27" a="1"/>
  <c r="AJ10" i="27"/>
  <c r="AI10" i="27" a="1"/>
  <c r="AI10" i="27"/>
  <c r="AH10" i="27" a="1"/>
  <c r="AH10" i="27"/>
  <c r="AG10" i="27" a="1"/>
  <c r="AG10" i="27"/>
  <c r="AF10" i="27" a="1"/>
  <c r="AF10" i="27"/>
  <c r="AE10" i="27" a="1"/>
  <c r="AE10" i="27"/>
  <c r="AD10" i="27" a="1"/>
  <c r="AD10" i="27"/>
  <c r="FQ9" i="27"/>
  <c r="FI9" i="27"/>
  <c r="FA9" i="27"/>
  <c r="ES9" i="27"/>
  <c r="EK9" i="27"/>
  <c r="DZ8" i="27"/>
  <c r="DJ8" i="27"/>
  <c r="CT8" i="27"/>
  <c r="CD8" i="27"/>
  <c r="BN8" i="27"/>
  <c r="AX8" i="27"/>
  <c r="AH8" i="27"/>
  <c r="FW7" i="27" a="1"/>
  <c r="FW7" i="27"/>
  <c r="FV7" i="27" a="1"/>
  <c r="FV7" i="27"/>
  <c r="FV8" i="27" s="1"/>
  <c r="FU7" i="27" a="1"/>
  <c r="FU7" i="27"/>
  <c r="FT7" i="27" a="1"/>
  <c r="FT7" i="27"/>
  <c r="FS7" i="27" a="1"/>
  <c r="FS7" i="27"/>
  <c r="FR7" i="27" a="1"/>
  <c r="FR7" i="27"/>
  <c r="FR8" i="27" s="1"/>
  <c r="FQ7" i="27" a="1"/>
  <c r="FQ7" i="27"/>
  <c r="FP7" i="27" a="1"/>
  <c r="FP7" i="27"/>
  <c r="FO7" i="27" a="1"/>
  <c r="FO7" i="27"/>
  <c r="FN7" i="27" a="1"/>
  <c r="FN7" i="27"/>
  <c r="FN8" i="27" s="1"/>
  <c r="FM7" i="27" a="1"/>
  <c r="FM7" i="27"/>
  <c r="FL7" i="27" a="1"/>
  <c r="FL7" i="27"/>
  <c r="FK7" i="27" a="1"/>
  <c r="FK7" i="27"/>
  <c r="FJ7" i="27" a="1"/>
  <c r="FJ7" i="27"/>
  <c r="FJ8" i="27" s="1"/>
  <c r="FI7" i="27" a="1"/>
  <c r="FI7" i="27"/>
  <c r="FH7" i="27" a="1"/>
  <c r="FH7" i="27"/>
  <c r="FG7" i="27" a="1"/>
  <c r="FG7" i="27"/>
  <c r="FF7" i="27" a="1"/>
  <c r="FF7" i="27"/>
  <c r="FF8" i="27" s="1"/>
  <c r="FE7" i="27" a="1"/>
  <c r="FE7" i="27"/>
  <c r="FD7" i="27" a="1"/>
  <c r="FD7" i="27"/>
  <c r="FC7" i="27" a="1"/>
  <c r="FC7" i="27"/>
  <c r="FB7" i="27" a="1"/>
  <c r="FB7" i="27"/>
  <c r="FB8" i="27" s="1"/>
  <c r="FA7" i="27" a="1"/>
  <c r="FA7" i="27"/>
  <c r="EZ7" i="27" a="1"/>
  <c r="EZ7" i="27"/>
  <c r="EY7" i="27" a="1"/>
  <c r="EY7" i="27"/>
  <c r="EX7" i="27" a="1"/>
  <c r="EX7" i="27"/>
  <c r="EX8" i="27" s="1"/>
  <c r="EW7" i="27" a="1"/>
  <c r="EW7" i="27"/>
  <c r="EV7" i="27" a="1"/>
  <c r="EV7" i="27"/>
  <c r="EU7" i="27" a="1"/>
  <c r="EU7" i="27"/>
  <c r="ET7" i="27" a="1"/>
  <c r="ET7" i="27"/>
  <c r="ET8" i="27" s="1"/>
  <c r="ES7" i="27" a="1"/>
  <c r="ES7" i="27"/>
  <c r="ER7" i="27" a="1"/>
  <c r="ER7" i="27"/>
  <c r="EQ7" i="27" a="1"/>
  <c r="EQ7" i="27"/>
  <c r="EP7" i="27" a="1"/>
  <c r="EP7" i="27"/>
  <c r="EP8" i="27" s="1"/>
  <c r="EO7" i="27" a="1"/>
  <c r="EO7" i="27"/>
  <c r="EN7" i="27" a="1"/>
  <c r="EN7" i="27"/>
  <c r="EM7" i="27" a="1"/>
  <c r="EM7" i="27"/>
  <c r="EL7" i="27" a="1"/>
  <c r="EL7" i="27"/>
  <c r="EL8" i="27" s="1"/>
  <c r="EK7" i="27" a="1"/>
  <c r="EK7" i="27"/>
  <c r="EJ7" i="27" a="1"/>
  <c r="EJ7" i="27"/>
  <c r="EI7" i="27" a="1"/>
  <c r="EI7" i="27"/>
  <c r="EH7" i="27" a="1"/>
  <c r="EH7" i="27"/>
  <c r="EH8" i="27" s="1"/>
  <c r="EG7" i="27" a="1"/>
  <c r="EG7" i="27"/>
  <c r="EF7" i="27" a="1"/>
  <c r="EF7" i="27"/>
  <c r="EE7" i="27" a="1"/>
  <c r="EE7" i="27" s="1"/>
  <c r="ED7" i="27" a="1"/>
  <c r="ED7" i="27"/>
  <c r="ED8" i="27" s="1"/>
  <c r="EC7" i="27" a="1"/>
  <c r="EC7" i="27" s="1"/>
  <c r="EB7" i="27" a="1"/>
  <c r="EB7" i="27"/>
  <c r="EA7" i="27" a="1"/>
  <c r="EA7" i="27" s="1"/>
  <c r="DZ7" i="27" a="1"/>
  <c r="DZ7" i="27"/>
  <c r="DY7" i="27" a="1"/>
  <c r="DY7" i="27" s="1"/>
  <c r="DX7" i="27" a="1"/>
  <c r="DX7" i="27"/>
  <c r="DW7" i="27" a="1"/>
  <c r="DW7" i="27" s="1"/>
  <c r="DV7" i="27" a="1"/>
  <c r="DV7" i="27"/>
  <c r="DV8" i="27" s="1"/>
  <c r="DU7" i="27" a="1"/>
  <c r="DU7" i="27" s="1"/>
  <c r="DT7" i="27" a="1"/>
  <c r="DT7" i="27"/>
  <c r="DS7" i="27" a="1"/>
  <c r="DS7" i="27" s="1"/>
  <c r="DR7" i="27" a="1"/>
  <c r="DR7" i="27"/>
  <c r="DR8" i="27" s="1"/>
  <c r="DQ7" i="27" a="1"/>
  <c r="DQ7" i="27" s="1"/>
  <c r="DP7" i="27" a="1"/>
  <c r="DP7" i="27"/>
  <c r="DO7" i="27" a="1"/>
  <c r="DO7" i="27" s="1"/>
  <c r="DN7" i="27" a="1"/>
  <c r="DN7" i="27"/>
  <c r="DN8" i="27" s="1"/>
  <c r="DM7" i="27" a="1"/>
  <c r="DM7" i="27" s="1"/>
  <c r="DL7" i="27" a="1"/>
  <c r="DL7" i="27"/>
  <c r="DK7" i="27" a="1"/>
  <c r="DK7" i="27" s="1"/>
  <c r="DJ7" i="27" a="1"/>
  <c r="DJ7" i="27"/>
  <c r="DI7" i="27" a="1"/>
  <c r="DI7" i="27" s="1"/>
  <c r="DH7" i="27" a="1"/>
  <c r="DH7" i="27"/>
  <c r="DG7" i="27" a="1"/>
  <c r="DG7" i="27" s="1"/>
  <c r="DF7" i="27" a="1"/>
  <c r="DF7" i="27"/>
  <c r="DF8" i="27" s="1"/>
  <c r="DE7" i="27" a="1"/>
  <c r="DE7" i="27" s="1"/>
  <c r="DD7" i="27" a="1"/>
  <c r="DD7" i="27"/>
  <c r="DC7" i="27" a="1"/>
  <c r="DC7" i="27" s="1"/>
  <c r="DB7" i="27" a="1"/>
  <c r="DB7" i="27"/>
  <c r="DB8" i="27" s="1"/>
  <c r="DA7" i="27" a="1"/>
  <c r="DA7" i="27" s="1"/>
  <c r="CZ7" i="27" a="1"/>
  <c r="CZ7" i="27"/>
  <c r="CY7" i="27" a="1"/>
  <c r="CY7" i="27" s="1"/>
  <c r="CX7" i="27" a="1"/>
  <c r="CX7" i="27"/>
  <c r="CX8" i="27" s="1"/>
  <c r="CW7" i="27" a="1"/>
  <c r="CW7" i="27" s="1"/>
  <c r="CV7" i="27" a="1"/>
  <c r="CV7" i="27"/>
  <c r="CU7" i="27" a="1"/>
  <c r="CU7" i="27" s="1"/>
  <c r="CT7" i="27" a="1"/>
  <c r="CT7" i="27"/>
  <c r="CS7" i="27" a="1"/>
  <c r="CS7" i="27" s="1"/>
  <c r="CR7" i="27" a="1"/>
  <c r="CR7" i="27"/>
  <c r="CQ7" i="27" a="1"/>
  <c r="CQ7" i="27" s="1"/>
  <c r="CP7" i="27" a="1"/>
  <c r="CP7" i="27"/>
  <c r="CP8" i="27" s="1"/>
  <c r="CO7" i="27" a="1"/>
  <c r="CO7" i="27" s="1"/>
  <c r="CN7" i="27" a="1"/>
  <c r="CN7" i="27"/>
  <c r="CM7" i="27" a="1"/>
  <c r="CM7" i="27" s="1"/>
  <c r="CL7" i="27" a="1"/>
  <c r="CL7" i="27"/>
  <c r="CL8" i="27" s="1"/>
  <c r="CK7" i="27" a="1"/>
  <c r="CK7" i="27" s="1"/>
  <c r="CJ7" i="27" a="1"/>
  <c r="CJ7" i="27"/>
  <c r="CI7" i="27" a="1"/>
  <c r="CI7" i="27" s="1"/>
  <c r="CH7" i="27" a="1"/>
  <c r="CH7" i="27"/>
  <c r="CH8" i="27" s="1"/>
  <c r="CG7" i="27" a="1"/>
  <c r="CG7" i="27" s="1"/>
  <c r="CF7" i="27" a="1"/>
  <c r="CF7" i="27"/>
  <c r="CE7" i="27" a="1"/>
  <c r="CE7" i="27" s="1"/>
  <c r="CD7" i="27" a="1"/>
  <c r="CD7" i="27"/>
  <c r="CC7" i="27" a="1"/>
  <c r="CC7" i="27" s="1"/>
  <c r="CB7" i="27" a="1"/>
  <c r="CB7" i="27"/>
  <c r="CA7" i="27" a="1"/>
  <c r="CA7" i="27" s="1"/>
  <c r="BZ7" i="27" a="1"/>
  <c r="BZ7" i="27"/>
  <c r="BZ8" i="27" s="1"/>
  <c r="BY7" i="27" a="1"/>
  <c r="BY7" i="27" s="1"/>
  <c r="BX7" i="27" a="1"/>
  <c r="BX7" i="27"/>
  <c r="BW7" i="27" a="1"/>
  <c r="BW7" i="27" s="1"/>
  <c r="BV7" i="27" a="1"/>
  <c r="BV7" i="27"/>
  <c r="BV8" i="27" s="1"/>
  <c r="BU7" i="27" a="1"/>
  <c r="BU7" i="27" s="1"/>
  <c r="BT7" i="27" a="1"/>
  <c r="BT7" i="27"/>
  <c r="BS7" i="27" a="1"/>
  <c r="BS7" i="27" s="1"/>
  <c r="BR7" i="27" a="1"/>
  <c r="BR7" i="27"/>
  <c r="BR8" i="27" s="1"/>
  <c r="BQ7" i="27" a="1"/>
  <c r="BQ7" i="27" s="1"/>
  <c r="BP7" i="27" a="1"/>
  <c r="BP7" i="27"/>
  <c r="BO7" i="27" a="1"/>
  <c r="BO7" i="27" s="1"/>
  <c r="BN7" i="27" a="1"/>
  <c r="BN7" i="27"/>
  <c r="BM7" i="27" a="1"/>
  <c r="BM7" i="27" s="1"/>
  <c r="BL7" i="27" a="1"/>
  <c r="BL7" i="27"/>
  <c r="BK7" i="27" a="1"/>
  <c r="BK7" i="27" s="1"/>
  <c r="BJ7" i="27" a="1"/>
  <c r="BJ7" i="27"/>
  <c r="BJ8" i="27" s="1"/>
  <c r="BI7" i="27" a="1"/>
  <c r="BI7" i="27" s="1"/>
  <c r="BH7" i="27" a="1"/>
  <c r="BH7" i="27"/>
  <c r="BG7" i="27" a="1"/>
  <c r="BG7" i="27" s="1"/>
  <c r="BF7" i="27" a="1"/>
  <c r="BF7" i="27"/>
  <c r="BF8" i="27" s="1"/>
  <c r="BE7" i="27" a="1"/>
  <c r="BE7" i="27" s="1"/>
  <c r="BD7" i="27" a="1"/>
  <c r="BD7" i="27"/>
  <c r="BC7" i="27" a="1"/>
  <c r="BC7" i="27" s="1"/>
  <c r="BB7" i="27" a="1"/>
  <c r="BB7" i="27"/>
  <c r="BB8" i="27" s="1"/>
  <c r="BA7" i="27" a="1"/>
  <c r="BA7" i="27" s="1"/>
  <c r="AZ7" i="27" a="1"/>
  <c r="AZ7" i="27"/>
  <c r="AY7" i="27" a="1"/>
  <c r="AY7" i="27" s="1"/>
  <c r="AX7" i="27" a="1"/>
  <c r="AX7" i="27"/>
  <c r="AW7" i="27" a="1"/>
  <c r="AW7" i="27" s="1"/>
  <c r="AV7" i="27" a="1"/>
  <c r="AV7" i="27"/>
  <c r="AU7" i="27" a="1"/>
  <c r="AU7" i="27" s="1"/>
  <c r="AT7" i="27" a="1"/>
  <c r="AT7" i="27"/>
  <c r="AT8" i="27" s="1"/>
  <c r="AS7" i="27" a="1"/>
  <c r="AS7" i="27" s="1"/>
  <c r="AR7" i="27" a="1"/>
  <c r="AR7" i="27"/>
  <c r="AQ7" i="27" a="1"/>
  <c r="AQ7" i="27" s="1"/>
  <c r="AP7" i="27" a="1"/>
  <c r="AP7" i="27"/>
  <c r="AP8" i="27" s="1"/>
  <c r="AO7" i="27" a="1"/>
  <c r="AO7" i="27" s="1"/>
  <c r="AN7" i="27" a="1"/>
  <c r="AN7" i="27"/>
  <c r="AM7" i="27" a="1"/>
  <c r="AM7" i="27" s="1"/>
  <c r="AL7" i="27" a="1"/>
  <c r="AL7" i="27"/>
  <c r="AL8" i="27" s="1"/>
  <c r="AK7" i="27" a="1"/>
  <c r="AK7" i="27" s="1"/>
  <c r="AJ7" i="27" a="1"/>
  <c r="AJ7" i="27"/>
  <c r="AI7" i="27" a="1"/>
  <c r="AI7" i="27" s="1"/>
  <c r="AH7" i="27" a="1"/>
  <c r="AH7" i="27"/>
  <c r="AG7" i="27" a="1"/>
  <c r="AG7" i="27" s="1"/>
  <c r="AF7" i="27" a="1"/>
  <c r="AF7" i="27"/>
  <c r="AE7" i="27" a="1"/>
  <c r="AE7" i="27" s="1"/>
  <c r="AD7" i="27" a="1"/>
  <c r="AD7" i="27"/>
  <c r="FW6" i="27"/>
  <c r="FV6" i="27"/>
  <c r="FV9" i="27" s="1" a="1"/>
  <c r="FV9" i="27" s="1"/>
  <c r="FU6" i="27"/>
  <c r="FU9" i="27" s="1" a="1"/>
  <c r="FU9" i="27" s="1"/>
  <c r="FT6" i="27"/>
  <c r="FS6" i="27"/>
  <c r="FR6" i="27"/>
  <c r="FR25" i="27" s="1"/>
  <c r="FQ6" i="27"/>
  <c r="FQ9" i="27" s="1" a="1"/>
  <c r="FP6" i="27"/>
  <c r="FO6" i="27"/>
  <c r="FN6" i="27"/>
  <c r="FN9" i="27" s="1" a="1"/>
  <c r="FN9" i="27" s="1"/>
  <c r="FM6" i="27"/>
  <c r="FM9" i="27" s="1" a="1"/>
  <c r="FM9" i="27" s="1"/>
  <c r="FL6" i="27"/>
  <c r="FK6" i="27"/>
  <c r="FJ6" i="27"/>
  <c r="FJ9" i="27" s="1" a="1"/>
  <c r="FJ9" i="27" s="1"/>
  <c r="FI6" i="27"/>
  <c r="FI9" i="27" s="1" a="1"/>
  <c r="FH6" i="27"/>
  <c r="FG6" i="27"/>
  <c r="FF6" i="27"/>
  <c r="FF25" i="27" s="1"/>
  <c r="FE6" i="27"/>
  <c r="FE9" i="27" s="1" a="1"/>
  <c r="FE9" i="27" s="1"/>
  <c r="FD6" i="27"/>
  <c r="FC6" i="27"/>
  <c r="FB6" i="27"/>
  <c r="FB9" i="27" s="1" a="1"/>
  <c r="FB9" i="27" s="1"/>
  <c r="FA6" i="27"/>
  <c r="FA9" i="27" s="1" a="1"/>
  <c r="EZ6" i="27"/>
  <c r="EZ25" i="27" s="1"/>
  <c r="EY6" i="27"/>
  <c r="EX6" i="27"/>
  <c r="EX9" i="27" s="1" a="1"/>
  <c r="EX9" i="27" s="1"/>
  <c r="EW6" i="27"/>
  <c r="EW9" i="27" s="1" a="1"/>
  <c r="EW9" i="27" s="1"/>
  <c r="EV6" i="27"/>
  <c r="EU6" i="27"/>
  <c r="ET6" i="27"/>
  <c r="ET25" i="27" s="1"/>
  <c r="ES6" i="27"/>
  <c r="ES9" i="27" s="1" a="1"/>
  <c r="ER6" i="27"/>
  <c r="EQ6" i="27"/>
  <c r="EP6" i="27"/>
  <c r="EP9" i="27" s="1" a="1"/>
  <c r="EP9" i="27" s="1"/>
  <c r="EO6" i="27"/>
  <c r="EO9" i="27" s="1" a="1"/>
  <c r="EO9" i="27" s="1"/>
  <c r="EN6" i="27"/>
  <c r="EM6" i="27"/>
  <c r="EL6" i="27"/>
  <c r="EL9" i="27" s="1" a="1"/>
  <c r="EL9" i="27" s="1"/>
  <c r="EK6" i="27"/>
  <c r="EK9" i="27" s="1" a="1"/>
  <c r="EJ6" i="27"/>
  <c r="EI6" i="27"/>
  <c r="EH6" i="27"/>
  <c r="EH25" i="27" s="1"/>
  <c r="EG6" i="27"/>
  <c r="EG9" i="27" s="1" a="1"/>
  <c r="EG9" i="27" s="1"/>
  <c r="EF6" i="27"/>
  <c r="EE6" i="27"/>
  <c r="ED6" i="27"/>
  <c r="ED9" i="27" s="1" a="1"/>
  <c r="ED9" i="27" s="1"/>
  <c r="EC6" i="27"/>
  <c r="EC9" i="27" s="1" a="1"/>
  <c r="EC9" i="27" s="1"/>
  <c r="EB6" i="27"/>
  <c r="EA6" i="27"/>
  <c r="DZ6" i="27"/>
  <c r="DZ9" i="27" s="1" a="1"/>
  <c r="DZ9" i="27" s="1"/>
  <c r="DY6" i="27"/>
  <c r="DY9" i="27" s="1" a="1"/>
  <c r="DY9" i="27" s="1"/>
  <c r="DX6" i="27"/>
  <c r="DW6" i="27"/>
  <c r="DV6" i="27"/>
  <c r="DV25" i="27" s="1"/>
  <c r="DU6" i="27"/>
  <c r="DU9" i="27" s="1" a="1"/>
  <c r="DU9" i="27" s="1"/>
  <c r="DT6" i="27"/>
  <c r="DS6" i="27"/>
  <c r="DR6" i="27"/>
  <c r="DR9" i="27" s="1" a="1"/>
  <c r="DR9" i="27" s="1"/>
  <c r="DQ6" i="27"/>
  <c r="DQ9" i="27" s="1" a="1"/>
  <c r="DQ9" i="27" s="1"/>
  <c r="DP6" i="27"/>
  <c r="DO6" i="27"/>
  <c r="DN6" i="27"/>
  <c r="DN9" i="27" s="1" a="1"/>
  <c r="DN9" i="27" s="1"/>
  <c r="DM6" i="27"/>
  <c r="DM9" i="27" s="1" a="1"/>
  <c r="DM9" i="27" s="1"/>
  <c r="DL6" i="27"/>
  <c r="DK6" i="27"/>
  <c r="DJ6" i="27"/>
  <c r="DJ25" i="27" s="1"/>
  <c r="DI6" i="27"/>
  <c r="DI9" i="27" s="1" a="1"/>
  <c r="DI9" i="27" s="1"/>
  <c r="DH6" i="27"/>
  <c r="DG6" i="27"/>
  <c r="DF6" i="27"/>
  <c r="DF9" i="27" s="1" a="1"/>
  <c r="DF9" i="27" s="1"/>
  <c r="DE6" i="27"/>
  <c r="DE9" i="27" s="1" a="1"/>
  <c r="DE9" i="27" s="1"/>
  <c r="DD6" i="27"/>
  <c r="DD25" i="27" s="1"/>
  <c r="DC6" i="27"/>
  <c r="DB6" i="27"/>
  <c r="DB9" i="27" s="1" a="1"/>
  <c r="DB9" i="27" s="1"/>
  <c r="DA6" i="27"/>
  <c r="DA9" i="27" s="1" a="1"/>
  <c r="DA9" i="27" s="1"/>
  <c r="CZ6" i="27"/>
  <c r="CY6" i="27"/>
  <c r="CX6" i="27"/>
  <c r="CX25" i="27" s="1"/>
  <c r="CW6" i="27"/>
  <c r="CW9" i="27" s="1" a="1"/>
  <c r="CW9" i="27" s="1"/>
  <c r="CV6" i="27"/>
  <c r="CU6" i="27"/>
  <c r="CT6" i="27"/>
  <c r="CT9" i="27" s="1" a="1"/>
  <c r="CT9" i="27" s="1"/>
  <c r="CS6" i="27"/>
  <c r="CS9" i="27" s="1" a="1"/>
  <c r="CS9" i="27" s="1"/>
  <c r="CR6" i="27"/>
  <c r="CQ6" i="27"/>
  <c r="CP6" i="27"/>
  <c r="CP9" i="27" s="1" a="1"/>
  <c r="CP9" i="27" s="1"/>
  <c r="CO6" i="27"/>
  <c r="CO9" i="27" s="1" a="1"/>
  <c r="CO9" i="27" s="1"/>
  <c r="CN6" i="27"/>
  <c r="CM6" i="27"/>
  <c r="CL6" i="27"/>
  <c r="CL25" i="27" s="1"/>
  <c r="CK6" i="27"/>
  <c r="CK9" i="27" s="1" a="1"/>
  <c r="CK9" i="27" s="1"/>
  <c r="CJ6" i="27"/>
  <c r="CI6" i="27"/>
  <c r="CH6" i="27"/>
  <c r="CH9" i="27" s="1" a="1"/>
  <c r="CH9" i="27" s="1"/>
  <c r="CG6" i="27"/>
  <c r="CG9" i="27" s="1" a="1"/>
  <c r="CG9" i="27" s="1"/>
  <c r="CF6" i="27"/>
  <c r="CE6" i="27"/>
  <c r="CD6" i="27"/>
  <c r="CD9" i="27" s="1" a="1"/>
  <c r="CD9" i="27" s="1"/>
  <c r="CC6" i="27"/>
  <c r="CC9" i="27" s="1" a="1"/>
  <c r="CC9" i="27" s="1"/>
  <c r="CB6" i="27"/>
  <c r="CA6" i="27"/>
  <c r="BZ6" i="27"/>
  <c r="BZ25" i="27" s="1"/>
  <c r="BY6" i="27"/>
  <c r="BY9" i="27" s="1" a="1"/>
  <c r="BY9" i="27" s="1"/>
  <c r="BX6" i="27"/>
  <c r="BW6" i="27"/>
  <c r="BV6" i="27"/>
  <c r="BV9" i="27" s="1" a="1"/>
  <c r="BV9" i="27" s="1"/>
  <c r="BU6" i="27"/>
  <c r="BU9" i="27" s="1" a="1"/>
  <c r="BU9" i="27" s="1"/>
  <c r="BT6" i="27"/>
  <c r="BS6" i="27"/>
  <c r="BR6" i="27"/>
  <c r="BR9" i="27" s="1" a="1"/>
  <c r="BR9" i="27" s="1"/>
  <c r="BQ6" i="27"/>
  <c r="BQ9" i="27" s="1" a="1"/>
  <c r="BQ9" i="27" s="1"/>
  <c r="BP6" i="27"/>
  <c r="BO6" i="27"/>
  <c r="BN6" i="27"/>
  <c r="BN25" i="27" s="1"/>
  <c r="BM6" i="27"/>
  <c r="BM9" i="27" s="1" a="1"/>
  <c r="BM9" i="27" s="1"/>
  <c r="BL6" i="27"/>
  <c r="BK6" i="27"/>
  <c r="BJ6" i="27"/>
  <c r="BJ9" i="27" s="1" a="1"/>
  <c r="BJ9" i="27" s="1"/>
  <c r="BI6" i="27"/>
  <c r="BI9" i="27" s="1" a="1"/>
  <c r="BI9" i="27" s="1"/>
  <c r="BH6" i="27"/>
  <c r="BH25" i="27" s="1"/>
  <c r="BG6" i="27"/>
  <c r="BF6" i="27"/>
  <c r="BF9" i="27" s="1" a="1"/>
  <c r="BF9" i="27" s="1"/>
  <c r="BE6" i="27"/>
  <c r="BE9" i="27" s="1" a="1"/>
  <c r="BE9" i="27" s="1"/>
  <c r="BD6" i="27"/>
  <c r="BC6" i="27"/>
  <c r="BB6" i="27"/>
  <c r="BB25" i="27" s="1"/>
  <c r="BA6" i="27"/>
  <c r="BA9" i="27" s="1" a="1"/>
  <c r="BA9" i="27" s="1"/>
  <c r="AZ6" i="27"/>
  <c r="AY6" i="27"/>
  <c r="AX6" i="27"/>
  <c r="AX9" i="27" s="1" a="1"/>
  <c r="AX9" i="27" s="1"/>
  <c r="AW6" i="27"/>
  <c r="AW9" i="27" s="1" a="1"/>
  <c r="AW9" i="27" s="1"/>
  <c r="AV6" i="27"/>
  <c r="AU6" i="27"/>
  <c r="AT6" i="27"/>
  <c r="AT9" i="27" s="1" a="1"/>
  <c r="AT9" i="27" s="1"/>
  <c r="AS6" i="27"/>
  <c r="AS9" i="27" s="1" a="1"/>
  <c r="AS9" i="27" s="1"/>
  <c r="AR6" i="27"/>
  <c r="AQ6" i="27"/>
  <c r="AP6" i="27"/>
  <c r="AP25" i="27" s="1"/>
  <c r="AO6" i="27"/>
  <c r="AO9" i="27" s="1" a="1"/>
  <c r="AO9" i="27" s="1"/>
  <c r="AN6" i="27"/>
  <c r="AM6" i="27"/>
  <c r="AL6" i="27"/>
  <c r="AL9" i="27" s="1" a="1"/>
  <c r="AL9" i="27" s="1"/>
  <c r="AK6" i="27"/>
  <c r="AK9" i="27" s="1" a="1"/>
  <c r="AK9" i="27" s="1"/>
  <c r="AJ6" i="27"/>
  <c r="AI6" i="27"/>
  <c r="AH6" i="27"/>
  <c r="AH9" i="27" s="1" a="1"/>
  <c r="AH9" i="27" s="1"/>
  <c r="AG6" i="27"/>
  <c r="AG9" i="27" s="1" a="1"/>
  <c r="AG9" i="27" s="1"/>
  <c r="AF6" i="27" a="1"/>
  <c r="AF6" i="27" s="1"/>
  <c r="AE6" i="27" a="1"/>
  <c r="AE6" i="27"/>
  <c r="AE9" i="27" s="1" a="1"/>
  <c r="AE9" i="27" s="1"/>
  <c r="AD6" i="27" a="1"/>
  <c r="AD6" i="27" s="1"/>
  <c r="AD8" i="27" s="1"/>
  <c r="T236" i="26"/>
  <c r="T235" i="26"/>
  <c r="T234" i="26"/>
  <c r="L230" i="26" a="1"/>
  <c r="L230" i="26" s="1"/>
  <c r="L229" i="26" a="1"/>
  <c r="L229" i="26" s="1"/>
  <c r="L228" i="26" a="1"/>
  <c r="L228" i="26" s="1"/>
  <c r="L227" i="26" a="1"/>
  <c r="L227" i="26" s="1"/>
  <c r="L226" i="26" a="1"/>
  <c r="L226" i="26"/>
  <c r="AG225" i="26"/>
  <c r="AF225" i="26"/>
  <c r="L225" i="26" a="1"/>
  <c r="L225" i="26" s="1"/>
  <c r="L224" i="26" a="1"/>
  <c r="L224" i="26" s="1"/>
  <c r="L223" i="26" a="1"/>
  <c r="L223" i="26" s="1"/>
  <c r="L222" i="26" a="1"/>
  <c r="L222" i="26"/>
  <c r="B222" i="26"/>
  <c r="B223" i="26" s="1" a="1"/>
  <c r="B223" i="26" s="1"/>
  <c r="L221" i="26" a="1"/>
  <c r="L221" i="26"/>
  <c r="L220" i="26" a="1"/>
  <c r="L220" i="26"/>
  <c r="AG217" i="26"/>
  <c r="AG216" i="26" s="1" a="1"/>
  <c r="AG216" i="26" s="1"/>
  <c r="AF217" i="26"/>
  <c r="AF216" i="26" s="1" a="1"/>
  <c r="AF216" i="26"/>
  <c r="AG211" i="26"/>
  <c r="AF211" i="26"/>
  <c r="AF204" i="26"/>
  <c r="T180" i="26"/>
  <c r="T181" i="26" s="1" a="1"/>
  <c r="T181" i="26" s="1"/>
  <c r="T182" i="26" s="1" a="1"/>
  <c r="T182" i="26" s="1"/>
  <c r="T183" i="26" s="1" a="1"/>
  <c r="T183" i="26" s="1"/>
  <c r="T184" i="26" s="1" a="1"/>
  <c r="T184" i="26" s="1"/>
  <c r="T185" i="26" s="1" a="1"/>
  <c r="T185" i="26" s="1"/>
  <c r="T186" i="26" s="1" a="1"/>
  <c r="T186" i="26" s="1"/>
  <c r="T187" i="26" s="1" a="1"/>
  <c r="T187" i="26" s="1"/>
  <c r="T188" i="26" s="1" a="1"/>
  <c r="T188" i="26" s="1"/>
  <c r="T189" i="26" s="1" a="1"/>
  <c r="T189" i="26" s="1"/>
  <c r="T190" i="26" s="1" a="1"/>
  <c r="T190" i="26" s="1"/>
  <c r="T191" i="26" s="1" a="1"/>
  <c r="T191" i="26" s="1"/>
  <c r="T192" i="26" s="1" a="1"/>
  <c r="T192" i="26" s="1"/>
  <c r="T193" i="26" s="1" a="1"/>
  <c r="T193" i="26" s="1"/>
  <c r="T194" i="26" s="1" a="1"/>
  <c r="T194" i="26" s="1"/>
  <c r="T195" i="26" s="1" a="1"/>
  <c r="T195" i="26" s="1"/>
  <c r="T196" i="26" s="1" a="1"/>
  <c r="T196" i="26" s="1"/>
  <c r="T197" i="26" s="1" a="1"/>
  <c r="T197" i="26" s="1"/>
  <c r="T198" i="26" s="1" a="1"/>
  <c r="T198" i="26" s="1"/>
  <c r="T199" i="26" s="1" a="1"/>
  <c r="T199" i="26" s="1"/>
  <c r="T200" i="26" s="1" a="1"/>
  <c r="T200" i="26" s="1"/>
  <c r="T201" i="26" s="1" a="1"/>
  <c r="T201" i="26" s="1"/>
  <c r="T202" i="26" s="1" a="1"/>
  <c r="T202" i="26" s="1"/>
  <c r="T203" i="26" s="1" a="1"/>
  <c r="T203" i="26" s="1"/>
  <c r="T204" i="26" s="1" a="1"/>
  <c r="T204" i="26" s="1"/>
  <c r="T205" i="26" s="1" a="1"/>
  <c r="T205" i="26" s="1"/>
  <c r="T206" i="26" s="1" a="1"/>
  <c r="T206" i="26" s="1"/>
  <c r="T207" i="26" s="1" a="1"/>
  <c r="T207" i="26" s="1"/>
  <c r="T208" i="26" s="1" a="1"/>
  <c r="T208" i="26" s="1"/>
  <c r="T209" i="26" s="1" a="1"/>
  <c r="T209" i="26" s="1"/>
  <c r="T210" i="26" s="1" a="1"/>
  <c r="T210" i="26" s="1"/>
  <c r="T211" i="26" s="1" a="1"/>
  <c r="T211" i="26" s="1"/>
  <c r="T212" i="26" s="1" a="1"/>
  <c r="T212" i="26" s="1"/>
  <c r="T213" i="26" s="1" a="1"/>
  <c r="T213" i="26" s="1"/>
  <c r="T214" i="26" s="1" a="1"/>
  <c r="T214" i="26" s="1"/>
  <c r="T215" i="26" s="1" a="1"/>
  <c r="T215" i="26" s="1"/>
  <c r="T216" i="26" s="1" a="1"/>
  <c r="T216" i="26" s="1"/>
  <c r="T217" i="26" s="1" a="1"/>
  <c r="T217" i="26" s="1"/>
  <c r="T218" i="26" s="1" a="1"/>
  <c r="T218" i="26" s="1"/>
  <c r="T219" i="26" s="1" a="1"/>
  <c r="T219" i="26" s="1"/>
  <c r="T220" i="26" s="1" a="1"/>
  <c r="T220" i="26" s="1"/>
  <c r="T221" i="26" s="1" a="1"/>
  <c r="T221" i="26" s="1"/>
  <c r="T222" i="26" s="1" a="1"/>
  <c r="T222" i="26" s="1"/>
  <c r="T223" i="26" s="1" a="1"/>
  <c r="T223" i="26" s="1"/>
  <c r="T224" i="26" s="1" a="1"/>
  <c r="T224" i="26" s="1"/>
  <c r="T225" i="26" s="1" a="1"/>
  <c r="T225" i="26" s="1"/>
  <c r="T226" i="26" s="1" a="1"/>
  <c r="T226" i="26" s="1"/>
  <c r="T227" i="26" s="1" a="1"/>
  <c r="T227" i="26" s="1"/>
  <c r="T228" i="26" s="1" a="1"/>
  <c r="T228" i="26" s="1"/>
  <c r="T229" i="26" s="1" a="1"/>
  <c r="T229" i="26" s="1"/>
  <c r="T230" i="26" s="1" a="1"/>
  <c r="T230" i="26" s="1"/>
  <c r="S180" i="26" a="1"/>
  <c r="S180" i="26"/>
  <c r="B209" i="26" s="1"/>
  <c r="B210" i="26" s="1" a="1"/>
  <c r="B210" i="26" s="1"/>
  <c r="F180" i="26" a="1"/>
  <c r="F180" i="26" s="1"/>
  <c r="F181" i="26" s="1" a="1"/>
  <c r="F181" i="26" s="1"/>
  <c r="F182" i="26" s="1" a="1"/>
  <c r="F182" i="26" s="1"/>
  <c r="F183" i="26" s="1" a="1"/>
  <c r="F183" i="26" s="1"/>
  <c r="F184" i="26" s="1" a="1"/>
  <c r="F184" i="26" s="1"/>
  <c r="F185" i="26" s="1" a="1"/>
  <c r="F185" i="26" s="1"/>
  <c r="F186" i="26" s="1" a="1"/>
  <c r="F186" i="26" s="1"/>
  <c r="L179" i="26" a="1"/>
  <c r="L179" i="26" s="1"/>
  <c r="L178" i="26" a="1"/>
  <c r="L178" i="26" s="1"/>
  <c r="L177" i="26" a="1"/>
  <c r="L177" i="26" s="1"/>
  <c r="L176" i="26" a="1"/>
  <c r="L176" i="26"/>
  <c r="L175" i="26" a="1"/>
  <c r="L175" i="26"/>
  <c r="AG174" i="26"/>
  <c r="AF174" i="26"/>
  <c r="L174" i="26" a="1"/>
  <c r="L174" i="26" s="1"/>
  <c r="L173" i="26" a="1"/>
  <c r="L173" i="26" s="1"/>
  <c r="L172" i="26" a="1"/>
  <c r="L172" i="26" s="1"/>
  <c r="L171" i="26" a="1"/>
  <c r="L171" i="26"/>
  <c r="L170" i="26" a="1"/>
  <c r="L170" i="26"/>
  <c r="L169" i="26" a="1"/>
  <c r="L169" i="26" s="1"/>
  <c r="AG166" i="26"/>
  <c r="AF166" i="26"/>
  <c r="AF165" i="26" s="1" a="1"/>
  <c r="AF165" i="26" s="1"/>
  <c r="AG165" i="26" a="1"/>
  <c r="AG165" i="26" s="1"/>
  <c r="AG160" i="26"/>
  <c r="AF160" i="26"/>
  <c r="AF153" i="26"/>
  <c r="AF134" i="26"/>
  <c r="AF132" i="26"/>
  <c r="AF130" i="26" s="1"/>
  <c r="AF179"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c r="F130" i="26" s="1" a="1"/>
  <c r="F130" i="26" s="1"/>
  <c r="F131" i="26" s="1" a="1"/>
  <c r="F131" i="26" s="1"/>
  <c r="F132" i="26" s="1" a="1"/>
  <c r="F132" i="26" s="1"/>
  <c r="F133" i="26" s="1" a="1"/>
  <c r="F133" i="26" s="1"/>
  <c r="F134" i="26" s="1" a="1"/>
  <c r="F134" i="26" s="1"/>
  <c r="F135" i="26" s="1" a="1"/>
  <c r="F135" i="26" s="1"/>
  <c r="F136" i="26" s="1" a="1"/>
  <c r="F136" i="26" s="1"/>
  <c r="F137" i="26" s="1" a="1"/>
  <c r="F137" i="26" s="1"/>
  <c r="F138" i="26" s="1" a="1"/>
  <c r="F138" i="26" s="1"/>
  <c r="L128" i="26" a="1"/>
  <c r="L128" i="26" s="1"/>
  <c r="L127" i="26" a="1"/>
  <c r="L127" i="26" s="1"/>
  <c r="L126" i="26" a="1"/>
  <c r="L126" i="26" s="1"/>
  <c r="L125" i="26" a="1"/>
  <c r="L125" i="26" s="1"/>
  <c r="L124" i="26" a="1"/>
  <c r="L124" i="26"/>
  <c r="AG123" i="26"/>
  <c r="AF123" i="26"/>
  <c r="L123" i="26" a="1"/>
  <c r="L123" i="26" s="1"/>
  <c r="L122" i="26" a="1"/>
  <c r="L122" i="26" s="1"/>
  <c r="L121" i="26" a="1"/>
  <c r="L121" i="26" s="1"/>
  <c r="L120" i="26" a="1"/>
  <c r="L120" i="26"/>
  <c r="L119" i="26" a="1"/>
  <c r="L119" i="26"/>
  <c r="L118" i="26" a="1"/>
  <c r="L118" i="26"/>
  <c r="AG115" i="26"/>
  <c r="AG114" i="26" s="1" a="1"/>
  <c r="AG114" i="26" s="1"/>
  <c r="AF115" i="26"/>
  <c r="AF114" i="26" s="1" a="1"/>
  <c r="AF114" i="26"/>
  <c r="AG109" i="26"/>
  <c r="AF109" i="26"/>
  <c r="AF102" i="26"/>
  <c r="F79" i="26" a="1"/>
  <c r="F79" i="26" s="1"/>
  <c r="F80" i="26" s="1" a="1"/>
  <c r="F80" i="26" s="1"/>
  <c r="F81" i="26" s="1" a="1"/>
  <c r="F81" i="26" s="1"/>
  <c r="F82" i="26" s="1" a="1"/>
  <c r="F82" i="26" s="1"/>
  <c r="F83" i="26" s="1" a="1"/>
  <c r="F83" i="26" s="1"/>
  <c r="F84" i="26" s="1" a="1"/>
  <c r="F84"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B108" i="26" s="1" a="1"/>
  <c r="B108" i="26" s="1"/>
  <c r="F78" i="26" a="1"/>
  <c r="F78" i="26"/>
  <c r="L77" i="26" a="1"/>
  <c r="L77" i="26" s="1"/>
  <c r="L76" i="26" a="1"/>
  <c r="L76" i="26" s="1"/>
  <c r="L75" i="26" a="1"/>
  <c r="L75" i="26" s="1"/>
  <c r="L74" i="26" a="1"/>
  <c r="L74" i="26"/>
  <c r="L73" i="26" a="1"/>
  <c r="L73" i="26"/>
  <c r="AG72" i="26"/>
  <c r="AF72" i="26"/>
  <c r="L72" i="26" a="1"/>
  <c r="L72" i="26" s="1"/>
  <c r="L71" i="26" a="1"/>
  <c r="L71" i="26" s="1"/>
  <c r="L70" i="26" a="1"/>
  <c r="L70" i="26" s="1"/>
  <c r="L69" i="26" a="1"/>
  <c r="L69" i="26"/>
  <c r="L68" i="26" a="1"/>
  <c r="L68" i="26"/>
  <c r="L67" i="26" a="1"/>
  <c r="L67" i="26"/>
  <c r="AG64" i="26"/>
  <c r="AF64" i="26"/>
  <c r="AF63" i="26" s="1" a="1"/>
  <c r="AF63" i="26" s="1"/>
  <c r="AG63" i="26" a="1"/>
  <c r="AG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41" i="25"/>
  <c r="AL37" i="25"/>
  <c r="AL36" i="25"/>
  <c r="T36" i="25"/>
  <c r="T37" i="25" s="1" a="1"/>
  <c r="T37" i="25" s="1"/>
  <c r="AL35" i="25"/>
  <c r="AK35" i="25"/>
  <c r="AJ35" i="25"/>
  <c r="AI35" i="25"/>
  <c r="AH35" i="25"/>
  <c r="AG35" i="25"/>
  <c r="AF35" i="25"/>
  <c r="AE35" i="25"/>
  <c r="T35" i="25"/>
  <c r="T36" i="25" s="1" a="1"/>
  <c r="F35" i="25" a="1"/>
  <c r="F35" i="25"/>
  <c r="F36" i="25" s="1" a="1"/>
  <c r="F36" i="25" s="1"/>
  <c r="F37" i="25" s="1" a="1"/>
  <c r="F37" i="25" s="1"/>
  <c r="AL34" i="25"/>
  <c r="AL33" i="25"/>
  <c r="AL32" i="25"/>
  <c r="AK32" i="25"/>
  <c r="AJ32" i="25"/>
  <c r="AI32" i="25"/>
  <c r="AH32" i="25"/>
  <c r="AG32" i="25"/>
  <c r="AF32" i="25"/>
  <c r="AE32" i="25"/>
  <c r="T32" i="25"/>
  <c r="T33" i="25" s="1" a="1"/>
  <c r="T33" i="25" s="1"/>
  <c r="T34" i="25" s="1" a="1"/>
  <c r="T34" i="25" s="1"/>
  <c r="F32" i="25" a="1"/>
  <c r="F32" i="25"/>
  <c r="F33" i="25" s="1" a="1"/>
  <c r="F33" i="25" s="1"/>
  <c r="F34" i="25" s="1" a="1"/>
  <c r="F34" i="25" s="1"/>
  <c r="AL31" i="25"/>
  <c r="AL30" i="25"/>
  <c r="AL29" i="25"/>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62" i="24"/>
  <c r="AX52" i="24"/>
  <c r="AW52" i="24"/>
  <c r="AV52" i="24"/>
  <c r="AU52" i="24"/>
  <c r="AT52" i="24"/>
  <c r="AS52" i="24"/>
  <c r="AR52" i="24"/>
  <c r="AQ52" i="24"/>
  <c r="AP52" i="24"/>
  <c r="AO52" i="24"/>
  <c r="AN52" i="24"/>
  <c r="AM52" i="24"/>
  <c r="AL52" i="24"/>
  <c r="AK52" i="24"/>
  <c r="AJ52" i="24"/>
  <c r="AI52" i="24"/>
  <c r="AH52" i="24"/>
  <c r="AG52" i="24"/>
  <c r="AF52" i="24"/>
  <c r="AE52" i="24"/>
  <c r="AE58" i="24" s="1"/>
  <c r="T51" i="24"/>
  <c r="T52" i="24" s="1" a="1"/>
  <c r="T52" i="24" s="1"/>
  <c r="T53" i="24" s="1" a="1"/>
  <c r="T53" i="24" s="1"/>
  <c r="T54" i="24" s="1" a="1"/>
  <c r="T54" i="24" s="1"/>
  <c r="T55" i="24" s="1" a="1"/>
  <c r="T55" i="24" s="1"/>
  <c r="T56" i="24" s="1" a="1"/>
  <c r="T56" i="24" s="1"/>
  <c r="T57" i="24" s="1" a="1"/>
  <c r="T57" i="24" s="1"/>
  <c r="T58" i="24" s="1" a="1"/>
  <c r="T58" i="24" s="1"/>
  <c r="F51" i="24" a="1"/>
  <c r="F51" i="24"/>
  <c r="F52" i="24" s="1" a="1"/>
  <c r="F52" i="24" s="1"/>
  <c r="F53" i="24" s="1" a="1"/>
  <c r="F53" i="24" s="1"/>
  <c r="F54" i="24" s="1" a="1"/>
  <c r="F54" i="24" s="1"/>
  <c r="F55" i="24" s="1" a="1"/>
  <c r="F55" i="24" s="1"/>
  <c r="F56" i="24" s="1" a="1"/>
  <c r="F56" i="24" s="1"/>
  <c r="AX44" i="24"/>
  <c r="AW44" i="24"/>
  <c r="AV44" i="24"/>
  <c r="AU44" i="24"/>
  <c r="AT44" i="24"/>
  <c r="AS44" i="24"/>
  <c r="AR44" i="24"/>
  <c r="AQ44" i="24"/>
  <c r="AP44" i="24"/>
  <c r="AO44" i="24"/>
  <c r="AN44" i="24"/>
  <c r="AM44" i="24"/>
  <c r="AL44" i="24"/>
  <c r="AK44" i="24"/>
  <c r="AJ44" i="24"/>
  <c r="AI44" i="24"/>
  <c r="AH44" i="24"/>
  <c r="AG44" i="24"/>
  <c r="AF44" i="24"/>
  <c r="AE44" i="24"/>
  <c r="AE50" i="24" s="1"/>
  <c r="T43" i="24"/>
  <c r="T44" i="24" s="1" a="1"/>
  <c r="T44" i="24" s="1"/>
  <c r="T45" i="24" s="1" a="1"/>
  <c r="T45" i="24" s="1"/>
  <c r="T46" i="24" s="1" a="1"/>
  <c r="T46" i="24" s="1"/>
  <c r="T47" i="24" s="1" a="1"/>
  <c r="T47" i="24" s="1"/>
  <c r="T48" i="24" s="1" a="1"/>
  <c r="T48" i="24" s="1"/>
  <c r="T49" i="24" s="1" a="1"/>
  <c r="T49" i="24" s="1"/>
  <c r="T50" i="24" s="1" a="1"/>
  <c r="T50" i="24" s="1"/>
  <c r="F43" i="24" a="1"/>
  <c r="F43" i="24"/>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W9" i="24" a="1"/>
  <c r="AW9" i="24" s="1"/>
  <c r="AV9" i="24" a="1"/>
  <c r="AV9" i="24" s="1"/>
  <c r="AS9" i="24" a="1"/>
  <c r="AS9" i="24" s="1"/>
  <c r="AR9" i="24" a="1"/>
  <c r="AR9" i="24" s="1"/>
  <c r="AN9" i="24" a="1"/>
  <c r="AN9" i="24" s="1"/>
  <c r="AL9" i="24" a="1"/>
  <c r="AL9" i="24" s="1"/>
  <c r="AJ9" i="24" a="1"/>
  <c r="AJ9" i="24" s="1"/>
  <c r="AH9" i="24" a="1"/>
  <c r="AH9" i="24" s="1"/>
  <c r="AF9" i="24" a="1"/>
  <c r="AF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W6" i="24"/>
  <c r="AV6" i="24"/>
  <c r="AU6" i="24"/>
  <c r="AT6" i="24"/>
  <c r="AS6" i="24"/>
  <c r="AR6" i="24"/>
  <c r="AQ6" i="24"/>
  <c r="AP6" i="24"/>
  <c r="AO6" i="24" a="1"/>
  <c r="AO6" i="24"/>
  <c r="AO9" i="24" s="1" a="1"/>
  <c r="AO9" i="24" s="1"/>
  <c r="AN6" i="24"/>
  <c r="AM6" i="24"/>
  <c r="AL6" i="24"/>
  <c r="AK6" i="24"/>
  <c r="AK9" i="24" s="1" a="1"/>
  <c r="AK9" i="24" s="1"/>
  <c r="AJ6" i="24"/>
  <c r="AI6" i="24"/>
  <c r="AH6" i="24"/>
  <c r="AG6" i="24"/>
  <c r="AG9" i="24" s="1" a="1"/>
  <c r="AG9" i="24" s="1"/>
  <c r="AF6" i="24"/>
  <c r="AE6" i="24" a="1"/>
  <c r="AE6" i="24" s="1"/>
  <c r="T148" i="23"/>
  <c r="L143" i="23" a="1"/>
  <c r="L143" i="23"/>
  <c r="L142" i="23" a="1"/>
  <c r="L142" i="23" s="1"/>
  <c r="BD141"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AH141" i="23"/>
  <c r="AG141" i="23"/>
  <c r="AF141" i="23"/>
  <c r="AE141" i="23"/>
  <c r="BD136" i="23"/>
  <c r="BC136" i="23"/>
  <c r="BB136" i="23"/>
  <c r="BA136" i="23"/>
  <c r="AZ136" i="23"/>
  <c r="AY136" i="23"/>
  <c r="AX136" i="23"/>
  <c r="AW136" i="23"/>
  <c r="AV136" i="23"/>
  <c r="AU136" i="23"/>
  <c r="AT136" i="23"/>
  <c r="AS136" i="23"/>
  <c r="AR136" i="23"/>
  <c r="AQ136" i="23"/>
  <c r="AP136" i="23"/>
  <c r="AO136" i="23"/>
  <c r="AN136" i="23"/>
  <c r="AM136" i="23"/>
  <c r="AL136" i="23"/>
  <c r="AK136" i="23"/>
  <c r="AJ136" i="23"/>
  <c r="AI136" i="23"/>
  <c r="AH136" i="23"/>
  <c r="AG136" i="23"/>
  <c r="AF136" i="23"/>
  <c r="AE136" i="23"/>
  <c r="BD132" i="23"/>
  <c r="BC132" i="23"/>
  <c r="BB132" i="23"/>
  <c r="BA132" i="23"/>
  <c r="AZ132" i="23"/>
  <c r="AY132" i="23"/>
  <c r="AX132" i="23"/>
  <c r="AW132" i="23"/>
  <c r="AV132" i="23"/>
  <c r="AU132" i="23"/>
  <c r="AT132" i="23"/>
  <c r="AS132" i="23"/>
  <c r="AR132" i="23"/>
  <c r="AQ132" i="23"/>
  <c r="AP132" i="23"/>
  <c r="AO132" i="23"/>
  <c r="AN132" i="23"/>
  <c r="AM132" i="23"/>
  <c r="AL132" i="23"/>
  <c r="AK132" i="23"/>
  <c r="AJ132" i="23"/>
  <c r="AI132" i="23"/>
  <c r="AH132" i="23"/>
  <c r="AG132" i="23"/>
  <c r="AF132" i="23"/>
  <c r="AE132" i="23"/>
  <c r="BD128" i="23"/>
  <c r="BC128" i="23"/>
  <c r="BC117" i="23" s="1"/>
  <c r="BB128" i="23"/>
  <c r="BA128" i="23"/>
  <c r="AZ128" i="23"/>
  <c r="AY128" i="23"/>
  <c r="AY117" i="23" s="1"/>
  <c r="AX128" i="23"/>
  <c r="AW128" i="23"/>
  <c r="AV128" i="23"/>
  <c r="AU128" i="23"/>
  <c r="AU117" i="23" s="1"/>
  <c r="AT128" i="23"/>
  <c r="AS128" i="23"/>
  <c r="AR128" i="23"/>
  <c r="AQ128" i="23"/>
  <c r="AQ117" i="23" s="1"/>
  <c r="AP128" i="23"/>
  <c r="AO128" i="23"/>
  <c r="AN128" i="23"/>
  <c r="AM128" i="23"/>
  <c r="AM117" i="23" s="1"/>
  <c r="AL128" i="23"/>
  <c r="AK128" i="23"/>
  <c r="AJ128" i="23"/>
  <c r="AI128" i="23"/>
  <c r="AH128" i="23"/>
  <c r="AG128" i="23"/>
  <c r="AF128" i="23"/>
  <c r="AE128" i="23"/>
  <c r="BD123" i="23"/>
  <c r="BC123" i="23"/>
  <c r="BB123" i="23"/>
  <c r="BA123" i="23"/>
  <c r="BA118" i="23" s="1"/>
  <c r="BA117" i="23" s="1"/>
  <c r="AZ123" i="23"/>
  <c r="AY123" i="23"/>
  <c r="AX123" i="23"/>
  <c r="AW123" i="23"/>
  <c r="AW118" i="23" s="1"/>
  <c r="AW117" i="23" s="1"/>
  <c r="AV123" i="23"/>
  <c r="AU123" i="23"/>
  <c r="AT123" i="23"/>
  <c r="AS123" i="23"/>
  <c r="AS118" i="23" s="1"/>
  <c r="AS117" i="23" s="1"/>
  <c r="AR123" i="23"/>
  <c r="AQ123" i="23"/>
  <c r="AP123" i="23"/>
  <c r="AO123" i="23"/>
  <c r="AO118" i="23" s="1"/>
  <c r="AO117" i="23" s="1"/>
  <c r="AN123" i="23"/>
  <c r="AM123" i="23"/>
  <c r="AL123" i="23"/>
  <c r="AK123" i="23"/>
  <c r="AK118" i="23" s="1"/>
  <c r="AK117" i="23" s="1"/>
  <c r="AJ123" i="23"/>
  <c r="AI123" i="23"/>
  <c r="AH123" i="23"/>
  <c r="AG123" i="23"/>
  <c r="AG118" i="23" s="1"/>
  <c r="AG117" i="23" s="1"/>
  <c r="AF123" i="23"/>
  <c r="AE123" i="23"/>
  <c r="L120" i="23" a="1"/>
  <c r="L120" i="23" s="1"/>
  <c r="BD118" i="23"/>
  <c r="BC118" i="23"/>
  <c r="BB118" i="23"/>
  <c r="BB117" i="23" s="1"/>
  <c r="AZ118" i="23"/>
  <c r="AY118" i="23"/>
  <c r="AX118" i="23"/>
  <c r="AX117" i="23" s="1"/>
  <c r="AV118" i="23"/>
  <c r="AU118" i="23"/>
  <c r="AT118" i="23"/>
  <c r="AT117" i="23" s="1"/>
  <c r="AR118" i="23"/>
  <c r="AQ118" i="23"/>
  <c r="AP118" i="23"/>
  <c r="AP117" i="23" s="1"/>
  <c r="AN118" i="23"/>
  <c r="AM118" i="23"/>
  <c r="AL118" i="23"/>
  <c r="AL117" i="23" s="1"/>
  <c r="AJ118" i="23"/>
  <c r="AI118" i="23"/>
  <c r="AI117" i="23" s="1"/>
  <c r="AH118" i="23"/>
  <c r="AH117" i="23" s="1"/>
  <c r="AF118" i="23"/>
  <c r="AE118" i="23"/>
  <c r="AE117" i="23" s="1"/>
  <c r="BD117" i="23"/>
  <c r="AZ117" i="23"/>
  <c r="AV117" i="23"/>
  <c r="AR117" i="23"/>
  <c r="AN117" i="23"/>
  <c r="AJ117" i="23"/>
  <c r="AF117" i="23"/>
  <c r="T116" i="23"/>
  <c r="T117" i="23" s="1" a="1"/>
  <c r="T117" i="23" s="1"/>
  <c r="T118" i="23" s="1" a="1"/>
  <c r="T118" i="23" s="1"/>
  <c r="T119" i="23" s="1" a="1"/>
  <c r="T119" i="23" s="1"/>
  <c r="T120" i="23" s="1" a="1"/>
  <c r="T120" i="23" s="1"/>
  <c r="T121" i="23" s="1" a="1"/>
  <c r="T121" i="23" s="1"/>
  <c r="T122" i="23" s="1" a="1"/>
  <c r="T122" i="23" s="1"/>
  <c r="T123" i="23" s="1" a="1"/>
  <c r="T123" i="23" s="1"/>
  <c r="T124" i="23" s="1" a="1"/>
  <c r="T124" i="23" s="1"/>
  <c r="T125" i="23" s="1" a="1"/>
  <c r="T125" i="23" s="1"/>
  <c r="T126" i="23" s="1" a="1"/>
  <c r="T126" i="23" s="1"/>
  <c r="T127" i="23" s="1" a="1"/>
  <c r="T127" i="23" s="1"/>
  <c r="T128" i="23" s="1" a="1"/>
  <c r="T128" i="23" s="1"/>
  <c r="T129" i="23" s="1" a="1"/>
  <c r="T129" i="23" s="1"/>
  <c r="T130" i="23" s="1" a="1"/>
  <c r="T130" i="23" s="1"/>
  <c r="T131" i="23" s="1" a="1"/>
  <c r="T131" i="23" s="1"/>
  <c r="T132" i="23" s="1" a="1"/>
  <c r="T132" i="23" s="1"/>
  <c r="T133" i="23" s="1" a="1"/>
  <c r="T133" i="23" s="1"/>
  <c r="T134" i="23" s="1" a="1"/>
  <c r="T134" i="23" s="1"/>
  <c r="T135" i="23" s="1" a="1"/>
  <c r="T135" i="23" s="1"/>
  <c r="T136" i="23" s="1" a="1"/>
  <c r="T136" i="23" s="1"/>
  <c r="T137" i="23" s="1" a="1"/>
  <c r="T137" i="23" s="1"/>
  <c r="T138" i="23" s="1" a="1"/>
  <c r="T138" i="23" s="1"/>
  <c r="T139" i="23" s="1" a="1"/>
  <c r="T139" i="23" s="1"/>
  <c r="T140" i="23" s="1" a="1"/>
  <c r="T140" i="23" s="1"/>
  <c r="T141" i="23" s="1" a="1"/>
  <c r="T141" i="23" s="1"/>
  <c r="T142" i="23" s="1" a="1"/>
  <c r="T142" i="23" s="1"/>
  <c r="T143" i="23" s="1" a="1"/>
  <c r="T143" i="23" s="1"/>
  <c r="T144" i="23" s="1" a="1"/>
  <c r="T144" i="23" s="1"/>
  <c r="F116" i="23" a="1"/>
  <c r="F116" i="23"/>
  <c r="F117" i="23" s="1" a="1"/>
  <c r="F117" i="23" s="1"/>
  <c r="F118" i="23" s="1" a="1"/>
  <c r="F118" i="23" s="1"/>
  <c r="F119" i="23" s="1" a="1"/>
  <c r="F119" i="23" s="1"/>
  <c r="F120" i="23" s="1" a="1"/>
  <c r="F120" i="23" s="1"/>
  <c r="L114" i="23" a="1"/>
  <c r="L114" i="23"/>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C94" i="23"/>
  <c r="BC89" i="23" s="1"/>
  <c r="BC88" i="23" s="1"/>
  <c r="BB94" i="23"/>
  <c r="BA94" i="23"/>
  <c r="AZ94" i="23"/>
  <c r="AY94" i="23"/>
  <c r="AY89" i="23" s="1"/>
  <c r="AY88" i="23" s="1"/>
  <c r="AX94" i="23"/>
  <c r="AW94" i="23"/>
  <c r="AV94" i="23"/>
  <c r="AU94" i="23"/>
  <c r="AU89" i="23" s="1"/>
  <c r="AU88" i="23" s="1"/>
  <c r="AT94" i="23"/>
  <c r="AS94" i="23"/>
  <c r="AR94" i="23"/>
  <c r="AQ94" i="23"/>
  <c r="AQ89" i="23" s="1"/>
  <c r="AQ88" i="23" s="1"/>
  <c r="AP94" i="23"/>
  <c r="AO94" i="23"/>
  <c r="AN94" i="23"/>
  <c r="AM94" i="23"/>
  <c r="AM89" i="23" s="1"/>
  <c r="AM88" i="23" s="1"/>
  <c r="AL94" i="23"/>
  <c r="AK94" i="23"/>
  <c r="AJ94" i="23"/>
  <c r="AI94" i="23"/>
  <c r="AI89" i="23" s="1"/>
  <c r="AI88" i="23" s="1"/>
  <c r="AH94" i="23"/>
  <c r="AG94" i="23"/>
  <c r="AF94" i="23"/>
  <c r="AE94" i="23"/>
  <c r="AE89" i="23" s="1"/>
  <c r="AE88" i="23" s="1"/>
  <c r="L91" i="23" a="1"/>
  <c r="L91" i="23"/>
  <c r="BD89" i="23"/>
  <c r="BD88" i="23" s="1"/>
  <c r="BB89" i="23"/>
  <c r="BA89" i="23"/>
  <c r="BA88" i="23" s="1"/>
  <c r="AZ89" i="23"/>
  <c r="AZ88" i="23" s="1"/>
  <c r="AX89" i="23"/>
  <c r="AW89" i="23"/>
  <c r="AW88" i="23" s="1"/>
  <c r="AV89" i="23"/>
  <c r="AV88" i="23" s="1"/>
  <c r="AT89" i="23"/>
  <c r="AS89" i="23"/>
  <c r="AS88" i="23" s="1"/>
  <c r="AR89" i="23"/>
  <c r="AR88" i="23" s="1"/>
  <c r="AP89" i="23"/>
  <c r="AO89" i="23"/>
  <c r="AO88" i="23" s="1"/>
  <c r="AN89" i="23"/>
  <c r="AN88" i="23" s="1"/>
  <c r="AL89" i="23"/>
  <c r="AK89" i="23"/>
  <c r="AK88" i="23" s="1"/>
  <c r="AJ89" i="23"/>
  <c r="AJ88" i="23" s="1"/>
  <c r="AH89" i="23"/>
  <c r="AG89" i="23"/>
  <c r="AG88" i="23" s="1"/>
  <c r="AF89" i="23"/>
  <c r="AF88" i="23" s="1"/>
  <c r="BB88" i="23"/>
  <c r="AX88" i="23"/>
  <c r="AT88" i="23"/>
  <c r="AP88" i="23"/>
  <c r="AL88" i="23"/>
  <c r="AH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D59" i="23" s="1"/>
  <c r="BC65" i="23"/>
  <c r="BB65" i="23"/>
  <c r="BA65" i="23"/>
  <c r="BA60" i="23" s="1"/>
  <c r="BA59" i="23" s="1"/>
  <c r="AZ65" i="23"/>
  <c r="AZ60" i="23" s="1"/>
  <c r="AZ59" i="23" s="1"/>
  <c r="AY65" i="23"/>
  <c r="AX65" i="23"/>
  <c r="AW65" i="23"/>
  <c r="AW60" i="23" s="1"/>
  <c r="AW59" i="23" s="1"/>
  <c r="AV65" i="23"/>
  <c r="AV60" i="23" s="1"/>
  <c r="AV59" i="23" s="1"/>
  <c r="AU65" i="23"/>
  <c r="AT65" i="23"/>
  <c r="AS65" i="23"/>
  <c r="AS60" i="23" s="1"/>
  <c r="AS59" i="23" s="1"/>
  <c r="AR65" i="23"/>
  <c r="AQ65" i="23"/>
  <c r="AP65" i="23"/>
  <c r="AO65" i="23"/>
  <c r="AO60" i="23" s="1"/>
  <c r="AO59" i="23" s="1"/>
  <c r="AN65" i="23"/>
  <c r="AM65" i="23"/>
  <c r="AL65" i="23"/>
  <c r="AK65" i="23"/>
  <c r="AK60" i="23" s="1"/>
  <c r="AK59" i="23" s="1"/>
  <c r="AJ65" i="23"/>
  <c r="AI65" i="23"/>
  <c r="AH65" i="23"/>
  <c r="AG65" i="23"/>
  <c r="AG60" i="23" s="1"/>
  <c r="AG59" i="23" s="1"/>
  <c r="AF65" i="23"/>
  <c r="AE65" i="23"/>
  <c r="L62" i="23" a="1"/>
  <c r="L62" i="23" s="1"/>
  <c r="BC60" i="23"/>
  <c r="BC59" i="23" s="1"/>
  <c r="BB60" i="23"/>
  <c r="BB59" i="23" s="1"/>
  <c r="AY60" i="23"/>
  <c r="AY59" i="23" s="1"/>
  <c r="AX60" i="23"/>
  <c r="AX59" i="23" s="1"/>
  <c r="AU60" i="23"/>
  <c r="AU59" i="23" s="1"/>
  <c r="AT60" i="23"/>
  <c r="AT59" i="23" s="1"/>
  <c r="AR60" i="23"/>
  <c r="AQ60" i="23"/>
  <c r="AQ59" i="23" s="1"/>
  <c r="AP60" i="23"/>
  <c r="AP59" i="23" s="1"/>
  <c r="AN60" i="23"/>
  <c r="AM60" i="23"/>
  <c r="AM59" i="23" s="1"/>
  <c r="AL60" i="23"/>
  <c r="AL59" i="23" s="1"/>
  <c r="AJ60" i="23"/>
  <c r="AI60" i="23"/>
  <c r="AI59" i="23" s="1"/>
  <c r="AH60" i="23"/>
  <c r="AH59" i="23" s="1"/>
  <c r="AF60" i="23"/>
  <c r="AE60" i="23"/>
  <c r="AE59" i="23" s="1"/>
  <c r="AR59" i="23"/>
  <c r="AN59" i="23"/>
  <c r="AJ59" i="23"/>
  <c r="AF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AZ36" i="23"/>
  <c r="AY36" i="23"/>
  <c r="AY31" i="23" s="1"/>
  <c r="AY30" i="23" s="1"/>
  <c r="AX36" i="23"/>
  <c r="AW36" i="23"/>
  <c r="AV36" i="23"/>
  <c r="AU36" i="23"/>
  <c r="AU31" i="23" s="1"/>
  <c r="AU30" i="23" s="1"/>
  <c r="AT36" i="23"/>
  <c r="AS36" i="23"/>
  <c r="AR36" i="23"/>
  <c r="AQ36" i="23"/>
  <c r="AQ31" i="23" s="1"/>
  <c r="AQ30" i="23" s="1"/>
  <c r="AP36" i="23"/>
  <c r="AO36" i="23"/>
  <c r="AN36" i="23"/>
  <c r="AM36" i="23"/>
  <c r="AM31" i="23" s="1"/>
  <c r="AM30" i="23" s="1"/>
  <c r="AL36" i="23"/>
  <c r="AK36" i="23"/>
  <c r="AJ36" i="23"/>
  <c r="AI36" i="23"/>
  <c r="AI31" i="23" s="1"/>
  <c r="AI30" i="23" s="1"/>
  <c r="AH36" i="23"/>
  <c r="AG36" i="23"/>
  <c r="AF36" i="23"/>
  <c r="AE36" i="23"/>
  <c r="AE31" i="23" s="1"/>
  <c r="AE30" i="23" s="1"/>
  <c r="L33" i="23" a="1"/>
  <c r="L33" i="23"/>
  <c r="BD31" i="23"/>
  <c r="BD30" i="23" s="1"/>
  <c r="BB31" i="23"/>
  <c r="BA31" i="23"/>
  <c r="BA30" i="23" s="1"/>
  <c r="AZ31" i="23"/>
  <c r="AZ30" i="23" s="1"/>
  <c r="AX31" i="23"/>
  <c r="AW31" i="23"/>
  <c r="AW30" i="23" s="1"/>
  <c r="AV31" i="23"/>
  <c r="AV30" i="23" s="1"/>
  <c r="AT31" i="23"/>
  <c r="AS31" i="23"/>
  <c r="AS30" i="23" s="1"/>
  <c r="AR31" i="23"/>
  <c r="AR30" i="23" s="1"/>
  <c r="AP31" i="23"/>
  <c r="AO31" i="23"/>
  <c r="AO30" i="23" s="1"/>
  <c r="AN31" i="23"/>
  <c r="AN30" i="23" s="1"/>
  <c r="AL31" i="23"/>
  <c r="AK31" i="23"/>
  <c r="AK30" i="23" s="1"/>
  <c r="AJ31" i="23"/>
  <c r="AJ30" i="23" s="1"/>
  <c r="AH31" i="23"/>
  <c r="AG31" i="23"/>
  <c r="AG30" i="23" s="1"/>
  <c r="AF31" i="23"/>
  <c r="AF30" i="23" s="1"/>
  <c r="BB30" i="23"/>
  <c r="AX30" i="23"/>
  <c r="AT30" i="23"/>
  <c r="AP30" i="23"/>
  <c r="AL30" i="23"/>
  <c r="AH30" i="23"/>
  <c r="T30" i="23"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C9" i="23" a="1"/>
  <c r="BC9" i="23"/>
  <c r="BB9" i="23" a="1"/>
  <c r="BB9" i="23" s="1"/>
  <c r="AY9" i="23" a="1"/>
  <c r="AY9" i="23"/>
  <c r="AX9" i="23" a="1"/>
  <c r="AX9" i="23" s="1"/>
  <c r="AT9" i="23" a="1"/>
  <c r="AT9" i="23" s="1"/>
  <c r="AR9" i="23" a="1"/>
  <c r="AR9" i="23" s="1"/>
  <c r="AP9" i="23" a="1"/>
  <c r="AP9" i="23" s="1"/>
  <c r="AN9" i="23" a="1"/>
  <c r="AN9" i="23" s="1"/>
  <c r="AL9" i="23" a="1"/>
  <c r="AL9" i="23" s="1"/>
  <c r="AJ9" i="23" a="1"/>
  <c r="AJ9" i="23" s="1"/>
  <c r="AG9" i="23" a="1"/>
  <c r="AG9" i="23"/>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D9" i="23" s="1" a="1"/>
  <c r="BD9" i="23" s="1"/>
  <c r="BC6" i="23"/>
  <c r="BB6" i="23"/>
  <c r="BA6" i="23"/>
  <c r="BA9" i="23" s="1" a="1"/>
  <c r="BA9" i="23" s="1"/>
  <c r="AZ6" i="23"/>
  <c r="AZ9" i="23" s="1" a="1"/>
  <c r="AZ9" i="23" s="1"/>
  <c r="AY6" i="23"/>
  <c r="AX6" i="23"/>
  <c r="AW6" i="23"/>
  <c r="AW9" i="23" s="1" a="1"/>
  <c r="AW9" i="23" s="1"/>
  <c r="AV6" i="23"/>
  <c r="AV9" i="23" s="1" a="1"/>
  <c r="AV9" i="23" s="1"/>
  <c r="AU6" i="23" a="1"/>
  <c r="AU6" i="23"/>
  <c r="AT6" i="23"/>
  <c r="AS6" i="23"/>
  <c r="AS9" i="23" s="1" a="1"/>
  <c r="AS9" i="23" s="1"/>
  <c r="AR6" i="23"/>
  <c r="AQ6" i="23"/>
  <c r="AP6" i="23"/>
  <c r="AO6" i="23"/>
  <c r="AO9" i="23" s="1" a="1"/>
  <c r="AO9" i="23" s="1"/>
  <c r="AN6" i="23"/>
  <c r="AM6" i="23"/>
  <c r="AL6" i="23"/>
  <c r="AK6" i="23" a="1"/>
  <c r="AK6" i="23" s="1"/>
  <c r="AJ6" i="23"/>
  <c r="AI6" i="23"/>
  <c r="AI9" i="23" s="1" a="1"/>
  <c r="AI9" i="23" s="1"/>
  <c r="AH6" i="23"/>
  <c r="AH9" i="23" s="1" a="1"/>
  <c r="AH9" i="23" s="1"/>
  <c r="AG6" i="23"/>
  <c r="AF6" i="23"/>
  <c r="AE6" i="23"/>
  <c r="AE9" i="23" s="1" a="1"/>
  <c r="AE9" i="23" s="1"/>
  <c r="T88" i="22"/>
  <c r="T87" i="22"/>
  <c r="T86" i="22"/>
  <c r="I82" i="22"/>
  <c r="BH81" i="22" a="1"/>
  <c r="BH81" i="22"/>
  <c r="AB81" i="22"/>
  <c r="I81" i="22" a="1"/>
  <c r="I81" i="22"/>
  <c r="BB80" i="22"/>
  <c r="BB70" i="22" s="1"/>
  <c r="BA80" i="22"/>
  <c r="BA70" i="22" s="1"/>
  <c r="AZ80" i="22"/>
  <c r="AY80" i="22"/>
  <c r="AX80" i="22"/>
  <c r="AX70" i="22" s="1"/>
  <c r="AW80" i="22"/>
  <c r="AW70" i="22" s="1"/>
  <c r="AV80" i="22"/>
  <c r="AU80" i="22"/>
  <c r="AT80" i="22"/>
  <c r="AT70" i="22" s="1"/>
  <c r="AS80" i="22"/>
  <c r="AS70" i="22" s="1"/>
  <c r="AR80" i="22"/>
  <c r="AQ80" i="22"/>
  <c r="AP80" i="22"/>
  <c r="AP70" i="22" s="1"/>
  <c r="AO80" i="22"/>
  <c r="AO70" i="22" s="1"/>
  <c r="AN80" i="22"/>
  <c r="AM80" i="22"/>
  <c r="AL80" i="22"/>
  <c r="AL70" i="22" s="1"/>
  <c r="AK80" i="22"/>
  <c r="AK70" i="22" s="1"/>
  <c r="AJ80" i="22"/>
  <c r="AI80" i="22"/>
  <c r="AH80" i="22"/>
  <c r="AH70" i="22" s="1"/>
  <c r="AG80" i="22"/>
  <c r="AG70" i="22" s="1"/>
  <c r="AF80" i="22"/>
  <c r="AE80" i="22"/>
  <c r="L80" i="22" a="1"/>
  <c r="L80" i="22"/>
  <c r="L79" i="22" a="1"/>
  <c r="L79" i="22" s="1"/>
  <c r="L78" i="22" a="1"/>
  <c r="L78" i="22"/>
  <c r="L77" i="22" a="1"/>
  <c r="L77" i="22"/>
  <c r="L76" i="22" a="1"/>
  <c r="L76" i="22"/>
  <c r="L75" i="22" a="1"/>
  <c r="L75" i="22" s="1"/>
  <c r="L74" i="22" a="1"/>
  <c r="L74" i="22"/>
  <c r="L73" i="22" a="1"/>
  <c r="L73" i="22"/>
  <c r="L72" i="22" a="1"/>
  <c r="L72" i="22"/>
  <c r="L71" i="22" a="1"/>
  <c r="L71" i="22" s="1"/>
  <c r="AZ70" i="22"/>
  <c r="AY70" i="22"/>
  <c r="AV70" i="22"/>
  <c r="AU70" i="22"/>
  <c r="AR70" i="22"/>
  <c r="AQ70" i="22"/>
  <c r="AN70" i="22"/>
  <c r="AM70" i="22"/>
  <c r="AJ70" i="22"/>
  <c r="AI70" i="22"/>
  <c r="AF70" i="22"/>
  <c r="AE70" i="22"/>
  <c r="L70" i="22" a="1"/>
  <c r="L70" i="22"/>
  <c r="T69" i="22"/>
  <c r="T70" i="22" s="1" a="1"/>
  <c r="T70" i="22" s="1"/>
  <c r="T71" i="22" s="1" a="1"/>
  <c r="T71" i="22" s="1"/>
  <c r="T72" i="22" s="1" a="1"/>
  <c r="T72" i="22" s="1"/>
  <c r="T73" i="22" s="1" a="1"/>
  <c r="T73" i="22" s="1"/>
  <c r="T74" i="22" s="1" a="1"/>
  <c r="T74" i="22" s="1"/>
  <c r="T75" i="22" s="1" a="1"/>
  <c r="T75" i="22" s="1"/>
  <c r="T76" i="22" s="1" a="1"/>
  <c r="T76" i="22" s="1"/>
  <c r="T77" i="22" s="1" a="1"/>
  <c r="T77" i="22" s="1"/>
  <c r="T78" i="22" s="1" a="1"/>
  <c r="T78" i="22" s="1"/>
  <c r="T79" i="22" s="1" a="1"/>
  <c r="T79" i="22" s="1"/>
  <c r="T80" i="22" s="1" a="1"/>
  <c r="T80" i="22" s="1"/>
  <c r="F69" i="22" a="1"/>
  <c r="F69" i="22"/>
  <c r="F70" i="22" s="1" a="1"/>
  <c r="F70" i="22" s="1"/>
  <c r="I68" i="22"/>
  <c r="BH67" i="22" a="1"/>
  <c r="BH67" i="22"/>
  <c r="AB67" i="22"/>
  <c r="I67" i="22" a="1"/>
  <c r="I67" i="22"/>
  <c r="BB66" i="22"/>
  <c r="BB56" i="22" s="1"/>
  <c r="BA66" i="22"/>
  <c r="BA56" i="22" s="1"/>
  <c r="AZ66" i="22"/>
  <c r="AY66" i="22"/>
  <c r="AX66" i="22"/>
  <c r="AX56" i="22" s="1"/>
  <c r="AW66" i="22"/>
  <c r="AW56" i="22" s="1"/>
  <c r="AV66" i="22"/>
  <c r="AU66" i="22"/>
  <c r="AT66" i="22"/>
  <c r="AT56" i="22" s="1"/>
  <c r="AS66" i="22"/>
  <c r="AS56" i="22" s="1"/>
  <c r="AR66" i="22"/>
  <c r="AQ66" i="22"/>
  <c r="AP66" i="22"/>
  <c r="AP56" i="22" s="1"/>
  <c r="AO66" i="22"/>
  <c r="AO56" i="22" s="1"/>
  <c r="AN66" i="22"/>
  <c r="AM66" i="22"/>
  <c r="AL66" i="22"/>
  <c r="AL56" i="22" s="1"/>
  <c r="AK66" i="22"/>
  <c r="AK56" i="22" s="1"/>
  <c r="AJ66" i="22"/>
  <c r="AI66" i="22"/>
  <c r="AH66" i="22"/>
  <c r="AH56" i="22" s="1"/>
  <c r="AG66" i="22"/>
  <c r="AG56" i="22" s="1"/>
  <c r="AF66" i="22"/>
  <c r="AE66" i="22"/>
  <c r="L66" i="22" a="1"/>
  <c r="L66" i="22"/>
  <c r="L65" i="22" a="1"/>
  <c r="L65" i="22" s="1"/>
  <c r="L64" i="22" a="1"/>
  <c r="L64" i="22"/>
  <c r="L63" i="22" a="1"/>
  <c r="L63" i="22"/>
  <c r="L62" i="22" a="1"/>
  <c r="L62" i="22"/>
  <c r="L61" i="22" a="1"/>
  <c r="L61" i="22" s="1"/>
  <c r="L60" i="22" a="1"/>
  <c r="L60" i="22"/>
  <c r="L59" i="22" a="1"/>
  <c r="L59" i="22"/>
  <c r="L58" i="22" a="1"/>
  <c r="L58" i="22" s="1"/>
  <c r="L57" i="22" a="1"/>
  <c r="L57" i="22" s="1"/>
  <c r="AZ56" i="22"/>
  <c r="AY56" i="22"/>
  <c r="AV56" i="22"/>
  <c r="AU56" i="22"/>
  <c r="AR56" i="22"/>
  <c r="AQ56" i="22"/>
  <c r="AN56" i="22"/>
  <c r="AM56" i="22"/>
  <c r="AJ56" i="22"/>
  <c r="AI56" i="22"/>
  <c r="AF56" i="22"/>
  <c r="AE56" i="22"/>
  <c r="L56" i="22" a="1"/>
  <c r="L56" i="22"/>
  <c r="T55" i="22"/>
  <c r="T56" i="22" s="1" a="1"/>
  <c r="T56" i="22" s="1"/>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F55" i="22" a="1"/>
  <c r="F55" i="22" s="1"/>
  <c r="F56" i="22" s="1" a="1"/>
  <c r="F56" i="22" s="1"/>
  <c r="I54" i="22"/>
  <c r="BH53" i="22" a="1"/>
  <c r="BH53" i="22"/>
  <c r="AB53" i="22"/>
  <c r="I53" i="22" a="1"/>
  <c r="I53" i="22"/>
  <c r="BB52" i="22"/>
  <c r="BB42" i="22" s="1"/>
  <c r="BA52" i="22"/>
  <c r="BA42" i="22" s="1"/>
  <c r="AZ52" i="22"/>
  <c r="AY52" i="22"/>
  <c r="AX52" i="22"/>
  <c r="AX42" i="22" s="1"/>
  <c r="AW52" i="22"/>
  <c r="AW42" i="22" s="1"/>
  <c r="AV52" i="22"/>
  <c r="AU52" i="22"/>
  <c r="AT52" i="22"/>
  <c r="AT42" i="22" s="1"/>
  <c r="AS52" i="22"/>
  <c r="AS42" i="22" s="1"/>
  <c r="AR52" i="22"/>
  <c r="AQ52" i="22"/>
  <c r="AP52" i="22"/>
  <c r="AP42" i="22" s="1"/>
  <c r="AO52" i="22"/>
  <c r="AO42" i="22" s="1"/>
  <c r="AN52" i="22"/>
  <c r="AM52" i="22"/>
  <c r="AL52" i="22"/>
  <c r="AL42" i="22" s="1"/>
  <c r="AK52" i="22"/>
  <c r="AK42" i="22" s="1"/>
  <c r="AJ52" i="22"/>
  <c r="AI52" i="22"/>
  <c r="AH52" i="22"/>
  <c r="AH42" i="22" s="1"/>
  <c r="AG52" i="22"/>
  <c r="AG42" i="22" s="1"/>
  <c r="AF52" i="22"/>
  <c r="AE52" i="22"/>
  <c r="L52" i="22" a="1"/>
  <c r="L52" i="22" s="1"/>
  <c r="L51" i="22" a="1"/>
  <c r="L51" i="22" s="1"/>
  <c r="L50" i="22" a="1"/>
  <c r="L50" i="22"/>
  <c r="L49" i="22" a="1"/>
  <c r="L49" i="22"/>
  <c r="L48" i="22" a="1"/>
  <c r="L48" i="22" s="1"/>
  <c r="L47" i="22" a="1"/>
  <c r="L47" i="22" s="1"/>
  <c r="L46" i="22" a="1"/>
  <c r="L46" i="22"/>
  <c r="L45" i="22" a="1"/>
  <c r="L45" i="22"/>
  <c r="L44" i="22" a="1"/>
  <c r="L44" i="22" s="1"/>
  <c r="L43" i="22" a="1"/>
  <c r="L43" i="22" s="1"/>
  <c r="AZ42" i="22"/>
  <c r="AY42" i="22"/>
  <c r="AV42" i="22"/>
  <c r="AU42" i="22"/>
  <c r="AR42" i="22"/>
  <c r="AQ42" i="22"/>
  <c r="AN42" i="22"/>
  <c r="AM42" i="22"/>
  <c r="AJ42" i="22"/>
  <c r="AI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s="1"/>
  <c r="L37" i="22" a="1"/>
  <c r="L37" i="22" s="1"/>
  <c r="L36" i="22" a="1"/>
  <c r="L36" i="22"/>
  <c r="L35" i="22" a="1"/>
  <c r="L35" i="22"/>
  <c r="L34" i="22" a="1"/>
  <c r="L34" i="22" s="1"/>
  <c r="L33" i="22" a="1"/>
  <c r="L33" i="22" s="1"/>
  <c r="L32" i="22" a="1"/>
  <c r="L32" i="22"/>
  <c r="L31" i="22" a="1"/>
  <c r="L31" i="22"/>
  <c r="L30" i="22" a="1"/>
  <c r="L30" i="22" s="1"/>
  <c r="L29" i="22" a="1"/>
  <c r="L29" i="22" s="1"/>
  <c r="AZ28" i="22"/>
  <c r="AY28" i="22"/>
  <c r="AV28" i="22"/>
  <c r="AU28" i="22"/>
  <c r="AR28" i="22"/>
  <c r="AQ28" i="22"/>
  <c r="AN28" i="22"/>
  <c r="AM28" i="22"/>
  <c r="AJ28" i="22"/>
  <c r="AI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A9" i="22" a="1"/>
  <c r="BA9" i="22"/>
  <c r="AW9" i="22" a="1"/>
  <c r="AW9" i="22"/>
  <c r="AQ9" i="22" a="1"/>
  <c r="AQ9" i="22"/>
  <c r="AP9" i="22" a="1"/>
  <c r="AP9" i="22" s="1"/>
  <c r="AM9" i="22" a="1"/>
  <c r="AM9" i="22"/>
  <c r="AL9" i="22" a="1"/>
  <c r="AL9" i="22" s="1"/>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S9" i="22" s="1"/>
  <c r="AR6" i="22"/>
  <c r="AR9" i="22" s="1" a="1"/>
  <c r="AR9" i="22" s="1"/>
  <c r="AQ6" i="22"/>
  <c r="AP6" i="22"/>
  <c r="AO6" i="22"/>
  <c r="AO9" i="22" s="1" a="1"/>
  <c r="AO9" i="22" s="1"/>
  <c r="AN6" i="22"/>
  <c r="AN9" i="22" s="1" a="1"/>
  <c r="AN9" i="22" s="1"/>
  <c r="AM6" i="22"/>
  <c r="AL6" i="22"/>
  <c r="AK6" i="22"/>
  <c r="AK9" i="22" s="1" a="1"/>
  <c r="AK9" i="22" s="1"/>
  <c r="AJ6" i="22"/>
  <c r="AJ9" i="22" s="1" a="1"/>
  <c r="AJ9" i="22" s="1"/>
  <c r="AI6" i="22" a="1"/>
  <c r="AI6" i="22" s="1"/>
  <c r="AH6" i="22"/>
  <c r="AH9" i="22" s="1" a="1"/>
  <c r="AH9" i="22" s="1"/>
  <c r="AG6" i="22"/>
  <c r="AG9" i="22" s="1" a="1"/>
  <c r="AG9" i="22" s="1"/>
  <c r="AF6" i="22"/>
  <c r="AF9" i="22" s="1" a="1"/>
  <c r="AF9" i="22" s="1"/>
  <c r="AE6" i="22"/>
  <c r="T78" i="21"/>
  <c r="H74" i="21"/>
  <c r="AP73" i="21" a="1"/>
  <c r="AP73" i="21" s="1"/>
  <c r="AB73" i="21"/>
  <c r="H73" i="21" a="1"/>
  <c r="H73" i="21" s="1"/>
  <c r="AJ72" i="21"/>
  <c r="AI72" i="21"/>
  <c r="AH72" i="21"/>
  <c r="AG72" i="21"/>
  <c r="AF72" i="21"/>
  <c r="AE72" i="21"/>
  <c r="T64" i="21" a="1"/>
  <c r="T64" i="21" s="1"/>
  <c r="T65" i="21" s="1" a="1"/>
  <c r="T65" i="21" s="1"/>
  <c r="T66" i="21" s="1" a="1"/>
  <c r="T66" i="21" s="1"/>
  <c r="T67" i="21" s="1" a="1"/>
  <c r="T67" i="21" s="1"/>
  <c r="T68" i="21" s="1" a="1"/>
  <c r="T68" i="21" s="1"/>
  <c r="T69" i="21" s="1" a="1"/>
  <c r="T69" i="21" s="1"/>
  <c r="T70" i="21" s="1" a="1"/>
  <c r="T70" i="21" s="1"/>
  <c r="T71" i="21" s="1" a="1"/>
  <c r="T71" i="21" s="1"/>
  <c r="T72" i="21" s="1" a="1"/>
  <c r="T72" i="21" s="1"/>
  <c r="L64" i="21" a="1"/>
  <c r="L64" i="21"/>
  <c r="T63" i="21"/>
  <c r="F63" i="21" a="1"/>
  <c r="F63" i="21"/>
  <c r="F64" i="21" s="1" a="1"/>
  <c r="F64" i="21" s="1"/>
  <c r="H62" i="21"/>
  <c r="AP61" i="21" a="1"/>
  <c r="AP61" i="21" s="1"/>
  <c r="AB61" i="21"/>
  <c r="H61" i="21" a="1"/>
  <c r="H61" i="21" s="1"/>
  <c r="AJ60" i="21"/>
  <c r="AI60" i="21"/>
  <c r="AH60" i="21"/>
  <c r="AG60" i="21"/>
  <c r="AF60" i="21"/>
  <c r="AE60"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L52" i="21" a="1"/>
  <c r="L52" i="21"/>
  <c r="T51" i="21"/>
  <c r="F51" i="21" a="1"/>
  <c r="F51" i="21"/>
  <c r="F52" i="21" s="1" a="1"/>
  <c r="F52" i="21" s="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c r="T27" i="21"/>
  <c r="F27" i="21" a="1"/>
  <c r="F27" i="21" s="1"/>
  <c r="F28" i="21" s="1" a="1"/>
  <c r="F28"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G9" i="21" a="1"/>
  <c r="AG9"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F6" i="21"/>
  <c r="AE6" i="21"/>
  <c r="AE9" i="21" s="1" a="1"/>
  <c r="AE9" i="21" s="1"/>
  <c r="T106" i="20"/>
  <c r="L102" i="20" a="1"/>
  <c r="L102" i="20"/>
  <c r="L101" i="20" a="1"/>
  <c r="L101" i="20" s="1"/>
  <c r="L100" i="20" a="1"/>
  <c r="L100" i="20"/>
  <c r="AJ99" i="20"/>
  <c r="AI99" i="20"/>
  <c r="AH99" i="20"/>
  <c r="AG99" i="20"/>
  <c r="AF99" i="20"/>
  <c r="AE99" i="20"/>
  <c r="L99" i="20" a="1"/>
  <c r="L99" i="20" s="1"/>
  <c r="L98" i="20" a="1"/>
  <c r="L98" i="20"/>
  <c r="L97" i="20" a="1"/>
  <c r="L97" i="20"/>
  <c r="L96" i="20" a="1"/>
  <c r="L96" i="20"/>
  <c r="L95" i="20" a="1"/>
  <c r="L95" i="20" s="1"/>
  <c r="L94" i="20" a="1"/>
  <c r="L94" i="20"/>
  <c r="L93" i="20" a="1"/>
  <c r="L93" i="20"/>
  <c r="L92" i="20" a="1"/>
  <c r="L92" i="20"/>
  <c r="L91" i="20" a="1"/>
  <c r="L91" i="20" s="1"/>
  <c r="L90" i="20" a="1"/>
  <c r="L90" i="20"/>
  <c r="L89" i="20" a="1"/>
  <c r="L89" i="20"/>
  <c r="L88" i="20" a="1"/>
  <c r="L88" i="20"/>
  <c r="AJ87" i="20"/>
  <c r="AI87" i="20"/>
  <c r="AH87" i="20"/>
  <c r="AG87" i="20"/>
  <c r="AF87" i="20"/>
  <c r="AE87" i="20"/>
  <c r="L87" i="20" a="1"/>
  <c r="L87" i="20"/>
  <c r="T85" i="20" a="1"/>
  <c r="T85" i="20"/>
  <c r="T86" i="20" s="1" a="1"/>
  <c r="T86" i="20" s="1"/>
  <c r="T87" i="20" s="1" a="1"/>
  <c r="T87" i="20" s="1"/>
  <c r="T88" i="20" s="1" a="1"/>
  <c r="T88" i="20" s="1"/>
  <c r="T89" i="20" s="1" a="1"/>
  <c r="T89" i="20" s="1"/>
  <c r="T90" i="20" s="1" a="1"/>
  <c r="T90" i="20" s="1"/>
  <c r="T91" i="20" s="1" a="1"/>
  <c r="T91" i="20" s="1"/>
  <c r="T92" i="20" s="1" a="1"/>
  <c r="T92" i="20" s="1"/>
  <c r="T93" i="20" s="1" a="1"/>
  <c r="T93" i="20" s="1"/>
  <c r="T94" i="20" s="1" a="1"/>
  <c r="T94" i="20" s="1"/>
  <c r="T95" i="20" s="1" a="1"/>
  <c r="T95" i="20" s="1"/>
  <c r="T96" i="20" s="1" a="1"/>
  <c r="T96" i="20" s="1"/>
  <c r="T97" i="20" s="1" a="1"/>
  <c r="T97" i="20" s="1"/>
  <c r="T98" i="20" s="1" a="1"/>
  <c r="T98" i="20" s="1"/>
  <c r="T99" i="20" s="1" a="1"/>
  <c r="T99" i="20" s="1"/>
  <c r="T100" i="20" s="1" a="1"/>
  <c r="T100" i="20" s="1"/>
  <c r="T101" i="20" s="1" a="1"/>
  <c r="T101" i="20" s="1"/>
  <c r="T102" i="20" s="1" a="1"/>
  <c r="T102" i="20" s="1"/>
  <c r="T84" i="20"/>
  <c r="F84" i="20" a="1"/>
  <c r="F84" i="20"/>
  <c r="F85" i="20" s="1" a="1"/>
  <c r="F85" i="20" s="1"/>
  <c r="L83" i="20" a="1"/>
  <c r="L83" i="20"/>
  <c r="L82" i="20" a="1"/>
  <c r="L82" i="20" s="1"/>
  <c r="L81" i="20" a="1"/>
  <c r="L81" i="20" s="1"/>
  <c r="AJ80" i="20"/>
  <c r="AI80" i="20"/>
  <c r="AH80" i="20"/>
  <c r="AG80" i="20"/>
  <c r="AF80" i="20"/>
  <c r="AE80" i="20"/>
  <c r="L80" i="20" a="1"/>
  <c r="L80" i="20" s="1"/>
  <c r="L79" i="20" a="1"/>
  <c r="L79" i="20" s="1"/>
  <c r="L78" i="20" a="1"/>
  <c r="L78" i="20"/>
  <c r="L77" i="20" a="1"/>
  <c r="L77" i="20"/>
  <c r="L76" i="20" a="1"/>
  <c r="L76" i="20" s="1"/>
  <c r="L75" i="20" a="1"/>
  <c r="L75" i="20" s="1"/>
  <c r="L74" i="20" a="1"/>
  <c r="L74" i="20"/>
  <c r="L73" i="20" a="1"/>
  <c r="L73" i="20"/>
  <c r="L72" i="20" a="1"/>
  <c r="L72" i="20" s="1"/>
  <c r="L71" i="20" a="1"/>
  <c r="L71" i="20" s="1"/>
  <c r="L70" i="20" a="1"/>
  <c r="L70" i="20"/>
  <c r="L69" i="20" a="1"/>
  <c r="L69" i="20"/>
  <c r="AJ68" i="20"/>
  <c r="AI68" i="20"/>
  <c r="AH68" i="20"/>
  <c r="AG68" i="20"/>
  <c r="AF68" i="20"/>
  <c r="AE68" i="20"/>
  <c r="L68" i="20" a="1"/>
  <c r="L68" i="20"/>
  <c r="T66" i="20"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c r="F66" i="20" s="1" a="1"/>
  <c r="F66" i="20" s="1"/>
  <c r="L64" i="20" a="1"/>
  <c r="L64" i="20"/>
  <c r="L63" i="20" a="1"/>
  <c r="L63" i="20"/>
  <c r="L62" i="20" a="1"/>
  <c r="L62" i="20"/>
  <c r="AJ61" i="20"/>
  <c r="AI61" i="20"/>
  <c r="AH61" i="20"/>
  <c r="AG61" i="20"/>
  <c r="AF61" i="20"/>
  <c r="AE61" i="20"/>
  <c r="L61" i="20" a="1"/>
  <c r="L61" i="20"/>
  <c r="L60" i="20" a="1"/>
  <c r="L60" i="20" s="1"/>
  <c r="L59" i="20" a="1"/>
  <c r="L59" i="20" s="1"/>
  <c r="L58" i="20" a="1"/>
  <c r="L58" i="20"/>
  <c r="L57" i="20" a="1"/>
  <c r="L57" i="20"/>
  <c r="L56" i="20" a="1"/>
  <c r="L56" i="20" s="1"/>
  <c r="L55" i="20" a="1"/>
  <c r="L55" i="20" s="1"/>
  <c r="L54" i="20" a="1"/>
  <c r="L54" i="20"/>
  <c r="L53" i="20" a="1"/>
  <c r="L53" i="20"/>
  <c r="L52" i="20" a="1"/>
  <c r="L52" i="20" s="1"/>
  <c r="L51" i="20" a="1"/>
  <c r="L51" i="20" s="1"/>
  <c r="L50" i="20" a="1"/>
  <c r="L50" i="20"/>
  <c r="AJ49" i="20"/>
  <c r="AI49" i="20"/>
  <c r="AH49" i="20"/>
  <c r="AG49" i="20"/>
  <c r="AF49" i="20"/>
  <c r="AE49" i="20"/>
  <c r="L49" i="20" a="1"/>
  <c r="L49"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s="1"/>
  <c r="F47" i="20" s="1" a="1"/>
  <c r="F47" i="20" s="1"/>
  <c r="L45" i="20" a="1"/>
  <c r="L45" i="20" s="1"/>
  <c r="L44" i="20" a="1"/>
  <c r="L44" i="20"/>
  <c r="L43" i="20" a="1"/>
  <c r="L43" i="20"/>
  <c r="AJ42" i="20"/>
  <c r="AI42" i="20"/>
  <c r="AH42" i="20"/>
  <c r="AG42" i="20"/>
  <c r="AF42" i="20"/>
  <c r="AE42" i="20"/>
  <c r="L42" i="20" a="1"/>
  <c r="L42" i="20"/>
  <c r="L41" i="20" a="1"/>
  <c r="L41" i="20"/>
  <c r="L40" i="20" a="1"/>
  <c r="L40" i="20" s="1"/>
  <c r="L39" i="20" a="1"/>
  <c r="L39" i="20" s="1"/>
  <c r="L38" i="20" a="1"/>
  <c r="L38" i="20"/>
  <c r="L37" i="20" a="1"/>
  <c r="L37" i="20"/>
  <c r="L36" i="20" a="1"/>
  <c r="L36" i="20" s="1"/>
  <c r="L35" i="20" a="1"/>
  <c r="L35" i="20" s="1"/>
  <c r="L34" i="20" a="1"/>
  <c r="L34" i="20"/>
  <c r="L33" i="20" a="1"/>
  <c r="L33" i="20"/>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F9" i="20" a="1"/>
  <c r="AF9" i="20"/>
  <c r="AE9" i="20" a="1"/>
  <c r="AE9" i="20" s="1"/>
  <c r="AJ7" i="20" a="1"/>
  <c r="AJ7" i="20"/>
  <c r="AI7" i="20" a="1"/>
  <c r="AI7" i="20" s="1"/>
  <c r="AH7" i="20" a="1"/>
  <c r="AH7" i="20"/>
  <c r="AG7" i="20" a="1"/>
  <c r="AG7" i="20" s="1"/>
  <c r="AF7" i="20" a="1"/>
  <c r="AF7" i="20"/>
  <c r="AE7" i="20" a="1"/>
  <c r="AE7" i="20" s="1"/>
  <c r="AJ6" i="20" a="1"/>
  <c r="AJ6" i="20"/>
  <c r="AJ9" i="20" s="1" a="1"/>
  <c r="AJ9" i="20" s="1"/>
  <c r="AI6" i="20" a="1"/>
  <c r="AI6" i="20" s="1"/>
  <c r="AH6" i="20"/>
  <c r="AH9" i="20" s="1" a="1"/>
  <c r="AH9" i="20" s="1"/>
  <c r="AG6" i="20"/>
  <c r="AG9" i="20" s="1" a="1"/>
  <c r="AG9" i="20" s="1"/>
  <c r="AF6" i="20"/>
  <c r="AE6" i="20"/>
  <c r="T130" i="19"/>
  <c r="L126" i="19" a="1"/>
  <c r="L126" i="19"/>
  <c r="I125" i="19"/>
  <c r="H124" i="19"/>
  <c r="H123" i="19"/>
  <c r="AP122" i="19" a="1"/>
  <c r="AP122" i="19"/>
  <c r="AP123" i="19" s="1" a="1"/>
  <c r="AP123" i="19" s="1"/>
  <c r="AP124" i="19" s="1" a="1"/>
  <c r="AP124" i="19" s="1"/>
  <c r="AJ122" i="19"/>
  <c r="AI122" i="19"/>
  <c r="AB122" i="19"/>
  <c r="AB124" i="19" s="1"/>
  <c r="I122" i="19" a="1"/>
  <c r="I122" i="19" s="1"/>
  <c r="I123" i="19" s="1" a="1"/>
  <c r="I123" i="19" s="1"/>
  <c r="I124" i="19" s="1" a="1"/>
  <c r="I124" i="19" s="1"/>
  <c r="AJ121" i="19"/>
  <c r="AI121" i="19"/>
  <c r="L121" i="19" a="1"/>
  <c r="L121" i="19" s="1"/>
  <c r="L120" i="19" a="1"/>
  <c r="L120" i="19"/>
  <c r="I119" i="19"/>
  <c r="H118" i="19"/>
  <c r="H117" i="19"/>
  <c r="AP116" i="19" a="1"/>
  <c r="AP116" i="19"/>
  <c r="AP117" i="19" s="1" a="1"/>
  <c r="AP117" i="19" s="1"/>
  <c r="AP118" i="19" s="1" a="1"/>
  <c r="AP118" i="19" s="1"/>
  <c r="AJ116" i="19"/>
  <c r="AI116" i="19"/>
  <c r="AB116" i="19"/>
  <c r="AB118" i="19" s="1"/>
  <c r="I116" i="19" a="1"/>
  <c r="I116" i="19" s="1"/>
  <c r="I117" i="19" s="1" a="1"/>
  <c r="I117" i="19" s="1"/>
  <c r="I118" i="19" s="1" a="1"/>
  <c r="I118" i="19" s="1"/>
  <c r="AJ115" i="19"/>
  <c r="AI115" i="19"/>
  <c r="L115" i="19" a="1"/>
  <c r="L115" i="19" s="1"/>
  <c r="L114" i="19" a="1"/>
  <c r="L114" i="19"/>
  <c r="I113" i="19"/>
  <c r="H112" i="19"/>
  <c r="H111" i="19"/>
  <c r="AP110" i="19" a="1"/>
  <c r="AP110" i="19"/>
  <c r="AP111" i="19" s="1" a="1"/>
  <c r="AP111" i="19" s="1"/>
  <c r="AP112" i="19" s="1" a="1"/>
  <c r="AP112" i="19" s="1"/>
  <c r="AJ110" i="19"/>
  <c r="AI110" i="19"/>
  <c r="AB110" i="19"/>
  <c r="AB112" i="19" s="1"/>
  <c r="I110" i="19" a="1"/>
  <c r="I110" i="19" s="1"/>
  <c r="I111" i="19" s="1" a="1"/>
  <c r="I111" i="19" s="1"/>
  <c r="I112" i="19" s="1" a="1"/>
  <c r="I112" i="19" s="1"/>
  <c r="AJ109" i="19"/>
  <c r="AI109" i="19"/>
  <c r="L109" i="19" a="1"/>
  <c r="L109" i="19" s="1"/>
  <c r="L108" i="19" a="1"/>
  <c r="L108" i="19"/>
  <c r="I107" i="19"/>
  <c r="H106" i="19"/>
  <c r="H105" i="19"/>
  <c r="AP104" i="19" a="1"/>
  <c r="AP104" i="19"/>
  <c r="AP105" i="19" s="1" a="1"/>
  <c r="AP105" i="19" s="1"/>
  <c r="AP106" i="19" s="1" a="1"/>
  <c r="AP106" i="19" s="1"/>
  <c r="AJ104" i="19"/>
  <c r="AI104" i="19"/>
  <c r="AB104" i="19"/>
  <c r="AB106" i="19" s="1"/>
  <c r="I104" i="19" a="1"/>
  <c r="I104" i="19" s="1"/>
  <c r="I105" i="19" s="1" a="1"/>
  <c r="I105" i="19" s="1"/>
  <c r="I106" i="19" s="1" a="1"/>
  <c r="I106" i="19" s="1"/>
  <c r="AJ103" i="19"/>
  <c r="AI103" i="19"/>
  <c r="L103" i="19" a="1"/>
  <c r="L103" i="19" s="1"/>
  <c r="T102" i="19"/>
  <c r="T103" i="19" s="1" a="1"/>
  <c r="T103" i="19" s="1"/>
  <c r="F102" i="19" a="1"/>
  <c r="F102" i="19" s="1"/>
  <c r="F103" i="19" s="1" a="1"/>
  <c r="F103" i="19" s="1"/>
  <c r="L101" i="19" a="1"/>
  <c r="L101" i="19"/>
  <c r="I100" i="19"/>
  <c r="H99" i="19"/>
  <c r="H98" i="19"/>
  <c r="AP97" i="19" a="1"/>
  <c r="AP97" i="19" s="1"/>
  <c r="AP98" i="19" s="1" a="1"/>
  <c r="AP98" i="19" s="1"/>
  <c r="AP99" i="19" s="1" a="1"/>
  <c r="AP99" i="19" s="1"/>
  <c r="AJ97" i="19"/>
  <c r="AI97" i="19"/>
  <c r="AB97" i="19"/>
  <c r="AB99" i="19" s="1"/>
  <c r="I97" i="19" a="1"/>
  <c r="I97" i="19"/>
  <c r="I98" i="19" s="1" a="1"/>
  <c r="I98" i="19" s="1"/>
  <c r="I99" i="19" s="1" a="1"/>
  <c r="I99" i="19" s="1"/>
  <c r="AJ96" i="19"/>
  <c r="AI96" i="19"/>
  <c r="L96" i="19" a="1"/>
  <c r="L96" i="19"/>
  <c r="L95" i="19" a="1"/>
  <c r="L95" i="19"/>
  <c r="I94" i="19"/>
  <c r="H93" i="19"/>
  <c r="H92" i="19"/>
  <c r="AP91" i="19" a="1"/>
  <c r="AP91" i="19" s="1"/>
  <c r="AP92" i="19" s="1" a="1"/>
  <c r="AP92" i="19" s="1"/>
  <c r="AP93" i="19" s="1" a="1"/>
  <c r="AP93" i="19" s="1"/>
  <c r="AJ91" i="19"/>
  <c r="AI91" i="19"/>
  <c r="AB91" i="19"/>
  <c r="AB93" i="19" s="1"/>
  <c r="I91" i="19" a="1"/>
  <c r="I91" i="19"/>
  <c r="I92" i="19" s="1" a="1"/>
  <c r="I92" i="19" s="1"/>
  <c r="I93" i="19" s="1" a="1"/>
  <c r="I93" i="19" s="1"/>
  <c r="AJ90" i="19"/>
  <c r="AI90" i="19"/>
  <c r="L90" i="19" a="1"/>
  <c r="L90" i="19"/>
  <c r="L89" i="19" a="1"/>
  <c r="L89" i="19"/>
  <c r="I88" i="19"/>
  <c r="H87" i="19"/>
  <c r="H86" i="19"/>
  <c r="AP85" i="19" a="1"/>
  <c r="AP85" i="19" s="1"/>
  <c r="AP86" i="19" s="1" a="1"/>
  <c r="AP86" i="19" s="1"/>
  <c r="AP87" i="19" s="1" a="1"/>
  <c r="AP87" i="19" s="1"/>
  <c r="AJ85" i="19"/>
  <c r="AI85" i="19"/>
  <c r="AB85" i="19"/>
  <c r="AB87" i="19" s="1"/>
  <c r="I85" i="19" a="1"/>
  <c r="I85" i="19"/>
  <c r="I86" i="19" s="1" a="1"/>
  <c r="I86" i="19" s="1"/>
  <c r="I87" i="19" s="1" a="1"/>
  <c r="I87" i="19" s="1"/>
  <c r="AJ84" i="19"/>
  <c r="AI84" i="19"/>
  <c r="L84" i="19" a="1"/>
  <c r="L84" i="19"/>
  <c r="L83" i="19" a="1"/>
  <c r="L83" i="19"/>
  <c r="I82" i="19"/>
  <c r="H81" i="19"/>
  <c r="H80" i="19"/>
  <c r="AP79" i="19" a="1"/>
  <c r="AP79" i="19" s="1"/>
  <c r="AP80" i="19" s="1" a="1"/>
  <c r="AP80" i="19" s="1"/>
  <c r="AP81" i="19" s="1" a="1"/>
  <c r="AP81" i="19" s="1"/>
  <c r="AJ79" i="19"/>
  <c r="AI79" i="19"/>
  <c r="AB79" i="19"/>
  <c r="AB81" i="19" s="1"/>
  <c r="I79" i="19" a="1"/>
  <c r="I79" i="19"/>
  <c r="I80" i="19" s="1" a="1"/>
  <c r="I80" i="19" s="1"/>
  <c r="I81" i="19" s="1" a="1"/>
  <c r="I81" i="19" s="1"/>
  <c r="AJ78" i="19"/>
  <c r="AI78" i="19"/>
  <c r="T78" i="19" a="1"/>
  <c r="T78" i="19" s="1"/>
  <c r="L78" i="19" a="1"/>
  <c r="L78" i="19"/>
  <c r="T77" i="19"/>
  <c r="F77" i="19" a="1"/>
  <c r="F77" i="19"/>
  <c r="F78" i="19" s="1" a="1"/>
  <c r="F78" i="19" s="1"/>
  <c r="L76" i="19" a="1"/>
  <c r="L76" i="19" s="1"/>
  <c r="I75" i="19"/>
  <c r="AB74" i="19"/>
  <c r="H74" i="19"/>
  <c r="AP73" i="19" a="1"/>
  <c r="AP73" i="19"/>
  <c r="AP74" i="19" s="1" a="1"/>
  <c r="AP74" i="19" s="1"/>
  <c r="H73" i="19"/>
  <c r="AP72" i="19" a="1"/>
  <c r="AP72" i="19"/>
  <c r="AJ72" i="19"/>
  <c r="AI72" i="19"/>
  <c r="AB72" i="19"/>
  <c r="AB73" i="19" s="1"/>
  <c r="I72" i="19" a="1"/>
  <c r="I72" i="19"/>
  <c r="I73" i="19" s="1" a="1"/>
  <c r="I73" i="19" s="1"/>
  <c r="I74" i="19" s="1" a="1"/>
  <c r="I74" i="19" s="1"/>
  <c r="AJ71" i="19"/>
  <c r="AI71" i="19"/>
  <c r="L71" i="19" a="1"/>
  <c r="L71" i="19"/>
  <c r="L70" i="19" a="1"/>
  <c r="L70" i="19" s="1"/>
  <c r="I69" i="19"/>
  <c r="AB68" i="19"/>
  <c r="H68" i="19"/>
  <c r="AP67" i="19" a="1"/>
  <c r="AP67" i="19"/>
  <c r="AP68" i="19" s="1" a="1"/>
  <c r="AP68" i="19" s="1"/>
  <c r="H67" i="19"/>
  <c r="AP66" i="19" a="1"/>
  <c r="AP66" i="19"/>
  <c r="AJ66" i="19"/>
  <c r="AI66" i="19"/>
  <c r="AB66" i="19"/>
  <c r="AB67" i="19" s="1"/>
  <c r="I66" i="19" a="1"/>
  <c r="I66" i="19"/>
  <c r="I67" i="19" s="1" a="1"/>
  <c r="I67" i="19" s="1"/>
  <c r="I68" i="19" s="1" a="1"/>
  <c r="I68" i="19" s="1"/>
  <c r="AJ65" i="19"/>
  <c r="AI65" i="19"/>
  <c r="L65" i="19" a="1"/>
  <c r="L65" i="19"/>
  <c r="L64" i="19" a="1"/>
  <c r="L64" i="19" s="1"/>
  <c r="I63" i="19"/>
  <c r="AB62" i="19"/>
  <c r="H62" i="19"/>
  <c r="AP61" i="19" a="1"/>
  <c r="AP61" i="19"/>
  <c r="AP62" i="19" s="1" a="1"/>
  <c r="AP62" i="19" s="1"/>
  <c r="H61" i="19"/>
  <c r="AP60" i="19" a="1"/>
  <c r="AP60" i="19"/>
  <c r="AJ60" i="19"/>
  <c r="AI60" i="19"/>
  <c r="AB60" i="19"/>
  <c r="AB61" i="19" s="1"/>
  <c r="I60" i="19" a="1"/>
  <c r="I60" i="19"/>
  <c r="I61" i="19" s="1" a="1"/>
  <c r="I61" i="19" s="1"/>
  <c r="I62" i="19" s="1" a="1"/>
  <c r="I62" i="19" s="1"/>
  <c r="AJ59" i="19"/>
  <c r="AI59" i="19"/>
  <c r="L59" i="19" a="1"/>
  <c r="L59" i="19"/>
  <c r="L58" i="19" a="1"/>
  <c r="L58" i="19" s="1"/>
  <c r="I57" i="19"/>
  <c r="AB56" i="19"/>
  <c r="H56" i="19"/>
  <c r="H55" i="19"/>
  <c r="AP54" i="19" a="1"/>
  <c r="AP54" i="19" s="1"/>
  <c r="AP55" i="19" s="1" a="1"/>
  <c r="AP55" i="19" s="1"/>
  <c r="AP56" i="19" s="1" a="1"/>
  <c r="AP56" i="19" s="1"/>
  <c r="AJ54" i="19"/>
  <c r="AI54" i="19"/>
  <c r="AB54" i="19"/>
  <c r="AB55" i="19" s="1"/>
  <c r="I54" i="19" a="1"/>
  <c r="I54" i="19"/>
  <c r="I55" i="19" s="1" a="1"/>
  <c r="I55" i="19" s="1"/>
  <c r="I56" i="19" s="1" a="1"/>
  <c r="I56" i="19" s="1"/>
  <c r="AJ53" i="19"/>
  <c r="AI53" i="19"/>
  <c r="L53" i="19" a="1"/>
  <c r="L53" i="19"/>
  <c r="T52" i="19"/>
  <c r="T53" i="19" s="1" a="1"/>
  <c r="T53" i="19" s="1"/>
  <c r="F52" i="19" a="1"/>
  <c r="F52" i="19"/>
  <c r="F53" i="19" s="1" a="1"/>
  <c r="F53" i="19" s="1"/>
  <c r="L51" i="19" a="1"/>
  <c r="L51" i="19" s="1"/>
  <c r="I50" i="19"/>
  <c r="AB49" i="19"/>
  <c r="H49" i="19"/>
  <c r="AP48" i="19" a="1"/>
  <c r="AP48" i="19" s="1"/>
  <c r="AP49" i="19" s="1" a="1"/>
  <c r="AP49" i="19" s="1"/>
  <c r="H48" i="19"/>
  <c r="AP47" i="19" a="1"/>
  <c r="AP47" i="19"/>
  <c r="AJ47" i="19"/>
  <c r="AI47" i="19"/>
  <c r="AB47" i="19"/>
  <c r="AB48" i="19" s="1"/>
  <c r="I47" i="19" a="1"/>
  <c r="I47" i="19" s="1"/>
  <c r="I48" i="19" s="1" a="1"/>
  <c r="I48" i="19" s="1"/>
  <c r="I49" i="19" s="1" a="1"/>
  <c r="I49" i="19" s="1"/>
  <c r="AJ46" i="19"/>
  <c r="AI46" i="19"/>
  <c r="L46" i="19" a="1"/>
  <c r="L46" i="19" s="1"/>
  <c r="L45" i="19" a="1"/>
  <c r="L45" i="19" s="1"/>
  <c r="I44" i="19"/>
  <c r="AB43" i="19"/>
  <c r="H43" i="19"/>
  <c r="AP42" i="19" a="1"/>
  <c r="AP42" i="19" s="1"/>
  <c r="AP43" i="19" s="1" a="1"/>
  <c r="AP43" i="19" s="1"/>
  <c r="H42" i="19"/>
  <c r="AP41" i="19" a="1"/>
  <c r="AP41" i="19"/>
  <c r="AJ41" i="19"/>
  <c r="AI41" i="19"/>
  <c r="AB41" i="19"/>
  <c r="AB42" i="19" s="1"/>
  <c r="I41" i="19" a="1"/>
  <c r="I41" i="19" s="1"/>
  <c r="I42" i="19" s="1" a="1"/>
  <c r="I42" i="19" s="1"/>
  <c r="I43" i="19" s="1" a="1"/>
  <c r="I43" i="19" s="1"/>
  <c r="AJ40" i="19"/>
  <c r="AI40" i="19"/>
  <c r="L40" i="19" a="1"/>
  <c r="L40" i="19" s="1"/>
  <c r="L39" i="19" a="1"/>
  <c r="L39" i="19" s="1"/>
  <c r="I38" i="19"/>
  <c r="AB37" i="19"/>
  <c r="H37" i="19"/>
  <c r="AP36" i="19" a="1"/>
  <c r="AP36" i="19" s="1"/>
  <c r="AP37" i="19" s="1" a="1"/>
  <c r="AP37" i="19" s="1"/>
  <c r="H36" i="19"/>
  <c r="AP35" i="19" a="1"/>
  <c r="AP35" i="19"/>
  <c r="AJ35" i="19"/>
  <c r="AI35" i="19"/>
  <c r="AB35" i="19"/>
  <c r="AB36" i="19" s="1"/>
  <c r="I35" i="19" a="1"/>
  <c r="I35" i="19" s="1"/>
  <c r="I36" i="19" s="1" a="1"/>
  <c r="I36" i="19" s="1"/>
  <c r="I37" i="19" s="1" a="1"/>
  <c r="I37" i="19" s="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G7" i="19" s="1"/>
  <c r="AF11" i="19"/>
  <c r="AF13" i="19" s="1"/>
  <c r="AE11" i="19"/>
  <c r="AE13" i="19" s="1"/>
  <c r="AK9" i="19" a="1"/>
  <c r="AK9" i="19"/>
  <c r="AJ8" i="19" a="1"/>
  <c r="AJ8" i="19" s="1"/>
  <c r="AI8" i="19" a="1"/>
  <c r="AI8" i="19"/>
  <c r="AH8" i="19" a="1"/>
  <c r="AH8" i="19" s="1"/>
  <c r="AG8" i="19" a="1"/>
  <c r="AG8" i="19"/>
  <c r="AF8" i="19" a="1"/>
  <c r="AF8" i="19" s="1"/>
  <c r="AE8" i="19" a="1"/>
  <c r="AE8" i="19"/>
  <c r="AJ7" i="19" a="1"/>
  <c r="AJ7" i="19" s="1"/>
  <c r="AH7" i="19" a="1"/>
  <c r="AH7" i="19" s="1"/>
  <c r="AF7" i="19" a="1"/>
  <c r="AF7" i="19" s="1"/>
  <c r="AE7" i="19" a="1"/>
  <c r="AE7" i="19"/>
  <c r="T153" i="18"/>
  <c r="L149" i="18" a="1"/>
  <c r="L149" i="18"/>
  <c r="L148" i="18" a="1"/>
  <c r="L148" i="18" s="1"/>
  <c r="L147" i="18" a="1"/>
  <c r="L147" i="18"/>
  <c r="L146" i="18" a="1"/>
  <c r="L146" i="18"/>
  <c r="H145" i="18"/>
  <c r="BH143" i="18" a="1"/>
  <c r="BH143" i="18" s="1"/>
  <c r="BH144" i="18" s="1" a="1"/>
  <c r="BH144" i="18" s="1"/>
  <c r="AB143" i="18"/>
  <c r="AB144" i="18" s="1"/>
  <c r="H143" i="18" a="1"/>
  <c r="H143" i="18" s="1"/>
  <c r="H144" i="18" s="1" a="1"/>
  <c r="H144" i="18" s="1"/>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L141" i="18" a="1"/>
  <c r="L141" i="18" s="1"/>
  <c r="H140" i="18"/>
  <c r="BH138" i="18" a="1"/>
  <c r="BH138" i="18"/>
  <c r="BH139" i="18" s="1" a="1"/>
  <c r="BH139" i="18" s="1"/>
  <c r="AB138" i="18"/>
  <c r="AB139" i="18" s="1"/>
  <c r="H138" i="18" a="1"/>
  <c r="H138" i="18"/>
  <c r="H139" i="18" s="1" a="1"/>
  <c r="H139" i="18" s="1"/>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L136" i="18" a="1"/>
  <c r="L136" i="18"/>
  <c r="H135" i="18"/>
  <c r="BH133" i="18" a="1"/>
  <c r="BH133" i="18" s="1"/>
  <c r="BH134" i="18" s="1" a="1"/>
  <c r="BH134" i="18" s="1"/>
  <c r="AB133" i="18"/>
  <c r="AB134" i="18" s="1"/>
  <c r="H133" i="18" a="1"/>
  <c r="H133" i="18" s="1"/>
  <c r="H134" i="18" s="1" a="1"/>
  <c r="H134" i="18" s="1"/>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BB131" i="18"/>
  <c r="BA131" i="18"/>
  <c r="BA120" i="18" s="1"/>
  <c r="AZ131" i="18"/>
  <c r="AZ120" i="18" s="1"/>
  <c r="AY131" i="18"/>
  <c r="AX131" i="18"/>
  <c r="AW131" i="18"/>
  <c r="AW120" i="18" s="1"/>
  <c r="AV131" i="18"/>
  <c r="AV120" i="18" s="1"/>
  <c r="AU131" i="18"/>
  <c r="AT131" i="18"/>
  <c r="AS131" i="18"/>
  <c r="AS120" i="18" s="1"/>
  <c r="AR131" i="18"/>
  <c r="AR120" i="18" s="1"/>
  <c r="AQ131" i="18"/>
  <c r="AP131" i="18"/>
  <c r="AO131" i="18"/>
  <c r="AO120" i="18" s="1"/>
  <c r="AN131" i="18"/>
  <c r="AN120" i="18" s="1"/>
  <c r="AM131" i="18"/>
  <c r="AL131" i="18"/>
  <c r="AK131" i="18"/>
  <c r="AK120" i="18" s="1"/>
  <c r="AJ131" i="18"/>
  <c r="AJ120" i="18" s="1"/>
  <c r="AI131" i="18"/>
  <c r="AH131" i="18"/>
  <c r="AG131" i="18"/>
  <c r="AG120" i="18" s="1"/>
  <c r="AF131" i="18"/>
  <c r="AF120" i="18" s="1"/>
  <c r="AE131" i="18"/>
  <c r="L131" i="18" a="1"/>
  <c r="L131" i="18" s="1"/>
  <c r="H130" i="18"/>
  <c r="BH128" i="18" a="1"/>
  <c r="BH128" i="18"/>
  <c r="BH129" i="18" s="1" a="1"/>
  <c r="BH129" i="18" s="1"/>
  <c r="AB128" i="18"/>
  <c r="AB129" i="18" s="1"/>
  <c r="H128" i="18" a="1"/>
  <c r="H128" i="18"/>
  <c r="H129" i="18" s="1" a="1"/>
  <c r="H129" i="18" s="1"/>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BB126" i="18"/>
  <c r="BB120" i="18" s="1"/>
  <c r="BA126" i="18"/>
  <c r="AZ126" i="18"/>
  <c r="AY126" i="18"/>
  <c r="AX126" i="18"/>
  <c r="AX120" i="18" s="1"/>
  <c r="AW126" i="18"/>
  <c r="AV126" i="18"/>
  <c r="AU126" i="18"/>
  <c r="AT126" i="18"/>
  <c r="AT120" i="18" s="1"/>
  <c r="AS126" i="18"/>
  <c r="AR126" i="18"/>
  <c r="AQ126" i="18"/>
  <c r="AP126" i="18"/>
  <c r="AP120" i="18" s="1"/>
  <c r="AO126" i="18"/>
  <c r="AN126" i="18"/>
  <c r="AM126" i="18"/>
  <c r="AL126" i="18"/>
  <c r="AL120" i="18" s="1"/>
  <c r="AK126" i="18"/>
  <c r="AJ126" i="18"/>
  <c r="AI126" i="18"/>
  <c r="AH126" i="18"/>
  <c r="AH120" i="18" s="1"/>
  <c r="AG126" i="18"/>
  <c r="AF126" i="18"/>
  <c r="AE126" i="18"/>
  <c r="L126" i="18" a="1"/>
  <c r="L126" i="18"/>
  <c r="H125" i="18"/>
  <c r="BH123" i="18" a="1"/>
  <c r="BH123" i="18" s="1"/>
  <c r="BH124" i="18" s="1" a="1"/>
  <c r="BH124" i="18" s="1"/>
  <c r="AB123" i="18"/>
  <c r="AB124" i="18" s="1"/>
  <c r="H123" i="18" a="1"/>
  <c r="H123" i="18" s="1"/>
  <c r="H124" i="18" s="1" a="1"/>
  <c r="H124" i="18" s="1"/>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T121" i="18" a="1"/>
  <c r="T121" i="18"/>
  <c r="L121" i="18" a="1"/>
  <c r="L121" i="18" s="1"/>
  <c r="AY120" i="18"/>
  <c r="AU120" i="18"/>
  <c r="AQ120" i="18"/>
  <c r="AM120" i="18"/>
  <c r="AI120" i="18"/>
  <c r="AE120" i="18"/>
  <c r="T120" i="18"/>
  <c r="F120" i="18" a="1"/>
  <c r="F120" i="18"/>
  <c r="F121" i="18" s="1" a="1"/>
  <c r="F121" i="18" s="1"/>
  <c r="L119" i="18" a="1"/>
  <c r="L119" i="18"/>
  <c r="L118" i="18" a="1"/>
  <c r="L118" i="18"/>
  <c r="L117" i="18" a="1"/>
  <c r="L117" i="18" s="1"/>
  <c r="L116" i="18" a="1"/>
  <c r="L116" i="18"/>
  <c r="H115" i="18"/>
  <c r="BH114" i="18" a="1"/>
  <c r="BH114" i="18" s="1"/>
  <c r="BH113" i="18" a="1"/>
  <c r="BH113" i="18"/>
  <c r="AB113" i="18"/>
  <c r="AB114" i="18" s="1"/>
  <c r="H113" i="18" a="1"/>
  <c r="H113" i="18"/>
  <c r="H114" i="18" s="1" a="1"/>
  <c r="H114" i="18" s="1"/>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L111" i="18" a="1"/>
  <c r="L111" i="18"/>
  <c r="H110" i="18"/>
  <c r="AB109" i="18"/>
  <c r="BH108" i="18" a="1"/>
  <c r="BH108" i="18"/>
  <c r="BH109" i="18" s="1" a="1"/>
  <c r="BH109" i="18" s="1"/>
  <c r="AB108" i="18"/>
  <c r="H108" i="18" a="1"/>
  <c r="H108" i="18"/>
  <c r="H109" i="18" s="1" a="1"/>
  <c r="H109" i="18" s="1"/>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BH105" i="18" a="1"/>
  <c r="BH105" i="18"/>
  <c r="BH106" i="18" s="1" a="1"/>
  <c r="BH106" i="18" s="1"/>
  <c r="AB105" i="18"/>
  <c r="AB106" i="18" s="1"/>
  <c r="H105" i="18" a="1"/>
  <c r="H105" i="18"/>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BH100" i="18" a="1"/>
  <c r="BH100" i="18" s="1"/>
  <c r="BH101" i="18" s="1" a="1"/>
  <c r="BH101" i="18" s="1"/>
  <c r="AB100" i="18"/>
  <c r="AB101" i="18" s="1"/>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BA87" i="18" s="1"/>
  <c r="AZ98" i="18"/>
  <c r="AZ87" i="18" s="1"/>
  <c r="AY98" i="18"/>
  <c r="AX98" i="18"/>
  <c r="AW98" i="18"/>
  <c r="AW87" i="18" s="1"/>
  <c r="AV98" i="18"/>
  <c r="AV87" i="18" s="1"/>
  <c r="AU98" i="18"/>
  <c r="AT98" i="18"/>
  <c r="AS98" i="18"/>
  <c r="AS87" i="18" s="1"/>
  <c r="AR98" i="18"/>
  <c r="AR87" i="18" s="1"/>
  <c r="AQ98" i="18"/>
  <c r="AP98" i="18"/>
  <c r="AO98" i="18"/>
  <c r="AO87" i="18" s="1"/>
  <c r="AN98" i="18"/>
  <c r="AN87" i="18" s="1"/>
  <c r="AM98" i="18"/>
  <c r="AL98" i="18"/>
  <c r="AK98" i="18"/>
  <c r="AK87" i="18" s="1"/>
  <c r="AJ98" i="18"/>
  <c r="AJ87" i="18" s="1"/>
  <c r="AI98" i="18"/>
  <c r="AH98" i="18"/>
  <c r="AG98" i="18"/>
  <c r="AG87" i="18" s="1"/>
  <c r="AF98" i="18"/>
  <c r="AF87" i="18" s="1"/>
  <c r="AE98" i="18"/>
  <c r="L98" i="18" a="1"/>
  <c r="L98" i="18" s="1"/>
  <c r="H97" i="18"/>
  <c r="BH95" i="18" a="1"/>
  <c r="BH95" i="18"/>
  <c r="BH96" i="18" s="1" a="1"/>
  <c r="BH96" i="18" s="1"/>
  <c r="AB95" i="18"/>
  <c r="AB96" i="18" s="1"/>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B87" i="18" s="1"/>
  <c r="BA93" i="18"/>
  <c r="AZ93" i="18"/>
  <c r="AY93" i="18"/>
  <c r="AX93" i="18"/>
  <c r="AX87" i="18" s="1"/>
  <c r="AW93" i="18"/>
  <c r="AV93" i="18"/>
  <c r="AU93" i="18"/>
  <c r="AT93" i="18"/>
  <c r="AT87" i="18" s="1"/>
  <c r="AS93" i="18"/>
  <c r="AR93" i="18"/>
  <c r="AQ93" i="18"/>
  <c r="AP93" i="18"/>
  <c r="AP87" i="18" s="1"/>
  <c r="AO93" i="18"/>
  <c r="AN93" i="18"/>
  <c r="AM93" i="18"/>
  <c r="AL93" i="18"/>
  <c r="AL87" i="18" s="1"/>
  <c r="AK93" i="18"/>
  <c r="AJ93" i="18"/>
  <c r="AI93" i="18"/>
  <c r="AH93" i="18"/>
  <c r="AH87" i="18" s="1"/>
  <c r="AG93" i="18"/>
  <c r="AF93" i="18"/>
  <c r="AE93" i="18"/>
  <c r="L93" i="18" a="1"/>
  <c r="L93" i="18"/>
  <c r="H92" i="18"/>
  <c r="BH90" i="18" a="1"/>
  <c r="BH90" i="18" s="1"/>
  <c r="BH91" i="18" s="1" a="1"/>
  <c r="BH91"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T88" i="18" a="1"/>
  <c r="T88" i="18"/>
  <c r="L88" i="18" a="1"/>
  <c r="L88" i="18" s="1"/>
  <c r="AY87" i="18"/>
  <c r="AU87" i="18"/>
  <c r="AQ87" i="18"/>
  <c r="AM87" i="18"/>
  <c r="AI87" i="18"/>
  <c r="AE87" i="18"/>
  <c r="T87" i="18"/>
  <c r="F87" i="18" a="1"/>
  <c r="F87" i="18"/>
  <c r="F88" i="18" s="1" a="1"/>
  <c r="F88" i="18" s="1"/>
  <c r="L86" i="18" a="1"/>
  <c r="L86" i="18"/>
  <c r="L85" i="18" a="1"/>
  <c r="L85" i="18"/>
  <c r="L84" i="18" a="1"/>
  <c r="L84" i="18" s="1"/>
  <c r="L83" i="18" a="1"/>
  <c r="L83" i="18"/>
  <c r="H82" i="18"/>
  <c r="BH81" i="18" a="1"/>
  <c r="BH81" i="18" s="1"/>
  <c r="BH80" i="18" a="1"/>
  <c r="BH80" i="18"/>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AB76" i="18"/>
  <c r="BH75" i="18" a="1"/>
  <c r="BH75" i="18"/>
  <c r="BH76" i="18" s="1" a="1"/>
  <c r="BH76" i="18" s="1"/>
  <c r="AB75" i="18"/>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1" i="18" a="1"/>
  <c r="BH71" i="18" s="1"/>
  <c r="BH70" i="18" a="1"/>
  <c r="BH70" i="18"/>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B57" i="18" s="1"/>
  <c r="BA68" i="18"/>
  <c r="BA57" i="18" s="1"/>
  <c r="AZ68" i="18"/>
  <c r="AY68" i="18"/>
  <c r="AX68" i="18"/>
  <c r="AX57" i="18" s="1"/>
  <c r="AW68" i="18"/>
  <c r="AW57" i="18" s="1"/>
  <c r="AV68" i="18"/>
  <c r="AU68" i="18"/>
  <c r="AT68" i="18"/>
  <c r="AT57" i="18" s="1"/>
  <c r="AS68" i="18"/>
  <c r="AS57" i="18" s="1"/>
  <c r="AR68" i="18"/>
  <c r="AQ68" i="18"/>
  <c r="AP68" i="18"/>
  <c r="AP57" i="18" s="1"/>
  <c r="AO68" i="18"/>
  <c r="AO57" i="18" s="1"/>
  <c r="AN68" i="18"/>
  <c r="AM68" i="18"/>
  <c r="AL68" i="18"/>
  <c r="AL57" i="18" s="1"/>
  <c r="AK68" i="18"/>
  <c r="AK57" i="18" s="1"/>
  <c r="AJ68" i="18"/>
  <c r="AI68" i="18"/>
  <c r="AH68" i="18"/>
  <c r="AH57" i="18" s="1"/>
  <c r="AG68" i="18"/>
  <c r="AG57" i="18" s="1"/>
  <c r="AF68" i="18"/>
  <c r="AE68" i="18"/>
  <c r="L68" i="18" a="1"/>
  <c r="L68" i="18"/>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Y57" i="18" s="1"/>
  <c r="AX63" i="18"/>
  <c r="AW63" i="18"/>
  <c r="AV63" i="18"/>
  <c r="AU63" i="18"/>
  <c r="AU57" i="18" s="1"/>
  <c r="AT63" i="18"/>
  <c r="AS63" i="18"/>
  <c r="AR63" i="18"/>
  <c r="AQ63" i="18"/>
  <c r="AQ57" i="18" s="1"/>
  <c r="AP63" i="18"/>
  <c r="AO63" i="18"/>
  <c r="AN63" i="18"/>
  <c r="AM63" i="18"/>
  <c r="AM57" i="18" s="1"/>
  <c r="AL63" i="18"/>
  <c r="AK63" i="18"/>
  <c r="AJ63" i="18"/>
  <c r="AI63" i="18"/>
  <c r="AI57" i="18" s="1"/>
  <c r="AH63" i="18"/>
  <c r="AG63" i="18"/>
  <c r="AF63" i="18"/>
  <c r="AE63" i="18"/>
  <c r="AE57" i="18" s="1"/>
  <c r="L63" i="18" a="1"/>
  <c r="L63" i="18"/>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c r="L58" i="18" a="1"/>
  <c r="L58" i="18" s="1"/>
  <c r="AZ57" i="18"/>
  <c r="AV57" i="18"/>
  <c r="AR57" i="18"/>
  <c r="AN57" i="18"/>
  <c r="AJ57" i="18"/>
  <c r="AF57" i="18"/>
  <c r="T57" i="18"/>
  <c r="F57" i="18" a="1"/>
  <c r="F57" i="18"/>
  <c r="F58" i="18" s="1" a="1"/>
  <c r="F58" i="18" s="1"/>
  <c r="L56" i="18" a="1"/>
  <c r="L56" i="18"/>
  <c r="L55" i="18" a="1"/>
  <c r="L55" i="18"/>
  <c r="L54" i="18" a="1"/>
  <c r="L54" i="18"/>
  <c r="L53" i="18" a="1"/>
  <c r="L53" i="18" s="1"/>
  <c r="H52" i="18"/>
  <c r="BH50" i="18" a="1"/>
  <c r="BH50" i="18"/>
  <c r="BH51" i="18" s="1" a="1"/>
  <c r="BH51" i="18" s="1"/>
  <c r="AB50" i="18"/>
  <c r="AB51" i="18" s="1"/>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c r="BH41" i="18" s="1" a="1"/>
  <c r="BH41" i="18" s="1"/>
  <c r="AB40" i="18"/>
  <c r="AB41" i="18" s="1"/>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Y27" i="18" s="1"/>
  <c r="AX38" i="18"/>
  <c r="AX27" i="18" s="1"/>
  <c r="AW38" i="18"/>
  <c r="AV38" i="18"/>
  <c r="AU38" i="18"/>
  <c r="AU27" i="18" s="1"/>
  <c r="AT38" i="18"/>
  <c r="AT27" i="18" s="1"/>
  <c r="AS38" i="18"/>
  <c r="AR38" i="18"/>
  <c r="AQ38" i="18"/>
  <c r="AP38" i="18"/>
  <c r="AP27" i="18" s="1"/>
  <c r="AO38" i="18"/>
  <c r="AN38" i="18"/>
  <c r="AM38" i="18"/>
  <c r="AL38" i="18"/>
  <c r="AL27" i="18" s="1"/>
  <c r="AK38" i="18"/>
  <c r="AJ38" i="18"/>
  <c r="AI38" i="18"/>
  <c r="AH38" i="18"/>
  <c r="AH27" i="18" s="1"/>
  <c r="AG38" i="18"/>
  <c r="AF38" i="18"/>
  <c r="AE38" i="18"/>
  <c r="L38" i="18" a="1"/>
  <c r="L38" i="18"/>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X33" i="18"/>
  <c r="AW33" i="18"/>
  <c r="AV33" i="18"/>
  <c r="AV27" i="18" s="1"/>
  <c r="AU33" i="18"/>
  <c r="AT33" i="18"/>
  <c r="AS33" i="18"/>
  <c r="AR33" i="18"/>
  <c r="AR27" i="18" s="1"/>
  <c r="AQ33" i="18"/>
  <c r="AQ27" i="18" s="1"/>
  <c r="AP33" i="18"/>
  <c r="AO33" i="18"/>
  <c r="AN33" i="18"/>
  <c r="AN27" i="18" s="1"/>
  <c r="AM33" i="18"/>
  <c r="AM27" i="18" s="1"/>
  <c r="AL33" i="18"/>
  <c r="AK33" i="18"/>
  <c r="AJ33" i="18"/>
  <c r="AJ27" i="18" s="1"/>
  <c r="AI33" i="18"/>
  <c r="AI27" i="18" s="1"/>
  <c r="AH33" i="18"/>
  <c r="AG33" i="18"/>
  <c r="AF33" i="18"/>
  <c r="AF27" i="18" s="1"/>
  <c r="AE33" i="18"/>
  <c r="AE27" i="18" s="1"/>
  <c r="L33" i="18" a="1"/>
  <c r="L33" i="18" s="1"/>
  <c r="H32" i="18"/>
  <c r="BH30" i="18" a="1"/>
  <c r="BH30" i="18"/>
  <c r="BH31" i="18" s="1" a="1"/>
  <c r="BH31" i="18" s="1"/>
  <c r="AB30" i="18"/>
  <c r="AB31" i="18" s="1"/>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A27" i="18"/>
  <c r="AW27" i="18"/>
  <c r="AS27" i="18"/>
  <c r="AO27" i="18"/>
  <c r="AK27" i="18"/>
  <c r="AG27" i="18"/>
  <c r="T27" i="18"/>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AZ9" i="18" a="1"/>
  <c r="AZ9" i="18" s="1"/>
  <c r="AV9" i="18" a="1"/>
  <c r="AV9" i="18" s="1"/>
  <c r="AR9" i="18" a="1"/>
  <c r="AR9" i="18" s="1"/>
  <c r="AP9" i="18" a="1"/>
  <c r="AP9" i="18" s="1"/>
  <c r="AN9" i="18" a="1"/>
  <c r="AN9" i="18" s="1"/>
  <c r="AL9" i="18" a="1"/>
  <c r="AL9" i="18" s="1"/>
  <c r="AJ9" i="18" a="1"/>
  <c r="AJ9" i="18" s="1"/>
  <c r="AH9" i="18" a="1"/>
  <c r="AH9" i="18" s="1"/>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BA9" i="18" s="1" a="1"/>
  <c r="BA9" i="18" s="1"/>
  <c r="AZ6" i="18"/>
  <c r="AY6" i="18"/>
  <c r="AX6" i="18"/>
  <c r="AW6" i="18"/>
  <c r="AW9" i="18" s="1" a="1"/>
  <c r="AW9" i="18" s="1"/>
  <c r="AV6" i="18"/>
  <c r="AU6" i="18"/>
  <c r="AT6" i="18"/>
  <c r="AS6" i="18" a="1"/>
  <c r="AS6"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E9" i="18" s="1" a="1"/>
  <c r="AE9" i="18" s="1"/>
  <c r="T58" i="17"/>
  <c r="T48" i="17"/>
  <c r="T49" i="17" s="1" a="1"/>
  <c r="T49" i="17" s="1"/>
  <c r="T50" i="17" s="1" a="1"/>
  <c r="T50" i="17" s="1"/>
  <c r="T51" i="17" s="1" a="1"/>
  <c r="T51" i="17" s="1"/>
  <c r="T52" i="17" s="1" a="1"/>
  <c r="T52" i="17" s="1"/>
  <c r="T53" i="17" s="1" a="1"/>
  <c r="T53" i="17" s="1"/>
  <c r="T54" i="17" s="1" a="1"/>
  <c r="T54" i="17" s="1"/>
  <c r="F48" i="17" a="1"/>
  <c r="F48" i="17" s="1"/>
  <c r="F49" i="17" s="1" a="1"/>
  <c r="F49" i="17" s="1"/>
  <c r="F50" i="17" s="1" a="1"/>
  <c r="F50" i="17" s="1"/>
  <c r="F51" i="17" s="1" a="1"/>
  <c r="F51" i="17" s="1"/>
  <c r="T41" i="17"/>
  <c r="T42" i="17" s="1" a="1"/>
  <c r="T42" i="17" s="1"/>
  <c r="T43" i="17" s="1" a="1"/>
  <c r="T43" i="17" s="1"/>
  <c r="T44" i="17" s="1" a="1"/>
  <c r="T44" i="17" s="1"/>
  <c r="T45" i="17" s="1" a="1"/>
  <c r="T45" i="17" s="1"/>
  <c r="T46" i="17" s="1" a="1"/>
  <c r="T46" i="17" s="1"/>
  <c r="T47" i="17" s="1" a="1"/>
  <c r="T47" i="17" s="1"/>
  <c r="F41" i="17" a="1"/>
  <c r="F41" i="17"/>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c r="F28" i="17" s="1" a="1"/>
  <c r="F28" i="17" s="1"/>
  <c r="F29" i="17" s="1" a="1"/>
  <c r="F29" i="17" s="1"/>
  <c r="F30" i="17" s="1" a="1"/>
  <c r="F30" i="17" s="1"/>
  <c r="AE24" i="17"/>
  <c r="AF14" i="17" a="1"/>
  <c r="AF14" i="17" s="1"/>
  <c r="AE14" i="17" a="1"/>
  <c r="AE14" i="17"/>
  <c r="AF13" i="17" a="1"/>
  <c r="AF13" i="17" s="1"/>
  <c r="AE13" i="17" a="1"/>
  <c r="AE13" i="17"/>
  <c r="AF11" i="17" a="1"/>
  <c r="AF11" i="17" s="1"/>
  <c r="AE11" i="17" a="1"/>
  <c r="AE11" i="17"/>
  <c r="T72" i="16"/>
  <c r="T71" i="16"/>
  <c r="T70" i="16"/>
  <c r="BB64" i="16"/>
  <c r="BA64" i="16"/>
  <c r="AZ64" i="16"/>
  <c r="AZ58" i="16" s="1"/>
  <c r="AY64" i="16"/>
  <c r="AY58" i="16" s="1"/>
  <c r="AX64" i="16"/>
  <c r="AW64" i="16"/>
  <c r="AV64" i="16"/>
  <c r="AV58" i="16" s="1"/>
  <c r="AU64" i="16"/>
  <c r="AU58" i="16" s="1"/>
  <c r="AT64" i="16"/>
  <c r="AR64" i="16"/>
  <c r="AQ64" i="16"/>
  <c r="AQ58" i="16" s="1"/>
  <c r="AP64" i="16"/>
  <c r="AP58" i="16" s="1"/>
  <c r="AO64" i="16"/>
  <c r="AN64" i="16"/>
  <c r="AM64" i="16"/>
  <c r="AM58" i="16" s="1"/>
  <c r="AL64" i="16"/>
  <c r="AL58" i="16" s="1"/>
  <c r="AK64" i="16"/>
  <c r="AJ64"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BB58" i="16"/>
  <c r="BA58" i="16"/>
  <c r="AX58" i="16"/>
  <c r="AW58" i="16"/>
  <c r="AT58" i="16"/>
  <c r="AS58" i="16"/>
  <c r="AR58" i="16"/>
  <c r="AO58" i="16"/>
  <c r="AN58" i="16"/>
  <c r="AK58" i="16"/>
  <c r="AJ58" i="16"/>
  <c r="AI58" i="16"/>
  <c r="AH58" i="16"/>
  <c r="AG58" i="16"/>
  <c r="AF58" i="16"/>
  <c r="AE58" i="16"/>
  <c r="T58" i="16" a="1"/>
  <c r="T58" i="16"/>
  <c r="T59" i="16" s="1" a="1"/>
  <c r="T59" i="16" s="1"/>
  <c r="T60" i="16" s="1" a="1"/>
  <c r="T60" i="16" s="1"/>
  <c r="T61" i="16" s="1" a="1"/>
  <c r="T61" i="16" s="1"/>
  <c r="T62" i="16" s="1" a="1"/>
  <c r="T62" i="16" s="1"/>
  <c r="T63" i="16" s="1" a="1"/>
  <c r="T63" i="16" s="1"/>
  <c r="T64" i="16" s="1" a="1"/>
  <c r="T64" i="16" s="1"/>
  <c r="T65" i="16" s="1" a="1"/>
  <c r="T65" i="16" s="1"/>
  <c r="T66" i="16" s="1" a="1"/>
  <c r="T66" i="16" s="1"/>
  <c r="L58" i="16" a="1"/>
  <c r="L58" i="16" s="1"/>
  <c r="T57" i="16"/>
  <c r="F57" i="16" a="1"/>
  <c r="F57" i="16"/>
  <c r="F58" i="16" s="1" a="1"/>
  <c r="F58" i="16" s="1"/>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L48" i="16" a="1"/>
  <c r="L48" i="16"/>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s="1"/>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T38" i="16" a="1"/>
  <c r="T38" i="16"/>
  <c r="T39" i="16" s="1" a="1"/>
  <c r="T39" i="16" s="1"/>
  <c r="T40" i="16" s="1" a="1"/>
  <c r="T40" i="16" s="1"/>
  <c r="T41" i="16" s="1" a="1"/>
  <c r="T41" i="16" s="1"/>
  <c r="T42" i="16" s="1" a="1"/>
  <c r="T42" i="16" s="1"/>
  <c r="T43" i="16" s="1" a="1"/>
  <c r="T43" i="16" s="1"/>
  <c r="T44" i="16" s="1" a="1"/>
  <c r="T44" i="16" s="1"/>
  <c r="T45" i="16" s="1" a="1"/>
  <c r="T45" i="16" s="1"/>
  <c r="T46" i="16" s="1" a="1"/>
  <c r="T46" i="16" s="1"/>
  <c r="L38" i="16" a="1"/>
  <c r="L38" i="16" s="1"/>
  <c r="T37" i="16"/>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c r="T27" i="16"/>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A9" i="16" a="1"/>
  <c r="BA9" i="16"/>
  <c r="AW9" i="16" a="1"/>
  <c r="AW9" i="16"/>
  <c r="AQ9" i="16" a="1"/>
  <c r="AQ9" i="16"/>
  <c r="AP9" i="16" a="1"/>
  <c r="AP9" i="16" s="1"/>
  <c r="AM9" i="16" a="1"/>
  <c r="AM9" i="16"/>
  <c r="AL9" i="16" a="1"/>
  <c r="AL9" i="16" s="1"/>
  <c r="AE9" i="16" a="1"/>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B9" i="16" s="1" a="1"/>
  <c r="BB9" i="16" s="1"/>
  <c r="BA6" i="16"/>
  <c r="AZ6" i="16"/>
  <c r="AZ9" i="16" s="1" a="1"/>
  <c r="AZ9" i="16" s="1"/>
  <c r="AY6" i="16"/>
  <c r="AX6" i="16"/>
  <c r="AX9" i="16" s="1" a="1"/>
  <c r="AX9" i="16" s="1"/>
  <c r="AW6" i="16"/>
  <c r="AV6" i="16"/>
  <c r="AV9" i="16" s="1" a="1"/>
  <c r="AV9" i="16" s="1"/>
  <c r="AU6" i="16"/>
  <c r="AT6" i="16"/>
  <c r="AT9" i="16" s="1" a="1"/>
  <c r="AT9" i="16" s="1"/>
  <c r="AS6" i="16" a="1"/>
  <c r="AS6" i="16"/>
  <c r="AS9" i="16" s="1" a="1"/>
  <c r="AS9" i="16" s="1"/>
  <c r="AR6" i="16"/>
  <c r="AR9" i="16" s="1" a="1"/>
  <c r="AR9" i="16" s="1"/>
  <c r="AQ6" i="16"/>
  <c r="AP6" i="16"/>
  <c r="AO6" i="16"/>
  <c r="AO9" i="16" s="1" a="1"/>
  <c r="AO9" i="16" s="1"/>
  <c r="AN6" i="16"/>
  <c r="AN9" i="16" s="1" a="1"/>
  <c r="AN9" i="16" s="1"/>
  <c r="AM6" i="16"/>
  <c r="AL6" i="16"/>
  <c r="AK6" i="16"/>
  <c r="AK9" i="16" s="1" a="1"/>
  <c r="AK9" i="16" s="1"/>
  <c r="AJ6" i="16"/>
  <c r="AJ9" i="16" s="1" a="1"/>
  <c r="AJ9" i="16" s="1"/>
  <c r="AI6" i="16" a="1"/>
  <c r="AI6" i="16" s="1"/>
  <c r="AH6" i="16"/>
  <c r="AH9" i="16" s="1" a="1"/>
  <c r="AH9" i="16" s="1"/>
  <c r="AG6" i="16"/>
  <c r="AG9" i="16" s="1" a="1"/>
  <c r="AG9" i="16" s="1"/>
  <c r="AF6" i="16"/>
  <c r="AF9" i="16" s="1" a="1"/>
  <c r="AF9" i="16" s="1"/>
  <c r="AE6" i="16"/>
  <c r="T230" i="15"/>
  <c r="T229" i="15"/>
  <c r="T228" i="15"/>
  <c r="T227" i="15"/>
  <c r="T226" i="15"/>
  <c r="BB217" i="15"/>
  <c r="BA217" i="15"/>
  <c r="AZ217" i="15"/>
  <c r="AY217" i="15"/>
  <c r="AX217" i="15"/>
  <c r="AW217" i="15"/>
  <c r="AV217" i="15"/>
  <c r="AU217" i="15"/>
  <c r="AT217" i="15"/>
  <c r="AS217" i="15"/>
  <c r="AR217" i="15"/>
  <c r="AQ217" i="15"/>
  <c r="AP217" i="15"/>
  <c r="AO217" i="15"/>
  <c r="AN217" i="15"/>
  <c r="AM217" i="15"/>
  <c r="AL217" i="15"/>
  <c r="AK217" i="15"/>
  <c r="AJ217" i="15"/>
  <c r="AI217" i="15"/>
  <c r="AH217" i="15"/>
  <c r="AG217" i="15"/>
  <c r="AF217" i="15"/>
  <c r="AE217" i="15"/>
  <c r="BB211" i="15"/>
  <c r="BA211" i="15"/>
  <c r="AZ211" i="15"/>
  <c r="AY211" i="15"/>
  <c r="AX211" i="15"/>
  <c r="AW211" i="15"/>
  <c r="AV211" i="15"/>
  <c r="AU211" i="15"/>
  <c r="AT211" i="15"/>
  <c r="AR211" i="15"/>
  <c r="AQ211" i="15"/>
  <c r="AP211" i="15"/>
  <c r="AO211" i="15"/>
  <c r="AN211" i="15"/>
  <c r="AM211" i="15"/>
  <c r="AL211" i="15"/>
  <c r="AK211" i="15"/>
  <c r="AJ211" i="15"/>
  <c r="L211" i="15" a="1"/>
  <c r="L211" i="15" s="1"/>
  <c r="AZ209" i="15"/>
  <c r="AV209" i="15"/>
  <c r="AR209" i="15"/>
  <c r="AN209" i="15"/>
  <c r="AJ209" i="15"/>
  <c r="AE209" i="15"/>
  <c r="AY208" i="15"/>
  <c r="AU208" i="15"/>
  <c r="AP208" i="15"/>
  <c r="AL208" i="15"/>
  <c r="AH208" i="15"/>
  <c r="AH207" i="15"/>
  <c r="BA203" i="15"/>
  <c r="BA209" i="15" s="1"/>
  <c r="AZ203" i="15"/>
  <c r="AW203" i="15"/>
  <c r="AW209" i="15" s="1"/>
  <c r="AV203" i="15"/>
  <c r="AS203" i="15"/>
  <c r="AS209" i="15" s="1"/>
  <c r="AR203" i="15"/>
  <c r="AO203" i="15"/>
  <c r="AO209" i="15" s="1"/>
  <c r="AN203" i="15"/>
  <c r="AK203" i="15"/>
  <c r="AK209" i="15" s="1"/>
  <c r="AJ203" i="15"/>
  <c r="AG203" i="15"/>
  <c r="AG209" i="15" s="1"/>
  <c r="AE203" i="15"/>
  <c r="AZ202" i="15"/>
  <c r="AZ208" i="15" s="1"/>
  <c r="AY202" i="15"/>
  <c r="AV202" i="15"/>
  <c r="AV208" i="15" s="1"/>
  <c r="AU202" i="15"/>
  <c r="AQ202" i="15"/>
  <c r="AQ208" i="15" s="1"/>
  <c r="AP202" i="15"/>
  <c r="AM202" i="15"/>
  <c r="AM208" i="15" s="1"/>
  <c r="AL202" i="15"/>
  <c r="AI202" i="15"/>
  <c r="AI208" i="15" s="1"/>
  <c r="AH202" i="15"/>
  <c r="AH201" i="15"/>
  <c r="AE201" i="15"/>
  <c r="AE207" i="15" s="1"/>
  <c r="BB200" i="15"/>
  <c r="AY200" i="15"/>
  <c r="AY206" i="15" s="1"/>
  <c r="AX200" i="15"/>
  <c r="AU200" i="15"/>
  <c r="AU206" i="15" s="1"/>
  <c r="AT200" i="15"/>
  <c r="AP200" i="15"/>
  <c r="AP206" i="15" s="1"/>
  <c r="AO200" i="15"/>
  <c r="AL200" i="15"/>
  <c r="AL206" i="15" s="1"/>
  <c r="AK200" i="15"/>
  <c r="AH200" i="15"/>
  <c r="AH206" i="15" s="1"/>
  <c r="AE200" i="15"/>
  <c r="AE206" i="15" s="1"/>
  <c r="BB198" i="15"/>
  <c r="BB204" i="15" s="1"/>
  <c r="BB210" i="15" s="1"/>
  <c r="BA198" i="15"/>
  <c r="BA204" i="15" s="1"/>
  <c r="BA210" i="15" s="1"/>
  <c r="AZ198" i="15"/>
  <c r="AZ204" i="15" s="1"/>
  <c r="AZ210" i="15" s="1"/>
  <c r="AY198" i="15"/>
  <c r="AY204" i="15" s="1"/>
  <c r="AY210" i="15" s="1"/>
  <c r="AX198" i="15"/>
  <c r="AX204" i="15" s="1"/>
  <c r="AX210" i="15" s="1"/>
  <c r="AW198" i="15"/>
  <c r="AW204" i="15" s="1"/>
  <c r="AW210" i="15" s="1"/>
  <c r="AV198" i="15"/>
  <c r="AV204" i="15" s="1"/>
  <c r="AV210" i="15" s="1"/>
  <c r="AU198" i="15"/>
  <c r="AU204" i="15" s="1"/>
  <c r="AU210" i="15" s="1"/>
  <c r="AT198" i="15"/>
  <c r="AT204" i="15" s="1"/>
  <c r="AT210" i="15" s="1"/>
  <c r="AS198" i="15"/>
  <c r="AS204" i="15" s="1"/>
  <c r="AS210" i="15" s="1"/>
  <c r="AR198" i="15"/>
  <c r="AR204" i="15" s="1"/>
  <c r="AR210" i="15" s="1"/>
  <c r="AQ198" i="15"/>
  <c r="AQ204" i="15" s="1"/>
  <c r="AQ210" i="15" s="1"/>
  <c r="AP198" i="15"/>
  <c r="AP204" i="15" s="1"/>
  <c r="AP210" i="15" s="1"/>
  <c r="AO198" i="15"/>
  <c r="AN198" i="15"/>
  <c r="AN204" i="15" s="1"/>
  <c r="AN210" i="15" s="1"/>
  <c r="AM198" i="15"/>
  <c r="AM204" i="15" s="1"/>
  <c r="AM210" i="15" s="1"/>
  <c r="AL198" i="15"/>
  <c r="AL204" i="15" s="1"/>
  <c r="AL210" i="15" s="1"/>
  <c r="AK198" i="15"/>
  <c r="AJ198" i="15"/>
  <c r="AJ204" i="15" s="1"/>
  <c r="AJ210" i="15" s="1"/>
  <c r="AH198" i="15"/>
  <c r="AG198" i="15"/>
  <c r="AG204" i="15" s="1"/>
  <c r="AG210" i="15" s="1"/>
  <c r="BB197" i="15"/>
  <c r="BA197" i="15"/>
  <c r="AZ197" i="15"/>
  <c r="AY197" i="15"/>
  <c r="AY203" i="15" s="1"/>
  <c r="AY209" i="15" s="1"/>
  <c r="AX197" i="15"/>
  <c r="AW197" i="15"/>
  <c r="AV197" i="15"/>
  <c r="AU197" i="15"/>
  <c r="AU203" i="15" s="1"/>
  <c r="AU209" i="15" s="1"/>
  <c r="AT197" i="15"/>
  <c r="AS197" i="15"/>
  <c r="AR197" i="15"/>
  <c r="AQ197" i="15"/>
  <c r="AQ193" i="15" s="1"/>
  <c r="AP197" i="15"/>
  <c r="AO197" i="15"/>
  <c r="AN197" i="15"/>
  <c r="AM197" i="15"/>
  <c r="AM193" i="15" s="1"/>
  <c r="AL197" i="15"/>
  <c r="AK197" i="15"/>
  <c r="AJ197" i="15"/>
  <c r="AI197" i="15"/>
  <c r="AI203" i="15" s="1"/>
  <c r="AI209" i="15" s="1"/>
  <c r="AH197" i="15"/>
  <c r="AH203" i="15" s="1"/>
  <c r="AH209" i="15" s="1"/>
  <c r="AG197" i="15"/>
  <c r="AE197" i="15"/>
  <c r="BB196" i="15"/>
  <c r="BB202" i="15" s="1"/>
  <c r="BB208" i="15" s="1"/>
  <c r="BA196" i="15"/>
  <c r="BA202" i="15" s="1"/>
  <c r="BA208" i="15" s="1"/>
  <c r="AZ196" i="15"/>
  <c r="AY196" i="15"/>
  <c r="AX196" i="15"/>
  <c r="AX202" i="15" s="1"/>
  <c r="AX208" i="15" s="1"/>
  <c r="AW196" i="15"/>
  <c r="AW202" i="15" s="1"/>
  <c r="AW208" i="15" s="1"/>
  <c r="AV196" i="15"/>
  <c r="AU196" i="15"/>
  <c r="AT196" i="15"/>
  <c r="AT202" i="15" s="1"/>
  <c r="AT208" i="15" s="1"/>
  <c r="AR196" i="15"/>
  <c r="AR202" i="15" s="1"/>
  <c r="AR208" i="15" s="1"/>
  <c r="AQ196" i="15"/>
  <c r="AP196" i="15"/>
  <c r="AO196" i="15"/>
  <c r="AO202" i="15" s="1"/>
  <c r="AO208" i="15" s="1"/>
  <c r="AN196" i="15"/>
  <c r="AN202" i="15" s="1"/>
  <c r="AN208" i="15" s="1"/>
  <c r="AM196" i="15"/>
  <c r="AL196" i="15"/>
  <c r="AK196" i="15"/>
  <c r="AK202" i="15" s="1"/>
  <c r="AK208" i="15" s="1"/>
  <c r="AJ196" i="15"/>
  <c r="AJ202" i="15" s="1"/>
  <c r="AJ208" i="15" s="1"/>
  <c r="AI196" i="15"/>
  <c r="AE196" i="15"/>
  <c r="AE202" i="15" s="1"/>
  <c r="AE208" i="15" s="1"/>
  <c r="BB195" i="15"/>
  <c r="BB201" i="15" s="1"/>
  <c r="BB207" i="15" s="1"/>
  <c r="BA195" i="15"/>
  <c r="BA201" i="15" s="1"/>
  <c r="BA207" i="15" s="1"/>
  <c r="AZ195" i="15"/>
  <c r="AZ201" i="15" s="1"/>
  <c r="AZ207" i="15" s="1"/>
  <c r="AY195" i="15"/>
  <c r="AY201" i="15" s="1"/>
  <c r="AY207" i="15" s="1"/>
  <c r="AX195" i="15"/>
  <c r="AX201" i="15" s="1"/>
  <c r="AX207" i="15" s="1"/>
  <c r="AW195" i="15"/>
  <c r="AW201" i="15" s="1"/>
  <c r="AW207" i="15" s="1"/>
  <c r="AV195" i="15"/>
  <c r="AV201" i="15" s="1"/>
  <c r="AV207" i="15" s="1"/>
  <c r="AU195" i="15"/>
  <c r="AU201" i="15" s="1"/>
  <c r="AU207" i="15" s="1"/>
  <c r="AT195" i="15"/>
  <c r="AT201" i="15" s="1"/>
  <c r="AT207" i="15" s="1"/>
  <c r="AR195" i="15"/>
  <c r="AR201" i="15" s="1"/>
  <c r="AR207" i="15" s="1"/>
  <c r="AQ195" i="15"/>
  <c r="AQ201" i="15" s="1"/>
  <c r="AQ207" i="15" s="1"/>
  <c r="AP195" i="15"/>
  <c r="AP201" i="15" s="1"/>
  <c r="AP207" i="15" s="1"/>
  <c r="AO195" i="15"/>
  <c r="AO201" i="15" s="1"/>
  <c r="AO207" i="15" s="1"/>
  <c r="AN195" i="15"/>
  <c r="AN201" i="15" s="1"/>
  <c r="AN207" i="15" s="1"/>
  <c r="AM195" i="15"/>
  <c r="AM201" i="15" s="1"/>
  <c r="AM207" i="15" s="1"/>
  <c r="AL195" i="15"/>
  <c r="AL201" i="15" s="1"/>
  <c r="AL207" i="15" s="1"/>
  <c r="AK195" i="15"/>
  <c r="AK201" i="15" s="1"/>
  <c r="AK207" i="15" s="1"/>
  <c r="AJ195" i="15"/>
  <c r="AJ201" i="15" s="1"/>
  <c r="AJ207" i="15" s="1"/>
  <c r="AI195" i="15"/>
  <c r="AI201" i="15" s="1"/>
  <c r="AI207" i="15" s="1"/>
  <c r="AE195" i="15"/>
  <c r="BB194" i="15"/>
  <c r="BA194" i="15"/>
  <c r="BA200" i="15" s="1"/>
  <c r="AZ194" i="15"/>
  <c r="AZ200" i="15" s="1"/>
  <c r="AY194" i="15"/>
  <c r="AX194" i="15"/>
  <c r="AW194" i="15"/>
  <c r="AW200" i="15" s="1"/>
  <c r="AV194" i="15"/>
  <c r="AV200" i="15" s="1"/>
  <c r="AU194" i="15"/>
  <c r="AT194" i="15"/>
  <c r="AR194" i="15"/>
  <c r="AR200" i="15" s="1"/>
  <c r="AQ194" i="15"/>
  <c r="AQ200" i="15" s="1"/>
  <c r="AP194" i="15"/>
  <c r="AO194" i="15"/>
  <c r="AN194" i="15"/>
  <c r="AN200" i="15" s="1"/>
  <c r="AM194" i="15"/>
  <c r="AM200" i="15" s="1"/>
  <c r="AL194" i="15"/>
  <c r="AK194" i="15"/>
  <c r="AJ194" i="15"/>
  <c r="AJ200" i="15" s="1"/>
  <c r="AI194" i="15"/>
  <c r="AI200" i="15" s="1"/>
  <c r="AI206" i="15" s="1"/>
  <c r="AE194" i="15"/>
  <c r="AZ193" i="15"/>
  <c r="AV193" i="15"/>
  <c r="AN193"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E187" i="15"/>
  <c r="BB181" i="15"/>
  <c r="BA181" i="15"/>
  <c r="AZ181" i="15"/>
  <c r="AY181" i="15"/>
  <c r="AX181" i="15"/>
  <c r="AW181" i="15"/>
  <c r="AV181" i="15"/>
  <c r="AU181" i="15"/>
  <c r="AT181" i="15"/>
  <c r="AS181" i="15"/>
  <c r="AR181" i="15"/>
  <c r="AQ181" i="15"/>
  <c r="AP181" i="15"/>
  <c r="AO181" i="15"/>
  <c r="AN181" i="15"/>
  <c r="AM181" i="15"/>
  <c r="AL181" i="15"/>
  <c r="AK181" i="15"/>
  <c r="AJ181" i="15"/>
  <c r="AI181" i="15"/>
  <c r="AH181" i="15"/>
  <c r="AE181" i="15"/>
  <c r="BB175" i="15"/>
  <c r="BA175" i="15"/>
  <c r="AZ175" i="15"/>
  <c r="AY175" i="15"/>
  <c r="AX175" i="15"/>
  <c r="AW175" i="15"/>
  <c r="AV175" i="15"/>
  <c r="AU175" i="15"/>
  <c r="AT175" i="15"/>
  <c r="AR175" i="15"/>
  <c r="AQ175" i="15"/>
  <c r="AP175" i="15"/>
  <c r="AO175" i="15"/>
  <c r="AN175" i="15"/>
  <c r="AM175" i="15"/>
  <c r="AL175" i="15"/>
  <c r="AK175" i="15"/>
  <c r="AJ175" i="15"/>
  <c r="T174" i="15"/>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F174" i="15"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E168" i="15"/>
  <c r="BB162" i="15"/>
  <c r="BA162" i="15"/>
  <c r="AZ162" i="15"/>
  <c r="AY162" i="15"/>
  <c r="AX162" i="15"/>
  <c r="AW162" i="15"/>
  <c r="AV162" i="15"/>
  <c r="AU162" i="15"/>
  <c r="AT162" i="15"/>
  <c r="AR162" i="15"/>
  <c r="AQ162" i="15"/>
  <c r="AP162" i="15"/>
  <c r="AO162" i="15"/>
  <c r="AN162" i="15"/>
  <c r="AM162" i="15"/>
  <c r="AL162" i="15"/>
  <c r="AK162" i="15"/>
  <c r="AJ162" i="15"/>
  <c r="L162" i="15" a="1"/>
  <c r="L162" i="15" s="1"/>
  <c r="AN161" i="15"/>
  <c r="AV160" i="15"/>
  <c r="AM160" i="15"/>
  <c r="AF160" i="15"/>
  <c r="AH159" i="15"/>
  <c r="AF159" i="15"/>
  <c r="AQ158" i="15"/>
  <c r="AH158" i="15"/>
  <c r="AF158" i="15"/>
  <c r="AH157" i="15"/>
  <c r="AF157" i="15"/>
  <c r="AV155" i="15"/>
  <c r="AV161" i="15" s="1"/>
  <c r="AN155" i="15"/>
  <c r="AN154" i="15"/>
  <c r="AN160" i="15" s="1"/>
  <c r="AX153" i="15"/>
  <c r="AX159" i="15" s="1"/>
  <c r="AO153" i="15"/>
  <c r="AO159" i="15" s="1"/>
  <c r="AX151" i="15"/>
  <c r="AX157" i="15" s="1"/>
  <c r="AO151" i="15"/>
  <c r="AO157" i="15" s="1"/>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M149" i="15"/>
  <c r="AM155" i="15" s="1"/>
  <c r="AM161" i="15" s="1"/>
  <c r="AL149" i="15"/>
  <c r="AL155" i="15" s="1"/>
  <c r="AL161" i="15" s="1"/>
  <c r="AK149" i="15"/>
  <c r="AK155" i="15" s="1"/>
  <c r="AK161" i="15" s="1"/>
  <c r="AJ149" i="15"/>
  <c r="AJ155" i="15" s="1"/>
  <c r="AJ161" i="15" s="1"/>
  <c r="AH149" i="15"/>
  <c r="AH155" i="15" s="1"/>
  <c r="AG149" i="15"/>
  <c r="AG155" i="15" s="1"/>
  <c r="AG161" i="15" s="1"/>
  <c r="BB148" i="15"/>
  <c r="BB154" i="15" s="1"/>
  <c r="BB160" i="15" s="1"/>
  <c r="BA148" i="15"/>
  <c r="BA144" i="15" s="1"/>
  <c r="AZ148" i="15"/>
  <c r="AZ154" i="15" s="1"/>
  <c r="AZ160" i="15" s="1"/>
  <c r="AY148" i="15"/>
  <c r="AY154" i="15" s="1"/>
  <c r="AY160" i="15" s="1"/>
  <c r="AX148" i="15"/>
  <c r="AX154" i="15" s="1"/>
  <c r="AX160" i="15" s="1"/>
  <c r="AW148" i="15"/>
  <c r="AW144" i="15" s="1"/>
  <c r="AV148" i="15"/>
  <c r="AV154" i="15" s="1"/>
  <c r="AU148" i="15"/>
  <c r="AU154" i="15" s="1"/>
  <c r="AU160" i="15" s="1"/>
  <c r="AT148" i="15"/>
  <c r="AT154" i="15" s="1"/>
  <c r="AT160" i="15" s="1"/>
  <c r="AR148" i="15"/>
  <c r="AR144" i="15" s="1"/>
  <c r="AQ148" i="15"/>
  <c r="AQ154" i="15" s="1"/>
  <c r="AQ160" i="15" s="1"/>
  <c r="AP148" i="15"/>
  <c r="AP154" i="15" s="1"/>
  <c r="AP160" i="15" s="1"/>
  <c r="AO148" i="15"/>
  <c r="AO154" i="15" s="1"/>
  <c r="AO160" i="15" s="1"/>
  <c r="AN148" i="15"/>
  <c r="AN144" i="15" s="1"/>
  <c r="AM148" i="15"/>
  <c r="AM154" i="15" s="1"/>
  <c r="AL148" i="15"/>
  <c r="AL154" i="15" s="1"/>
  <c r="AL160" i="15" s="1"/>
  <c r="AK148" i="15"/>
  <c r="AK154" i="15" s="1"/>
  <c r="AK160" i="15" s="1"/>
  <c r="AJ148" i="15"/>
  <c r="AJ144" i="15" s="1"/>
  <c r="AI148" i="15"/>
  <c r="AI154" i="15" s="1"/>
  <c r="AI160" i="15" s="1"/>
  <c r="AH148" i="15"/>
  <c r="AH154" i="15" s="1"/>
  <c r="AH160" i="15" s="1"/>
  <c r="AE148" i="15"/>
  <c r="AE154" i="15" s="1"/>
  <c r="AE160" i="15" s="1"/>
  <c r="BB147" i="15"/>
  <c r="BB153" i="15" s="1"/>
  <c r="BB159" i="15" s="1"/>
  <c r="BA147" i="15"/>
  <c r="BA153" i="15" s="1"/>
  <c r="BA159" i="15" s="1"/>
  <c r="AZ147" i="15"/>
  <c r="AZ153" i="15" s="1"/>
  <c r="AZ159" i="15" s="1"/>
  <c r="AY147" i="15"/>
  <c r="AY153" i="15" s="1"/>
  <c r="AY159" i="15" s="1"/>
  <c r="AX147" i="15"/>
  <c r="AW147" i="15"/>
  <c r="AW153" i="15" s="1"/>
  <c r="AW159" i="15" s="1"/>
  <c r="AV147" i="15"/>
  <c r="AV153" i="15" s="1"/>
  <c r="AV159" i="15" s="1"/>
  <c r="AU147" i="15"/>
  <c r="AU153" i="15" s="1"/>
  <c r="AU159" i="15" s="1"/>
  <c r="AT147" i="15"/>
  <c r="AT153" i="15" s="1"/>
  <c r="AT159" i="15" s="1"/>
  <c r="AR147" i="15"/>
  <c r="AR153" i="15" s="1"/>
  <c r="AR159" i="15" s="1"/>
  <c r="AQ147" i="15"/>
  <c r="AQ153" i="15" s="1"/>
  <c r="AQ159" i="15" s="1"/>
  <c r="AP147" i="15"/>
  <c r="AP153" i="15" s="1"/>
  <c r="AP159" i="15" s="1"/>
  <c r="AO147" i="15"/>
  <c r="AN147" i="15"/>
  <c r="AN153" i="15" s="1"/>
  <c r="AN159" i="15" s="1"/>
  <c r="AM147" i="15"/>
  <c r="AM153" i="15" s="1"/>
  <c r="AM159" i="15" s="1"/>
  <c r="AL147" i="15"/>
  <c r="AL153" i="15" s="1"/>
  <c r="AL159" i="15" s="1"/>
  <c r="AK147" i="15"/>
  <c r="AK153" i="15" s="1"/>
  <c r="AK159" i="15" s="1"/>
  <c r="AJ147" i="15"/>
  <c r="AJ153" i="15" s="1"/>
  <c r="AJ159" i="15" s="1"/>
  <c r="AI147" i="15"/>
  <c r="AI153" i="15" s="1"/>
  <c r="AI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R146" i="15"/>
  <c r="AR152" i="15" s="1"/>
  <c r="AR158" i="15" s="1"/>
  <c r="AQ146" i="15"/>
  <c r="AQ152" i="15" s="1"/>
  <c r="AP146" i="15"/>
  <c r="AP152" i="15" s="1"/>
  <c r="AP158" i="15" s="1"/>
  <c r="AO146" i="15"/>
  <c r="AO152"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E146" i="15"/>
  <c r="AE152" i="15" s="1"/>
  <c r="AE158" i="15" s="1"/>
  <c r="BB145" i="15"/>
  <c r="BB151" i="15" s="1"/>
  <c r="BA145" i="15"/>
  <c r="BA151" i="15" s="1"/>
  <c r="AZ145" i="15"/>
  <c r="AZ151" i="15" s="1"/>
  <c r="AY145" i="15"/>
  <c r="AY151" i="15" s="1"/>
  <c r="AX145" i="15"/>
  <c r="AW145" i="15"/>
  <c r="AW151" i="15" s="1"/>
  <c r="AV145" i="15"/>
  <c r="AV151" i="15" s="1"/>
  <c r="AU145" i="15"/>
  <c r="AU151" i="15" s="1"/>
  <c r="AT145" i="15"/>
  <c r="AT151" i="15" s="1"/>
  <c r="AR145" i="15"/>
  <c r="AR151" i="15" s="1"/>
  <c r="AQ145" i="15"/>
  <c r="AQ151" i="15" s="1"/>
  <c r="AP145" i="15"/>
  <c r="AP151" i="15" s="1"/>
  <c r="AO145" i="15"/>
  <c r="AN145" i="15"/>
  <c r="AN151" i="15" s="1"/>
  <c r="AM145" i="15"/>
  <c r="AM151" i="15" s="1"/>
  <c r="AL145" i="15"/>
  <c r="AL151" i="15" s="1"/>
  <c r="AK145" i="15"/>
  <c r="AK151" i="15" s="1"/>
  <c r="AJ145" i="15"/>
  <c r="AJ151" i="15" s="1"/>
  <c r="AI145" i="15"/>
  <c r="AI151" i="15" s="1"/>
  <c r="AI157" i="15" s="1"/>
  <c r="AE145" i="15"/>
  <c r="AE151" i="15" s="1"/>
  <c r="AE157" i="15" s="1"/>
  <c r="BB144" i="15"/>
  <c r="AY144" i="15"/>
  <c r="AX144" i="15"/>
  <c r="AU144" i="15"/>
  <c r="AT144" i="15"/>
  <c r="AP144" i="15"/>
  <c r="AO144" i="15"/>
  <c r="AL144" i="15"/>
  <c r="AK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E132" i="15"/>
  <c r="BB126" i="15"/>
  <c r="BA126" i="15"/>
  <c r="AZ126" i="15"/>
  <c r="AY126" i="15"/>
  <c r="AX126" i="15"/>
  <c r="AW126" i="15"/>
  <c r="AV126" i="15"/>
  <c r="AU126" i="15"/>
  <c r="AT126" i="15"/>
  <c r="AR126" i="15"/>
  <c r="AQ126" i="15"/>
  <c r="AP126" i="15"/>
  <c r="AO126" i="15"/>
  <c r="AN126" i="15"/>
  <c r="AM126" i="15"/>
  <c r="AL126" i="15"/>
  <c r="AK126" i="15"/>
  <c r="AJ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L113" i="15" a="1"/>
  <c r="L113" i="15"/>
  <c r="BB112" i="15"/>
  <c r="AT112" i="15"/>
  <c r="AK112" i="15"/>
  <c r="AR111" i="15"/>
  <c r="AV110" i="15"/>
  <c r="AM110" i="15"/>
  <c r="AI110" i="15"/>
  <c r="AH110" i="15"/>
  <c r="AF110" i="15"/>
  <c r="BB109" i="15"/>
  <c r="AX109" i="15"/>
  <c r="AT109" i="15"/>
  <c r="AO109" i="15"/>
  <c r="AK109" i="15"/>
  <c r="AI109" i="15"/>
  <c r="AH109" i="15"/>
  <c r="AF109" i="15"/>
  <c r="AZ108" i="15"/>
  <c r="AR108" i="15"/>
  <c r="AJ108" i="15"/>
  <c r="AI108" i="15"/>
  <c r="AH108" i="15"/>
  <c r="AF108" i="15"/>
  <c r="BA106" i="15"/>
  <c r="BA112" i="15" s="1"/>
  <c r="AZ106" i="15"/>
  <c r="AZ112" i="15" s="1"/>
  <c r="AW106" i="15"/>
  <c r="AW112" i="15" s="1"/>
  <c r="AV106" i="15"/>
  <c r="AV112" i="15" s="1"/>
  <c r="AR106" i="15"/>
  <c r="AR112" i="15" s="1"/>
  <c r="AQ106" i="15"/>
  <c r="AQ112" i="15" s="1"/>
  <c r="AN106" i="15"/>
  <c r="AN112" i="15" s="1"/>
  <c r="AM106" i="15"/>
  <c r="AM112" i="15" s="1"/>
  <c r="AJ106" i="15"/>
  <c r="AJ112" i="15" s="1"/>
  <c r="BB105" i="15"/>
  <c r="BB111" i="15" s="1"/>
  <c r="AY105" i="15"/>
  <c r="AY111" i="15" s="1"/>
  <c r="AX105" i="15"/>
  <c r="AX111" i="15" s="1"/>
  <c r="AU105" i="15"/>
  <c r="AU111" i="15" s="1"/>
  <c r="AT105" i="15"/>
  <c r="AT111" i="15" s="1"/>
  <c r="AQ105" i="15"/>
  <c r="AQ111" i="15" s="1"/>
  <c r="AP105" i="15"/>
  <c r="AP111" i="15" s="1"/>
  <c r="AM105" i="15"/>
  <c r="AM111" i="15" s="1"/>
  <c r="AL105" i="15"/>
  <c r="AL111" i="15" s="1"/>
  <c r="AI105" i="15"/>
  <c r="AI111" i="15" s="1"/>
  <c r="AH105" i="15"/>
  <c r="AH111" i="15" s="1"/>
  <c r="AE105" i="15"/>
  <c r="AE111" i="15" s="1"/>
  <c r="BB104" i="15"/>
  <c r="BB110" i="15" s="1"/>
  <c r="AY104" i="15"/>
  <c r="AY110" i="15" s="1"/>
  <c r="AX104" i="15"/>
  <c r="AX110" i="15" s="1"/>
  <c r="AU104" i="15"/>
  <c r="AU110" i="15" s="1"/>
  <c r="AT104" i="15"/>
  <c r="AT110" i="15" s="1"/>
  <c r="AP104" i="15"/>
  <c r="AP110" i="15" s="1"/>
  <c r="AO104" i="15"/>
  <c r="AL104" i="15"/>
  <c r="AL110" i="15" s="1"/>
  <c r="AK104" i="15"/>
  <c r="BB103" i="15"/>
  <c r="BA103" i="15"/>
  <c r="BA109" i="15" s="1"/>
  <c r="AX103" i="15"/>
  <c r="AW103" i="15"/>
  <c r="AW109" i="15" s="1"/>
  <c r="AT103" i="15"/>
  <c r="AR103" i="15"/>
  <c r="AR109" i="15" s="1"/>
  <c r="AO103" i="15"/>
  <c r="AN103" i="15"/>
  <c r="AN109" i="15" s="1"/>
  <c r="AK103" i="15"/>
  <c r="AJ103" i="15"/>
  <c r="AJ109" i="15" s="1"/>
  <c r="BA102" i="15"/>
  <c r="BA108" i="15" s="1"/>
  <c r="AZ102" i="15"/>
  <c r="AW102" i="15"/>
  <c r="AW108" i="15" s="1"/>
  <c r="AV102" i="15"/>
  <c r="AS102" i="15"/>
  <c r="AS108" i="15" s="1"/>
  <c r="AR102" i="15"/>
  <c r="AO102" i="15"/>
  <c r="AO108" i="15" s="1"/>
  <c r="AN102" i="15"/>
  <c r="AN108" i="15" s="1"/>
  <c r="AK102" i="15"/>
  <c r="AK108" i="15" s="1"/>
  <c r="AJ102" i="15"/>
  <c r="BB100" i="15"/>
  <c r="BB106" i="15" s="1"/>
  <c r="BA100" i="15"/>
  <c r="AZ100" i="15"/>
  <c r="AY100" i="15"/>
  <c r="AY106" i="15" s="1"/>
  <c r="AY112" i="15" s="1"/>
  <c r="AX100" i="15"/>
  <c r="AX106" i="15" s="1"/>
  <c r="AX112" i="15" s="1"/>
  <c r="AW100" i="15"/>
  <c r="AV100" i="15"/>
  <c r="AU100" i="15"/>
  <c r="AU106" i="15" s="1"/>
  <c r="AU112" i="15" s="1"/>
  <c r="AT100" i="15"/>
  <c r="AT106" i="15" s="1"/>
  <c r="AR100" i="15"/>
  <c r="AQ100" i="15"/>
  <c r="AP100" i="15"/>
  <c r="AP106" i="15" s="1"/>
  <c r="AP112" i="15" s="1"/>
  <c r="AO100" i="15"/>
  <c r="AO106" i="15" s="1"/>
  <c r="AO112" i="15" s="1"/>
  <c r="AN100" i="15"/>
  <c r="AM100" i="15"/>
  <c r="AL100" i="15"/>
  <c r="AL106" i="15" s="1"/>
  <c r="AL112" i="15" s="1"/>
  <c r="AK100" i="15"/>
  <c r="AK106" i="15" s="1"/>
  <c r="AJ100" i="15"/>
  <c r="BB99" i="15"/>
  <c r="BA99" i="15"/>
  <c r="BA105" i="15" s="1"/>
  <c r="BA111" i="15" s="1"/>
  <c r="AZ99" i="15"/>
  <c r="AZ105" i="15" s="1"/>
  <c r="AZ111" i="15" s="1"/>
  <c r="AY99" i="15"/>
  <c r="AX99" i="15"/>
  <c r="AW99" i="15"/>
  <c r="AW105" i="15" s="1"/>
  <c r="AW111" i="15" s="1"/>
  <c r="AV99" i="15"/>
  <c r="AV105" i="15" s="1"/>
  <c r="AV111" i="15" s="1"/>
  <c r="AU99" i="15"/>
  <c r="AT99" i="15"/>
  <c r="AS99" i="15"/>
  <c r="AS105" i="15" s="1"/>
  <c r="AS111" i="15" s="1"/>
  <c r="AR99" i="15"/>
  <c r="AR105" i="15" s="1"/>
  <c r="AQ99" i="15"/>
  <c r="AP99" i="15"/>
  <c r="AP95" i="15" s="1"/>
  <c r="AO99" i="15"/>
  <c r="AO105" i="15" s="1"/>
  <c r="AO111" i="15" s="1"/>
  <c r="AN99" i="15"/>
  <c r="AN105" i="15" s="1"/>
  <c r="AN111" i="15" s="1"/>
  <c r="AM99" i="15"/>
  <c r="AL99" i="15"/>
  <c r="AL95" i="15" s="1"/>
  <c r="AK99" i="15"/>
  <c r="AK105" i="15" s="1"/>
  <c r="AK111" i="15" s="1"/>
  <c r="AJ99" i="15"/>
  <c r="AJ105" i="15" s="1"/>
  <c r="AJ111" i="15" s="1"/>
  <c r="AI99" i="15"/>
  <c r="AH99" i="15"/>
  <c r="AG99" i="15"/>
  <c r="AG105" i="15" s="1"/>
  <c r="AG111" i="15" s="1"/>
  <c r="AF99" i="15"/>
  <c r="AF105" i="15" s="1"/>
  <c r="AF111" i="15" s="1"/>
  <c r="AE99" i="15"/>
  <c r="BB98" i="15"/>
  <c r="BA98" i="15"/>
  <c r="AZ98" i="15"/>
  <c r="AZ104" i="15" s="1"/>
  <c r="AZ110" i="15" s="1"/>
  <c r="AY98" i="15"/>
  <c r="AX98" i="15"/>
  <c r="AW98" i="15"/>
  <c r="AV98" i="15"/>
  <c r="AV104" i="15" s="1"/>
  <c r="AU98" i="15"/>
  <c r="AT98" i="15"/>
  <c r="AR98" i="15"/>
  <c r="AQ98" i="15"/>
  <c r="AQ104" i="15" s="1"/>
  <c r="AQ110" i="15" s="1"/>
  <c r="AP98" i="15"/>
  <c r="AO98" i="15"/>
  <c r="AO95" i="15" s="1"/>
  <c r="AN98" i="15"/>
  <c r="AM98" i="15"/>
  <c r="AM104" i="15" s="1"/>
  <c r="AL98" i="15"/>
  <c r="AK98" i="15"/>
  <c r="AK95" i="15" s="1"/>
  <c r="AJ98" i="15"/>
  <c r="AE98" i="15"/>
  <c r="AE104" i="15" s="1"/>
  <c r="AE110" i="15" s="1"/>
  <c r="BB97" i="15"/>
  <c r="BA97" i="15"/>
  <c r="AZ97" i="15"/>
  <c r="AZ103" i="15" s="1"/>
  <c r="AZ109" i="15" s="1"/>
  <c r="AY97" i="15"/>
  <c r="AY103" i="15" s="1"/>
  <c r="AY109" i="15" s="1"/>
  <c r="AX97" i="15"/>
  <c r="AW97" i="15"/>
  <c r="AV97" i="15"/>
  <c r="AV103" i="15" s="1"/>
  <c r="AV109" i="15" s="1"/>
  <c r="AU97" i="15"/>
  <c r="AU103" i="15" s="1"/>
  <c r="AU109" i="15" s="1"/>
  <c r="AT97" i="15"/>
  <c r="AR97" i="15"/>
  <c r="AQ97" i="15"/>
  <c r="AQ103" i="15" s="1"/>
  <c r="AQ109" i="15" s="1"/>
  <c r="AP97" i="15"/>
  <c r="AP103" i="15" s="1"/>
  <c r="AP109" i="15" s="1"/>
  <c r="AO97" i="15"/>
  <c r="AN97" i="15"/>
  <c r="AM97" i="15"/>
  <c r="AM103" i="15" s="1"/>
  <c r="AM109" i="15" s="1"/>
  <c r="AL97" i="15"/>
  <c r="AL103" i="15" s="1"/>
  <c r="AL109" i="15" s="1"/>
  <c r="AK97" i="15"/>
  <c r="AJ97" i="15"/>
  <c r="AE97" i="15"/>
  <c r="AE103" i="15" s="1"/>
  <c r="AE109" i="15" s="1"/>
  <c r="BB96" i="15"/>
  <c r="BB102" i="15" s="1"/>
  <c r="BA96" i="15"/>
  <c r="AZ96" i="15"/>
  <c r="AY96" i="15"/>
  <c r="AX96" i="15"/>
  <c r="AX102" i="15" s="1"/>
  <c r="AW96" i="15"/>
  <c r="AV96" i="15"/>
  <c r="AU96" i="15"/>
  <c r="AT96" i="15"/>
  <c r="AT102" i="15" s="1"/>
  <c r="AS96" i="15"/>
  <c r="AR96" i="15"/>
  <c r="AQ96" i="15"/>
  <c r="AQ102" i="15" s="1"/>
  <c r="AP96" i="15"/>
  <c r="AP102" i="15" s="1"/>
  <c r="AO96" i="15"/>
  <c r="AN96" i="15"/>
  <c r="AM96" i="15"/>
  <c r="AM102" i="15" s="1"/>
  <c r="AL96" i="15"/>
  <c r="AL102" i="15" s="1"/>
  <c r="AK96" i="15"/>
  <c r="AJ96" i="15"/>
  <c r="AG96" i="15"/>
  <c r="AG102" i="15" s="1"/>
  <c r="AG108" i="15" s="1"/>
  <c r="AE96" i="15"/>
  <c r="AE102" i="15" s="1"/>
  <c r="AE108" i="15" s="1"/>
  <c r="AZ95" i="15"/>
  <c r="AV95" i="15"/>
  <c r="BB89" i="15"/>
  <c r="BA89" i="15"/>
  <c r="AZ89" i="15"/>
  <c r="AY89" i="15"/>
  <c r="AX89" i="15"/>
  <c r="AW89" i="15"/>
  <c r="AV89" i="15"/>
  <c r="AU89" i="15"/>
  <c r="AT89" i="15"/>
  <c r="AS89" i="15"/>
  <c r="AR89" i="15"/>
  <c r="AQ89" i="15"/>
  <c r="AP89" i="15"/>
  <c r="AO89" i="15"/>
  <c r="AN89" i="15"/>
  <c r="AM89" i="15"/>
  <c r="AL89" i="15"/>
  <c r="AK89" i="15"/>
  <c r="AJ89" i="15"/>
  <c r="AI89" i="15"/>
  <c r="AH89" i="15"/>
  <c r="AE89" i="15"/>
  <c r="BB83" i="15"/>
  <c r="BA83" i="15"/>
  <c r="AZ83" i="15"/>
  <c r="AY83" i="15"/>
  <c r="AX83" i="15"/>
  <c r="AW83" i="15"/>
  <c r="AV83" i="15"/>
  <c r="AU83" i="15"/>
  <c r="AT83" i="15"/>
  <c r="AS83" i="15"/>
  <c r="AR83" i="15"/>
  <c r="AQ83" i="15"/>
  <c r="AP83" i="15"/>
  <c r="AO83" i="15"/>
  <c r="AN83" i="15"/>
  <c r="AM83" i="15"/>
  <c r="AL83" i="15"/>
  <c r="AK83" i="15"/>
  <c r="AJ83" i="15"/>
  <c r="AH83" i="15"/>
  <c r="AE83" i="15"/>
  <c r="BB77" i="15"/>
  <c r="BA77" i="15"/>
  <c r="AZ77" i="15"/>
  <c r="AY77" i="15"/>
  <c r="AX77" i="15"/>
  <c r="AW77" i="15"/>
  <c r="AV77" i="15"/>
  <c r="AU77" i="15"/>
  <c r="AT77" i="15"/>
  <c r="AR77" i="15"/>
  <c r="AQ77" i="15"/>
  <c r="AP77" i="15"/>
  <c r="AO77" i="15"/>
  <c r="AN77" i="15"/>
  <c r="AM77" i="15"/>
  <c r="AL77" i="15"/>
  <c r="AK77" i="15"/>
  <c r="AJ77" i="15"/>
  <c r="F77" i="15"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W57" i="15"/>
  <c r="AW63" i="15" s="1"/>
  <c r="AO57" i="15"/>
  <c r="AO63" i="15" s="1"/>
  <c r="AG57" i="15"/>
  <c r="AG63" i="15" s="1"/>
  <c r="AW55" i="15"/>
  <c r="AW61" i="15" s="1"/>
  <c r="AO55" i="15"/>
  <c r="AO61" i="15" s="1"/>
  <c r="AG55" i="15"/>
  <c r="AG61" i="15" s="1"/>
  <c r="AW53" i="15"/>
  <c r="AO53" i="15"/>
  <c r="AO52" i="15" s="1"/>
  <c r="AG53" i="15"/>
  <c r="BB51" i="15"/>
  <c r="BB57" i="15" s="1"/>
  <c r="BB63" i="15" s="1"/>
  <c r="BA51" i="15"/>
  <c r="BA57" i="15" s="1"/>
  <c r="BA63" i="15" s="1"/>
  <c r="AZ51" i="15"/>
  <c r="AZ57" i="15" s="1"/>
  <c r="AZ63" i="15" s="1"/>
  <c r="AY51" i="15"/>
  <c r="AY57" i="15" s="1"/>
  <c r="AY63" i="15" s="1"/>
  <c r="AX51" i="15"/>
  <c r="AX57" i="15" s="1"/>
  <c r="AX63" i="15" s="1"/>
  <c r="AW51" i="15"/>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V47" i="15"/>
  <c r="AV53" i="15" s="1"/>
  <c r="AU47" i="15"/>
  <c r="AU53" i="15" s="1"/>
  <c r="AT47" i="15"/>
  <c r="AT53" i="15" s="1"/>
  <c r="AS47" i="15"/>
  <c r="AS53" i="15" s="1"/>
  <c r="AR47" i="15"/>
  <c r="AR53" i="15" s="1"/>
  <c r="AQ47" i="15"/>
  <c r="AQ53" i="15" s="1"/>
  <c r="AP47" i="15"/>
  <c r="AP53" i="15" s="1"/>
  <c r="AO47" i="15"/>
  <c r="AN47" i="15"/>
  <c r="AN53" i="15" s="1"/>
  <c r="AM47" i="15"/>
  <c r="AM53" i="15" s="1"/>
  <c r="AL47" i="15"/>
  <c r="AL53" i="15" s="1"/>
  <c r="AK47" i="15"/>
  <c r="AK53" i="15" s="1"/>
  <c r="AJ47" i="15"/>
  <c r="AJ53" i="15" s="1"/>
  <c r="AI47" i="15"/>
  <c r="AI53" i="15" s="1"/>
  <c r="AH47" i="15"/>
  <c r="AH53" i="15" s="1"/>
  <c r="AG47" i="15"/>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c r="AW9" i="15"/>
  <c r="AU9" i="15" a="1"/>
  <c r="AU9" i="15" s="1"/>
  <c r="AP9" i="15" a="1"/>
  <c r="AP9" i="15" s="1"/>
  <c r="AM9" i="15" a="1"/>
  <c r="AM9" i="15" s="1"/>
  <c r="AL9" i="15" a="1"/>
  <c r="AL9" i="15" s="1"/>
  <c r="AH9" i="15" a="1"/>
  <c r="AH9" i="15" s="1"/>
  <c r="AE9" i="15" a="1"/>
  <c r="AE9" i="15" s="1"/>
  <c r="BB7" i="15" a="1"/>
  <c r="BB7" i="15" s="1"/>
  <c r="BA7" i="15" a="1"/>
  <c r="BA7" i="15"/>
  <c r="AZ7" i="15" a="1"/>
  <c r="AZ7" i="15" s="1"/>
  <c r="AY7" i="15" a="1"/>
  <c r="AY7" i="15" s="1"/>
  <c r="AX7" i="15" a="1"/>
  <c r="AX7" i="15" s="1"/>
  <c r="AW7" i="15" a="1"/>
  <c r="AW7" i="15"/>
  <c r="AV7" i="15" a="1"/>
  <c r="AV7" i="15" s="1"/>
  <c r="AU7" i="15" a="1"/>
  <c r="AU7" i="15" s="1"/>
  <c r="AT7" i="15" a="1"/>
  <c r="AT7" i="15" s="1"/>
  <c r="AS7" i="15" a="1"/>
  <c r="AS7" i="15"/>
  <c r="AR7" i="15" a="1"/>
  <c r="AR7" i="15" s="1"/>
  <c r="AQ7" i="15" a="1"/>
  <c r="AQ7" i="15" s="1"/>
  <c r="AP7" i="15" a="1"/>
  <c r="AP7" i="15" s="1"/>
  <c r="AO7" i="15" a="1"/>
  <c r="AO7" i="15"/>
  <c r="AN7" i="15" a="1"/>
  <c r="AN7" i="15" s="1"/>
  <c r="AM7" i="15" a="1"/>
  <c r="AM7" i="15" s="1"/>
  <c r="AL7" i="15" a="1"/>
  <c r="AL7" i="15" s="1"/>
  <c r="AK7" i="15" a="1"/>
  <c r="AK7" i="15"/>
  <c r="AJ7" i="15" a="1"/>
  <c r="AJ7" i="15" s="1"/>
  <c r="AI7" i="15" a="1"/>
  <c r="AI7" i="15" s="1"/>
  <c r="AH7" i="15" a="1"/>
  <c r="AH7" i="15" s="1"/>
  <c r="AG7" i="15" a="1"/>
  <c r="AG7" i="15"/>
  <c r="AF7" i="15" a="1"/>
  <c r="AF7" i="15" s="1"/>
  <c r="AE7" i="15" a="1"/>
  <c r="AE7" i="15" s="1"/>
  <c r="BB6" i="15"/>
  <c r="BB9" i="15" s="1" a="1"/>
  <c r="BB9" i="15" s="1"/>
  <c r="BA6" i="15"/>
  <c r="BA9" i="15" s="1" a="1"/>
  <c r="AZ6" i="15"/>
  <c r="AY6" i="15"/>
  <c r="AX6" i="15"/>
  <c r="AX9" i="15" s="1" a="1"/>
  <c r="AX9" i="15" s="1"/>
  <c r="AW6" i="15"/>
  <c r="AW9" i="15" s="1" a="1"/>
  <c r="AV6" i="15"/>
  <c r="AV9" i="15" s="1" a="1"/>
  <c r="AV9" i="15" s="1"/>
  <c r="AU6" i="15"/>
  <c r="AT6" i="15"/>
  <c r="AS6" i="15" a="1"/>
  <c r="AS6" i="15"/>
  <c r="AR6" i="15"/>
  <c r="AR9" i="15" s="1" a="1"/>
  <c r="AR9" i="15" s="1"/>
  <c r="AQ6" i="15"/>
  <c r="AP6" i="15"/>
  <c r="AO6" i="15"/>
  <c r="AO9" i="15" s="1" a="1"/>
  <c r="AO9" i="15" s="1"/>
  <c r="AN6" i="15"/>
  <c r="AN9" i="15" s="1" a="1"/>
  <c r="AN9" i="15" s="1"/>
  <c r="AM6" i="15"/>
  <c r="AL6" i="15"/>
  <c r="AK6" i="15"/>
  <c r="AK9" i="15" s="1" a="1"/>
  <c r="AK9" i="15" s="1"/>
  <c r="AJ6" i="15"/>
  <c r="AJ9" i="15" s="1" a="1"/>
  <c r="AJ9" i="15" s="1"/>
  <c r="AI6" i="15" a="1"/>
  <c r="AI6" i="15" s="1"/>
  <c r="AH6" i="15"/>
  <c r="AG6" i="15"/>
  <c r="AG9" i="15" s="1" a="1"/>
  <c r="AG9" i="15" s="1"/>
  <c r="AF6" i="15"/>
  <c r="AF9" i="15" s="1" a="1"/>
  <c r="AF9" i="15" s="1"/>
  <c r="AE6" i="15"/>
  <c r="T123" i="14"/>
  <c r="T122" i="14"/>
  <c r="T121" i="14"/>
  <c r="T120" i="14"/>
  <c r="T119"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B113" i="14"/>
  <c r="AB111"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B110" i="14"/>
  <c r="BH109" i="14" a="1"/>
  <c r="BH109" i="14" s="1"/>
  <c r="BH110" i="14" s="1" a="1"/>
  <c r="BH110" i="14" s="1"/>
  <c r="BH111" i="14" s="1" a="1"/>
  <c r="BH111" i="14" s="1"/>
  <c r="BH112" i="14" s="1" a="1"/>
  <c r="BH112" i="14" s="1"/>
  <c r="BH113" i="14" s="1" a="1"/>
  <c r="BH113" i="14" s="1"/>
  <c r="BH114" i="14" s="1" a="1"/>
  <c r="BH114" i="14" s="1"/>
  <c r="AB109" i="14"/>
  <c r="BH108" i="14" a="1"/>
  <c r="BH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B108" i="14"/>
  <c r="AB114" i="14" s="1"/>
  <c r="H108" i="14" a="1"/>
  <c r="H108" i="14"/>
  <c r="H109" i="14" s="1" a="1"/>
  <c r="H109" i="14" s="1"/>
  <c r="H110" i="14" s="1" a="1"/>
  <c r="H110" i="14" s="1"/>
  <c r="H111" i="14" s="1" a="1"/>
  <c r="H111" i="14" s="1"/>
  <c r="H112" i="14" s="1" a="1"/>
  <c r="H112" i="14" s="1"/>
  <c r="H113" i="14" s="1" a="1"/>
  <c r="H113" i="14" s="1"/>
  <c r="H114" i="14" s="1" a="1"/>
  <c r="H114" i="14" s="1"/>
  <c r="AU105" i="14" a="1"/>
  <c r="AU105" i="14" s="1"/>
  <c r="AT105" i="14" a="1"/>
  <c r="AT105" i="14" s="1"/>
  <c r="BB104" i="14"/>
  <c r="BA104" i="14"/>
  <c r="AZ104" i="14"/>
  <c r="AY104" i="14"/>
  <c r="AX104" i="14"/>
  <c r="AW104" i="14"/>
  <c r="AV104" i="14"/>
  <c r="AS104" i="14"/>
  <c r="AR104" i="14"/>
  <c r="AQ104" i="14"/>
  <c r="AP104" i="14"/>
  <c r="AO104" i="14"/>
  <c r="AN104" i="14"/>
  <c r="AM104" i="14"/>
  <c r="AL104" i="14"/>
  <c r="AK104" i="14"/>
  <c r="AJ104" i="14"/>
  <c r="AI104" i="14"/>
  <c r="AH104" i="14"/>
  <c r="AG104" i="14"/>
  <c r="AF104" i="14"/>
  <c r="AE104" i="14"/>
  <c r="BH103" i="14" a="1"/>
  <c r="BH103" i="14" s="1"/>
  <c r="BH104" i="14" s="1" a="1"/>
  <c r="BH104" i="14" s="1"/>
  <c r="BH105" i="14" s="1" a="1"/>
  <c r="BH105" i="14" s="1"/>
  <c r="AB103" i="14"/>
  <c r="AB105" i="14" s="1"/>
  <c r="H103" i="14" a="1"/>
  <c r="H103" i="14" s="1"/>
  <c r="H104" i="14" s="1" a="1"/>
  <c r="H104" i="14" s="1"/>
  <c r="H105" i="14" s="1" a="1"/>
  <c r="H105" i="14" s="1"/>
  <c r="AB102" i="14"/>
  <c r="BB101" i="14"/>
  <c r="BA101" i="14"/>
  <c r="BA94" i="14" s="1"/>
  <c r="AZ101" i="14"/>
  <c r="AY101" i="14"/>
  <c r="AY94" i="14" s="1"/>
  <c r="AX101" i="14"/>
  <c r="AW101" i="14"/>
  <c r="AW94" i="14" s="1"/>
  <c r="AV101" i="14"/>
  <c r="AU101" i="14"/>
  <c r="AT101" i="14"/>
  <c r="AS101" i="14"/>
  <c r="AS94" i="14" s="1"/>
  <c r="AR101" i="14"/>
  <c r="AQ101" i="14"/>
  <c r="AQ94" i="14" s="1"/>
  <c r="AP101" i="14"/>
  <c r="AO101" i="14"/>
  <c r="AO94" i="14" s="1"/>
  <c r="AN101" i="14"/>
  <c r="AM101" i="14"/>
  <c r="AM94" i="14" s="1"/>
  <c r="AL101" i="14"/>
  <c r="AK101" i="14"/>
  <c r="AK94" i="14" s="1"/>
  <c r="AJ101" i="14"/>
  <c r="AI101" i="14"/>
  <c r="AI94" i="14" s="1"/>
  <c r="AH101" i="14"/>
  <c r="AG101" i="14"/>
  <c r="AG94" i="14" s="1"/>
  <c r="AF101" i="14"/>
  <c r="AE101" i="14"/>
  <c r="AE94" i="14" s="1"/>
  <c r="BH100" i="14" a="1"/>
  <c r="BH100" i="14" s="1"/>
  <c r="BH101" i="14" s="1" a="1"/>
  <c r="BH101" i="14" s="1"/>
  <c r="BH102" i="14" s="1" a="1"/>
  <c r="BH102" i="14" s="1"/>
  <c r="AB100" i="14"/>
  <c r="AB101" i="14" s="1"/>
  <c r="H100" i="14" a="1"/>
  <c r="H100" i="14" s="1"/>
  <c r="H101" i="14" s="1" a="1"/>
  <c r="H101" i="14" s="1"/>
  <c r="H102" i="14" s="1" a="1"/>
  <c r="H102" i="14" s="1"/>
  <c r="BB98" i="14"/>
  <c r="BA98" i="14"/>
  <c r="AZ98" i="14"/>
  <c r="AY98" i="14"/>
  <c r="AX98" i="14"/>
  <c r="AW98" i="14"/>
  <c r="AV98" i="14"/>
  <c r="AR98" i="14"/>
  <c r="AQ98" i="14"/>
  <c r="AP98" i="14"/>
  <c r="AO98" i="14"/>
  <c r="AN98" i="14"/>
  <c r="AM98" i="14"/>
  <c r="AL98" i="14"/>
  <c r="AK98" i="14"/>
  <c r="AJ98" i="14"/>
  <c r="AT96" i="14" a="1"/>
  <c r="AT96" i="14" s="1"/>
  <c r="BB95" i="14"/>
  <c r="BB97" i="14" s="1"/>
  <c r="BA95" i="14"/>
  <c r="BA97" i="14" s="1"/>
  <c r="AZ95" i="14"/>
  <c r="AZ97" i="14" s="1"/>
  <c r="AY95" i="14"/>
  <c r="AY97" i="14" s="1"/>
  <c r="AX95" i="14"/>
  <c r="AX97" i="14" s="1"/>
  <c r="AW95" i="14"/>
  <c r="AW97" i="14" s="1"/>
  <c r="AV95" i="14"/>
  <c r="AV97" i="14" s="1"/>
  <c r="AS95" i="14"/>
  <c r="AS98" i="14" s="1"/>
  <c r="AR95" i="14"/>
  <c r="AR97" i="14" s="1"/>
  <c r="AQ95" i="14"/>
  <c r="AQ97" i="14" s="1"/>
  <c r="AP95" i="14"/>
  <c r="AP97" i="14" s="1"/>
  <c r="AO95" i="14"/>
  <c r="AO97" i="14" s="1"/>
  <c r="AN95" i="14"/>
  <c r="AN97" i="14" s="1"/>
  <c r="AM95" i="14"/>
  <c r="AM97" i="14" s="1"/>
  <c r="AL95" i="14"/>
  <c r="AL97" i="14" s="1"/>
  <c r="AK95" i="14"/>
  <c r="AK97" i="14" s="1"/>
  <c r="AJ95" i="14"/>
  <c r="AJ97" i="14" s="1"/>
  <c r="AI95" i="14"/>
  <c r="AI98" i="14" s="1"/>
  <c r="AH95" i="14"/>
  <c r="AH98" i="14" s="1"/>
  <c r="AG95" i="14"/>
  <c r="AG98" i="14" s="1"/>
  <c r="AF95" i="14"/>
  <c r="AF98" i="14" s="1"/>
  <c r="AE95" i="14"/>
  <c r="AE98" i="14" s="1"/>
  <c r="BB94" i="14"/>
  <c r="AZ94" i="14"/>
  <c r="AX94" i="14"/>
  <c r="AV94" i="14"/>
  <c r="AR94" i="14"/>
  <c r="AP94" i="14"/>
  <c r="AN94" i="14"/>
  <c r="AL94" i="14"/>
  <c r="AJ94" i="14"/>
  <c r="AH94" i="14"/>
  <c r="AF94" i="14"/>
  <c r="T94" i="14" a="1"/>
  <c r="T94" i="14" s="1"/>
  <c r="T95" i="14" s="1" a="1"/>
  <c r="T95" i="14" s="1"/>
  <c r="T96" i="14" s="1" a="1"/>
  <c r="T96" i="14" s="1"/>
  <c r="T97" i="14" s="1" a="1"/>
  <c r="T97" i="14" s="1"/>
  <c r="T98" i="14" s="1" a="1"/>
  <c r="T98" i="14" s="1"/>
  <c r="T99" i="14" s="1" a="1"/>
  <c r="T99" i="14" s="1"/>
  <c r="L94" i="14" a="1"/>
  <c r="L94" i="14" s="1"/>
  <c r="T93" i="14"/>
  <c r="F93" i="14" a="1"/>
  <c r="F93" i="14" s="1"/>
  <c r="F94" i="14" s="1" a="1"/>
  <c r="F94" i="14" s="1"/>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B90" i="14"/>
  <c r="AB88"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B86" i="14"/>
  <c r="BH85" i="14" a="1"/>
  <c r="BH85" i="14"/>
  <c r="BH86" i="14" s="1" a="1"/>
  <c r="BH86" i="14" s="1"/>
  <c r="BH87" i="14" s="1" a="1"/>
  <c r="BH87" i="14" s="1"/>
  <c r="BH88" i="14" s="1" a="1"/>
  <c r="BH88" i="14" s="1"/>
  <c r="BH89" i="14" s="1" a="1"/>
  <c r="BH89" i="14" s="1"/>
  <c r="BH90" i="14" s="1" a="1"/>
  <c r="BH90" i="14" s="1"/>
  <c r="BH91" i="14" s="1" a="1"/>
  <c r="BH91" i="14" s="1"/>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B85" i="14"/>
  <c r="AB89" i="14" s="1"/>
  <c r="H85" i="14" a="1"/>
  <c r="H85" i="14"/>
  <c r="H86" i="14" s="1" a="1"/>
  <c r="H86" i="14" s="1"/>
  <c r="H87" i="14" s="1" a="1"/>
  <c r="H87" i="14" s="1"/>
  <c r="H88" i="14" s="1" a="1"/>
  <c r="H88" i="14" s="1"/>
  <c r="H89" i="14" s="1" a="1"/>
  <c r="H89" i="14" s="1"/>
  <c r="H90" i="14" s="1" a="1"/>
  <c r="H90" i="14" s="1"/>
  <c r="H91" i="14" s="1" a="1"/>
  <c r="H91" i="14" s="1"/>
  <c r="AT82" i="14" a="1"/>
  <c r="AT82" i="14" s="1"/>
  <c r="AB82" i="14"/>
  <c r="BB81" i="14"/>
  <c r="BA81" i="14"/>
  <c r="AZ81" i="14"/>
  <c r="AY81" i="14"/>
  <c r="AX81" i="14"/>
  <c r="AW81" i="14"/>
  <c r="AV81" i="14"/>
  <c r="AS81" i="14"/>
  <c r="AR81" i="14"/>
  <c r="AQ81" i="14"/>
  <c r="AP81" i="14"/>
  <c r="AO81" i="14"/>
  <c r="AN81" i="14"/>
  <c r="AM81" i="14"/>
  <c r="AL81" i="14"/>
  <c r="AK81" i="14"/>
  <c r="AJ81" i="14"/>
  <c r="AI81" i="14"/>
  <c r="AH81" i="14"/>
  <c r="AG81" i="14"/>
  <c r="AF81" i="14"/>
  <c r="AE81" i="14"/>
  <c r="BH80" i="14" a="1"/>
  <c r="BH80" i="14" s="1"/>
  <c r="BH81" i="14" s="1" a="1"/>
  <c r="BH81" i="14" s="1"/>
  <c r="BH82" i="14" s="1" a="1"/>
  <c r="BH82" i="14" s="1"/>
  <c r="AB80" i="14"/>
  <c r="AB81" i="14" s="1"/>
  <c r="H80" i="14" a="1"/>
  <c r="H80" i="14" s="1"/>
  <c r="H81" i="14" s="1" a="1"/>
  <c r="H81" i="14" s="1"/>
  <c r="H82" i="14" s="1" a="1"/>
  <c r="H82" i="14" s="1"/>
  <c r="BB78" i="14"/>
  <c r="BA78" i="14"/>
  <c r="BA71" i="14" s="1"/>
  <c r="AZ78" i="14"/>
  <c r="AY78" i="14"/>
  <c r="AY71" i="14" s="1"/>
  <c r="AX78" i="14"/>
  <c r="AW78" i="14"/>
  <c r="AW71" i="14" s="1"/>
  <c r="AV78" i="14"/>
  <c r="AU78" i="14"/>
  <c r="AT78" i="14"/>
  <c r="AS78" i="14"/>
  <c r="AS71" i="14" s="1"/>
  <c r="AR78" i="14"/>
  <c r="AQ78" i="14"/>
  <c r="AQ71" i="14" s="1"/>
  <c r="AP78" i="14"/>
  <c r="AO78" i="14"/>
  <c r="AO71" i="14" s="1"/>
  <c r="AN78" i="14"/>
  <c r="AM78" i="14"/>
  <c r="AM71" i="14" s="1"/>
  <c r="AL78" i="14"/>
  <c r="AK78" i="14"/>
  <c r="AK71" i="14" s="1"/>
  <c r="AJ78" i="14"/>
  <c r="AI78" i="14"/>
  <c r="AI71" i="14" s="1"/>
  <c r="AH78" i="14"/>
  <c r="AG78" i="14"/>
  <c r="AG71" i="14" s="1"/>
  <c r="AF78" i="14"/>
  <c r="AE78" i="14"/>
  <c r="AE71" i="14" s="1"/>
  <c r="BH77" i="14" a="1"/>
  <c r="BH77" i="14" s="1"/>
  <c r="BH78" i="14" s="1" a="1"/>
  <c r="BH78" i="14" s="1"/>
  <c r="BH79" i="14" s="1" a="1"/>
  <c r="BH79" i="14" s="1"/>
  <c r="AB77" i="14"/>
  <c r="AB79" i="14" s="1"/>
  <c r="H77" i="14" a="1"/>
  <c r="H77" i="14" s="1"/>
  <c r="H78" i="14" s="1" a="1"/>
  <c r="H78" i="14" s="1"/>
  <c r="H79" i="14" s="1" a="1"/>
  <c r="H79" i="14" s="1"/>
  <c r="BB75" i="14"/>
  <c r="BA75" i="14"/>
  <c r="AZ75" i="14"/>
  <c r="AY75" i="14"/>
  <c r="AX75" i="14"/>
  <c r="AW75" i="14"/>
  <c r="AV75" i="14"/>
  <c r="AR75" i="14"/>
  <c r="AQ75" i="14"/>
  <c r="AP75" i="14"/>
  <c r="AO75" i="14"/>
  <c r="AN75" i="14"/>
  <c r="AM75" i="14"/>
  <c r="AL75" i="14"/>
  <c r="AK75" i="14"/>
  <c r="AJ75" i="14"/>
  <c r="AT73" i="14" a="1"/>
  <c r="AT73" i="14" s="1"/>
  <c r="BB72" i="14"/>
  <c r="BB74" i="14" s="1"/>
  <c r="BA72" i="14"/>
  <c r="BA74" i="14" s="1"/>
  <c r="AZ72" i="14"/>
  <c r="AZ74" i="14" s="1"/>
  <c r="AY72" i="14"/>
  <c r="AY74" i="14" s="1"/>
  <c r="AX72" i="14"/>
  <c r="AX74" i="14" s="1"/>
  <c r="AW72" i="14"/>
  <c r="AW74" i="14" s="1"/>
  <c r="AV72" i="14"/>
  <c r="AV74" i="14" s="1"/>
  <c r="AS72" i="14"/>
  <c r="AS75" i="14" s="1"/>
  <c r="AR72" i="14"/>
  <c r="AR74" i="14" s="1"/>
  <c r="AQ72" i="14"/>
  <c r="AQ74" i="14" s="1"/>
  <c r="AP72" i="14"/>
  <c r="AP74" i="14" s="1"/>
  <c r="AO72" i="14"/>
  <c r="AO74" i="14" s="1"/>
  <c r="AN72" i="14"/>
  <c r="AN74" i="14" s="1"/>
  <c r="AM72" i="14"/>
  <c r="AM74" i="14" s="1"/>
  <c r="AL72" i="14"/>
  <c r="AL74" i="14" s="1"/>
  <c r="AK72" i="14"/>
  <c r="AK74" i="14" s="1"/>
  <c r="AJ72" i="14"/>
  <c r="AJ74" i="14" s="1"/>
  <c r="AI72" i="14"/>
  <c r="AI75" i="14" s="1"/>
  <c r="AH72" i="14"/>
  <c r="AH75" i="14" s="1"/>
  <c r="AG72" i="14"/>
  <c r="AG75" i="14" s="1"/>
  <c r="AF72" i="14"/>
  <c r="AF75" i="14" s="1"/>
  <c r="AE72" i="14"/>
  <c r="AE75" i="14" s="1"/>
  <c r="BB71" i="14"/>
  <c r="AZ71" i="14"/>
  <c r="AX71" i="14"/>
  <c r="AV71" i="14"/>
  <c r="AR71" i="14"/>
  <c r="AP71" i="14"/>
  <c r="AN71" i="14"/>
  <c r="AL71" i="14"/>
  <c r="AJ71" i="14"/>
  <c r="AH71" i="14"/>
  <c r="AF71" i="14"/>
  <c r="T71" i="14" a="1"/>
  <c r="T71" i="14" s="1"/>
  <c r="T72" i="14" s="1" a="1"/>
  <c r="T72" i="14" s="1"/>
  <c r="T73" i="14" s="1" a="1"/>
  <c r="T73" i="14" s="1"/>
  <c r="T74" i="14" s="1" a="1"/>
  <c r="T74" i="14" s="1"/>
  <c r="T75" i="14" s="1" a="1"/>
  <c r="T75" i="14" s="1"/>
  <c r="T76" i="14" s="1" a="1"/>
  <c r="T76" i="14" s="1"/>
  <c r="L71" i="14" a="1"/>
  <c r="L71" i="14" s="1"/>
  <c r="T70" i="14"/>
  <c r="F70" i="14" a="1"/>
  <c r="F70" i="14" s="1"/>
  <c r="F71" i="14" s="1" a="1"/>
  <c r="F71" i="14" s="1"/>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3" i="14"/>
  <c r="BH62" i="14" a="1"/>
  <c r="BH62" i="14"/>
  <c r="BH63" i="14" s="1" a="1"/>
  <c r="BH63" i="14" s="1"/>
  <c r="BH64" i="14" s="1" a="1"/>
  <c r="BH64" i="14" s="1"/>
  <c r="BH65" i="14" s="1" a="1"/>
  <c r="BH65" i="14" s="1"/>
  <c r="BH66" i="14" s="1" a="1"/>
  <c r="BH66" i="14" s="1"/>
  <c r="BH67" i="14" s="1" a="1"/>
  <c r="BH67" i="14" s="1"/>
  <c r="BH68" i="14" s="1" a="1"/>
  <c r="BH68"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8" i="14" s="1"/>
  <c r="H62" i="14" a="1"/>
  <c r="H62" i="14"/>
  <c r="H63" i="14" s="1" a="1"/>
  <c r="H63" i="14" s="1"/>
  <c r="H64" i="14" s="1" a="1"/>
  <c r="H64" i="14" s="1"/>
  <c r="H65" i="14" s="1" a="1"/>
  <c r="H65" i="14" s="1"/>
  <c r="H66" i="14" s="1" a="1"/>
  <c r="H66" i="14" s="1"/>
  <c r="H67" i="14" s="1" a="1"/>
  <c r="H67" i="14" s="1"/>
  <c r="H68" i="14" s="1" a="1"/>
  <c r="H68" i="14" s="1"/>
  <c r="AU59" i="14" a="1"/>
  <c r="AU59" i="14" s="1"/>
  <c r="AT59" i="14" a="1"/>
  <c r="AT59" i="14" s="1"/>
  <c r="AB59" i="14"/>
  <c r="BB58" i="14"/>
  <c r="BA58" i="14"/>
  <c r="AZ58" i="14"/>
  <c r="AY58" i="14"/>
  <c r="AX58" i="14"/>
  <c r="AW58" i="14"/>
  <c r="AV58" i="14"/>
  <c r="AS58" i="14"/>
  <c r="AR58" i="14"/>
  <c r="AQ58" i="14"/>
  <c r="AP58" i="14"/>
  <c r="AO58" i="14"/>
  <c r="AN58" i="14"/>
  <c r="AM58" i="14"/>
  <c r="AL58" i="14"/>
  <c r="AK58" i="14"/>
  <c r="AJ58" i="14"/>
  <c r="AI58" i="14"/>
  <c r="AH58" i="14"/>
  <c r="AG58" i="14"/>
  <c r="AF58" i="14"/>
  <c r="AE58" i="14"/>
  <c r="BH57" i="14" a="1"/>
  <c r="BH57" i="14" s="1"/>
  <c r="BH58" i="14" s="1" a="1"/>
  <c r="BH58" i="14" s="1"/>
  <c r="BH59" i="14" s="1" a="1"/>
  <c r="BH59" i="14" s="1"/>
  <c r="AB57" i="14"/>
  <c r="AB58" i="14" s="1"/>
  <c r="H57" i="14" a="1"/>
  <c r="H57" i="14" s="1"/>
  <c r="H58" i="14" s="1" a="1"/>
  <c r="H58" i="14" s="1"/>
  <c r="H59" i="14" s="1" a="1"/>
  <c r="H59" i="14" s="1"/>
  <c r="BB55" i="14"/>
  <c r="BA55" i="14"/>
  <c r="BA48" i="14" s="1"/>
  <c r="AZ55" i="14"/>
  <c r="AY55" i="14"/>
  <c r="AY48" i="14" s="1"/>
  <c r="AX55" i="14"/>
  <c r="AW55" i="14"/>
  <c r="AW48" i="14" s="1"/>
  <c r="AV55" i="14"/>
  <c r="AU55" i="14"/>
  <c r="AT55" i="14"/>
  <c r="AS55" i="14"/>
  <c r="AS48" i="14" s="1"/>
  <c r="AR55" i="14"/>
  <c r="AQ55" i="14"/>
  <c r="AQ48" i="14" s="1"/>
  <c r="AP55" i="14"/>
  <c r="AO55" i="14"/>
  <c r="AO48" i="14" s="1"/>
  <c r="AN55" i="14"/>
  <c r="AM55" i="14"/>
  <c r="AM48" i="14" s="1"/>
  <c r="AL55" i="14"/>
  <c r="AK55" i="14"/>
  <c r="AK48" i="14" s="1"/>
  <c r="AJ55" i="14"/>
  <c r="AI55" i="14"/>
  <c r="AI48" i="14" s="1"/>
  <c r="AH55" i="14"/>
  <c r="AG55" i="14"/>
  <c r="AG48" i="14" s="1"/>
  <c r="AF55" i="14"/>
  <c r="AE55" i="14"/>
  <c r="AE48" i="14" s="1"/>
  <c r="BH54" i="14" a="1"/>
  <c r="BH54" i="14" s="1"/>
  <c r="BH55" i="14" s="1" a="1"/>
  <c r="BH55" i="14" s="1"/>
  <c r="BH56" i="14" s="1" a="1"/>
  <c r="BH56" i="14" s="1"/>
  <c r="AB54" i="14"/>
  <c r="AB55" i="14" s="1"/>
  <c r="H54" i="14" a="1"/>
  <c r="H54" i="14" s="1"/>
  <c r="H55" i="14" s="1" a="1"/>
  <c r="H55" i="14" s="1"/>
  <c r="H56" i="14" s="1" a="1"/>
  <c r="H56" i="14" s="1"/>
  <c r="BB52" i="14"/>
  <c r="BA52" i="14"/>
  <c r="AZ52" i="14"/>
  <c r="AY52" i="14"/>
  <c r="AX52" i="14"/>
  <c r="AW52" i="14"/>
  <c r="AV52" i="14"/>
  <c r="AR52" i="14"/>
  <c r="AQ52" i="14"/>
  <c r="AP52" i="14"/>
  <c r="AO52" i="14"/>
  <c r="AN52" i="14"/>
  <c r="AM52" i="14"/>
  <c r="AL52" i="14"/>
  <c r="AK52" i="14"/>
  <c r="AJ52" i="14"/>
  <c r="AU50" i="14" a="1"/>
  <c r="AU50" i="14" s="1"/>
  <c r="AT50" i="14" a="1"/>
  <c r="AT50" i="14" s="1"/>
  <c r="BB49" i="14"/>
  <c r="BB51" i="14" s="1"/>
  <c r="BA49" i="14"/>
  <c r="BA51" i="14" s="1"/>
  <c r="AZ49" i="14"/>
  <c r="AZ51" i="14" s="1"/>
  <c r="AY49" i="14"/>
  <c r="AY51" i="14" s="1"/>
  <c r="AX49" i="14"/>
  <c r="AX51" i="14" s="1"/>
  <c r="AW49" i="14"/>
  <c r="AW51" i="14" s="1"/>
  <c r="AV49" i="14"/>
  <c r="AV51"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I49" i="14"/>
  <c r="AI52" i="14" s="1"/>
  <c r="AH49" i="14"/>
  <c r="AH52" i="14" s="1"/>
  <c r="AG49" i="14"/>
  <c r="AG52" i="14" s="1"/>
  <c r="AF49" i="14"/>
  <c r="AF52" i="14" s="1"/>
  <c r="AE49" i="14"/>
  <c r="AE52" i="14" s="1"/>
  <c r="BB48" i="14"/>
  <c r="AZ48" i="14"/>
  <c r="AX48" i="14"/>
  <c r="AV48" i="14"/>
  <c r="AR48" i="14"/>
  <c r="AP48" i="14"/>
  <c r="AN48" i="14"/>
  <c r="AL48" i="14"/>
  <c r="AJ48" i="14"/>
  <c r="AH48" i="14"/>
  <c r="AF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B44" i="14"/>
  <c r="AB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AB40" i="14"/>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H42" i="14" s="1" a="1"/>
  <c r="H42" i="14" s="1"/>
  <c r="H43" i="14" s="1" a="1"/>
  <c r="H43" i="14" s="1"/>
  <c r="H44" i="14" s="1" a="1"/>
  <c r="H44" i="14" s="1"/>
  <c r="H45" i="14" s="1" a="1"/>
  <c r="H45" i="14" s="1"/>
  <c r="BB35" i="14"/>
  <c r="BA35" i="14"/>
  <c r="BA28" i="14" s="1"/>
  <c r="AZ35" i="14"/>
  <c r="AY35" i="14"/>
  <c r="AY28" i="14" s="1"/>
  <c r="AX35" i="14"/>
  <c r="AW35" i="14"/>
  <c r="AW28" i="14" s="1"/>
  <c r="AV35" i="14"/>
  <c r="AU35" i="14"/>
  <c r="AU28" i="14" s="1"/>
  <c r="AT35" i="14"/>
  <c r="AS35" i="14"/>
  <c r="AS28" i="14" s="1"/>
  <c r="AR35" i="14"/>
  <c r="AQ35" i="14"/>
  <c r="AQ28" i="14" s="1"/>
  <c r="AP35" i="14"/>
  <c r="AO35" i="14"/>
  <c r="AO28" i="14" s="1"/>
  <c r="AN35" i="14"/>
  <c r="AM35" i="14"/>
  <c r="AM28" i="14" s="1"/>
  <c r="AL35" i="14"/>
  <c r="AK35" i="14"/>
  <c r="AK28" i="14" s="1"/>
  <c r="AJ35" i="14"/>
  <c r="AI35" i="14"/>
  <c r="AI28" i="14" s="1"/>
  <c r="AH35" i="14"/>
  <c r="AG35" i="14"/>
  <c r="AG28" i="14" s="1"/>
  <c r="AF35" i="14"/>
  <c r="AE35" i="14"/>
  <c r="AE28" i="14" s="1"/>
  <c r="BH34" i="14" a="1"/>
  <c r="BH34" i="14" s="1"/>
  <c r="BH35" i="14" s="1" a="1"/>
  <c r="BH35" i="14" s="1"/>
  <c r="BH36" i="14" s="1" a="1"/>
  <c r="BH36" i="14" s="1"/>
  <c r="AB34" i="14"/>
  <c r="AB35"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AZ28" i="14"/>
  <c r="AX28" i="14"/>
  <c r="AV28" i="14"/>
  <c r="AT28" i="14"/>
  <c r="AR28" i="14"/>
  <c r="AP28" i="14"/>
  <c r="AN28" i="14"/>
  <c r="AL28" i="14"/>
  <c r="AJ28" i="14"/>
  <c r="AH28" i="14"/>
  <c r="AF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Q9" i="14" a="1"/>
  <c r="AQ9" i="14" s="1"/>
  <c r="AP9" i="14" a="1"/>
  <c r="AP9" i="14" s="1"/>
  <c r="AN9" i="14" a="1"/>
  <c r="AN9" i="14" s="1"/>
  <c r="AM9" i="14" a="1"/>
  <c r="AM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F8" i="14" s="1"/>
  <c r="AE7" i="14" a="1"/>
  <c r="AE7" i="14" s="1"/>
  <c r="BB6" i="14"/>
  <c r="BB9" i="14" s="1" a="1"/>
  <c r="BB9" i="14" s="1"/>
  <c r="BA6" i="14"/>
  <c r="BA8" i="14" s="1"/>
  <c r="AZ6" i="14"/>
  <c r="AZ8" i="14" s="1"/>
  <c r="AY6" i="14"/>
  <c r="AY8" i="14" s="1"/>
  <c r="AX6" i="14"/>
  <c r="AX9" i="14" s="1" a="1"/>
  <c r="AX9" i="14" s="1"/>
  <c r="AW6" i="14"/>
  <c r="AW8" i="14" s="1"/>
  <c r="AV6" i="14"/>
  <c r="AV8" i="14" s="1"/>
  <c r="AU6" i="14"/>
  <c r="AU8" i="14" s="1"/>
  <c r="AT6" i="14"/>
  <c r="AT9" i="14" s="1" a="1"/>
  <c r="AT9" i="14" s="1"/>
  <c r="AS6" i="14" a="1"/>
  <c r="AS6" i="14"/>
  <c r="AS8" i="14" s="1"/>
  <c r="AR6" i="14"/>
  <c r="AQ6" i="14"/>
  <c r="AQ2" i="14" s="1"/>
  <c r="AP6" i="14"/>
  <c r="AO6" i="14"/>
  <c r="AO8" i="14" s="1"/>
  <c r="AN6" i="14"/>
  <c r="AM6" i="14"/>
  <c r="AM2" i="14" s="1"/>
  <c r="AL6" i="14"/>
  <c r="AK6" i="14"/>
  <c r="AK8" i="14" s="1"/>
  <c r="AJ6" i="14"/>
  <c r="AI6" i="14" a="1"/>
  <c r="AI6" i="14" s="1"/>
  <c r="AH6" i="14"/>
  <c r="AH9" i="14" s="1" a="1"/>
  <c r="AH9" i="14" s="1"/>
  <c r="AG6" i="14"/>
  <c r="AG8" i="14" s="1"/>
  <c r="AF6" i="14"/>
  <c r="AF9" i="14" s="1" a="1"/>
  <c r="AF9" i="14" s="1"/>
  <c r="AE6" i="14"/>
  <c r="AE8" i="14" s="1"/>
  <c r="T86" i="13"/>
  <c r="T85" i="13"/>
  <c r="T84" i="13"/>
  <c r="T83" i="13"/>
  <c r="T82" i="13"/>
  <c r="T81" i="13"/>
  <c r="T80" i="13"/>
  <c r="T79" i="13"/>
  <c r="T78" i="13"/>
  <c r="T77" i="13"/>
  <c r="T76" i="13"/>
  <c r="T75" i="13"/>
  <c r="T74" i="13"/>
  <c r="T73" i="13"/>
  <c r="T72" i="13"/>
  <c r="T71" i="13"/>
  <c r="T70" i="13"/>
  <c r="T69" i="13"/>
  <c r="T68" i="13"/>
  <c r="T67" i="13"/>
  <c r="T66" i="13"/>
  <c r="T65" i="13"/>
  <c r="T64" i="13"/>
  <c r="T63" i="13"/>
  <c r="T62" i="13"/>
  <c r="T61" i="13"/>
  <c r="T60" i="13"/>
  <c r="T59" i="13"/>
  <c r="T58" i="13"/>
  <c r="T57" i="13"/>
  <c r="T56" i="13"/>
  <c r="T55" i="13"/>
  <c r="T54" i="13"/>
  <c r="T53" i="13"/>
  <c r="T52" i="13"/>
  <c r="H47" i="13"/>
  <c r="BH46" i="13" a="1"/>
  <c r="BH46" i="13" s="1"/>
  <c r="H46" i="13" a="1"/>
  <c r="H46"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L45" i="13" a="1"/>
  <c r="L45" i="13"/>
  <c r="H45" i="13" a="1"/>
  <c r="H45" i="13" s="1"/>
  <c r="T44" i="13"/>
  <c r="T47" i="13" s="1" a="1"/>
  <c r="T47" i="13" s="1"/>
  <c r="F44" i="13" a="1"/>
  <c r="F44" i="13"/>
  <c r="F45" i="13" s="1" a="1"/>
  <c r="F45" i="13" s="1"/>
  <c r="H43" i="13"/>
  <c r="BH42" i="13" a="1"/>
  <c r="BH42" i="13" s="1"/>
  <c r="H42" i="13" a="1"/>
  <c r="H42" i="13"/>
  <c r="BH41" i="13" a="1"/>
  <c r="BH41" i="13"/>
  <c r="H41" i="13" a="1"/>
  <c r="H41" i="13" s="1"/>
  <c r="BH40" i="13" a="1"/>
  <c r="BH40" i="13" s="1"/>
  <c r="H40" i="13" a="1"/>
  <c r="H40" i="13"/>
  <c r="BH39" i="13" a="1"/>
  <c r="BH39" i="13"/>
  <c r="H39" i="13" a="1"/>
  <c r="H39" i="13" s="1"/>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T38" i="13" a="1"/>
  <c r="T38" i="13" s="1"/>
  <c r="L38" i="13" a="1"/>
  <c r="L38" i="13" s="1"/>
  <c r="H38" i="13" a="1"/>
  <c r="H38" i="13"/>
  <c r="T37" i="13"/>
  <c r="T43" i="13" s="1" a="1"/>
  <c r="T43" i="13" s="1"/>
  <c r="F37" i="13" a="1"/>
  <c r="F37" i="13" s="1"/>
  <c r="F38" i="13" s="1" a="1"/>
  <c r="F38" i="13" s="1"/>
  <c r="T36" i="13" a="1"/>
  <c r="T36" i="13" s="1"/>
  <c r="H36" i="13"/>
  <c r="BH35" i="13" a="1"/>
  <c r="BH35" i="13"/>
  <c r="H35" i="13" a="1"/>
  <c r="H35" i="13" s="1"/>
  <c r="BH34" i="13" a="1"/>
  <c r="BH34" i="13" s="1"/>
  <c r="H34" i="13" a="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s="1"/>
  <c r="H32" i="13" a="1"/>
  <c r="H32" i="13"/>
  <c r="T31" i="13"/>
  <c r="F31" i="13" a="1"/>
  <c r="F31" i="13" s="1"/>
  <c r="F32" i="13" s="1" a="1"/>
  <c r="F32" i="13" s="1"/>
  <c r="T30" i="13" a="1"/>
  <c r="T30"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c r="T27" i="13"/>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A9" i="13" a="1"/>
  <c r="BA9" i="13" s="1"/>
  <c r="AZ9" i="13" a="1"/>
  <c r="AZ9" i="13" s="1"/>
  <c r="AY9" i="13" a="1"/>
  <c r="AY9" i="13" s="1"/>
  <c r="AW9" i="13" a="1"/>
  <c r="AW9" i="13" s="1"/>
  <c r="AV9" i="13" a="1"/>
  <c r="AV9" i="13" s="1"/>
  <c r="AU9" i="13" a="1"/>
  <c r="AU9" i="13" s="1"/>
  <c r="AR9" i="13" a="1"/>
  <c r="AR9" i="13" s="1"/>
  <c r="AP9" i="13" a="1"/>
  <c r="AP9" i="13" s="1"/>
  <c r="AN9" i="13" a="1"/>
  <c r="AN9" i="13" s="1"/>
  <c r="AL9" i="13" a="1"/>
  <c r="AL9" i="13" s="1"/>
  <c r="AJ9" i="13" a="1"/>
  <c r="AJ9" i="13" s="1"/>
  <c r="AH9" i="13" a="1"/>
  <c r="AH9" i="13" s="1"/>
  <c r="AG9" i="13" a="1"/>
  <c r="AG9" i="13" s="1"/>
  <c r="AE9" i="13" a="1"/>
  <c r="AE9" i="13" s="1"/>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B2" i="13" s="1"/>
  <c r="BA6" i="13"/>
  <c r="AZ6" i="13"/>
  <c r="AY6" i="13"/>
  <c r="AX6" i="13"/>
  <c r="AX9" i="13" s="1" a="1"/>
  <c r="AX9" i="13" s="1"/>
  <c r="AW6" i="13"/>
  <c r="AV6" i="13"/>
  <c r="AU6" i="13"/>
  <c r="AT6" i="13"/>
  <c r="AT9" i="13" s="1" a="1"/>
  <c r="AT9" i="13" s="1"/>
  <c r="AS6" i="13" a="1"/>
  <c r="AS6" i="13"/>
  <c r="AR6" i="13"/>
  <c r="AQ6" i="13"/>
  <c r="AQ2" i="13" s="1"/>
  <c r="AP6" i="13"/>
  <c r="AO6" i="13"/>
  <c r="AN6" i="13"/>
  <c r="AM6" i="13"/>
  <c r="AM2" i="13" s="1"/>
  <c r="AL6" i="13"/>
  <c r="AK6" i="13"/>
  <c r="AJ6" i="13"/>
  <c r="AI6" i="13" a="1"/>
  <c r="AI6" i="13" s="1"/>
  <c r="AH6" i="13"/>
  <c r="AG6" i="13"/>
  <c r="AF6" i="13"/>
  <c r="AF9" i="13" s="1" a="1"/>
  <c r="AF9" i="13" s="1"/>
  <c r="AE6" i="13"/>
  <c r="T44" i="12"/>
  <c r="H40" i="12"/>
  <c r="AU39" i="12" a="1"/>
  <c r="AU39" i="12" s="1"/>
  <c r="AJ39" i="12"/>
  <c r="AL39" i="12" s="1"/>
  <c r="AL38" i="12" s="1"/>
  <c r="H39" i="12" a="1"/>
  <c r="H39" i="12" s="1"/>
  <c r="AM38" i="12"/>
  <c r="AK38" i="12"/>
  <c r="T38" i="12"/>
  <c r="T40" i="12" s="1" a="1"/>
  <c r="T40" i="12" s="1"/>
  <c r="F38" i="12" a="1"/>
  <c r="F38" i="12"/>
  <c r="F39" i="12" s="1" a="1"/>
  <c r="F39" i="12" s="1"/>
  <c r="H37" i="12"/>
  <c r="AU36" i="12" a="1"/>
  <c r="AU36" i="12" s="1"/>
  <c r="AN36" i="12"/>
  <c r="AJ36" i="12"/>
  <c r="AL36" i="12" s="1"/>
  <c r="AL35" i="12" s="1"/>
  <c r="H36" i="12" a="1"/>
  <c r="H36" i="12" s="1"/>
  <c r="AN35" i="12"/>
  <c r="AM35" i="12"/>
  <c r="AK35" i="12"/>
  <c r="T35" i="12"/>
  <c r="T37" i="12" s="1" a="1"/>
  <c r="T37" i="12" s="1"/>
  <c r="F35" i="12" a="1"/>
  <c r="F35" i="12"/>
  <c r="F36" i="12" s="1" a="1"/>
  <c r="F36" i="12" s="1"/>
  <c r="H34" i="12"/>
  <c r="AU33" i="12" a="1"/>
  <c r="AU33" i="12" s="1"/>
  <c r="AJ33" i="12"/>
  <c r="AL33" i="12" s="1"/>
  <c r="AL32" i="12" s="1"/>
  <c r="H33" i="12" a="1"/>
  <c r="H33" i="12" s="1"/>
  <c r="AM32" i="12"/>
  <c r="AK32" i="12"/>
  <c r="T32" i="12"/>
  <c r="T34" i="12" s="1" a="1"/>
  <c r="T34" i="12" s="1"/>
  <c r="F32" i="12" a="1"/>
  <c r="F32" i="12"/>
  <c r="F33" i="12" s="1" a="1"/>
  <c r="F33" i="12" s="1"/>
  <c r="H31" i="12"/>
  <c r="AU30" i="12" a="1"/>
  <c r="AU30" i="12" s="1"/>
  <c r="AN30" i="12"/>
  <c r="AJ30" i="12"/>
  <c r="AL30" i="12" s="1"/>
  <c r="AL29" i="12" s="1"/>
  <c r="H30" i="12" a="1"/>
  <c r="H30" i="12" s="1"/>
  <c r="AN29" i="12"/>
  <c r="AM29" i="12"/>
  <c r="AK29" i="12"/>
  <c r="AB29" i="12" a="1"/>
  <c r="AB29" i="12" s="1"/>
  <c r="T29" i="12"/>
  <c r="T31" i="12" s="1" a="1"/>
  <c r="T31" i="12" s="1"/>
  <c r="F29" i="12" a="1"/>
  <c r="F29" i="12"/>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394"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BB358" i="11"/>
  <c r="BA358" i="11"/>
  <c r="AZ358" i="11"/>
  <c r="AY358" i="11"/>
  <c r="AX358" i="11"/>
  <c r="AW358" i="11"/>
  <c r="AV358" i="11"/>
  <c r="AU358" i="11"/>
  <c r="AT358" i="11"/>
  <c r="AS358" i="11"/>
  <c r="AR358" i="11"/>
  <c r="AQ358" i="11"/>
  <c r="AP358" i="11"/>
  <c r="AO358" i="11"/>
  <c r="AN358" i="11"/>
  <c r="AM358" i="11"/>
  <c r="AL358" i="11"/>
  <c r="AK358" i="11"/>
  <c r="AJ358" i="11"/>
  <c r="AI358" i="11"/>
  <c r="AH358" i="11"/>
  <c r="AG358" i="11"/>
  <c r="AF358" i="11"/>
  <c r="AE358" i="11"/>
  <c r="BB357" i="11"/>
  <c r="BA357" i="11"/>
  <c r="BA355" i="11" s="1"/>
  <c r="AZ357" i="11"/>
  <c r="AY357" i="11"/>
  <c r="AY355" i="11" s="1"/>
  <c r="AX357" i="11"/>
  <c r="AW357" i="11"/>
  <c r="AW355" i="11" s="1"/>
  <c r="AV357" i="11"/>
  <c r="AU357" i="11"/>
  <c r="AU355" i="11" s="1"/>
  <c r="AT357" i="11"/>
  <c r="AS357" i="11"/>
  <c r="AS355" i="11" s="1"/>
  <c r="AR357" i="11"/>
  <c r="AQ357" i="11"/>
  <c r="AQ355" i="11" s="1"/>
  <c r="AP357" i="11"/>
  <c r="AO357" i="11"/>
  <c r="AO355" i="11" s="1"/>
  <c r="AN357" i="11"/>
  <c r="AM357" i="11"/>
  <c r="AM355" i="11" s="1"/>
  <c r="AL357" i="11"/>
  <c r="AK357" i="11"/>
  <c r="AK355" i="11" s="1"/>
  <c r="AJ357" i="11"/>
  <c r="AI357" i="11"/>
  <c r="AI355" i="11" s="1"/>
  <c r="AH357" i="11"/>
  <c r="AG357" i="11"/>
  <c r="AG355" i="11" s="1"/>
  <c r="AF357" i="11"/>
  <c r="AE357" i="11"/>
  <c r="AE355" i="11" s="1"/>
  <c r="G356" i="11"/>
  <c r="BB355" i="11"/>
  <c r="AZ355" i="11"/>
  <c r="AX355" i="11"/>
  <c r="AV355" i="11"/>
  <c r="AT355" i="11"/>
  <c r="AR355" i="11"/>
  <c r="AP355" i="11"/>
  <c r="AN355" i="11"/>
  <c r="AL355" i="11"/>
  <c r="AJ355" i="11"/>
  <c r="AH355" i="11"/>
  <c r="AF355" i="11"/>
  <c r="BB348" i="11"/>
  <c r="BA348" i="11"/>
  <c r="AZ348" i="11"/>
  <c r="AY348" i="11"/>
  <c r="AX348" i="11"/>
  <c r="AW348" i="11"/>
  <c r="AV348" i="11"/>
  <c r="AU348" i="11"/>
  <c r="AT348" i="11"/>
  <c r="AS348" i="11"/>
  <c r="AR348" i="11"/>
  <c r="AQ348" i="11"/>
  <c r="AP348" i="11"/>
  <c r="AO348" i="11"/>
  <c r="AN348" i="11"/>
  <c r="AM348" i="11"/>
  <c r="AL348" i="11"/>
  <c r="AK348" i="11"/>
  <c r="AJ348" i="11"/>
  <c r="AI348" i="11"/>
  <c r="AH348" i="11"/>
  <c r="AG348" i="11"/>
  <c r="AF348" i="11"/>
  <c r="AE348" i="11"/>
  <c r="BB345" i="11"/>
  <c r="BB339" i="11" s="1"/>
  <c r="BB344" i="11" s="1"/>
  <c r="BA345" i="11"/>
  <c r="AZ345" i="11"/>
  <c r="AZ339" i="11" s="1"/>
  <c r="AZ344" i="11" s="1"/>
  <c r="AY345" i="11"/>
  <c r="AX345" i="11"/>
  <c r="AX339" i="11" s="1"/>
  <c r="AX344" i="11" s="1"/>
  <c r="AW345" i="11"/>
  <c r="AV345" i="11"/>
  <c r="AV339" i="11" s="1"/>
  <c r="AV344" i="11" s="1"/>
  <c r="AU345" i="11"/>
  <c r="AT345" i="11"/>
  <c r="AT339" i="11" s="1"/>
  <c r="AT344" i="11" s="1"/>
  <c r="AS345" i="11"/>
  <c r="AR345" i="11"/>
  <c r="AR339" i="11" s="1"/>
  <c r="AR344" i="11" s="1"/>
  <c r="AQ345" i="11"/>
  <c r="AP345" i="11"/>
  <c r="AP339" i="11" s="1"/>
  <c r="AP344" i="11" s="1"/>
  <c r="AO345" i="11"/>
  <c r="AN345" i="11"/>
  <c r="AN339" i="11" s="1"/>
  <c r="AN344" i="11" s="1"/>
  <c r="AM345" i="11"/>
  <c r="AL345" i="11"/>
  <c r="AL339" i="11" s="1"/>
  <c r="AL344" i="11" s="1"/>
  <c r="AK345" i="11"/>
  <c r="AJ345" i="11"/>
  <c r="AJ339" i="11" s="1"/>
  <c r="AJ344" i="11" s="1"/>
  <c r="AI345" i="11"/>
  <c r="AH345" i="11"/>
  <c r="AH339" i="11" s="1"/>
  <c r="AH344" i="11" s="1"/>
  <c r="AG345" i="11"/>
  <c r="AF345" i="11"/>
  <c r="AF339" i="11" s="1"/>
  <c r="AF344" i="11" s="1"/>
  <c r="AE345" i="11"/>
  <c r="G345" i="11"/>
  <c r="BA339" i="11"/>
  <c r="BA344" i="11" s="1"/>
  <c r="AY339" i="11"/>
  <c r="AY344" i="11" s="1"/>
  <c r="AW339" i="11"/>
  <c r="AW344" i="11" s="1"/>
  <c r="AU339" i="11"/>
  <c r="AU344" i="11" s="1"/>
  <c r="AS339" i="11"/>
  <c r="AS344" i="11" s="1"/>
  <c r="AQ339" i="11"/>
  <c r="AQ344" i="11" s="1"/>
  <c r="AO339" i="11"/>
  <c r="AO344" i="11" s="1"/>
  <c r="AM339" i="11"/>
  <c r="AM344" i="11" s="1"/>
  <c r="AK339" i="11"/>
  <c r="AK344" i="11" s="1"/>
  <c r="AI339" i="11"/>
  <c r="AI344" i="11" s="1"/>
  <c r="AG339" i="11"/>
  <c r="AG344" i="11" s="1"/>
  <c r="AE339" i="11"/>
  <c r="AE344" i="11" s="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BB318" i="11"/>
  <c r="BA318" i="11"/>
  <c r="BA317" i="11" s="1"/>
  <c r="BA311" i="11" s="1"/>
  <c r="AZ318" i="11"/>
  <c r="AY318" i="11"/>
  <c r="AY317" i="11" s="1"/>
  <c r="AY311" i="11" s="1"/>
  <c r="AX318" i="11"/>
  <c r="AW318" i="11"/>
  <c r="AW317" i="11" s="1"/>
  <c r="AW311" i="11" s="1"/>
  <c r="AV318" i="11"/>
  <c r="AU318" i="11"/>
  <c r="AU317" i="11" s="1"/>
  <c r="AU311" i="11" s="1"/>
  <c r="AT318" i="11"/>
  <c r="AS318" i="11"/>
  <c r="AS317" i="11" s="1"/>
  <c r="AS311" i="11" s="1"/>
  <c r="AR318" i="11"/>
  <c r="AQ318" i="11"/>
  <c r="AQ317" i="11" s="1"/>
  <c r="AQ311" i="11" s="1"/>
  <c r="AP318" i="11"/>
  <c r="AO318" i="11"/>
  <c r="AO317" i="11" s="1"/>
  <c r="AO311" i="11" s="1"/>
  <c r="AN318" i="11"/>
  <c r="AM318" i="11"/>
  <c r="AM317" i="11" s="1"/>
  <c r="AM311" i="11" s="1"/>
  <c r="AL318" i="11"/>
  <c r="AK318" i="11"/>
  <c r="AK317" i="11" s="1"/>
  <c r="AK311" i="11" s="1"/>
  <c r="AJ318" i="11"/>
  <c r="AI318" i="11"/>
  <c r="AI317" i="11" s="1"/>
  <c r="AI311" i="11" s="1"/>
  <c r="AH318" i="11"/>
  <c r="AG318" i="11"/>
  <c r="AG317" i="11" s="1"/>
  <c r="AG311" i="11" s="1"/>
  <c r="AF318" i="11"/>
  <c r="AE318" i="11"/>
  <c r="AE317" i="11" s="1"/>
  <c r="AE311" i="11" s="1"/>
  <c r="G318" i="11"/>
  <c r="BB317" i="11"/>
  <c r="AZ317" i="11"/>
  <c r="AX317" i="11"/>
  <c r="AV317" i="11"/>
  <c r="AT317" i="11"/>
  <c r="AR317" i="11"/>
  <c r="AP317" i="11"/>
  <c r="AN317" i="11"/>
  <c r="AL317" i="11"/>
  <c r="AJ317" i="11"/>
  <c r="AH317" i="11"/>
  <c r="AF317" i="11"/>
  <c r="BB311" i="11"/>
  <c r="BB316" i="11" s="1"/>
  <c r="AZ311" i="11"/>
  <c r="AZ316" i="11" s="1"/>
  <c r="AX311" i="11"/>
  <c r="AX316" i="11" s="1"/>
  <c r="AV311" i="11"/>
  <c r="AV316" i="11" s="1"/>
  <c r="AT311" i="11"/>
  <c r="AT316" i="11" s="1"/>
  <c r="AR311" i="11"/>
  <c r="AR316" i="11" s="1"/>
  <c r="AP311" i="11"/>
  <c r="AP316" i="11" s="1"/>
  <c r="AN311" i="11"/>
  <c r="AN316" i="11" s="1"/>
  <c r="AL311" i="11"/>
  <c r="AL316" i="11" s="1"/>
  <c r="AJ311" i="11"/>
  <c r="AJ316" i="11" s="1"/>
  <c r="AH311" i="11"/>
  <c r="AH316" i="11" s="1"/>
  <c r="AF311" i="11"/>
  <c r="AF316" i="11" s="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BB302" i="11"/>
  <c r="AZ302" i="11"/>
  <c r="AX302" i="11"/>
  <c r="AV302" i="11"/>
  <c r="AT302" i="11"/>
  <c r="AR302" i="11"/>
  <c r="AP302" i="11"/>
  <c r="AN302" i="11"/>
  <c r="AL302" i="11"/>
  <c r="AJ302" i="11"/>
  <c r="AH302" i="11"/>
  <c r="AF302" i="11"/>
  <c r="T300" i="11"/>
  <c r="F300" i="11" a="1"/>
  <c r="F300" i="11"/>
  <c r="F301" i="11" s="1" a="1"/>
  <c r="F301" i="11" s="1"/>
  <c r="F302" i="11" s="1" a="1"/>
  <c r="F302" i="11" s="1"/>
  <c r="F303" i="11" s="1" a="1"/>
  <c r="F303" i="11" s="1"/>
  <c r="F304" i="11" s="1" a="1"/>
  <c r="F304" i="11" s="1"/>
  <c r="F305" i="11" s="1" a="1"/>
  <c r="F305" i="11" s="1"/>
  <c r="F306" i="11" s="1" a="1"/>
  <c r="F306" i="11" s="1"/>
  <c r="F307" i="11" s="1" a="1"/>
  <c r="F307" i="11" s="1"/>
  <c r="F308" i="11" s="1" a="1"/>
  <c r="F308" i="11" s="1"/>
  <c r="F309" i="11" s="1" a="1"/>
  <c r="F309" i="11" s="1"/>
  <c r="F310" i="11" s="1" a="1"/>
  <c r="F310" i="11" s="1"/>
  <c r="F311" i="11" s="1" a="1"/>
  <c r="F311" i="11" s="1"/>
  <c r="F312" i="11" s="1" a="1"/>
  <c r="F312" i="11" s="1"/>
  <c r="F313" i="11" s="1" a="1"/>
  <c r="F313" i="11" s="1"/>
  <c r="F314" i="11" s="1" a="1"/>
  <c r="F314" i="11" s="1"/>
  <c r="F315" i="11" s="1" a="1"/>
  <c r="F315" i="11" s="1"/>
  <c r="F316" i="11" s="1" a="1"/>
  <c r="F316" i="11" s="1"/>
  <c r="F317" i="11" s="1" a="1"/>
  <c r="F317" i="11" s="1"/>
  <c r="F318" i="11" s="1" a="1"/>
  <c r="F318" i="11" s="1"/>
  <c r="F319" i="11" s="1" a="1"/>
  <c r="F319" i="11" s="1"/>
  <c r="F320" i="11" s="1" a="1"/>
  <c r="F320" i="11" s="1"/>
  <c r="F321" i="11" s="1" a="1"/>
  <c r="F321" i="11" s="1"/>
  <c r="F322" i="11" s="1" a="1"/>
  <c r="F322" i="11" s="1"/>
  <c r="F323" i="11" s="1" a="1"/>
  <c r="F323" i="11" s="1"/>
  <c r="F324" i="11" s="1" a="1"/>
  <c r="F324" i="11" s="1"/>
  <c r="F325" i="11" s="1" a="1"/>
  <c r="F325" i="11" s="1"/>
  <c r="F326" i="11" s="1" a="1"/>
  <c r="F326" i="11" s="1"/>
  <c r="F327" i="11" s="1" a="1"/>
  <c r="F327" i="11" s="1"/>
  <c r="F328" i="11" s="1" a="1"/>
  <c r="F328" i="11" s="1"/>
  <c r="F329" i="11" s="1" a="1"/>
  <c r="F329" i="11" s="1"/>
  <c r="F330" i="11" s="1" a="1"/>
  <c r="F330" i="11" s="1"/>
  <c r="F331" i="11" s="1" a="1"/>
  <c r="F331" i="11" s="1"/>
  <c r="F332" i="11" s="1" a="1"/>
  <c r="F332" i="11" s="1"/>
  <c r="F333" i="11" s="1" a="1"/>
  <c r="F333" i="11" s="1"/>
  <c r="F334" i="11" s="1" a="1"/>
  <c r="F334" i="11" s="1"/>
  <c r="F335" i="11" s="1" a="1"/>
  <c r="F335" i="11" s="1"/>
  <c r="F336" i="11" s="1" a="1"/>
  <c r="F336" i="11" s="1"/>
  <c r="F337" i="11" s="1" a="1"/>
  <c r="F337" i="11" s="1"/>
  <c r="F338" i="11" s="1" a="1"/>
  <c r="F338" i="11" s="1"/>
  <c r="F339" i="11" s="1" a="1"/>
  <c r="F339" i="11" s="1"/>
  <c r="F340" i="11" s="1" a="1"/>
  <c r="F340" i="11" s="1"/>
  <c r="F341" i="11" s="1" a="1"/>
  <c r="F341" i="11" s="1"/>
  <c r="F342" i="11" s="1" a="1"/>
  <c r="F342" i="11" s="1"/>
  <c r="F343" i="11" s="1" a="1"/>
  <c r="F343" i="11" s="1"/>
  <c r="F344" i="11" s="1" a="1"/>
  <c r="F344" i="11" s="1"/>
  <c r="F345" i="11" s="1" a="1"/>
  <c r="F345" i="11" s="1"/>
  <c r="F346" i="11" s="1" a="1"/>
  <c r="F346" i="11" s="1"/>
  <c r="F347" i="11" s="1" a="1"/>
  <c r="F347" i="11" s="1"/>
  <c r="F348" i="11" s="1" a="1"/>
  <c r="F348" i="11" s="1"/>
  <c r="F349" i="11" s="1" a="1"/>
  <c r="F349" i="11" s="1"/>
  <c r="F350" i="11" s="1" a="1"/>
  <c r="F350" i="11" s="1"/>
  <c r="F351" i="11" s="1" a="1"/>
  <c r="F351" i="11" s="1"/>
  <c r="F352" i="11" s="1" a="1"/>
  <c r="F352" i="11" s="1"/>
  <c r="F353" i="11" s="1" a="1"/>
  <c r="F353" i="11" s="1"/>
  <c r="F354" i="11" s="1" a="1"/>
  <c r="F354" i="11" s="1"/>
  <c r="F355" i="11" s="1" a="1"/>
  <c r="F355" i="11" s="1"/>
  <c r="F356" i="11" s="1" a="1"/>
  <c r="F356" i="11" s="1"/>
  <c r="F357" i="11" s="1" a="1"/>
  <c r="F357" i="11" s="1"/>
  <c r="F358" i="11" s="1" a="1"/>
  <c r="F358" i="11" s="1"/>
  <c r="F359" i="11" s="1" a="1"/>
  <c r="F359" i="11" s="1"/>
  <c r="F360" i="11" s="1" a="1"/>
  <c r="F360" i="11" s="1"/>
  <c r="F361" i="11" s="1" a="1"/>
  <c r="F361" i="11" s="1"/>
  <c r="F362" i="11" s="1" a="1"/>
  <c r="F362" i="11" s="1"/>
  <c r="F363" i="11" s="1" a="1"/>
  <c r="F363" i="11" s="1"/>
  <c r="F364" i="11" s="1" a="1"/>
  <c r="F364" i="11" s="1"/>
  <c r="F365" i="11" s="1" a="1"/>
  <c r="F365" i="11" s="1"/>
  <c r="F366" i="11" s="1" a="1"/>
  <c r="F366" i="11" s="1"/>
  <c r="F367" i="11" s="1" a="1"/>
  <c r="F367" i="11" s="1"/>
  <c r="F368" i="11" s="1" a="1"/>
  <c r="F368" i="11" s="1"/>
  <c r="F369" i="11" s="1" a="1"/>
  <c r="F369" i="11" s="1"/>
  <c r="F370" i="11" s="1" a="1"/>
  <c r="F370" i="11" s="1"/>
  <c r="F371" i="11" s="1" a="1"/>
  <c r="F371" i="11" s="1"/>
  <c r="F372" i="11" s="1" a="1"/>
  <c r="F372" i="11" s="1"/>
  <c r="F373" i="11" s="1" a="1"/>
  <c r="F373" i="11" s="1"/>
  <c r="F374" i="11" s="1" a="1"/>
  <c r="F374" i="11" s="1"/>
  <c r="F375" i="11" s="1" a="1"/>
  <c r="F375" i="11" s="1"/>
  <c r="F376" i="11" s="1" a="1"/>
  <c r="F376" i="11" s="1"/>
  <c r="F377" i="11" s="1" a="1"/>
  <c r="F377" i="11" s="1"/>
  <c r="F378" i="11" s="1" a="1"/>
  <c r="F378" i="11" s="1"/>
  <c r="F379" i="11" s="1" a="1"/>
  <c r="F379" i="11" s="1"/>
  <c r="F380" i="11" s="1" a="1"/>
  <c r="F380" i="11" s="1"/>
  <c r="F381" i="11" s="1" a="1"/>
  <c r="F381" i="11" s="1"/>
  <c r="F382" i="11" s="1" a="1"/>
  <c r="F382" i="11" s="1"/>
  <c r="F383" i="11" s="1" a="1"/>
  <c r="F383" i="11" s="1"/>
  <c r="F384" i="11" s="1" a="1"/>
  <c r="F384" i="11" s="1"/>
  <c r="F385" i="11" s="1" a="1"/>
  <c r="F385" i="11" s="1"/>
  <c r="F386" i="11" s="1" a="1"/>
  <c r="F386" i="11" s="1"/>
  <c r="F387" i="11" s="1" a="1"/>
  <c r="F387" i="11" s="1"/>
  <c r="F388" i="11" s="1" a="1"/>
  <c r="F388" i="11" s="1"/>
  <c r="F389" i="11" s="1" a="1"/>
  <c r="F389" i="11" s="1"/>
  <c r="F390" i="11" s="1" a="1"/>
  <c r="F390" i="11" s="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BB266" i="11"/>
  <c r="BA266" i="11"/>
  <c r="BA264" i="11" s="1"/>
  <c r="AZ266" i="11"/>
  <c r="AY266" i="11"/>
  <c r="AY264" i="11" s="1"/>
  <c r="AX266" i="11"/>
  <c r="AW266" i="11"/>
  <c r="AW264" i="11" s="1"/>
  <c r="AV266" i="11"/>
  <c r="AU266" i="11"/>
  <c r="AU264" i="11" s="1"/>
  <c r="AT266" i="11"/>
  <c r="AS266" i="11"/>
  <c r="AS264" i="11" s="1"/>
  <c r="AR266" i="11"/>
  <c r="AQ266" i="11"/>
  <c r="AQ264" i="11" s="1"/>
  <c r="AP266" i="11"/>
  <c r="AO266" i="11"/>
  <c r="AO264" i="11" s="1"/>
  <c r="AN266" i="11"/>
  <c r="AM266" i="11"/>
  <c r="AM264" i="11" s="1"/>
  <c r="AL266" i="11"/>
  <c r="AK266" i="11"/>
  <c r="AK264" i="11" s="1"/>
  <c r="AJ266" i="11"/>
  <c r="AI266" i="11"/>
  <c r="AI264" i="11" s="1"/>
  <c r="AH266" i="11"/>
  <c r="AG266" i="11"/>
  <c r="AG264" i="11" s="1"/>
  <c r="AF266" i="11"/>
  <c r="AE266" i="11"/>
  <c r="AE264" i="11" s="1"/>
  <c r="G265" i="11"/>
  <c r="BB264" i="11"/>
  <c r="AZ264" i="11"/>
  <c r="AX264" i="11"/>
  <c r="AV264" i="11"/>
  <c r="AT264" i="11"/>
  <c r="AR264" i="11"/>
  <c r="AP264" i="11"/>
  <c r="AN264" i="11"/>
  <c r="AL264" i="11"/>
  <c r="AJ264" i="11"/>
  <c r="AH264" i="11"/>
  <c r="AF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B248" i="11" s="1"/>
  <c r="BB253" i="11" s="1"/>
  <c r="BA254" i="11"/>
  <c r="AZ254" i="11"/>
  <c r="AZ248" i="11" s="1"/>
  <c r="AZ253" i="11" s="1"/>
  <c r="AY254" i="11"/>
  <c r="AX254" i="11"/>
  <c r="AX248" i="11" s="1"/>
  <c r="AX253" i="11" s="1"/>
  <c r="AW254" i="11"/>
  <c r="AV254" i="11"/>
  <c r="AV248" i="11" s="1"/>
  <c r="AV253" i="11" s="1"/>
  <c r="AU254" i="11"/>
  <c r="AT254" i="11"/>
  <c r="AT248" i="11" s="1"/>
  <c r="AT253" i="11" s="1"/>
  <c r="AS254" i="11"/>
  <c r="AR254" i="11"/>
  <c r="AR248" i="11" s="1"/>
  <c r="AR253" i="11" s="1"/>
  <c r="AQ254" i="11"/>
  <c r="AP254" i="11"/>
  <c r="AP248" i="11" s="1"/>
  <c r="AP253" i="11" s="1"/>
  <c r="AO254" i="11"/>
  <c r="AN254" i="11"/>
  <c r="AN248" i="11" s="1"/>
  <c r="AN253" i="11" s="1"/>
  <c r="AM254" i="11"/>
  <c r="AL254" i="11"/>
  <c r="AL248" i="11" s="1"/>
  <c r="AL253" i="11" s="1"/>
  <c r="AK254" i="11"/>
  <c r="AJ254" i="11"/>
  <c r="AJ248" i="11" s="1"/>
  <c r="AJ253" i="11" s="1"/>
  <c r="AI254" i="11"/>
  <c r="AH254" i="11"/>
  <c r="AH248" i="11" s="1"/>
  <c r="AH253" i="11" s="1"/>
  <c r="AG254" i="11"/>
  <c r="AF254" i="11"/>
  <c r="AF248" i="11" s="1"/>
  <c r="AF253" i="11" s="1"/>
  <c r="AE254" i="11"/>
  <c r="G254" i="11"/>
  <c r="BA248" i="11"/>
  <c r="BA253" i="11" s="1"/>
  <c r="AY248" i="11"/>
  <c r="AY253" i="11" s="1"/>
  <c r="AW248" i="11"/>
  <c r="AW253" i="11" s="1"/>
  <c r="AU248" i="11"/>
  <c r="AU253" i="11" s="1"/>
  <c r="AS248" i="11"/>
  <c r="AS253" i="11" s="1"/>
  <c r="AQ248" i="11"/>
  <c r="AQ253" i="11" s="1"/>
  <c r="AO248" i="11"/>
  <c r="AO253" i="11" s="1"/>
  <c r="AM248" i="11"/>
  <c r="AM253" i="11" s="1"/>
  <c r="AK248" i="11"/>
  <c r="AK253" i="11" s="1"/>
  <c r="AI248" i="11"/>
  <c r="AI253" i="11" s="1"/>
  <c r="AG248" i="11"/>
  <c r="AG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BA226" i="11" s="1"/>
  <c r="BA220" i="11" s="1"/>
  <c r="AZ227" i="11"/>
  <c r="AY227" i="11"/>
  <c r="AY226" i="11" s="1"/>
  <c r="AY220" i="11" s="1"/>
  <c r="AX227" i="11"/>
  <c r="AW227" i="11"/>
  <c r="AW226" i="11" s="1"/>
  <c r="AW220" i="11" s="1"/>
  <c r="AV227" i="11"/>
  <c r="AU227" i="11"/>
  <c r="AU226" i="11" s="1"/>
  <c r="AU220" i="11" s="1"/>
  <c r="AT227" i="11"/>
  <c r="AS227" i="11"/>
  <c r="AS226" i="11" s="1"/>
  <c r="AS220" i="11" s="1"/>
  <c r="AR227" i="11"/>
  <c r="AQ227" i="11"/>
  <c r="AQ226" i="11" s="1"/>
  <c r="AQ220" i="11" s="1"/>
  <c r="AP227" i="11"/>
  <c r="AO227" i="11"/>
  <c r="AO226" i="11" s="1"/>
  <c r="AO220" i="11" s="1"/>
  <c r="AN227" i="11"/>
  <c r="AM227" i="11"/>
  <c r="AM226" i="11" s="1"/>
  <c r="AM220" i="11" s="1"/>
  <c r="AL227" i="11"/>
  <c r="AK227" i="11"/>
  <c r="AK226" i="11" s="1"/>
  <c r="AK220" i="11" s="1"/>
  <c r="AJ227" i="11"/>
  <c r="AI227" i="11"/>
  <c r="AI226" i="11" s="1"/>
  <c r="AI220" i="11" s="1"/>
  <c r="AH227" i="11"/>
  <c r="AG227" i="11"/>
  <c r="AG226" i="11" s="1"/>
  <c r="AG220" i="11" s="1"/>
  <c r="AF227" i="11"/>
  <c r="AE227" i="11"/>
  <c r="AE226" i="11" s="1"/>
  <c r="AE220" i="11" s="1"/>
  <c r="G227" i="11"/>
  <c r="BB226" i="11"/>
  <c r="AZ226" i="11"/>
  <c r="AX226" i="11"/>
  <c r="AV226" i="11"/>
  <c r="AT226" i="11"/>
  <c r="AR226" i="11"/>
  <c r="AP226" i="11"/>
  <c r="AN226" i="11"/>
  <c r="AL226" i="11"/>
  <c r="AJ226" i="11"/>
  <c r="AH226" i="11"/>
  <c r="AF226" i="11"/>
  <c r="BB220" i="11"/>
  <c r="BB225" i="11" s="1"/>
  <c r="AZ220" i="11"/>
  <c r="AZ225" i="11" s="1"/>
  <c r="AX220" i="11"/>
  <c r="AX225" i="11" s="1"/>
  <c r="AV220" i="11"/>
  <c r="AV225" i="11" s="1"/>
  <c r="AT220" i="11"/>
  <c r="AT225" i="11" s="1"/>
  <c r="AR220" i="11"/>
  <c r="AR225" i="11" s="1"/>
  <c r="AP220" i="11"/>
  <c r="AP225" i="11" s="1"/>
  <c r="AN220" i="11"/>
  <c r="AN225" i="11" s="1"/>
  <c r="AL220" i="11"/>
  <c r="AL225" i="11" s="1"/>
  <c r="AJ220" i="11"/>
  <c r="AJ225" i="11" s="1"/>
  <c r="AH220" i="11"/>
  <c r="AH225" i="11" s="1"/>
  <c r="AF220" i="11"/>
  <c r="AF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B211" i="11"/>
  <c r="AZ211" i="11"/>
  <c r="AX211" i="11"/>
  <c r="AV211" i="11"/>
  <c r="AT211" i="11"/>
  <c r="AR211" i="11"/>
  <c r="AP211" i="11"/>
  <c r="AN211" i="11"/>
  <c r="AL211" i="11"/>
  <c r="AJ211" i="11"/>
  <c r="AH211" i="11"/>
  <c r="AF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Z175" i="11"/>
  <c r="AY175" i="11"/>
  <c r="AY173" i="11" s="1"/>
  <c r="AX175" i="11"/>
  <c r="AW175" i="11"/>
  <c r="AW173" i="11" s="1"/>
  <c r="AV175" i="11"/>
  <c r="AU175" i="11"/>
  <c r="AU173" i="11" s="1"/>
  <c r="AT175" i="11"/>
  <c r="AS175" i="11"/>
  <c r="AS173" i="11" s="1"/>
  <c r="AR175" i="11"/>
  <c r="AQ175" i="11"/>
  <c r="AQ173" i="11" s="1"/>
  <c r="AP175" i="11"/>
  <c r="AO175" i="11"/>
  <c r="AO173" i="11" s="1"/>
  <c r="AN175" i="11"/>
  <c r="AM175" i="11"/>
  <c r="AM173" i="11" s="1"/>
  <c r="AL175" i="11"/>
  <c r="AK175" i="11"/>
  <c r="AK173" i="11" s="1"/>
  <c r="AJ175" i="11"/>
  <c r="AI175" i="11"/>
  <c r="AI173" i="11" s="1"/>
  <c r="AH175" i="11"/>
  <c r="AG175" i="11"/>
  <c r="AG173" i="11" s="1"/>
  <c r="AF175" i="11"/>
  <c r="AE175" i="11"/>
  <c r="AE173" i="11" s="1"/>
  <c r="G174" i="11"/>
  <c r="BB173" i="11"/>
  <c r="AZ173" i="11"/>
  <c r="AX173" i="11"/>
  <c r="AV173" i="11"/>
  <c r="AT173" i="11"/>
  <c r="AR173" i="11"/>
  <c r="AP173" i="11"/>
  <c r="AN173" i="11"/>
  <c r="AL173" i="11"/>
  <c r="AJ173" i="11"/>
  <c r="AH173" i="11"/>
  <c r="AF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B157" i="11" s="1"/>
  <c r="BB162" i="11" s="1"/>
  <c r="BA163" i="11"/>
  <c r="AZ163" i="11"/>
  <c r="AZ157" i="11" s="1"/>
  <c r="AZ162" i="11" s="1"/>
  <c r="AY163" i="11"/>
  <c r="AX163" i="11"/>
  <c r="AX157" i="11" s="1"/>
  <c r="AX162" i="11" s="1"/>
  <c r="AW163" i="11"/>
  <c r="AV163" i="11"/>
  <c r="AV157" i="11" s="1"/>
  <c r="AV162" i="11" s="1"/>
  <c r="AU163" i="11"/>
  <c r="AT163" i="11"/>
  <c r="AT157" i="11" s="1"/>
  <c r="AT162" i="11" s="1"/>
  <c r="AS163" i="11"/>
  <c r="AR163" i="11"/>
  <c r="AR157" i="11" s="1"/>
  <c r="AR162" i="11" s="1"/>
  <c r="AQ163" i="11"/>
  <c r="AP163" i="11"/>
  <c r="AP157" i="11" s="1"/>
  <c r="AP162" i="11" s="1"/>
  <c r="AO163" i="11"/>
  <c r="AN163" i="11"/>
  <c r="AN157" i="11" s="1"/>
  <c r="AN162" i="11" s="1"/>
  <c r="AM163" i="11"/>
  <c r="AL163" i="11"/>
  <c r="AL157" i="11" s="1"/>
  <c r="AL162" i="11" s="1"/>
  <c r="AK163" i="11"/>
  <c r="AJ163" i="11"/>
  <c r="AJ157" i="11" s="1"/>
  <c r="AJ162" i="11" s="1"/>
  <c r="AI163" i="11"/>
  <c r="AH163" i="11"/>
  <c r="AH157" i="11" s="1"/>
  <c r="AH162" i="11" s="1"/>
  <c r="AG163" i="11"/>
  <c r="AF163" i="11"/>
  <c r="AF157" i="11" s="1"/>
  <c r="AF162" i="11" s="1"/>
  <c r="AE163" i="11"/>
  <c r="G163" i="11"/>
  <c r="BA157" i="11"/>
  <c r="BA162" i="11" s="1"/>
  <c r="AY157" i="11"/>
  <c r="AY162" i="11" s="1"/>
  <c r="AW157" i="11"/>
  <c r="AW162" i="11" s="1"/>
  <c r="AU157" i="11"/>
  <c r="AU162" i="11" s="1"/>
  <c r="AS157" i="11"/>
  <c r="AS162" i="11" s="1"/>
  <c r="AQ157" i="11"/>
  <c r="AQ162" i="11" s="1"/>
  <c r="AO157" i="11"/>
  <c r="AO162" i="11" s="1"/>
  <c r="AM157" i="11"/>
  <c r="AM162" i="11" s="1"/>
  <c r="AK157" i="11"/>
  <c r="AK162" i="11" s="1"/>
  <c r="AI157" i="11"/>
  <c r="AI162" i="11" s="1"/>
  <c r="AG157" i="11"/>
  <c r="AG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Y136" i="11"/>
  <c r="AY135" i="11" s="1"/>
  <c r="AY129" i="11" s="1"/>
  <c r="AX136" i="11"/>
  <c r="AW136" i="11"/>
  <c r="AW135" i="11" s="1"/>
  <c r="AW129" i="11" s="1"/>
  <c r="AV136" i="11"/>
  <c r="AU136" i="11"/>
  <c r="AU135" i="11" s="1"/>
  <c r="AU129" i="11" s="1"/>
  <c r="AT136" i="11"/>
  <c r="AS136" i="11"/>
  <c r="AS135" i="11" s="1"/>
  <c r="AS129" i="11" s="1"/>
  <c r="AR136" i="11"/>
  <c r="AQ136" i="11"/>
  <c r="AQ135" i="11" s="1"/>
  <c r="AQ129" i="11" s="1"/>
  <c r="AP136" i="11"/>
  <c r="AO136" i="11"/>
  <c r="AO135" i="11" s="1"/>
  <c r="AO129" i="11" s="1"/>
  <c r="AN136" i="11"/>
  <c r="AM136" i="11"/>
  <c r="AM135" i="11" s="1"/>
  <c r="AM129" i="11" s="1"/>
  <c r="AL136" i="11"/>
  <c r="AK136" i="11"/>
  <c r="AK135" i="11" s="1"/>
  <c r="AK129" i="11" s="1"/>
  <c r="AJ136" i="11"/>
  <c r="AI136" i="11"/>
  <c r="AI135" i="11" s="1"/>
  <c r="AI129" i="11" s="1"/>
  <c r="AH136" i="11"/>
  <c r="AG136" i="11"/>
  <c r="AG135" i="11" s="1"/>
  <c r="AG129" i="11" s="1"/>
  <c r="AF136" i="11"/>
  <c r="AE136" i="11"/>
  <c r="AE135" i="11" s="1"/>
  <c r="AE129" i="11" s="1"/>
  <c r="G136" i="11"/>
  <c r="BB135" i="11"/>
  <c r="AZ135" i="11"/>
  <c r="AX135" i="11"/>
  <c r="AV135" i="11"/>
  <c r="AT135" i="11"/>
  <c r="AR135" i="11"/>
  <c r="AP135" i="11"/>
  <c r="AN135" i="11"/>
  <c r="AL135" i="11"/>
  <c r="AJ135" i="11"/>
  <c r="AH135" i="11"/>
  <c r="AF135" i="11"/>
  <c r="BB129" i="11"/>
  <c r="BB134" i="11" s="1"/>
  <c r="AZ129" i="11"/>
  <c r="AZ134" i="11" s="1"/>
  <c r="AX129" i="11"/>
  <c r="AX134" i="11" s="1"/>
  <c r="AV129" i="11"/>
  <c r="AV134" i="11" s="1"/>
  <c r="AT129" i="11"/>
  <c r="AT134" i="11" s="1"/>
  <c r="AR129" i="11"/>
  <c r="AR134" i="11" s="1"/>
  <c r="AP129" i="11"/>
  <c r="AP134" i="11" s="1"/>
  <c r="AN129" i="11"/>
  <c r="AN134" i="11" s="1"/>
  <c r="AL129" i="11"/>
  <c r="AL134" i="11" s="1"/>
  <c r="AJ129" i="11"/>
  <c r="AJ134" i="11" s="1"/>
  <c r="AH129" i="11"/>
  <c r="AH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Z120" i="11"/>
  <c r="AX120" i="11"/>
  <c r="AV120" i="11"/>
  <c r="AT120" i="11"/>
  <c r="AR120" i="11"/>
  <c r="AP120" i="11"/>
  <c r="AN120" i="11"/>
  <c r="AL120" i="11"/>
  <c r="AJ120" i="11"/>
  <c r="AH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Y82" i="11" s="1"/>
  <c r="AX84" i="11"/>
  <c r="AW84" i="11"/>
  <c r="AW82" i="11" s="1"/>
  <c r="AV84" i="11"/>
  <c r="AU84" i="11"/>
  <c r="AU82" i="11" s="1"/>
  <c r="AT84" i="11"/>
  <c r="AS84" i="11"/>
  <c r="AS82" i="11" s="1"/>
  <c r="AR84" i="11"/>
  <c r="AQ84" i="11"/>
  <c r="AQ82" i="11" s="1"/>
  <c r="AP84" i="11"/>
  <c r="AO84" i="11"/>
  <c r="AO82" i="11" s="1"/>
  <c r="AN84" i="11"/>
  <c r="AM84" i="11"/>
  <c r="AM82" i="11" s="1"/>
  <c r="AL84" i="11"/>
  <c r="AK84" i="11"/>
  <c r="AK82" i="11" s="1"/>
  <c r="AJ84" i="11"/>
  <c r="AI84" i="11"/>
  <c r="AI82" i="11" s="1"/>
  <c r="AH84" i="11"/>
  <c r="AG84" i="11"/>
  <c r="AG82" i="11" s="1"/>
  <c r="AF84" i="11"/>
  <c r="AE84" i="11"/>
  <c r="AE82" i="11" s="1"/>
  <c r="G83" i="11"/>
  <c r="BB82" i="11"/>
  <c r="AZ82" i="11"/>
  <c r="AX82" i="11"/>
  <c r="AV82" i="11"/>
  <c r="AT82" i="11"/>
  <c r="AR82" i="11"/>
  <c r="AP82" i="11"/>
  <c r="AN82" i="11"/>
  <c r="AL82" i="11"/>
  <c r="AJ82" i="11"/>
  <c r="AH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B66" i="11" s="1"/>
  <c r="BB71" i="11" s="1"/>
  <c r="BA72" i="11"/>
  <c r="AZ72" i="11"/>
  <c r="AZ66" i="11" s="1"/>
  <c r="AZ71" i="11" s="1"/>
  <c r="AY72" i="11"/>
  <c r="AX72" i="11"/>
  <c r="AX66" i="11" s="1"/>
  <c r="AX71" i="11" s="1"/>
  <c r="AW72" i="11"/>
  <c r="AV72" i="11"/>
  <c r="AV66" i="11" s="1"/>
  <c r="AV71" i="11" s="1"/>
  <c r="AU72" i="11"/>
  <c r="AT72" i="11"/>
  <c r="AT66" i="11" s="1"/>
  <c r="AT71" i="11" s="1"/>
  <c r="AS72" i="11"/>
  <c r="AR72" i="11"/>
  <c r="AR66" i="11" s="1"/>
  <c r="AR71" i="11" s="1"/>
  <c r="AQ72" i="11"/>
  <c r="AP72" i="11"/>
  <c r="AP66" i="11" s="1"/>
  <c r="AP71" i="11" s="1"/>
  <c r="AO72" i="11"/>
  <c r="AN72" i="11"/>
  <c r="AN66" i="11" s="1"/>
  <c r="AN71" i="11" s="1"/>
  <c r="AM72" i="11"/>
  <c r="AL72" i="11"/>
  <c r="AL66" i="11" s="1"/>
  <c r="AL71" i="11" s="1"/>
  <c r="AK72" i="11"/>
  <c r="AJ72" i="11"/>
  <c r="AJ66" i="11" s="1"/>
  <c r="AJ71" i="11" s="1"/>
  <c r="AI72" i="11"/>
  <c r="AH72" i="11"/>
  <c r="AH66" i="11" s="1"/>
  <c r="AH71" i="11" s="1"/>
  <c r="AG72" i="11"/>
  <c r="AF72" i="11"/>
  <c r="AF66" i="11" s="1"/>
  <c r="AF71" i="11" s="1"/>
  <c r="AE72" i="11"/>
  <c r="G72" i="11"/>
  <c r="BA66" i="11"/>
  <c r="BA71" i="11" s="1"/>
  <c r="AY66" i="11"/>
  <c r="AY71" i="11" s="1"/>
  <c r="AW66" i="11"/>
  <c r="AW71" i="11" s="1"/>
  <c r="AU66" i="11"/>
  <c r="AU71" i="11" s="1"/>
  <c r="AS66" i="11"/>
  <c r="AS71" i="11" s="1"/>
  <c r="AQ66" i="11"/>
  <c r="AQ71" i="11" s="1"/>
  <c r="AO66" i="11"/>
  <c r="AO71" i="11" s="1"/>
  <c r="AM66" i="11"/>
  <c r="AM71" i="11" s="1"/>
  <c r="AK66" i="11"/>
  <c r="AK71" i="11" s="1"/>
  <c r="AI66" i="11"/>
  <c r="AI71" i="11" s="1"/>
  <c r="AG66" i="11"/>
  <c r="AG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BA44" i="11" s="1"/>
  <c r="BA38" i="11" s="1"/>
  <c r="AZ45" i="11"/>
  <c r="AY45" i="11"/>
  <c r="AY44" i="11" s="1"/>
  <c r="AY38" i="11" s="1"/>
  <c r="AX45" i="11"/>
  <c r="AW45" i="11"/>
  <c r="AW44" i="11" s="1"/>
  <c r="AW38" i="11" s="1"/>
  <c r="AV45" i="11"/>
  <c r="AU45" i="11"/>
  <c r="AU44" i="11" s="1"/>
  <c r="AU38" i="11" s="1"/>
  <c r="AT45" i="11"/>
  <c r="AS45" i="11"/>
  <c r="AS44" i="11" s="1"/>
  <c r="AS38" i="11" s="1"/>
  <c r="AR45" i="11"/>
  <c r="AQ45" i="11"/>
  <c r="AQ44" i="11" s="1"/>
  <c r="AQ38" i="11" s="1"/>
  <c r="AP45" i="11"/>
  <c r="AO45" i="11"/>
  <c r="AO44" i="11" s="1"/>
  <c r="AO38" i="11" s="1"/>
  <c r="AN45" i="11"/>
  <c r="AM45" i="11"/>
  <c r="AM44" i="11" s="1"/>
  <c r="AM38" i="11" s="1"/>
  <c r="AL45" i="11"/>
  <c r="AK45" i="11"/>
  <c r="AK44" i="11" s="1"/>
  <c r="AK38" i="11" s="1"/>
  <c r="AJ45" i="11"/>
  <c r="AI45" i="11"/>
  <c r="AI44" i="11" s="1"/>
  <c r="AI38" i="11" s="1"/>
  <c r="AH45" i="11"/>
  <c r="AG45" i="11"/>
  <c r="AG44" i="11" s="1"/>
  <c r="AG38" i="11" s="1"/>
  <c r="AF45" i="11"/>
  <c r="AE45" i="11"/>
  <c r="AE44" i="11" s="1"/>
  <c r="AE38" i="11" s="1"/>
  <c r="G45" i="11"/>
  <c r="BB44" i="11"/>
  <c r="AZ44" i="11"/>
  <c r="AX44" i="11"/>
  <c r="AV44" i="11"/>
  <c r="AT44" i="11"/>
  <c r="AR44" i="11"/>
  <c r="AP44" i="11"/>
  <c r="AN44" i="11"/>
  <c r="AL44" i="11"/>
  <c r="AJ44" i="11"/>
  <c r="AH44" i="11"/>
  <c r="AF44" i="11"/>
  <c r="BB38" i="11"/>
  <c r="BB43" i="11" s="1"/>
  <c r="AZ38" i="11"/>
  <c r="AZ43" i="11" s="1"/>
  <c r="AX38" i="11"/>
  <c r="AX43" i="11" s="1"/>
  <c r="AV38" i="11"/>
  <c r="AV43" i="11" s="1"/>
  <c r="AT38" i="11"/>
  <c r="AT43" i="11" s="1"/>
  <c r="AR38" i="11"/>
  <c r="AR43" i="11" s="1"/>
  <c r="AP38" i="11"/>
  <c r="AP43" i="11" s="1"/>
  <c r="AN38" i="11"/>
  <c r="AN43" i="11" s="1"/>
  <c r="AL38" i="11"/>
  <c r="AL43" i="11" s="1"/>
  <c r="AJ38" i="11"/>
  <c r="AJ43" i="11" s="1"/>
  <c r="AH38" i="11"/>
  <c r="AH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Z29" i="11"/>
  <c r="AX29" i="11"/>
  <c r="AV29" i="11"/>
  <c r="AT29" i="11"/>
  <c r="AR29" i="11"/>
  <c r="AP29" i="11"/>
  <c r="AN29" i="11"/>
  <c r="AL29" i="11"/>
  <c r="AJ29" i="11"/>
  <c r="AH29" i="11"/>
  <c r="AF29" i="11"/>
  <c r="AB27" i="11" a="1"/>
  <c r="AB27" i="11" s="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c r="AK10" i="11" a="1"/>
  <c r="AK10" i="11"/>
  <c r="AJ10" i="11" a="1"/>
  <c r="AJ10" i="11"/>
  <c r="AI10" i="11" a="1"/>
  <c r="AI10" i="11"/>
  <c r="AH10" i="11" a="1"/>
  <c r="AH10" i="11"/>
  <c r="AG10" i="11" a="1"/>
  <c r="AG10" i="11"/>
  <c r="AF10" i="11" a="1"/>
  <c r="AF10" i="11"/>
  <c r="AE10" i="11" a="1"/>
  <c r="AE10" i="11"/>
  <c r="AZ9" i="11" a="1"/>
  <c r="AZ9" i="11"/>
  <c r="AV9" i="11" a="1"/>
  <c r="AV9" i="11"/>
  <c r="AH9" i="11" a="1"/>
  <c r="AH9" i="11"/>
  <c r="BB7" i="11" a="1"/>
  <c r="BB7" i="11"/>
  <c r="BA7" i="11" a="1"/>
  <c r="BA7" i="11"/>
  <c r="AZ7" i="11" a="1"/>
  <c r="AZ7" i="11"/>
  <c r="AY7" i="11" a="1"/>
  <c r="AY7" i="11"/>
  <c r="AX7" i="11" a="1"/>
  <c r="AX7" i="11"/>
  <c r="AW7" i="11" a="1"/>
  <c r="AW7" i="11"/>
  <c r="AV7" i="11" a="1"/>
  <c r="AV7" i="11"/>
  <c r="AU7" i="11" a="1"/>
  <c r="AU7" i="11"/>
  <c r="AT7" i="11" a="1"/>
  <c r="AT7" i="11"/>
  <c r="AS7" i="11" a="1"/>
  <c r="AS7" i="11"/>
  <c r="AR7" i="11" a="1"/>
  <c r="AR7" i="11"/>
  <c r="AQ7" i="11" a="1"/>
  <c r="AQ7" i="11"/>
  <c r="AQ8" i="11" s="1"/>
  <c r="AP7" i="11" a="1"/>
  <c r="AP7" i="11"/>
  <c r="AO7" i="11" a="1"/>
  <c r="AO7" i="11"/>
  <c r="AO8" i="11" s="1"/>
  <c r="AN7" i="11" a="1"/>
  <c r="AN7" i="11"/>
  <c r="AM7" i="11" a="1"/>
  <c r="AM7" i="11"/>
  <c r="AM8" i="11" s="1"/>
  <c r="AL7" i="11" a="1"/>
  <c r="AL7" i="11"/>
  <c r="AK7" i="11" a="1"/>
  <c r="AK7" i="11"/>
  <c r="AK8" i="11" s="1"/>
  <c r="AJ7" i="11" a="1"/>
  <c r="AJ7" i="11"/>
  <c r="AI7" i="11" a="1"/>
  <c r="AI7" i="11"/>
  <c r="AI8" i="11" s="1"/>
  <c r="AH7" i="11" a="1"/>
  <c r="AH7" i="11"/>
  <c r="AH8" i="11" s="1"/>
  <c r="AG7" i="11" a="1"/>
  <c r="AG7" i="11"/>
  <c r="AF7" i="11" a="1"/>
  <c r="AF7" i="11"/>
  <c r="AE7" i="11" a="1"/>
  <c r="AE7" i="11"/>
  <c r="AE8" i="11" s="1"/>
  <c r="BB6" i="11"/>
  <c r="BB2" i="11" s="1"/>
  <c r="BA6" i="11"/>
  <c r="BA9" i="11" s="1" a="1"/>
  <c r="BA9" i="11" s="1"/>
  <c r="AZ6" i="11"/>
  <c r="AZ8" i="11" s="1"/>
  <c r="AY6" i="11"/>
  <c r="AY9" i="11" s="1" a="1"/>
  <c r="AY9" i="11" s="1"/>
  <c r="AX6" i="11"/>
  <c r="AX2" i="11" s="1"/>
  <c r="AW6" i="11"/>
  <c r="AW9" i="11" s="1" a="1"/>
  <c r="AW9" i="11" s="1"/>
  <c r="AV6" i="11"/>
  <c r="AV8" i="11" s="1"/>
  <c r="AU6" i="11"/>
  <c r="AU9" i="11" s="1" a="1"/>
  <c r="AU9" i="11" s="1"/>
  <c r="AT6" i="11"/>
  <c r="AT2" i="11" s="1"/>
  <c r="AS6" i="11" a="1"/>
  <c r="AS6" i="11" s="1"/>
  <c r="AR6" i="11"/>
  <c r="AR8" i="11" s="1"/>
  <c r="AQ6" i="11"/>
  <c r="AQ9" i="11" s="1" a="1"/>
  <c r="AQ9" i="11" s="1"/>
  <c r="AP6" i="11"/>
  <c r="AP2" i="11" s="1"/>
  <c r="AO6" i="11"/>
  <c r="AO9" i="11" s="1" a="1"/>
  <c r="AO9" i="11" s="1"/>
  <c r="AN6" i="11"/>
  <c r="AN8" i="11" s="1"/>
  <c r="AM6" i="11"/>
  <c r="AM9" i="11" s="1" a="1"/>
  <c r="AM9" i="11" s="1"/>
  <c r="AL6" i="11"/>
  <c r="AL2" i="11" s="1"/>
  <c r="AK6" i="11"/>
  <c r="AK9" i="11" s="1" a="1"/>
  <c r="AK9" i="11" s="1"/>
  <c r="AJ6" i="11"/>
  <c r="AJ8" i="11" s="1"/>
  <c r="AI6" i="11" a="1"/>
  <c r="AI6" i="11"/>
  <c r="AI9" i="11" s="1" a="1"/>
  <c r="AI9" i="11" s="1"/>
  <c r="AH6" i="11"/>
  <c r="AG6" i="11"/>
  <c r="AG9" i="11" s="1" a="1"/>
  <c r="AG9" i="11" s="1"/>
  <c r="AF6" i="11"/>
  <c r="AF8" i="11" s="1"/>
  <c r="AE6" i="11"/>
  <c r="AE9" i="11" s="1" a="1"/>
  <c r="AE9" i="11" s="1"/>
  <c r="V42" i="10"/>
  <c r="V43" i="10" s="1" a="1"/>
  <c r="V43" i="10" s="1"/>
  <c r="V44" i="10" s="1" a="1"/>
  <c r="V44" i="10" s="1"/>
  <c r="V45" i="10" s="1" a="1"/>
  <c r="V45" i="10" s="1"/>
  <c r="V46" i="10" s="1" a="1"/>
  <c r="V46" i="10" s="1"/>
  <c r="F42" i="10" a="1"/>
  <c r="F42" i="10" s="1"/>
  <c r="F43" i="10" s="1" a="1"/>
  <c r="F43" i="10" s="1"/>
  <c r="F44" i="10" s="1" a="1"/>
  <c r="F44" i="10" s="1"/>
  <c r="F45" i="10" s="1" a="1"/>
  <c r="F45" i="10" s="1"/>
  <c r="F46" i="10" s="1" a="1"/>
  <c r="F46" i="10" s="1"/>
  <c r="F47" i="10" s="1" a="1"/>
  <c r="F47" i="10" s="1"/>
  <c r="V37" i="10"/>
  <c r="V38" i="10" s="1" a="1"/>
  <c r="V38" i="10" s="1"/>
  <c r="V39" i="10" s="1" a="1"/>
  <c r="V39" i="10" s="1"/>
  <c r="V40" i="10" s="1" a="1"/>
  <c r="V40" i="10" s="1"/>
  <c r="V41" i="10" s="1" a="1"/>
  <c r="V41" i="10" s="1"/>
  <c r="F37" i="10" a="1"/>
  <c r="F37" i="10"/>
  <c r="F38" i="10" s="1" a="1"/>
  <c r="F38" i="10" s="1"/>
  <c r="F39" i="10" s="1" a="1"/>
  <c r="F39" i="10" s="1"/>
  <c r="F40" i="10" s="1" a="1"/>
  <c r="F40" i="10" s="1"/>
  <c r="F41" i="10" s="1" a="1"/>
  <c r="F41" i="10" s="1"/>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F28" i="10" a="1"/>
  <c r="F28" i="10" s="1"/>
  <c r="F29" i="10" s="1" a="1"/>
  <c r="F29" i="10" s="1"/>
  <c r="F30" i="10" s="1" a="1"/>
  <c r="F30" i="10" s="1"/>
  <c r="F31" i="10" s="1" a="1"/>
  <c r="F31" i="10" s="1"/>
  <c r="V27" i="10"/>
  <c r="V28" i="10" s="1" a="1"/>
  <c r="V28" i="10" s="1"/>
  <c r="V29" i="10" s="1" a="1"/>
  <c r="V29" i="10" s="1"/>
  <c r="V30" i="10" s="1" a="1"/>
  <c r="V30" i="10" s="1"/>
  <c r="V31" i="10" s="1" a="1"/>
  <c r="V31" i="10" s="1"/>
  <c r="F27" i="10" a="1"/>
  <c r="F27"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BA9" i="10" s="1"/>
  <c r="AZ9" i="10" a="1"/>
  <c r="AZ9" i="10" s="1"/>
  <c r="AY9" i="10" a="1"/>
  <c r="AY9" i="10" s="1"/>
  <c r="AW9" i="10" a="1"/>
  <c r="AW9" i="10" s="1"/>
  <c r="AV9" i="10" a="1"/>
  <c r="AV9" i="10" s="1"/>
  <c r="AU9" i="10" a="1"/>
  <c r="AU9" i="10" s="1"/>
  <c r="AS9" i="10" a="1"/>
  <c r="AS9" i="10" s="1"/>
  <c r="AP9" i="10" a="1"/>
  <c r="AP9" i="10" s="1"/>
  <c r="AN9" i="10" a="1"/>
  <c r="AN9" i="10" s="1"/>
  <c r="AL9" i="10" a="1"/>
  <c r="AL9" i="10" s="1"/>
  <c r="AJ9" i="10" a="1"/>
  <c r="AJ9" i="10" s="1"/>
  <c r="AH9" i="10" a="1"/>
  <c r="AH9" i="10" s="1"/>
  <c r="AG9" i="10" a="1"/>
  <c r="AG9" i="10" s="1"/>
  <c r="AE9" i="10" a="1"/>
  <c r="AE9" i="10" s="1"/>
  <c r="BA7" i="10" a="1"/>
  <c r="BA7" i="10"/>
  <c r="BA8" i="10" s="1"/>
  <c r="AZ7" i="10" a="1"/>
  <c r="AZ7" i="10"/>
  <c r="AY7" i="10" a="1"/>
  <c r="AY7" i="10"/>
  <c r="AY8" i="10" s="1"/>
  <c r="AX7" i="10" a="1"/>
  <c r="AX7" i="10"/>
  <c r="AW7" i="10" a="1"/>
  <c r="AW7" i="10"/>
  <c r="AW8" i="10" s="1"/>
  <c r="AV7" i="10" a="1"/>
  <c r="AV7" i="10"/>
  <c r="AU7" i="10" a="1"/>
  <c r="AU7" i="10"/>
  <c r="AU8" i="10" s="1"/>
  <c r="AT7" i="10" a="1"/>
  <c r="AT7" i="10"/>
  <c r="AS7" i="10" a="1"/>
  <c r="AS7" i="10"/>
  <c r="AS8" i="10" s="1"/>
  <c r="AR7" i="10" a="1"/>
  <c r="AR7" i="10"/>
  <c r="AQ7" i="10" a="1"/>
  <c r="AQ7" i="10"/>
  <c r="AP7" i="10" a="1"/>
  <c r="AP7" i="10"/>
  <c r="AO7" i="10" a="1"/>
  <c r="AO7" i="10"/>
  <c r="AO8" i="10" s="1"/>
  <c r="AN7" i="10" a="1"/>
  <c r="AN7" i="10"/>
  <c r="AN8" i="10" s="1"/>
  <c r="AM7" i="10" a="1"/>
  <c r="AM7" i="10"/>
  <c r="AL7" i="10" a="1"/>
  <c r="AL7" i="10"/>
  <c r="AK7" i="10" a="1"/>
  <c r="AK7" i="10"/>
  <c r="AK8" i="10" s="1"/>
  <c r="AJ7" i="10" a="1"/>
  <c r="AJ7" i="10"/>
  <c r="AJ8" i="10" s="1"/>
  <c r="AI7" i="10" a="1"/>
  <c r="AI7" i="10"/>
  <c r="AH7" i="10" a="1"/>
  <c r="AH7" i="10"/>
  <c r="AG7" i="10" a="1"/>
  <c r="AG7" i="10"/>
  <c r="AG8" i="10" s="1"/>
  <c r="AF7" i="10" a="1"/>
  <c r="AF7" i="10"/>
  <c r="AE7" i="10" a="1"/>
  <c r="AE7" i="10"/>
  <c r="AE8" i="10" s="1"/>
  <c r="BA6" i="10"/>
  <c r="AZ6" i="10"/>
  <c r="AY6" i="10"/>
  <c r="AX6" i="10"/>
  <c r="AX8" i="10" s="1"/>
  <c r="AW6" i="10"/>
  <c r="AV6" i="10"/>
  <c r="AU6" i="10"/>
  <c r="AT6" i="10"/>
  <c r="AT8" i="10" s="1"/>
  <c r="AS6" i="10"/>
  <c r="AR6" i="10" a="1"/>
  <c r="AR6" i="10" s="1"/>
  <c r="AQ6" i="10"/>
  <c r="AQ2" i="10" s="1"/>
  <c r="AP6" i="10"/>
  <c r="AP8" i="10" s="1"/>
  <c r="AO6" i="10"/>
  <c r="AN6" i="10"/>
  <c r="AM6" i="10"/>
  <c r="AM2" i="10" s="1"/>
  <c r="AL6" i="10"/>
  <c r="AL8" i="10" s="1"/>
  <c r="AK6" i="10"/>
  <c r="AJ6" i="10"/>
  <c r="AI6" i="10"/>
  <c r="AI2" i="10" s="1"/>
  <c r="AH6" i="10" a="1"/>
  <c r="AH6" i="10"/>
  <c r="AH8" i="10" s="1"/>
  <c r="AG6" i="10"/>
  <c r="AF6" i="10"/>
  <c r="AF8" i="10" s="1"/>
  <c r="AE6" i="10"/>
  <c r="AM135" i="9"/>
  <c r="AL135" i="9"/>
  <c r="AM134" i="9"/>
  <c r="AL134" i="9"/>
  <c r="AM133" i="9"/>
  <c r="AL133" i="9"/>
  <c r="AM132" i="9"/>
  <c r="AL132" i="9"/>
  <c r="BK130" i="9" a="1"/>
  <c r="BK130" i="9"/>
  <c r="AM130" i="9"/>
  <c r="AL130" i="9"/>
  <c r="I130" i="9" a="1"/>
  <c r="I130" i="9" s="1"/>
  <c r="AM129" i="9"/>
  <c r="AL129" i="9"/>
  <c r="BK127" i="9" a="1"/>
  <c r="BK127" i="9"/>
  <c r="AM127" i="9"/>
  <c r="AL127" i="9"/>
  <c r="I127" i="9" a="1"/>
  <c r="I127" i="9" s="1"/>
  <c r="AM126" i="9"/>
  <c r="AL126" i="9"/>
  <c r="BK124" i="9" a="1"/>
  <c r="BK124" i="9"/>
  <c r="AM124" i="9"/>
  <c r="AL124" i="9"/>
  <c r="I124" i="9" a="1"/>
  <c r="I124" i="9" s="1"/>
  <c r="AM123" i="9"/>
  <c r="AL123" i="9"/>
  <c r="BK121" i="9" a="1"/>
  <c r="BK121" i="9"/>
  <c r="AM121" i="9"/>
  <c r="AL121" i="9"/>
  <c r="I121" i="9" a="1"/>
  <c r="I121" i="9" s="1"/>
  <c r="AM120" i="9"/>
  <c r="AL120" i="9"/>
  <c r="AM118" i="9"/>
  <c r="AL118" i="9"/>
  <c r="AM117" i="9"/>
  <c r="AL117" i="9"/>
  <c r="AM115" i="9"/>
  <c r="AL115" i="9"/>
  <c r="AM114" i="9"/>
  <c r="AL114" i="9"/>
  <c r="B114" i="9"/>
  <c r="AM113" i="9"/>
  <c r="AL113" i="9"/>
  <c r="AM112" i="9"/>
  <c r="AL112" i="9"/>
  <c r="AB112" i="9"/>
  <c r="AB113" i="9" s="1"/>
  <c r="AM111" i="9"/>
  <c r="AL111" i="9"/>
  <c r="B111" i="9"/>
  <c r="BF110" i="9"/>
  <c r="BE110" i="9"/>
  <c r="BD110" i="9"/>
  <c r="BC110" i="9"/>
  <c r="BB110" i="9"/>
  <c r="BA110" i="9"/>
  <c r="AZ110" i="9"/>
  <c r="AY110" i="9"/>
  <c r="AX110" i="9"/>
  <c r="AW110" i="9"/>
  <c r="AV110" i="9"/>
  <c r="AU110" i="9"/>
  <c r="AT110" i="9"/>
  <c r="AS110" i="9"/>
  <c r="AR110" i="9"/>
  <c r="AQ110" i="9"/>
  <c r="AP110" i="9"/>
  <c r="AO110" i="9"/>
  <c r="AK110" i="9"/>
  <c r="AJ110" i="9"/>
  <c r="AI110" i="9"/>
  <c r="U109" i="9"/>
  <c r="U110" i="9" s="1" a="1"/>
  <c r="U110" i="9" s="1"/>
  <c r="U111" i="9" s="1" a="1"/>
  <c r="U111" i="9" s="1"/>
  <c r="U112" i="9" s="1" a="1"/>
  <c r="U112" i="9" s="1"/>
  <c r="U113" i="9" s="1" a="1"/>
  <c r="U113" i="9" s="1"/>
  <c r="U114" i="9" s="1" a="1"/>
  <c r="U114" i="9" s="1"/>
  <c r="F109" i="9" a="1"/>
  <c r="F109" i="9" s="1"/>
  <c r="F110" i="9" s="1" a="1"/>
  <c r="F110" i="9" s="1"/>
  <c r="F111" i="9" s="1" a="1"/>
  <c r="F111" i="9" s="1"/>
  <c r="F112" i="9" s="1" a="1"/>
  <c r="F112" i="9" s="1"/>
  <c r="F113" i="9" s="1" a="1"/>
  <c r="F113" i="9" s="1"/>
  <c r="F114" i="9" s="1" a="1"/>
  <c r="F114" i="9" s="1"/>
  <c r="F115" i="9" s="1" a="1"/>
  <c r="F115" i="9" s="1"/>
  <c r="F116" i="9" s="1" a="1"/>
  <c r="F116" i="9" s="1"/>
  <c r="F117" i="9" s="1" a="1"/>
  <c r="F117" i="9" s="1"/>
  <c r="F118" i="9" s="1" a="1"/>
  <c r="F118" i="9" s="1"/>
  <c r="F119" i="9" s="1" a="1"/>
  <c r="F119" i="9" s="1"/>
  <c r="F120" i="9" s="1" a="1"/>
  <c r="F120" i="9" s="1"/>
  <c r="F121" i="9" s="1" a="1"/>
  <c r="F121" i="9" s="1"/>
  <c r="AM108" i="9"/>
  <c r="AL108" i="9"/>
  <c r="AM107" i="9"/>
  <c r="AL107" i="9"/>
  <c r="AM106" i="9"/>
  <c r="AL106" i="9"/>
  <c r="AM105" i="9"/>
  <c r="AL105" i="9"/>
  <c r="BK103" i="9" a="1"/>
  <c r="BK103" i="9"/>
  <c r="AM103" i="9"/>
  <c r="AL103" i="9"/>
  <c r="I103" i="9" a="1"/>
  <c r="I103" i="9" s="1"/>
  <c r="AM102" i="9"/>
  <c r="AL102" i="9"/>
  <c r="BK100" i="9" a="1"/>
  <c r="BK100" i="9"/>
  <c r="AM100" i="9"/>
  <c r="AL100" i="9"/>
  <c r="I100" i="9" a="1"/>
  <c r="I100" i="9" s="1"/>
  <c r="AM99" i="9"/>
  <c r="AL99" i="9"/>
  <c r="BK97" i="9" a="1"/>
  <c r="BK97" i="9"/>
  <c r="AM97" i="9"/>
  <c r="AL97" i="9"/>
  <c r="I97" i="9" a="1"/>
  <c r="I97" i="9" s="1"/>
  <c r="AM96" i="9"/>
  <c r="AL96" i="9"/>
  <c r="BK94" i="9" a="1"/>
  <c r="BK94" i="9"/>
  <c r="AM94" i="9"/>
  <c r="AL94" i="9"/>
  <c r="I94" i="9" a="1"/>
  <c r="I94" i="9" s="1"/>
  <c r="AM93" i="9"/>
  <c r="AL93" i="9"/>
  <c r="AM91" i="9"/>
  <c r="AL91" i="9"/>
  <c r="AM90" i="9"/>
  <c r="AL90" i="9"/>
  <c r="AM88" i="9"/>
  <c r="AL88" i="9"/>
  <c r="AM87" i="9"/>
  <c r="AL87" i="9"/>
  <c r="B87" i="9"/>
  <c r="AM86" i="9"/>
  <c r="AL86" i="9"/>
  <c r="AM85" i="9"/>
  <c r="AL85" i="9"/>
  <c r="AB85" i="9"/>
  <c r="AB86" i="9" s="1"/>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c r="U30" i="9" s="1" a="1"/>
  <c r="U30" i="9" s="1"/>
  <c r="U31" i="9" s="1" a="1"/>
  <c r="U31" i="9" s="1"/>
  <c r="U32" i="9" s="1" a="1"/>
  <c r="U32" i="9" s="1"/>
  <c r="U33" i="9" s="1" a="1"/>
  <c r="U33" i="9" s="1"/>
  <c r="U28" i="9"/>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E9" i="9" s="1"/>
  <c r="BC9" i="9" a="1"/>
  <c r="BC9" i="9" s="1"/>
  <c r="BA9" i="9" a="1"/>
  <c r="BA9" i="9" s="1"/>
  <c r="AY9" i="9" a="1"/>
  <c r="AY9" i="9" s="1"/>
  <c r="AW9" i="9" a="1"/>
  <c r="AW9" i="9" s="1"/>
  <c r="AU9" i="9" a="1"/>
  <c r="AU9" i="9" s="1"/>
  <c r="AS9" i="9" a="1"/>
  <c r="AS9" i="9" s="1"/>
  <c r="AQ9" i="9" a="1"/>
  <c r="AQ9" i="9" s="1"/>
  <c r="AO9" i="9" a="1"/>
  <c r="AO9" i="9" s="1"/>
  <c r="AI9" i="9" a="1"/>
  <c r="AI9" i="9" s="1"/>
  <c r="AH9" i="9" a="1"/>
  <c r="AH9" i="9" s="1"/>
  <c r="AF9" i="9" a="1"/>
  <c r="AF9" i="9" s="1"/>
  <c r="AE9" i="9" a="1"/>
  <c r="AE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F8" i="9" s="1"/>
  <c r="AE7" i="9" a="1"/>
  <c r="AE7" i="9" s="1"/>
  <c r="BF6" i="9"/>
  <c r="BE6" i="9"/>
  <c r="BD6" i="9"/>
  <c r="BD2" i="9" s="1"/>
  <c r="BC6" i="9"/>
  <c r="BC8" i="9" s="1"/>
  <c r="BB6" i="9"/>
  <c r="BA6" i="9"/>
  <c r="AZ6" i="9"/>
  <c r="AZ8" i="9" s="1"/>
  <c r="AY6" i="9"/>
  <c r="AY8" i="9" s="1"/>
  <c r="AX6" i="9"/>
  <c r="AW6" i="9"/>
  <c r="AV6" i="9"/>
  <c r="AV2" i="9" s="1"/>
  <c r="AU6" i="9"/>
  <c r="AU8" i="9" s="1"/>
  <c r="AT6" i="9"/>
  <c r="AS6" i="9"/>
  <c r="AR6" i="9"/>
  <c r="AR2" i="9" s="1"/>
  <c r="AQ6" i="9"/>
  <c r="AQ8" i="9" s="1"/>
  <c r="AP6" i="9"/>
  <c r="AO6" i="9"/>
  <c r="AN6" i="9" a="1"/>
  <c r="AN6" i="9" s="1"/>
  <c r="AM6" i="9" a="1"/>
  <c r="AM6" i="9" s="1"/>
  <c r="AL6" i="9" a="1"/>
  <c r="AL6" i="9" s="1"/>
  <c r="AK6" i="9" a="1"/>
  <c r="AK6" i="9" s="1"/>
  <c r="AJ6" i="9" a="1"/>
  <c r="AJ6" i="9" s="1"/>
  <c r="AI6" i="9"/>
  <c r="AI8" i="9" s="1"/>
  <c r="AH6" i="9"/>
  <c r="AG6" i="9"/>
  <c r="AG8" i="9" s="1"/>
  <c r="AF6" i="9"/>
  <c r="AE6" i="9"/>
  <c r="AE8" i="9" s="1"/>
  <c r="AQ48" i="8" a="1"/>
  <c r="AQ48" i="8" s="1"/>
  <c r="AP48" i="8" a="1"/>
  <c r="AP48" i="8" s="1"/>
  <c r="AO48" i="8" a="1"/>
  <c r="AO48" i="8" s="1"/>
  <c r="AN48" i="8" a="1"/>
  <c r="AN48" i="8" s="1"/>
  <c r="AM48" i="8" a="1"/>
  <c r="AM48" i="8" s="1"/>
  <c r="AC48" i="8"/>
  <c r="AQ47" i="8" a="1"/>
  <c r="AQ47" i="8" s="1"/>
  <c r="AP47" i="8" a="1"/>
  <c r="AP47" i="8" s="1"/>
  <c r="AO47" i="8" a="1"/>
  <c r="AO47" i="8" s="1"/>
  <c r="AN47" i="8" a="1"/>
  <c r="AN47" i="8" s="1"/>
  <c r="AC47" i="8"/>
  <c r="AM47" i="8" s="1" a="1"/>
  <c r="AM47" i="8" s="1"/>
  <c r="AQ46" i="8" a="1"/>
  <c r="AQ46" i="8" s="1"/>
  <c r="AP46" i="8" a="1"/>
  <c r="AP46" i="8" s="1"/>
  <c r="AO46" i="8" a="1"/>
  <c r="AO46" i="8" s="1"/>
  <c r="AN46" i="8" a="1"/>
  <c r="AN46" i="8" s="1"/>
  <c r="AM46" i="8" a="1"/>
  <c r="AM46" i="8" s="1"/>
  <c r="AC46" i="8"/>
  <c r="U44" i="8"/>
  <c r="F44" i="8" a="1"/>
  <c r="F44" i="8"/>
  <c r="F45" i="8" s="1" a="1"/>
  <c r="F45" i="8" s="1"/>
  <c r="F46" i="8" s="1" a="1"/>
  <c r="F46" i="8" s="1"/>
  <c r="AQ42" i="8" a="1"/>
  <c r="AQ42" i="8" s="1"/>
  <c r="AP42" i="8" a="1"/>
  <c r="AP42" i="8" s="1"/>
  <c r="AO42" i="8" a="1"/>
  <c r="AO42" i="8" s="1"/>
  <c r="AN42" i="8" a="1"/>
  <c r="AN42" i="8" s="1"/>
  <c r="AC42" i="8"/>
  <c r="AM42" i="8" s="1" a="1"/>
  <c r="AM42" i="8" s="1"/>
  <c r="AQ41" i="8" a="1"/>
  <c r="AQ41" i="8" s="1"/>
  <c r="AP41" i="8" a="1"/>
  <c r="AP41" i="8" s="1"/>
  <c r="AO41" i="8" a="1"/>
  <c r="AO41" i="8" s="1"/>
  <c r="AN41" i="8" a="1"/>
  <c r="AN41" i="8" s="1"/>
  <c r="AM41" i="8" a="1"/>
  <c r="AM41" i="8" s="1"/>
  <c r="AC41" i="8"/>
  <c r="U39" i="8"/>
  <c r="F39" i="8" a="1"/>
  <c r="F39" i="8"/>
  <c r="F40" i="8" s="1" a="1"/>
  <c r="F40" i="8" s="1"/>
  <c r="F41" i="8" s="1" a="1"/>
  <c r="F41" i="8" s="1"/>
  <c r="AQ37" i="8" a="1"/>
  <c r="AQ37" i="8" s="1"/>
  <c r="AP37" i="8" a="1"/>
  <c r="AP37" i="8" s="1"/>
  <c r="AO37" i="8" a="1"/>
  <c r="AO37" i="8" s="1"/>
  <c r="AN37" i="8" a="1"/>
  <c r="AN37" i="8" s="1"/>
  <c r="AC37" i="8"/>
  <c r="AM37" i="8" s="1" a="1"/>
  <c r="AM37" i="8" s="1"/>
  <c r="AQ36" i="8" a="1"/>
  <c r="AQ36" i="8" s="1"/>
  <c r="AP36" i="8" a="1"/>
  <c r="AP36" i="8" s="1"/>
  <c r="AO36" i="8" a="1"/>
  <c r="AO36" i="8" s="1"/>
  <c r="AN36" i="8" a="1"/>
  <c r="AN36" i="8" s="1"/>
  <c r="AM36" i="8" a="1"/>
  <c r="AM36" i="8" s="1"/>
  <c r="AC36" i="8"/>
  <c r="AQ35" i="8" a="1"/>
  <c r="AQ35" i="8" s="1"/>
  <c r="AP35" i="8" a="1"/>
  <c r="AP35" i="8" s="1"/>
  <c r="AO35" i="8" a="1"/>
  <c r="AO35" i="8" s="1"/>
  <c r="AN35" i="8" a="1"/>
  <c r="AN35" i="8" s="1"/>
  <c r="AC35" i="8"/>
  <c r="AM35" i="8" s="1" a="1"/>
  <c r="AM35" i="8" s="1"/>
  <c r="AQ34" i="8" a="1"/>
  <c r="AQ34" i="8" s="1"/>
  <c r="AP34" i="8" a="1"/>
  <c r="AP34" i="8" s="1"/>
  <c r="AO34" i="8" a="1"/>
  <c r="AO34" i="8" s="1"/>
  <c r="AN34" i="8" a="1"/>
  <c r="AN34" i="8" s="1"/>
  <c r="AM34" i="8" a="1"/>
  <c r="AM34" i="8" s="1"/>
  <c r="AC34" i="8"/>
  <c r="AQ33" i="8" a="1"/>
  <c r="AQ33" i="8" s="1"/>
  <c r="AP33" i="8" a="1"/>
  <c r="AP33" i="8" s="1"/>
  <c r="AO33" i="8" a="1"/>
  <c r="AO33" i="8" s="1"/>
  <c r="AN33" i="8" a="1"/>
  <c r="AN33" i="8" s="1"/>
  <c r="AC33" i="8"/>
  <c r="AM33" i="8" s="1" a="1"/>
  <c r="AM33" i="8" s="1"/>
  <c r="AQ32" i="8" a="1"/>
  <c r="AQ32" i="8" s="1"/>
  <c r="AP32" i="8" a="1"/>
  <c r="AP32" i="8" s="1"/>
  <c r="AO32" i="8" a="1"/>
  <c r="AO32" i="8" s="1"/>
  <c r="AN32" i="8" a="1"/>
  <c r="AN32" i="8" s="1"/>
  <c r="AM32" i="8" a="1"/>
  <c r="AM32" i="8" s="1"/>
  <c r="AC32" i="8"/>
  <c r="U30" i="8"/>
  <c r="F30" i="8" a="1"/>
  <c r="F30" i="8"/>
  <c r="F31" i="8" s="1" a="1"/>
  <c r="F31" i="8" s="1"/>
  <c r="F32" i="8" s="1" a="1"/>
  <c r="F32" i="8" s="1"/>
  <c r="AQ28" i="8" a="1"/>
  <c r="AQ28" i="8" s="1"/>
  <c r="AP28" i="8" a="1"/>
  <c r="AP28" i="8" s="1"/>
  <c r="AO28" i="8" a="1"/>
  <c r="AO28" i="8" s="1"/>
  <c r="AN28" i="8" a="1"/>
  <c r="AN28" i="8" s="1"/>
  <c r="AC28" i="8"/>
  <c r="AM28" i="8" s="1" a="1"/>
  <c r="AM28" i="8" s="1"/>
  <c r="F27" i="8" a="1"/>
  <c r="F27" i="8" s="1"/>
  <c r="F28" i="8" s="1" a="1"/>
  <c r="F28" i="8" s="1"/>
  <c r="U26" i="8"/>
  <c r="F26" i="8" a="1"/>
  <c r="F26" i="8"/>
  <c r="AH9" i="8" a="1"/>
  <c r="AH9" i="8"/>
  <c r="V88" i="7"/>
  <c r="V87" i="7"/>
  <c r="V86" i="7"/>
  <c r="V85" i="7"/>
  <c r="V84" i="7"/>
  <c r="V83" i="7"/>
  <c r="V82" i="7"/>
  <c r="V81" i="7"/>
  <c r="V80" i="7"/>
  <c r="V79" i="7"/>
  <c r="V78" i="7"/>
  <c r="J74" i="7" a="1"/>
  <c r="J74" i="7" s="1"/>
  <c r="AP72" i="7" a="1"/>
  <c r="AP72" i="7" s="1"/>
  <c r="AO72" i="7" a="1"/>
  <c r="AO72" i="7" s="1"/>
  <c r="J72" i="7"/>
  <c r="J71" i="7"/>
  <c r="J70" i="7"/>
  <c r="J69" i="7"/>
  <c r="J68" i="7"/>
  <c r="B68" i="7"/>
  <c r="J67" i="7"/>
  <c r="J66" i="7"/>
  <c r="J65" i="7"/>
  <c r="J64" i="7"/>
  <c r="V63" i="7"/>
  <c r="V64" i="7" s="1" a="1"/>
  <c r="V64" i="7" s="1"/>
  <c r="V65" i="7" s="1" a="1"/>
  <c r="V65" i="7" s="1"/>
  <c r="V66" i="7" s="1" a="1"/>
  <c r="V66" i="7" s="1"/>
  <c r="V67" i="7" s="1" a="1"/>
  <c r="V67" i="7" s="1"/>
  <c r="V68" i="7" s="1" a="1"/>
  <c r="V68" i="7" s="1"/>
  <c r="V69" i="7" s="1" a="1"/>
  <c r="V69" i="7" s="1"/>
  <c r="V70" i="7" s="1" a="1"/>
  <c r="V70" i="7" s="1"/>
  <c r="V71" i="7" s="1" a="1"/>
  <c r="V71" i="7" s="1"/>
  <c r="V73" i="7" s="1" a="1"/>
  <c r="V73" i="7" s="1"/>
  <c r="V74" i="7" s="1" a="1"/>
  <c r="V74" i="7" s="1"/>
  <c r="T63" i="7" a="1"/>
  <c r="T63" i="7"/>
  <c r="B70" i="7" s="1"/>
  <c r="B71" i="7" s="1" a="1"/>
  <c r="B71" i="7" s="1"/>
  <c r="F63" i="7" a="1"/>
  <c r="F63" i="7"/>
  <c r="F64" i="7" s="1" a="1"/>
  <c r="F64" i="7" s="1"/>
  <c r="F65" i="7" s="1" a="1"/>
  <c r="F65" i="7" s="1"/>
  <c r="F66" i="7" s="1" a="1"/>
  <c r="F66" i="7" s="1"/>
  <c r="F67" i="7" s="1" a="1"/>
  <c r="F67" i="7" s="1"/>
  <c r="F68" i="7" s="1" a="1"/>
  <c r="F68" i="7" s="1"/>
  <c r="F69" i="7" s="1" a="1"/>
  <c r="F69" i="7" s="1"/>
  <c r="F70" i="7" s="1" a="1"/>
  <c r="F70" i="7" s="1"/>
  <c r="F71" i="7" s="1" a="1"/>
  <c r="F71" i="7" s="1"/>
  <c r="F72" i="7" s="1" a="1"/>
  <c r="F72" i="7" s="1"/>
  <c r="J62" i="7" a="1"/>
  <c r="J62" i="7"/>
  <c r="AP60" i="7" a="1"/>
  <c r="AP60" i="7"/>
  <c r="AO60" i="7" a="1"/>
  <c r="AO60" i="7"/>
  <c r="J60" i="7"/>
  <c r="J59" i="7"/>
  <c r="J58" i="7"/>
  <c r="J57" i="7"/>
  <c r="J56" i="7"/>
  <c r="J55" i="7"/>
  <c r="J54" i="7"/>
  <c r="J53" i="7"/>
  <c r="V52" i="7" a="1"/>
  <c r="V52" i="7"/>
  <c r="V53" i="7" s="1" a="1"/>
  <c r="V53" i="7" s="1"/>
  <c r="V54" i="7" s="1" a="1"/>
  <c r="V54" i="7" s="1"/>
  <c r="V55" i="7" s="1" a="1"/>
  <c r="V55" i="7" s="1"/>
  <c r="V56" i="7" s="1" a="1"/>
  <c r="V56" i="7" s="1"/>
  <c r="V57" i="7" s="1" a="1"/>
  <c r="V57" i="7" s="1"/>
  <c r="V58" i="7" s="1" a="1"/>
  <c r="V58" i="7" s="1"/>
  <c r="V59" i="7" s="1" a="1"/>
  <c r="V59" i="7" s="1"/>
  <c r="V61" i="7" s="1" a="1"/>
  <c r="V61" i="7" s="1"/>
  <c r="V62" i="7" s="1" a="1"/>
  <c r="V62" i="7" s="1"/>
  <c r="J52" i="7"/>
  <c r="V51" i="7"/>
  <c r="T51" i="7" a="1"/>
  <c r="T51" i="7" s="1"/>
  <c r="F51" i="7"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s="1"/>
  <c r="AP48" i="7" a="1"/>
  <c r="AP48" i="7" s="1"/>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V39" i="7"/>
  <c r="T39" i="7" a="1"/>
  <c r="T39" i="7"/>
  <c r="B45" i="7" s="1"/>
  <c r="AC46" i="7" s="1"/>
  <c r="AC47"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s="1"/>
  <c r="AH10" i="7" a="1"/>
  <c r="AH10" i="7" s="1"/>
  <c r="AG10" i="7" a="1"/>
  <c r="AG10" i="7" s="1"/>
  <c r="AF10" i="7" a="1"/>
  <c r="AF10" i="7" s="1"/>
  <c r="AF9" i="7" a="1"/>
  <c r="AF9" i="7" s="1"/>
  <c r="AF7" i="7" a="1"/>
  <c r="AF7" i="7" s="1"/>
  <c r="AJ6" i="7" a="1"/>
  <c r="AJ6" i="7" s="1"/>
  <c r="AI6" i="7" a="1"/>
  <c r="AI6" i="7" s="1"/>
  <c r="AI9" i="7" s="1" a="1"/>
  <c r="AI9" i="7" s="1"/>
  <c r="AH6" i="7" a="1"/>
  <c r="AH6" i="7" s="1"/>
  <c r="AH9" i="7" s="1" a="1"/>
  <c r="AH9" i="7" s="1"/>
  <c r="AG6" i="7"/>
  <c r="AG9" i="7" s="1" a="1"/>
  <c r="AG9" i="7" s="1"/>
  <c r="AF6" i="7"/>
  <c r="AG2" i="7"/>
  <c r="AF2" i="7"/>
  <c r="U40" i="6" a="1"/>
  <c r="U40" i="6" s="1"/>
  <c r="AM39" i="6" a="1"/>
  <c r="AM39" i="6" s="1"/>
  <c r="AL39" i="6" a="1"/>
  <c r="AL39" i="6" s="1"/>
  <c r="AK39" i="6" a="1"/>
  <c r="AK39" i="6" s="1"/>
  <c r="G39" i="6" a="1"/>
  <c r="G39" i="6"/>
  <c r="AM38" i="6" a="1"/>
  <c r="AM38" i="6"/>
  <c r="AL38" i="6" a="1"/>
  <c r="AL38" i="6"/>
  <c r="AK38" i="6" a="1"/>
  <c r="AK38" i="6"/>
  <c r="G38" i="6" a="1"/>
  <c r="G38" i="6" s="1"/>
  <c r="F38" i="6" a="1"/>
  <c r="F38" i="6" s="1"/>
  <c r="W37" i="6" a="1"/>
  <c r="W37" i="6" s="1"/>
  <c r="U37" i="6"/>
  <c r="F37" i="6" a="1"/>
  <c r="F37" i="6"/>
  <c r="U36" i="6" a="1"/>
  <c r="U36" i="6"/>
  <c r="AM35" i="6" a="1"/>
  <c r="AM35" i="6"/>
  <c r="AL35" i="6" a="1"/>
  <c r="AL35" i="6"/>
  <c r="AK35" i="6" a="1"/>
  <c r="AK35" i="6"/>
  <c r="G35" i="6" a="1"/>
  <c r="G35" i="6" s="1"/>
  <c r="AM34" i="6" a="1"/>
  <c r="AM34" i="6" s="1"/>
  <c r="AL34" i="6" a="1"/>
  <c r="AL34" i="6" s="1"/>
  <c r="AK34" i="6" a="1"/>
  <c r="AK34" i="6" s="1"/>
  <c r="G34" i="6" a="1"/>
  <c r="G34" i="6"/>
  <c r="U33" i="6"/>
  <c r="F33" i="6" a="1"/>
  <c r="F33" i="6" s="1"/>
  <c r="F34" i="6" s="1" a="1"/>
  <c r="F34" i="6" s="1"/>
  <c r="AM31" i="6" a="1"/>
  <c r="AM31" i="6" s="1"/>
  <c r="AL31" i="6" a="1"/>
  <c r="AL31" i="6" s="1"/>
  <c r="AK31" i="6" a="1"/>
  <c r="AK31" i="6" s="1"/>
  <c r="G31" i="6" a="1"/>
  <c r="G31" i="6"/>
  <c r="AM30" i="6" a="1"/>
  <c r="AM30" i="6"/>
  <c r="AL30" i="6" a="1"/>
  <c r="AL30" i="6"/>
  <c r="AK30" i="6" a="1"/>
  <c r="AK30" i="6"/>
  <c r="G30" i="6" a="1"/>
  <c r="G30" i="6" s="1"/>
  <c r="AB29" i="6" a="1"/>
  <c r="AB29" i="6" s="1"/>
  <c r="U29" i="6"/>
  <c r="U32" i="6" s="1" a="1"/>
  <c r="U32" i="6" s="1"/>
  <c r="F29" i="6" a="1"/>
  <c r="F29" i="6"/>
  <c r="F30" i="6" s="1" a="1"/>
  <c r="F30" i="6" s="1"/>
  <c r="AM27" i="6" a="1"/>
  <c r="AM27" i="6"/>
  <c r="AL27" i="6" a="1"/>
  <c r="AL27" i="6"/>
  <c r="AK27" i="6" a="1"/>
  <c r="AK27" i="6"/>
  <c r="G27" i="6" a="1"/>
  <c r="G27" i="6" s="1"/>
  <c r="F27" i="6" a="1"/>
  <c r="F27" i="6" s="1"/>
  <c r="U26" i="6"/>
  <c r="U28" i="6" s="1" a="1"/>
  <c r="U28" i="6" s="1"/>
  <c r="F26" i="6" a="1"/>
  <c r="F26" i="6"/>
  <c r="AG9" i="6" a="1"/>
  <c r="AG9" i="6"/>
  <c r="AF9" i="6" a="1"/>
  <c r="AF9" i="6"/>
  <c r="B250" i="5"/>
  <c r="AE247" i="5" a="1"/>
  <c r="AE247" i="5" s="1"/>
  <c r="B247" i="5"/>
  <c r="AE246" i="5" a="1"/>
  <c r="AE246" i="5"/>
  <c r="B246" i="5"/>
  <c r="AE245" i="5" a="1"/>
  <c r="AE245" i="5" s="1"/>
  <c r="AE244" i="5" a="1"/>
  <c r="AE244" i="5" s="1"/>
  <c r="W242" i="5"/>
  <c r="B235" i="5"/>
  <c r="AD234" i="5"/>
  <c r="B234" i="5"/>
  <c r="B233" i="5"/>
  <c r="AE232" i="5"/>
  <c r="B232" i="5"/>
  <c r="B231" i="5"/>
  <c r="B230" i="5"/>
  <c r="B229" i="5"/>
  <c r="AD227" i="5"/>
  <c r="AM222" i="5" a="1"/>
  <c r="AM222" i="5" s="1"/>
  <c r="AL222" i="5" a="1"/>
  <c r="AL222" i="5" s="1"/>
  <c r="AK222" i="5" a="1"/>
  <c r="AK222" i="5" s="1"/>
  <c r="AJ222" i="5" a="1"/>
  <c r="AJ222" i="5" s="1"/>
  <c r="AD200" i="27" s="1" a="1"/>
  <c r="AD200" i="27" s="1"/>
  <c r="AI222" i="5" a="1"/>
  <c r="AI222" i="5" s="1"/>
  <c r="AH222" i="5" a="1"/>
  <c r="AH222" i="5" s="1"/>
  <c r="AG222" i="5"/>
  <c r="AB37" i="6" s="1" a="1"/>
  <c r="AB37" i="6" s="1"/>
  <c r="AD222" i="5"/>
  <c r="W222" i="5"/>
  <c r="W223" i="5" s="1" a="1"/>
  <c r="W223" i="5" s="1"/>
  <c r="W224" i="5" s="1" a="1"/>
  <c r="W224" i="5" s="1"/>
  <c r="W225" i="5" s="1" a="1"/>
  <c r="W225" i="5" s="1"/>
  <c r="W226" i="5" s="1" a="1"/>
  <c r="W226" i="5" s="1"/>
  <c r="W227" i="5" s="1" a="1"/>
  <c r="W227" i="5" s="1"/>
  <c r="W228" i="5" s="1" a="1"/>
  <c r="W228" i="5" s="1"/>
  <c r="W229" i="5" s="1" a="1"/>
  <c r="W229" i="5" s="1"/>
  <c r="W230" i="5" s="1" a="1"/>
  <c r="W230" i="5" s="1"/>
  <c r="W231" i="5" s="1" a="1"/>
  <c r="W231" i="5" s="1"/>
  <c r="W232" i="5" s="1" a="1"/>
  <c r="W232" i="5" s="1"/>
  <c r="W233" i="5" s="1" a="1"/>
  <c r="W233" i="5" s="1"/>
  <c r="W234" i="5" s="1"/>
  <c r="W235" i="5" s="1"/>
  <c r="V222" i="5" a="1"/>
  <c r="V222" i="5"/>
  <c r="F222" i="5" a="1"/>
  <c r="F222" i="5"/>
  <c r="F223" i="5" s="1" a="1"/>
  <c r="F223" i="5" s="1"/>
  <c r="F224" i="5" s="1" a="1"/>
  <c r="F224" i="5" s="1"/>
  <c r="F225" i="5" s="1" a="1"/>
  <c r="F225" i="5" s="1"/>
  <c r="F226" i="5" s="1" a="1"/>
  <c r="F226" i="5" s="1"/>
  <c r="F227" i="5" s="1" a="1"/>
  <c r="F227" i="5" s="1"/>
  <c r="F228" i="5" s="1" a="1"/>
  <c r="F228" i="5" s="1"/>
  <c r="F229" i="5" s="1" a="1"/>
  <c r="F229" i="5" s="1"/>
  <c r="F230" i="5" s="1" a="1"/>
  <c r="F230" i="5" s="1"/>
  <c r="F231" i="5" s="1" a="1"/>
  <c r="F231" i="5" s="1"/>
  <c r="F232" i="5" s="1" a="1"/>
  <c r="F232" i="5" s="1"/>
  <c r="F233" i="5" s="1" a="1"/>
  <c r="F233" i="5" s="1"/>
  <c r="F234" i="5" s="1" a="1"/>
  <c r="F234" i="5" s="1"/>
  <c r="F235" i="5" s="1" a="1"/>
  <c r="F235" i="5" s="1"/>
  <c r="B221" i="5"/>
  <c r="AD220" i="5"/>
  <c r="B220" i="5"/>
  <c r="B219" i="5"/>
  <c r="AE218" i="5"/>
  <c r="B218" i="5"/>
  <c r="B217" i="5"/>
  <c r="B216" i="5"/>
  <c r="B215" i="5"/>
  <c r="AD213" i="5"/>
  <c r="AM208" i="5" a="1"/>
  <c r="AM208" i="5" s="1"/>
  <c r="AL208" i="5" a="1"/>
  <c r="AL208" i="5" s="1"/>
  <c r="AK208" i="5" a="1"/>
  <c r="AK208" i="5" s="1"/>
  <c r="AJ208" i="5" a="1"/>
  <c r="AJ208" i="5" s="1"/>
  <c r="AD144" i="27" s="1" a="1"/>
  <c r="AD144" i="27" s="1"/>
  <c r="AI208" i="5" a="1"/>
  <c r="AI208" i="5" s="1"/>
  <c r="AH208" i="5" a="1"/>
  <c r="AH208" i="5" s="1"/>
  <c r="AG208" i="5"/>
  <c r="AB33" i="6" s="1" a="1"/>
  <c r="AB33" i="6" s="1"/>
  <c r="AD208" i="5"/>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AE204"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W29" i="6" s="1" a="1"/>
  <c r="W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G180" i="5"/>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B35" i="5"/>
  <c r="AE27" i="5"/>
  <c r="B27" i="5"/>
  <c r="B26" i="5"/>
  <c r="AG25" i="5" a="1"/>
  <c r="AG25" i="5" s="1"/>
  <c r="AF25" i="5"/>
  <c r="AL33" i="5" s="1"/>
  <c r="B25" i="5"/>
  <c r="AI24" i="5"/>
  <c r="AI23" i="5"/>
  <c r="AH23" i="5"/>
  <c r="AB34" i="5" s="1"/>
  <c r="AF22" i="5" a="1"/>
  <c r="AF22" i="5"/>
  <c r="B53" i="4"/>
  <c r="B52" i="4"/>
  <c r="B51" i="4"/>
  <c r="B50" i="4"/>
  <c r="B49" i="4"/>
  <c r="B48" i="4"/>
  <c r="B47" i="4"/>
  <c r="B46" i="4"/>
  <c r="B45" i="4"/>
  <c r="B44" i="4"/>
  <c r="B43" i="4"/>
  <c r="B42" i="4"/>
  <c r="B41" i="4"/>
  <c r="B40" i="4"/>
  <c r="B39" i="4"/>
  <c r="B38" i="4"/>
  <c r="B37" i="4"/>
  <c r="B36" i="4"/>
  <c r="B35" i="4"/>
  <c r="B34" i="4"/>
  <c r="B33" i="4"/>
  <c r="B32" i="4"/>
  <c r="B31" i="4"/>
  <c r="B29" i="4"/>
  <c r="B28" i="4"/>
  <c r="K64" i="15" l="1"/>
  <c r="G27" i="29" a="1"/>
  <c r="G27" i="29" s="1"/>
  <c r="G27" i="28" a="1"/>
  <c r="G27" i="28" s="1"/>
  <c r="G27" i="30" a="1"/>
  <c r="G27" i="30" s="1"/>
  <c r="R29" i="27" a="1"/>
  <c r="R29" i="27" s="1"/>
  <c r="G29" i="27" a="1"/>
  <c r="G29" i="27" s="1"/>
  <c r="AD86" i="27" a="1"/>
  <c r="AD86" i="27" s="1"/>
  <c r="AE198" i="11" a="1"/>
  <c r="AE198" i="11" s="1"/>
  <c r="AE156" i="11" a="1"/>
  <c r="AE156" i="11" s="1"/>
  <c r="AE172" i="11" a="1"/>
  <c r="AE172" i="11" s="1"/>
  <c r="AE119" i="11" a="1"/>
  <c r="AE119" i="11" s="1"/>
  <c r="AD143" i="27" a="1"/>
  <c r="AD143" i="27" s="1"/>
  <c r="AN208" i="5"/>
  <c r="V48" i="7"/>
  <c r="F49" i="7" a="1"/>
  <c r="F49" i="7" s="1"/>
  <c r="F50" i="7" s="1" a="1"/>
  <c r="F50" i="7" s="1"/>
  <c r="U28" i="8"/>
  <c r="F29" i="8" a="1"/>
  <c r="F29" i="8" s="1"/>
  <c r="U29" i="8" s="1"/>
  <c r="U46" i="8"/>
  <c r="F47" i="8" a="1"/>
  <c r="F47" i="8" s="1"/>
  <c r="AM8" i="9"/>
  <c r="AM9" i="9" a="1"/>
  <c r="AM9" i="9" s="1"/>
  <c r="U35" i="9" a="1"/>
  <c r="U35" i="9" s="1"/>
  <c r="U36" i="9" s="1" a="1"/>
  <c r="U36" i="9" s="1"/>
  <c r="U37" i="9" s="1" a="1"/>
  <c r="U37" i="9" s="1"/>
  <c r="U38" i="9" s="1" a="1"/>
  <c r="U38" i="9" s="1"/>
  <c r="U39" i="9" s="1" a="1"/>
  <c r="U39" i="9" s="1"/>
  <c r="U34" i="9" a="1"/>
  <c r="U34" i="9" s="1"/>
  <c r="F68" i="9" a="1"/>
  <c r="F68" i="9" s="1"/>
  <c r="U67" i="9"/>
  <c r="U94" i="9"/>
  <c r="F95" i="9" a="1"/>
  <c r="F95" i="9" s="1"/>
  <c r="F122" i="9" a="1"/>
  <c r="F122" i="9" s="1"/>
  <c r="U121" i="9"/>
  <c r="AS9" i="11" a="1"/>
  <c r="AS9" i="11" s="1"/>
  <c r="AS2" i="11"/>
  <c r="AS8" i="11"/>
  <c r="AI2" i="13"/>
  <c r="AI9" i="13" a="1"/>
  <c r="AI9" i="13" s="1"/>
  <c r="F29" i="13" a="1"/>
  <c r="F29" i="13" s="1"/>
  <c r="K28" i="13"/>
  <c r="AN30" i="28" s="1"/>
  <c r="K38" i="13"/>
  <c r="F39" i="13" a="1"/>
  <c r="F39" i="13" s="1"/>
  <c r="AI2" i="14"/>
  <c r="AI9" i="14" a="1"/>
  <c r="AI9" i="14" s="1"/>
  <c r="AI8" i="14"/>
  <c r="AT52" i="14"/>
  <c r="AU58" i="14"/>
  <c r="AU49" i="14"/>
  <c r="AT81" i="14"/>
  <c r="AT71" i="14" s="1"/>
  <c r="AT72" i="14"/>
  <c r="AT74" i="14" s="1"/>
  <c r="AU82" i="14" a="1"/>
  <c r="AU82" i="14" s="1"/>
  <c r="AT104" i="14"/>
  <c r="AT94" i="14" s="1"/>
  <c r="AT95" i="14"/>
  <c r="AT97" i="14" s="1"/>
  <c r="F212" i="15"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K211" i="15"/>
  <c r="AD30" i="27" a="1"/>
  <c r="AD30" i="27" s="1"/>
  <c r="AE107" i="11" a="1"/>
  <c r="AE107" i="11" s="1"/>
  <c r="AE65" i="11" a="1"/>
  <c r="AE65" i="11" s="1"/>
  <c r="AE81" i="11" a="1"/>
  <c r="AE81" i="11" s="1"/>
  <c r="AE28" i="11" a="1"/>
  <c r="AE28" i="11" s="1"/>
  <c r="AD87" i="27" a="1"/>
  <c r="AD87" i="27" s="1"/>
  <c r="AN194" i="5"/>
  <c r="AC63" i="7" a="1"/>
  <c r="AC63" i="7" s="1"/>
  <c r="X63" i="7" a="1"/>
  <c r="X63" i="7" s="1"/>
  <c r="G459" i="30" a="1"/>
  <c r="G459" i="30" s="1"/>
  <c r="G459" i="29" a="1"/>
  <c r="G459" i="29" s="1"/>
  <c r="G282" i="28" a="1"/>
  <c r="G282" i="28" s="1"/>
  <c r="R197" i="27" a="1"/>
  <c r="R197" i="27" s="1"/>
  <c r="G197" i="27" a="1"/>
  <c r="G197" i="27" s="1"/>
  <c r="X39" i="7" a="1"/>
  <c r="X39" i="7" s="1"/>
  <c r="AC39" i="7" a="1"/>
  <c r="AC39" i="7" s="1"/>
  <c r="AJ8" i="9"/>
  <c r="AJ9" i="9" a="1"/>
  <c r="AJ9" i="9" s="1"/>
  <c r="AN8" i="9"/>
  <c r="AN9" i="9" a="1"/>
  <c r="AN9" i="9" s="1"/>
  <c r="U62" i="9" a="1"/>
  <c r="U62" i="9" s="1"/>
  <c r="U63" i="9" s="1" a="1"/>
  <c r="U63" i="9" s="1"/>
  <c r="U64" i="9" s="1" a="1"/>
  <c r="U64" i="9" s="1"/>
  <c r="U65" i="9" s="1" a="1"/>
  <c r="U65" i="9" s="1"/>
  <c r="U66" i="9" s="1" a="1"/>
  <c r="U66" i="9" s="1"/>
  <c r="U61" i="9" a="1"/>
  <c r="U61" i="9" s="1"/>
  <c r="U89" i="9" a="1"/>
  <c r="U89" i="9" s="1"/>
  <c r="U90" i="9" s="1" a="1"/>
  <c r="U90" i="9" s="1"/>
  <c r="U91" i="9" s="1" a="1"/>
  <c r="U91" i="9" s="1"/>
  <c r="U92" i="9" s="1" a="1"/>
  <c r="U92" i="9" s="1"/>
  <c r="U93" i="9" s="1" a="1"/>
  <c r="U93" i="9" s="1"/>
  <c r="U88" i="9" a="1"/>
  <c r="U88" i="9" s="1"/>
  <c r="U116" i="9" a="1"/>
  <c r="U116" i="9" s="1"/>
  <c r="U117" i="9" s="1" a="1"/>
  <c r="U117" i="9" s="1"/>
  <c r="U118" i="9" s="1" a="1"/>
  <c r="U118" i="9" s="1"/>
  <c r="U119" i="9" s="1" a="1"/>
  <c r="U119" i="9" s="1"/>
  <c r="U120" i="9" s="1" a="1"/>
  <c r="U120" i="9" s="1"/>
  <c r="U115" i="9" a="1"/>
  <c r="U115" i="9" s="1"/>
  <c r="S28" i="11"/>
  <c r="S81" i="11"/>
  <c r="S107" i="11"/>
  <c r="S65" i="11"/>
  <c r="AG43" i="11"/>
  <c r="AG29" i="11"/>
  <c r="AK43" i="11"/>
  <c r="AK29" i="11"/>
  <c r="AO43" i="11"/>
  <c r="AO29" i="11"/>
  <c r="AS43" i="11"/>
  <c r="AS29" i="11"/>
  <c r="AW43" i="11"/>
  <c r="AW29" i="11"/>
  <c r="BA43" i="11"/>
  <c r="BA29" i="11"/>
  <c r="AE134" i="11"/>
  <c r="AE120" i="11"/>
  <c r="AI134" i="11"/>
  <c r="AI120" i="11"/>
  <c r="AM134" i="11"/>
  <c r="AM120" i="11"/>
  <c r="AQ134" i="11"/>
  <c r="AQ120" i="11"/>
  <c r="AU134" i="11"/>
  <c r="AU120" i="11"/>
  <c r="AY134" i="11"/>
  <c r="AY120" i="11"/>
  <c r="AG225" i="11"/>
  <c r="AG211" i="11"/>
  <c r="AK225" i="11"/>
  <c r="AK211" i="11"/>
  <c r="AO225" i="11"/>
  <c r="AO211" i="11"/>
  <c r="AS225" i="11"/>
  <c r="AS211" i="11"/>
  <c r="AW225" i="11"/>
  <c r="AW211" i="11"/>
  <c r="BA225" i="11"/>
  <c r="BA211" i="11"/>
  <c r="AE316" i="11"/>
  <c r="AE302" i="11"/>
  <c r="AI316" i="11"/>
  <c r="AI302" i="11"/>
  <c r="AM316" i="11"/>
  <c r="AM302" i="11"/>
  <c r="AQ316" i="11"/>
  <c r="AQ302" i="11"/>
  <c r="AU316" i="11"/>
  <c r="AU302" i="11"/>
  <c r="AY316" i="11"/>
  <c r="AY302" i="11"/>
  <c r="AU52" i="14"/>
  <c r="AU48" i="14"/>
  <c r="K71" i="14"/>
  <c r="F72" i="14" a="1"/>
  <c r="F72" i="14" s="1"/>
  <c r="F73" i="14" s="1" a="1"/>
  <c r="F73" i="14" s="1"/>
  <c r="F74" i="14" s="1" a="1"/>
  <c r="F74" i="14" s="1"/>
  <c r="F75" i="14" s="1" a="1"/>
  <c r="F75" i="14" s="1"/>
  <c r="F76" i="14" s="1" a="1"/>
  <c r="F76" i="14" s="1"/>
  <c r="F77" i="14" s="1" a="1"/>
  <c r="F77" i="14" s="1"/>
  <c r="F95" i="14" a="1"/>
  <c r="F95" i="14" s="1"/>
  <c r="F96" i="14" s="1" a="1"/>
  <c r="F96" i="14" s="1"/>
  <c r="F97" i="14" s="1" a="1"/>
  <c r="F97" i="14" s="1"/>
  <c r="F98" i="14" s="1" a="1"/>
  <c r="F98" i="14" s="1"/>
  <c r="F99" i="14" s="1" a="1"/>
  <c r="F99" i="14" s="1"/>
  <c r="F100" i="14" s="1" a="1"/>
  <c r="F100" i="14" s="1"/>
  <c r="K94" i="14"/>
  <c r="AU104" i="14"/>
  <c r="AU95" i="14"/>
  <c r="AU97" i="14" s="1"/>
  <c r="AT2" i="15"/>
  <c r="AK59" i="15"/>
  <c r="AK52" i="15"/>
  <c r="AS59" i="15"/>
  <c r="AS52" i="15"/>
  <c r="BA59" i="15"/>
  <c r="BA52" i="15"/>
  <c r="AW52"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K150" i="15"/>
  <c r="AK157" i="15"/>
  <c r="AT150" i="15"/>
  <c r="AT157" i="15"/>
  <c r="BB150" i="15"/>
  <c r="BB157" i="15"/>
  <c r="AO158" i="15"/>
  <c r="AO150" i="15"/>
  <c r="AC21" i="34" a="1"/>
  <c r="AC21" i="34" s="1"/>
  <c r="AC21" i="33" a="1"/>
  <c r="AC21" i="33" s="1"/>
  <c r="AB21" i="31" a="1"/>
  <c r="AB21" i="31" s="1"/>
  <c r="AB21" i="32" a="1"/>
  <c r="AB21" i="32" s="1"/>
  <c r="AC21" i="30" a="1"/>
  <c r="AC21" i="30" s="1"/>
  <c r="AC21" i="29" a="1"/>
  <c r="AC21" i="29" s="1"/>
  <c r="AC21" i="28" a="1"/>
  <c r="AC21" i="28" s="1"/>
  <c r="AB21" i="27" a="1"/>
  <c r="AB21" i="27" s="1"/>
  <c r="AC21" i="22" a="1"/>
  <c r="AC21" i="22" s="1"/>
  <c r="AC21" i="16" a="1"/>
  <c r="AC21" i="16" s="1"/>
  <c r="AC21" i="19" a="1"/>
  <c r="AC21" i="19" s="1"/>
  <c r="AC21" i="17" a="1"/>
  <c r="AC21" i="17" s="1"/>
  <c r="AC21" i="20" a="1"/>
  <c r="AC21" i="20" s="1"/>
  <c r="AC21" i="26" a="1"/>
  <c r="AC21" i="26" s="1"/>
  <c r="AC21" i="24" a="1"/>
  <c r="AC21" i="24" s="1"/>
  <c r="AC21" i="23" a="1"/>
  <c r="AC21" i="23" s="1"/>
  <c r="AC21" i="21" a="1"/>
  <c r="AC21" i="21" s="1"/>
  <c r="AC21" i="18" a="1"/>
  <c r="AC21" i="18" s="1"/>
  <c r="AC21" i="8" a="1"/>
  <c r="AC21" i="8" s="1"/>
  <c r="AC21" i="6" a="1"/>
  <c r="AC21" i="6" s="1"/>
  <c r="AC21" i="9" a="1"/>
  <c r="AC21" i="9" s="1"/>
  <c r="AC21" i="15" a="1"/>
  <c r="AC21" i="15" s="1"/>
  <c r="AC21" i="11" a="1"/>
  <c r="AC21" i="11" s="1"/>
  <c r="AD21" i="7" a="1"/>
  <c r="AD21" i="7" s="1"/>
  <c r="AC21" i="14" a="1"/>
  <c r="AC21" i="14" s="1"/>
  <c r="AC21" i="12" a="1"/>
  <c r="AC21" i="12" s="1"/>
  <c r="AC21" i="10" a="1"/>
  <c r="AC21" i="10" s="1"/>
  <c r="AC21" i="13" a="1"/>
  <c r="AC21" i="13" s="1"/>
  <c r="AD31" i="27" a="1"/>
  <c r="AD31" i="27" s="1"/>
  <c r="AN180" i="5"/>
  <c r="AC51" i="7" a="1"/>
  <c r="AC51" i="7" s="1"/>
  <c r="X51" i="7" a="1"/>
  <c r="X51" i="7" s="1"/>
  <c r="G315" i="30" a="1"/>
  <c r="G315" i="30" s="1"/>
  <c r="G197" i="28" a="1"/>
  <c r="G197" i="28" s="1"/>
  <c r="G315" i="29" a="1"/>
  <c r="G315" i="29" s="1"/>
  <c r="R141" i="27" a="1"/>
  <c r="R141" i="27" s="1"/>
  <c r="G141" i="27" a="1"/>
  <c r="G141" i="27" s="1"/>
  <c r="AD198" i="27" a="1"/>
  <c r="AD198" i="27" s="1"/>
  <c r="AE380" i="11" a="1"/>
  <c r="AE380" i="11" s="1"/>
  <c r="AE338" i="11" a="1"/>
  <c r="AE338" i="11" s="1"/>
  <c r="AE354" i="11" a="1"/>
  <c r="AE354" i="11" s="1"/>
  <c r="AE301" i="11" a="1"/>
  <c r="AE301" i="11" s="1"/>
  <c r="F28" i="6" a="1"/>
  <c r="F28" i="6" s="1"/>
  <c r="U27" i="6"/>
  <c r="F31" i="6" a="1"/>
  <c r="F31" i="6" s="1"/>
  <c r="U30" i="6"/>
  <c r="F35" i="6" a="1"/>
  <c r="F35" i="6" s="1"/>
  <c r="U34" i="6"/>
  <c r="F39" i="6" a="1"/>
  <c r="F39" i="6" s="1"/>
  <c r="U38" i="6"/>
  <c r="F37" i="7" a="1"/>
  <c r="F37" i="7" s="1"/>
  <c r="F38" i="7" s="1" a="1"/>
  <c r="F38" i="7" s="1"/>
  <c r="V36" i="7"/>
  <c r="V60" i="7"/>
  <c r="F61" i="7" a="1"/>
  <c r="F61" i="7" s="1"/>
  <c r="F62" i="7" s="1" a="1"/>
  <c r="F62" i="7" s="1"/>
  <c r="V72" i="7"/>
  <c r="F73" i="7" a="1"/>
  <c r="F73" i="7" s="1"/>
  <c r="F74" i="7" s="1" a="1"/>
  <c r="F74" i="7" s="1"/>
  <c r="U32" i="8"/>
  <c r="F33" i="8" a="1"/>
  <c r="F33" i="8" s="1"/>
  <c r="U41" i="8"/>
  <c r="F42" i="8" a="1"/>
  <c r="F42" i="8" s="1"/>
  <c r="AK8" i="9"/>
  <c r="AK9" i="9" a="1"/>
  <c r="AK9" i="9" s="1"/>
  <c r="AO8" i="9"/>
  <c r="AS8" i="9"/>
  <c r="AW8" i="9"/>
  <c r="BA8" i="9"/>
  <c r="BE8" i="9"/>
  <c r="U40" i="9"/>
  <c r="F41" i="9" a="1"/>
  <c r="F41" i="9" s="1"/>
  <c r="AR8" i="10"/>
  <c r="AR9" i="10" a="1"/>
  <c r="AR9" i="10" s="1"/>
  <c r="AV2" i="10"/>
  <c r="AZ2" i="10"/>
  <c r="T30" i="12"/>
  <c r="F31" i="12" a="1"/>
  <c r="F31" i="12" s="1"/>
  <c r="T33" i="12"/>
  <c r="F34" i="12" a="1"/>
  <c r="F34" i="12" s="1"/>
  <c r="T39" i="12"/>
  <c r="F40" i="12" a="1"/>
  <c r="F40" i="12" s="1"/>
  <c r="AK2" i="13"/>
  <c r="AO2" i="13"/>
  <c r="AS2" i="13"/>
  <c r="AT75" i="14"/>
  <c r="AU73" i="14" a="1"/>
  <c r="AU73" i="14" s="1"/>
  <c r="AT98" i="14"/>
  <c r="AU96" i="14" a="1"/>
  <c r="AU96" i="14" s="1"/>
  <c r="AU98" i="14" s="1"/>
  <c r="AU94" i="14"/>
  <c r="AH52" i="15"/>
  <c r="AH59" i="15"/>
  <c r="AL59" i="15"/>
  <c r="AL52" i="15"/>
  <c r="AP52" i="15"/>
  <c r="AP59" i="15"/>
  <c r="AT59" i="15"/>
  <c r="AT52" i="15"/>
  <c r="AX52" i="15"/>
  <c r="AX59" i="15"/>
  <c r="BB59" i="15"/>
  <c r="BB52" i="15"/>
  <c r="BL2" i="30"/>
  <c r="BH2" i="30"/>
  <c r="AR2" i="30"/>
  <c r="AN2" i="30"/>
  <c r="BJ2" i="30"/>
  <c r="BF2" i="30"/>
  <c r="AP2" i="30"/>
  <c r="AL2" i="30"/>
  <c r="BK2" i="30"/>
  <c r="BC2" i="30"/>
  <c r="AU2" i="30"/>
  <c r="AM2" i="30"/>
  <c r="BA2" i="30"/>
  <c r="BG2" i="30"/>
  <c r="AQ2" i="30"/>
  <c r="AR2" i="29"/>
  <c r="AN2" i="29"/>
  <c r="BC2" i="29"/>
  <c r="AY2" i="29"/>
  <c r="AU2" i="29"/>
  <c r="AQ2" i="29"/>
  <c r="AM2" i="29"/>
  <c r="BM2" i="29"/>
  <c r="BE2" i="29"/>
  <c r="AO2" i="29"/>
  <c r="BM2" i="30"/>
  <c r="BJ2" i="29"/>
  <c r="BB2" i="29"/>
  <c r="AY2" i="30"/>
  <c r="BI2" i="29"/>
  <c r="AS2" i="29"/>
  <c r="AK2" i="29"/>
  <c r="AW2" i="30"/>
  <c r="BF2" i="29"/>
  <c r="AX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FM2" i="27"/>
  <c r="EW2" i="27"/>
  <c r="EG2" i="27"/>
  <c r="DQ2" i="27"/>
  <c r="DA2" i="27"/>
  <c r="CK2" i="27"/>
  <c r="BU2" i="27"/>
  <c r="BE2" i="27"/>
  <c r="AO2" i="27"/>
  <c r="BC2" i="23"/>
  <c r="AY2" i="23"/>
  <c r="FI2" i="27"/>
  <c r="ES2" i="27"/>
  <c r="EC2" i="27"/>
  <c r="DM2" i="27"/>
  <c r="CW2" i="27"/>
  <c r="CG2" i="27"/>
  <c r="BQ2" i="27"/>
  <c r="BA2" i="27"/>
  <c r="AK2" i="27"/>
  <c r="AL2" i="24"/>
  <c r="AH2" i="24"/>
  <c r="BB2" i="23"/>
  <c r="AX2" i="23"/>
  <c r="FU2" i="27"/>
  <c r="FE2" i="27"/>
  <c r="EO2" i="27"/>
  <c r="DY2" i="27"/>
  <c r="DI2" i="27"/>
  <c r="CS2" i="27"/>
  <c r="CC2" i="27"/>
  <c r="BM2" i="27"/>
  <c r="AW2" i="27"/>
  <c r="AG2" i="27"/>
  <c r="AW2" i="24"/>
  <c r="AS2" i="24"/>
  <c r="BA2" i="23"/>
  <c r="AW2" i="23"/>
  <c r="BB2" i="22"/>
  <c r="AX2" i="22"/>
  <c r="AT2" i="22"/>
  <c r="AP2" i="22"/>
  <c r="AL2" i="22"/>
  <c r="BA2" i="18"/>
  <c r="AW2" i="18"/>
  <c r="AO2" i="18"/>
  <c r="AK2" i="18"/>
  <c r="BB2" i="16"/>
  <c r="AX2" i="16"/>
  <c r="AT2" i="16"/>
  <c r="AP2" i="16"/>
  <c r="AL2" i="16"/>
  <c r="FQ2" i="27"/>
  <c r="FA2" i="27"/>
  <c r="EK2" i="27"/>
  <c r="DU2" i="27"/>
  <c r="DE2" i="27"/>
  <c r="CO2" i="27"/>
  <c r="BY2" i="27"/>
  <c r="BI2" i="27"/>
  <c r="AS2" i="27"/>
  <c r="AV2" i="24"/>
  <c r="AR2" i="24"/>
  <c r="AN2" i="24"/>
  <c r="AJ2" i="24"/>
  <c r="AF2" i="24"/>
  <c r="BD2" i="23"/>
  <c r="AZ2" i="23"/>
  <c r="AV2" i="23"/>
  <c r="AR2" i="23"/>
  <c r="AN2" i="23"/>
  <c r="BA2" i="22"/>
  <c r="AW2" i="22"/>
  <c r="AS2" i="22"/>
  <c r="AO2" i="22"/>
  <c r="AK2" i="22"/>
  <c r="AJ2" i="19"/>
  <c r="AZ2" i="18"/>
  <c r="AV2" i="18"/>
  <c r="AR2" i="18"/>
  <c r="AN2" i="18"/>
  <c r="AJ2" i="18"/>
  <c r="BA2" i="16"/>
  <c r="AW2" i="16"/>
  <c r="AS2" i="16"/>
  <c r="AO2" i="16"/>
  <c r="AK2" i="16"/>
  <c r="AJ2" i="15"/>
  <c r="AY2" i="14"/>
  <c r="AU2" i="14"/>
  <c r="BA2" i="13"/>
  <c r="AW2" i="13"/>
  <c r="AT2" i="14"/>
  <c r="AP2" i="10"/>
  <c r="BA2" i="9"/>
  <c r="AO2" i="9"/>
  <c r="AX2" i="15"/>
  <c r="AN2" i="15"/>
  <c r="AW2" i="15"/>
  <c r="AL2" i="15"/>
  <c r="BA2" i="14"/>
  <c r="AW2" i="14"/>
  <c r="AY2" i="13"/>
  <c r="AU2" i="13"/>
  <c r="AZ2" i="11"/>
  <c r="AV2" i="11"/>
  <c r="BB2" i="14"/>
  <c r="AP2" i="14"/>
  <c r="AR2" i="13"/>
  <c r="AJ2" i="13"/>
  <c r="AW2" i="11"/>
  <c r="AK2" i="11"/>
  <c r="AU2" i="10"/>
  <c r="AL2" i="10"/>
  <c r="AS2" i="9"/>
  <c r="BA2" i="15"/>
  <c r="AV2" i="15"/>
  <c r="AP2" i="15"/>
  <c r="AK2" i="15"/>
  <c r="AR2" i="14"/>
  <c r="AN2" i="14"/>
  <c r="AJ2" i="14"/>
  <c r="AP2" i="13"/>
  <c r="AL2" i="13"/>
  <c r="AQ2" i="11"/>
  <c r="AM2" i="11"/>
  <c r="AI2" i="11"/>
  <c r="BA2" i="10"/>
  <c r="AW2" i="10"/>
  <c r="AS2" i="10"/>
  <c r="AN2" i="10"/>
  <c r="AJ2" i="10"/>
  <c r="BC2" i="9"/>
  <c r="AY2" i="9"/>
  <c r="AU2" i="9"/>
  <c r="AQ2" i="9"/>
  <c r="AX2" i="14"/>
  <c r="AL2" i="14"/>
  <c r="AZ2" i="13"/>
  <c r="AV2" i="13"/>
  <c r="AN2" i="13"/>
  <c r="BA2" i="11"/>
  <c r="AO2" i="11"/>
  <c r="AY2" i="10"/>
  <c r="BE2" i="9"/>
  <c r="AW2" i="9"/>
  <c r="G171" i="30" a="1"/>
  <c r="G171" i="30" s="1"/>
  <c r="G112" i="28" a="1"/>
  <c r="G112" i="28" s="1"/>
  <c r="G171" i="29" a="1"/>
  <c r="G171" i="29" s="1"/>
  <c r="R85" i="27" a="1"/>
  <c r="R85" i="27" s="1"/>
  <c r="G85" i="27" a="1"/>
  <c r="G85" i="27" s="1"/>
  <c r="AD142" i="27" a="1"/>
  <c r="AD142" i="27" s="1"/>
  <c r="AE289" i="11" a="1"/>
  <c r="AE289" i="11" s="1"/>
  <c r="AE210" i="11" a="1"/>
  <c r="AE210" i="11" s="1"/>
  <c r="AE247" i="11" a="1"/>
  <c r="AE247" i="11" s="1"/>
  <c r="AE263" i="11" a="1"/>
  <c r="AE263" i="11" s="1"/>
  <c r="AD199" i="27" a="1"/>
  <c r="AD199" i="27" s="1"/>
  <c r="AN222" i="5"/>
  <c r="B30" i="7"/>
  <c r="B32" i="7"/>
  <c r="B34" i="7"/>
  <c r="B35" i="7" s="1" a="1"/>
  <c r="B35" i="7" s="1"/>
  <c r="B28" i="7"/>
  <c r="B33" i="7"/>
  <c r="AC34" i="7" s="1"/>
  <c r="AC35" i="7" s="1"/>
  <c r="B56" i="7"/>
  <c r="B57" i="7"/>
  <c r="AC58" i="7" s="1"/>
  <c r="AC59" i="7" s="1"/>
  <c r="B54" i="7"/>
  <c r="B58" i="7"/>
  <c r="B59" i="7" s="1" a="1"/>
  <c r="B59" i="7" s="1"/>
  <c r="B52" i="7"/>
  <c r="AL9" i="9" a="1"/>
  <c r="AL9" i="9" s="1"/>
  <c r="AL8" i="9"/>
  <c r="AP2" i="9"/>
  <c r="AT2" i="9"/>
  <c r="AX2" i="9"/>
  <c r="BB2" i="9"/>
  <c r="BF2" i="9"/>
  <c r="AK2" i="10"/>
  <c r="AO2" i="10"/>
  <c r="AE43" i="11"/>
  <c r="AE29" i="11"/>
  <c r="AI43" i="11"/>
  <c r="AI29" i="11"/>
  <c r="AM43" i="11"/>
  <c r="AM29" i="11"/>
  <c r="AQ43" i="11"/>
  <c r="AQ29" i="11"/>
  <c r="AU43" i="11"/>
  <c r="AU29" i="11"/>
  <c r="AY43" i="11"/>
  <c r="AY29" i="11"/>
  <c r="AG134" i="11"/>
  <c r="AG120" i="11"/>
  <c r="AK134" i="11"/>
  <c r="AK120" i="11"/>
  <c r="AO134" i="11"/>
  <c r="AO120" i="11"/>
  <c r="AS134" i="11"/>
  <c r="AS120" i="11"/>
  <c r="AW134" i="11"/>
  <c r="AW120" i="11"/>
  <c r="BA134" i="11"/>
  <c r="BA120" i="11"/>
  <c r="AE225" i="11"/>
  <c r="AE211" i="11"/>
  <c r="AI225" i="11"/>
  <c r="AI211" i="11"/>
  <c r="AM225" i="11"/>
  <c r="AM211" i="11"/>
  <c r="AQ225" i="11"/>
  <c r="AQ211" i="11"/>
  <c r="AU225" i="11"/>
  <c r="AU211" i="11"/>
  <c r="AY225" i="11"/>
  <c r="AY211" i="11"/>
  <c r="AG316" i="11"/>
  <c r="AG302" i="11"/>
  <c r="AK316" i="11"/>
  <c r="AK302" i="11"/>
  <c r="AO316" i="11"/>
  <c r="AO302" i="11"/>
  <c r="AS316" i="11"/>
  <c r="AS302" i="11"/>
  <c r="AW316" i="11"/>
  <c r="AW302" i="11"/>
  <c r="BA316" i="11"/>
  <c r="BA302" i="11"/>
  <c r="T36" i="12"/>
  <c r="F37" i="12" a="1"/>
  <c r="F37" i="12" s="1"/>
  <c r="K32" i="13"/>
  <c r="F33" i="13" a="1"/>
  <c r="F33" i="13" s="1"/>
  <c r="K45" i="13"/>
  <c r="F46" i="13" a="1"/>
  <c r="F46" i="13" s="1"/>
  <c r="F29" i="14" a="1"/>
  <c r="F29" i="14" s="1"/>
  <c r="F30" i="14" s="1" a="1"/>
  <c r="F30" i="14" s="1"/>
  <c r="F31" i="14" s="1" a="1"/>
  <c r="F31" i="14" s="1"/>
  <c r="F32" i="14" s="1" a="1"/>
  <c r="F32" i="14" s="1"/>
  <c r="F33" i="14" s="1" a="1"/>
  <c r="F33" i="14" s="1"/>
  <c r="F34" i="14" s="1" a="1"/>
  <c r="F34" i="14" s="1"/>
  <c r="K28" i="14"/>
  <c r="F49" i="14" a="1"/>
  <c r="F49" i="14" s="1"/>
  <c r="F50" i="14" s="1" a="1"/>
  <c r="F50" i="14" s="1"/>
  <c r="F51" i="14" s="1" a="1"/>
  <c r="F51" i="14" s="1"/>
  <c r="F52" i="14" s="1" a="1"/>
  <c r="F52" i="14" s="1"/>
  <c r="F53" i="14" s="1" a="1"/>
  <c r="F53" i="14" s="1"/>
  <c r="F54" i="14" s="1" a="1"/>
  <c r="F54" i="14" s="1"/>
  <c r="K48" i="14"/>
  <c r="AT58" i="14"/>
  <c r="AT48" i="14" s="1"/>
  <c r="AT49" i="14"/>
  <c r="AS2" i="15"/>
  <c r="AZ2" i="15"/>
  <c r="AG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R8" i="9"/>
  <c r="AF9" i="10" a="1"/>
  <c r="AF9" i="10" s="1"/>
  <c r="AT9" i="10" a="1"/>
  <c r="AT9" i="10" s="1"/>
  <c r="AU8" i="11"/>
  <c r="BB9" i="13" a="1"/>
  <c r="BB9" i="13" s="1"/>
  <c r="AK9" i="14" a="1"/>
  <c r="AK9" i="14" s="1"/>
  <c r="AS9" i="14" a="1"/>
  <c r="AS9" i="14" s="1"/>
  <c r="AB27" i="34" a="1"/>
  <c r="AB27" i="34" s="1"/>
  <c r="AB27" i="33" a="1"/>
  <c r="AB27" i="33" s="1"/>
  <c r="AB28" i="32" a="1"/>
  <c r="AB28" i="32" s="1"/>
  <c r="AB30" i="31" a="1"/>
  <c r="AB30" i="31" s="1"/>
  <c r="AB27" i="30" a="1"/>
  <c r="AB27" i="30" s="1"/>
  <c r="AB27" i="29" a="1"/>
  <c r="AB27" i="29" s="1"/>
  <c r="AB27" i="28" a="1"/>
  <c r="AB27" i="28" s="1"/>
  <c r="AD29" i="27" a="1"/>
  <c r="AD29" i="27" s="1"/>
  <c r="AB30" i="27" s="1"/>
  <c r="AB27" i="26" a="1"/>
  <c r="AB27" i="26" s="1"/>
  <c r="AB27" i="21" a="1"/>
  <c r="AB27" i="21" s="1"/>
  <c r="AB27" i="24" a="1"/>
  <c r="AB27" i="24" s="1"/>
  <c r="AB27" i="19" a="1"/>
  <c r="AB27" i="19" s="1"/>
  <c r="AB27" i="18" a="1"/>
  <c r="AB27" i="18" s="1"/>
  <c r="AB26" i="25" a="1"/>
  <c r="AB26" i="25" s="1"/>
  <c r="B27" i="25" s="1"/>
  <c r="B28" i="25" s="1" a="1"/>
  <c r="B28" i="25" s="1"/>
  <c r="AB29" i="23" a="1"/>
  <c r="AB29" i="23" s="1"/>
  <c r="AB27" i="22" a="1"/>
  <c r="AB27" i="22" s="1"/>
  <c r="AB27" i="20" a="1"/>
  <c r="AB27" i="20" s="1"/>
  <c r="AB27" i="17" a="1"/>
  <c r="AB27" i="17" s="1"/>
  <c r="AB27" i="16" a="1"/>
  <c r="AB27" i="16" s="1"/>
  <c r="AB26" i="6" a="1"/>
  <c r="AB26" i="6" s="1"/>
  <c r="B44" i="7"/>
  <c r="B66" i="7"/>
  <c r="AB26" i="8" a="1"/>
  <c r="AB26" i="8" s="1"/>
  <c r="AP8" i="9"/>
  <c r="AT8" i="9"/>
  <c r="AX8" i="9"/>
  <c r="BB8" i="9"/>
  <c r="BF8" i="9"/>
  <c r="AP9" i="9" a="1"/>
  <c r="AP9" i="9" s="1"/>
  <c r="AR9" i="9" a="1"/>
  <c r="AR9" i="9" s="1"/>
  <c r="AT9" i="9" a="1"/>
  <c r="AT9" i="9" s="1"/>
  <c r="AV9" i="9" a="1"/>
  <c r="AV9" i="9" s="1"/>
  <c r="AX9" i="9" a="1"/>
  <c r="AX9" i="9" s="1"/>
  <c r="AZ9" i="9" a="1"/>
  <c r="AZ9" i="9" s="1"/>
  <c r="BB9" i="9" a="1"/>
  <c r="BB9" i="9" s="1"/>
  <c r="BD9" i="9" a="1"/>
  <c r="BD9" i="9" s="1"/>
  <c r="BF9" i="9" a="1"/>
  <c r="BF9" i="9" s="1"/>
  <c r="AI8" i="10"/>
  <c r="AM8" i="10"/>
  <c r="AQ8" i="10"/>
  <c r="AI9" i="10" a="1"/>
  <c r="AI9" i="10" s="1"/>
  <c r="AK9" i="10" a="1"/>
  <c r="AK9" i="10" s="1"/>
  <c r="AM9" i="10" a="1"/>
  <c r="AM9" i="10" s="1"/>
  <c r="AO9" i="10" a="1"/>
  <c r="AO9" i="10" s="1"/>
  <c r="AQ9" i="10" a="1"/>
  <c r="AQ9" i="10" s="1"/>
  <c r="AB27" i="10" a="1"/>
  <c r="AB27" i="10" s="1"/>
  <c r="AU2" i="11"/>
  <c r="AY2" i="11"/>
  <c r="AG8" i="11"/>
  <c r="AW8" i="11"/>
  <c r="BA8" i="11"/>
  <c r="AN33" i="12"/>
  <c r="AN32" i="12" s="1"/>
  <c r="AN39" i="12"/>
  <c r="AN38" i="12" s="1"/>
  <c r="AT2" i="13"/>
  <c r="AX2" i="13"/>
  <c r="AK9" i="13" a="1"/>
  <c r="AK9" i="13" s="1"/>
  <c r="AM9" i="13" a="1"/>
  <c r="AM9" i="13" s="1"/>
  <c r="AO9" i="13" a="1"/>
  <c r="AO9" i="13" s="1"/>
  <c r="AQ9" i="13" a="1"/>
  <c r="AQ9" i="13" s="1"/>
  <c r="AS9" i="13" a="1"/>
  <c r="AS9" i="13" s="1"/>
  <c r="AV2" i="14"/>
  <c r="AZ2" i="14"/>
  <c r="AH8" i="14"/>
  <c r="AT8" i="14"/>
  <c r="AX8" i="14"/>
  <c r="BB8" i="14"/>
  <c r="AV9" i="14" a="1"/>
  <c r="AV9" i="14" s="1"/>
  <c r="AZ9" i="14" a="1"/>
  <c r="AZ9" i="14" s="1"/>
  <c r="AB36" i="14"/>
  <c r="AH51" i="14"/>
  <c r="AB56" i="14"/>
  <c r="AF74" i="14"/>
  <c r="AH97" i="14"/>
  <c r="AE59" i="15"/>
  <c r="AE52" i="15"/>
  <c r="AI59" i="15"/>
  <c r="AI52" i="15"/>
  <c r="AM59" i="15"/>
  <c r="AM52" i="15"/>
  <c r="AQ59" i="15"/>
  <c r="AQ52" i="15"/>
  <c r="AU59" i="15"/>
  <c r="AU52" i="15"/>
  <c r="AY59" i="15"/>
  <c r="AY52" i="15"/>
  <c r="AG59" i="15"/>
  <c r="AO59" i="15"/>
  <c r="AW59" i="15"/>
  <c r="AM108" i="15"/>
  <c r="AM101" i="15"/>
  <c r="AQ108" i="15"/>
  <c r="AQ101" i="15"/>
  <c r="AU102" i="15"/>
  <c r="AU95" i="15"/>
  <c r="AY102" i="15"/>
  <c r="AY95" i="15"/>
  <c r="AJ157" i="15"/>
  <c r="AJ150" i="15"/>
  <c r="AN157" i="15"/>
  <c r="AN150" i="15"/>
  <c r="AR157" i="15"/>
  <c r="AW157" i="15"/>
  <c r="BA157" i="15"/>
  <c r="BA150" i="15"/>
  <c r="AX150" i="15"/>
  <c r="AW154" i="15"/>
  <c r="AW160" i="15" s="1"/>
  <c r="AU199" i="15"/>
  <c r="F52" i="17" a="1"/>
  <c r="F52" i="17" s="1"/>
  <c r="F53" i="17" s="1" a="1"/>
  <c r="F53" i="17" s="1"/>
  <c r="K83" i="18"/>
  <c r="K73" i="18"/>
  <c r="K63" i="18"/>
  <c r="F59" i="18" a="1"/>
  <c r="F59" i="18" s="1"/>
  <c r="F60" i="18" s="1" a="1"/>
  <c r="F60" i="18" s="1"/>
  <c r="K84" i="18"/>
  <c r="K85" i="18"/>
  <c r="K78" i="18"/>
  <c r="K68" i="18"/>
  <c r="K58" i="18"/>
  <c r="K86" i="18"/>
  <c r="AI13" i="19"/>
  <c r="AI2" i="19"/>
  <c r="AI7" i="19" a="1"/>
  <c r="AI7" i="19" s="1"/>
  <c r="F29" i="20" a="1"/>
  <c r="F29" i="20" s="1"/>
  <c r="AI2" i="21"/>
  <c r="F29" i="21" a="1"/>
  <c r="F29" i="21" s="1"/>
  <c r="F30" i="21" s="1" a="1"/>
  <c r="F30" i="21" s="1"/>
  <c r="F31" i="21" s="1" a="1"/>
  <c r="F31" i="21" s="1"/>
  <c r="K28" i="21"/>
  <c r="AI2" i="22"/>
  <c r="AI9" i="22" a="1"/>
  <c r="AI9" i="22" s="1"/>
  <c r="AM2" i="22"/>
  <c r="AQ2" i="22"/>
  <c r="K42" i="22"/>
  <c r="F43" i="22" a="1"/>
  <c r="F43" i="22" s="1"/>
  <c r="AK9" i="23" a="1"/>
  <c r="AK9" i="23" s="1"/>
  <c r="AK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121" i="23" a="1"/>
  <c r="F121" i="23" s="1"/>
  <c r="F122" i="23" s="1" a="1"/>
  <c r="F122" i="23" s="1"/>
  <c r="F123" i="23" s="1" a="1"/>
  <c r="F123" i="23" s="1"/>
  <c r="F124" i="23" s="1" a="1"/>
  <c r="F124" i="23" s="1"/>
  <c r="F125" i="23" s="1" a="1"/>
  <c r="F125" i="23" s="1"/>
  <c r="F126" i="23" s="1" a="1"/>
  <c r="F126" i="23" s="1"/>
  <c r="F127" i="23" s="1" a="1"/>
  <c r="F127" i="23" s="1"/>
  <c r="F128" i="23" s="1" a="1"/>
  <c r="F128" i="23" s="1"/>
  <c r="F129" i="23" s="1" a="1"/>
  <c r="F129" i="23" s="1"/>
  <c r="F130" i="23" s="1" a="1"/>
  <c r="F130" i="23" s="1"/>
  <c r="F131" i="23" s="1" a="1"/>
  <c r="F131" i="23" s="1"/>
  <c r="F132" i="23" s="1" a="1"/>
  <c r="F132" i="23" s="1"/>
  <c r="F133" i="23" s="1" a="1"/>
  <c r="F133" i="23" s="1"/>
  <c r="F134" i="23" s="1" a="1"/>
  <c r="F134" i="23" s="1"/>
  <c r="F135" i="23" s="1" a="1"/>
  <c r="F135" i="23" s="1"/>
  <c r="F136" i="23" s="1" a="1"/>
  <c r="F136" i="23" s="1"/>
  <c r="F137" i="23" s="1" a="1"/>
  <c r="F137" i="23" s="1"/>
  <c r="F138" i="23" s="1" a="1"/>
  <c r="F138" i="23" s="1"/>
  <c r="F139" i="23" s="1" a="1"/>
  <c r="F139" i="23" s="1"/>
  <c r="F140" i="23" s="1" a="1"/>
  <c r="F140" i="23" s="1"/>
  <c r="F141" i="23" s="1" a="1"/>
  <c r="F141" i="23" s="1"/>
  <c r="F142" i="23" s="1" a="1"/>
  <c r="F142" i="23" s="1"/>
  <c r="K120" i="23"/>
  <c r="F49" i="24" a="1"/>
  <c r="F49" i="24" s="1"/>
  <c r="F50" i="24" s="1" a="1"/>
  <c r="F50" i="24" s="1"/>
  <c r="F85" i="26" a="1"/>
  <c r="F85" i="26" s="1"/>
  <c r="F86" i="26" s="1" a="1"/>
  <c r="F86" i="26" s="1"/>
  <c r="F87" i="26" s="1" a="1"/>
  <c r="F87" i="26" s="1"/>
  <c r="F139" i="26" a="1"/>
  <c r="F139" i="26" s="1"/>
  <c r="F43" i="27" a="1"/>
  <c r="F43" i="27" s="1"/>
  <c r="F44" i="27" s="1" a="1"/>
  <c r="F44" i="27" s="1"/>
  <c r="T42" i="27"/>
  <c r="T43" i="27" s="1" a="1"/>
  <c r="T43" i="27" s="1"/>
  <c r="B42" i="7"/>
  <c r="AV8" i="9"/>
  <c r="BD8" i="9"/>
  <c r="AG9" i="9" a="1"/>
  <c r="AG9" i="9" s="1"/>
  <c r="AY8" i="11"/>
  <c r="W33" i="6" a="1"/>
  <c r="W33" i="6" s="1"/>
  <c r="AC27" i="7" a="1"/>
  <c r="AC27" i="7" s="1"/>
  <c r="B40" i="7"/>
  <c r="B46" i="7"/>
  <c r="B47" i="7" s="1" a="1"/>
  <c r="B47" i="7" s="1"/>
  <c r="B69" i="7"/>
  <c r="AC70" i="7" s="1"/>
  <c r="AC71" i="7" s="1"/>
  <c r="AZ2" i="9"/>
  <c r="AB28" i="9" a="1"/>
  <c r="AB28" i="9" s="1"/>
  <c r="AT2" i="10"/>
  <c r="AX2" i="10"/>
  <c r="AV8" i="10"/>
  <c r="AZ8" i="10"/>
  <c r="AJ2" i="11"/>
  <c r="AN2" i="11"/>
  <c r="AR2" i="11"/>
  <c r="AL8" i="11"/>
  <c r="AP8" i="11"/>
  <c r="AT8" i="11"/>
  <c r="AX8" i="11"/>
  <c r="BB8" i="11"/>
  <c r="AF9" i="11" a="1"/>
  <c r="AF9" i="11" s="1"/>
  <c r="AJ9" i="11" a="1"/>
  <c r="AJ9" i="11" s="1"/>
  <c r="AL9" i="11" a="1"/>
  <c r="AL9" i="11" s="1"/>
  <c r="AN9" i="11" a="1"/>
  <c r="AN9" i="11" s="1"/>
  <c r="AP9" i="11" a="1"/>
  <c r="AP9" i="11" s="1"/>
  <c r="AR9" i="11" a="1"/>
  <c r="AR9" i="11" s="1"/>
  <c r="AT9" i="11" a="1"/>
  <c r="AT9" i="11" s="1"/>
  <c r="AX9" i="11" a="1"/>
  <c r="AX9" i="11" s="1"/>
  <c r="BB9" i="11" a="1"/>
  <c r="BB9" i="11" s="1"/>
  <c r="AK2" i="14"/>
  <c r="AO2" i="14"/>
  <c r="AS2" i="14"/>
  <c r="AM8" i="14"/>
  <c r="AQ8" i="14"/>
  <c r="AB27" i="14" a="1"/>
  <c r="AB27" i="14" s="1"/>
  <c r="AB41" i="14"/>
  <c r="AB45" i="14"/>
  <c r="AE51" i="14"/>
  <c r="AI51" i="14"/>
  <c r="AB66" i="14"/>
  <c r="AG74" i="14"/>
  <c r="AS74" i="14"/>
  <c r="AB78" i="14"/>
  <c r="AB87" i="14"/>
  <c r="AB91" i="14"/>
  <c r="AE97" i="14"/>
  <c r="AI97" i="14"/>
  <c r="AB104" i="14"/>
  <c r="AB112" i="14"/>
  <c r="AR2" i="15"/>
  <c r="BB2" i="15"/>
  <c r="AS9" i="15" a="1"/>
  <c r="AS9" i="15" s="1"/>
  <c r="AZ9" i="15" a="1"/>
  <c r="AZ9" i="15" s="1"/>
  <c r="AF59" i="15"/>
  <c r="AF52" i="15"/>
  <c r="AJ59" i="15"/>
  <c r="AJ52" i="15"/>
  <c r="AN59" i="15"/>
  <c r="AN52" i="15"/>
  <c r="AR59" i="15"/>
  <c r="AR52" i="15"/>
  <c r="AV59" i="15"/>
  <c r="AV52" i="15"/>
  <c r="AZ59" i="15"/>
  <c r="AZ52" i="15"/>
  <c r="BA101" i="15"/>
  <c r="AV101" i="15"/>
  <c r="AK110" i="15"/>
  <c r="AK101" i="15"/>
  <c r="AV108" i="15"/>
  <c r="AJ154" i="15"/>
  <c r="AJ160" i="15" s="1"/>
  <c r="BA154" i="15"/>
  <c r="BA160" i="15" s="1"/>
  <c r="AJ193" i="15"/>
  <c r="AW193" i="15"/>
  <c r="AY199" i="15"/>
  <c r="AK206" i="15"/>
  <c r="AT199" i="15"/>
  <c r="AT206" i="15"/>
  <c r="BB206" i="15"/>
  <c r="K28" i="16"/>
  <c r="F29" i="16" a="1"/>
  <c r="F29" i="16" s="1"/>
  <c r="F30" i="16" s="1" a="1"/>
  <c r="F30" i="16" s="1"/>
  <c r="F31" i="16" s="1" a="1"/>
  <c r="F31" i="16" s="1"/>
  <c r="F32" i="16" s="1" a="1"/>
  <c r="F32" i="16" s="1"/>
  <c r="F33" i="16" s="1" a="1"/>
  <c r="F33" i="16" s="1"/>
  <c r="F34" i="16" s="1" a="1"/>
  <c r="F34" i="16" s="1"/>
  <c r="F35" i="16" s="1" a="1"/>
  <c r="F35" i="16" s="1"/>
  <c r="F36" i="16" s="1" a="1"/>
  <c r="F36" i="16" s="1"/>
  <c r="K48" i="16"/>
  <c r="F49" i="16" a="1"/>
  <c r="F49" i="16" s="1"/>
  <c r="F50" i="16" s="1" a="1"/>
  <c r="F50" i="16" s="1"/>
  <c r="F51" i="16" s="1" a="1"/>
  <c r="F51" i="16" s="1"/>
  <c r="F52" i="16" s="1" a="1"/>
  <c r="F52" i="16" s="1"/>
  <c r="F53" i="16" s="1" a="1"/>
  <c r="F53" i="16" s="1"/>
  <c r="F54" i="16" s="1" a="1"/>
  <c r="F54" i="16" s="1"/>
  <c r="F55" i="16" s="1" a="1"/>
  <c r="F55" i="16" s="1"/>
  <c r="F56" i="16" s="1" a="1"/>
  <c r="F56" i="16" s="1"/>
  <c r="F59" i="16" a="1"/>
  <c r="F59" i="16" s="1"/>
  <c r="F60" i="16" s="1" a="1"/>
  <c r="F60" i="16" s="1"/>
  <c r="F61" i="16" s="1" a="1"/>
  <c r="F61" i="16" s="1"/>
  <c r="F62" i="16" s="1" a="1"/>
  <c r="F62" i="16" s="1"/>
  <c r="F63" i="16" s="1" a="1"/>
  <c r="F63" i="16" s="1"/>
  <c r="F64" i="16" s="1" a="1"/>
  <c r="F64" i="16" s="1"/>
  <c r="F65" i="16" s="1" a="1"/>
  <c r="F65" i="16" s="1"/>
  <c r="F66" i="16" s="1" a="1"/>
  <c r="F66" i="16" s="1"/>
  <c r="K58" i="16"/>
  <c r="AF10" i="17" a="1"/>
  <c r="AF10" i="17" s="1"/>
  <c r="AF2" i="17"/>
  <c r="F45" i="17" a="1"/>
  <c r="F45" i="17" s="1"/>
  <c r="F46" i="17" s="1" a="1"/>
  <c r="F46" i="17" s="1"/>
  <c r="AS9" i="18" a="1"/>
  <c r="AS9" i="18" s="1"/>
  <c r="AS2" i="18"/>
  <c r="K56" i="18"/>
  <c r="K53" i="18"/>
  <c r="K43" i="18"/>
  <c r="K33" i="18"/>
  <c r="F29" i="18" a="1"/>
  <c r="F29" i="18" s="1"/>
  <c r="F30" i="18" s="1" a="1"/>
  <c r="F30" i="18" s="1"/>
  <c r="K54" i="18"/>
  <c r="K55" i="18"/>
  <c r="K48" i="18"/>
  <c r="K38" i="18"/>
  <c r="K28" i="18"/>
  <c r="AI9" i="20" a="1"/>
  <c r="AI9" i="20" s="1"/>
  <c r="AI2" i="20"/>
  <c r="AU2" i="22"/>
  <c r="AY2" i="22"/>
  <c r="K56" i="22"/>
  <c r="F57" i="22" a="1"/>
  <c r="F57" i="22" s="1"/>
  <c r="AL2" i="23"/>
  <c r="AP2" i="23"/>
  <c r="AT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AE2" i="24"/>
  <c r="AE9" i="24" a="1"/>
  <c r="AE9" i="24" s="1"/>
  <c r="AI2" i="24"/>
  <c r="AM2" i="24"/>
  <c r="AP2" i="24"/>
  <c r="AT2" i="24"/>
  <c r="AX2" i="24"/>
  <c r="AB112" i="26"/>
  <c r="AB109" i="26"/>
  <c r="AB113" i="26"/>
  <c r="F187" i="26" a="1"/>
  <c r="F187" i="26" s="1"/>
  <c r="AH74" i="14"/>
  <c r="AF97" i="14"/>
  <c r="AI2" i="15"/>
  <c r="AM2" i="15"/>
  <c r="AQ2" i="15"/>
  <c r="AI9" i="15" a="1"/>
  <c r="AI9" i="15" s="1"/>
  <c r="AQ9" i="15" a="1"/>
  <c r="AQ9" i="15" s="1"/>
  <c r="AT9" i="15" a="1"/>
  <c r="AT9" i="15" s="1"/>
  <c r="AM95" i="15"/>
  <c r="AJ104" i="15"/>
  <c r="AJ110" i="15" s="1"/>
  <c r="AJ95" i="15"/>
  <c r="AN104" i="15"/>
  <c r="AN110" i="15" s="1"/>
  <c r="AN95" i="15"/>
  <c r="AR104" i="15"/>
  <c r="AR110" i="15" s="1"/>
  <c r="AR95" i="15"/>
  <c r="AW104" i="15"/>
  <c r="AW95" i="15"/>
  <c r="BA104" i="15"/>
  <c r="BA110" i="15" s="1"/>
  <c r="BA95" i="15"/>
  <c r="AN101" i="15"/>
  <c r="AL157" i="15"/>
  <c r="AL150" i="15"/>
  <c r="AP157" i="15"/>
  <c r="AP150" i="15"/>
  <c r="AU157" i="15"/>
  <c r="AU150" i="15"/>
  <c r="AY157" i="15"/>
  <c r="AY150" i="15"/>
  <c r="AM206" i="15"/>
  <c r="AQ206" i="15"/>
  <c r="AV199" i="15"/>
  <c r="AV206" i="15"/>
  <c r="AZ199" i="15"/>
  <c r="AZ206" i="15"/>
  <c r="AL193" i="15"/>
  <c r="AL203" i="15"/>
  <c r="AL209" i="15" s="1"/>
  <c r="AP193" i="15"/>
  <c r="AP203" i="15"/>
  <c r="AP209" i="15" s="1"/>
  <c r="AT203" i="15"/>
  <c r="AT209" i="15" s="1"/>
  <c r="AT193" i="15"/>
  <c r="AX203" i="15"/>
  <c r="AX209" i="15" s="1"/>
  <c r="AX193" i="15"/>
  <c r="BB203" i="15"/>
  <c r="BB209" i="15" s="1"/>
  <c r="BB193" i="15"/>
  <c r="AL199" i="15"/>
  <c r="AI2" i="16"/>
  <c r="AI9" i="16" a="1"/>
  <c r="AI9" i="16" s="1"/>
  <c r="AM2" i="16"/>
  <c r="AQ2" i="16"/>
  <c r="F31" i="17" a="1"/>
  <c r="F31" i="17" s="1"/>
  <c r="F32" i="17" s="1" a="1"/>
  <c r="F32" i="17" s="1"/>
  <c r="F38" i="17" a="1"/>
  <c r="F38" i="17" s="1"/>
  <c r="F39" i="17" s="1" a="1"/>
  <c r="F39" i="17" s="1"/>
  <c r="AL2" i="18"/>
  <c r="AP2" i="18"/>
  <c r="AT2" i="18"/>
  <c r="AX2" i="18"/>
  <c r="BB2" i="18"/>
  <c r="K147" i="18"/>
  <c r="K148" i="18"/>
  <c r="K141" i="18"/>
  <c r="K131" i="18"/>
  <c r="K121" i="18"/>
  <c r="K149" i="18"/>
  <c r="K146" i="18"/>
  <c r="K136" i="18"/>
  <c r="K126" i="18"/>
  <c r="F122" i="18" a="1"/>
  <c r="F122" i="18" s="1"/>
  <c r="F123" i="18" s="1" a="1"/>
  <c r="F123" i="18" s="1"/>
  <c r="F54" i="19" a="1"/>
  <c r="F54" i="19" s="1"/>
  <c r="K53" i="19"/>
  <c r="F79" i="19" a="1"/>
  <c r="F79" i="19" s="1"/>
  <c r="K78" i="19"/>
  <c r="F104" i="19" a="1"/>
  <c r="F104" i="19" s="1"/>
  <c r="K103" i="19"/>
  <c r="F67" i="20" a="1"/>
  <c r="F67" i="20" s="1"/>
  <c r="F86" i="20" a="1"/>
  <c r="F86" i="20" s="1"/>
  <c r="AJ9" i="21" a="1"/>
  <c r="AJ9" i="21" s="1"/>
  <c r="AJ2" i="21"/>
  <c r="AM2" i="23"/>
  <c r="AQ2" i="23"/>
  <c r="AU2" i="23"/>
  <c r="AQ2" i="24"/>
  <c r="AU2" i="24"/>
  <c r="F41" i="24" a="1"/>
  <c r="F41" i="24" s="1"/>
  <c r="F42" i="24" s="1" a="1"/>
  <c r="F42" i="24" s="1"/>
  <c r="F34" i="26" a="1"/>
  <c r="F34" i="26" s="1"/>
  <c r="AB214" i="26"/>
  <c r="AB211" i="26"/>
  <c r="AB215" i="26"/>
  <c r="AX9" i="10" a="1"/>
  <c r="AX9" i="10" s="1"/>
  <c r="AO9" i="14" a="1"/>
  <c r="AO9" i="14" s="1"/>
  <c r="AF51" i="14"/>
  <c r="T27" i="27"/>
  <c r="T25" i="27"/>
  <c r="T26" i="27"/>
  <c r="T24" i="27"/>
  <c r="B64" i="7"/>
  <c r="AB27" i="13" a="1"/>
  <c r="AB27" i="13" s="1"/>
  <c r="T45" i="13" a="1"/>
  <c r="T45" i="13" s="1"/>
  <c r="AG51" i="14"/>
  <c r="AS51" i="14"/>
  <c r="AB64" i="14"/>
  <c r="AE74" i="14"/>
  <c r="AI74" i="14"/>
  <c r="AG97" i="14"/>
  <c r="AS97" i="14"/>
  <c r="AO2" i="15"/>
  <c r="AU2" i="15"/>
  <c r="AY2" i="15"/>
  <c r="AY9" i="15" a="1"/>
  <c r="AY9" i="15" s="1"/>
  <c r="AB27" i="15" a="1"/>
  <c r="AB27" i="15" s="1"/>
  <c r="AQ95" i="15"/>
  <c r="AL108" i="15"/>
  <c r="AL101" i="15"/>
  <c r="AP108" i="15"/>
  <c r="AP101" i="15"/>
  <c r="AT108" i="15"/>
  <c r="AT101" i="15"/>
  <c r="AX108" i="15"/>
  <c r="AX101" i="15"/>
  <c r="BB108" i="15"/>
  <c r="BB101" i="15"/>
  <c r="AR101" i="15"/>
  <c r="AZ101" i="15"/>
  <c r="AO110" i="15"/>
  <c r="AO101" i="15"/>
  <c r="AM157" i="15"/>
  <c r="AM150" i="15"/>
  <c r="AQ157" i="15"/>
  <c r="AQ150" i="15"/>
  <c r="AV157" i="15"/>
  <c r="AV150" i="15"/>
  <c r="AZ157" i="15"/>
  <c r="AZ150" i="15"/>
  <c r="AR154" i="15"/>
  <c r="AR160" i="15" s="1"/>
  <c r="AR193" i="15"/>
  <c r="BA193" i="15"/>
  <c r="AJ199" i="15"/>
  <c r="AJ206" i="15"/>
  <c r="AN199" i="15"/>
  <c r="AN206" i="15"/>
  <c r="AR199" i="15"/>
  <c r="AR206" i="15"/>
  <c r="AW199" i="15"/>
  <c r="AW206" i="15"/>
  <c r="BA199" i="15"/>
  <c r="BA206" i="15"/>
  <c r="AK193" i="15"/>
  <c r="AK204" i="15"/>
  <c r="AK210" i="15" s="1"/>
  <c r="AO193" i="15"/>
  <c r="AO204" i="15"/>
  <c r="AO210" i="15" s="1"/>
  <c r="AO206" i="15"/>
  <c r="AX199" i="15"/>
  <c r="AX206" i="15"/>
  <c r="AU2" i="16"/>
  <c r="AY2" i="16"/>
  <c r="F39" i="16" a="1"/>
  <c r="F39" i="16" s="1"/>
  <c r="F40" i="16" s="1" a="1"/>
  <c r="F40" i="16" s="1"/>
  <c r="F41" i="16" s="1" a="1"/>
  <c r="F41" i="16" s="1"/>
  <c r="F42" i="16" s="1" a="1"/>
  <c r="F42" i="16" s="1"/>
  <c r="F43" i="16" s="1" a="1"/>
  <c r="F43" i="16" s="1"/>
  <c r="F44" i="16" s="1" a="1"/>
  <c r="F44" i="16" s="1"/>
  <c r="F45" i="16" s="1" a="1"/>
  <c r="F45" i="16" s="1"/>
  <c r="F46" i="16" s="1" a="1"/>
  <c r="F46" i="16" s="1"/>
  <c r="K38" i="16"/>
  <c r="AE2" i="17"/>
  <c r="AI2" i="18"/>
  <c r="AI9" i="18" a="1"/>
  <c r="AI9" i="18" s="1"/>
  <c r="AM2" i="18"/>
  <c r="AQ2" i="18"/>
  <c r="AU2" i="18"/>
  <c r="AY2" i="18"/>
  <c r="K116" i="18"/>
  <c r="K117" i="18"/>
  <c r="K98" i="18"/>
  <c r="K88" i="18"/>
  <c r="K118" i="18"/>
  <c r="K111" i="18"/>
  <c r="K119" i="18"/>
  <c r="K103" i="18"/>
  <c r="K93" i="18"/>
  <c r="F89" i="18" a="1"/>
  <c r="F89" i="18" s="1"/>
  <c r="F90" i="18" s="1" a="1"/>
  <c r="F90" i="18" s="1"/>
  <c r="F29" i="19" a="1"/>
  <c r="F29" i="19" s="1"/>
  <c r="K28" i="19"/>
  <c r="BO36" i="29" s="1"/>
  <c r="F48" i="20" a="1"/>
  <c r="F48" i="20" s="1"/>
  <c r="F41" i="21" a="1"/>
  <c r="F41" i="21" s="1"/>
  <c r="F42" i="21" s="1" a="1"/>
  <c r="F42" i="21" s="1"/>
  <c r="F43" i="21" s="1" a="1"/>
  <c r="F43" i="21" s="1"/>
  <c r="K40" i="21"/>
  <c r="F53" i="21" a="1"/>
  <c r="F53" i="21" s="1"/>
  <c r="F54" i="21" s="1" a="1"/>
  <c r="F54" i="21" s="1"/>
  <c r="F55" i="21" s="1" a="1"/>
  <c r="F55" i="21" s="1"/>
  <c r="K52" i="21"/>
  <c r="F65" i="21" a="1"/>
  <c r="F65" i="21" s="1"/>
  <c r="F66" i="21" s="1" a="1"/>
  <c r="F66" i="21" s="1"/>
  <c r="F67" i="21" s="1" a="1"/>
  <c r="F67" i="21" s="1"/>
  <c r="K64" i="21"/>
  <c r="K28" i="22"/>
  <c r="F29" i="22" a="1"/>
  <c r="F29" i="22" s="1"/>
  <c r="K70" i="22"/>
  <c r="F71" i="22" a="1"/>
  <c r="F71" i="22" s="1"/>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F33" i="24" a="1"/>
  <c r="F33" i="24" s="1"/>
  <c r="F34" i="24" s="1" a="1"/>
  <c r="F34" i="24" s="1"/>
  <c r="F57" i="24" a="1"/>
  <c r="F57" i="24" s="1"/>
  <c r="F58" i="24" s="1" a="1"/>
  <c r="F58" i="24" s="1"/>
  <c r="AT9" i="18" a="1"/>
  <c r="AT9" i="18" s="1"/>
  <c r="AX9" i="18" a="1"/>
  <c r="AX9" i="18" s="1"/>
  <c r="BB9" i="18" a="1"/>
  <c r="BB9" i="18" s="1"/>
  <c r="AB80" i="19"/>
  <c r="AB86" i="19"/>
  <c r="AB92" i="19"/>
  <c r="AB98" i="19"/>
  <c r="AP9" i="24" a="1"/>
  <c r="AP9" i="24" s="1"/>
  <c r="AT9" i="24" a="1"/>
  <c r="AT9" i="24" s="1"/>
  <c r="AX9" i="24" a="1"/>
  <c r="AX9" i="24" s="1"/>
  <c r="B69" i="26"/>
  <c r="B70" i="26" s="1" a="1"/>
  <c r="B70" i="26" s="1"/>
  <c r="B56" i="26"/>
  <c r="B57" i="26" s="1" a="1"/>
  <c r="B57" i="26" s="1"/>
  <c r="B120" i="26"/>
  <c r="B121" i="26" s="1" a="1"/>
  <c r="B121" i="26" s="1"/>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F99" i="27" a="1"/>
  <c r="F99" i="27" s="1"/>
  <c r="F100" i="27" s="1" a="1"/>
  <c r="F100" i="27" s="1"/>
  <c r="T98" i="27"/>
  <c r="T99" i="27" s="1" a="1"/>
  <c r="T99" i="27" s="1"/>
  <c r="F211" i="27" a="1"/>
  <c r="F211" i="27" s="1"/>
  <c r="F212" i="27" s="1" a="1"/>
  <c r="F212" i="27" s="1"/>
  <c r="T210" i="27"/>
  <c r="T211" i="27" s="1" a="1"/>
  <c r="T211" i="27" s="1"/>
  <c r="AU9" i="16" a="1"/>
  <c r="AU9" i="16" s="1"/>
  <c r="AY9" i="16" a="1"/>
  <c r="AY9" i="16" s="1"/>
  <c r="AG13" i="19"/>
  <c r="AB105" i="19"/>
  <c r="AB111" i="19"/>
  <c r="AB117" i="19"/>
  <c r="AB123" i="19"/>
  <c r="AJ2" i="20"/>
  <c r="AU9" i="22" a="1"/>
  <c r="AU9" i="22" s="1"/>
  <c r="AY9" i="22" a="1"/>
  <c r="AY9" i="22" s="1"/>
  <c r="AO2" i="23"/>
  <c r="AS2" i="23"/>
  <c r="AG2" i="24"/>
  <c r="AK2" i="24"/>
  <c r="AO2" i="24"/>
  <c r="AB230" i="26"/>
  <c r="AB229" i="26"/>
  <c r="AB228" i="26"/>
  <c r="AB225" i="26"/>
  <c r="AB224" i="26"/>
  <c r="AF8" i="27"/>
  <c r="AF9" i="27" a="1"/>
  <c r="AF9" i="27" s="1"/>
  <c r="AJ8" i="27"/>
  <c r="AJ9" i="27" a="1"/>
  <c r="AJ9" i="27" s="1"/>
  <c r="AJ2" i="27"/>
  <c r="AN8" i="27"/>
  <c r="AN9" i="27" a="1"/>
  <c r="AN9" i="27" s="1"/>
  <c r="AN2" i="27"/>
  <c r="AR8" i="27"/>
  <c r="AR9" i="27" a="1"/>
  <c r="AR9" i="27" s="1"/>
  <c r="AR2" i="27"/>
  <c r="AV8" i="27"/>
  <c r="AV9" i="27" a="1"/>
  <c r="AV9" i="27" s="1"/>
  <c r="AV2" i="27"/>
  <c r="AZ8" i="27"/>
  <c r="AZ9" i="27" a="1"/>
  <c r="AZ9" i="27" s="1"/>
  <c r="AZ2" i="27"/>
  <c r="BD8" i="27"/>
  <c r="BD9" i="27" a="1"/>
  <c r="BD9" i="27" s="1"/>
  <c r="BD2" i="27"/>
  <c r="BH8" i="27"/>
  <c r="BH9" i="27" a="1"/>
  <c r="BH9" i="27" s="1"/>
  <c r="BH2" i="27"/>
  <c r="BL8" i="27"/>
  <c r="BL9" i="27" a="1"/>
  <c r="BL9" i="27" s="1"/>
  <c r="BL2" i="27"/>
  <c r="BP8" i="27"/>
  <c r="BP9" i="27" a="1"/>
  <c r="BP9" i="27" s="1"/>
  <c r="BP2" i="27"/>
  <c r="BT8" i="27"/>
  <c r="BT9" i="27" a="1"/>
  <c r="BT9" i="27" s="1"/>
  <c r="BT2" i="27"/>
  <c r="BX8" i="27"/>
  <c r="BX9" i="27" a="1"/>
  <c r="BX9" i="27" s="1"/>
  <c r="BX2" i="27"/>
  <c r="CB8" i="27"/>
  <c r="CB9" i="27" a="1"/>
  <c r="CB9" i="27" s="1"/>
  <c r="CB2" i="27"/>
  <c r="CF8" i="27"/>
  <c r="CF9" i="27" a="1"/>
  <c r="CF9" i="27" s="1"/>
  <c r="CF2" i="27"/>
  <c r="CJ8" i="27"/>
  <c r="CJ9" i="27" a="1"/>
  <c r="CJ9" i="27" s="1"/>
  <c r="CJ2" i="27"/>
  <c r="CN8" i="27"/>
  <c r="CN9" i="27" a="1"/>
  <c r="CN9" i="27" s="1"/>
  <c r="CN2" i="27"/>
  <c r="CR8" i="27"/>
  <c r="CR9" i="27" a="1"/>
  <c r="CR9" i="27" s="1"/>
  <c r="CR2" i="27"/>
  <c r="CV8" i="27"/>
  <c r="CV9" i="27" a="1"/>
  <c r="CV9" i="27" s="1"/>
  <c r="CV2" i="27"/>
  <c r="CZ8" i="27"/>
  <c r="CZ9" i="27" a="1"/>
  <c r="CZ9" i="27" s="1"/>
  <c r="CZ2" i="27"/>
  <c r="DD8" i="27"/>
  <c r="DD9" i="27" a="1"/>
  <c r="DD9" i="27" s="1"/>
  <c r="DD2" i="27"/>
  <c r="DH8" i="27"/>
  <c r="DH9" i="27" a="1"/>
  <c r="DH9" i="27" s="1"/>
  <c r="DH2" i="27"/>
  <c r="DL8" i="27"/>
  <c r="DL9" i="27" a="1"/>
  <c r="DL9" i="27" s="1"/>
  <c r="DL2" i="27"/>
  <c r="DP8" i="27"/>
  <c r="DP9" i="27" a="1"/>
  <c r="DP9" i="27" s="1"/>
  <c r="DP2" i="27"/>
  <c r="DT8" i="27"/>
  <c r="DT9" i="27" a="1"/>
  <c r="DT9" i="27" s="1"/>
  <c r="DT2" i="27"/>
  <c r="DX8" i="27"/>
  <c r="DX9" i="27" a="1"/>
  <c r="DX9" i="27" s="1"/>
  <c r="DX2" i="27"/>
  <c r="EB8" i="27"/>
  <c r="EB9" i="27" a="1"/>
  <c r="EB9" i="27" s="1"/>
  <c r="EB2" i="27"/>
  <c r="EF8" i="27"/>
  <c r="EF9" i="27" a="1"/>
  <c r="EF9" i="27" s="1"/>
  <c r="EF2" i="27"/>
  <c r="EJ8" i="27"/>
  <c r="EJ9" i="27" a="1"/>
  <c r="EJ9" i="27" s="1"/>
  <c r="EJ2" i="27"/>
  <c r="EN8" i="27"/>
  <c r="EN9" i="27" a="1"/>
  <c r="EN9" i="27" s="1"/>
  <c r="EN2" i="27"/>
  <c r="ER8" i="27"/>
  <c r="ER9" i="27" a="1"/>
  <c r="ER9" i="27" s="1"/>
  <c r="ER2" i="27"/>
  <c r="EV8" i="27"/>
  <c r="EV9" i="27" a="1"/>
  <c r="EV9" i="27" s="1"/>
  <c r="EV2" i="27"/>
  <c r="EZ8" i="27"/>
  <c r="EZ9" i="27" a="1"/>
  <c r="EZ9" i="27" s="1"/>
  <c r="EZ2" i="27"/>
  <c r="FD8" i="27"/>
  <c r="FD9" i="27" a="1"/>
  <c r="FD9" i="27" s="1"/>
  <c r="FD2" i="27"/>
  <c r="FH8" i="27"/>
  <c r="FH9" i="27" a="1"/>
  <c r="FH9" i="27" s="1"/>
  <c r="FH2" i="27"/>
  <c r="FL8" i="27"/>
  <c r="FL9" i="27" a="1"/>
  <c r="FL9" i="27" s="1"/>
  <c r="FL2" i="27"/>
  <c r="FP8" i="27"/>
  <c r="FP9" i="27" a="1"/>
  <c r="FP9" i="27" s="1"/>
  <c r="FP2" i="27"/>
  <c r="FT8" i="27"/>
  <c r="FT9" i="27" a="1"/>
  <c r="FT9" i="27" s="1"/>
  <c r="FT2" i="27"/>
  <c r="BT25" i="27"/>
  <c r="DP25" i="27"/>
  <c r="FL25" i="27"/>
  <c r="AB130" i="27"/>
  <c r="AB122" i="27"/>
  <c r="AB117" i="27"/>
  <c r="AB112" i="27"/>
  <c r="AB129" i="27"/>
  <c r="AB116" i="27"/>
  <c r="AB111" i="27"/>
  <c r="AB106" i="27"/>
  <c r="AB128" i="27"/>
  <c r="AB124" i="27"/>
  <c r="AB110" i="27"/>
  <c r="AB105" i="27"/>
  <c r="AB123" i="27"/>
  <c r="AB118" i="27"/>
  <c r="AB104" i="27"/>
  <c r="F155" i="27" a="1"/>
  <c r="F155" i="27" s="1"/>
  <c r="F156" i="27" s="1" a="1"/>
  <c r="F156" i="27" s="1"/>
  <c r="T154" i="27"/>
  <c r="T155" i="27" s="1" a="1"/>
  <c r="T155" i="27" s="1"/>
  <c r="AT95" i="15"/>
  <c r="AX95" i="15"/>
  <c r="BB95" i="15"/>
  <c r="AM144" i="15"/>
  <c r="AQ144" i="15"/>
  <c r="AV144" i="15"/>
  <c r="AZ144" i="15"/>
  <c r="AU193" i="15"/>
  <c r="AY193" i="15"/>
  <c r="AM203" i="15"/>
  <c r="AM209" i="15" s="1"/>
  <c r="AQ203" i="15"/>
  <c r="AQ209" i="15" s="1"/>
  <c r="AE10" i="17" a="1"/>
  <c r="AE10" i="17" s="1"/>
  <c r="AM9" i="18" a="1"/>
  <c r="AM9" i="18" s="1"/>
  <c r="AQ9" i="18" a="1"/>
  <c r="AQ9" i="18" s="1"/>
  <c r="AU9" i="18" a="1"/>
  <c r="AU9" i="18" s="1"/>
  <c r="AY9" i="18" a="1"/>
  <c r="AY9" i="18" s="1"/>
  <c r="AI9" i="21" a="1"/>
  <c r="AI9" i="21" s="1"/>
  <c r="AM9" i="23" a="1"/>
  <c r="AM9" i="23" s="1"/>
  <c r="AQ9" i="23" a="1"/>
  <c r="AQ9" i="23" s="1"/>
  <c r="AU9" i="23" a="1"/>
  <c r="AU9" i="23" s="1"/>
  <c r="AI9" i="24" a="1"/>
  <c r="AI9" i="24" s="1"/>
  <c r="AM9" i="24" a="1"/>
  <c r="AM9" i="24" s="1"/>
  <c r="AQ9" i="24" a="1"/>
  <c r="AQ9" i="24" s="1"/>
  <c r="AU9" i="24" a="1"/>
  <c r="AU9" i="24" s="1"/>
  <c r="AD25" i="27"/>
  <c r="AD9" i="27" a="1"/>
  <c r="AD9" i="27" s="1"/>
  <c r="AJ25" i="27"/>
  <c r="CF25" i="27"/>
  <c r="EB25" i="27"/>
  <c r="AJ2" i="16"/>
  <c r="AN2" i="16"/>
  <c r="AR2" i="16"/>
  <c r="AV2" i="16"/>
  <c r="AZ2" i="16"/>
  <c r="AJ2" i="22"/>
  <c r="AN2" i="22"/>
  <c r="AR2" i="22"/>
  <c r="AV2" i="22"/>
  <c r="AZ2" i="22"/>
  <c r="B171" i="26"/>
  <c r="B172" i="26" s="1" a="1"/>
  <c r="B172" i="26" s="1"/>
  <c r="B158" i="26"/>
  <c r="B159" i="26" s="1" a="1"/>
  <c r="B159" i="26" s="1"/>
  <c r="AV25" i="27"/>
  <c r="CR25" i="27"/>
  <c r="EN25" i="27"/>
  <c r="AG8" i="27"/>
  <c r="AK8" i="27"/>
  <c r="AO8" i="27"/>
  <c r="AS8" i="27"/>
  <c r="AW8" i="27"/>
  <c r="BA8" i="27"/>
  <c r="BE8" i="27"/>
  <c r="BI8" i="27"/>
  <c r="BM8" i="27"/>
  <c r="BQ8" i="27"/>
  <c r="BU8" i="27"/>
  <c r="BY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P9" i="27" a="1"/>
  <c r="AP9" i="27" s="1"/>
  <c r="BB9" i="27" a="1"/>
  <c r="BB9" i="27" s="1"/>
  <c r="BN9" i="27" a="1"/>
  <c r="BN9" i="27" s="1"/>
  <c r="BZ9" i="27" a="1"/>
  <c r="BZ9" i="27" s="1"/>
  <c r="CL9" i="27" a="1"/>
  <c r="CL9" i="27" s="1"/>
  <c r="CX9" i="27" a="1"/>
  <c r="CX9" i="27" s="1"/>
  <c r="DJ9" i="27" a="1"/>
  <c r="DJ9" i="27" s="1"/>
  <c r="DV9" i="27" a="1"/>
  <c r="DV9" i="27" s="1"/>
  <c r="EH9" i="27" a="1"/>
  <c r="EH9" i="27" s="1"/>
  <c r="ET9" i="27" a="1"/>
  <c r="ET9" i="27" s="1"/>
  <c r="FF9" i="27" a="1"/>
  <c r="FF9" i="27" s="1"/>
  <c r="FR9" i="27" a="1"/>
  <c r="FR9" i="27" s="1"/>
  <c r="AG25" i="27"/>
  <c r="AS25" i="27"/>
  <c r="BE25" i="27"/>
  <c r="BQ25" i="27"/>
  <c r="CC25" i="27"/>
  <c r="CO25" i="27"/>
  <c r="DA25" i="27"/>
  <c r="DM25" i="27"/>
  <c r="DY25" i="27"/>
  <c r="EK25" i="27"/>
  <c r="EW25" i="27"/>
  <c r="FI25" i="27"/>
  <c r="FU25" i="27"/>
  <c r="AB56" i="27"/>
  <c r="AB61" i="27"/>
  <c r="AB66" i="27"/>
  <c r="AB74" i="27"/>
  <c r="AB161" i="27"/>
  <c r="AB166" i="27"/>
  <c r="AB180" i="27"/>
  <c r="AB184" i="27"/>
  <c r="F286" i="28" a="1"/>
  <c r="F286" i="28" s="1"/>
  <c r="F287" i="28" s="1" a="1"/>
  <c r="F287" i="28" s="1"/>
  <c r="F288" i="28" s="1" a="1"/>
  <c r="F288" i="28" s="1"/>
  <c r="F289" i="28" s="1" a="1"/>
  <c r="F289" i="28" s="1"/>
  <c r="D136" i="29" a="1"/>
  <c r="D136" i="29" s="1"/>
  <c r="D137" i="29" s="1" a="1"/>
  <c r="D137" i="29" s="1"/>
  <c r="AB135" i="29" a="1"/>
  <c r="AB135" i="29" s="1"/>
  <c r="AB167" i="27"/>
  <c r="AB172" i="27"/>
  <c r="AB185" i="27"/>
  <c r="F31" i="28" a="1"/>
  <c r="F31" i="28" s="1"/>
  <c r="F32" i="28" s="1" a="1"/>
  <c r="F32" i="28" s="1"/>
  <c r="F33" i="28" s="1" a="1"/>
  <c r="F33" i="28" s="1"/>
  <c r="F34" i="28" s="1" a="1"/>
  <c r="F34" i="28" s="1"/>
  <c r="F181" i="29" a="1"/>
  <c r="F181" i="29"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I9" i="27" a="1"/>
  <c r="AI9" i="27" s="1"/>
  <c r="AM9" i="27" a="1"/>
  <c r="AM9" i="27" s="1"/>
  <c r="AQ9" i="27" a="1"/>
  <c r="AQ9" i="27" s="1"/>
  <c r="AU9" i="27" a="1"/>
  <c r="AU9" i="27" s="1"/>
  <c r="AY9" i="27" a="1"/>
  <c r="AY9" i="27" s="1"/>
  <c r="BC9" i="27" a="1"/>
  <c r="BC9" i="27" s="1"/>
  <c r="BG9" i="27" a="1"/>
  <c r="BG9" i="27" s="1"/>
  <c r="BK9" i="27" a="1"/>
  <c r="BK9" i="27" s="1"/>
  <c r="BO9" i="27" a="1"/>
  <c r="BO9" i="27" s="1"/>
  <c r="BS9" i="27" a="1"/>
  <c r="BS9" i="27" s="1"/>
  <c r="BW9" i="27" a="1"/>
  <c r="BW9" i="27" s="1"/>
  <c r="CA9" i="27" a="1"/>
  <c r="CA9" i="27" s="1"/>
  <c r="CE9" i="27" a="1"/>
  <c r="CE9" i="27" s="1"/>
  <c r="CI9" i="27" a="1"/>
  <c r="CI9" i="27" s="1"/>
  <c r="CM9" i="27" a="1"/>
  <c r="CM9" i="27" s="1"/>
  <c r="CQ9" i="27" a="1"/>
  <c r="CQ9" i="27" s="1"/>
  <c r="CU9" i="27" a="1"/>
  <c r="CU9" i="27" s="1"/>
  <c r="CY9" i="27" a="1"/>
  <c r="CY9" i="27" s="1"/>
  <c r="DC9" i="27" a="1"/>
  <c r="DC9" i="27" s="1"/>
  <c r="DG9" i="27" a="1"/>
  <c r="DG9" i="27" s="1"/>
  <c r="DK9" i="27" a="1"/>
  <c r="DK9" i="27" s="1"/>
  <c r="DO9" i="27" a="1"/>
  <c r="DO9" i="27" s="1"/>
  <c r="DS9" i="27" a="1"/>
  <c r="DS9" i="27" s="1"/>
  <c r="DW9" i="27" a="1"/>
  <c r="DW9" i="27" s="1"/>
  <c r="EA9" i="27" a="1"/>
  <c r="EA9" i="27" s="1"/>
  <c r="EE9" i="27" a="1"/>
  <c r="EE9" i="27" s="1"/>
  <c r="EI9" i="27" a="1"/>
  <c r="EI9" i="27" s="1"/>
  <c r="EM9" i="27" a="1"/>
  <c r="EM9" i="27" s="1"/>
  <c r="EQ9" i="27" a="1"/>
  <c r="EQ9" i="27" s="1"/>
  <c r="EU9" i="27" a="1"/>
  <c r="EU9" i="27" s="1"/>
  <c r="EY9" i="27" a="1"/>
  <c r="EY9" i="27" s="1"/>
  <c r="FC9" i="27" a="1"/>
  <c r="FC9" i="27" s="1"/>
  <c r="FG9" i="27" a="1"/>
  <c r="FG9" i="27" s="1"/>
  <c r="FK9" i="27" a="1"/>
  <c r="FK9" i="27" s="1"/>
  <c r="FO9" i="27" a="1"/>
  <c r="FO9" i="27" s="1"/>
  <c r="FS9" i="27" a="1"/>
  <c r="FS9" i="27" s="1"/>
  <c r="FW9" i="27" a="1"/>
  <c r="FW9" i="27" s="1"/>
  <c r="AM25" i="27"/>
  <c r="AY25" i="27"/>
  <c r="BK25" i="27"/>
  <c r="BW25" i="27"/>
  <c r="CI25" i="27"/>
  <c r="CU25" i="27"/>
  <c r="DG25" i="27"/>
  <c r="DS25" i="27"/>
  <c r="EE25" i="27"/>
  <c r="EQ25" i="27"/>
  <c r="FC25" i="27"/>
  <c r="FO25" i="27"/>
  <c r="AB49" i="27"/>
  <c r="AB54" i="27"/>
  <c r="AB68" i="27"/>
  <c r="AB72" i="27"/>
  <c r="AB168" i="27"/>
  <c r="AB173" i="27"/>
  <c r="AB178" i="27"/>
  <c r="AB186" i="27"/>
  <c r="AB240" i="27"/>
  <c r="AB236" i="27"/>
  <c r="AB222" i="27"/>
  <c r="AB217" i="27"/>
  <c r="AB235" i="27"/>
  <c r="AB230" i="27"/>
  <c r="AB216" i="27"/>
  <c r="AB242" i="27"/>
  <c r="AB234" i="27"/>
  <c r="AB229" i="27"/>
  <c r="AB224" i="27"/>
  <c r="AB241" i="27"/>
  <c r="AB228" i="27"/>
  <c r="AB223" i="27"/>
  <c r="AB218" i="27"/>
  <c r="F37" i="29" a="1"/>
  <c r="F37" i="29" s="1"/>
  <c r="AB279" i="29" a="1"/>
  <c r="AB279" i="29" s="1"/>
  <c r="D280" i="29" a="1"/>
  <c r="D280" i="29" s="1"/>
  <c r="D281" i="29" s="1" a="1"/>
  <c r="D281" i="29" s="1"/>
  <c r="F325" i="29" a="1"/>
  <c r="F325" i="29" s="1"/>
  <c r="AB50" i="27"/>
  <c r="AB55" i="27"/>
  <c r="AB60" i="27"/>
  <c r="AB160" i="27"/>
  <c r="AB174" i="27"/>
  <c r="F116" i="28" a="1"/>
  <c r="F116" i="28" s="1"/>
  <c r="F117" i="28" s="1" a="1"/>
  <c r="F117" i="28" s="1"/>
  <c r="F118" i="28" s="1" a="1"/>
  <c r="F118" i="28" s="1"/>
  <c r="F119" i="28" s="1" a="1"/>
  <c r="F119" i="28" s="1"/>
  <c r="AI9" i="28"/>
  <c r="AB135" i="30" a="1"/>
  <c r="AB135" i="30" s="1"/>
  <c r="D136" i="30" a="1"/>
  <c r="D136" i="30" s="1"/>
  <c r="D137" i="30" s="1" a="1"/>
  <c r="D137" i="30" s="1"/>
  <c r="AJ9" i="28"/>
  <c r="BD2" i="29"/>
  <c r="BD9" i="29" a="1"/>
  <c r="BD9" i="29" s="1"/>
  <c r="BH2" i="29"/>
  <c r="BH9" i="29" a="1"/>
  <c r="BH9" i="29" s="1"/>
  <c r="BL2" i="29"/>
  <c r="BL9" i="29" a="1"/>
  <c r="BL9" i="29" s="1"/>
  <c r="AB423" i="29" a="1"/>
  <c r="AB423" i="29" s="1"/>
  <c r="D424" i="29" a="1"/>
  <c r="D424" i="29" s="1"/>
  <c r="D425" i="29" s="1" a="1"/>
  <c r="D425" i="29" s="1"/>
  <c r="F37" i="30" a="1"/>
  <c r="F37" i="30" s="1"/>
  <c r="AK9" i="28"/>
  <c r="AE9" i="28"/>
  <c r="F201" i="28" a="1"/>
  <c r="F201" i="28" s="1"/>
  <c r="F202" i="28" s="1" a="1"/>
  <c r="F202" i="28" s="1"/>
  <c r="F203" i="28" s="1" a="1"/>
  <c r="F203" i="28" s="1"/>
  <c r="F204" i="28" s="1" a="1"/>
  <c r="F204" i="28" s="1"/>
  <c r="AE9" i="29" a="1"/>
  <c r="AE9" i="29" s="1"/>
  <c r="AE8" i="29"/>
  <c r="AI9" i="29" a="1"/>
  <c r="AI9" i="29" s="1"/>
  <c r="AI8" i="29"/>
  <c r="AL9" i="29" a="1"/>
  <c r="AL9" i="29" s="1"/>
  <c r="AL8" i="29"/>
  <c r="AL2" i="29"/>
  <c r="AT9" i="29" a="1"/>
  <c r="AT9" i="29" s="1"/>
  <c r="AT8" i="29"/>
  <c r="AT2" i="29"/>
  <c r="AW9" i="29" a="1"/>
  <c r="AW9" i="29" s="1"/>
  <c r="AW8" i="29"/>
  <c r="AW2" i="29"/>
  <c r="BA9" i="29" a="1"/>
  <c r="BA9" i="29" s="1"/>
  <c r="BA8" i="29"/>
  <c r="BA2" i="29"/>
  <c r="AP8" i="29"/>
  <c r="F469" i="29" a="1"/>
  <c r="F469" i="29" s="1"/>
  <c r="AB567" i="29" a="1"/>
  <c r="AB567" i="29" s="1"/>
  <c r="D568" i="29" a="1"/>
  <c r="D568" i="29" s="1"/>
  <c r="D569" i="29" s="1" a="1"/>
  <c r="D569" i="29" s="1"/>
  <c r="AH9" i="28"/>
  <c r="AH10" i="28" a="1"/>
  <c r="AH10" i="28" s="1"/>
  <c r="AP2" i="29"/>
  <c r="BD319" i="29"/>
  <c r="AH343" i="28"/>
  <c r="AJ2" i="29"/>
  <c r="AH183" i="29"/>
  <c r="AH254" i="29"/>
  <c r="AH31" i="30"/>
  <c r="AH507" i="29"/>
  <c r="AH9" i="30" a="1"/>
  <c r="AH9" i="30" s="1"/>
  <c r="AH8" i="30"/>
  <c r="AK9" i="30" a="1"/>
  <c r="AK9" i="30" s="1"/>
  <c r="AK8" i="30"/>
  <c r="AK2" i="30"/>
  <c r="AO9" i="30" a="1"/>
  <c r="AO9" i="30" s="1"/>
  <c r="AO8" i="30"/>
  <c r="AO2" i="30"/>
  <c r="AS9" i="30" a="1"/>
  <c r="AS9" i="30" s="1"/>
  <c r="AS8" i="30"/>
  <c r="AS2" i="30"/>
  <c r="AK9" i="29" a="1"/>
  <c r="AK9" i="29" s="1"/>
  <c r="AK8" i="29"/>
  <c r="AO9" i="29" a="1"/>
  <c r="AO9" i="29" s="1"/>
  <c r="AO8" i="29"/>
  <c r="AS9" i="29" a="1"/>
  <c r="AS9" i="29" s="1"/>
  <c r="AS8" i="29"/>
  <c r="AV2" i="29"/>
  <c r="AV8" i="29"/>
  <c r="AZ2" i="29"/>
  <c r="AZ8" i="29"/>
  <c r="BG9" i="29" a="1"/>
  <c r="BG9" i="29" s="1"/>
  <c r="BG2" i="29"/>
  <c r="BK9" i="29" a="1"/>
  <c r="BK9" i="29" s="1"/>
  <c r="BK2" i="29"/>
  <c r="AH31" i="29"/>
  <c r="AH219" i="29"/>
  <c r="AT9" i="30" a="1"/>
  <c r="AT9" i="30" s="1"/>
  <c r="AT2" i="30"/>
  <c r="AT8" i="30"/>
  <c r="AX9" i="30" a="1"/>
  <c r="AX9" i="30" s="1"/>
  <c r="AX2" i="30"/>
  <c r="AX8" i="30"/>
  <c r="BB9" i="30" a="1"/>
  <c r="BB9" i="30" s="1"/>
  <c r="BB2" i="30"/>
  <c r="BB8" i="30"/>
  <c r="BE9" i="30" a="1"/>
  <c r="BE9" i="30" s="1"/>
  <c r="BE2" i="30"/>
  <c r="BI9" i="30" a="1"/>
  <c r="BI9" i="30" s="1"/>
  <c r="BI2" i="30"/>
  <c r="AJ8" i="29"/>
  <c r="F325" i="30" a="1"/>
  <c r="F325" i="30" s="1"/>
  <c r="AG8" i="29"/>
  <c r="F181" i="30" a="1"/>
  <c r="F181" i="30" s="1"/>
  <c r="AJ2" i="30"/>
  <c r="AJ9" i="30" a="1"/>
  <c r="AJ9" i="30" s="1"/>
  <c r="AM9" i="30" a="1"/>
  <c r="AM9" i="30" s="1"/>
  <c r="AM8" i="30"/>
  <c r="AQ9" i="30" a="1"/>
  <c r="AQ9" i="30" s="1"/>
  <c r="AQ8" i="30"/>
  <c r="AV2" i="30"/>
  <c r="AV9" i="30" a="1"/>
  <c r="AV9" i="30" s="1"/>
  <c r="AZ2" i="30"/>
  <c r="AZ9" i="30" a="1"/>
  <c r="AZ9" i="30" s="1"/>
  <c r="BD2" i="30"/>
  <c r="BD9" i="30" a="1"/>
  <c r="BD9" i="30" s="1"/>
  <c r="AV8" i="30"/>
  <c r="D280" i="30" a="1"/>
  <c r="D280" i="30" s="1"/>
  <c r="D281" i="30" s="1" a="1"/>
  <c r="D281" i="30" s="1"/>
  <c r="AB279" i="30" a="1"/>
  <c r="AB279" i="30" s="1"/>
  <c r="D424" i="30" a="1"/>
  <c r="D424" i="30" s="1"/>
  <c r="D425" i="30" s="1" a="1"/>
  <c r="D425" i="30" s="1"/>
  <c r="AB423" i="30" a="1"/>
  <c r="AB423" i="30" s="1"/>
  <c r="AF174" i="30"/>
  <c r="AH175" i="30"/>
  <c r="AH198" i="30"/>
  <c r="AE8" i="30"/>
  <c r="AI8" i="30"/>
  <c r="AU8" i="30"/>
  <c r="AY8" i="30"/>
  <c r="BC8" i="30"/>
  <c r="AG318" i="30"/>
  <c r="AH319" i="30"/>
  <c r="F469" i="30" a="1"/>
  <c r="F469" i="30" s="1"/>
  <c r="AG303" i="30"/>
  <c r="AH300" i="30"/>
  <c r="AH342" i="30"/>
  <c r="D568" i="30" a="1"/>
  <c r="D568" i="30" s="1"/>
  <c r="D569" i="30" s="1" a="1"/>
  <c r="D569" i="30" s="1"/>
  <c r="AB567" i="30" a="1"/>
  <c r="AB567" i="30" s="1"/>
  <c r="AG8" i="30"/>
  <c r="AW8" i="30"/>
  <c r="BA8" i="30"/>
  <c r="AB79" i="31"/>
  <c r="AO79" i="31" a="1"/>
  <c r="AO79" i="31" s="1"/>
  <c r="B79" i="31"/>
  <c r="F84" i="31" a="1"/>
  <c r="F84" i="31" s="1"/>
  <c r="AF84" i="31" s="1"/>
  <c r="AO90" i="31" a="1"/>
  <c r="AO90" i="31" s="1"/>
  <c r="B90" i="31"/>
  <c r="AB90" i="31"/>
  <c r="F136" i="31" a="1"/>
  <c r="F136" i="31" s="1"/>
  <c r="AF135" i="31"/>
  <c r="AB138" i="31"/>
  <c r="B138" i="31"/>
  <c r="AO138" i="31" a="1"/>
  <c r="AO138" i="31" s="1"/>
  <c r="F77" i="33" a="1"/>
  <c r="F77" i="33" s="1"/>
  <c r="T76" i="33"/>
  <c r="AB47" i="31"/>
  <c r="AO47" i="31" a="1"/>
  <c r="AO47" i="31" s="1"/>
  <c r="B47" i="31"/>
  <c r="AH467" i="30"/>
  <c r="AH507" i="30"/>
  <c r="AB71" i="31"/>
  <c r="AO71" i="31" a="1"/>
  <c r="AO71" i="31" s="1"/>
  <c r="B71" i="31"/>
  <c r="BF575" i="30"/>
  <c r="BE575" i="30"/>
  <c r="AB63" i="31"/>
  <c r="AO63" i="31" a="1"/>
  <c r="AO63" i="31" s="1"/>
  <c r="B63" i="31"/>
  <c r="AB75" i="32"/>
  <c r="B75" i="32"/>
  <c r="AN75" i="32" a="1"/>
  <c r="AN75" i="32" s="1"/>
  <c r="AG462" i="30"/>
  <c r="F32" i="31" a="1"/>
  <c r="F32" i="31" s="1"/>
  <c r="AB55" i="31"/>
  <c r="AO55" i="31" a="1"/>
  <c r="AO55" i="31" s="1"/>
  <c r="B55" i="31"/>
  <c r="AF31" i="31"/>
  <c r="AO31" i="31" a="1"/>
  <c r="AO31" i="31" s="1"/>
  <c r="AO48" i="31" a="1"/>
  <c r="AO48" i="31" s="1"/>
  <c r="B48" i="31"/>
  <c r="AO56" i="31" a="1"/>
  <c r="AO56" i="31" s="1"/>
  <c r="B56" i="31"/>
  <c r="AO64" i="31" a="1"/>
  <c r="AO64" i="31" s="1"/>
  <c r="B64" i="31"/>
  <c r="AO72" i="31" a="1"/>
  <c r="AO72" i="31" s="1"/>
  <c r="B72" i="31"/>
  <c r="AO80" i="31" a="1"/>
  <c r="AO80" i="31" s="1"/>
  <c r="B80" i="31"/>
  <c r="AO82" i="31" a="1"/>
  <c r="AO82" i="31" s="1"/>
  <c r="AF82" i="31"/>
  <c r="B82" i="31"/>
  <c r="AO88" i="31" a="1"/>
  <c r="AO88" i="31" s="1"/>
  <c r="B88" i="31"/>
  <c r="AO95" i="31" a="1"/>
  <c r="AO95" i="31" s="1"/>
  <c r="B95" i="31"/>
  <c r="AB95" i="31"/>
  <c r="F186" i="31" a="1"/>
  <c r="F186" i="31" s="1"/>
  <c r="AF186" i="31" s="1"/>
  <c r="AB214" i="31"/>
  <c r="AO214" i="31" a="1"/>
  <c r="AO214" i="31" s="1"/>
  <c r="B214" i="31"/>
  <c r="AB225" i="32"/>
  <c r="B225" i="32"/>
  <c r="AN225" i="32" a="1"/>
  <c r="AN225" i="32" s="1"/>
  <c r="AB48" i="31"/>
  <c r="AB56" i="31"/>
  <c r="AB64" i="31"/>
  <c r="AB72" i="31"/>
  <c r="AB80" i="31"/>
  <c r="AB88" i="31"/>
  <c r="AO91" i="31" a="1"/>
  <c r="AO91" i="31" s="1"/>
  <c r="AB91" i="31"/>
  <c r="B91" i="31"/>
  <c r="AO99" i="31" a="1"/>
  <c r="AO99" i="31" s="1"/>
  <c r="B99" i="31"/>
  <c r="AB99" i="31"/>
  <c r="AB134" i="31"/>
  <c r="AF134" i="31"/>
  <c r="AO134" i="31" a="1"/>
  <c r="AO134" i="31" s="1"/>
  <c r="B134" i="31"/>
  <c r="AB230" i="31"/>
  <c r="AO230" i="31" a="1"/>
  <c r="AO230" i="31" s="1"/>
  <c r="B230" i="31"/>
  <c r="AB43" i="32"/>
  <c r="B43" i="32"/>
  <c r="AN43" i="32" a="1"/>
  <c r="AN43"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B87" i="32"/>
  <c r="B87" i="32"/>
  <c r="AN87" i="32" a="1"/>
  <c r="AN87" i="32" s="1"/>
  <c r="AO44" i="31" a="1"/>
  <c r="AO44" i="31" s="1"/>
  <c r="B44" i="31"/>
  <c r="AO52" i="31" a="1"/>
  <c r="AO52" i="31" s="1"/>
  <c r="B52" i="31"/>
  <c r="AO60" i="31" a="1"/>
  <c r="AO60" i="31" s="1"/>
  <c r="B60" i="31"/>
  <c r="AO68" i="31" a="1"/>
  <c r="AO68" i="31" s="1"/>
  <c r="B68" i="31"/>
  <c r="AO76" i="31" a="1"/>
  <c r="AO76" i="31" s="1"/>
  <c r="B76" i="31"/>
  <c r="B141" i="31"/>
  <c r="AO141" i="31" a="1"/>
  <c r="AO141" i="31" s="1"/>
  <c r="AB141" i="31"/>
  <c r="AB59" i="32"/>
  <c r="B59" i="32"/>
  <c r="AN59" i="32" a="1"/>
  <c r="AN59" i="32" s="1"/>
  <c r="AB103" i="32"/>
  <c r="B103" i="32"/>
  <c r="AN103" i="32" a="1"/>
  <c r="AN103" i="32" s="1"/>
  <c r="AB152" i="32"/>
  <c r="B152" i="32"/>
  <c r="AN152" i="32" a="1"/>
  <c r="AN152" i="32" s="1"/>
  <c r="AB208" i="32"/>
  <c r="B208" i="32"/>
  <c r="AN208" i="32" a="1"/>
  <c r="AN208" i="32" s="1"/>
  <c r="AO103" i="31" a="1"/>
  <c r="AO103" i="31" s="1"/>
  <c r="B103" i="31"/>
  <c r="AO107" i="31" a="1"/>
  <c r="AO107" i="31" s="1"/>
  <c r="B107" i="31"/>
  <c r="AO111" i="31" a="1"/>
  <c r="AO111" i="31" s="1"/>
  <c r="B111" i="31"/>
  <c r="AO115" i="31" a="1"/>
  <c r="AO115" i="31" s="1"/>
  <c r="B115" i="31"/>
  <c r="AO119" i="31" a="1"/>
  <c r="AO119" i="31" s="1"/>
  <c r="B119" i="31"/>
  <c r="AO123" i="31" a="1"/>
  <c r="AO123" i="31" s="1"/>
  <c r="B123" i="31"/>
  <c r="AO127" i="31" a="1"/>
  <c r="AO127" i="31" s="1"/>
  <c r="B127" i="31"/>
  <c r="AO131" i="31" a="1"/>
  <c r="AO131" i="31" s="1"/>
  <c r="B131" i="31"/>
  <c r="B133" i="31"/>
  <c r="AB133" i="31"/>
  <c r="AO133" i="31" a="1"/>
  <c r="AO133" i="31" s="1"/>
  <c r="AB140" i="31"/>
  <c r="AO140" i="31" a="1"/>
  <c r="AO140" i="31" s="1"/>
  <c r="AO143" i="31" a="1"/>
  <c r="AO143" i="31" s="1"/>
  <c r="B143" i="31"/>
  <c r="AO147" i="31" a="1"/>
  <c r="AO147" i="31" s="1"/>
  <c r="B147" i="31"/>
  <c r="AO151" i="31" a="1"/>
  <c r="AO151" i="31" s="1"/>
  <c r="B151" i="31"/>
  <c r="AO155" i="31" a="1"/>
  <c r="AO155" i="31" s="1"/>
  <c r="B155" i="31"/>
  <c r="AO159" i="31" a="1"/>
  <c r="AO159" i="31" s="1"/>
  <c r="B159" i="31"/>
  <c r="AO163" i="31" a="1"/>
  <c r="AO163" i="31" s="1"/>
  <c r="B163" i="31"/>
  <c r="AO167" i="31" a="1"/>
  <c r="AO167" i="31" s="1"/>
  <c r="B167" i="31"/>
  <c r="AO171" i="31" a="1"/>
  <c r="AO171" i="31" s="1"/>
  <c r="B171" i="31"/>
  <c r="AO175" i="31" a="1"/>
  <c r="AO175" i="31" s="1"/>
  <c r="B175" i="31"/>
  <c r="AO179" i="31" a="1"/>
  <c r="AO179" i="31" s="1"/>
  <c r="B179" i="31"/>
  <c r="AO190" i="31" a="1"/>
  <c r="AO190" i="31" s="1"/>
  <c r="B190" i="31"/>
  <c r="AO192" i="31" a="1"/>
  <c r="AO192" i="31" s="1"/>
  <c r="B192" i="31"/>
  <c r="AO194" i="31" a="1"/>
  <c r="AO194" i="31" s="1"/>
  <c r="B194" i="31"/>
  <c r="AB210" i="31"/>
  <c r="AO210" i="31" a="1"/>
  <c r="AO210" i="31" s="1"/>
  <c r="B210" i="31"/>
  <c r="AB226" i="31"/>
  <c r="AO226" i="31" a="1"/>
  <c r="AO226" i="31" s="1"/>
  <c r="B226" i="31"/>
  <c r="AB39" i="32"/>
  <c r="B39" i="32"/>
  <c r="AN39" i="32" a="1"/>
  <c r="AN39" i="32" s="1"/>
  <c r="AB55" i="32"/>
  <c r="B55" i="32"/>
  <c r="AN55" i="32" a="1"/>
  <c r="AN55" i="32" s="1"/>
  <c r="AB71" i="32"/>
  <c r="B71" i="32"/>
  <c r="AN71" i="32" a="1"/>
  <c r="AN71" i="32" s="1"/>
  <c r="AB83" i="32"/>
  <c r="B83" i="32"/>
  <c r="AN83" i="32" a="1"/>
  <c r="AN83" i="32" s="1"/>
  <c r="AB99" i="32"/>
  <c r="B99" i="32"/>
  <c r="AN99" i="32" a="1"/>
  <c r="AN99" i="32" s="1"/>
  <c r="AN124" i="32" a="1"/>
  <c r="AN124" i="32" s="1"/>
  <c r="AB124" i="32"/>
  <c r="B124" i="32"/>
  <c r="AB184" i="32"/>
  <c r="B184" i="32"/>
  <c r="AN184" i="32" a="1"/>
  <c r="AN184" i="32" s="1"/>
  <c r="F189" i="32" a="1"/>
  <c r="F189" i="32" s="1"/>
  <c r="F190" i="32" s="1" a="1"/>
  <c r="F190" i="32" s="1"/>
  <c r="F191" i="32" s="1" a="1"/>
  <c r="F191" i="32" s="1"/>
  <c r="F192" i="32" s="1" a="1"/>
  <c r="F192" i="32" s="1"/>
  <c r="F193" i="32" s="1" a="1"/>
  <c r="F193" i="32" s="1"/>
  <c r="F194" i="32" s="1" a="1"/>
  <c r="F194" i="32" s="1"/>
  <c r="F195" i="32" s="1" a="1"/>
  <c r="F195" i="32" s="1"/>
  <c r="F196" i="32" s="1" a="1"/>
  <c r="F196" i="32" s="1"/>
  <c r="F197" i="32" s="1" a="1"/>
  <c r="F197" i="32" s="1"/>
  <c r="F198" i="32" s="1" a="1"/>
  <c r="F198" i="32" s="1"/>
  <c r="F199" i="32" s="1" a="1"/>
  <c r="F199" i="32" s="1"/>
  <c r="F200" i="32" s="1" a="1"/>
  <c r="F200" i="32" s="1"/>
  <c r="F201" i="32" s="1" a="1"/>
  <c r="F201" i="32" s="1"/>
  <c r="F202" i="32" s="1" a="1"/>
  <c r="F202" i="32" s="1"/>
  <c r="F203" i="32" s="1" a="1"/>
  <c r="F203" i="32" s="1"/>
  <c r="F204" i="32" s="1" a="1"/>
  <c r="F204" i="32" s="1"/>
  <c r="F205" i="32" s="1" a="1"/>
  <c r="F205" i="32" s="1"/>
  <c r="F206" i="32" s="1" a="1"/>
  <c r="F206" i="32" s="1"/>
  <c r="F207" i="32" s="1" a="1"/>
  <c r="F207" i="32" s="1"/>
  <c r="F208" i="32" s="1" a="1"/>
  <c r="F208" i="32" s="1"/>
  <c r="F209" i="32" s="1" a="1"/>
  <c r="F209" i="32" s="1"/>
  <c r="F210" i="32" s="1" a="1"/>
  <c r="F210" i="32" s="1"/>
  <c r="F211" i="32" s="1" a="1"/>
  <c r="F211" i="32" s="1"/>
  <c r="F212" i="32" s="1" a="1"/>
  <c r="F212" i="32" s="1"/>
  <c r="F213" i="32" s="1" a="1"/>
  <c r="F213" i="32" s="1"/>
  <c r="F214" i="32" s="1" a="1"/>
  <c r="F214" i="32" s="1"/>
  <c r="F215" i="32" s="1" a="1"/>
  <c r="F215" i="32" s="1"/>
  <c r="F216" i="32" s="1" a="1"/>
  <c r="F216" i="32" s="1"/>
  <c r="F217" i="32" s="1" a="1"/>
  <c r="F217" i="32" s="1"/>
  <c r="F218" i="32" s="1" a="1"/>
  <c r="F218" i="32" s="1"/>
  <c r="F219" i="32" s="1" a="1"/>
  <c r="F219" i="32" s="1"/>
  <c r="F220" i="32" s="1" a="1"/>
  <c r="F220" i="32" s="1"/>
  <c r="F221" i="32" s="1" a="1"/>
  <c r="F221" i="32" s="1"/>
  <c r="F222" i="32" s="1" a="1"/>
  <c r="F222" i="32" s="1"/>
  <c r="F223" i="32" s="1" a="1"/>
  <c r="F223" i="32" s="1"/>
  <c r="F224" i="32" s="1" a="1"/>
  <c r="F224" i="32" s="1"/>
  <c r="F225" i="32" s="1" a="1"/>
  <c r="F225" i="32" s="1"/>
  <c r="F226" i="32" s="1" a="1"/>
  <c r="F226" i="32" s="1"/>
  <c r="F227" i="32" s="1" a="1"/>
  <c r="F227" i="32" s="1"/>
  <c r="F228" i="32" s="1" a="1"/>
  <c r="F228" i="32" s="1"/>
  <c r="F229" i="32" s="1" a="1"/>
  <c r="F229" i="32" s="1"/>
  <c r="F230" i="32" s="1" a="1"/>
  <c r="F230" i="32" s="1"/>
  <c r="F231" i="32" s="1" a="1"/>
  <c r="F231" i="32" s="1"/>
  <c r="F232" i="32" s="1" a="1"/>
  <c r="F232" i="32" s="1"/>
  <c r="F233" i="32" s="1" a="1"/>
  <c r="F233" i="32" s="1"/>
  <c r="F234" i="32" s="1" a="1"/>
  <c r="F234" i="32" s="1"/>
  <c r="F235" i="32" s="1" a="1"/>
  <c r="F235" i="32" s="1"/>
  <c r="F236" i="32" s="1" a="1"/>
  <c r="F236" i="32" s="1"/>
  <c r="F237" i="32" s="1" a="1"/>
  <c r="F237" i="32" s="1"/>
  <c r="F238" i="32" s="1" a="1"/>
  <c r="F238" i="32" s="1"/>
  <c r="F239" i="32" s="1" a="1"/>
  <c r="F239" i="32" s="1"/>
  <c r="T239" i="32" s="1"/>
  <c r="T188" i="32"/>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T220" i="32" s="1" a="1"/>
  <c r="T220" i="32" s="1"/>
  <c r="T221" i="32" s="1" a="1"/>
  <c r="T221" i="32" s="1"/>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T235" i="32" s="1" a="1"/>
  <c r="T235" i="32" s="1"/>
  <c r="T236" i="32" s="1" a="1"/>
  <c r="T236" i="32" s="1"/>
  <c r="T237" i="32" s="1" a="1"/>
  <c r="T237" i="32" s="1"/>
  <c r="T238" i="32" s="1" a="1"/>
  <c r="T238" i="32" s="1"/>
  <c r="AB83" i="31"/>
  <c r="AB84" i="31"/>
  <c r="AB85" i="31"/>
  <c r="AB86" i="31"/>
  <c r="AB87" i="31"/>
  <c r="AB89" i="31"/>
  <c r="AF133" i="31"/>
  <c r="AB142" i="31"/>
  <c r="AO142" i="31" a="1"/>
  <c r="AO142" i="31" s="1"/>
  <c r="AO184" i="31" a="1"/>
  <c r="AO184" i="31" s="1"/>
  <c r="AF184" i="31"/>
  <c r="AB190" i="31"/>
  <c r="AB192" i="31"/>
  <c r="AB194" i="31"/>
  <c r="AO198" i="31" a="1"/>
  <c r="AO198" i="31" s="1"/>
  <c r="B198" i="31"/>
  <c r="AB206" i="31"/>
  <c r="AO206" i="31" a="1"/>
  <c r="AO206" i="31" s="1"/>
  <c r="B206" i="31"/>
  <c r="AB222" i="31"/>
  <c r="AO222" i="31" a="1"/>
  <c r="AO222" i="31" s="1"/>
  <c r="B222"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35" i="32"/>
  <c r="B35" i="32"/>
  <c r="AN35" i="32" a="1"/>
  <c r="AN35" i="32" s="1"/>
  <c r="AB51" i="32"/>
  <c r="B51" i="32"/>
  <c r="AN51" i="32" a="1"/>
  <c r="AN51" i="32" s="1"/>
  <c r="AB67" i="32"/>
  <c r="B67" i="32"/>
  <c r="AN67" i="32" a="1"/>
  <c r="AN67" i="32" s="1"/>
  <c r="AB95" i="32"/>
  <c r="B95" i="32"/>
  <c r="AN95" i="32" a="1"/>
  <c r="AN95" i="32" s="1"/>
  <c r="AB111" i="32"/>
  <c r="B111" i="32"/>
  <c r="AN111" i="32" a="1"/>
  <c r="AN111" i="32" s="1"/>
  <c r="AF83" i="31"/>
  <c r="AO93" i="31" a="1"/>
  <c r="AO93" i="31" s="1"/>
  <c r="AO97" i="31" a="1"/>
  <c r="AO97" i="31" s="1"/>
  <c r="AO101" i="31" a="1"/>
  <c r="AO101" i="31" s="1"/>
  <c r="AB103" i="31"/>
  <c r="AO105" i="31" a="1"/>
  <c r="AO105" i="31" s="1"/>
  <c r="AB107" i="31"/>
  <c r="AO109" i="31" a="1"/>
  <c r="AO109" i="31" s="1"/>
  <c r="AB111" i="31"/>
  <c r="AO113" i="31" a="1"/>
  <c r="AO113" i="31" s="1"/>
  <c r="AB115" i="31"/>
  <c r="AO117" i="31" a="1"/>
  <c r="AO117" i="31" s="1"/>
  <c r="AB119" i="31"/>
  <c r="AO121" i="31" a="1"/>
  <c r="AO121" i="31" s="1"/>
  <c r="AB123" i="31"/>
  <c r="AO125" i="31" a="1"/>
  <c r="AO125" i="31" s="1"/>
  <c r="AB127" i="31"/>
  <c r="AO129" i="31" a="1"/>
  <c r="AO129" i="31" s="1"/>
  <c r="AB131" i="31"/>
  <c r="B135" i="31"/>
  <c r="AO135" i="31" a="1"/>
  <c r="AO135" i="31" s="1"/>
  <c r="B139" i="31"/>
  <c r="B140" i="31"/>
  <c r="AB143" i="31"/>
  <c r="AO145" i="31" a="1"/>
  <c r="AO145" i="31" s="1"/>
  <c r="AB147" i="31"/>
  <c r="AO149" i="31" a="1"/>
  <c r="AO149" i="31" s="1"/>
  <c r="AB151" i="31"/>
  <c r="AO153" i="31" a="1"/>
  <c r="AO153" i="31" s="1"/>
  <c r="AB155" i="31"/>
  <c r="AO157" i="31" a="1"/>
  <c r="AO157" i="31" s="1"/>
  <c r="AB159" i="31"/>
  <c r="AO161" i="31" a="1"/>
  <c r="AO161" i="31" s="1"/>
  <c r="AB163" i="31"/>
  <c r="AO165" i="31" a="1"/>
  <c r="AO165" i="31" s="1"/>
  <c r="AB167" i="31"/>
  <c r="AO169" i="31" a="1"/>
  <c r="AO169" i="31" s="1"/>
  <c r="AB171" i="31"/>
  <c r="AO173" i="31" a="1"/>
  <c r="AO173" i="31" s="1"/>
  <c r="AB175" i="31"/>
  <c r="AO177" i="31" a="1"/>
  <c r="AO177" i="31" s="1"/>
  <c r="AB179" i="31"/>
  <c r="AO181" i="31" a="1"/>
  <c r="AO181" i="31" s="1"/>
  <c r="AB198" i="31"/>
  <c r="AO202" i="31" a="1"/>
  <c r="AO202" i="31" s="1"/>
  <c r="B202" i="31"/>
  <c r="AB218" i="31"/>
  <c r="AO218" i="31" a="1"/>
  <c r="AO218" i="31" s="1"/>
  <c r="B218" i="31"/>
  <c r="AB30" i="32"/>
  <c r="B30" i="32"/>
  <c r="AB31" i="32"/>
  <c r="B31" i="32"/>
  <c r="AN31" i="32" a="1"/>
  <c r="AN31" i="32" s="1"/>
  <c r="AB47" i="32"/>
  <c r="B47" i="32"/>
  <c r="AN47" i="32" a="1"/>
  <c r="AN47" i="32" s="1"/>
  <c r="AB63" i="32"/>
  <c r="B63" i="32"/>
  <c r="AN63" i="32" a="1"/>
  <c r="AN63" i="32" s="1"/>
  <c r="AB79" i="32"/>
  <c r="B79" i="32"/>
  <c r="AN79" i="32" a="1"/>
  <c r="AN79" i="32" s="1"/>
  <c r="AB91" i="32"/>
  <c r="B91" i="32"/>
  <c r="AN91" i="32" a="1"/>
  <c r="AN91" i="32" s="1"/>
  <c r="AB107" i="32"/>
  <c r="B107" i="32"/>
  <c r="AN107" i="32" a="1"/>
  <c r="AN107" i="32" s="1"/>
  <c r="AN120" i="32" a="1"/>
  <c r="AN120" i="32" s="1"/>
  <c r="AB120" i="32"/>
  <c r="B120" i="32"/>
  <c r="AN128" i="32" a="1"/>
  <c r="AN128" i="32" s="1"/>
  <c r="AB128" i="32"/>
  <c r="B128" i="32"/>
  <c r="AN117" i="32" a="1"/>
  <c r="AN117"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AB144" i="32"/>
  <c r="B144" i="32"/>
  <c r="AN144" i="32" a="1"/>
  <c r="AN144" i="32" s="1"/>
  <c r="AB176" i="32"/>
  <c r="B176" i="32"/>
  <c r="AN176" i="32" a="1"/>
  <c r="AN176" i="32" s="1"/>
  <c r="B189" i="32"/>
  <c r="AN189" i="32" a="1"/>
  <c r="AN189" i="32" s="1"/>
  <c r="AB189" i="32"/>
  <c r="AB200" i="32"/>
  <c r="B200" i="32"/>
  <c r="AN200" i="32" a="1"/>
  <c r="AN200" i="32" s="1"/>
  <c r="F255" i="33" a="1"/>
  <c r="F255" i="33" s="1"/>
  <c r="T254" i="33"/>
  <c r="AF185" i="31"/>
  <c r="B195" i="31"/>
  <c r="B199" i="31"/>
  <c r="B203" i="31"/>
  <c r="B207" i="31"/>
  <c r="B211" i="31"/>
  <c r="B215" i="31"/>
  <c r="B219" i="31"/>
  <c r="B223" i="31"/>
  <c r="B227" i="31"/>
  <c r="B231" i="31"/>
  <c r="B34" i="32"/>
  <c r="B38" i="32"/>
  <c r="B42" i="32"/>
  <c r="B46" i="32"/>
  <c r="B50" i="32"/>
  <c r="B54" i="32"/>
  <c r="B58" i="32"/>
  <c r="B62" i="32"/>
  <c r="B66" i="32"/>
  <c r="B70" i="32"/>
  <c r="B74" i="32"/>
  <c r="B78" i="32"/>
  <c r="B86" i="32"/>
  <c r="B90" i="32"/>
  <c r="B94" i="32"/>
  <c r="B98" i="32"/>
  <c r="B102" i="32"/>
  <c r="B106" i="32"/>
  <c r="B110" i="32"/>
  <c r="B114" i="32"/>
  <c r="AB118" i="32"/>
  <c r="AN118" i="32" a="1"/>
  <c r="AN118" i="32" s="1"/>
  <c r="AB122" i="32"/>
  <c r="B122" i="32"/>
  <c r="AN122" i="32" a="1"/>
  <c r="AN122" i="32" s="1"/>
  <c r="AB126" i="32"/>
  <c r="B126" i="32"/>
  <c r="AN126" i="32" a="1"/>
  <c r="AN126" i="32" s="1"/>
  <c r="AB130" i="32"/>
  <c r="B130" i="32"/>
  <c r="AN130" i="32" a="1"/>
  <c r="AN130" i="32" s="1"/>
  <c r="AB136" i="32"/>
  <c r="B136" i="32"/>
  <c r="AN136" i="32" a="1"/>
  <c r="AN136" i="32" s="1"/>
  <c r="AB168" i="32"/>
  <c r="B168" i="32"/>
  <c r="AN168" i="32" a="1"/>
  <c r="AN168" i="32" s="1"/>
  <c r="AB192" i="32"/>
  <c r="B192" i="32"/>
  <c r="AN192" i="32" a="1"/>
  <c r="AN192" i="32" s="1"/>
  <c r="AB116" i="32"/>
  <c r="B116" i="32"/>
  <c r="AN116" i="32" a="1"/>
  <c r="AN116" i="32" s="1"/>
  <c r="AB160" i="32"/>
  <c r="B160" i="32"/>
  <c r="AN160" i="32" a="1"/>
  <c r="AN160" i="32" s="1"/>
  <c r="AB216" i="32"/>
  <c r="B216" i="32"/>
  <c r="AN216" i="32" a="1"/>
  <c r="AN216" i="32" s="1"/>
  <c r="F166" i="33" a="1"/>
  <c r="F166" i="33" s="1"/>
  <c r="T165" i="33"/>
  <c r="AB140" i="32"/>
  <c r="B140" i="32"/>
  <c r="AB148" i="32"/>
  <c r="B148" i="32"/>
  <c r="AB156" i="32"/>
  <c r="B156" i="32"/>
  <c r="AB164" i="32"/>
  <c r="B164" i="32"/>
  <c r="AB172" i="32"/>
  <c r="B172" i="32"/>
  <c r="AB180" i="32"/>
  <c r="B180" i="32"/>
  <c r="AB196" i="32"/>
  <c r="B196" i="32"/>
  <c r="AB204" i="32"/>
  <c r="B204" i="32"/>
  <c r="AB212" i="32"/>
  <c r="B212" i="32"/>
  <c r="AB220" i="32"/>
  <c r="B220" i="32"/>
  <c r="AB132" i="32"/>
  <c r="B132" i="32"/>
  <c r="AN132" i="32" a="1"/>
  <c r="AN132" i="32" s="1"/>
  <c r="AB229" i="32"/>
  <c r="AB233" i="32"/>
  <c r="AB237" i="32"/>
  <c r="AE27" i="33"/>
  <c r="B224" i="32"/>
  <c r="AB231" i="32"/>
  <c r="B231" i="32"/>
  <c r="AN231" i="32" a="1"/>
  <c r="AN231" i="32" s="1"/>
  <c r="AB235" i="32"/>
  <c r="B235" i="32"/>
  <c r="AN235" i="32" a="1"/>
  <c r="AN235" i="32" s="1"/>
  <c r="T343" i="33"/>
  <c r="F344" i="33" a="1"/>
  <c r="F344" i="33" s="1"/>
  <c r="AE144" i="33"/>
  <c r="AE117" i="33" s="1"/>
  <c r="AE116" i="33" s="1"/>
  <c r="AE206" i="33"/>
  <c r="AE205" i="33" s="1"/>
  <c r="AE167" i="33"/>
  <c r="AE295" i="33"/>
  <c r="AE294" i="33" s="1"/>
  <c r="K29" i="34"/>
  <c r="F30" i="34" a="1"/>
  <c r="F30" i="34" s="1"/>
  <c r="F68" i="34" a="1"/>
  <c r="F68" i="34" s="1"/>
  <c r="K67" i="34"/>
  <c r="K48" i="34"/>
  <c r="F49" i="34" a="1"/>
  <c r="F49" i="34" s="1"/>
  <c r="AF38" i="34"/>
  <c r="AF76" i="34"/>
  <c r="M67" i="34" a="1"/>
  <c r="M67" i="34" s="1"/>
  <c r="K86" i="34"/>
  <c r="F87" i="34" a="1"/>
  <c r="F87" i="34" s="1"/>
  <c r="M20" i="42"/>
  <c r="M12" i="42"/>
  <c r="M19" i="42"/>
  <c r="M11" i="42"/>
  <c r="M16" i="42"/>
  <c r="M15" i="42"/>
  <c r="BO36" i="30" l="1"/>
  <c r="AF44" i="17"/>
  <c r="AF42" i="17" s="1"/>
  <c r="AE18" i="34"/>
  <c r="AE37" i="17"/>
  <c r="AE35" i="17" s="1"/>
  <c r="AN200" i="28"/>
  <c r="AN285" i="28"/>
  <c r="AE30" i="17"/>
  <c r="AE28" i="17" s="1"/>
  <c r="AN115" i="28"/>
  <c r="AF51" i="17"/>
  <c r="AF49" i="17" s="1"/>
  <c r="AH318" i="30"/>
  <c r="AH174" i="30"/>
  <c r="AB160" i="26"/>
  <c r="AB163" i="26"/>
  <c r="AB164" i="26"/>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AB77" i="26"/>
  <c r="AB76" i="26"/>
  <c r="AB75" i="26"/>
  <c r="AB72" i="26"/>
  <c r="AB71" i="26"/>
  <c r="F68" i="21" a="1"/>
  <c r="F68" i="21" s="1"/>
  <c r="F69" i="21" s="1" a="1"/>
  <c r="F69" i="21" s="1"/>
  <c r="F70" i="21" s="1" a="1"/>
  <c r="F70" i="21" s="1"/>
  <c r="F71" i="21" s="1" a="1"/>
  <c r="F71" i="21" s="1"/>
  <c r="F72" i="21" s="1" a="1"/>
  <c r="F72" i="21" s="1"/>
  <c r="F73" i="21" s="1" a="1"/>
  <c r="F73" i="21" s="1"/>
  <c r="F44" i="21" a="1"/>
  <c r="F44" i="21" s="1"/>
  <c r="F45" i="21" s="1" a="1"/>
  <c r="F45" i="21" s="1"/>
  <c r="F46" i="21" s="1" a="1"/>
  <c r="F46" i="21" s="1"/>
  <c r="F47" i="21" s="1" a="1"/>
  <c r="F47" i="21" s="1"/>
  <c r="F48" i="21" s="1" a="1"/>
  <c r="F48" i="21" s="1"/>
  <c r="F49" i="21" s="1" a="1"/>
  <c r="F49" i="21" s="1"/>
  <c r="T29" i="19"/>
  <c r="T30" i="19" s="1" a="1"/>
  <c r="T30" i="19" s="1"/>
  <c r="T31" i="19" s="1" a="1"/>
  <c r="T31" i="19" s="1"/>
  <c r="F30" i="19" a="1"/>
  <c r="F30" i="19" s="1"/>
  <c r="F87" i="20" a="1"/>
  <c r="F87" i="20" s="1"/>
  <c r="F124" i="18" a="1"/>
  <c r="F124" i="18" s="1"/>
  <c r="F125" i="18" s="1" a="1"/>
  <c r="F125" i="18" s="1"/>
  <c r="T123" i="18"/>
  <c r="T124" i="18" s="1" a="1"/>
  <c r="T124" i="18" s="1"/>
  <c r="AW110" i="15"/>
  <c r="AW101" i="15"/>
  <c r="F188" i="26" a="1"/>
  <c r="F188" i="26" s="1"/>
  <c r="F189" i="26" s="1" a="1"/>
  <c r="F189" i="26" s="1"/>
  <c r="AB111" i="26"/>
  <c r="AB110" i="26"/>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K84" i="23"/>
  <c r="F85" i="23" a="1"/>
  <c r="F85" i="23" s="1"/>
  <c r="F30" i="20" a="1"/>
  <c r="F30" i="20" s="1"/>
  <c r="AF53" i="17" a="1"/>
  <c r="AF53" i="17" s="1"/>
  <c r="AF54" i="17" s="1"/>
  <c r="F54" i="17" a="1"/>
  <c r="F54" i="17" s="1"/>
  <c r="AE53" i="17" a="1"/>
  <c r="AE53" i="17" s="1"/>
  <c r="AE54" i="17" s="1"/>
  <c r="AR150" i="15"/>
  <c r="F47" i="13" a="1"/>
  <c r="F47" i="13" s="1"/>
  <c r="T46" i="13"/>
  <c r="F36" i="6" a="1"/>
  <c r="F36" i="6" s="1"/>
  <c r="U35" i="6"/>
  <c r="AB39" i="8" a="1"/>
  <c r="AB39" i="8" s="1"/>
  <c r="W39" i="8" a="1"/>
  <c r="W39" i="8" s="1"/>
  <c r="F101" i="14" a="1"/>
  <c r="F101" i="14" s="1"/>
  <c r="F102" i="14" s="1" a="1"/>
  <c r="F102" i="14" s="1"/>
  <c r="F103" i="14" s="1" a="1"/>
  <c r="F103" i="14" s="1"/>
  <c r="T100" i="14"/>
  <c r="T101" i="14" s="1" a="1"/>
  <c r="T101" i="14" s="1"/>
  <c r="T102" i="14" s="1" a="1"/>
  <c r="T102" i="14" s="1"/>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56" i="11" a="1"/>
  <c r="R156" i="11" s="1"/>
  <c r="R172" i="11" a="1"/>
  <c r="R172" i="11" s="1"/>
  <c r="F123" i="9" a="1"/>
  <c r="F123" i="9" s="1"/>
  <c r="F124" i="9" s="1" a="1"/>
  <c r="F124" i="9" s="1"/>
  <c r="U122" i="9"/>
  <c r="U123" i="9" s="1" a="1"/>
  <c r="U123" i="9" s="1"/>
  <c r="F69" i="9" a="1"/>
  <c r="F69" i="9" s="1"/>
  <c r="F70" i="9" s="1" a="1"/>
  <c r="F70" i="9" s="1"/>
  <c r="U68" i="9"/>
  <c r="U69" i="9" s="1" a="1"/>
  <c r="U69" i="9" s="1"/>
  <c r="S141" i="27" a="1"/>
  <c r="S141" i="27" s="1"/>
  <c r="B190" i="27" s="1" a="1"/>
  <c r="B190" i="27" s="1"/>
  <c r="B191" i="27" s="1" a="1"/>
  <c r="B191" i="27" s="1"/>
  <c r="B192" i="27" s="1" a="1"/>
  <c r="B192" i="27" s="1"/>
  <c r="B193" i="27" s="1" a="1"/>
  <c r="B193" i="27" s="1"/>
  <c r="B194" i="27" s="1" a="1"/>
  <c r="B194" i="27" s="1"/>
  <c r="B195" i="27" s="1" a="1"/>
  <c r="B195" i="27" s="1"/>
  <c r="R289" i="11" a="1"/>
  <c r="R289" i="11" s="1"/>
  <c r="R247" i="11" a="1"/>
  <c r="R247" i="11" s="1"/>
  <c r="R263" i="11" a="1"/>
  <c r="R263" i="11" s="1"/>
  <c r="R210" i="11" a="1"/>
  <c r="R210" i="11" s="1"/>
  <c r="F69" i="34" a="1"/>
  <c r="F69" i="34" s="1"/>
  <c r="F50" i="34" a="1"/>
  <c r="F50" i="34" s="1"/>
  <c r="T344" i="33"/>
  <c r="T345" i="33" s="1" a="1"/>
  <c r="T345" i="33" s="1"/>
  <c r="F345" i="33" a="1"/>
  <c r="F345" i="33" s="1"/>
  <c r="F346" i="33" s="1" a="1"/>
  <c r="F346" i="33" s="1"/>
  <c r="F347" i="33" s="1" a="1"/>
  <c r="F347" i="33" s="1"/>
  <c r="F348" i="33" s="1" a="1"/>
  <c r="F348" i="33" s="1"/>
  <c r="F349" i="33" s="1" a="1"/>
  <c r="F349" i="33" s="1"/>
  <c r="F350" i="33" s="1" a="1"/>
  <c r="F350" i="33" s="1"/>
  <c r="F351" i="33" s="1" a="1"/>
  <c r="F351" i="33" s="1"/>
  <c r="F352" i="33" s="1" a="1"/>
  <c r="F352" i="33" s="1"/>
  <c r="F353" i="33" s="1" a="1"/>
  <c r="F353" i="33" s="1"/>
  <c r="F354" i="33" s="1" a="1"/>
  <c r="F354" i="33" s="1"/>
  <c r="F355" i="33" s="1" a="1"/>
  <c r="F355" i="33" s="1"/>
  <c r="F356" i="33" s="1" a="1"/>
  <c r="F356" i="33" s="1"/>
  <c r="F357" i="33" s="1" a="1"/>
  <c r="F357" i="33" s="1"/>
  <c r="F358" i="33" s="1" a="1"/>
  <c r="F358" i="33" s="1"/>
  <c r="F359" i="33" s="1" a="1"/>
  <c r="F359" i="33" s="1"/>
  <c r="F360" i="33" s="1" a="1"/>
  <c r="F360" i="33" s="1"/>
  <c r="F361" i="33" s="1" a="1"/>
  <c r="F361" i="33" s="1"/>
  <c r="F362" i="33" s="1" a="1"/>
  <c r="F362" i="33" s="1"/>
  <c r="F363" i="33" s="1" a="1"/>
  <c r="F363" i="33" s="1"/>
  <c r="F364" i="33" s="1" a="1"/>
  <c r="F364" i="33" s="1"/>
  <c r="F365" i="33" s="1" a="1"/>
  <c r="F365" i="33" s="1"/>
  <c r="F366" i="33" s="1" a="1"/>
  <c r="F366" i="33" s="1"/>
  <c r="F367" i="33" s="1" a="1"/>
  <c r="F367" i="33" s="1"/>
  <c r="F368" i="33" s="1" a="1"/>
  <c r="F368" i="33" s="1"/>
  <c r="F369" i="33" s="1" a="1"/>
  <c r="F369" i="33" s="1"/>
  <c r="F370" i="33" s="1" a="1"/>
  <c r="F370" i="33" s="1"/>
  <c r="F371" i="33" s="1" a="1"/>
  <c r="F371" i="33" s="1"/>
  <c r="F372" i="33" s="1" a="1"/>
  <c r="F372" i="33" s="1"/>
  <c r="F373" i="33" s="1" a="1"/>
  <c r="F373" i="33" s="1"/>
  <c r="F374" i="33" s="1" a="1"/>
  <c r="F374" i="33" s="1"/>
  <c r="F375" i="33" s="1" a="1"/>
  <c r="F375" i="33" s="1"/>
  <c r="F376" i="33" s="1" a="1"/>
  <c r="F376" i="33" s="1"/>
  <c r="F377" i="33" s="1" a="1"/>
  <c r="F377" i="33" s="1"/>
  <c r="F378" i="33" s="1" a="1"/>
  <c r="F378" i="33" s="1"/>
  <c r="F379" i="33" s="1" a="1"/>
  <c r="F379" i="33" s="1"/>
  <c r="F380" i="33" s="1" a="1"/>
  <c r="F380" i="33" s="1"/>
  <c r="F470" i="30" a="1"/>
  <c r="F470" i="30" s="1"/>
  <c r="F471" i="30" s="1" a="1"/>
  <c r="F471" i="30" s="1"/>
  <c r="F472" i="30" s="1" a="1"/>
  <c r="F472" i="30" s="1"/>
  <c r="F473" i="30" s="1" a="1"/>
  <c r="F473" i="30" s="1"/>
  <c r="F474" i="30" s="1" a="1"/>
  <c r="F474" i="30" s="1"/>
  <c r="F475" i="30" s="1" a="1"/>
  <c r="F475" i="30" s="1"/>
  <c r="F476" i="30" s="1" a="1"/>
  <c r="F476" i="30" s="1"/>
  <c r="F477" i="30" s="1" a="1"/>
  <c r="F477" i="30" s="1"/>
  <c r="F478" i="30" s="1" a="1"/>
  <c r="F478" i="30" s="1"/>
  <c r="F479" i="30" s="1" a="1"/>
  <c r="F479" i="30" s="1"/>
  <c r="F480" i="30" s="1" a="1"/>
  <c r="F480" i="30" s="1"/>
  <c r="F481" i="30" s="1" a="1"/>
  <c r="F481" i="30" s="1"/>
  <c r="F482" i="30" s="1" a="1"/>
  <c r="F482" i="30" s="1"/>
  <c r="F483" i="30" s="1" a="1"/>
  <c r="F483" i="30" s="1"/>
  <c r="D282" i="30" a="1"/>
  <c r="D282" i="30" s="1"/>
  <c r="AB281" i="30"/>
  <c r="AB281" i="29"/>
  <c r="D282" i="29" a="1"/>
  <c r="D282"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D138" i="29" a="1"/>
  <c r="D138" i="29" s="1"/>
  <c r="AB137" i="29"/>
  <c r="AB179" i="26"/>
  <c r="AB178" i="26"/>
  <c r="AB177" i="26"/>
  <c r="AB174" i="26"/>
  <c r="AB173" i="26"/>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56" i="23" a="1"/>
  <c r="F56" i="23" s="1"/>
  <c r="K55" i="23"/>
  <c r="K29" i="22"/>
  <c r="F30" i="22" a="1"/>
  <c r="F30" i="22" s="1"/>
  <c r="F91" i="18" a="1"/>
  <c r="F91" i="18" s="1"/>
  <c r="F92" i="18" s="1" a="1"/>
  <c r="F92" i="18" s="1"/>
  <c r="T90" i="18"/>
  <c r="T91" i="18" s="1" a="1"/>
  <c r="T91" i="18" s="1"/>
  <c r="AO199" i="15"/>
  <c r="B65" i="7" a="1"/>
  <c r="B65" i="7" s="1"/>
  <c r="AC72" i="7"/>
  <c r="F35" i="26" a="1"/>
  <c r="F35" i="26" s="1"/>
  <c r="T79" i="19"/>
  <c r="T80" i="19" s="1" a="1"/>
  <c r="T80" i="19" s="1"/>
  <c r="T81" i="19" s="1" a="1"/>
  <c r="T81" i="19" s="1"/>
  <c r="F80" i="19" a="1"/>
  <c r="F80" i="19" s="1"/>
  <c r="F81" i="19" s="1" a="1"/>
  <c r="F81" i="19" s="1"/>
  <c r="F82" i="19" s="1" a="1"/>
  <c r="F82" i="19" s="1"/>
  <c r="T54" i="19"/>
  <c r="T55" i="19" s="1" a="1"/>
  <c r="T55" i="19" s="1"/>
  <c r="T56" i="19" s="1" a="1"/>
  <c r="T56" i="19" s="1"/>
  <c r="F55" i="19" a="1"/>
  <c r="F55" i="19" s="1"/>
  <c r="F56" i="19" s="1" a="1"/>
  <c r="F56" i="19" s="1"/>
  <c r="F57" i="19" s="1" a="1"/>
  <c r="F57" i="19" s="1"/>
  <c r="AF37" i="17"/>
  <c r="AF35" i="17" s="1"/>
  <c r="AQ199" i="15"/>
  <c r="F114" i="23" a="1"/>
  <c r="F114" i="23" s="1"/>
  <c r="K113" i="23"/>
  <c r="AJ101" i="15"/>
  <c r="AU108" i="15"/>
  <c r="AU101" i="15"/>
  <c r="F55" i="14" a="1"/>
  <c r="F55" i="14" s="1"/>
  <c r="F56" i="14" s="1" a="1"/>
  <c r="F56" i="14" s="1"/>
  <c r="F57" i="14" s="1" a="1"/>
  <c r="F57" i="14" s="1"/>
  <c r="T54" i="14"/>
  <c r="T55" i="14" s="1" a="1"/>
  <c r="T55" i="14" s="1"/>
  <c r="T56" i="14" s="1" a="1"/>
  <c r="T56" i="14" s="1"/>
  <c r="AC36" i="7"/>
  <c r="B29" i="7" a="1"/>
  <c r="B29" i="7" s="1"/>
  <c r="S197" i="27" a="1"/>
  <c r="S197" i="27" s="1"/>
  <c r="B246" i="27" s="1" a="1"/>
  <c r="B246" i="27" s="1"/>
  <c r="B247" i="27" s="1" a="1"/>
  <c r="B247" i="27" s="1"/>
  <c r="B248" i="27" s="1" a="1"/>
  <c r="B248" i="27" s="1"/>
  <c r="B249" i="27" s="1" a="1"/>
  <c r="B249" i="27" s="1"/>
  <c r="B250" i="27" s="1" a="1"/>
  <c r="B250" i="27" s="1"/>
  <c r="B251" i="27" s="1" a="1"/>
  <c r="B251" i="27" s="1"/>
  <c r="R380" i="11" a="1"/>
  <c r="R380" i="11" s="1"/>
  <c r="R338" i="11" a="1"/>
  <c r="R338" i="11" s="1"/>
  <c r="R301" i="11" a="1"/>
  <c r="R301" i="11" s="1"/>
  <c r="R354" i="11" a="1"/>
  <c r="R354" i="1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34" i="8" a="1"/>
  <c r="F34" i="8" s="1"/>
  <c r="U33" i="8"/>
  <c r="B264" i="28"/>
  <c r="B265" i="28"/>
  <c r="S29" i="27" a="1"/>
  <c r="S29" i="27" s="1"/>
  <c r="B78" i="27" s="1" a="1"/>
  <c r="B78" i="27" s="1"/>
  <c r="B79" i="27" s="1" a="1"/>
  <c r="B79" i="27" s="1"/>
  <c r="B80" i="27" s="1" a="1"/>
  <c r="B80" i="27" s="1"/>
  <c r="B81" i="27" s="1" a="1"/>
  <c r="B81" i="27" s="1"/>
  <c r="B82" i="27" s="1" a="1"/>
  <c r="B82" i="27" s="1"/>
  <c r="B83" i="27" s="1" a="1"/>
  <c r="B83" i="27"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T77" i="14"/>
  <c r="T78" i="14" s="1" a="1"/>
  <c r="T78" i="14" s="1"/>
  <c r="T79" i="14" s="1" a="1"/>
  <c r="T79" i="14" s="1"/>
  <c r="F78" i="14" a="1"/>
  <c r="F78" i="14" s="1"/>
  <c r="F79" i="14" s="1" a="1"/>
  <c r="F79" i="14" s="1"/>
  <c r="F80" i="14" s="1" a="1"/>
  <c r="F80" i="14"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30" i="13" a="1"/>
  <c r="F30" i="13" s="1"/>
  <c r="T29" i="13"/>
  <c r="U95" i="9"/>
  <c r="U96" i="9" s="1" a="1"/>
  <c r="U96" i="9" s="1"/>
  <c r="F96" i="9" a="1"/>
  <c r="F96" i="9" s="1"/>
  <c r="F97" i="9" s="1" a="1"/>
  <c r="F97" i="9" s="1"/>
  <c r="F137" i="31" a="1"/>
  <c r="F137" i="31" s="1"/>
  <c r="AF136" i="31"/>
  <c r="F470" i="29" a="1"/>
  <c r="F470" i="29" s="1"/>
  <c r="F471" i="29" s="1" a="1"/>
  <c r="F471" i="29" s="1"/>
  <c r="F472" i="29" s="1" a="1"/>
  <c r="F472" i="29" s="1"/>
  <c r="F473" i="29" s="1" a="1"/>
  <c r="F473" i="29" s="1"/>
  <c r="F474" i="29" s="1" a="1"/>
  <c r="F474" i="29" s="1"/>
  <c r="F475" i="29" s="1" a="1"/>
  <c r="F475" i="29" s="1"/>
  <c r="F476" i="29" s="1" a="1"/>
  <c r="F476" i="29" s="1"/>
  <c r="F477" i="29" s="1" a="1"/>
  <c r="F477" i="29" s="1"/>
  <c r="F478" i="29" s="1" a="1"/>
  <c r="F478" i="29" s="1"/>
  <c r="F479" i="29" s="1" a="1"/>
  <c r="F479" i="29" s="1"/>
  <c r="F480" i="29" s="1" a="1"/>
  <c r="F480" i="29" s="1"/>
  <c r="F481" i="29" s="1" a="1"/>
  <c r="F481" i="29" s="1"/>
  <c r="F482" i="29" s="1" a="1"/>
  <c r="F482" i="29" s="1"/>
  <c r="F483" i="29" s="1" a="1"/>
  <c r="F483" i="29" s="1"/>
  <c r="AB137" i="30"/>
  <c r="D138" i="30" a="1"/>
  <c r="D138" i="30" s="1"/>
  <c r="F88" i="34" a="1"/>
  <c r="F88" i="34" s="1"/>
  <c r="AF32" i="31"/>
  <c r="F33" i="31" a="1"/>
  <c r="F33" i="31" s="1"/>
  <c r="AH462" i="30"/>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F205" i="28" a="1"/>
  <c r="F205" i="28" s="1"/>
  <c r="AN204" i="28"/>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290" i="28" a="1"/>
  <c r="F290" i="28" s="1"/>
  <c r="AN289" i="28"/>
  <c r="F213" i="27" a="1"/>
  <c r="F213" i="27" s="1"/>
  <c r="F214" i="27" s="1" a="1"/>
  <c r="F214" i="27" s="1"/>
  <c r="F215" i="27" s="1" a="1"/>
  <c r="F215" i="27" s="1"/>
  <c r="F216" i="27" s="1" a="1"/>
  <c r="F216" i="27" s="1"/>
  <c r="F217" i="27" s="1" a="1"/>
  <c r="F217" i="27" s="1"/>
  <c r="T212" i="27"/>
  <c r="T213" i="27" s="1" a="1"/>
  <c r="T213" i="27" s="1"/>
  <c r="T214" i="27" s="1" a="1"/>
  <c r="T214" i="27" s="1"/>
  <c r="T215" i="27" s="1" a="1"/>
  <c r="T215" i="27" s="1"/>
  <c r="T216" i="27" s="1" a="1"/>
  <c r="T216" i="27" s="1"/>
  <c r="T217" i="27" s="1" a="1"/>
  <c r="T217" i="27" s="1"/>
  <c r="T218" i="27" s="1" a="1"/>
  <c r="T218" i="27" s="1"/>
  <c r="T219" i="27" s="1" a="1"/>
  <c r="T219" i="27" s="1"/>
  <c r="T220" i="27" s="1" a="1"/>
  <c r="T220" i="27" s="1"/>
  <c r="T221" i="27" s="1" a="1"/>
  <c r="T221" i="27" s="1"/>
  <c r="T222" i="27" s="1" a="1"/>
  <c r="T222" i="27" s="1"/>
  <c r="T223" i="27" s="1" a="1"/>
  <c r="T223" i="27" s="1"/>
  <c r="T224" i="27" s="1" a="1"/>
  <c r="T224" i="27" s="1"/>
  <c r="T225" i="27" s="1" a="1"/>
  <c r="T225" i="27" s="1"/>
  <c r="T226" i="27" s="1" a="1"/>
  <c r="T226" i="27" s="1"/>
  <c r="T227" i="27" s="1" a="1"/>
  <c r="T227" i="27" s="1"/>
  <c r="T228" i="27" s="1" a="1"/>
  <c r="T228" i="27" s="1"/>
  <c r="T229" i="27" s="1" a="1"/>
  <c r="T229" i="27" s="1"/>
  <c r="T230" i="27" s="1" a="1"/>
  <c r="T230" i="27" s="1"/>
  <c r="T231" i="27" s="1" a="1"/>
  <c r="T231" i="27" s="1"/>
  <c r="T232" i="27" s="1" a="1"/>
  <c r="T232" i="27" s="1"/>
  <c r="T233" i="27" s="1" a="1"/>
  <c r="T233" i="27" s="1"/>
  <c r="T234" i="27" s="1" a="1"/>
  <c r="T234" i="27" s="1"/>
  <c r="T235" i="27" s="1" a="1"/>
  <c r="T235" i="27" s="1"/>
  <c r="T236" i="27" s="1" a="1"/>
  <c r="T236" i="27" s="1"/>
  <c r="T237" i="27" s="1" a="1"/>
  <c r="T237" i="27" s="1"/>
  <c r="AB128" i="26"/>
  <c r="AB127" i="26"/>
  <c r="AB126" i="26"/>
  <c r="AB123" i="26"/>
  <c r="AB122" i="26"/>
  <c r="F56" i="21" a="1"/>
  <c r="F56" i="21" s="1"/>
  <c r="F57" i="21" s="1" a="1"/>
  <c r="F57" i="21" s="1"/>
  <c r="F58" i="21" s="1" a="1"/>
  <c r="F58" i="21" s="1"/>
  <c r="F59" i="21" s="1" a="1"/>
  <c r="F59" i="21" s="1"/>
  <c r="F60" i="21" s="1" a="1"/>
  <c r="F60" i="21" s="1"/>
  <c r="F61" i="21" s="1" a="1"/>
  <c r="F61" i="21" s="1"/>
  <c r="AP199" i="15"/>
  <c r="AB213" i="26"/>
  <c r="AB212" i="26"/>
  <c r="F68" i="20" a="1"/>
  <c r="F68" i="20" s="1"/>
  <c r="AF30" i="17"/>
  <c r="AF28" i="17" s="1"/>
  <c r="K57" i="22"/>
  <c r="F58" i="22" a="1"/>
  <c r="F58" i="22" s="1"/>
  <c r="F47" i="17" a="1"/>
  <c r="F47" i="17" s="1"/>
  <c r="AE46" i="17" a="1"/>
  <c r="AE46" i="17" s="1"/>
  <c r="AE47" i="17" s="1"/>
  <c r="AF46" i="17" a="1"/>
  <c r="AF46" i="17" s="1"/>
  <c r="AF47" i="17" s="1"/>
  <c r="BB199" i="15"/>
  <c r="AK199" i="15"/>
  <c r="F140" i="26" a="1"/>
  <c r="F140" i="26" s="1"/>
  <c r="K142" i="23"/>
  <c r="F143" i="23" a="1"/>
  <c r="F143" i="23" s="1"/>
  <c r="F32" i="21" a="1"/>
  <c r="F32" i="21" s="1"/>
  <c r="F33" i="21" s="1" a="1"/>
  <c r="F33" i="21" s="1"/>
  <c r="F34" i="21" s="1" a="1"/>
  <c r="F34" i="21" s="1"/>
  <c r="F35" i="21" s="1" a="1"/>
  <c r="F35" i="21" s="1"/>
  <c r="F36" i="21" s="1" a="1"/>
  <c r="F36" i="21" s="1"/>
  <c r="F37" i="21" s="1" a="1"/>
  <c r="F37" i="21" s="1"/>
  <c r="F61" i="18" a="1"/>
  <c r="F61" i="18" s="1"/>
  <c r="F62" i="18" s="1" a="1"/>
  <c r="F62" i="18" s="1"/>
  <c r="T60" i="18"/>
  <c r="T61" i="18" s="1" a="1"/>
  <c r="T61" i="18" s="1"/>
  <c r="AE51" i="17"/>
  <c r="AE49" i="17" s="1"/>
  <c r="AW150" i="15"/>
  <c r="AT51" i="14"/>
  <c r="F34" i="13" a="1"/>
  <c r="F34" i="13" s="1"/>
  <c r="T33" i="13"/>
  <c r="U41" i="9"/>
  <c r="U42" i="9" s="1" a="1"/>
  <c r="U42" i="9" s="1"/>
  <c r="F42" i="9" a="1"/>
  <c r="F42" i="9" s="1"/>
  <c r="F40" i="6" a="1"/>
  <c r="F40" i="6" s="1"/>
  <c r="U39" i="6"/>
  <c r="F32" i="6" a="1"/>
  <c r="F32" i="6" s="1"/>
  <c r="U31" i="6"/>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B213" i="27"/>
  <c r="B214" i="27" s="1" a="1"/>
  <c r="B214" i="27" s="1"/>
  <c r="B215" i="27" s="1" a="1"/>
  <c r="B215" i="27" s="1"/>
  <c r="B216" i="27" s="1" a="1"/>
  <c r="B216" i="27" s="1"/>
  <c r="B217" i="27" s="1" a="1"/>
  <c r="B217" i="27" s="1"/>
  <c r="B218" i="27" s="1" a="1"/>
  <c r="B218" i="27" s="1"/>
  <c r="B219" i="27" s="1" a="1"/>
  <c r="B219" i="27" s="1"/>
  <c r="B220" i="27" s="1" a="1"/>
  <c r="B220" i="27" s="1"/>
  <c r="B221" i="27" s="1" a="1"/>
  <c r="B221" i="27" s="1"/>
  <c r="B222" i="27" s="1" a="1"/>
  <c r="B222" i="27" s="1"/>
  <c r="B223" i="27" s="1" a="1"/>
  <c r="B223" i="27" s="1"/>
  <c r="B224" i="27" s="1" a="1"/>
  <c r="B224" i="27" s="1"/>
  <c r="B225" i="27" s="1" a="1"/>
  <c r="B225" i="27" s="1"/>
  <c r="B226" i="27" s="1" a="1"/>
  <c r="B226" i="27" s="1"/>
  <c r="B227" i="27" s="1" a="1"/>
  <c r="B227" i="27" s="1"/>
  <c r="B228" i="27" s="1" a="1"/>
  <c r="B228" i="27" s="1"/>
  <c r="B229" i="27" s="1" a="1"/>
  <c r="B229" i="27" s="1"/>
  <c r="B230" i="27" s="1" a="1"/>
  <c r="B230" i="27" s="1"/>
  <c r="B231" i="27" s="1" a="1"/>
  <c r="B231" i="27" s="1"/>
  <c r="B232" i="27" s="1" a="1"/>
  <c r="B232" i="27" s="1"/>
  <c r="B233" i="27" s="1" a="1"/>
  <c r="B233" i="27" s="1"/>
  <c r="B234" i="27" s="1" a="1"/>
  <c r="B234" i="27" s="1"/>
  <c r="B235" i="27" s="1" a="1"/>
  <c r="B235" i="27" s="1"/>
  <c r="B236" i="27" s="1" a="1"/>
  <c r="B236" i="27" s="1"/>
  <c r="B237" i="27" s="1" a="1"/>
  <c r="B237" i="27" s="1"/>
  <c r="B238" i="27" s="1" a="1"/>
  <c r="B238" i="27" s="1"/>
  <c r="B239" i="27" s="1" a="1"/>
  <c r="B239" i="27" s="1"/>
  <c r="B240" i="27" s="1" a="1"/>
  <c r="B240" i="27" s="1"/>
  <c r="B241" i="27" s="1" a="1"/>
  <c r="B241" i="27" s="1"/>
  <c r="B242" i="27" s="1" a="1"/>
  <c r="B242" i="27" s="1"/>
  <c r="B243" i="27" s="1" a="1"/>
  <c r="B243" i="27" s="1"/>
  <c r="B244" i="27" s="1" a="1"/>
  <c r="B244" i="27" s="1"/>
  <c r="B201" i="27"/>
  <c r="B202" i="27" s="1" a="1"/>
  <c r="B202" i="27" s="1"/>
  <c r="B203" i="27" s="1" a="1"/>
  <c r="B203" i="27" s="1"/>
  <c r="B204" i="27" s="1" a="1"/>
  <c r="B204" i="27" s="1"/>
  <c r="B205" i="27" s="1" a="1"/>
  <c r="B205" i="27" s="1"/>
  <c r="B206" i="27" s="1" a="1"/>
  <c r="B206" i="27" s="1"/>
  <c r="B207" i="27" s="1" a="1"/>
  <c r="B207" i="27" s="1"/>
  <c r="B208" i="27" s="1" a="1"/>
  <c r="B208" i="27" s="1"/>
  <c r="B209" i="27" s="1" a="1"/>
  <c r="B209" i="27" s="1"/>
  <c r="B210" i="27" s="1" a="1"/>
  <c r="B210" i="27" s="1"/>
  <c r="B211" i="27" s="1" a="1"/>
  <c r="B211" i="27" s="1"/>
  <c r="B212" i="27" s="1" a="1"/>
  <c r="B212" i="27" s="1"/>
  <c r="AU51" i="14"/>
  <c r="F40" i="13" a="1"/>
  <c r="F40" i="13" s="1"/>
  <c r="T39" i="13"/>
  <c r="U47" i="8"/>
  <c r="F48" i="8" a="1"/>
  <c r="F48" i="8" s="1"/>
  <c r="B94" i="28"/>
  <c r="B95" i="28"/>
  <c r="F31" i="34" a="1"/>
  <c r="F31" i="34"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187" i="31" a="1"/>
  <c r="F187" i="31" s="1"/>
  <c r="F85" i="31" a="1"/>
  <c r="F85" i="31" s="1"/>
  <c r="AB569" i="30"/>
  <c r="D570" i="30" a="1"/>
  <c r="D570" i="30" s="1"/>
  <c r="D426" i="30" a="1"/>
  <c r="D426" i="30" s="1"/>
  <c r="AB425" i="30"/>
  <c r="AB569" i="29"/>
  <c r="D570" i="29" a="1"/>
  <c r="D570" i="29" s="1"/>
  <c r="AB425" i="29"/>
  <c r="D426" i="29" a="1"/>
  <c r="D426" i="29" s="1"/>
  <c r="F120" i="28" a="1"/>
  <c r="F120" i="28" s="1"/>
  <c r="AN119" i="28"/>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F35" i="28" a="1"/>
  <c r="F35" i="28" s="1"/>
  <c r="AN34" i="28"/>
  <c r="AB58" i="26"/>
  <c r="AB61" i="26"/>
  <c r="AB62" i="26"/>
  <c r="K71" i="22"/>
  <c r="F72" i="22" a="1"/>
  <c r="F72" i="22" s="1"/>
  <c r="F49" i="20" a="1"/>
  <c r="F49" i="20" s="1"/>
  <c r="F105" i="19" a="1"/>
  <c r="F105" i="19" s="1"/>
  <c r="F106" i="19" s="1" a="1"/>
  <c r="F106" i="19" s="1"/>
  <c r="F107" i="19" s="1" a="1"/>
  <c r="F107" i="19" s="1"/>
  <c r="T104" i="19"/>
  <c r="T105" i="19" s="1" a="1"/>
  <c r="T105" i="19" s="1"/>
  <c r="T106" i="19" s="1" a="1"/>
  <c r="T106" i="19" s="1"/>
  <c r="F40" i="17" a="1"/>
  <c r="F40" i="17" s="1"/>
  <c r="AE39" i="17" a="1"/>
  <c r="AE39" i="17" s="1"/>
  <c r="AE40" i="17" s="1"/>
  <c r="AF39" i="17" a="1"/>
  <c r="AF39" i="17" s="1"/>
  <c r="AF40" i="17" s="1"/>
  <c r="AF32" i="17" a="1"/>
  <c r="AF32" i="17" s="1"/>
  <c r="AF33" i="17" s="1"/>
  <c r="F33" i="17" a="1"/>
  <c r="F33" i="17" s="1"/>
  <c r="AE32" i="17" a="1"/>
  <c r="AE32" i="17" s="1"/>
  <c r="AE33" i="17" s="1"/>
  <c r="AE31" i="17" s="1"/>
  <c r="AM199" i="15"/>
  <c r="T30" i="18"/>
  <c r="T31" i="18" s="1" a="1"/>
  <c r="T31" i="18" s="1"/>
  <c r="F31" i="18" a="1"/>
  <c r="F31" i="18" s="1"/>
  <c r="AE44" i="17"/>
  <c r="AE42" i="17" s="1"/>
  <c r="AC48" i="7"/>
  <c r="B41" i="7" a="1"/>
  <c r="B41" i="7" s="1"/>
  <c r="F88" i="26" a="1"/>
  <c r="F88" i="26" s="1"/>
  <c r="K43" i="22"/>
  <c r="F44" i="22" a="1"/>
  <c r="F44" i="22" s="1"/>
  <c r="AY108" i="15"/>
  <c r="AY101" i="15"/>
  <c r="H86" i="28"/>
  <c r="H85" i="28"/>
  <c r="F35" i="14" a="1"/>
  <c r="F35" i="14" s="1"/>
  <c r="T34" i="14"/>
  <c r="T35" i="14" s="1" a="1"/>
  <c r="T35" i="14" s="1"/>
  <c r="T36" i="14" s="1" a="1"/>
  <c r="T36" i="14" s="1"/>
  <c r="AC60" i="7"/>
  <c r="B53" i="7" a="1"/>
  <c r="B53" i="7" s="1"/>
  <c r="B180" i="28"/>
  <c r="B179" i="28"/>
  <c r="AU75" i="14"/>
  <c r="U42" i="8"/>
  <c r="F43" i="8" a="1"/>
  <c r="F43" i="8" s="1"/>
  <c r="U43" i="8"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W30" i="8" a="1"/>
  <c r="W30" i="8" s="1"/>
  <c r="AB30" i="8" a="1"/>
  <c r="AB30" i="8" s="1"/>
  <c r="B350" i="28"/>
  <c r="B349" i="28"/>
  <c r="W44" i="8" a="1"/>
  <c r="W44" i="8" s="1"/>
  <c r="AB44" i="8" a="1"/>
  <c r="AB44" i="8" s="1"/>
  <c r="AU72" i="14"/>
  <c r="AU81" i="14"/>
  <c r="AU71" i="14" s="1"/>
  <c r="AF45" i="17" l="1"/>
  <c r="AE38" i="17"/>
  <c r="AF52" i="17"/>
  <c r="AF38" i="17"/>
  <c r="AF31" i="17"/>
  <c r="F108" i="19" a="1"/>
  <c r="F108" i="19" s="1"/>
  <c r="T107" i="19"/>
  <c r="T108" i="19" s="1" a="1"/>
  <c r="T108" i="19" s="1"/>
  <c r="T109" i="19" s="1" a="1"/>
  <c r="T109" i="19" s="1"/>
  <c r="F36" i="28" a="1"/>
  <c r="F36" i="28" s="1"/>
  <c r="AN35" i="28"/>
  <c r="F340" i="29" a="1"/>
  <c r="F340" i="29" s="1"/>
  <c r="T291" i="33"/>
  <c r="F292" i="33" a="1"/>
  <c r="F292" i="33" s="1"/>
  <c r="F32" i="34" a="1"/>
  <c r="F32" i="34" s="1"/>
  <c r="F33" i="34" s="1" a="1"/>
  <c r="F33" i="34" s="1"/>
  <c r="F34" i="34" s="1" a="1"/>
  <c r="F34" i="34" s="1"/>
  <c r="F35" i="34" s="1" a="1"/>
  <c r="F35" i="34" s="1"/>
  <c r="F59" i="22" a="1"/>
  <c r="F59" i="22" s="1"/>
  <c r="K58" i="22"/>
  <c r="F114" i="33" a="1"/>
  <c r="F114" i="33" s="1"/>
  <c r="T113" i="33"/>
  <c r="F484" i="29" a="1"/>
  <c r="F484" i="29" s="1"/>
  <c r="F98" i="9" a="1"/>
  <c r="F98" i="9" s="1"/>
  <c r="U97" i="9"/>
  <c r="U34" i="8"/>
  <c r="F35" i="8" a="1"/>
  <c r="F35" i="8" s="1"/>
  <c r="AC32" i="7"/>
  <c r="B31" i="7" a="1"/>
  <c r="B31" i="7" s="1"/>
  <c r="AC30" i="7"/>
  <c r="F93" i="18" a="1"/>
  <c r="F93" i="18" s="1"/>
  <c r="F94" i="18" s="1" a="1"/>
  <c r="F94" i="18" s="1"/>
  <c r="F95" i="18" s="1" a="1"/>
  <c r="F95" i="18" s="1"/>
  <c r="T92" i="18"/>
  <c r="T93" i="18" s="1" a="1"/>
  <c r="T93" i="18" s="1"/>
  <c r="F484" i="30" a="1"/>
  <c r="F484" i="30" s="1"/>
  <c r="W82" i="9" a="1"/>
  <c r="W82" i="9" s="1"/>
  <c r="AB82" i="9" a="1"/>
  <c r="AB82" i="9" s="1"/>
  <c r="F126" i="18" a="1"/>
  <c r="F126" i="18" s="1"/>
  <c r="F127" i="18" s="1" a="1"/>
  <c r="F127" i="18" s="1"/>
  <c r="F128" i="18" s="1" a="1"/>
  <c r="F128" i="18" s="1"/>
  <c r="T125" i="18"/>
  <c r="T126" i="18" s="1" a="1"/>
  <c r="T126" i="18" s="1"/>
  <c r="F74" i="21" a="1"/>
  <c r="F74" i="21" s="1"/>
  <c r="T74" i="21" s="1"/>
  <c r="T73" i="21"/>
  <c r="F45" i="22" a="1"/>
  <c r="F45" i="22" s="1"/>
  <c r="K44" i="22"/>
  <c r="F32" i="18" a="1"/>
  <c r="F32" i="18" s="1"/>
  <c r="AU74" i="14"/>
  <c r="AC42" i="7"/>
  <c r="AC44" i="7"/>
  <c r="B43" i="7" a="1"/>
  <c r="B43" i="7" s="1"/>
  <c r="F73" i="22" a="1"/>
  <c r="F73" i="22" s="1"/>
  <c r="K72" i="22"/>
  <c r="D427" i="29" a="1"/>
  <c r="D427" i="29" s="1"/>
  <c r="AB426" i="29"/>
  <c r="F188" i="31" a="1"/>
  <c r="F188" i="31" s="1"/>
  <c r="AF187" i="3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144" i="23" a="1"/>
  <c r="F144" i="23" s="1"/>
  <c r="K143" i="23"/>
  <c r="F218" i="27" a="1"/>
  <c r="F218" i="27" s="1"/>
  <c r="F219" i="27" s="1" a="1"/>
  <c r="F219" i="27" s="1"/>
  <c r="F220" i="27" s="1" a="1"/>
  <c r="F220" i="27" s="1"/>
  <c r="F221" i="27" s="1" a="1"/>
  <c r="F221" i="27" s="1"/>
  <c r="F222" i="27" s="1" a="1"/>
  <c r="F222" i="27" s="1"/>
  <c r="F223" i="27" s="1" a="1"/>
  <c r="F223" i="27" s="1"/>
  <c r="F83" i="19" a="1"/>
  <c r="F83" i="19" s="1"/>
  <c r="T82" i="19"/>
  <c r="T83" i="19" s="1" a="1"/>
  <c r="T83" i="19" s="1"/>
  <c r="T84" i="19" s="1" a="1"/>
  <c r="T84" i="19" s="1"/>
  <c r="AC66" i="7"/>
  <c r="AC68" i="7"/>
  <c r="B67" i="7" a="1"/>
  <c r="B67" i="7" s="1"/>
  <c r="AB282" i="30"/>
  <c r="D283" i="30" a="1"/>
  <c r="D283" i="30" s="1"/>
  <c r="F51" i="34" a="1"/>
  <c r="F51" i="34" s="1"/>
  <c r="F52" i="34" s="1" a="1"/>
  <c r="F52" i="34" s="1"/>
  <c r="F53" i="34" s="1" a="1"/>
  <c r="F53" i="34" s="1"/>
  <c r="F54" i="34" s="1" a="1"/>
  <c r="F54" i="34"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U70" i="9"/>
  <c r="F71" i="9" a="1"/>
  <c r="F71" i="9" s="1"/>
  <c r="F86" i="23" a="1"/>
  <c r="F86" i="23" s="1"/>
  <c r="K85" i="23"/>
  <c r="F50" i="27" a="1"/>
  <c r="F50" i="27" s="1"/>
  <c r="F51" i="27" s="1" a="1"/>
  <c r="F51" i="27" s="1"/>
  <c r="F52" i="27" s="1" a="1"/>
  <c r="F52" i="27" s="1"/>
  <c r="F53" i="27" s="1" a="1"/>
  <c r="F53" i="27" s="1"/>
  <c r="F54" i="27" s="1" a="1"/>
  <c r="F54" i="27" s="1"/>
  <c r="F55" i="27" s="1" a="1"/>
  <c r="F55" i="27" s="1"/>
  <c r="F88" i="20" a="1"/>
  <c r="F88" i="20" s="1"/>
  <c r="K87" i="20"/>
  <c r="F50" i="21" a="1"/>
  <c r="F50" i="21" s="1"/>
  <c r="T50" i="21" s="1"/>
  <c r="T49" i="21"/>
  <c r="F106" i="27" a="1"/>
  <c r="F106" i="27" s="1"/>
  <c r="F107" i="27" s="1" a="1"/>
  <c r="F107" i="27" s="1"/>
  <c r="F108" i="27" s="1" a="1"/>
  <c r="F108" i="27" s="1"/>
  <c r="F109" i="27" s="1" a="1"/>
  <c r="F109" i="27" s="1"/>
  <c r="F110" i="27" s="1" a="1"/>
  <c r="F110" i="27" s="1"/>
  <c r="F111" i="27" s="1" a="1"/>
  <c r="F111" i="27" s="1"/>
  <c r="AB55" i="9" a="1"/>
  <c r="AB55" i="9" s="1"/>
  <c r="W55" i="9" a="1"/>
  <c r="W55" i="9" s="1"/>
  <c r="AN120" i="28"/>
  <c r="F121" i="28" a="1"/>
  <c r="F121" i="28" s="1"/>
  <c r="D427" i="30" a="1"/>
  <c r="D427" i="30" s="1"/>
  <c r="AB426" i="30"/>
  <c r="T202" i="33"/>
  <c r="F203" i="33" a="1"/>
  <c r="F203" i="33" s="1"/>
  <c r="T40" i="13"/>
  <c r="F41" i="13" a="1"/>
  <c r="F41" i="13" s="1"/>
  <c r="F35" i="13" a="1"/>
  <c r="F35" i="13" s="1"/>
  <c r="T34" i="13"/>
  <c r="AE45" i="17"/>
  <c r="AN290" i="28"/>
  <c r="F291" i="28" a="1"/>
  <c r="F291" i="28" s="1"/>
  <c r="F206" i="28" a="1"/>
  <c r="F206" i="28" s="1"/>
  <c r="AN205" i="28"/>
  <c r="F196" i="30" a="1"/>
  <c r="F196" i="30" s="1"/>
  <c r="AF33" i="31"/>
  <c r="F34" i="31" a="1"/>
  <c r="F34" i="31" s="1"/>
  <c r="F89" i="34" a="1"/>
  <c r="F89" i="34" s="1"/>
  <c r="F90" i="34" s="1" a="1"/>
  <c r="F90" i="34" s="1"/>
  <c r="F91" i="34" s="1" a="1"/>
  <c r="F91" i="34" s="1"/>
  <c r="F92" i="34" s="1" a="1"/>
  <c r="F92" i="34" s="1"/>
  <c r="F81" i="14" a="1"/>
  <c r="F81" i="14" s="1"/>
  <c r="F82" i="14" s="1" a="1"/>
  <c r="F82" i="14" s="1"/>
  <c r="F83" i="14" s="1" a="1"/>
  <c r="F83" i="14" s="1"/>
  <c r="T80" i="14"/>
  <c r="T81" i="14" s="1" a="1"/>
  <c r="T81" i="14" s="1"/>
  <c r="T82" i="14" s="1" a="1"/>
  <c r="T82" i="14" s="1"/>
  <c r="K114" i="23"/>
  <c r="F115" i="23" a="1"/>
  <c r="F115" i="23" s="1"/>
  <c r="F36" i="26" a="1"/>
  <c r="F36" i="26" s="1"/>
  <c r="K56" i="23"/>
  <c r="F57" i="23" a="1"/>
  <c r="F57" i="23" s="1"/>
  <c r="F162" i="27" a="1"/>
  <c r="F162" i="27" s="1"/>
  <c r="F163" i="27" s="1" a="1"/>
  <c r="F163" i="27" s="1"/>
  <c r="F164" i="27" s="1" a="1"/>
  <c r="F164" i="27" s="1"/>
  <c r="F165" i="27" s="1" a="1"/>
  <c r="F165" i="27" s="1"/>
  <c r="F166" i="27" s="1" a="1"/>
  <c r="F166" i="27" s="1"/>
  <c r="F167" i="27" s="1" a="1"/>
  <c r="F167" i="27" s="1"/>
  <c r="D139" i="29" a="1"/>
  <c r="D139" i="29" s="1"/>
  <c r="AB138" i="29"/>
  <c r="F196" i="29" a="1"/>
  <c r="F196" i="29" s="1"/>
  <c r="D283" i="29" a="1"/>
  <c r="D283" i="29" s="1"/>
  <c r="AB282" i="29"/>
  <c r="F381" i="33" a="1"/>
  <c r="F381" i="33" s="1"/>
  <c r="T380" i="33"/>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T103" i="14"/>
  <c r="T104" i="14" s="1" a="1"/>
  <c r="T104" i="14" s="1"/>
  <c r="T105" i="14" s="1" a="1"/>
  <c r="T105" i="14" s="1"/>
  <c r="F104" i="14" a="1"/>
  <c r="F104" i="14" s="1"/>
  <c r="F105" i="14" s="1" a="1"/>
  <c r="F105" i="14" s="1"/>
  <c r="F106" i="14" s="1" a="1"/>
  <c r="F106" i="14" s="1"/>
  <c r="AE52" i="17"/>
  <c r="F31" i="20" a="1"/>
  <c r="F31" i="20" s="1"/>
  <c r="K30" i="20"/>
  <c r="F190" i="26" a="1"/>
  <c r="F190" i="26" s="1"/>
  <c r="F191" i="26" s="1" a="1"/>
  <c r="F191" i="26" s="1"/>
  <c r="F31" i="19" a="1"/>
  <c r="F31" i="19" s="1"/>
  <c r="AB162" i="26"/>
  <c r="AB161" i="26"/>
  <c r="AB109" i="9" a="1"/>
  <c r="AB109" i="9" s="1"/>
  <c r="W109" i="9" a="1"/>
  <c r="W109" i="9" s="1"/>
  <c r="F36" i="14" a="1"/>
  <c r="F36" i="14" s="1"/>
  <c r="F37" i="14" s="1" a="1"/>
  <c r="F37" i="14" s="1"/>
  <c r="AC54" i="7"/>
  <c r="AC56" i="7"/>
  <c r="B55" i="7" a="1"/>
  <c r="B55" i="7" s="1"/>
  <c r="F89" i="26" a="1"/>
  <c r="F89" i="26" s="1"/>
  <c r="F50" i="20" a="1"/>
  <c r="F50" i="20" s="1"/>
  <c r="K49" i="20"/>
  <c r="AB60" i="26"/>
  <c r="AB59" i="26"/>
  <c r="D571" i="29" a="1"/>
  <c r="D571" i="29" s="1"/>
  <c r="AB570" i="29"/>
  <c r="D571" i="30" a="1"/>
  <c r="D571" i="30" s="1"/>
  <c r="AB570" i="30"/>
  <c r="F86" i="31" a="1"/>
  <c r="F86" i="31" s="1"/>
  <c r="AF85" i="3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U48" i="8"/>
  <c r="F49" i="8" a="1"/>
  <c r="F49" i="8" s="1"/>
  <c r="U49" i="8" s="1"/>
  <c r="F43" i="9" a="1"/>
  <c r="F43" i="9" s="1"/>
  <c r="F63" i="18" a="1"/>
  <c r="F63" i="18" s="1"/>
  <c r="F64" i="18" s="1" a="1"/>
  <c r="F64" i="18" s="1"/>
  <c r="F65" i="18" s="1" a="1"/>
  <c r="F65" i="18" s="1"/>
  <c r="T62" i="18"/>
  <c r="T63" i="18" s="1" a="1"/>
  <c r="T63" i="18" s="1"/>
  <c r="F38" i="21" a="1"/>
  <c r="F38" i="21" s="1"/>
  <c r="T38" i="21" s="1"/>
  <c r="T37" i="21"/>
  <c r="F141" i="26" a="1"/>
  <c r="F141" i="26" s="1"/>
  <c r="F69" i="20" a="1"/>
  <c r="F69" i="20" s="1"/>
  <c r="K68" i="20"/>
  <c r="F62" i="21" a="1"/>
  <c r="F62" i="21" s="1"/>
  <c r="T62" i="21" s="1"/>
  <c r="T61" i="21"/>
  <c r="F52" i="29" a="1"/>
  <c r="F52" i="29" s="1"/>
  <c r="F52" i="30" a="1"/>
  <c r="F52" i="30" s="1"/>
  <c r="F340" i="30" a="1"/>
  <c r="F340"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AB138" i="30"/>
  <c r="D139" i="30" a="1"/>
  <c r="D139" i="30" s="1"/>
  <c r="F138" i="31" a="1"/>
  <c r="F138" i="31" s="1"/>
  <c r="AF137" i="31"/>
  <c r="T57" i="14"/>
  <c r="T58" i="14" s="1" a="1"/>
  <c r="T58" i="14" s="1"/>
  <c r="T59" i="14" s="1" a="1"/>
  <c r="T59" i="14" s="1"/>
  <c r="F58" i="14" a="1"/>
  <c r="F58" i="14" s="1"/>
  <c r="F59" i="14" s="1" a="1"/>
  <c r="F59" i="14" s="1"/>
  <c r="F60" i="14" s="1" a="1"/>
  <c r="F60" i="14" s="1"/>
  <c r="T57" i="19"/>
  <c r="T58" i="19" s="1" a="1"/>
  <c r="T58" i="19" s="1"/>
  <c r="T59" i="19" s="1" a="1"/>
  <c r="T59" i="19" s="1"/>
  <c r="F58" i="19" a="1"/>
  <c r="F58" i="19" s="1"/>
  <c r="F31" i="22" a="1"/>
  <c r="F31" i="22" s="1"/>
  <c r="K30" i="22"/>
  <c r="T346" i="33" a="1"/>
  <c r="T346" i="33" s="1"/>
  <c r="T347" i="33" s="1" a="1"/>
  <c r="T347" i="33" s="1"/>
  <c r="T348" i="33" s="1" a="1"/>
  <c r="T348" i="33" s="1"/>
  <c r="T349" i="33" s="1" a="1"/>
  <c r="T349" i="33" s="1"/>
  <c r="T350" i="33" s="1" a="1"/>
  <c r="T350" i="33" s="1"/>
  <c r="T351" i="33" s="1" a="1"/>
  <c r="T351" i="33" s="1"/>
  <c r="T352" i="33" s="1" a="1"/>
  <c r="T352" i="33" s="1"/>
  <c r="T353" i="33" s="1" a="1"/>
  <c r="T353" i="33" s="1"/>
  <c r="T354" i="33" s="1" a="1"/>
  <c r="T354" i="33" s="1"/>
  <c r="T355" i="33" s="1" a="1"/>
  <c r="T355" i="33" s="1"/>
  <c r="T356" i="33" s="1" a="1"/>
  <c r="T356" i="33" s="1"/>
  <c r="T357" i="33" s="1" a="1"/>
  <c r="T357" i="33" s="1"/>
  <c r="T358" i="33" s="1" a="1"/>
  <c r="T358" i="33" s="1"/>
  <c r="T359" i="33" a="1"/>
  <c r="T359" i="33" s="1"/>
  <c r="T360" i="33" s="1" a="1"/>
  <c r="T360" i="33" s="1"/>
  <c r="T361" i="33" s="1" a="1"/>
  <c r="T361" i="33" s="1"/>
  <c r="T362" i="33" s="1" a="1"/>
  <c r="T362" i="33" s="1"/>
  <c r="T363" i="33" s="1" a="1"/>
  <c r="T363" i="33" s="1"/>
  <c r="T364" i="33" s="1" a="1"/>
  <c r="T364" i="33" s="1"/>
  <c r="T365" i="33" s="1" a="1"/>
  <c r="T365" i="33" s="1"/>
  <c r="F70" i="34" a="1"/>
  <c r="F70" i="34" s="1"/>
  <c r="F71" i="34" s="1" a="1"/>
  <c r="F71" i="34" s="1"/>
  <c r="F72" i="34" s="1" a="1"/>
  <c r="F72" i="34" s="1"/>
  <c r="F73" i="34" s="1" a="1"/>
  <c r="F73" i="34" s="1"/>
  <c r="U124" i="9"/>
  <c r="F125" i="9" a="1"/>
  <c r="F125" i="9" s="1"/>
  <c r="F32" i="22" l="1" a="1"/>
  <c r="F32" i="22" s="1"/>
  <c r="K31" i="22"/>
  <c r="AF73" i="34"/>
  <c r="AE73" i="34"/>
  <c r="F74" i="34" a="1"/>
  <c r="F74" i="34" s="1"/>
  <c r="F59" i="19" a="1"/>
  <c r="F59" i="19" s="1"/>
  <c r="K58" i="19"/>
  <c r="T60" i="14"/>
  <c r="T61" i="14" s="1" a="1"/>
  <c r="T61" i="14" s="1"/>
  <c r="F61" i="14" a="1"/>
  <c r="F61" i="14" s="1"/>
  <c r="F62" i="14" s="1" a="1"/>
  <c r="F62" i="14" s="1"/>
  <c r="D140" i="30" a="1"/>
  <c r="D140" i="30" s="1"/>
  <c r="AB139" i="30"/>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D572" i="30" a="1"/>
  <c r="D572" i="30" s="1"/>
  <c r="AB571" i="30"/>
  <c r="F90" i="26" a="1"/>
  <c r="F90" i="26" s="1"/>
  <c r="F38" i="14" a="1"/>
  <c r="F38" i="14" s="1"/>
  <c r="T37" i="14"/>
  <c r="T38" i="14" s="1" a="1"/>
  <c r="T38" i="14" s="1"/>
  <c r="T106" i="14"/>
  <c r="T107" i="14" s="1" a="1"/>
  <c r="T107" i="14" s="1"/>
  <c r="F107" i="14" a="1"/>
  <c r="F107" i="14" s="1"/>
  <c r="F108" i="14" s="1" a="1"/>
  <c r="F108" i="14" s="1"/>
  <c r="F197" i="30" a="1"/>
  <c r="F197" i="30" s="1"/>
  <c r="F198" i="30" s="1" a="1"/>
  <c r="F198" i="30" s="1"/>
  <c r="F36" i="13" a="1"/>
  <c r="F36" i="13" s="1"/>
  <c r="T35" i="13"/>
  <c r="AB427" i="30"/>
  <c r="D428" i="30" a="1"/>
  <c r="D428" i="30" s="1"/>
  <c r="AB32" i="10" a="1"/>
  <c r="AB32" i="10" s="1"/>
  <c r="X32" i="10" a="1"/>
  <c r="X32" i="10" s="1"/>
  <c r="F112" i="27" a="1"/>
  <c r="F112" i="27" s="1"/>
  <c r="F113" i="27" s="1" a="1"/>
  <c r="F113" i="27" s="1"/>
  <c r="F114" i="27" s="1" a="1"/>
  <c r="F114" i="27" s="1"/>
  <c r="F115" i="27" s="1" a="1"/>
  <c r="F115" i="27" s="1"/>
  <c r="F116" i="27" s="1" a="1"/>
  <c r="F116" i="27" s="1"/>
  <c r="F117" i="27" s="1" a="1"/>
  <c r="F117" i="27" s="1"/>
  <c r="F46" i="22" a="1"/>
  <c r="F46" i="22" s="1"/>
  <c r="K45" i="22"/>
  <c r="F485" i="30" a="1"/>
  <c r="F485" i="30" s="1"/>
  <c r="F486" i="30" s="1" a="1"/>
  <c r="F486" i="30" s="1"/>
  <c r="F485" i="29" a="1"/>
  <c r="F485" i="29" s="1"/>
  <c r="F486" i="29" s="1" a="1"/>
  <c r="F486" i="29" s="1"/>
  <c r="F109" i="19" a="1"/>
  <c r="F109" i="19" s="1"/>
  <c r="K108" i="19"/>
  <c r="T366" i="33" a="1"/>
  <c r="T366" i="33" s="1"/>
  <c r="T367" i="33" s="1" a="1"/>
  <c r="T367" i="33" s="1"/>
  <c r="T368" i="33" a="1"/>
  <c r="T368" i="33" s="1"/>
  <c r="T369" i="33" s="1" a="1"/>
  <c r="T369" i="33" s="1"/>
  <c r="T370" i="33" s="1" a="1"/>
  <c r="T370" i="33" s="1"/>
  <c r="T371" i="33" s="1" a="1"/>
  <c r="T371" i="33" s="1"/>
  <c r="T372" i="33" s="1" a="1"/>
  <c r="T372" i="33" s="1"/>
  <c r="T373" i="33" s="1" a="1"/>
  <c r="T373" i="33" s="1"/>
  <c r="T374" i="33" s="1" a="1"/>
  <c r="T374" i="33" s="1"/>
  <c r="U125" i="9"/>
  <c r="U126" i="9" s="1" a="1"/>
  <c r="U126" i="9" s="1"/>
  <c r="F126" i="9" a="1"/>
  <c r="F126" i="9" s="1"/>
  <c r="F127" i="9" s="1" a="1"/>
  <c r="F127" i="9" s="1"/>
  <c r="F53" i="30" a="1"/>
  <c r="F53" i="30" s="1"/>
  <c r="F70" i="20" a="1"/>
  <c r="F70" i="20" s="1"/>
  <c r="K69" i="20"/>
  <c r="F197" i="29" a="1"/>
  <c r="F197" i="29" s="1"/>
  <c r="F198" i="29" s="1" a="1"/>
  <c r="F198" i="29" s="1"/>
  <c r="F168" i="27" a="1"/>
  <c r="F168" i="27" s="1"/>
  <c r="F169" i="27" s="1" a="1"/>
  <c r="F169" i="27" s="1"/>
  <c r="F170" i="27" s="1" a="1"/>
  <c r="F170" i="27" s="1"/>
  <c r="F171" i="27" s="1" a="1"/>
  <c r="F171" i="27" s="1"/>
  <c r="F172" i="27" s="1" a="1"/>
  <c r="F172" i="27" s="1"/>
  <c r="F173" i="27" s="1" a="1"/>
  <c r="F173" i="27" s="1"/>
  <c r="F93" i="34" a="1"/>
  <c r="F93" i="34" s="1"/>
  <c r="AF92" i="34"/>
  <c r="AE92" i="34"/>
  <c r="AF34" i="31"/>
  <c r="F35" i="31" a="1"/>
  <c r="F35" i="31" s="1"/>
  <c r="F42" i="13" a="1"/>
  <c r="F42" i="13" s="1"/>
  <c r="T41" i="13"/>
  <c r="D284" i="30" a="1"/>
  <c r="D284" i="30" s="1"/>
  <c r="AB283" i="30"/>
  <c r="F84" i="19" a="1"/>
  <c r="F84" i="19" s="1"/>
  <c r="K83" i="19"/>
  <c r="D428" i="29" a="1"/>
  <c r="D428" i="29" s="1"/>
  <c r="AB427" i="29"/>
  <c r="U35" i="8"/>
  <c r="F36" i="8" a="1"/>
  <c r="F36" i="8" s="1"/>
  <c r="F99" i="9" a="1"/>
  <c r="F99" i="9" s="1"/>
  <c r="F100" i="9" s="1" a="1"/>
  <c r="F100" i="9" s="1"/>
  <c r="U98" i="9"/>
  <c r="U99" i="9" s="1" a="1"/>
  <c r="U99" i="9" s="1"/>
  <c r="AE35" i="34"/>
  <c r="F36" i="34" a="1"/>
  <c r="F36" i="34" s="1"/>
  <c r="AF35" i="34"/>
  <c r="AN36" i="28"/>
  <c r="F37" i="28" a="1"/>
  <c r="F37" i="28" s="1"/>
  <c r="F139" i="31" a="1"/>
  <c r="F139" i="31" s="1"/>
  <c r="AF138" i="31"/>
  <c r="F142" i="26" a="1"/>
  <c r="F142" i="26" s="1"/>
  <c r="F44" i="9" a="1"/>
  <c r="F44" i="9" s="1"/>
  <c r="U43" i="9"/>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87" i="31" a="1"/>
  <c r="F87" i="31" s="1"/>
  <c r="AF86" i="31"/>
  <c r="D572" i="29" a="1"/>
  <c r="D572" i="29" s="1"/>
  <c r="AB571" i="29"/>
  <c r="K50" i="20"/>
  <c r="F51" i="20" a="1"/>
  <c r="F51" i="20" s="1"/>
  <c r="X42" i="10" a="1"/>
  <c r="X42" i="10" s="1"/>
  <c r="AB42" i="10" a="1"/>
  <c r="AB42" i="10" s="1"/>
  <c r="F32" i="19" a="1"/>
  <c r="F32" i="19" s="1"/>
  <c r="K31" i="20"/>
  <c r="F32" i="20" a="1"/>
  <c r="F32" i="20" s="1"/>
  <c r="T381" i="33"/>
  <c r="T382" i="33" s="1" a="1"/>
  <c r="T382" i="33" s="1"/>
  <c r="F382" i="33" a="1"/>
  <c r="F382" i="33" s="1"/>
  <c r="D284" i="29" a="1"/>
  <c r="D284" i="29" s="1"/>
  <c r="AB283" i="29"/>
  <c r="F37" i="26" a="1"/>
  <c r="F37" i="26" s="1"/>
  <c r="F84" i="14" a="1"/>
  <c r="F84" i="14" s="1"/>
  <c r="F85" i="14" s="1" a="1"/>
  <c r="F85" i="14" s="1"/>
  <c r="T83" i="14"/>
  <c r="T84" i="14" s="1" a="1"/>
  <c r="T84" i="14" s="1"/>
  <c r="F207" i="28" a="1"/>
  <c r="F207" i="28" s="1"/>
  <c r="AN206" i="28"/>
  <c r="F292" i="28" a="1"/>
  <c r="F292" i="28" s="1"/>
  <c r="AN291" i="28"/>
  <c r="F122" i="28" a="1"/>
  <c r="F122" i="28" s="1"/>
  <c r="AN121" i="28"/>
  <c r="F89" i="20" a="1"/>
  <c r="F89" i="20" s="1"/>
  <c r="K88" i="20"/>
  <c r="F56" i="27" a="1"/>
  <c r="F56" i="27" s="1"/>
  <c r="F57" i="27" s="1" a="1"/>
  <c r="F57" i="27" s="1"/>
  <c r="F58" i="27" s="1" a="1"/>
  <c r="F58" i="27" s="1"/>
  <c r="F59" i="27" s="1" a="1"/>
  <c r="F59" i="27" s="1"/>
  <c r="F60" i="27" s="1" a="1"/>
  <c r="F60" i="27" s="1"/>
  <c r="F61" i="27" s="1" a="1"/>
  <c r="F61" i="27" s="1"/>
  <c r="F72" i="9" a="1"/>
  <c r="F72" i="9" s="1"/>
  <c r="F73" i="9" s="1" a="1"/>
  <c r="F73" i="9" s="1"/>
  <c r="U71" i="9"/>
  <c r="U72" i="9" s="1" a="1"/>
  <c r="U72" i="9" s="1"/>
  <c r="AE54" i="34"/>
  <c r="AF54" i="34"/>
  <c r="F55" i="34" a="1"/>
  <c r="F55" i="34" s="1"/>
  <c r="F224" i="27" a="1"/>
  <c r="F224" i="27" s="1"/>
  <c r="F225" i="27" s="1" a="1"/>
  <c r="F225" i="27" s="1"/>
  <c r="F226" i="27" s="1" a="1"/>
  <c r="F226" i="27" s="1"/>
  <c r="F227" i="27" s="1" a="1"/>
  <c r="F227" i="27" s="1"/>
  <c r="F228" i="27" s="1" a="1"/>
  <c r="F228" i="27" s="1"/>
  <c r="F229" i="27" s="1" a="1"/>
  <c r="F229" i="27" s="1"/>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F189" i="31" a="1"/>
  <c r="F189" i="31" s="1"/>
  <c r="AF188" i="31"/>
  <c r="T32" i="18"/>
  <c r="T33" i="18" s="1" a="1"/>
  <c r="T33" i="18" s="1"/>
  <c r="F33" i="18" a="1"/>
  <c r="F33" i="18" s="1"/>
  <c r="T128" i="18"/>
  <c r="T129" i="18" s="1" a="1"/>
  <c r="T129" i="18" s="1"/>
  <c r="F129" i="18" a="1"/>
  <c r="F129" i="18" s="1"/>
  <c r="F130" i="18" s="1" a="1"/>
  <c r="F130" i="18" s="1"/>
  <c r="X37" i="10" a="1"/>
  <c r="X37" i="10" s="1"/>
  <c r="AB37" i="10" a="1"/>
  <c r="AB37" i="10" s="1"/>
  <c r="T114" i="33"/>
  <c r="T115" i="33" s="1" a="1"/>
  <c r="T115" i="33" s="1"/>
  <c r="F115" i="33" a="1"/>
  <c r="F115" i="33" s="1"/>
  <c r="T292" i="33"/>
  <c r="T293" i="33" s="1" a="1"/>
  <c r="T293" i="33" s="1"/>
  <c r="F293" i="33" a="1"/>
  <c r="F293" i="33" s="1"/>
  <c r="F341" i="29" a="1"/>
  <c r="F341" i="29" s="1"/>
  <c r="F342" i="29" s="1" a="1"/>
  <c r="F342" i="29" s="1"/>
  <c r="F341" i="30" a="1"/>
  <c r="F341" i="30" s="1"/>
  <c r="F342" i="30" s="1" a="1"/>
  <c r="F342" i="30" s="1"/>
  <c r="F53" i="29" a="1"/>
  <c r="F53" i="29" s="1"/>
  <c r="F54" i="29" s="1" a="1"/>
  <c r="F54" i="29" s="1"/>
  <c r="F66" i="18" a="1"/>
  <c r="F66" i="18" s="1"/>
  <c r="F67" i="18" s="1" a="1"/>
  <c r="F67" i="18" s="1"/>
  <c r="T65" i="18"/>
  <c r="T66" i="18" s="1" a="1"/>
  <c r="T66" i="18" s="1"/>
  <c r="F192" i="26" a="1"/>
  <c r="F192" i="26" s="1"/>
  <c r="AB139" i="29"/>
  <c r="D140" i="29" a="1"/>
  <c r="D140" i="29" s="1"/>
  <c r="T203" i="33"/>
  <c r="T204" i="33" s="1" a="1"/>
  <c r="T204" i="33" s="1"/>
  <c r="F204" i="33" a="1"/>
  <c r="F204" i="33" s="1"/>
  <c r="F74" i="22" a="1"/>
  <c r="F74" i="22" s="1"/>
  <c r="K73" i="22"/>
  <c r="T95" i="18"/>
  <c r="T96" i="18" s="1" a="1"/>
  <c r="T96" i="18" s="1"/>
  <c r="F96" i="18" a="1"/>
  <c r="F96" i="18" s="1"/>
  <c r="F97" i="18" s="1" a="1"/>
  <c r="F97" i="18" s="1"/>
  <c r="F60" i="22" a="1"/>
  <c r="F60" i="22" s="1"/>
  <c r="K59" i="22"/>
  <c r="AF30" i="34" l="1"/>
  <c r="F193" i="26" a="1"/>
  <c r="F193" i="26" s="1"/>
  <c r="F343" i="29" a="1"/>
  <c r="F343" i="29" s="1"/>
  <c r="F34" i="18" a="1"/>
  <c r="F34" i="18" s="1"/>
  <c r="F293" i="28" a="1"/>
  <c r="F293" i="28" s="1"/>
  <c r="AN292" i="28"/>
  <c r="D285" i="29" a="1"/>
  <c r="D285" i="29" s="1"/>
  <c r="AB284" i="29"/>
  <c r="F33" i="20" a="1"/>
  <c r="F33" i="20" s="1"/>
  <c r="K32" i="20"/>
  <c r="T32" i="19"/>
  <c r="T33" i="19" s="1" a="1"/>
  <c r="T33" i="19" s="1"/>
  <c r="T34" i="19" s="1" a="1"/>
  <c r="T34" i="19" s="1"/>
  <c r="F33" i="19" a="1"/>
  <c r="F33" i="19" s="1"/>
  <c r="K51" i="20"/>
  <c r="F52" i="20" a="1"/>
  <c r="F52" i="20" s="1"/>
  <c r="D573" i="29" a="1"/>
  <c r="D573" i="29" s="1"/>
  <c r="AB572" i="29"/>
  <c r="AF87" i="31"/>
  <c r="F88" i="31" a="1"/>
  <c r="F88" i="31" s="1"/>
  <c r="F45" i="9" a="1"/>
  <c r="F45" i="9" s="1"/>
  <c r="U44" i="9"/>
  <c r="U45" i="9" s="1" a="1"/>
  <c r="U45" i="9" s="1"/>
  <c r="F140" i="31" a="1"/>
  <c r="F140" i="31" s="1"/>
  <c r="AF139" i="31"/>
  <c r="AN37" i="28"/>
  <c r="F38" i="28" a="1"/>
  <c r="F38" i="28" s="1"/>
  <c r="D285" i="30" a="1"/>
  <c r="D285" i="30" s="1"/>
  <c r="AB284" i="30"/>
  <c r="F110" i="19" a="1"/>
  <c r="F110" i="19" s="1"/>
  <c r="K109" i="19"/>
  <c r="F487" i="29" a="1"/>
  <c r="F487" i="29" s="1"/>
  <c r="K46" i="22"/>
  <c r="F47" i="22" a="1"/>
  <c r="F47" i="22" s="1"/>
  <c r="AB118" i="11" a="1"/>
  <c r="AB118" i="11" s="1"/>
  <c r="V118" i="11" a="1"/>
  <c r="V118" i="11" s="1"/>
  <c r="F199" i="30" a="1"/>
  <c r="F199" i="30" s="1"/>
  <c r="F39" i="14" a="1"/>
  <c r="F39" i="14" s="1"/>
  <c r="D573" i="30" a="1"/>
  <c r="D573" i="30" s="1"/>
  <c r="AB572" i="30"/>
  <c r="AB140" i="30"/>
  <c r="D141" i="30" a="1"/>
  <c r="D141" i="30" s="1"/>
  <c r="K60" i="22"/>
  <c r="F61" i="22" a="1"/>
  <c r="F61" i="22" s="1"/>
  <c r="T67" i="18"/>
  <c r="T68" i="18" s="1" a="1"/>
  <c r="T68" i="18" s="1"/>
  <c r="F68" i="18" a="1"/>
  <c r="F68" i="18" s="1"/>
  <c r="F69" i="18" s="1" a="1"/>
  <c r="F69" i="18" s="1"/>
  <c r="F70" i="18" s="1" a="1"/>
  <c r="F70" i="18" s="1"/>
  <c r="F343" i="30" a="1"/>
  <c r="F343" i="30" s="1"/>
  <c r="AF49" i="34"/>
  <c r="AF68" i="34"/>
  <c r="AF50" i="34"/>
  <c r="AF69" i="34"/>
  <c r="AF31" i="34"/>
  <c r="AF87" i="34"/>
  <c r="AF88" i="34"/>
  <c r="T130" i="18"/>
  <c r="T131" i="18" s="1" a="1"/>
  <c r="T131" i="18" s="1"/>
  <c r="F131" i="18" a="1"/>
  <c r="F131" i="18" s="1"/>
  <c r="F132" i="18" s="1" a="1"/>
  <c r="F132" i="18" s="1"/>
  <c r="F133" i="18" s="1" a="1"/>
  <c r="F133" i="18" s="1"/>
  <c r="F230" i="27" a="1"/>
  <c r="F230" i="27" s="1"/>
  <c r="F231" i="27" s="1" a="1"/>
  <c r="F231" i="27" s="1"/>
  <c r="F232" i="27" s="1" a="1"/>
  <c r="F232" i="27" s="1"/>
  <c r="F233" i="27" s="1" a="1"/>
  <c r="F233" i="27" s="1"/>
  <c r="F234" i="27" s="1" a="1"/>
  <c r="F234" i="27" s="1"/>
  <c r="F235" i="27" s="1" a="1"/>
  <c r="F235" i="27" s="1"/>
  <c r="AE55" i="34"/>
  <c r="F56" i="34" a="1"/>
  <c r="F56" i="34" s="1"/>
  <c r="AF55" i="34"/>
  <c r="F74" i="9" a="1"/>
  <c r="F74" i="9" s="1"/>
  <c r="U73" i="9"/>
  <c r="F90" i="20" a="1"/>
  <c r="F90" i="20" s="1"/>
  <c r="K89" i="20"/>
  <c r="F123" i="28" a="1"/>
  <c r="F123" i="28" s="1"/>
  <c r="AN122" i="28"/>
  <c r="AN207" i="28"/>
  <c r="F208" i="28" a="1"/>
  <c r="F208" i="28" s="1"/>
  <c r="AB300" i="11" a="1"/>
  <c r="AB300" i="11" s="1"/>
  <c r="V300" i="11" a="1"/>
  <c r="V300" i="11" s="1"/>
  <c r="F43" i="13" a="1"/>
  <c r="F43" i="13" s="1"/>
  <c r="AG187" i="26" s="1"/>
  <c r="T42" i="13"/>
  <c r="AF35" i="31"/>
  <c r="F36" i="31" a="1"/>
  <c r="F36" i="31" s="1"/>
  <c r="F128" i="9" a="1"/>
  <c r="F128" i="9" s="1"/>
  <c r="U127" i="9"/>
  <c r="D429" i="30" a="1"/>
  <c r="D429" i="30" s="1"/>
  <c r="AB428" i="30"/>
  <c r="F91" i="26" a="1"/>
  <c r="F91" i="26" s="1"/>
  <c r="F63" i="14" a="1"/>
  <c r="F63" i="14" s="1"/>
  <c r="F64" i="14" s="1" a="1"/>
  <c r="F64" i="14" s="1"/>
  <c r="F65" i="14" s="1" a="1"/>
  <c r="F65" i="14" s="1"/>
  <c r="F66" i="14" s="1" a="1"/>
  <c r="F66" i="14" s="1"/>
  <c r="F67" i="14" s="1" a="1"/>
  <c r="F67" i="14" s="1"/>
  <c r="F68" i="14" s="1" a="1"/>
  <c r="F68" i="14" s="1"/>
  <c r="F69" i="14" s="1" a="1"/>
  <c r="F69" i="14" s="1"/>
  <c r="T69" i="14" s="1"/>
  <c r="T62" i="14"/>
  <c r="T63" i="14" s="1" a="1"/>
  <c r="T63" i="14" s="1"/>
  <c r="T64" i="14" s="1" a="1"/>
  <c r="T64" i="14" s="1"/>
  <c r="T65" i="14" s="1" a="1"/>
  <c r="T65" i="14" s="1"/>
  <c r="T66" i="14" s="1" a="1"/>
  <c r="T66" i="14" s="1"/>
  <c r="T67" i="14" s="1" a="1"/>
  <c r="T67" i="14" s="1"/>
  <c r="T68" i="14" s="1" a="1"/>
  <c r="T68" i="14" s="1"/>
  <c r="T97" i="18"/>
  <c r="T98" i="18" s="1" a="1"/>
  <c r="T98" i="18" s="1"/>
  <c r="F98" i="18" a="1"/>
  <c r="F98" i="18" s="1"/>
  <c r="F99" i="18" s="1" a="1"/>
  <c r="F99" i="18" s="1"/>
  <c r="F100" i="18" s="1" a="1"/>
  <c r="F100" i="18" s="1"/>
  <c r="D141" i="29" a="1"/>
  <c r="D141" i="29" s="1"/>
  <c r="AB140" i="29"/>
  <c r="AB209" i="11" a="1"/>
  <c r="AB209" i="11" s="1"/>
  <c r="V209" i="11" a="1"/>
  <c r="V209" i="11" s="1"/>
  <c r="AF189" i="31"/>
  <c r="F190" i="31" a="1"/>
  <c r="F190" i="31" s="1"/>
  <c r="F62" i="27" a="1"/>
  <c r="F62" i="27" s="1"/>
  <c r="F63" i="27" s="1" a="1"/>
  <c r="F63" i="27" s="1"/>
  <c r="F64" i="27" s="1" a="1"/>
  <c r="F64" i="27" s="1"/>
  <c r="F65" i="27" s="1" a="1"/>
  <c r="F65" i="27" s="1"/>
  <c r="F66" i="27" s="1" a="1"/>
  <c r="F66" i="27" s="1"/>
  <c r="F67" i="27" s="1" a="1"/>
  <c r="F67" i="27" s="1"/>
  <c r="F86" i="14" a="1"/>
  <c r="F86" i="14" s="1"/>
  <c r="F87" i="14" s="1" a="1"/>
  <c r="F87" i="14" s="1"/>
  <c r="F88" i="14" s="1" a="1"/>
  <c r="F88" i="14" s="1"/>
  <c r="F89" i="14" s="1" a="1"/>
  <c r="F89" i="14" s="1"/>
  <c r="F90" i="14" s="1" a="1"/>
  <c r="F90" i="14" s="1"/>
  <c r="F91" i="14" s="1" a="1"/>
  <c r="F91" i="14" s="1"/>
  <c r="F92" i="14" s="1" a="1"/>
  <c r="F92" i="14" s="1"/>
  <c r="T92" i="14" s="1"/>
  <c r="T85" i="14"/>
  <c r="T86" i="14" s="1" a="1"/>
  <c r="T86" i="14" s="1"/>
  <c r="T87" i="14" s="1" a="1"/>
  <c r="T87" i="14" s="1"/>
  <c r="T88" i="14" s="1" a="1"/>
  <c r="T88" i="14" s="1"/>
  <c r="T89" i="14" s="1" a="1"/>
  <c r="T89" i="14" s="1"/>
  <c r="T90" i="14" s="1" a="1"/>
  <c r="T90" i="14" s="1"/>
  <c r="T91" i="14" s="1" a="1"/>
  <c r="T91" i="14" s="1"/>
  <c r="T288" i="33" a="1"/>
  <c r="T288" i="33" s="1"/>
  <c r="T286" i="33" a="1"/>
  <c r="T286" i="33" s="1"/>
  <c r="T287" i="33" s="1" a="1"/>
  <c r="T287" i="33" s="1"/>
  <c r="F143" i="26" a="1"/>
  <c r="F143" i="26" s="1"/>
  <c r="AE36" i="34"/>
  <c r="AF36" i="34"/>
  <c r="F37" i="34" a="1"/>
  <c r="F37" i="34" s="1"/>
  <c r="U100" i="9"/>
  <c r="F101" i="9" a="1"/>
  <c r="F101" i="9" s="1"/>
  <c r="D429" i="29" a="1"/>
  <c r="D429" i="29" s="1"/>
  <c r="AB428" i="29"/>
  <c r="F85" i="19" a="1"/>
  <c r="F85" i="19" s="1"/>
  <c r="K84" i="19"/>
  <c r="AF93" i="34"/>
  <c r="AE93" i="34"/>
  <c r="F94" i="34" a="1"/>
  <c r="F94" i="34" s="1"/>
  <c r="F174" i="27" a="1"/>
  <c r="F174" i="27" s="1"/>
  <c r="F175" i="27" s="1" a="1"/>
  <c r="F175" i="27" s="1"/>
  <c r="F176" i="27" s="1" a="1"/>
  <c r="F176" i="27" s="1"/>
  <c r="F177" i="27" s="1" a="1"/>
  <c r="F177" i="27" s="1"/>
  <c r="F178" i="27" s="1" a="1"/>
  <c r="F178" i="27" s="1"/>
  <c r="F179" i="27" s="1" a="1"/>
  <c r="F179" i="27" s="1"/>
  <c r="K70" i="20"/>
  <c r="F71" i="20" a="1"/>
  <c r="F71" i="20" s="1"/>
  <c r="F487" i="30" a="1"/>
  <c r="F487" i="30" s="1"/>
  <c r="F118" i="27" a="1"/>
  <c r="F118" i="27" s="1"/>
  <c r="F119" i="27" s="1" a="1"/>
  <c r="F119" i="27" s="1"/>
  <c r="F120" i="27" s="1" a="1"/>
  <c r="F120" i="27" s="1"/>
  <c r="F121" i="27" s="1" a="1"/>
  <c r="F121" i="27" s="1"/>
  <c r="F122" i="27" s="1" a="1"/>
  <c r="F122" i="27" s="1"/>
  <c r="F123" i="27" s="1" a="1"/>
  <c r="F123" i="27" s="1"/>
  <c r="T110" i="33" a="1"/>
  <c r="T110" i="33" s="1"/>
  <c r="T108" i="33" a="1"/>
  <c r="T108" i="33" s="1"/>
  <c r="T109" i="33" s="1" a="1"/>
  <c r="T109" i="33" s="1"/>
  <c r="F60" i="19" a="1"/>
  <c r="F60" i="19" s="1"/>
  <c r="K59" i="19"/>
  <c r="K74" i="22"/>
  <c r="F75" i="22" a="1"/>
  <c r="F75" i="22" s="1"/>
  <c r="F55" i="29" a="1"/>
  <c r="F55" i="29" s="1"/>
  <c r="BO54" i="29"/>
  <c r="T199" i="33" a="1"/>
  <c r="T199" i="33" s="1"/>
  <c r="T197" i="33" a="1"/>
  <c r="T197" i="33" s="1"/>
  <c r="T198" i="33" s="1" a="1"/>
  <c r="T198" i="33" s="1"/>
  <c r="F38" i="26" a="1"/>
  <c r="F38" i="26" s="1"/>
  <c r="U36" i="8"/>
  <c r="F37" i="8" a="1"/>
  <c r="F37" i="8" s="1"/>
  <c r="F199" i="29" a="1"/>
  <c r="F199" i="29" s="1"/>
  <c r="F54" i="30" a="1"/>
  <c r="F54" i="30" s="1"/>
  <c r="T375" i="33" a="1"/>
  <c r="T375" i="33" s="1"/>
  <c r="T376" i="33" s="1" a="1"/>
  <c r="T376" i="33" s="1"/>
  <c r="T377" i="33" a="1"/>
  <c r="T377" i="33" s="1"/>
  <c r="F109" i="14" a="1"/>
  <c r="F109" i="14" s="1"/>
  <c r="F110" i="14" s="1" a="1"/>
  <c r="F110" i="14" s="1"/>
  <c r="F111" i="14" s="1" a="1"/>
  <c r="F111" i="14" s="1"/>
  <c r="F112" i="14" s="1" a="1"/>
  <c r="F112" i="14" s="1"/>
  <c r="F113" i="14" s="1" a="1"/>
  <c r="F113" i="14" s="1"/>
  <c r="F114" i="14" s="1" a="1"/>
  <c r="F114" i="14" s="1"/>
  <c r="F115" i="14" s="1" a="1"/>
  <c r="F115" i="14" s="1"/>
  <c r="T115" i="14" s="1"/>
  <c r="T108" i="14"/>
  <c r="T109" i="14" s="1" a="1"/>
  <c r="T109" i="14" s="1"/>
  <c r="T110" i="14" s="1" a="1"/>
  <c r="T110" i="14" s="1"/>
  <c r="T111" i="14" s="1" a="1"/>
  <c r="T111" i="14" s="1"/>
  <c r="T112" i="14" s="1" a="1"/>
  <c r="T112" i="14" s="1"/>
  <c r="T113" i="14" s="1" a="1"/>
  <c r="T113" i="14" s="1"/>
  <c r="T114" i="14" s="1" a="1"/>
  <c r="T114" i="14" s="1"/>
  <c r="F75" i="34" a="1"/>
  <c r="F75" i="34" s="1"/>
  <c r="AF74" i="34"/>
  <c r="AE74" i="34"/>
  <c r="K32" i="22"/>
  <c r="F33" i="22" a="1"/>
  <c r="F33" i="22" s="1"/>
  <c r="BO54" i="30" l="1"/>
  <c r="F55" i="30" a="1"/>
  <c r="F55" i="30" s="1"/>
  <c r="T201" i="33" a="1"/>
  <c r="T201" i="33" s="1"/>
  <c r="T200" i="33" a="1"/>
  <c r="T200" i="33" s="1"/>
  <c r="BO55" i="29"/>
  <c r="F56" i="29" a="1"/>
  <c r="F56" i="29" s="1"/>
  <c r="T112" i="33" a="1"/>
  <c r="T112" i="33" s="1"/>
  <c r="T111" i="33" a="1"/>
  <c r="T111" i="33" s="1"/>
  <c r="F124" i="27" a="1"/>
  <c r="F124" i="27" s="1"/>
  <c r="F125" i="27" s="1" a="1"/>
  <c r="F125" i="27" s="1"/>
  <c r="F126" i="27" s="1" a="1"/>
  <c r="F126" i="27" s="1"/>
  <c r="F180" i="27" a="1"/>
  <c r="F180" i="27" s="1"/>
  <c r="F181" i="27" s="1" a="1"/>
  <c r="F181" i="27" s="1"/>
  <c r="F182" i="27" s="1" a="1"/>
  <c r="F182" i="27" s="1"/>
  <c r="F68" i="27" a="1"/>
  <c r="F68" i="27" s="1"/>
  <c r="F69" i="27" s="1" a="1"/>
  <c r="F69" i="27" s="1"/>
  <c r="F70" i="27" s="1" a="1"/>
  <c r="F70" i="27"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AB35" i="12" a="1"/>
  <c r="AB35" i="12" s="1"/>
  <c r="F124" i="28" a="1"/>
  <c r="F124" i="28" s="1"/>
  <c r="AN123" i="28"/>
  <c r="AI200" i="28"/>
  <c r="AE200" i="28"/>
  <c r="AE199" i="28" s="1"/>
  <c r="AJ30" i="28"/>
  <c r="AJ29" i="28" s="1"/>
  <c r="AE30" i="28"/>
  <c r="AE29" i="28" s="1"/>
  <c r="AJ285" i="28"/>
  <c r="AJ284" i="28" s="1"/>
  <c r="AG285" i="28"/>
  <c r="AG200" i="28"/>
  <c r="F111" i="19" a="1"/>
  <c r="F111" i="19" s="1"/>
  <c r="F112" i="19" s="1" a="1"/>
  <c r="F112" i="19" s="1"/>
  <c r="F113" i="19" s="1" a="1"/>
  <c r="F113" i="19" s="1"/>
  <c r="T110" i="19"/>
  <c r="T111" i="19" s="1" a="1"/>
  <c r="T111" i="19" s="1"/>
  <c r="T112" i="19" s="1" a="1"/>
  <c r="T112" i="19" s="1"/>
  <c r="D286" i="30" a="1"/>
  <c r="D286" i="30" s="1"/>
  <c r="AB285" i="30"/>
  <c r="F39" i="28" a="1"/>
  <c r="F39" i="28" s="1"/>
  <c r="AN38" i="28"/>
  <c r="F46" i="9" a="1"/>
  <c r="F46" i="9" s="1"/>
  <c r="F89" i="31" a="1"/>
  <c r="F89" i="31" s="1"/>
  <c r="AF88" i="31"/>
  <c r="D574" i="29" a="1"/>
  <c r="D574" i="29" s="1"/>
  <c r="AB573" i="29"/>
  <c r="AB285" i="29"/>
  <c r="D286" i="29" a="1"/>
  <c r="D286" i="29" s="1"/>
  <c r="F35" i="18" a="1"/>
  <c r="F35" i="18" s="1"/>
  <c r="T379" i="33" a="1"/>
  <c r="T379" i="33" s="1"/>
  <c r="T378" i="33" a="1"/>
  <c r="T378" i="33" s="1"/>
  <c r="U37" i="8"/>
  <c r="F38" i="8" a="1"/>
  <c r="F38" i="8" s="1"/>
  <c r="U38" i="8" s="1"/>
  <c r="K75" i="22"/>
  <c r="F76" i="22" a="1"/>
  <c r="F76" i="22" s="1"/>
  <c r="T60" i="19"/>
  <c r="T61" i="19" s="1" a="1"/>
  <c r="T61" i="19" s="1"/>
  <c r="T62" i="19" s="1" a="1"/>
  <c r="T62" i="19" s="1"/>
  <c r="F61" i="19" a="1"/>
  <c r="F61" i="19" s="1"/>
  <c r="F62" i="19" s="1" a="1"/>
  <c r="F62" i="19" s="1"/>
  <c r="F63" i="19" s="1" a="1"/>
  <c r="F63" i="19" s="1"/>
  <c r="F488" i="30" a="1"/>
  <c r="F488" i="30" s="1"/>
  <c r="K71" i="20"/>
  <c r="F72" i="20" a="1"/>
  <c r="F72" i="20" s="1"/>
  <c r="F95" i="34" a="1"/>
  <c r="F95" i="34" s="1"/>
  <c r="F96" i="34" s="1" a="1"/>
  <c r="F96" i="34" s="1"/>
  <c r="D430" i="29" a="1"/>
  <c r="D430" i="29" s="1"/>
  <c r="AB429" i="29"/>
  <c r="F144" i="26" a="1"/>
  <c r="F144" i="26" s="1"/>
  <c r="F92" i="26" a="1"/>
  <c r="F92" i="26" s="1"/>
  <c r="S301" i="11"/>
  <c r="T301" i="11" s="1"/>
  <c r="T302" i="11" s="1" a="1"/>
  <c r="T302" i="11" s="1"/>
  <c r="T303" i="11" s="1" a="1"/>
  <c r="T303" i="11" s="1"/>
  <c r="T304" i="11" s="1" a="1"/>
  <c r="T304" i="11" s="1"/>
  <c r="T305" i="11" s="1" a="1"/>
  <c r="T305" i="11" s="1"/>
  <c r="T306" i="11" s="1" a="1"/>
  <c r="T306" i="11" s="1"/>
  <c r="T307" i="11" s="1" a="1"/>
  <c r="T307" i="11" s="1"/>
  <c r="T308" i="11" s="1" a="1"/>
  <c r="T308" i="11" s="1"/>
  <c r="T309" i="11" s="1" a="1"/>
  <c r="T309" i="11" s="1"/>
  <c r="T310" i="11" s="1" a="1"/>
  <c r="T310" i="11" s="1"/>
  <c r="T311" i="11" s="1" a="1"/>
  <c r="T311" i="11" s="1"/>
  <c r="T312" i="11" s="1" a="1"/>
  <c r="T312" i="11" s="1"/>
  <c r="T313" i="11" s="1" a="1"/>
  <c r="T313" i="11" s="1"/>
  <c r="T314" i="11" s="1" a="1"/>
  <c r="T314" i="11" s="1"/>
  <c r="T315" i="11" s="1" a="1"/>
  <c r="T315" i="11" s="1"/>
  <c r="T316" i="11" s="1" a="1"/>
  <c r="T316" i="11" s="1"/>
  <c r="T317" i="11" s="1" a="1"/>
  <c r="T317" i="11" s="1"/>
  <c r="T318" i="11" s="1" a="1"/>
  <c r="T318" i="11" s="1"/>
  <c r="T319" i="11" s="1" a="1"/>
  <c r="T319" i="11" s="1"/>
  <c r="T320" i="11" s="1" a="1"/>
  <c r="T320" i="11" s="1"/>
  <c r="T321" i="11" s="1" a="1"/>
  <c r="T321" i="11" s="1"/>
  <c r="T322" i="11" s="1" a="1"/>
  <c r="T322" i="11" s="1"/>
  <c r="T323" i="11" s="1" a="1"/>
  <c r="T323" i="11" s="1"/>
  <c r="T324" i="11" s="1" a="1"/>
  <c r="T324" i="11" s="1"/>
  <c r="T325" i="11" s="1" a="1"/>
  <c r="T325" i="11" s="1"/>
  <c r="T326" i="11" s="1" a="1"/>
  <c r="T326" i="11" s="1"/>
  <c r="T327" i="11" s="1" a="1"/>
  <c r="T327" i="11" s="1"/>
  <c r="T328" i="11" s="1" a="1"/>
  <c r="T328" i="11" s="1"/>
  <c r="T329" i="11" s="1" a="1"/>
  <c r="T329" i="11" s="1"/>
  <c r="T330" i="11" s="1" a="1"/>
  <c r="T330" i="11" s="1"/>
  <c r="T331" i="11" s="1" a="1"/>
  <c r="T331" i="11" s="1"/>
  <c r="T332" i="11" s="1" a="1"/>
  <c r="T332" i="11" s="1"/>
  <c r="T333" i="11" s="1" a="1"/>
  <c r="T333" i="11" s="1"/>
  <c r="T334" i="11" s="1" a="1"/>
  <c r="T334" i="11" s="1"/>
  <c r="T335" i="11" s="1" a="1"/>
  <c r="T335" i="11" s="1"/>
  <c r="T336" i="11" s="1" a="1"/>
  <c r="T336" i="11" s="1"/>
  <c r="S354" i="11"/>
  <c r="T354" i="11" s="1"/>
  <c r="T355" i="11" s="1" a="1"/>
  <c r="T355" i="11" s="1"/>
  <c r="T356" i="11" s="1" a="1"/>
  <c r="T356" i="11" s="1"/>
  <c r="T357" i="11" s="1" a="1"/>
  <c r="T357" i="11" s="1"/>
  <c r="T358" i="11" s="1" a="1"/>
  <c r="T358" i="11" s="1"/>
  <c r="T359" i="11" s="1" a="1"/>
  <c r="T359" i="11" s="1"/>
  <c r="T360" i="11" s="1" a="1"/>
  <c r="T360" i="11" s="1"/>
  <c r="T361" i="11" s="1" a="1"/>
  <c r="T361" i="11" s="1"/>
  <c r="T362" i="11" s="1" a="1"/>
  <c r="T362" i="11" s="1"/>
  <c r="T363" i="11" s="1" a="1"/>
  <c r="T363" i="11" s="1"/>
  <c r="T364" i="11" s="1" a="1"/>
  <c r="T364" i="11" s="1"/>
  <c r="T365" i="11" s="1" a="1"/>
  <c r="T365" i="11" s="1"/>
  <c r="T366" i="11" s="1" a="1"/>
  <c r="T366" i="11" s="1"/>
  <c r="T367" i="11" s="1" a="1"/>
  <c r="T367" i="11" s="1"/>
  <c r="T368" i="11" s="1" a="1"/>
  <c r="T368" i="11" s="1"/>
  <c r="T369" i="11" s="1" a="1"/>
  <c r="T369" i="11" s="1"/>
  <c r="T370" i="11" s="1" a="1"/>
  <c r="T370" i="11" s="1"/>
  <c r="T371" i="11" s="1" a="1"/>
  <c r="T371" i="11" s="1"/>
  <c r="T372" i="11" s="1" a="1"/>
  <c r="T372" i="11" s="1"/>
  <c r="T373" i="11" s="1" a="1"/>
  <c r="T373" i="11" s="1"/>
  <c r="T374" i="11" s="1" a="1"/>
  <c r="T374" i="11" s="1"/>
  <c r="T375" i="11" s="1" a="1"/>
  <c r="T375" i="11" s="1"/>
  <c r="T376" i="11" s="1" a="1"/>
  <c r="T376" i="11" s="1"/>
  <c r="T377" i="11" s="1" a="1"/>
  <c r="T377" i="11" s="1"/>
  <c r="T378" i="11" s="1" a="1"/>
  <c r="T378" i="11" s="1"/>
  <c r="S338" i="11"/>
  <c r="T338" i="11" s="1"/>
  <c r="T339" i="11" s="1" a="1"/>
  <c r="T339" i="11" s="1"/>
  <c r="T340" i="11" s="1" a="1"/>
  <c r="T340" i="11" s="1"/>
  <c r="T341" i="11" s="1" a="1"/>
  <c r="T341" i="11" s="1"/>
  <c r="T342" i="11" s="1" a="1"/>
  <c r="T342" i="11" s="1"/>
  <c r="T343" i="11" s="1" a="1"/>
  <c r="T343" i="11" s="1"/>
  <c r="T344" i="11" s="1" a="1"/>
  <c r="T344" i="11" s="1"/>
  <c r="T345" i="11" s="1" a="1"/>
  <c r="T345" i="11" s="1"/>
  <c r="T346" i="11" s="1" a="1"/>
  <c r="T346" i="11" s="1"/>
  <c r="T347" i="11" s="1" a="1"/>
  <c r="T347" i="11" s="1"/>
  <c r="T348" i="11" s="1" a="1"/>
  <c r="T348" i="11" s="1"/>
  <c r="T349" i="11" s="1" a="1"/>
  <c r="T349" i="11" s="1"/>
  <c r="T350" i="11" s="1" a="1"/>
  <c r="T350" i="11" s="1"/>
  <c r="T351" i="11" s="1" a="1"/>
  <c r="T351" i="11" s="1"/>
  <c r="T352" i="11" s="1" a="1"/>
  <c r="T352" i="11" s="1"/>
  <c r="AB38" i="12" a="1"/>
  <c r="AB38" i="12" s="1"/>
  <c r="S380" i="11"/>
  <c r="T380" i="11" s="1"/>
  <c r="T381" i="11" s="1" a="1"/>
  <c r="T381" i="11" s="1"/>
  <c r="T382" i="11" s="1" a="1"/>
  <c r="T382" i="11" s="1"/>
  <c r="T383" i="11" s="1" a="1"/>
  <c r="T383" i="11" s="1"/>
  <c r="T384" i="11" s="1" a="1"/>
  <c r="T384" i="11" s="1"/>
  <c r="T385" i="11" s="1" a="1"/>
  <c r="T385" i="11" s="1"/>
  <c r="T386" i="11" s="1" a="1"/>
  <c r="T386" i="11" s="1"/>
  <c r="T387" i="11" s="1" a="1"/>
  <c r="T387" i="11" s="1"/>
  <c r="T388" i="11" s="1" a="1"/>
  <c r="T388" i="11" s="1"/>
  <c r="T389" i="11" s="1" a="1"/>
  <c r="T389" i="11" s="1"/>
  <c r="T390" i="11" s="1" a="1"/>
  <c r="T390" i="11" s="1"/>
  <c r="V38" i="12" a="1"/>
  <c r="V38" i="12" s="1"/>
  <c r="F75" i="9" a="1"/>
  <c r="F75" i="9" s="1"/>
  <c r="F76" i="9" s="1" a="1"/>
  <c r="F76" i="9" s="1"/>
  <c r="U74" i="9"/>
  <c r="U75" i="9" s="1" a="1"/>
  <c r="U75" i="9" s="1"/>
  <c r="F236" i="27" a="1"/>
  <c r="F236" i="27" s="1"/>
  <c r="F237" i="27" s="1" a="1"/>
  <c r="F237" i="27" s="1"/>
  <c r="F238" i="27" s="1" a="1"/>
  <c r="F238" i="27" s="1"/>
  <c r="F71" i="18" a="1"/>
  <c r="F71" i="18" s="1"/>
  <c r="F72" i="18" s="1" a="1"/>
  <c r="F72" i="18" s="1"/>
  <c r="T70" i="18"/>
  <c r="T71" i="18" s="1" a="1"/>
  <c r="T71" i="18" s="1"/>
  <c r="AF115" i="28"/>
  <c r="AF114" i="28" s="1"/>
  <c r="AG30" i="28"/>
  <c r="AF200" i="28"/>
  <c r="AF199" i="28" s="1"/>
  <c r="AI30" i="28"/>
  <c r="AF285" i="28"/>
  <c r="AF284" i="28" s="1"/>
  <c r="AG115" i="28"/>
  <c r="F488" i="29" a="1"/>
  <c r="F488" i="29" s="1"/>
  <c r="F53" i="20" a="1"/>
  <c r="F53" i="20" s="1"/>
  <c r="K52" i="20"/>
  <c r="F294" i="28" a="1"/>
  <c r="F294" i="28" s="1"/>
  <c r="AN293" i="28"/>
  <c r="F194" i="26" a="1"/>
  <c r="F194" i="26" s="1"/>
  <c r="K33" i="22"/>
  <c r="F34" i="22" a="1"/>
  <c r="F34" i="22" s="1"/>
  <c r="F76" i="34" a="1"/>
  <c r="F76" i="34" s="1"/>
  <c r="F77" i="34" s="1" a="1"/>
  <c r="F77" i="34" s="1"/>
  <c r="T85" i="19"/>
  <c r="T86" i="19" s="1" a="1"/>
  <c r="T86" i="19" s="1"/>
  <c r="T87" i="19" s="1" a="1"/>
  <c r="T87" i="19" s="1"/>
  <c r="F86" i="19" a="1"/>
  <c r="F86" i="19" s="1"/>
  <c r="F87" i="19" s="1" a="1"/>
  <c r="F87" i="19" s="1"/>
  <c r="F88" i="19" s="1" a="1"/>
  <c r="F88" i="19" s="1"/>
  <c r="AE37" i="34"/>
  <c r="AE28" i="34" s="1"/>
  <c r="F38" i="34" a="1"/>
  <c r="F38" i="34" s="1"/>
  <c r="F39" i="34" s="1" a="1"/>
  <c r="F39" i="34" s="1"/>
  <c r="AF37" i="34"/>
  <c r="AF28" i="34" s="1"/>
  <c r="AB141" i="29"/>
  <c r="D142" i="29" a="1"/>
  <c r="D142" i="29" s="1"/>
  <c r="D430" i="30" a="1"/>
  <c r="D430" i="30" s="1"/>
  <c r="AB429" i="30"/>
  <c r="F134" i="18" a="1"/>
  <c r="F134" i="18" s="1"/>
  <c r="F135" i="18" s="1" a="1"/>
  <c r="F135" i="18" s="1"/>
  <c r="T133" i="18"/>
  <c r="T134" i="18" s="1" a="1"/>
  <c r="T134" i="18" s="1"/>
  <c r="D574" i="30" a="1"/>
  <c r="D574" i="30" s="1"/>
  <c r="AB573" i="30"/>
  <c r="F200" i="30" a="1"/>
  <c r="F200" i="30" s="1"/>
  <c r="AJ115" i="28"/>
  <c r="AJ114" i="28" s="1"/>
  <c r="AE115" i="28"/>
  <c r="AE114" i="28" s="1"/>
  <c r="AK30" i="28"/>
  <c r="AK29" i="28" s="1"/>
  <c r="AI285" i="28"/>
  <c r="AG34" i="26"/>
  <c r="AK285" i="28"/>
  <c r="AK284" i="28"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V32" i="12" a="1"/>
  <c r="V32" i="12"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K47" i="22"/>
  <c r="F48" i="22" a="1"/>
  <c r="F48" i="22" s="1"/>
  <c r="F34" i="20" a="1"/>
  <c r="F34" i="20" s="1"/>
  <c r="K33" i="20"/>
  <c r="F344" i="29" a="1"/>
  <c r="F344" i="29" s="1"/>
  <c r="F200" i="29" a="1"/>
  <c r="F200" i="29" s="1"/>
  <c r="F39" i="26" a="1"/>
  <c r="F39" i="26" s="1"/>
  <c r="U101" i="9"/>
  <c r="U102" i="9" s="1" a="1"/>
  <c r="U102" i="9" s="1"/>
  <c r="F102" i="9" a="1"/>
  <c r="F102" i="9" s="1"/>
  <c r="F103" i="9" s="1" a="1"/>
  <c r="F103" i="9" s="1"/>
  <c r="T290" i="33" a="1"/>
  <c r="T290" i="33" s="1"/>
  <c r="T289" i="33" a="1"/>
  <c r="T289" i="33" s="1"/>
  <c r="F191" i="31" a="1"/>
  <c r="F191" i="31" s="1"/>
  <c r="AF190" i="31"/>
  <c r="F101" i="18" a="1"/>
  <c r="F101" i="18" s="1"/>
  <c r="F102" i="18" s="1" a="1"/>
  <c r="F102" i="18" s="1"/>
  <c r="T100" i="18"/>
  <c r="T101" i="18" s="1" a="1"/>
  <c r="T101" i="18" s="1"/>
  <c r="F129" i="9" a="1"/>
  <c r="F129" i="9" s="1"/>
  <c r="F130" i="9" s="1" a="1"/>
  <c r="F130" i="9" s="1"/>
  <c r="U128" i="9"/>
  <c r="U129" i="9" s="1" a="1"/>
  <c r="U129" i="9" s="1"/>
  <c r="AF36" i="31"/>
  <c r="F37" i="31" a="1"/>
  <c r="F37" i="31" s="1"/>
  <c r="AN208" i="28"/>
  <c r="F209" i="28" a="1"/>
  <c r="F209" i="28" s="1"/>
  <c r="K90" i="20"/>
  <c r="F91" i="20" a="1"/>
  <c r="F91" i="20" s="1"/>
  <c r="F57" i="34" a="1"/>
  <c r="F57" i="34" s="1"/>
  <c r="F58" i="34" s="1" a="1"/>
  <c r="F58" i="34" s="1"/>
  <c r="F344" i="30" a="1"/>
  <c r="F344" i="30" s="1"/>
  <c r="K61" i="22"/>
  <c r="F62" i="22" a="1"/>
  <c r="F62" i="22" s="1"/>
  <c r="D142" i="30" a="1"/>
  <c r="D142" i="30" s="1"/>
  <c r="AB141" i="30"/>
  <c r="F40" i="14" a="1"/>
  <c r="F40" i="14" s="1"/>
  <c r="T39" i="14"/>
  <c r="T40" i="14" s="1" a="1"/>
  <c r="T40" i="14" s="1"/>
  <c r="T41" i="14" s="1" a="1"/>
  <c r="T41" i="14" s="1"/>
  <c r="T42" i="14" s="1" a="1"/>
  <c r="T42" i="14" s="1"/>
  <c r="T43" i="14" s="1" a="1"/>
  <c r="T43" i="14" s="1"/>
  <c r="T44" i="14" s="1" a="1"/>
  <c r="T44" i="14" s="1"/>
  <c r="T45" i="14" s="1" a="1"/>
  <c r="T45" i="14" s="1"/>
  <c r="AF30" i="28"/>
  <c r="AF29" i="28" s="1"/>
  <c r="AE285" i="28"/>
  <c r="AE284" i="28" s="1"/>
  <c r="AK200" i="28"/>
  <c r="AK199" i="28" s="1"/>
  <c r="AI115" i="28"/>
  <c r="AJ200" i="28"/>
  <c r="AJ199" i="28" s="1"/>
  <c r="AK115" i="28"/>
  <c r="AK114" i="28" s="1"/>
  <c r="F141" i="31" a="1"/>
  <c r="F141" i="31" s="1"/>
  <c r="AF140" i="31"/>
  <c r="F34" i="19" a="1"/>
  <c r="F34" i="19" s="1"/>
  <c r="K33" i="19"/>
  <c r="F41" i="14" l="1" a="1"/>
  <c r="F41" i="14" s="1"/>
  <c r="F103" i="18" a="1"/>
  <c r="F103" i="18" s="1"/>
  <c r="F104" i="18" s="1" a="1"/>
  <c r="F104" i="18" s="1"/>
  <c r="F105" i="18" s="1" a="1"/>
  <c r="F105" i="18" s="1"/>
  <c r="T102" i="18"/>
  <c r="T103" i="18" s="1" a="1"/>
  <c r="T103" i="18" s="1"/>
  <c r="BO37" i="29"/>
  <c r="BO37" i="30"/>
  <c r="F142" i="31" a="1"/>
  <c r="F142" i="31" s="1"/>
  <c r="AF141" i="31"/>
  <c r="F63" i="22" a="1"/>
  <c r="F63" i="22" s="1"/>
  <c r="K62" i="22"/>
  <c r="K91" i="20"/>
  <c r="F92" i="20" a="1"/>
  <c r="F92" i="20" s="1"/>
  <c r="F40" i="26" a="1"/>
  <c r="F40" i="26" s="1"/>
  <c r="F201" i="29" a="1"/>
  <c r="F201" i="29" s="1"/>
  <c r="K34" i="20"/>
  <c r="F35" i="20" a="1"/>
  <c r="F35" i="20" s="1"/>
  <c r="F49" i="22" a="1"/>
  <c r="F49" i="22" s="1"/>
  <c r="K48" i="22"/>
  <c r="F35" i="22" a="1"/>
  <c r="F35" i="22" s="1"/>
  <c r="K34" i="22"/>
  <c r="AN294" i="28"/>
  <c r="F295" i="28" a="1"/>
  <c r="F295" i="28" s="1"/>
  <c r="F489" i="29" a="1"/>
  <c r="F489" i="29" s="1"/>
  <c r="AI29" i="28"/>
  <c r="AL30" i="28"/>
  <c r="F239" i="27" a="1"/>
  <c r="F239" i="27" s="1"/>
  <c r="F240" i="27" s="1" a="1"/>
  <c r="F240" i="27" s="1"/>
  <c r="F241" i="27" s="1" a="1"/>
  <c r="F241" i="27" s="1"/>
  <c r="F242" i="27" s="1" a="1"/>
  <c r="F242" i="27" s="1"/>
  <c r="F243" i="27" s="1" a="1"/>
  <c r="F243" i="27" s="1"/>
  <c r="F244" i="27" s="1" a="1"/>
  <c r="F244" i="27" s="1"/>
  <c r="T238" i="27"/>
  <c r="T239" i="27" s="1" a="1"/>
  <c r="T239" i="27" s="1"/>
  <c r="T240" i="27" s="1" a="1"/>
  <c r="T240" i="27" s="1"/>
  <c r="T241" i="27" s="1" a="1"/>
  <c r="T241" i="27" s="1"/>
  <c r="T242" i="27" s="1" a="1"/>
  <c r="T242" i="27" s="1"/>
  <c r="T243" i="27" s="1" a="1"/>
  <c r="T243" i="27" s="1"/>
  <c r="F90" i="31" a="1"/>
  <c r="F90" i="31" s="1"/>
  <c r="AF89" i="31"/>
  <c r="D287" i="30" a="1"/>
  <c r="D287" i="30" s="1"/>
  <c r="D288" i="30" s="1" a="1"/>
  <c r="D288" i="30" s="1"/>
  <c r="D289" i="30" s="1" a="1"/>
  <c r="D289" i="30" s="1"/>
  <c r="D290" i="30" s="1" a="1"/>
  <c r="D290" i="30" s="1"/>
  <c r="D291" i="30" s="1" a="1"/>
  <c r="D291" i="30" s="1"/>
  <c r="D292" i="30" s="1"/>
  <c r="AB286" i="30"/>
  <c r="AB291" i="30"/>
  <c r="AB287" i="30"/>
  <c r="AB290" i="30"/>
  <c r="AI199" i="28"/>
  <c r="AL200" i="28"/>
  <c r="AB31" i="13" a="1"/>
  <c r="AB31" i="13" s="1"/>
  <c r="V31" i="13" a="1"/>
  <c r="V31" i="13" s="1"/>
  <c r="F136" i="18" a="1"/>
  <c r="F136" i="18" s="1"/>
  <c r="F137" i="18" s="1" a="1"/>
  <c r="F137" i="18" s="1"/>
  <c r="F138" i="18" s="1" a="1"/>
  <c r="F138" i="18" s="1"/>
  <c r="T135" i="18"/>
  <c r="T136" i="18" s="1" a="1"/>
  <c r="T136" i="18" s="1"/>
  <c r="D143" i="29" a="1"/>
  <c r="D143" i="29" s="1"/>
  <c r="D144" i="29" s="1" a="1"/>
  <c r="D144" i="29" s="1"/>
  <c r="D145" i="29" s="1" a="1"/>
  <c r="D145" i="29" s="1"/>
  <c r="D146" i="29" s="1" a="1"/>
  <c r="D146" i="29" s="1"/>
  <c r="D147" i="29" s="1" a="1"/>
  <c r="D147" i="29" s="1"/>
  <c r="D148" i="29" s="1"/>
  <c r="AB146" i="29"/>
  <c r="AB147" i="29"/>
  <c r="AB142" i="29"/>
  <c r="AB143" i="29"/>
  <c r="AE39" i="34"/>
  <c r="F40" i="34" a="1"/>
  <c r="F40" i="34" s="1"/>
  <c r="F41" i="34" s="1" a="1"/>
  <c r="F41" i="34" s="1"/>
  <c r="F42" i="34" s="1" a="1"/>
  <c r="F42" i="34" s="1"/>
  <c r="F43" i="34" s="1" a="1"/>
  <c r="F43" i="34" s="1"/>
  <c r="F44" i="34" s="1" a="1"/>
  <c r="F44" i="34" s="1"/>
  <c r="F45" i="34" s="1" a="1"/>
  <c r="F45" i="34" s="1"/>
  <c r="AF39" i="34"/>
  <c r="F93" i="26" a="1"/>
  <c r="F93" i="26" s="1"/>
  <c r="F97" i="34" a="1"/>
  <c r="F97" i="34" s="1"/>
  <c r="F98" i="34" s="1" a="1"/>
  <c r="F98" i="34" s="1"/>
  <c r="F99" i="34" s="1" a="1"/>
  <c r="F99" i="34" s="1"/>
  <c r="F100" i="34" s="1" a="1"/>
  <c r="F100" i="34" s="1"/>
  <c r="F101" i="34" s="1" a="1"/>
  <c r="F101" i="34" s="1"/>
  <c r="F102" i="34" s="1" a="1"/>
  <c r="F102" i="34" s="1"/>
  <c r="AF96" i="34"/>
  <c r="AE96" i="34"/>
  <c r="F489" i="30" a="1"/>
  <c r="F489" i="30" s="1"/>
  <c r="T63" i="19"/>
  <c r="T64" i="19" s="1" a="1"/>
  <c r="T64" i="19" s="1"/>
  <c r="T65" i="19" s="1" a="1"/>
  <c r="T65" i="19" s="1"/>
  <c r="F64" i="19" a="1"/>
  <c r="F64" i="19" s="1"/>
  <c r="U46" i="9"/>
  <c r="F47" i="9" a="1"/>
  <c r="F47" i="9" s="1"/>
  <c r="V37" i="13" a="1"/>
  <c r="V37" i="13" s="1"/>
  <c r="AB37" i="13" a="1"/>
  <c r="AB37" i="13"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E58" i="34"/>
  <c r="AF58" i="34"/>
  <c r="F59" i="34" a="1"/>
  <c r="F59" i="34" s="1"/>
  <c r="F60" i="34" s="1" a="1"/>
  <c r="F60" i="34" s="1"/>
  <c r="F61" i="34" s="1" a="1"/>
  <c r="F61" i="34" s="1"/>
  <c r="F62" i="34" s="1" a="1"/>
  <c r="F62" i="34" s="1"/>
  <c r="F63" i="34" s="1" a="1"/>
  <c r="F63" i="34" s="1"/>
  <c r="F64" i="34" s="1" a="1"/>
  <c r="F64" i="34" s="1"/>
  <c r="F345" i="29" a="1"/>
  <c r="F345" i="29" s="1"/>
  <c r="AG114" i="28"/>
  <c r="AH115" i="28"/>
  <c r="AH30" i="28"/>
  <c r="AG29" i="28"/>
  <c r="AB44" i="13" a="1"/>
  <c r="AB44" i="13" s="1"/>
  <c r="V44" i="13" a="1"/>
  <c r="V44" i="13" s="1"/>
  <c r="D431" i="29" a="1"/>
  <c r="D431" i="29" s="1"/>
  <c r="D432" i="29" s="1" a="1"/>
  <c r="D432" i="29" s="1"/>
  <c r="D433" i="29" s="1" a="1"/>
  <c r="D433" i="29" s="1"/>
  <c r="D434" i="29" s="1" a="1"/>
  <c r="D434" i="29" s="1"/>
  <c r="D435" i="29" s="1" a="1"/>
  <c r="D435" i="29" s="1"/>
  <c r="D436" i="29" s="1"/>
  <c r="AB430" i="29"/>
  <c r="AB435" i="29"/>
  <c r="AB434" i="29"/>
  <c r="AB431" i="29"/>
  <c r="F36" i="18" a="1"/>
  <c r="F36" i="18" s="1"/>
  <c r="T35" i="18"/>
  <c r="T36" i="18" s="1" a="1"/>
  <c r="T36" i="18" s="1"/>
  <c r="D575" i="29" a="1"/>
  <c r="D575" i="29" s="1"/>
  <c r="D576" i="29" s="1" a="1"/>
  <c r="D576" i="29" s="1"/>
  <c r="D577" i="29" s="1" a="1"/>
  <c r="D577" i="29" s="1"/>
  <c r="D578" i="29" s="1" a="1"/>
  <c r="D578" i="29" s="1"/>
  <c r="D579" i="29" s="1" a="1"/>
  <c r="D579" i="29" s="1"/>
  <c r="D580" i="29" s="1"/>
  <c r="AB575" i="29"/>
  <c r="AB574" i="29"/>
  <c r="AB579" i="29"/>
  <c r="AB578" i="29"/>
  <c r="F40" i="28" a="1"/>
  <c r="F40" i="28" s="1"/>
  <c r="AN39" i="28"/>
  <c r="F114" i="19" a="1"/>
  <c r="F114" i="19" s="1"/>
  <c r="T113" i="19"/>
  <c r="T114" i="19" s="1" a="1"/>
  <c r="T114" i="19" s="1"/>
  <c r="T115" i="19" s="1" a="1"/>
  <c r="T115" i="19" s="1"/>
  <c r="AG199" i="28"/>
  <c r="AH200" i="28"/>
  <c r="AN124" i="28"/>
  <c r="F125" i="28" a="1"/>
  <c r="F125" i="28"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BO56" i="29"/>
  <c r="F57" i="29" a="1"/>
  <c r="F57" i="29" s="1"/>
  <c r="F56" i="30" a="1"/>
  <c r="F56" i="30" s="1"/>
  <c r="BO55" i="30"/>
  <c r="F35" i="19" a="1"/>
  <c r="F35" i="19" s="1"/>
  <c r="K34" i="19"/>
  <c r="AL115" i="28"/>
  <c r="AI114" i="28"/>
  <c r="D143" i="30" a="1"/>
  <c r="D143" i="30" s="1"/>
  <c r="D144" i="30" s="1" a="1"/>
  <c r="D144" i="30" s="1"/>
  <c r="D145" i="30" s="1" a="1"/>
  <c r="D145" i="30" s="1"/>
  <c r="D146" i="30" s="1" a="1"/>
  <c r="D146" i="30" s="1"/>
  <c r="D147" i="30" s="1" a="1"/>
  <c r="D147" i="30" s="1"/>
  <c r="D148" i="30" s="1"/>
  <c r="AB142" i="30"/>
  <c r="AB146" i="30"/>
  <c r="AB147" i="30"/>
  <c r="AB143" i="30"/>
  <c r="F345" i="30" a="1"/>
  <c r="F345" i="30" s="1"/>
  <c r="F210" i="28" a="1"/>
  <c r="F210" i="28" s="1"/>
  <c r="AN209" i="28"/>
  <c r="AF37" i="31"/>
  <c r="F38" i="31" a="1"/>
  <c r="F38" i="31" s="1"/>
  <c r="U130" i="9"/>
  <c r="F131" i="9" a="1"/>
  <c r="F131" i="9" s="1"/>
  <c r="F192" i="31" a="1"/>
  <c r="F192" i="31" s="1"/>
  <c r="AF191" i="31"/>
  <c r="F104" i="9" a="1"/>
  <c r="F104" i="9" s="1"/>
  <c r="U103" i="9"/>
  <c r="AL285" i="28"/>
  <c r="AI284" i="28"/>
  <c r="F201" i="30" a="1"/>
  <c r="F201" i="30" s="1"/>
  <c r="D575" i="30" a="1"/>
  <c r="D575" i="30" s="1"/>
  <c r="D576" i="30" s="1" a="1"/>
  <c r="D576" i="30" s="1"/>
  <c r="D577" i="30" s="1" a="1"/>
  <c r="D577" i="30" s="1"/>
  <c r="D578" i="30" s="1" a="1"/>
  <c r="D578" i="30" s="1"/>
  <c r="D579" i="30" s="1" a="1"/>
  <c r="D579" i="30" s="1"/>
  <c r="D580" i="30" s="1"/>
  <c r="AB574" i="30"/>
  <c r="AB578" i="30"/>
  <c r="AB579" i="30"/>
  <c r="AB575" i="30"/>
  <c r="D431" i="30" a="1"/>
  <c r="D431" i="30" s="1"/>
  <c r="D432" i="30" s="1" a="1"/>
  <c r="D432" i="30" s="1"/>
  <c r="D433" i="30" s="1" a="1"/>
  <c r="D433" i="30" s="1"/>
  <c r="D434" i="30" s="1" a="1"/>
  <c r="D434" i="30" s="1"/>
  <c r="D435" i="30" s="1" a="1"/>
  <c r="D435" i="30" s="1"/>
  <c r="D436" i="30" s="1"/>
  <c r="AB430" i="30"/>
  <c r="AB434" i="30"/>
  <c r="AB431" i="30"/>
  <c r="AB435" i="30"/>
  <c r="F89" i="19" a="1"/>
  <c r="F89" i="19" s="1"/>
  <c r="T88" i="19"/>
  <c r="T89" i="19" s="1" a="1"/>
  <c r="T89" i="19" s="1"/>
  <c r="T90" i="19" s="1" a="1"/>
  <c r="T90" i="19" s="1"/>
  <c r="AF77" i="34"/>
  <c r="AE77" i="34"/>
  <c r="F78" i="34" a="1"/>
  <c r="F78" i="34" s="1"/>
  <c r="F79" i="34" s="1" a="1"/>
  <c r="F79" i="34" s="1"/>
  <c r="F80" i="34" s="1" a="1"/>
  <c r="F80" i="34" s="1"/>
  <c r="F81" i="34" s="1" a="1"/>
  <c r="F81" i="34" s="1"/>
  <c r="F82" i="34" s="1" a="1"/>
  <c r="F82" i="34" s="1"/>
  <c r="F83" i="34" s="1" a="1"/>
  <c r="F83" i="34" s="1"/>
  <c r="F195" i="26" a="1"/>
  <c r="F195" i="26" s="1"/>
  <c r="F54" i="20" a="1"/>
  <c r="F54" i="20" s="1"/>
  <c r="K53" i="20"/>
  <c r="F73" i="18" a="1"/>
  <c r="F73" i="18" s="1"/>
  <c r="F74" i="18" s="1" a="1"/>
  <c r="F74" i="18" s="1"/>
  <c r="F75" i="18" s="1" a="1"/>
  <c r="F75" i="18" s="1"/>
  <c r="T72" i="18"/>
  <c r="T73" i="18" s="1" a="1"/>
  <c r="T73" i="18" s="1"/>
  <c r="U76" i="9"/>
  <c r="F77" i="9" a="1"/>
  <c r="F77" i="9" s="1"/>
  <c r="F145" i="26" a="1"/>
  <c r="F145" i="26" s="1"/>
  <c r="F73" i="20" a="1"/>
  <c r="F73" i="20" s="1"/>
  <c r="K72" i="20"/>
  <c r="F77" i="22" a="1"/>
  <c r="F77" i="22" s="1"/>
  <c r="K76" i="22"/>
  <c r="D287" i="29" a="1"/>
  <c r="D287" i="29" s="1"/>
  <c r="D288" i="29" s="1" a="1"/>
  <c r="D288" i="29" s="1"/>
  <c r="D289" i="29" s="1" a="1"/>
  <c r="D289" i="29" s="1"/>
  <c r="D290" i="29" s="1" a="1"/>
  <c r="D290" i="29" s="1"/>
  <c r="D291" i="29" s="1" a="1"/>
  <c r="D291" i="29" s="1"/>
  <c r="D292" i="29" s="1"/>
  <c r="AB291" i="29"/>
  <c r="AB287" i="29"/>
  <c r="AB290" i="29"/>
  <c r="AB286" i="29"/>
  <c r="AG284" i="28"/>
  <c r="AH285" i="28"/>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B289" i="29" l="1"/>
  <c r="AB288" i="29"/>
  <c r="F146" i="26" a="1"/>
  <c r="F146" i="26" s="1"/>
  <c r="F147" i="26" s="1" a="1"/>
  <c r="F147" i="26" s="1"/>
  <c r="F148" i="26" s="1" a="1"/>
  <c r="F148" i="26" s="1"/>
  <c r="F149" i="26" s="1" a="1"/>
  <c r="F149" i="26" s="1"/>
  <c r="F150" i="26" s="1" a="1"/>
  <c r="F150" i="26" s="1"/>
  <c r="F151" i="26" s="1" a="1"/>
  <c r="F151" i="26" s="1"/>
  <c r="D581" i="30" a="1"/>
  <c r="D581" i="30" s="1"/>
  <c r="AB580" i="30" a="1"/>
  <c r="AB580" i="30" s="1"/>
  <c r="AB144" i="30"/>
  <c r="AB145" i="30"/>
  <c r="AL114" i="28"/>
  <c r="F78" i="22" a="1"/>
  <c r="F78" i="22" s="1"/>
  <c r="K77" i="22"/>
  <c r="AN210" i="28"/>
  <c r="F211" i="28" a="1"/>
  <c r="F211" i="28" s="1"/>
  <c r="F126" i="28" a="1"/>
  <c r="F126" i="28" s="1"/>
  <c r="AN125" i="28"/>
  <c r="AE60" i="34"/>
  <c r="F490" i="29" a="1"/>
  <c r="F490" i="29" s="1"/>
  <c r="F41" i="26" a="1"/>
  <c r="F41" i="26"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196" i="26" a="1"/>
  <c r="F196" i="26" s="1"/>
  <c r="AF42" i="34"/>
  <c r="AF41" i="34"/>
  <c r="AF44" i="34" s="1"/>
  <c r="AL199" i="28"/>
  <c r="AN295" i="28"/>
  <c r="F296" i="28" a="1"/>
  <c r="F296" i="28" s="1"/>
  <c r="D293" i="29" a="1"/>
  <c r="D293" i="29" s="1"/>
  <c r="AB292" i="29" a="1"/>
  <c r="AB292" i="29" s="1"/>
  <c r="F78" i="9" a="1"/>
  <c r="F78" i="9" s="1"/>
  <c r="F79" i="9" s="1" a="1"/>
  <c r="F79" i="9" s="1"/>
  <c r="F80" i="9" s="1" a="1"/>
  <c r="F80" i="9" s="1"/>
  <c r="F81" i="9" s="1" a="1"/>
  <c r="F81" i="9" s="1"/>
  <c r="U77" i="9"/>
  <c r="U78" i="9" s="1" a="1"/>
  <c r="U78" i="9" s="1"/>
  <c r="U79" i="9" s="1" a="1"/>
  <c r="U79" i="9" s="1"/>
  <c r="U80" i="9" s="1" a="1"/>
  <c r="U80" i="9" s="1"/>
  <c r="U81" i="9" s="1" a="1"/>
  <c r="U81" i="9" s="1"/>
  <c r="F90" i="19" a="1"/>
  <c r="F90" i="19" s="1"/>
  <c r="K89" i="19"/>
  <c r="F202" i="30" a="1"/>
  <c r="F202" i="30" s="1"/>
  <c r="F346" i="30" a="1"/>
  <c r="F346" i="30" s="1"/>
  <c r="F58" i="29" a="1"/>
  <c r="F58" i="29" s="1"/>
  <c r="BO57" i="29"/>
  <c r="T188" i="27"/>
  <c r="T190" i="27" s="1" a="1"/>
  <c r="T190" i="27" s="1"/>
  <c r="T191" i="27" s="1" a="1"/>
  <c r="T191" i="27" s="1"/>
  <c r="T192" i="27" s="1" a="1"/>
  <c r="T192" i="27" s="1"/>
  <c r="T193" i="27" s="1" a="1"/>
  <c r="T193" i="27" s="1"/>
  <c r="F189" i="27" a="1"/>
  <c r="F189" i="27" s="1"/>
  <c r="F190" i="27" s="1" a="1"/>
  <c r="F190" i="27" s="1"/>
  <c r="AH199" i="28"/>
  <c r="AB576" i="29"/>
  <c r="AB577" i="29"/>
  <c r="AB70" i="14" a="1"/>
  <c r="AB70" i="14" s="1"/>
  <c r="V70" i="14" a="1"/>
  <c r="V70" i="14" s="1"/>
  <c r="F65" i="19" a="1"/>
  <c r="F65" i="19" s="1"/>
  <c r="K64" i="19"/>
  <c r="AE98" i="34"/>
  <c r="F94" i="26" a="1"/>
  <c r="F94" i="26" s="1"/>
  <c r="T138" i="18"/>
  <c r="T139" i="18" s="1" a="1"/>
  <c r="T139" i="18" s="1"/>
  <c r="F139" i="18" a="1"/>
  <c r="F139" i="18" s="1"/>
  <c r="F140" i="18" s="1" a="1"/>
  <c r="F140" i="18" s="1"/>
  <c r="AL29" i="28"/>
  <c r="K35" i="20"/>
  <c r="F36" i="20" a="1"/>
  <c r="F36" i="20" s="1"/>
  <c r="F64" i="22" a="1"/>
  <c r="F64" i="22" s="1"/>
  <c r="K63" i="22"/>
  <c r="BO51" i="29"/>
  <c r="AF79" i="34"/>
  <c r="AB433" i="30"/>
  <c r="AB432" i="30"/>
  <c r="AB577" i="30"/>
  <c r="AB576" i="30"/>
  <c r="AB148" i="30" a="1"/>
  <c r="AB148" i="30" s="1"/>
  <c r="D149" i="30" a="1"/>
  <c r="D149" i="30" s="1"/>
  <c r="F76" i="18" a="1"/>
  <c r="F76" i="18" s="1"/>
  <c r="F77" i="18" s="1" a="1"/>
  <c r="F77" i="18" s="1"/>
  <c r="T75" i="18"/>
  <c r="T76" i="18" s="1" a="1"/>
  <c r="T76" i="18" s="1"/>
  <c r="AB433" i="29"/>
  <c r="AB432" i="29"/>
  <c r="AB436" i="29" a="1"/>
  <c r="AB436" i="29" s="1"/>
  <c r="D437" i="29" a="1"/>
  <c r="D437" i="29" s="1"/>
  <c r="F133" i="27" a="1"/>
  <c r="F133" i="27" s="1"/>
  <c r="F134" i="27" s="1" a="1"/>
  <c r="F134" i="27" s="1"/>
  <c r="T132" i="27"/>
  <c r="T134" i="27" s="1" a="1"/>
  <c r="T134" i="27" s="1"/>
  <c r="T135" i="27" s="1" a="1"/>
  <c r="T135" i="27" s="1"/>
  <c r="T136" i="27" s="1" a="1"/>
  <c r="T136" i="27" s="1"/>
  <c r="T137" i="27" s="1" a="1"/>
  <c r="T137" i="27" s="1"/>
  <c r="F48" i="9" a="1"/>
  <c r="F48" i="9" s="1"/>
  <c r="U47" i="9"/>
  <c r="U48" i="9" s="1" a="1"/>
  <c r="U48" i="9" s="1"/>
  <c r="F490" i="30" a="1"/>
  <c r="F490" i="30" s="1"/>
  <c r="F77" i="27" a="1"/>
  <c r="F77" i="27" s="1"/>
  <c r="F78" i="27" s="1" a="1"/>
  <c r="F78" i="27" s="1"/>
  <c r="T76" i="27"/>
  <c r="T78" i="27" s="1" a="1"/>
  <c r="T78" i="27" s="1"/>
  <c r="T79" i="27" s="1" a="1"/>
  <c r="T79" i="27" s="1"/>
  <c r="T80" i="27" s="1" a="1"/>
  <c r="T80" i="27" s="1"/>
  <c r="T81" i="27" s="1" a="1"/>
  <c r="T81" i="27" s="1"/>
  <c r="AH284" i="28"/>
  <c r="F74" i="20" a="1"/>
  <c r="F74" i="20" s="1"/>
  <c r="K73" i="20"/>
  <c r="K54" i="20"/>
  <c r="F55" i="20" a="1"/>
  <c r="F55" i="20" s="1"/>
  <c r="AE79" i="34"/>
  <c r="D437" i="30" a="1"/>
  <c r="D437" i="30" s="1"/>
  <c r="AB436" i="30" a="1"/>
  <c r="AB436" i="30" s="1"/>
  <c r="AL284" i="28"/>
  <c r="U104" i="9"/>
  <c r="U105" i="9" s="1" a="1"/>
  <c r="U105" i="9" s="1"/>
  <c r="U106" i="9" s="1" a="1"/>
  <c r="U106" i="9" s="1"/>
  <c r="U107" i="9" s="1" a="1"/>
  <c r="U107" i="9" s="1"/>
  <c r="U108" i="9" s="1" a="1"/>
  <c r="U108" i="9" s="1"/>
  <c r="F105" i="9" a="1"/>
  <c r="F105" i="9" s="1"/>
  <c r="F106" i="9" s="1" a="1"/>
  <c r="F106" i="9" s="1"/>
  <c r="F107" i="9" s="1" a="1"/>
  <c r="F107" i="9" s="1"/>
  <c r="F108" i="9" s="1" a="1"/>
  <c r="F108" i="9" s="1"/>
  <c r="F193" i="31" a="1"/>
  <c r="F193" i="31" s="1"/>
  <c r="AF192" i="31"/>
  <c r="U131" i="9"/>
  <c r="U132" i="9" s="1" a="1"/>
  <c r="U132" i="9" s="1"/>
  <c r="U133" i="9" s="1" a="1"/>
  <c r="U133" i="9" s="1"/>
  <c r="U134" i="9" s="1" a="1"/>
  <c r="U134" i="9" s="1"/>
  <c r="U135" i="9" s="1" a="1"/>
  <c r="U135" i="9" s="1"/>
  <c r="F132" i="9" a="1"/>
  <c r="F132" i="9" s="1"/>
  <c r="F133" i="9" s="1" a="1"/>
  <c r="F133" i="9" s="1"/>
  <c r="F134" i="9" s="1" a="1"/>
  <c r="F134" i="9" s="1"/>
  <c r="F135" i="9" s="1" a="1"/>
  <c r="F135" i="9" s="1"/>
  <c r="AF38" i="31"/>
  <c r="F39" i="31" a="1"/>
  <c r="F39" i="31" s="1"/>
  <c r="T35" i="19"/>
  <c r="T36" i="19" s="1" a="1"/>
  <c r="T36" i="19" s="1"/>
  <c r="T37" i="19" s="1" a="1"/>
  <c r="T37" i="19" s="1"/>
  <c r="F36" i="19" a="1"/>
  <c r="F36" i="19" s="1"/>
  <c r="AB580" i="29" a="1"/>
  <c r="AB580" i="29" s="1"/>
  <c r="D581" i="29" a="1"/>
  <c r="D581" i="29" s="1"/>
  <c r="V93" i="14" a="1"/>
  <c r="V93" i="14" s="1"/>
  <c r="AB93" i="14" a="1"/>
  <c r="AB93" i="14" s="1"/>
  <c r="AH114" i="28"/>
  <c r="AF98" i="34"/>
  <c r="AE41" i="34"/>
  <c r="AE44" i="34" s="1"/>
  <c r="AE42" i="34"/>
  <c r="V47" i="14" a="1"/>
  <c r="V47" i="14" s="1"/>
  <c r="AB47" i="14" a="1"/>
  <c r="AB47" i="14" s="1"/>
  <c r="AB292" i="30" a="1"/>
  <c r="AB292" i="30" s="1"/>
  <c r="D293" i="30" a="1"/>
  <c r="D293" i="30" s="1"/>
  <c r="F36" i="22" a="1"/>
  <c r="F36" i="22" s="1"/>
  <c r="K35" i="22"/>
  <c r="F50" i="22" a="1"/>
  <c r="F50" i="22" s="1"/>
  <c r="K49" i="22"/>
  <c r="F202" i="29" a="1"/>
  <c r="F202" i="29" s="1"/>
  <c r="F93" i="20" a="1"/>
  <c r="F93" i="20" s="1"/>
  <c r="K92" i="20"/>
  <c r="T105" i="18"/>
  <c r="T106" i="18" s="1" a="1"/>
  <c r="T106" i="18" s="1"/>
  <c r="F106" i="18" a="1"/>
  <c r="F106" i="18" s="1"/>
  <c r="F107" i="18" s="1" a="1"/>
  <c r="F107" i="18" s="1"/>
  <c r="F108" i="18" s="1" a="1"/>
  <c r="F108" i="18" s="1"/>
  <c r="F42" i="14" a="1"/>
  <c r="F42" i="14" s="1"/>
  <c r="BO56" i="30"/>
  <c r="F57" i="30" a="1"/>
  <c r="F57" i="30" s="1"/>
  <c r="F115" i="19" a="1"/>
  <c r="F115" i="19" s="1"/>
  <c r="K114" i="19"/>
  <c r="AN40" i="28"/>
  <c r="F41" i="28" a="1"/>
  <c r="F41" i="28" s="1"/>
  <c r="F37" i="18" a="1"/>
  <c r="F37" i="18" s="1"/>
  <c r="AH29" i="28"/>
  <c r="F346" i="29" a="1"/>
  <c r="F346" i="29" s="1"/>
  <c r="AF60" i="34"/>
  <c r="AB145" i="29"/>
  <c r="AB144" i="29"/>
  <c r="D149" i="29" a="1"/>
  <c r="D149" i="29" s="1"/>
  <c r="AB148" i="29" a="1"/>
  <c r="AB148" i="29" s="1"/>
  <c r="AB288" i="30"/>
  <c r="AB289" i="30"/>
  <c r="F91" i="31" a="1"/>
  <c r="F91" i="31" s="1"/>
  <c r="AF90" i="31"/>
  <c r="T244" i="27"/>
  <c r="T246" i="27" s="1" a="1"/>
  <c r="T246" i="27" s="1"/>
  <c r="T247" i="27" s="1" a="1"/>
  <c r="T247" i="27" s="1"/>
  <c r="T248" i="27" s="1" a="1"/>
  <c r="T248" i="27" s="1"/>
  <c r="T249" i="27" s="1" a="1"/>
  <c r="T249" i="27" s="1"/>
  <c r="F245" i="27" a="1"/>
  <c r="F245" i="27" s="1"/>
  <c r="F246" i="27" s="1" a="1"/>
  <c r="F246" i="27" s="1"/>
  <c r="BO51" i="30"/>
  <c r="F116" i="19" l="1" a="1"/>
  <c r="F116" i="19" s="1"/>
  <c r="K115" i="19"/>
  <c r="F43" i="14" a="1"/>
  <c r="F43" i="14" s="1"/>
  <c r="F203" i="29" a="1"/>
  <c r="F203" i="29" s="1"/>
  <c r="AB293" i="30"/>
  <c r="D294" i="30"/>
  <c r="AF39" i="31"/>
  <c r="F40" i="31" a="1"/>
  <c r="F40" i="31" s="1"/>
  <c r="AB437" i="30"/>
  <c r="D438" i="30"/>
  <c r="F491" i="30" a="1"/>
  <c r="F491" i="30" s="1"/>
  <c r="F49" i="9" a="1"/>
  <c r="F49" i="9" s="1"/>
  <c r="T77" i="18"/>
  <c r="T78" i="18" s="1" a="1"/>
  <c r="T78" i="18" s="1"/>
  <c r="F78" i="18" a="1"/>
  <c r="F78" i="18" s="1"/>
  <c r="F79" i="18" s="1" a="1"/>
  <c r="F79" i="18" s="1"/>
  <c r="F80" i="18" s="1" a="1"/>
  <c r="F80" i="18" s="1"/>
  <c r="F37" i="20" a="1"/>
  <c r="F37" i="20" s="1"/>
  <c r="K36" i="20"/>
  <c r="F191" i="27" a="1"/>
  <c r="F191" i="27" s="1"/>
  <c r="F347" i="30" a="1"/>
  <c r="F347" i="30" s="1"/>
  <c r="F91" i="19" a="1"/>
  <c r="F91" i="19" s="1"/>
  <c r="K90" i="19"/>
  <c r="D294" i="29"/>
  <c r="AB293" i="29"/>
  <c r="F197" i="26" a="1"/>
  <c r="F197" i="26" s="1"/>
  <c r="F198" i="26" s="1" a="1"/>
  <c r="F198" i="26" s="1"/>
  <c r="F199" i="26" s="1" a="1"/>
  <c r="F199" i="26" s="1"/>
  <c r="F200" i="26" s="1" a="1"/>
  <c r="F200" i="26" s="1"/>
  <c r="F201" i="26" s="1" a="1"/>
  <c r="F201" i="26" s="1"/>
  <c r="F202" i="26" s="1" a="1"/>
  <c r="F202" i="26" s="1"/>
  <c r="F42" i="26" a="1"/>
  <c r="F42" i="26" s="1"/>
  <c r="D582" i="30"/>
  <c r="AB581" i="30"/>
  <c r="D150" i="29"/>
  <c r="AB149" i="29"/>
  <c r="F347" i="29" a="1"/>
  <c r="F347" i="29" s="1"/>
  <c r="F38" i="18" a="1"/>
  <c r="F38" i="18" s="1"/>
  <c r="T37" i="18"/>
  <c r="T38" i="18" s="1" a="1"/>
  <c r="T38" i="18"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AN41" i="28"/>
  <c r="F42" i="28" a="1"/>
  <c r="F42" i="28" s="1"/>
  <c r="F109" i="18" a="1"/>
  <c r="F109" i="18" s="1"/>
  <c r="F110" i="18" s="1" a="1"/>
  <c r="F110" i="18" s="1"/>
  <c r="T108" i="18"/>
  <c r="T109" i="18" s="1" a="1"/>
  <c r="T109" i="18" s="1"/>
  <c r="F94" i="20" a="1"/>
  <c r="F94" i="20" s="1"/>
  <c r="K93" i="20"/>
  <c r="F37" i="19" a="1"/>
  <c r="F37" i="19" s="1"/>
  <c r="AB149" i="30"/>
  <c r="D150" i="30"/>
  <c r="T140" i="18"/>
  <c r="T141" i="18" s="1" a="1"/>
  <c r="T141" i="18" s="1"/>
  <c r="F141" i="18" a="1"/>
  <c r="F141" i="18" s="1"/>
  <c r="F142" i="18" s="1" a="1"/>
  <c r="F142" i="18" s="1"/>
  <c r="F143" i="18" s="1" a="1"/>
  <c r="F143" i="18" s="1"/>
  <c r="F59" i="29" a="1"/>
  <c r="F59" i="29" s="1"/>
  <c r="BO58" i="29"/>
  <c r="F491" i="29" a="1"/>
  <c r="F491" i="29" s="1"/>
  <c r="F247" i="27" a="1"/>
  <c r="F247" i="27" s="1"/>
  <c r="D582" i="29"/>
  <c r="AB581" i="29"/>
  <c r="AF193" i="31"/>
  <c r="F194" i="31" a="1"/>
  <c r="F194" i="31" s="1"/>
  <c r="F195" i="31" s="1" a="1"/>
  <c r="F195" i="31" s="1"/>
  <c r="F196" i="31" s="1" a="1"/>
  <c r="F196" i="31" s="1"/>
  <c r="F197" i="31" s="1" a="1"/>
  <c r="F197" i="31" s="1"/>
  <c r="F198" i="31" s="1" a="1"/>
  <c r="F198" i="31" s="1"/>
  <c r="F199" i="31" s="1" a="1"/>
  <c r="F199" i="31" s="1"/>
  <c r="F200" i="31" s="1" a="1"/>
  <c r="F200" i="31" s="1"/>
  <c r="F201" i="31" s="1" a="1"/>
  <c r="F201" i="31" s="1"/>
  <c r="F202" i="31" s="1" a="1"/>
  <c r="F202" i="31" s="1"/>
  <c r="F203" i="31" s="1" a="1"/>
  <c r="F203" i="31" s="1"/>
  <c r="F204" i="31" s="1" a="1"/>
  <c r="F204" i="31" s="1"/>
  <c r="F205" i="31" s="1" a="1"/>
  <c r="F205" i="31" s="1"/>
  <c r="F206" i="31" s="1" a="1"/>
  <c r="F206" i="31" s="1"/>
  <c r="F207" i="31" s="1" a="1"/>
  <c r="F207" i="31" s="1"/>
  <c r="F208" i="31" s="1" a="1"/>
  <c r="F208" i="31" s="1"/>
  <c r="F209" i="31" s="1" a="1"/>
  <c r="F209" i="31" s="1"/>
  <c r="F210" i="31" s="1" a="1"/>
  <c r="F210" i="31" s="1"/>
  <c r="F211" i="31" s="1" a="1"/>
  <c r="F211" i="31" s="1"/>
  <c r="F212" i="31" s="1" a="1"/>
  <c r="F212" i="31" s="1"/>
  <c r="F213" i="31" s="1" a="1"/>
  <c r="F213" i="31" s="1"/>
  <c r="F214" i="31" s="1" a="1"/>
  <c r="F214" i="31" s="1"/>
  <c r="F215" i="31" s="1" a="1"/>
  <c r="F215" i="31" s="1"/>
  <c r="F216" i="31" s="1" a="1"/>
  <c r="F216" i="31" s="1"/>
  <c r="F217" i="31" s="1" a="1"/>
  <c r="F217" i="31" s="1"/>
  <c r="F218" i="31" s="1" a="1"/>
  <c r="F218" i="31" s="1"/>
  <c r="F219" i="31" s="1" a="1"/>
  <c r="F219" i="31" s="1"/>
  <c r="F220" i="31" s="1" a="1"/>
  <c r="F220" i="31" s="1"/>
  <c r="F221" i="31" s="1" a="1"/>
  <c r="F221" i="31" s="1"/>
  <c r="F222" i="31" s="1" a="1"/>
  <c r="F222" i="31" s="1"/>
  <c r="F223" i="31" s="1" a="1"/>
  <c r="F223" i="31" s="1"/>
  <c r="F224" i="31" s="1" a="1"/>
  <c r="F224" i="31" s="1"/>
  <c r="F225" i="31" s="1" a="1"/>
  <c r="F225" i="31" s="1"/>
  <c r="F226" i="31" s="1" a="1"/>
  <c r="F226" i="31" s="1"/>
  <c r="F227" i="31" s="1" a="1"/>
  <c r="F227" i="31" s="1"/>
  <c r="F228" i="31" s="1" a="1"/>
  <c r="F228" i="31" s="1"/>
  <c r="F229" i="31" s="1" a="1"/>
  <c r="F229" i="31" s="1"/>
  <c r="F230" i="31" s="1" a="1"/>
  <c r="F230" i="31" s="1"/>
  <c r="F231" i="31" s="1" a="1"/>
  <c r="F231" i="31" s="1"/>
  <c r="F232" i="31" s="1" a="1"/>
  <c r="F232" i="31" s="1"/>
  <c r="F233" i="31" s="1" a="1"/>
  <c r="F233" i="31" s="1"/>
  <c r="K74" i="20"/>
  <c r="F75" i="20" a="1"/>
  <c r="F75" i="20" s="1"/>
  <c r="F135" i="27" a="1"/>
  <c r="F135" i="27" s="1"/>
  <c r="K64" i="22"/>
  <c r="F65" i="22" a="1"/>
  <c r="F65" i="22" s="1"/>
  <c r="F66" i="19" a="1"/>
  <c r="F66" i="19" s="1"/>
  <c r="K65" i="19"/>
  <c r="V125" i="15" a="1"/>
  <c r="V125" i="15" s="1"/>
  <c r="AB125" i="15" a="1"/>
  <c r="AB125" i="15" s="1"/>
  <c r="F127" i="28" a="1"/>
  <c r="F127" i="28" s="1"/>
  <c r="AN126" i="28"/>
  <c r="K78" i="22"/>
  <c r="F79" i="22" a="1"/>
  <c r="F79" i="22" s="1"/>
  <c r="F152" i="26" a="1"/>
  <c r="F152" i="26" s="1"/>
  <c r="F58" i="30" a="1"/>
  <c r="F58" i="30" s="1"/>
  <c r="BO57" i="30"/>
  <c r="K50" i="22"/>
  <c r="F51" i="22" a="1"/>
  <c r="F51" i="22" s="1"/>
  <c r="K36" i="22"/>
  <c r="F37" i="22" a="1"/>
  <c r="F37" i="22" s="1"/>
  <c r="AB76" i="15" a="1"/>
  <c r="AB76" i="15" s="1"/>
  <c r="V76" i="15" a="1"/>
  <c r="V76" i="15" s="1"/>
  <c r="V174" i="15" a="1"/>
  <c r="V174" i="15" s="1"/>
  <c r="AB174" i="15" a="1"/>
  <c r="AB174" i="15" s="1"/>
  <c r="K55" i="20"/>
  <c r="F56" i="20" a="1"/>
  <c r="F56" i="20" s="1"/>
  <c r="F79" i="27" a="1"/>
  <c r="F79" i="27" s="1"/>
  <c r="AB437" i="29"/>
  <c r="D438" i="29"/>
  <c r="F95" i="26" a="1"/>
  <c r="F95" i="26" s="1"/>
  <c r="F96" i="26" s="1" a="1"/>
  <c r="F96" i="26" s="1"/>
  <c r="F97" i="26" s="1" a="1"/>
  <c r="F97" i="26" s="1"/>
  <c r="F98" i="26" s="1" a="1"/>
  <c r="F98" i="26" s="1"/>
  <c r="F99" i="26" s="1" a="1"/>
  <c r="F99" i="26" s="1"/>
  <c r="F100" i="26" s="1" a="1"/>
  <c r="F100" i="26" s="1"/>
  <c r="F203" i="30" a="1"/>
  <c r="F203" i="30" s="1"/>
  <c r="F297" i="28" a="1"/>
  <c r="F297" i="28" s="1"/>
  <c r="AN296" i="28"/>
  <c r="AN211" i="28"/>
  <c r="F212" i="28" a="1"/>
  <c r="F212" i="28" s="1"/>
  <c r="K79" i="22" l="1"/>
  <c r="F80" i="22" a="1"/>
  <c r="F80" i="22" s="1"/>
  <c r="F80" i="27" a="1"/>
  <c r="F80" i="27" s="1"/>
  <c r="F81" i="27" s="1" a="1"/>
  <c r="F81" i="27" s="1"/>
  <c r="K51" i="22"/>
  <c r="F52" i="22" a="1"/>
  <c r="F52" i="22" s="1"/>
  <c r="BO58" i="30"/>
  <c r="F59" i="30" a="1"/>
  <c r="F59" i="30" s="1"/>
  <c r="T66" i="19"/>
  <c r="T67" i="19" s="1" a="1"/>
  <c r="T67" i="19" s="1"/>
  <c r="T68" i="19" s="1" a="1"/>
  <c r="T68" i="19" s="1"/>
  <c r="F67" i="19" a="1"/>
  <c r="F67" i="19" s="1"/>
  <c r="F68" i="19" s="1" a="1"/>
  <c r="F68" i="19" s="1"/>
  <c r="F69" i="19" s="1" a="1"/>
  <c r="F69" i="19" s="1"/>
  <c r="F43" i="26" a="1"/>
  <c r="F43" i="26" s="1"/>
  <c r="AB294" i="29" a="1"/>
  <c r="AB294" i="29" s="1"/>
  <c r="D295" i="29"/>
  <c r="F348" i="30" a="1"/>
  <c r="F348" i="30" s="1"/>
  <c r="F38" i="20" a="1"/>
  <c r="F38" i="20" s="1"/>
  <c r="K37" i="20"/>
  <c r="F492" i="30" a="1"/>
  <c r="F492" i="30" s="1"/>
  <c r="F204" i="29" a="1"/>
  <c r="F204" i="29" s="1"/>
  <c r="D439" i="29"/>
  <c r="AB438" i="29" a="1"/>
  <c r="AB438" i="29" s="1"/>
  <c r="V48" i="17" a="1"/>
  <c r="V48" i="17" s="1"/>
  <c r="AB48" i="17" a="1"/>
  <c r="AB48" i="17" s="1"/>
  <c r="AB34" i="17" a="1"/>
  <c r="AB34" i="17" s="1"/>
  <c r="V34" i="17" a="1"/>
  <c r="V34" i="17" s="1"/>
  <c r="AN127" i="28"/>
  <c r="F128" i="28" a="1"/>
  <c r="F128" i="28" s="1"/>
  <c r="F129" i="28" s="1" a="1"/>
  <c r="F129" i="28" s="1"/>
  <c r="F130" i="28" s="1" a="1"/>
  <c r="F130" i="28" s="1"/>
  <c r="K65" i="22"/>
  <c r="F66" i="22" a="1"/>
  <c r="F66" i="22" s="1"/>
  <c r="F144" i="18" a="1"/>
  <c r="F144" i="18" s="1"/>
  <c r="F145" i="18" s="1" a="1"/>
  <c r="F145" i="18" s="1"/>
  <c r="T143" i="18"/>
  <c r="T144" i="18" s="1" a="1"/>
  <c r="T144" i="18" s="1"/>
  <c r="F38" i="19" a="1"/>
  <c r="F38" i="19" s="1"/>
  <c r="T110" i="18"/>
  <c r="T111" i="18" s="1" a="1"/>
  <c r="T111" i="18" s="1"/>
  <c r="F111" i="18" a="1"/>
  <c r="F111" i="18" s="1"/>
  <c r="F112" i="18" s="1" a="1"/>
  <c r="F112" i="18" s="1"/>
  <c r="F113" i="18" s="1" a="1"/>
  <c r="F113" i="18" s="1"/>
  <c r="F43" i="28" a="1"/>
  <c r="F43" i="28" s="1"/>
  <c r="F44" i="28" s="1" a="1"/>
  <c r="F44" i="28" s="1"/>
  <c r="F45" i="28" s="1" a="1"/>
  <c r="F45" i="28" s="1"/>
  <c r="AN42" i="28"/>
  <c r="F39" i="18" a="1"/>
  <c r="F39" i="18" s="1"/>
  <c r="D583" i="30"/>
  <c r="AB582" i="30" a="1"/>
  <c r="AB582" i="30" s="1"/>
  <c r="F81" i="18" a="1"/>
  <c r="F81" i="18" s="1"/>
  <c r="F82" i="18" s="1" a="1"/>
  <c r="F82" i="18" s="1"/>
  <c r="T80" i="18"/>
  <c r="T81" i="18" s="1" a="1"/>
  <c r="T81" i="18" s="1"/>
  <c r="AB438" i="30" a="1"/>
  <c r="AB438" i="30" s="1"/>
  <c r="D439" i="30"/>
  <c r="F101" i="26" a="1"/>
  <c r="F101" i="26" s="1"/>
  <c r="AN297" i="28"/>
  <c r="F298" i="28" a="1"/>
  <c r="F298" i="28" s="1"/>
  <c r="F299" i="28" s="1" a="1"/>
  <c r="F299" i="28" s="1"/>
  <c r="F300" i="28" s="1" a="1"/>
  <c r="F300" i="28" s="1"/>
  <c r="F204" i="30" a="1"/>
  <c r="F204" i="30" s="1"/>
  <c r="F57" i="20" a="1"/>
  <c r="F57" i="20" s="1"/>
  <c r="K56" i="20"/>
  <c r="K37" i="22"/>
  <c r="F38" i="22" a="1"/>
  <c r="F38" i="22" s="1"/>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AB41" i="17" a="1"/>
  <c r="AB41" i="17" s="1"/>
  <c r="V41" i="17" a="1"/>
  <c r="V41" i="17" s="1"/>
  <c r="K75" i="20"/>
  <c r="F76" i="20" a="1"/>
  <c r="F76" i="20" s="1"/>
  <c r="D583" i="29"/>
  <c r="AB582" i="29" a="1"/>
  <c r="AB582" i="29" s="1"/>
  <c r="F248" i="27" a="1"/>
  <c r="F248" i="27" s="1"/>
  <c r="F249" i="27" s="1" a="1"/>
  <c r="F249" i="27" s="1"/>
  <c r="F492" i="29" a="1"/>
  <c r="F492" i="29" s="1"/>
  <c r="D151" i="30"/>
  <c r="AB150" i="30" a="1"/>
  <c r="AB150" i="30" s="1"/>
  <c r="T91" i="19"/>
  <c r="T92" i="19" s="1" a="1"/>
  <c r="T92" i="19" s="1"/>
  <c r="T93" i="19" s="1" a="1"/>
  <c r="T93" i="19" s="1"/>
  <c r="F92" i="19" a="1"/>
  <c r="F92" i="19" s="1"/>
  <c r="F93" i="19" s="1" a="1"/>
  <c r="F93" i="19" s="1"/>
  <c r="F94" i="19" s="1" a="1"/>
  <c r="F94" i="19" s="1"/>
  <c r="F50" i="9" a="1"/>
  <c r="F50" i="9" s="1"/>
  <c r="U49" i="9"/>
  <c r="D295" i="30"/>
  <c r="AB294" i="30" a="1"/>
  <c r="AB294" i="30" s="1"/>
  <c r="F117" i="19" a="1"/>
  <c r="F117" i="19" s="1"/>
  <c r="F118" i="19" s="1" a="1"/>
  <c r="F118" i="19" s="1"/>
  <c r="F119" i="19" s="1" a="1"/>
  <c r="F119" i="19" s="1"/>
  <c r="T116" i="19"/>
  <c r="T117" i="19" s="1" a="1"/>
  <c r="T117" i="19" s="1"/>
  <c r="T118" i="19" s="1" a="1"/>
  <c r="T118" i="19" s="1"/>
  <c r="AN212" i="28"/>
  <c r="F213" i="28" a="1"/>
  <c r="F213" i="28" s="1"/>
  <c r="F214" i="28" s="1" a="1"/>
  <c r="F214" i="28" s="1"/>
  <c r="F215" i="28" s="1" a="1"/>
  <c r="F215" i="28" s="1"/>
  <c r="F136" i="27" a="1"/>
  <c r="F136" i="27" s="1"/>
  <c r="F137" i="27" s="1" a="1"/>
  <c r="F137" i="27" s="1"/>
  <c r="BO59" i="29"/>
  <c r="F60" i="29" a="1"/>
  <c r="F60" i="29" s="1"/>
  <c r="K94" i="20"/>
  <c r="F95" i="20" a="1"/>
  <c r="F95" i="20" s="1"/>
  <c r="F348" i="29" a="1"/>
  <c r="F348" i="29" s="1"/>
  <c r="AB150" i="29" a="1"/>
  <c r="AB150" i="29" s="1"/>
  <c r="D151" i="29"/>
  <c r="F203" i="26" a="1"/>
  <c r="F203" i="26" s="1"/>
  <c r="F192" i="27" a="1"/>
  <c r="F192" i="27" s="1"/>
  <c r="F193" i="27" s="1" a="1"/>
  <c r="F193" i="27" s="1"/>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F44" i="14" a="1"/>
  <c r="F44" i="14" s="1"/>
  <c r="F493" i="30" l="1" a="1"/>
  <c r="F493" i="30" s="1"/>
  <c r="F204" i="26" a="1"/>
  <c r="F204" i="26" s="1"/>
  <c r="F205" i="26" s="1" a="1"/>
  <c r="F205" i="26" s="1"/>
  <c r="F206" i="26" s="1" a="1"/>
  <c r="F206" i="26" s="1"/>
  <c r="F207" i="26" s="1" a="1"/>
  <c r="F207" i="26" s="1"/>
  <c r="F208" i="26" s="1" a="1"/>
  <c r="F208" i="26" s="1"/>
  <c r="F209" i="26" s="1" a="1"/>
  <c r="F209" i="26" s="1"/>
  <c r="F210" i="26" s="1" a="1"/>
  <c r="F210" i="26" s="1"/>
  <c r="F211" i="26" s="1" a="1"/>
  <c r="F211" i="26" s="1"/>
  <c r="F212" i="26" s="1" a="1"/>
  <c r="F212" i="26" s="1"/>
  <c r="F213" i="26" s="1" a="1"/>
  <c r="F213" i="26" s="1"/>
  <c r="F214" i="26" s="1" a="1"/>
  <c r="F214" i="26" s="1"/>
  <c r="F215" i="26" s="1" a="1"/>
  <c r="F215" i="26" s="1"/>
  <c r="F216" i="26" s="1" a="1"/>
  <c r="F216" i="26" s="1"/>
  <c r="F217" i="26" s="1" a="1"/>
  <c r="F217" i="26" s="1"/>
  <c r="F218" i="26" s="1" a="1"/>
  <c r="F218" i="26" s="1"/>
  <c r="F219" i="26" s="1" a="1"/>
  <c r="F219" i="26" s="1"/>
  <c r="F220" i="26" s="1" a="1"/>
  <c r="F220" i="26" s="1"/>
  <c r="K95" i="20"/>
  <c r="F96" i="20" a="1"/>
  <c r="F96" i="20" s="1"/>
  <c r="BO60" i="29"/>
  <c r="F61" i="29" a="1"/>
  <c r="F61" i="29" s="1"/>
  <c r="K169" i="26"/>
  <c r="F170" i="26" a="1"/>
  <c r="F170" i="26" s="1"/>
  <c r="F131" i="28" a="1"/>
  <c r="F131" i="28" s="1"/>
  <c r="T69" i="19"/>
  <c r="T70" i="19" s="1" a="1"/>
  <c r="T70" i="19" s="1"/>
  <c r="T71" i="19" s="1" a="1"/>
  <c r="T71" i="19" s="1"/>
  <c r="F70" i="19" a="1"/>
  <c r="F70" i="19" s="1"/>
  <c r="F194" i="27" a="1"/>
  <c r="F194" i="27" s="1"/>
  <c r="F216" i="28" a="1"/>
  <c r="F216" i="28" s="1"/>
  <c r="F120" i="19" a="1"/>
  <c r="F120" i="19" s="1"/>
  <c r="T119" i="19"/>
  <c r="T120" i="19" s="1" a="1"/>
  <c r="T120" i="19" s="1"/>
  <c r="T121" i="19" s="1" a="1"/>
  <c r="T121" i="19" s="1"/>
  <c r="D296" i="30" a="1"/>
  <c r="D296" i="30" s="1"/>
  <c r="AB295" i="30" a="1"/>
  <c r="AB295" i="30" s="1"/>
  <c r="F51" i="9" a="1"/>
  <c r="F51" i="9" s="1"/>
  <c r="U50" i="9"/>
  <c r="U51" i="9" s="1" a="1"/>
  <c r="U51" i="9" s="1"/>
  <c r="U52" i="9" s="1" a="1"/>
  <c r="U52" i="9" s="1"/>
  <c r="U53" i="9" s="1" a="1"/>
  <c r="U53" i="9" s="1"/>
  <c r="U54" i="9" s="1" a="1"/>
  <c r="U54" i="9" s="1"/>
  <c r="F95" i="19" a="1"/>
  <c r="F95" i="19" s="1"/>
  <c r="T94" i="19"/>
  <c r="T95" i="19" s="1" a="1"/>
  <c r="T95" i="19" s="1"/>
  <c r="T96" i="19" s="1" a="1"/>
  <c r="T96" i="19" s="1"/>
  <c r="D152" i="30" a="1"/>
  <c r="D152" i="30" s="1"/>
  <c r="AB151" i="30" a="1"/>
  <c r="AB151" i="30" s="1"/>
  <c r="F493" i="29" a="1"/>
  <c r="F493" i="29" s="1"/>
  <c r="F83" i="18" a="1"/>
  <c r="F83" i="18" s="1"/>
  <c r="F84" i="18" s="1" a="1"/>
  <c r="F84" i="18" s="1"/>
  <c r="F85" i="18" s="1" a="1"/>
  <c r="F85" i="18" s="1"/>
  <c r="F86" i="18" s="1" a="1"/>
  <c r="F86" i="18" s="1"/>
  <c r="T82" i="18"/>
  <c r="T83" i="18" s="1" a="1"/>
  <c r="T83" i="18" s="1"/>
  <c r="T84" i="18" s="1" a="1"/>
  <c r="T84" i="18" s="1"/>
  <c r="T85" i="18" s="1" a="1"/>
  <c r="T85" i="18" s="1"/>
  <c r="T86" i="18" s="1" a="1"/>
  <c r="T86" i="18" s="1"/>
  <c r="F40" i="18" a="1"/>
  <c r="F40" i="18" s="1"/>
  <c r="AN45" i="28"/>
  <c r="F46" i="28" a="1"/>
  <c r="F46" i="28" s="1"/>
  <c r="T38" i="19"/>
  <c r="T39" i="19" s="1" a="1"/>
  <c r="T39" i="19" s="1"/>
  <c r="T40" i="19" s="1" a="1"/>
  <c r="T40" i="19" s="1"/>
  <c r="F39" i="19" a="1"/>
  <c r="F39" i="19" s="1"/>
  <c r="AB37" i="16" a="1"/>
  <c r="AB37" i="16" s="1"/>
  <c r="V37" i="16" a="1"/>
  <c r="V37" i="16" s="1"/>
  <c r="AE56" i="34"/>
  <c r="AE47" i="34" s="1"/>
  <c r="AF56" i="34"/>
  <c r="AF47" i="34" s="1"/>
  <c r="D440" i="29" a="1"/>
  <c r="D440" i="29" s="1"/>
  <c r="AB439" i="29" a="1"/>
  <c r="AB439" i="29" s="1"/>
  <c r="F205" i="29" a="1"/>
  <c r="F205" i="29" s="1"/>
  <c r="K38" i="20"/>
  <c r="F39" i="20" a="1"/>
  <c r="F39" i="20" s="1"/>
  <c r="F60" i="30" a="1"/>
  <c r="F60" i="30" s="1"/>
  <c r="BO59" i="30"/>
  <c r="F82" i="27" a="1"/>
  <c r="F82" i="27" s="1"/>
  <c r="AB583" i="29" a="1"/>
  <c r="AB583" i="29" s="1"/>
  <c r="D584" i="29" a="1"/>
  <c r="D584" i="29" s="1"/>
  <c r="F58" i="20" a="1"/>
  <c r="F58" i="20" s="1"/>
  <c r="K57" i="20"/>
  <c r="F301" i="28" a="1"/>
  <c r="F301" i="28"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B583" i="30" a="1"/>
  <c r="AB583" i="30" s="1"/>
  <c r="D584" i="30" a="1"/>
  <c r="D584" i="30" s="1"/>
  <c r="F114" i="18" a="1"/>
  <c r="F114" i="18" s="1"/>
  <c r="F115" i="18" s="1" a="1"/>
  <c r="F115" i="18" s="1"/>
  <c r="T113" i="18"/>
  <c r="T114" i="18" s="1" a="1"/>
  <c r="T114" i="18" s="1"/>
  <c r="F67" i="22" a="1"/>
  <c r="F67" i="22" s="1"/>
  <c r="K66" i="22"/>
  <c r="AB57" i="16" a="1"/>
  <c r="AB57" i="16" s="1"/>
  <c r="V57" i="16" a="1"/>
  <c r="V57" i="16" s="1"/>
  <c r="AE94" i="34"/>
  <c r="AE85" i="34" s="1"/>
  <c r="AF94" i="34"/>
  <c r="AF85" i="34" s="1"/>
  <c r="F349" i="30" a="1"/>
  <c r="F349" i="30" s="1"/>
  <c r="F81" i="22" a="1"/>
  <c r="F81" i="22" s="1"/>
  <c r="K80" i="22"/>
  <c r="F45" i="14" a="1"/>
  <c r="F45" i="14" s="1"/>
  <c r="AB151" i="29" a="1"/>
  <c r="AB151" i="29" s="1"/>
  <c r="D152" i="29" a="1"/>
  <c r="D152" i="29" s="1"/>
  <c r="F250" i="27" a="1"/>
  <c r="F250" i="27" s="1"/>
  <c r="D440" i="30" a="1"/>
  <c r="D440" i="30" s="1"/>
  <c r="AB439" i="30" a="1"/>
  <c r="AB439" i="30" s="1"/>
  <c r="F349" i="29" a="1"/>
  <c r="F349" i="29" s="1"/>
  <c r="F138" i="27" a="1"/>
  <c r="F138" i="27" s="1"/>
  <c r="F77" i="20" a="1"/>
  <c r="F77" i="20" s="1"/>
  <c r="K76" i="20"/>
  <c r="V47" i="16" a="1"/>
  <c r="V47" i="16" s="1"/>
  <c r="AB47" i="16" a="1"/>
  <c r="AB47" i="16" s="1"/>
  <c r="AF75" i="34"/>
  <c r="AF66" i="34" s="1"/>
  <c r="AE75" i="34"/>
  <c r="AE66" i="34" s="1"/>
  <c r="F39" i="22" a="1"/>
  <c r="F39" i="22" s="1"/>
  <c r="K38" i="22"/>
  <c r="F205" i="30" a="1"/>
  <c r="F205" i="30" s="1"/>
  <c r="F146" i="18" a="1"/>
  <c r="F146" i="18" s="1"/>
  <c r="F147" i="18" s="1" a="1"/>
  <c r="F147" i="18" s="1"/>
  <c r="F148" i="18" s="1" a="1"/>
  <c r="F148" i="18" s="1"/>
  <c r="F149" i="18" s="1" a="1"/>
  <c r="F149" i="18" s="1"/>
  <c r="T145" i="18"/>
  <c r="T146" i="18" s="1" a="1"/>
  <c r="T146" i="18" s="1"/>
  <c r="T147" i="18" s="1" a="1"/>
  <c r="T147" i="18" s="1"/>
  <c r="T148" i="18" s="1" a="1"/>
  <c r="T148" i="18" s="1"/>
  <c r="T149" i="18" s="1" a="1"/>
  <c r="T149" i="18" s="1"/>
  <c r="AB295" i="29" a="1"/>
  <c r="AB295" i="29" s="1"/>
  <c r="D296" i="29" a="1"/>
  <c r="D296" i="29" s="1"/>
  <c r="F44" i="26" a="1"/>
  <c r="F44" i="26" s="1"/>
  <c r="F45" i="26" s="1" a="1"/>
  <c r="F45" i="26" s="1"/>
  <c r="F53" i="22" a="1"/>
  <c r="F53" i="22" s="1"/>
  <c r="K52" i="22"/>
  <c r="F82" i="22" l="1" a="1"/>
  <c r="F82" i="22" s="1"/>
  <c r="T81" i="22"/>
  <c r="F40" i="22" a="1"/>
  <c r="F40" i="22" s="1"/>
  <c r="T40" i="22" s="1"/>
  <c r="T39" i="22"/>
  <c r="D153" i="29" a="1"/>
  <c r="D153" i="29" s="1"/>
  <c r="AB152" i="29"/>
  <c r="AF99" i="34"/>
  <c r="AF101" i="34"/>
  <c r="D585" i="30" a="1"/>
  <c r="D585" i="30" s="1"/>
  <c r="AB584" i="30"/>
  <c r="F83" i="27" a="1"/>
  <c r="F83" i="27" s="1"/>
  <c r="T83" i="27" s="1"/>
  <c r="T84" i="27" s="1" a="1"/>
  <c r="T84" i="27" s="1"/>
  <c r="T82" i="27"/>
  <c r="BO60" i="30"/>
  <c r="F61" i="30" a="1"/>
  <c r="F61" i="30" s="1"/>
  <c r="AF61" i="34"/>
  <c r="AF63" i="34"/>
  <c r="F47" i="28" a="1"/>
  <c r="F47" i="28" s="1"/>
  <c r="F48" i="28" s="1" a="1"/>
  <c r="F48" i="28" s="1"/>
  <c r="F49" i="28" s="1" a="1"/>
  <c r="F49" i="28" s="1"/>
  <c r="F50" i="28" s="1" a="1"/>
  <c r="F50" i="28" s="1"/>
  <c r="F51" i="28" s="1" a="1"/>
  <c r="F51" i="28" s="1"/>
  <c r="F52" i="28" s="1" a="1"/>
  <c r="F52" i="28" s="1"/>
  <c r="F53" i="28" s="1" a="1"/>
  <c r="F53" i="28" s="1"/>
  <c r="F54" i="28" s="1" a="1"/>
  <c r="F54" i="28" s="1"/>
  <c r="AN46" i="28"/>
  <c r="T40" i="18"/>
  <c r="T41" i="18" s="1" a="1"/>
  <c r="T41" i="18" s="1"/>
  <c r="F41" i="18" a="1"/>
  <c r="F41" i="18" s="1"/>
  <c r="F494" i="29" a="1"/>
  <c r="F494" i="29" s="1"/>
  <c r="F495" i="29" s="1" a="1"/>
  <c r="F495" i="29" s="1"/>
  <c r="D153" i="30" a="1"/>
  <c r="D153" i="30" s="1"/>
  <c r="AB152" i="30"/>
  <c r="AB296" i="30"/>
  <c r="D297" i="30" a="1"/>
  <c r="D297" i="30" s="1"/>
  <c r="F71" i="19" a="1"/>
  <c r="F71" i="19" s="1"/>
  <c r="K70" i="19"/>
  <c r="F97" i="20" a="1"/>
  <c r="F97" i="20" s="1"/>
  <c r="K96" i="20"/>
  <c r="F251" i="27" a="1"/>
  <c r="F251" i="27" s="1"/>
  <c r="T251" i="27" s="1"/>
  <c r="T252" i="27" s="1" a="1"/>
  <c r="T252" i="27" s="1"/>
  <c r="T250" i="27"/>
  <c r="F119" i="26" a="1"/>
  <c r="F119" i="26" s="1"/>
  <c r="K118" i="26"/>
  <c r="F46" i="26" a="1"/>
  <c r="F46" i="26" s="1"/>
  <c r="F47" i="26" s="1" a="1"/>
  <c r="F47" i="26" s="1"/>
  <c r="F48" i="26" s="1" a="1"/>
  <c r="F48" i="26" s="1"/>
  <c r="AE80" i="34"/>
  <c r="AE82" i="34"/>
  <c r="F350" i="30" a="1"/>
  <c r="F350" i="30" s="1"/>
  <c r="F351" i="30" s="1" a="1"/>
  <c r="F351" i="30" s="1"/>
  <c r="AE99" i="34"/>
  <c r="AE101" i="34"/>
  <c r="F68" i="22" a="1"/>
  <c r="F68" i="22" s="1"/>
  <c r="T68" i="22" s="1"/>
  <c r="T67" i="22"/>
  <c r="K58" i="20"/>
  <c r="F59" i="20" a="1"/>
  <c r="F59" i="20" s="1"/>
  <c r="F206" i="29" a="1"/>
  <c r="F206" i="29" s="1"/>
  <c r="F207" i="29" s="1" a="1"/>
  <c r="F207" i="29" s="1"/>
  <c r="AE61" i="34"/>
  <c r="AE63" i="34"/>
  <c r="F132" i="28" a="1"/>
  <c r="F132" i="28" s="1"/>
  <c r="F133" i="28" s="1" a="1"/>
  <c r="F133" i="28" s="1"/>
  <c r="F134" i="28" s="1" a="1"/>
  <c r="F134" i="28" s="1"/>
  <c r="F135" i="28" s="1" a="1"/>
  <c r="F135" i="28" s="1"/>
  <c r="F136" i="28" s="1" a="1"/>
  <c r="F136" i="28" s="1"/>
  <c r="F137" i="28" s="1" a="1"/>
  <c r="F137" i="28" s="1"/>
  <c r="F138" i="28" s="1" a="1"/>
  <c r="F138" i="28" s="1"/>
  <c r="F139" i="28" s="1" a="1"/>
  <c r="F139" i="28" s="1"/>
  <c r="F494" i="30" a="1"/>
  <c r="F494" i="30" s="1"/>
  <c r="F495" i="30" s="1" a="1"/>
  <c r="F495" i="30" s="1"/>
  <c r="F139" i="27" a="1"/>
  <c r="F139" i="27" s="1"/>
  <c r="T139" i="27" s="1"/>
  <c r="T140" i="27" s="1" a="1"/>
  <c r="T140" i="27" s="1"/>
  <c r="T138" i="27"/>
  <c r="F116" i="18" a="1"/>
  <c r="F116" i="18" s="1"/>
  <c r="F117" i="18" s="1" a="1"/>
  <c r="F117" i="18" s="1"/>
  <c r="F118" i="18" s="1" a="1"/>
  <c r="F118" i="18" s="1"/>
  <c r="F119" i="18" s="1" a="1"/>
  <c r="F119" i="18" s="1"/>
  <c r="T115" i="18"/>
  <c r="T116" i="18" s="1" a="1"/>
  <c r="T116" i="18" s="1"/>
  <c r="T117" i="18" s="1" a="1"/>
  <c r="T117" i="18" s="1"/>
  <c r="T118" i="18" s="1" a="1"/>
  <c r="T118" i="18" s="1"/>
  <c r="T119" i="18" s="1" a="1"/>
  <c r="T119" i="18" s="1"/>
  <c r="F46" i="14" a="1"/>
  <c r="F46" i="14" s="1"/>
  <c r="AK141" i="31" s="1"/>
  <c r="F54" i="22" a="1"/>
  <c r="F54" i="22" s="1"/>
  <c r="T54" i="22" s="1"/>
  <c r="T53" i="22"/>
  <c r="D297" i="29" a="1"/>
  <c r="D297" i="29" s="1"/>
  <c r="AB296" i="29"/>
  <c r="F206" i="30" a="1"/>
  <c r="F206" i="30" s="1"/>
  <c r="F207" i="30" s="1" a="1"/>
  <c r="F207" i="30" s="1"/>
  <c r="AF80" i="34"/>
  <c r="AF82" i="34"/>
  <c r="F78" i="20" a="1"/>
  <c r="F78" i="20" s="1"/>
  <c r="K77" i="20"/>
  <c r="D441" i="30" a="1"/>
  <c r="D441" i="30" s="1"/>
  <c r="AB440" i="30"/>
  <c r="AG38" i="31"/>
  <c r="AB584" i="29"/>
  <c r="D585" i="29" a="1"/>
  <c r="D585" i="29" s="1"/>
  <c r="F96" i="19" a="1"/>
  <c r="F96" i="19" s="1"/>
  <c r="K95" i="19"/>
  <c r="F52" i="9" a="1"/>
  <c r="F52" i="9" s="1"/>
  <c r="F121" i="19" a="1"/>
  <c r="F121" i="19" s="1"/>
  <c r="K120" i="19"/>
  <c r="F171" i="26" a="1"/>
  <c r="F171" i="26" s="1"/>
  <c r="K170" i="26"/>
  <c r="AB87" i="18" a="1"/>
  <c r="AB87" i="18" s="1"/>
  <c r="V87" i="18" a="1"/>
  <c r="V87" i="18" s="1"/>
  <c r="F350" i="29" a="1"/>
  <c r="F350" i="29" s="1"/>
  <c r="F351" i="29" s="1" a="1"/>
  <c r="F351" i="29" s="1"/>
  <c r="AB120" i="18" a="1"/>
  <c r="AB120" i="18" s="1"/>
  <c r="V120" i="18" a="1"/>
  <c r="V120" i="18" s="1"/>
  <c r="F302" i="28" a="1"/>
  <c r="F302" i="28" s="1"/>
  <c r="F303" i="28" s="1" a="1"/>
  <c r="F303" i="28" s="1"/>
  <c r="F304" i="28" s="1" a="1"/>
  <c r="F304" i="28" s="1"/>
  <c r="F305" i="28" s="1" a="1"/>
  <c r="F305" i="28" s="1"/>
  <c r="F306" i="28" s="1" a="1"/>
  <c r="F306" i="28" s="1"/>
  <c r="F307" i="28" s="1" a="1"/>
  <c r="F307" i="28" s="1"/>
  <c r="F308" i="28" s="1" a="1"/>
  <c r="F308" i="28" s="1"/>
  <c r="F309" i="28" s="1" a="1"/>
  <c r="F309" i="28" s="1"/>
  <c r="K39" i="20"/>
  <c r="F40" i="20" a="1"/>
  <c r="F40" i="20" s="1"/>
  <c r="AB440" i="29"/>
  <c r="D441" i="29" a="1"/>
  <c r="D441" i="29" s="1"/>
  <c r="AB57" i="18" a="1"/>
  <c r="AB57" i="18" s="1"/>
  <c r="V57" i="18" a="1"/>
  <c r="V57" i="18" s="1"/>
  <c r="F40" i="19" a="1"/>
  <c r="F40" i="19" s="1"/>
  <c r="K39" i="19"/>
  <c r="F217" i="28" a="1"/>
  <c r="F217" i="28" s="1"/>
  <c r="F218" i="28" s="1" a="1"/>
  <c r="F218" i="28" s="1"/>
  <c r="F219" i="28" s="1" a="1"/>
  <c r="F219" i="28" s="1"/>
  <c r="F220" i="28" s="1" a="1"/>
  <c r="F220" i="28" s="1"/>
  <c r="F221" i="28" s="1" a="1"/>
  <c r="F221" i="28" s="1"/>
  <c r="F222" i="28" s="1" a="1"/>
  <c r="F222" i="28" s="1"/>
  <c r="F223" i="28" s="1" a="1"/>
  <c r="F223" i="28" s="1"/>
  <c r="F224" i="28" s="1" a="1"/>
  <c r="F224" i="28" s="1"/>
  <c r="F195" i="27" a="1"/>
  <c r="F195" i="27" s="1"/>
  <c r="T195" i="27" s="1"/>
  <c r="T196" i="27" s="1" a="1"/>
  <c r="T196" i="27" s="1"/>
  <c r="T194" i="27"/>
  <c r="F62" i="29" a="1"/>
  <c r="F62" i="29" s="1"/>
  <c r="F63" i="29" s="1" a="1"/>
  <c r="F63" i="29" s="1"/>
  <c r="BO61" i="29"/>
  <c r="F221" i="26" a="1"/>
  <c r="F221" i="26" s="1"/>
  <c r="K220" i="26"/>
  <c r="AK192" i="31" l="1"/>
  <c r="AG89" i="31"/>
  <c r="AG191" i="31"/>
  <c r="AK40" i="31"/>
  <c r="AJ141" i="31"/>
  <c r="AK37" i="31"/>
  <c r="AJ193" i="31"/>
  <c r="AI40" i="31"/>
  <c r="AH90" i="31"/>
  <c r="AK36" i="31"/>
  <c r="AK193" i="31"/>
  <c r="AG45" i="26"/>
  <c r="AG90" i="31"/>
  <c r="AG35" i="31"/>
  <c r="AG141" i="31"/>
  <c r="AJ40" i="31"/>
  <c r="AG36" i="31"/>
  <c r="AH38" i="31"/>
  <c r="AK142" i="31"/>
  <c r="AJ39" i="31"/>
  <c r="AJ190" i="31"/>
  <c r="AI38" i="31"/>
  <c r="AH40" i="31"/>
  <c r="T309" i="28"/>
  <c r="F310" i="28" a="1"/>
  <c r="F310" i="28" s="1"/>
  <c r="F208" i="30" a="1"/>
  <c r="F208" i="30" s="1"/>
  <c r="T139" i="28"/>
  <c r="F140" i="28" a="1"/>
  <c r="F140" i="28" s="1"/>
  <c r="F225" i="28" a="1"/>
  <c r="F225" i="28" s="1"/>
  <c r="T224" i="28"/>
  <c r="AB52" i="19" a="1"/>
  <c r="AB52" i="19" s="1"/>
  <c r="V52" i="19" a="1"/>
  <c r="V52" i="19" s="1"/>
  <c r="V102" i="19" a="1"/>
  <c r="V102" i="19" s="1"/>
  <c r="AB102" i="19" a="1"/>
  <c r="AB102" i="19" s="1"/>
  <c r="F172" i="26" a="1"/>
  <c r="F172" i="26" s="1"/>
  <c r="K171" i="26"/>
  <c r="F122" i="19" a="1"/>
  <c r="F122" i="19" s="1"/>
  <c r="K121" i="19"/>
  <c r="AB585" i="29"/>
  <c r="D586" i="29"/>
  <c r="K78" i="20"/>
  <c r="F79" i="20" a="1"/>
  <c r="F79" i="20" s="1"/>
  <c r="T46" i="14"/>
  <c r="AK136" i="31"/>
  <c r="AK184" i="31"/>
  <c r="AH31" i="31"/>
  <c r="AK31" i="31"/>
  <c r="AG31" i="31"/>
  <c r="AJ186" i="31"/>
  <c r="AI34" i="28"/>
  <c r="AH84" i="31"/>
  <c r="AK32" i="31"/>
  <c r="AJ34" i="28"/>
  <c r="AG119" i="28"/>
  <c r="AJ31" i="31"/>
  <c r="AJ136" i="31"/>
  <c r="AF119" i="28"/>
  <c r="AI84" i="31"/>
  <c r="AK133" i="31"/>
  <c r="AI33" i="31"/>
  <c r="AK135" i="31"/>
  <c r="AK204" i="28"/>
  <c r="AJ119" i="28"/>
  <c r="AK289" i="28"/>
  <c r="AE204" i="28"/>
  <c r="AI82" i="31"/>
  <c r="AK186" i="31"/>
  <c r="AI87" i="31"/>
  <c r="AG34" i="28"/>
  <c r="AJ135" i="31"/>
  <c r="AJ204" i="28"/>
  <c r="AK185" i="31"/>
  <c r="AJ184" i="31"/>
  <c r="AE34" i="28"/>
  <c r="AH32" i="31"/>
  <c r="AE119" i="28"/>
  <c r="AI119" i="28"/>
  <c r="AJ185" i="31"/>
  <c r="AJ134" i="31"/>
  <c r="AI31" i="31"/>
  <c r="AJ289" i="28"/>
  <c r="AG204" i="28"/>
  <c r="AI83" i="31"/>
  <c r="AJ32" i="31"/>
  <c r="AF289" i="28"/>
  <c r="AJ137" i="31"/>
  <c r="AK34" i="28"/>
  <c r="AF34" i="28"/>
  <c r="AI289" i="28"/>
  <c r="AH87" i="31"/>
  <c r="AH33" i="31"/>
  <c r="AG139" i="31"/>
  <c r="AJ187" i="31"/>
  <c r="AG32" i="31"/>
  <c r="AI34" i="31"/>
  <c r="AI85" i="31"/>
  <c r="AJ133" i="31"/>
  <c r="AH83" i="31"/>
  <c r="AJ138" i="31"/>
  <c r="AK138" i="31"/>
  <c r="AK119" i="28"/>
  <c r="AG33" i="31"/>
  <c r="AI204" i="28"/>
  <c r="AG87" i="31"/>
  <c r="AK134" i="31"/>
  <c r="AK189" i="31"/>
  <c r="AK187" i="31"/>
  <c r="AF204" i="28"/>
  <c r="AG289" i="28"/>
  <c r="AH82" i="31"/>
  <c r="AE289" i="28"/>
  <c r="AK33" i="31"/>
  <c r="AI32" i="31"/>
  <c r="AJ33" i="31"/>
  <c r="AG138" i="31"/>
  <c r="AG189" i="31"/>
  <c r="AH36" i="31"/>
  <c r="AJ192" i="31"/>
  <c r="AI37" i="31"/>
  <c r="AG140" i="31"/>
  <c r="AI35" i="31"/>
  <c r="AJ188" i="31"/>
  <c r="AI36" i="31"/>
  <c r="AG190" i="31"/>
  <c r="AJ34" i="31"/>
  <c r="AG88" i="31"/>
  <c r="AH86" i="31"/>
  <c r="AJ140" i="31"/>
  <c r="AK191" i="31"/>
  <c r="AJ142" i="31"/>
  <c r="AH89" i="31"/>
  <c r="AI39" i="31"/>
  <c r="AI90" i="31"/>
  <c r="AI86" i="31"/>
  <c r="AK39" i="31"/>
  <c r="AK34" i="31"/>
  <c r="AI91" i="31"/>
  <c r="AH34" i="31"/>
  <c r="AK188" i="31"/>
  <c r="AI89" i="31"/>
  <c r="AI88" i="31"/>
  <c r="AG91" i="31"/>
  <c r="AH88" i="31"/>
  <c r="AJ36" i="31"/>
  <c r="AH39" i="31"/>
  <c r="AH85" i="31"/>
  <c r="AG193" i="31"/>
  <c r="AK190" i="31"/>
  <c r="AJ35" i="31"/>
  <c r="AG142" i="31"/>
  <c r="AJ191" i="31"/>
  <c r="AH37" i="31"/>
  <c r="AJ37" i="31"/>
  <c r="AK137" i="31"/>
  <c r="AJ189" i="31"/>
  <c r="AK140" i="31"/>
  <c r="AG37" i="31"/>
  <c r="AJ139" i="31"/>
  <c r="AK139" i="31"/>
  <c r="AG34" i="31"/>
  <c r="AG40" i="31"/>
  <c r="AG192" i="31"/>
  <c r="AH91" i="31"/>
  <c r="AK35" i="31"/>
  <c r="AG47" i="26"/>
  <c r="F222" i="26" a="1"/>
  <c r="F222" i="26" s="1"/>
  <c r="K221" i="26"/>
  <c r="F64" i="29" a="1"/>
  <c r="F64" i="29" s="1"/>
  <c r="F352" i="29" a="1"/>
  <c r="F352" i="29" s="1"/>
  <c r="BO52" i="29"/>
  <c r="BO52" i="30"/>
  <c r="D442" i="29"/>
  <c r="AB441" i="29"/>
  <c r="F41" i="20" a="1"/>
  <c r="F41" i="20" s="1"/>
  <c r="K40" i="20"/>
  <c r="F53" i="9" a="1"/>
  <c r="F53" i="9" s="1"/>
  <c r="F97" i="19" a="1"/>
  <c r="F97" i="19" s="1"/>
  <c r="K96" i="19"/>
  <c r="F496" i="30" a="1"/>
  <c r="F496" i="30" s="1"/>
  <c r="F208" i="29" a="1"/>
  <c r="F208" i="29" s="1"/>
  <c r="F352" i="30" a="1"/>
  <c r="F352" i="30" s="1"/>
  <c r="AJ38" i="31"/>
  <c r="AK38" i="31"/>
  <c r="AG39" i="31"/>
  <c r="AG46" i="26"/>
  <c r="F496" i="29" a="1"/>
  <c r="F496" i="29" s="1"/>
  <c r="F42" i="18" a="1"/>
  <c r="F42" i="18" s="1"/>
  <c r="F62" i="30" a="1"/>
  <c r="F62" i="30" s="1"/>
  <c r="BO61" i="30"/>
  <c r="AB441" i="30"/>
  <c r="D442" i="30"/>
  <c r="AB297" i="29"/>
  <c r="D298" i="29"/>
  <c r="K59" i="20"/>
  <c r="F60" i="20" a="1"/>
  <c r="F60" i="20" s="1"/>
  <c r="F120" i="26" a="1"/>
  <c r="F120" i="26" s="1"/>
  <c r="K119" i="26"/>
  <c r="F98" i="20" a="1"/>
  <c r="F98" i="20" s="1"/>
  <c r="K97" i="20"/>
  <c r="F72" i="19" a="1"/>
  <c r="F72" i="19" s="1"/>
  <c r="K71" i="19"/>
  <c r="D154" i="30"/>
  <c r="AB153" i="30"/>
  <c r="F55" i="28" a="1"/>
  <c r="F55" i="28" s="1"/>
  <c r="T54" i="28"/>
  <c r="AB585" i="30"/>
  <c r="D586" i="30"/>
  <c r="AB153" i="29"/>
  <c r="D154" i="29"/>
  <c r="T82" i="22"/>
  <c r="AG35" i="26"/>
  <c r="AF35" i="26"/>
  <c r="F41" i="19" a="1"/>
  <c r="F41" i="19" s="1"/>
  <c r="K40" i="19"/>
  <c r="AB77" i="19" a="1"/>
  <c r="AB77" i="19" s="1"/>
  <c r="V77" i="19" a="1"/>
  <c r="V77" i="19" s="1"/>
  <c r="F49" i="26" a="1"/>
  <c r="F49" i="26" s="1"/>
  <c r="D298" i="30"/>
  <c r="AB297" i="30"/>
  <c r="AH35" i="31"/>
  <c r="AG44" i="26" l="1"/>
  <c r="AL119" i="28"/>
  <c r="AH34" i="28"/>
  <c r="K79" i="20"/>
  <c r="F80" i="20" a="1"/>
  <c r="F80" i="20" s="1"/>
  <c r="AB84" i="20" a="1"/>
  <c r="AB84" i="20" s="1"/>
  <c r="V84" i="20" a="1"/>
  <c r="V84" i="20" s="1"/>
  <c r="V46" i="20" a="1"/>
  <c r="V46" i="20" s="1"/>
  <c r="AB46" i="20" a="1"/>
  <c r="AB46" i="20"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353" i="30" a="1"/>
  <c r="F353" i="30" s="1"/>
  <c r="F42" i="20" a="1"/>
  <c r="F42" i="20" s="1"/>
  <c r="K41" i="20"/>
  <c r="AH289" i="28"/>
  <c r="AL289" i="28"/>
  <c r="F50" i="26" a="1"/>
  <c r="F50" i="26" s="1"/>
  <c r="AB65" i="20" a="1"/>
  <c r="AB65" i="20" s="1"/>
  <c r="V65" i="20" a="1"/>
  <c r="V65" i="20" s="1"/>
  <c r="AB586" i="30" a="1"/>
  <c r="AB586" i="30" s="1"/>
  <c r="D587" i="30" a="1"/>
  <c r="D587" i="30" s="1"/>
  <c r="K120" i="26"/>
  <c r="F121" i="26" a="1"/>
  <c r="F121" i="26" s="1"/>
  <c r="D443" i="30" a="1"/>
  <c r="D443" i="30" s="1"/>
  <c r="AB442" i="30" a="1"/>
  <c r="AB442" i="30" s="1"/>
  <c r="T42" i="18"/>
  <c r="T43" i="18" s="1" a="1"/>
  <c r="T43" i="18" s="1"/>
  <c r="F43" i="18" a="1"/>
  <c r="F43" i="18" s="1"/>
  <c r="F353" i="29" a="1"/>
  <c r="F353" i="29" s="1"/>
  <c r="F65" i="29" a="1"/>
  <c r="F65" i="29" s="1"/>
  <c r="AB298" i="30" a="1"/>
  <c r="AB298" i="30" s="1"/>
  <c r="D299" i="30" a="1"/>
  <c r="D299" i="30" s="1"/>
  <c r="F209" i="29" a="1"/>
  <c r="F209" i="29" s="1"/>
  <c r="F497" i="30" a="1"/>
  <c r="F497" i="30" s="1"/>
  <c r="T97" i="19"/>
  <c r="T98" i="19" s="1" a="1"/>
  <c r="T98" i="19" s="1"/>
  <c r="T99" i="19" s="1" a="1"/>
  <c r="T99" i="19" s="1"/>
  <c r="F98" i="19" a="1"/>
  <c r="F98" i="19" s="1"/>
  <c r="F99" i="19" s="1" a="1"/>
  <c r="F99" i="19" s="1"/>
  <c r="F100" i="19" s="1" a="1"/>
  <c r="F100" i="19" s="1"/>
  <c r="F54" i="9" a="1"/>
  <c r="F54" i="9" s="1"/>
  <c r="AI352" i="30" s="1"/>
  <c r="AI350" i="30" s="1"/>
  <c r="AI341" i="30" s="1"/>
  <c r="D443" i="29" a="1"/>
  <c r="D443" i="29" s="1"/>
  <c r="AB442" i="29" a="1"/>
  <c r="AB442" i="29" s="1"/>
  <c r="AL204" i="28"/>
  <c r="AB586" i="29" a="1"/>
  <c r="AB586" i="29" s="1"/>
  <c r="D587" i="29" a="1"/>
  <c r="D587" i="29" s="1"/>
  <c r="F123" i="19" a="1"/>
  <c r="F123" i="19" s="1"/>
  <c r="F124" i="19" s="1" a="1"/>
  <c r="F124" i="19" s="1"/>
  <c r="F125" i="19" s="1" a="1"/>
  <c r="F125" i="19" s="1"/>
  <c r="T122" i="19"/>
  <c r="T123" i="19" s="1" a="1"/>
  <c r="T123" i="19" s="1"/>
  <c r="T124" i="19" s="1" a="1"/>
  <c r="T124" i="19"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T310" i="28"/>
  <c r="T311" i="28" s="1" a="1"/>
  <c r="T311" i="28" s="1"/>
  <c r="T312" i="28" s="1" a="1"/>
  <c r="T312" i="28" s="1"/>
  <c r="T313" i="28" s="1" a="1"/>
  <c r="T313" i="28" s="1"/>
  <c r="T314" i="28" s="1" a="1"/>
  <c r="T314" i="28" s="1"/>
  <c r="T315" i="28" s="1" a="1"/>
  <c r="T315" i="28" s="1"/>
  <c r="T316" i="28" s="1" a="1"/>
  <c r="T316" i="28" s="1"/>
  <c r="T317" i="28" s="1" a="1"/>
  <c r="T317" i="28" s="1"/>
  <c r="T318" i="28" s="1" a="1"/>
  <c r="T318" i="28" s="1"/>
  <c r="T319" i="28" s="1" a="1"/>
  <c r="T319" i="28" s="1"/>
  <c r="T320" i="28" s="1" a="1"/>
  <c r="T320" i="28" s="1"/>
  <c r="T321" i="28" s="1" a="1"/>
  <c r="T321" i="28" s="1"/>
  <c r="T322" i="28" s="1" a="1"/>
  <c r="T322" i="28" s="1"/>
  <c r="T323" i="28" s="1" a="1"/>
  <c r="T323" i="28" s="1"/>
  <c r="T324" i="28" s="1" a="1"/>
  <c r="T324" i="28" s="1"/>
  <c r="T325" i="28" s="1" a="1"/>
  <c r="T325" i="28" s="1"/>
  <c r="T326" i="28" s="1" a="1"/>
  <c r="T326" i="28" s="1"/>
  <c r="T327" i="28" s="1" a="1"/>
  <c r="T327" i="28" s="1"/>
  <c r="T328" i="28" s="1" a="1"/>
  <c r="T328" i="28" s="1"/>
  <c r="T329" i="28" s="1" a="1"/>
  <c r="T329" i="28" s="1"/>
  <c r="T330" i="28" s="1" a="1"/>
  <c r="T330" i="28" s="1"/>
  <c r="T331" i="28" s="1" a="1"/>
  <c r="T331" i="28" s="1"/>
  <c r="T332" i="28" s="1" a="1"/>
  <c r="T332" i="28" s="1"/>
  <c r="T333" i="28" s="1" a="1"/>
  <c r="T333" i="28" s="1"/>
  <c r="T334" i="28" s="1" a="1"/>
  <c r="T334" i="28" s="1"/>
  <c r="T335" i="28" s="1" a="1"/>
  <c r="T335" i="28" s="1"/>
  <c r="T336" i="28" s="1" a="1"/>
  <c r="T336" i="28" s="1"/>
  <c r="T337" i="28" s="1" a="1"/>
  <c r="T337" i="28" s="1"/>
  <c r="T338" i="28" s="1" a="1"/>
  <c r="T338" i="28" s="1"/>
  <c r="T339" i="28" s="1" a="1"/>
  <c r="T339" i="28" s="1"/>
  <c r="T340" i="28" s="1" a="1"/>
  <c r="T340" i="28" s="1"/>
  <c r="T341" i="28" s="1" a="1"/>
  <c r="T341" i="28" s="1"/>
  <c r="T342" i="28" s="1" a="1"/>
  <c r="T342" i="28" s="1"/>
  <c r="T343" i="28" s="1" a="1"/>
  <c r="T343" i="28" s="1"/>
  <c r="T344" i="28" s="1" a="1"/>
  <c r="T344" i="28" s="1"/>
  <c r="T345" i="28" s="1" a="1"/>
  <c r="T345" i="28" s="1"/>
  <c r="T346" i="28" s="1" a="1"/>
  <c r="T346" i="28" s="1"/>
  <c r="T347" i="28" s="1" a="1"/>
  <c r="T347" i="28" s="1"/>
  <c r="T348" i="28" s="1" a="1"/>
  <c r="T348" i="28" s="1"/>
  <c r="T349" i="28" s="1" a="1"/>
  <c r="T349" i="28" s="1"/>
  <c r="T350" i="28" s="1" a="1"/>
  <c r="T350" i="28" s="1"/>
  <c r="T351" i="28" s="1" a="1"/>
  <c r="T351" i="28" s="1"/>
  <c r="T352" i="28" s="1" a="1"/>
  <c r="T352" i="28" s="1"/>
  <c r="T353" i="28" s="1" a="1"/>
  <c r="T353" i="28" s="1"/>
  <c r="T354" i="28" s="1" a="1"/>
  <c r="T354" i="28" s="1"/>
  <c r="T355" i="28" s="1" a="1"/>
  <c r="T355" i="28" s="1"/>
  <c r="T356" i="28" s="1" a="1"/>
  <c r="T356" i="28" s="1"/>
  <c r="T357" i="28" s="1" a="1"/>
  <c r="T357" i="28" s="1"/>
  <c r="T358" i="28" s="1" a="1"/>
  <c r="T358" i="28" s="1"/>
  <c r="T359" i="28" s="1" a="1"/>
  <c r="T359" i="28" s="1"/>
  <c r="T360" i="28" s="1" a="1"/>
  <c r="T360" i="28" s="1"/>
  <c r="T361" i="28" s="1" a="1"/>
  <c r="T361" i="28" s="1"/>
  <c r="T362" i="28" s="1" a="1"/>
  <c r="T362" i="28" s="1"/>
  <c r="T363" i="28" s="1" a="1"/>
  <c r="T363" i="28" s="1"/>
  <c r="T364" i="28" s="1" a="1"/>
  <c r="T364" i="28" s="1"/>
  <c r="T365" i="28" s="1" a="1"/>
  <c r="T365" i="28" s="1"/>
  <c r="T366" i="28" s="1" a="1"/>
  <c r="T366" i="28" s="1"/>
  <c r="F311" i="28" a="1"/>
  <c r="F311" i="28" s="1"/>
  <c r="F312" i="28" s="1" a="1"/>
  <c r="F312" i="28" s="1"/>
  <c r="F313" i="28" s="1" a="1"/>
  <c r="F313" i="28" s="1"/>
  <c r="F314" i="28" s="1" a="1"/>
  <c r="F314" i="28" s="1"/>
  <c r="D155" i="30" a="1"/>
  <c r="D155" i="30" s="1"/>
  <c r="AB154" i="30" a="1"/>
  <c r="AB154" i="30" s="1"/>
  <c r="F63" i="30" a="1"/>
  <c r="F63" i="30" s="1"/>
  <c r="T41" i="19"/>
  <c r="T42" i="19" s="1" a="1"/>
  <c r="T42" i="19" s="1"/>
  <c r="T43" i="19" s="1" a="1"/>
  <c r="T43" i="19" s="1"/>
  <c r="F42" i="19" a="1"/>
  <c r="F42" i="19" s="1"/>
  <c r="T72" i="19"/>
  <c r="T73" i="19" s="1" a="1"/>
  <c r="T73" i="19" s="1"/>
  <c r="T74" i="19" s="1" a="1"/>
  <c r="T74" i="19" s="1"/>
  <c r="F73" i="19" a="1"/>
  <c r="F73" i="19" s="1"/>
  <c r="F74" i="19" s="1" a="1"/>
  <c r="F74" i="19" s="1"/>
  <c r="F75" i="19" s="1" a="1"/>
  <c r="F75" i="19" s="1"/>
  <c r="F497" i="29" a="1"/>
  <c r="F497" i="29" s="1"/>
  <c r="AB154" i="29" a="1"/>
  <c r="AB154" i="29" s="1"/>
  <c r="D155" i="29" a="1"/>
  <c r="D155" i="29"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K98" i="20"/>
  <c r="F99" i="20" a="1"/>
  <c r="F99" i="20" s="1"/>
  <c r="F61" i="20" a="1"/>
  <c r="F61" i="20" s="1"/>
  <c r="K60" i="20"/>
  <c r="AB298" i="29" a="1"/>
  <c r="AB298" i="29" s="1"/>
  <c r="D299" i="29" a="1"/>
  <c r="D299" i="29" s="1"/>
  <c r="BO63" i="29"/>
  <c r="K222" i="26"/>
  <c r="F223" i="26" a="1"/>
  <c r="F223" i="26" s="1"/>
  <c r="AH204" i="28"/>
  <c r="AH119" i="28"/>
  <c r="AL34" i="28"/>
  <c r="K172" i="26"/>
  <c r="F173" i="26" a="1"/>
  <c r="F173" i="26" s="1"/>
  <c r="F209" i="30" a="1"/>
  <c r="F209" i="30" s="1"/>
  <c r="AW173" i="29" l="1"/>
  <c r="AO317" i="30"/>
  <c r="BB461" i="30"/>
  <c r="AK317" i="30"/>
  <c r="AK316" i="30" s="1"/>
  <c r="AK173" i="30"/>
  <c r="AK172" i="30" s="1"/>
  <c r="AF208" i="30"/>
  <c r="AF206" i="30" s="1"/>
  <c r="AF197" i="30" s="1"/>
  <c r="AF172" i="30" s="1"/>
  <c r="AJ108" i="19"/>
  <c r="AJ29" i="30"/>
  <c r="AZ461" i="30"/>
  <c r="AF108" i="19"/>
  <c r="AE208" i="30"/>
  <c r="AE206" i="30" s="1"/>
  <c r="AE197" i="30" s="1"/>
  <c r="AE172" i="30" s="1"/>
  <c r="AF70" i="19"/>
  <c r="AK40" i="24"/>
  <c r="AD33" i="31"/>
  <c r="AR461" i="30"/>
  <c r="AH114" i="19"/>
  <c r="AG208" i="30"/>
  <c r="AH208" i="30" s="1"/>
  <c r="AS317" i="29"/>
  <c r="AM461" i="30"/>
  <c r="AY461" i="30"/>
  <c r="AQ461" i="30"/>
  <c r="AT29" i="30"/>
  <c r="BA317" i="30"/>
  <c r="AK29" i="29"/>
  <c r="AD193" i="31"/>
  <c r="AI95" i="19"/>
  <c r="AI208" i="30"/>
  <c r="AI206" i="30" s="1"/>
  <c r="AI197" i="30" s="1"/>
  <c r="AR317" i="30"/>
  <c r="AY173" i="30"/>
  <c r="AX317" i="29"/>
  <c r="AP317" i="29"/>
  <c r="BC461" i="30"/>
  <c r="AI40" i="24"/>
  <c r="AM32" i="24"/>
  <c r="AK461" i="29"/>
  <c r="AH39" i="19"/>
  <c r="AF120" i="19"/>
  <c r="AS32" i="24"/>
  <c r="AL317" i="29"/>
  <c r="BB173" i="29"/>
  <c r="BB317" i="29"/>
  <c r="AE95" i="19"/>
  <c r="AH70" i="19"/>
  <c r="AI39" i="19"/>
  <c r="AJ120" i="19"/>
  <c r="AF114" i="19"/>
  <c r="AF95" i="19"/>
  <c r="AW461" i="29"/>
  <c r="AH120" i="19"/>
  <c r="AE120" i="19"/>
  <c r="AD142" i="31"/>
  <c r="AJ39" i="19"/>
  <c r="AG39" i="19"/>
  <c r="AI120" i="19"/>
  <c r="AF352" i="30"/>
  <c r="AF350" i="30" s="1"/>
  <c r="AF341" i="30" s="1"/>
  <c r="AF316" i="30" s="1"/>
  <c r="AF39" i="19"/>
  <c r="AD90" i="31"/>
  <c r="AG120" i="19"/>
  <c r="AG114" i="19"/>
  <c r="AI496" i="30"/>
  <c r="AI494" i="30" s="1"/>
  <c r="AI485" i="30" s="1"/>
  <c r="AF196" i="30"/>
  <c r="AV461" i="29"/>
  <c r="AE114" i="19"/>
  <c r="AP173" i="29"/>
  <c r="AI58" i="19"/>
  <c r="AW317" i="29"/>
  <c r="AO173" i="29"/>
  <c r="AL29" i="29"/>
  <c r="AF496" i="30"/>
  <c r="AF494" i="30" s="1"/>
  <c r="AF485" i="30" s="1"/>
  <c r="AF460" i="30" s="1"/>
  <c r="AV173" i="30"/>
  <c r="AE83" i="19"/>
  <c r="AK317" i="29"/>
  <c r="AE32" i="24"/>
  <c r="AE33" i="24" s="1" a="1"/>
  <c r="AE33" i="24" s="1"/>
  <c r="AE34" i="24" s="1"/>
  <c r="AM173" i="29"/>
  <c r="BC29" i="30"/>
  <c r="AD34" i="31"/>
  <c r="AB299" i="29"/>
  <c r="D300" i="29" a="1"/>
  <c r="D300" i="29" s="1"/>
  <c r="D588" i="30" a="1"/>
  <c r="D588" i="30" s="1"/>
  <c r="AB587" i="30"/>
  <c r="F100" i="20" a="1"/>
  <c r="F100" i="20" s="1"/>
  <c r="K99" i="20"/>
  <c r="AB155" i="29"/>
  <c r="D156" i="29" a="1"/>
  <c r="D156" i="29" s="1"/>
  <c r="T75" i="19"/>
  <c r="T76" i="19" s="1" a="1"/>
  <c r="T76" i="19" s="1"/>
  <c r="F76" i="19" a="1"/>
  <c r="F76" i="19" s="1"/>
  <c r="D156" i="30" a="1"/>
  <c r="D156" i="30" s="1"/>
  <c r="AB155" i="30"/>
  <c r="F498" i="30" a="1"/>
  <c r="F498" i="30" s="1"/>
  <c r="D444" i="30" a="1"/>
  <c r="D444" i="30" s="1"/>
  <c r="AB443" i="30"/>
  <c r="AB51" i="21" a="1"/>
  <c r="AB51" i="21" s="1"/>
  <c r="V51" i="21" a="1"/>
  <c r="V51" i="21" s="1"/>
  <c r="F354" i="30" a="1"/>
  <c r="F354" i="30" s="1"/>
  <c r="F145" i="28" a="1"/>
  <c r="F145" i="28" s="1"/>
  <c r="F62" i="20" a="1"/>
  <c r="F62" i="20" s="1"/>
  <c r="K61" i="20"/>
  <c r="F43" i="19" a="1"/>
  <c r="F43" i="19" s="1"/>
  <c r="F315" i="28" a="1"/>
  <c r="F315" i="28"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3" i="20" a="1"/>
  <c r="F43" i="20" s="1"/>
  <c r="K42" i="20"/>
  <c r="F210" i="30" a="1"/>
  <c r="F210" i="30" s="1"/>
  <c r="K173" i="26"/>
  <c r="F174" i="26" a="1"/>
  <c r="F174" i="26" s="1"/>
  <c r="F126" i="19" a="1"/>
  <c r="F126" i="19" s="1"/>
  <c r="T125" i="19"/>
  <c r="T126" i="19" s="1" a="1"/>
  <c r="T126" i="19" s="1"/>
  <c r="AL32" i="24"/>
  <c r="AV40" i="24"/>
  <c r="AQ461" i="29"/>
  <c r="AR29" i="30"/>
  <c r="AP173" i="30"/>
  <c r="AM48" i="24"/>
  <c r="AI83" i="19"/>
  <c r="AN32" i="24"/>
  <c r="AO29" i="29"/>
  <c r="AF52" i="30"/>
  <c r="AY29" i="29"/>
  <c r="AP29" i="29"/>
  <c r="AI340" i="30"/>
  <c r="AE108" i="19"/>
  <c r="AW29" i="29"/>
  <c r="AX40" i="24"/>
  <c r="AM317" i="30"/>
  <c r="AM29" i="29"/>
  <c r="AT32" i="24"/>
  <c r="AJ58" i="19"/>
  <c r="AT56" i="24"/>
  <c r="AN29" i="30"/>
  <c r="AJ83" i="19"/>
  <c r="AW48" i="24"/>
  <c r="AN317" i="30"/>
  <c r="AU461" i="30"/>
  <c r="AU460" i="30" s="1"/>
  <c r="AX56" i="24"/>
  <c r="AN461" i="29"/>
  <c r="AK48" i="24"/>
  <c r="AM173" i="30"/>
  <c r="AI196" i="30"/>
  <c r="AH56" i="24"/>
  <c r="AW317" i="30"/>
  <c r="AI52" i="30"/>
  <c r="AK173" i="29"/>
  <c r="AK56" i="24"/>
  <c r="AN40" i="24"/>
  <c r="BC29" i="29"/>
  <c r="AP32" i="24"/>
  <c r="AD82" i="31"/>
  <c r="AS40" i="24"/>
  <c r="AZ317" i="30"/>
  <c r="AX461" i="30"/>
  <c r="AS48" i="24"/>
  <c r="AN56" i="24"/>
  <c r="AR56" i="24"/>
  <c r="AF32" i="24"/>
  <c r="BC317" i="29"/>
  <c r="AI181" i="30"/>
  <c r="AI179" i="30" s="1"/>
  <c r="AI174" i="30" s="1"/>
  <c r="AD184" i="31"/>
  <c r="AP40" i="24"/>
  <c r="AE196" i="30"/>
  <c r="BB173" i="30"/>
  <c r="AU32" i="24"/>
  <c r="AG56" i="24"/>
  <c r="AR29" i="29"/>
  <c r="AE40" i="24"/>
  <c r="AY173" i="29"/>
  <c r="AU29" i="29"/>
  <c r="BC461" i="29"/>
  <c r="AX29" i="29"/>
  <c r="AI484" i="30"/>
  <c r="AO56" i="24"/>
  <c r="AL461" i="30"/>
  <c r="AU40" i="24"/>
  <c r="AE58" i="19"/>
  <c r="AZ173" i="29"/>
  <c r="AL173" i="30"/>
  <c r="AL172" i="30" s="1"/>
  <c r="AV56" i="24"/>
  <c r="AF56" i="24"/>
  <c r="AF57" i="24" s="1"/>
  <c r="AU317" i="29"/>
  <c r="AW29" i="30"/>
  <c r="AS461" i="29"/>
  <c r="BB461" i="29"/>
  <c r="AM461" i="29"/>
  <c r="AW40" i="24"/>
  <c r="AF83" i="19"/>
  <c r="AK32" i="24"/>
  <c r="AL173" i="29"/>
  <c r="AY29" i="30"/>
  <c r="AW56" i="24"/>
  <c r="AH58" i="19"/>
  <c r="AI56" i="24"/>
  <c r="AP461" i="30"/>
  <c r="AD31" i="31"/>
  <c r="AQ32" i="24"/>
  <c r="AM40" i="24"/>
  <c r="AL317" i="30"/>
  <c r="AR40" i="24"/>
  <c r="AN48" i="24"/>
  <c r="AE484" i="30"/>
  <c r="AQ173" i="29"/>
  <c r="BB29" i="29"/>
  <c r="AO40" i="24"/>
  <c r="AR173" i="30"/>
  <c r="AJ40" i="24"/>
  <c r="AD138" i="31"/>
  <c r="AL29" i="30"/>
  <c r="AX48" i="24"/>
  <c r="AH83" i="19"/>
  <c r="AD32" i="31"/>
  <c r="AU48" i="24"/>
  <c r="AR32" i="24"/>
  <c r="AS56" i="24"/>
  <c r="AG40" i="24"/>
  <c r="AG83" i="19"/>
  <c r="AK29" i="30"/>
  <c r="AF340" i="30"/>
  <c r="AV317" i="30"/>
  <c r="AG340" i="30"/>
  <c r="AS173" i="29"/>
  <c r="AX461" i="29"/>
  <c r="AO32" i="24"/>
  <c r="AF58" i="19"/>
  <c r="AJ32" i="24"/>
  <c r="AU29" i="30"/>
  <c r="AH32" i="24"/>
  <c r="AG32" i="24"/>
  <c r="AP56" i="24"/>
  <c r="AI108" i="19"/>
  <c r="AF40" i="24"/>
  <c r="AF41" i="24" s="1"/>
  <c r="AR317" i="29"/>
  <c r="AE52" i="30"/>
  <c r="BA461" i="30"/>
  <c r="AI48" i="24"/>
  <c r="AG58" i="19"/>
  <c r="AV48" i="24"/>
  <c r="AY317" i="29"/>
  <c r="AL56" i="24"/>
  <c r="AJ48" i="24"/>
  <c r="AY461" i="29"/>
  <c r="AT40" i="24"/>
  <c r="AQ29" i="30"/>
  <c r="AI32" i="24"/>
  <c r="AN29" i="29"/>
  <c r="BA29" i="30"/>
  <c r="AI33" i="19"/>
  <c r="BC173" i="29"/>
  <c r="AF37" i="30"/>
  <c r="AF35" i="30" s="1"/>
  <c r="AF30" i="30" s="1"/>
  <c r="AQ317" i="29"/>
  <c r="AS317" i="30"/>
  <c r="AL48" i="24"/>
  <c r="AG52" i="30"/>
  <c r="AZ173" i="30"/>
  <c r="AE56" i="24"/>
  <c r="AF484" i="30"/>
  <c r="AL40" i="24"/>
  <c r="AP29" i="30"/>
  <c r="AG484" i="30"/>
  <c r="AJ56" i="24"/>
  <c r="AD189" i="31"/>
  <c r="AJ33" i="19"/>
  <c r="AO173" i="30"/>
  <c r="BA173" i="29"/>
  <c r="AU173" i="30"/>
  <c r="AU172" i="30" s="1"/>
  <c r="BA461" i="29"/>
  <c r="BA173" i="30"/>
  <c r="AO461" i="30"/>
  <c r="AD139" i="31"/>
  <c r="BA29" i="29"/>
  <c r="AD35" i="31"/>
  <c r="AI64" i="19"/>
  <c r="AD89" i="31"/>
  <c r="AG33" i="19"/>
  <c r="AD190" i="31"/>
  <c r="AO29" i="30"/>
  <c r="AD87" i="31"/>
  <c r="AD36" i="31"/>
  <c r="AD37" i="31"/>
  <c r="AE33" i="19"/>
  <c r="AH33" i="19"/>
  <c r="AD141" i="31"/>
  <c r="AJ114" i="19"/>
  <c r="AF33" i="19"/>
  <c r="AH108" i="19"/>
  <c r="AD192" i="31"/>
  <c r="AF89" i="19"/>
  <c r="AJ70" i="19"/>
  <c r="AP48" i="24"/>
  <c r="AG70" i="19"/>
  <c r="AZ29" i="29"/>
  <c r="AO48" i="24"/>
  <c r="BC173" i="30"/>
  <c r="AV32" i="24"/>
  <c r="AX173" i="29"/>
  <c r="AD191" i="31"/>
  <c r="AD140" i="31"/>
  <c r="AG196" i="30"/>
  <c r="AH196" i="30" s="1"/>
  <c r="BA317" i="29"/>
  <c r="AS461" i="30"/>
  <c r="AJ89" i="19"/>
  <c r="AQ48" i="24"/>
  <c r="AF48" i="24"/>
  <c r="AF49" i="24" s="1"/>
  <c r="AG64" i="19"/>
  <c r="AE64" i="19"/>
  <c r="AV317" i="29"/>
  <c r="AD88" i="31"/>
  <c r="AQ56" i="24"/>
  <c r="AQ40" i="24"/>
  <c r="AV461" i="30"/>
  <c r="AT48" i="24"/>
  <c r="AY317" i="30"/>
  <c r="AR48" i="24"/>
  <c r="AD133" i="31"/>
  <c r="AV29" i="29"/>
  <c r="AF64" i="19"/>
  <c r="AU173" i="29"/>
  <c r="AP317" i="30"/>
  <c r="AX32" i="24"/>
  <c r="AM317" i="29"/>
  <c r="AS29" i="29"/>
  <c r="AH40" i="24"/>
  <c r="AH48" i="24"/>
  <c r="BB317" i="30"/>
  <c r="AZ317" i="29"/>
  <c r="BB29" i="30"/>
  <c r="AI325" i="30"/>
  <c r="AI323" i="30" s="1"/>
  <c r="AI318" i="30" s="1"/>
  <c r="AV29" i="30"/>
  <c r="AM29" i="30"/>
  <c r="AQ173" i="30"/>
  <c r="AE48" i="24"/>
  <c r="AU317" i="30"/>
  <c r="AU316" i="30" s="1"/>
  <c r="AU56" i="24"/>
  <c r="AX317" i="30"/>
  <c r="AJ64" i="19"/>
  <c r="AX173" i="30"/>
  <c r="AH89" i="19"/>
  <c r="AE89" i="19"/>
  <c r="AH64" i="19"/>
  <c r="AD38" i="31"/>
  <c r="AE70" i="19"/>
  <c r="AG108" i="19"/>
  <c r="AN317" i="29"/>
  <c r="AO317" i="29"/>
  <c r="AI29" i="30"/>
  <c r="AL461" i="29"/>
  <c r="AK461" i="30"/>
  <c r="AK460" i="30" s="1"/>
  <c r="AN173" i="30"/>
  <c r="BC317" i="30"/>
  <c r="AE340" i="30"/>
  <c r="AR461" i="29"/>
  <c r="AG48" i="24"/>
  <c r="AN461" i="30"/>
  <c r="AD39" i="31"/>
  <c r="AS29" i="30"/>
  <c r="AV173" i="29"/>
  <c r="AG89" i="19"/>
  <c r="AZ461" i="29"/>
  <c r="AE37" i="30"/>
  <c r="AE35" i="30" s="1"/>
  <c r="AE30" i="30" s="1"/>
  <c r="AQ29" i="29"/>
  <c r="AI89" i="19"/>
  <c r="AQ317" i="30"/>
  <c r="AI70" i="19"/>
  <c r="AE496" i="30"/>
  <c r="AE494" i="30" s="1"/>
  <c r="AE485" i="30" s="1"/>
  <c r="AE460" i="30" s="1"/>
  <c r="F210" i="29" a="1"/>
  <c r="F210" i="29" s="1"/>
  <c r="AU461" i="29"/>
  <c r="AW461" i="30"/>
  <c r="AN173" i="29"/>
  <c r="AX29" i="30"/>
  <c r="AM56" i="24"/>
  <c r="AZ29" i="30"/>
  <c r="AI469" i="30"/>
  <c r="AI467" i="30" s="1"/>
  <c r="AI462" i="30" s="1"/>
  <c r="AO461" i="29"/>
  <c r="AG352" i="30"/>
  <c r="AB63" i="21" a="1"/>
  <c r="AB63" i="21" s="1"/>
  <c r="V63" i="21" a="1"/>
  <c r="V63" i="21" s="1"/>
  <c r="AI37" i="30"/>
  <c r="AI35" i="30" s="1"/>
  <c r="AI30" i="30" s="1"/>
  <c r="F60" i="28" a="1"/>
  <c r="F60" i="28" s="1"/>
  <c r="AN59" i="28"/>
  <c r="F230" i="28" a="1"/>
  <c r="F230" i="28" s="1"/>
  <c r="AB587" i="29"/>
  <c r="D588" i="29" a="1"/>
  <c r="D588" i="29" s="1"/>
  <c r="BO65" i="29"/>
  <c r="F66" i="29" a="1"/>
  <c r="F66" i="29" s="1"/>
  <c r="K223" i="26"/>
  <c r="F224" i="26" a="1"/>
  <c r="F224" i="26" s="1"/>
  <c r="F498" i="29" a="1"/>
  <c r="F498" i="29" s="1"/>
  <c r="BO63" i="30"/>
  <c r="F64" i="30" a="1"/>
  <c r="F64" i="30" s="1"/>
  <c r="D444" i="29" a="1"/>
  <c r="D444" i="29" s="1"/>
  <c r="AB443" i="29"/>
  <c r="AG95" i="19"/>
  <c r="AH95" i="19"/>
  <c r="AD40" i="31"/>
  <c r="AJ95" i="19"/>
  <c r="AE39" i="19"/>
  <c r="AI114" i="19"/>
  <c r="F101" i="19" a="1"/>
  <c r="F101" i="19" s="1"/>
  <c r="T100" i="19"/>
  <c r="T101" i="19" s="1" a="1"/>
  <c r="T101" i="19" s="1"/>
  <c r="AG496" i="30"/>
  <c r="D300" i="30" a="1"/>
  <c r="D300" i="30" s="1"/>
  <c r="AB299" i="30"/>
  <c r="F354" i="29" a="1"/>
  <c r="F354" i="29" s="1"/>
  <c r="AW173" i="30"/>
  <c r="AP461" i="29"/>
  <c r="AW32" i="24"/>
  <c r="AS173" i="30"/>
  <c r="AG37" i="30"/>
  <c r="AD91" i="31"/>
  <c r="AR173" i="29"/>
  <c r="F44" i="18" a="1"/>
  <c r="F44" i="18" s="1"/>
  <c r="K121" i="26"/>
  <c r="F122" i="26" a="1"/>
  <c r="F122" i="26" s="1"/>
  <c r="AE352" i="30"/>
  <c r="AE350" i="30" s="1"/>
  <c r="AE341" i="30" s="1"/>
  <c r="AE316" i="30" s="1"/>
  <c r="AB39" i="21" a="1"/>
  <c r="AB39" i="21" s="1"/>
  <c r="V39" i="21" a="1"/>
  <c r="V39" i="21" s="1"/>
  <c r="F81" i="20" a="1"/>
  <c r="F81" i="20" s="1"/>
  <c r="K80" i="20"/>
  <c r="AL316" i="30" l="1"/>
  <c r="AM316" i="30" s="1"/>
  <c r="AF33" i="24"/>
  <c r="AG33" i="24" s="1"/>
  <c r="AG206" i="30"/>
  <c r="AH52" i="30"/>
  <c r="AH340" i="30"/>
  <c r="AH484" i="30"/>
  <c r="AM172" i="30"/>
  <c r="K81" i="20"/>
  <c r="F82" i="20" a="1"/>
  <c r="F82" i="20" s="1"/>
  <c r="F67" i="29" a="1"/>
  <c r="F67" i="29" s="1"/>
  <c r="BO66" i="29"/>
  <c r="AB588" i="29"/>
  <c r="D589" i="29" a="1"/>
  <c r="D589" i="29" s="1"/>
  <c r="F45" i="18" a="1"/>
  <c r="F45" i="18" s="1"/>
  <c r="F65" i="30" a="1"/>
  <c r="F65" i="30" s="1"/>
  <c r="AF64" i="30"/>
  <c r="AF62" i="30" s="1"/>
  <c r="AF53" i="30" s="1"/>
  <c r="AG64" i="30"/>
  <c r="AE64" i="30"/>
  <c r="AE62" i="30" s="1"/>
  <c r="AE53" i="30" s="1"/>
  <c r="AE28" i="30" s="1"/>
  <c r="AI64" i="30"/>
  <c r="AI62" i="30" s="1"/>
  <c r="AI53" i="30" s="1"/>
  <c r="F499" i="29" a="1"/>
  <c r="F499" i="29" s="1"/>
  <c r="K224" i="26"/>
  <c r="F225" i="26" a="1"/>
  <c r="F225" i="26" s="1"/>
  <c r="F61" i="28" a="1"/>
  <c r="F61" i="28" s="1"/>
  <c r="F62" i="28" s="1" a="1"/>
  <c r="F62" i="28" s="1"/>
  <c r="AN60" i="28"/>
  <c r="AG350" i="30"/>
  <c r="AH352" i="30"/>
  <c r="F211" i="29" a="1"/>
  <c r="F211" i="29" s="1"/>
  <c r="F44" i="20" a="1"/>
  <c r="F44" i="20" s="1"/>
  <c r="K43" i="20"/>
  <c r="F316" i="28" a="1"/>
  <c r="F316" i="28" s="1"/>
  <c r="F317" i="28" s="1" a="1"/>
  <c r="F317" i="28" s="1"/>
  <c r="F499" i="30" a="1"/>
  <c r="F499" i="30" s="1"/>
  <c r="K100" i="20"/>
  <c r="F101" i="20" a="1"/>
  <c r="F101" i="20" s="1"/>
  <c r="D589" i="30" a="1"/>
  <c r="D589" i="30" s="1"/>
  <c r="AB588" i="30"/>
  <c r="D301" i="29" a="1"/>
  <c r="D301" i="29" s="1"/>
  <c r="AB300" i="29"/>
  <c r="F355" i="29" a="1"/>
  <c r="F355" i="29" s="1"/>
  <c r="V69" i="22" a="1"/>
  <c r="V69" i="22" s="1"/>
  <c r="AB69" i="22" a="1"/>
  <c r="AB69" i="22" s="1"/>
  <c r="AG41" i="24"/>
  <c r="AF42" i="24"/>
  <c r="K174" i="26"/>
  <c r="F175" i="26" a="1"/>
  <c r="F175" i="26" s="1"/>
  <c r="F146" i="28" a="1"/>
  <c r="F146" i="28" s="1"/>
  <c r="F147" i="28" s="1" a="1"/>
  <c r="F147" i="28" s="1"/>
  <c r="D445" i="30" a="1"/>
  <c r="D445" i="30" s="1"/>
  <c r="AB444" i="30"/>
  <c r="K76" i="19"/>
  <c r="AE76" i="19"/>
  <c r="AE52" i="19" s="1"/>
  <c r="AI76" i="19"/>
  <c r="AI52" i="19" s="1"/>
  <c r="AF76" i="19"/>
  <c r="AF52" i="19" s="1"/>
  <c r="AJ76" i="19"/>
  <c r="AJ52" i="19" s="1"/>
  <c r="AH76" i="19"/>
  <c r="AH52" i="19" s="1"/>
  <c r="AG76" i="19"/>
  <c r="AG52" i="19" s="1"/>
  <c r="V41" i="22" a="1"/>
  <c r="V41" i="22" s="1"/>
  <c r="AB41" i="22" a="1"/>
  <c r="AB41" i="22" s="1"/>
  <c r="K122" i="26"/>
  <c r="F123" i="26" a="1"/>
  <c r="F123" i="26" s="1"/>
  <c r="AH37" i="30"/>
  <c r="AG35" i="30"/>
  <c r="AB300" i="30"/>
  <c r="D301" i="30" a="1"/>
  <c r="D301" i="30" s="1"/>
  <c r="K101" i="19"/>
  <c r="AE101" i="19"/>
  <c r="AE77" i="19" s="1"/>
  <c r="AF101" i="19"/>
  <c r="AF77" i="19" s="1"/>
  <c r="AJ101" i="19"/>
  <c r="AJ77" i="19" s="1"/>
  <c r="AH101" i="19"/>
  <c r="AH77" i="19" s="1"/>
  <c r="AI101" i="19"/>
  <c r="AI77" i="19" s="1"/>
  <c r="AG101" i="19"/>
  <c r="AG77" i="19" s="1"/>
  <c r="BE172" i="30"/>
  <c r="AV172" i="30"/>
  <c r="BF172" i="30" s="1"/>
  <c r="AF28" i="30"/>
  <c r="F44" i="19" a="1"/>
  <c r="F44" i="19" s="1"/>
  <c r="F355" i="30" a="1"/>
  <c r="F355" i="30" s="1"/>
  <c r="V55" i="22" a="1"/>
  <c r="V55" i="22" s="1"/>
  <c r="AB55" i="22" a="1"/>
  <c r="AB55" i="22" s="1"/>
  <c r="D157" i="29" a="1"/>
  <c r="D157" i="29" s="1"/>
  <c r="AB156" i="29"/>
  <c r="AH496" i="30"/>
  <c r="AG494" i="30"/>
  <c r="AL460" i="30"/>
  <c r="AG49" i="24"/>
  <c r="AF50" i="24"/>
  <c r="K126" i="19"/>
  <c r="AE126" i="19"/>
  <c r="AE102" i="19" s="1"/>
  <c r="AJ126" i="19"/>
  <c r="AF126" i="19"/>
  <c r="AF102" i="19" s="1"/>
  <c r="AH126" i="19"/>
  <c r="AH102" i="19" s="1"/>
  <c r="AI126" i="19"/>
  <c r="AI102" i="19" s="1"/>
  <c r="AG126" i="19"/>
  <c r="AG102" i="19" s="1"/>
  <c r="AH206" i="30"/>
  <c r="AG197" i="30"/>
  <c r="F63" i="20" a="1"/>
  <c r="F63" i="20" s="1"/>
  <c r="K62" i="20"/>
  <c r="AB444" i="29"/>
  <c r="D445" i="29" a="1"/>
  <c r="D445" i="29" s="1"/>
  <c r="F231" i="28" a="1"/>
  <c r="F231" i="28" s="1"/>
  <c r="F232" i="28" s="1" a="1"/>
  <c r="F232" i="28" s="1"/>
  <c r="BE316" i="30"/>
  <c r="AV316" i="30"/>
  <c r="BF316" i="30" s="1"/>
  <c r="AG57" i="24"/>
  <c r="AF58" i="24"/>
  <c r="BE460" i="30"/>
  <c r="AV460" i="30"/>
  <c r="F211" i="30" a="1"/>
  <c r="F211" i="30" s="1"/>
  <c r="K67" i="26"/>
  <c r="F68" i="26" a="1"/>
  <c r="F68" i="26" s="1"/>
  <c r="D157" i="30" a="1"/>
  <c r="D157" i="30" s="1"/>
  <c r="AB156" i="30"/>
  <c r="AF34" i="24" l="1"/>
  <c r="F69" i="26" a="1"/>
  <c r="F69" i="26" s="1"/>
  <c r="K68" i="26"/>
  <c r="D446" i="29" a="1"/>
  <c r="D446" i="29" s="1"/>
  <c r="AB445" i="29"/>
  <c r="AW460" i="30"/>
  <c r="BG460" i="30" s="1"/>
  <c r="F212" i="30" a="1"/>
  <c r="F212" i="30" s="1"/>
  <c r="AW316" i="30"/>
  <c r="BG316" i="30" s="1"/>
  <c r="AM460" i="30"/>
  <c r="AB301" i="30"/>
  <c r="D302" i="30" a="1"/>
  <c r="D302" i="30" s="1"/>
  <c r="F124" i="26" a="1"/>
  <c r="F124" i="26" s="1"/>
  <c r="K123" i="26"/>
  <c r="F176" i="26" a="1"/>
  <c r="F176" i="26" s="1"/>
  <c r="K175" i="26"/>
  <c r="AH41" i="24"/>
  <c r="AG42" i="24"/>
  <c r="AB589" i="30"/>
  <c r="D590" i="30" a="1"/>
  <c r="D590" i="30" s="1"/>
  <c r="F318" i="28" a="1"/>
  <c r="F318" i="28" s="1"/>
  <c r="F319" i="28" s="1" a="1"/>
  <c r="F319" i="28" s="1"/>
  <c r="F500" i="29" a="1"/>
  <c r="F500" i="29" s="1"/>
  <c r="AN172" i="30"/>
  <c r="BF460" i="30"/>
  <c r="AH57" i="24"/>
  <c r="AG58" i="24"/>
  <c r="F233" i="28" a="1"/>
  <c r="F233" i="28" s="1"/>
  <c r="F234" i="28" s="1" a="1"/>
  <c r="F234" i="28" s="1"/>
  <c r="F356" i="30" a="1"/>
  <c r="F356" i="30" s="1"/>
  <c r="AW172" i="30"/>
  <c r="BG172" i="30" s="1"/>
  <c r="AB58" i="23" a="1"/>
  <c r="AB58" i="23" s="1"/>
  <c r="V58" i="23" a="1"/>
  <c r="V58" i="23" s="1"/>
  <c r="F148" i="28" a="1"/>
  <c r="F148" i="28" s="1"/>
  <c r="F149" i="28" s="1" a="1"/>
  <c r="F149" i="28" s="1"/>
  <c r="AB116" i="23" a="1"/>
  <c r="AB116" i="23" s="1"/>
  <c r="V116" i="23" a="1"/>
  <c r="V116" i="23" s="1"/>
  <c r="F356" i="29" a="1"/>
  <c r="F356" i="29" s="1"/>
  <c r="K101" i="20"/>
  <c r="F102" i="20" a="1"/>
  <c r="F102" i="20" s="1"/>
  <c r="F500" i="30" a="1"/>
  <c r="F500" i="30" s="1"/>
  <c r="K44" i="20"/>
  <c r="F45" i="20" a="1"/>
  <c r="F45" i="20" s="1"/>
  <c r="F212" i="29" a="1"/>
  <c r="F212" i="29" s="1"/>
  <c r="AB589" i="29"/>
  <c r="D590" i="29" a="1"/>
  <c r="D590" i="29" s="1"/>
  <c r="AI28" i="30"/>
  <c r="AH35" i="30"/>
  <c r="AG30" i="30"/>
  <c r="AB301" i="29"/>
  <c r="D302" i="29" a="1"/>
  <c r="D302" i="29" s="1"/>
  <c r="AH350" i="30"/>
  <c r="AG341" i="30"/>
  <c r="AN62" i="28"/>
  <c r="F63" i="28" a="1"/>
  <c r="F63" i="28" s="1"/>
  <c r="F64" i="28" s="1" a="1"/>
  <c r="F64" i="28" s="1"/>
  <c r="BO65" i="30"/>
  <c r="F66" i="30" a="1"/>
  <c r="F66" i="30" s="1"/>
  <c r="F46" i="18" a="1"/>
  <c r="F46" i="18" s="1"/>
  <c r="T45" i="18"/>
  <c r="T46" i="18" s="1" a="1"/>
  <c r="T46" i="18" s="1"/>
  <c r="F68" i="29" a="1"/>
  <c r="F68" i="29" s="1"/>
  <c r="BO67" i="29"/>
  <c r="AN316" i="30"/>
  <c r="AJ102" i="19"/>
  <c r="AB157" i="30"/>
  <c r="D158" i="30" a="1"/>
  <c r="D158" i="30" s="1"/>
  <c r="F64" i="20" a="1"/>
  <c r="F64" i="20" s="1"/>
  <c r="K64" i="20" s="1"/>
  <c r="K63" i="20"/>
  <c r="AH197" i="30"/>
  <c r="AG172" i="30"/>
  <c r="AH49" i="24"/>
  <c r="AG50" i="24"/>
  <c r="AH494" i="30"/>
  <c r="AG485" i="30"/>
  <c r="D158" i="29" a="1"/>
  <c r="D158" i="29" s="1"/>
  <c r="AB157" i="29"/>
  <c r="V87" i="23" a="1"/>
  <c r="V87" i="23" s="1"/>
  <c r="AB87" i="23" a="1"/>
  <c r="AB87" i="23" s="1"/>
  <c r="T44" i="19"/>
  <c r="T45" i="19" s="1" a="1"/>
  <c r="T45" i="19" s="1"/>
  <c r="T46" i="19" s="1" a="1"/>
  <c r="T46" i="19" s="1"/>
  <c r="F45" i="19" a="1"/>
  <c r="F45" i="19" s="1"/>
  <c r="D446" i="30" a="1"/>
  <c r="D446" i="30" s="1"/>
  <c r="AB445" i="30"/>
  <c r="F226" i="26" a="1"/>
  <c r="F226" i="26" s="1"/>
  <c r="K225" i="26"/>
  <c r="AH64" i="30"/>
  <c r="AG62" i="30"/>
  <c r="F83" i="20" a="1"/>
  <c r="F83" i="20" s="1"/>
  <c r="K83" i="20" s="1"/>
  <c r="K82" i="20"/>
  <c r="AH33" i="24"/>
  <c r="AG34" i="24"/>
  <c r="AJ317" i="28" l="1"/>
  <c r="AF66" i="29"/>
  <c r="F227" i="26" a="1"/>
  <c r="F227" i="26" s="1"/>
  <c r="K226" i="26"/>
  <c r="D447" i="30" a="1"/>
  <c r="D447" i="30" s="1"/>
  <c r="AB446" i="30"/>
  <c r="D159" i="29" a="1"/>
  <c r="D159" i="29" s="1"/>
  <c r="AB158" i="29"/>
  <c r="AI49" i="24"/>
  <c r="AH50" i="24"/>
  <c r="AO316" i="30"/>
  <c r="AT67" i="29"/>
  <c r="AG62" i="28"/>
  <c r="AT28" i="30"/>
  <c r="BD28" i="30"/>
  <c r="AJ28" i="30"/>
  <c r="AT66" i="29"/>
  <c r="AG211" i="29"/>
  <c r="AE211" i="29"/>
  <c r="AG205" i="29"/>
  <c r="AG492" i="29"/>
  <c r="AI353" i="29"/>
  <c r="BD353" i="29" s="1"/>
  <c r="AT205" i="29"/>
  <c r="AJ203" i="29"/>
  <c r="AT61" i="29"/>
  <c r="AT209" i="29"/>
  <c r="AI59" i="29"/>
  <c r="BD59" i="29" s="1"/>
  <c r="AG353" i="29"/>
  <c r="AF65" i="29"/>
  <c r="AJ349" i="29"/>
  <c r="AJ209" i="29"/>
  <c r="AJ204" i="29"/>
  <c r="AT353" i="29"/>
  <c r="AJ491" i="29"/>
  <c r="AE491" i="29"/>
  <c r="AI346" i="29"/>
  <c r="BD346" i="29" s="1"/>
  <c r="K102" i="20"/>
  <c r="AJ342" i="29"/>
  <c r="AI342" i="29"/>
  <c r="AT342" i="29"/>
  <c r="AG342" i="29"/>
  <c r="AE342" i="29"/>
  <c r="AJ54" i="29"/>
  <c r="AT487" i="29"/>
  <c r="AJ487" i="29"/>
  <c r="AI486" i="29"/>
  <c r="AI198" i="29"/>
  <c r="AI55" i="29"/>
  <c r="BD55" i="29" s="1"/>
  <c r="AE54" i="29"/>
  <c r="AJ343" i="29"/>
  <c r="AT54" i="29"/>
  <c r="AF342" i="29"/>
  <c r="AF487" i="29"/>
  <c r="AJ199" i="29"/>
  <c r="AT55" i="29"/>
  <c r="AT486" i="29"/>
  <c r="AF54" i="29"/>
  <c r="AI343" i="29"/>
  <c r="BD343" i="29" s="1"/>
  <c r="AE486" i="29"/>
  <c r="AJ198" i="29"/>
  <c r="AE343" i="29"/>
  <c r="AI54" i="29"/>
  <c r="AJ486" i="29"/>
  <c r="AG199" i="29"/>
  <c r="AT200" i="29"/>
  <c r="AI199" i="29"/>
  <c r="BD199" i="29" s="1"/>
  <c r="AI487" i="29"/>
  <c r="BD487" i="29" s="1"/>
  <c r="AT488" i="29"/>
  <c r="AJ489" i="29"/>
  <c r="AJ57" i="29"/>
  <c r="AG489" i="29"/>
  <c r="AF344" i="29"/>
  <c r="AF486" i="29"/>
  <c r="AG343" i="29"/>
  <c r="AF343" i="29"/>
  <c r="AF55" i="29"/>
  <c r="AG198" i="29"/>
  <c r="AG486" i="29"/>
  <c r="AG487" i="29"/>
  <c r="AT343" i="29"/>
  <c r="AF489" i="29"/>
  <c r="AG344" i="29"/>
  <c r="AF488" i="29"/>
  <c r="AE198" i="29"/>
  <c r="AJ55" i="29"/>
  <c r="AT199" i="29"/>
  <c r="AE487" i="29"/>
  <c r="AG55" i="29"/>
  <c r="AH55" i="29" s="1"/>
  <c r="AF198" i="29"/>
  <c r="AI489" i="29"/>
  <c r="BD489" i="29" s="1"/>
  <c r="AG57" i="29"/>
  <c r="AT56" i="29"/>
  <c r="AE344" i="29"/>
  <c r="AE55" i="29"/>
  <c r="AG54" i="29"/>
  <c r="AT198" i="29"/>
  <c r="AI56" i="29"/>
  <c r="BD56" i="29" s="1"/>
  <c r="AI200" i="29"/>
  <c r="BD200" i="29" s="1"/>
  <c r="AT490" i="29"/>
  <c r="AF58" i="29"/>
  <c r="AG58" i="29"/>
  <c r="AE200" i="29"/>
  <c r="AI344" i="29"/>
  <c r="BD344" i="29" s="1"/>
  <c r="AG56" i="29"/>
  <c r="AE489" i="29"/>
  <c r="AI58" i="29"/>
  <c r="BD58" i="29" s="1"/>
  <c r="AT57" i="29"/>
  <c r="AF57" i="29"/>
  <c r="AG488" i="29"/>
  <c r="AF199" i="29"/>
  <c r="AJ200" i="29"/>
  <c r="AF200" i="29"/>
  <c r="AT489" i="29"/>
  <c r="AI60" i="29"/>
  <c r="BD60" i="29" s="1"/>
  <c r="AE57" i="29"/>
  <c r="AI57" i="29"/>
  <c r="BD57" i="29" s="1"/>
  <c r="AI490" i="29"/>
  <c r="BD490" i="29" s="1"/>
  <c r="AE199" i="29"/>
  <c r="AI488" i="29"/>
  <c r="BD488" i="29" s="1"/>
  <c r="AJ488" i="29"/>
  <c r="AT344" i="29"/>
  <c r="AJ344" i="29"/>
  <c r="AF56" i="29"/>
  <c r="AT201" i="29"/>
  <c r="AE56" i="29"/>
  <c r="AF346" i="29"/>
  <c r="AI202" i="29"/>
  <c r="BD202" i="29" s="1"/>
  <c r="AE201" i="29"/>
  <c r="AI345" i="29"/>
  <c r="BD345" i="29" s="1"/>
  <c r="AG200" i="29"/>
  <c r="AF202" i="29"/>
  <c r="AJ345" i="29"/>
  <c r="AF60" i="29"/>
  <c r="AT202" i="29"/>
  <c r="AF490" i="29"/>
  <c r="AG490" i="29"/>
  <c r="AF201" i="29"/>
  <c r="AE60" i="29"/>
  <c r="AT58" i="29"/>
  <c r="AT204" i="29"/>
  <c r="AT60" i="29"/>
  <c r="AJ56" i="29"/>
  <c r="AT492" i="29"/>
  <c r="AF345" i="29"/>
  <c r="AF204" i="29"/>
  <c r="AJ60" i="29"/>
  <c r="AG202" i="29"/>
  <c r="AH202" i="29" s="1"/>
  <c r="AI201" i="29"/>
  <c r="BD201" i="29" s="1"/>
  <c r="AE488" i="29"/>
  <c r="AE345" i="29"/>
  <c r="AG345" i="29"/>
  <c r="AG346" i="29"/>
  <c r="AJ346" i="29"/>
  <c r="AE202" i="29"/>
  <c r="AJ201" i="29"/>
  <c r="AJ202" i="29"/>
  <c r="AJ58" i="29"/>
  <c r="AT346" i="29"/>
  <c r="AE204" i="29"/>
  <c r="AE490" i="29"/>
  <c r="AG201" i="29"/>
  <c r="AH201" i="29" s="1"/>
  <c r="AF203" i="29"/>
  <c r="AT349" i="29"/>
  <c r="AT345" i="29"/>
  <c r="AJ347" i="29"/>
  <c r="AE493" i="29"/>
  <c r="AG491" i="29"/>
  <c r="AF493" i="29"/>
  <c r="AF355" i="29"/>
  <c r="AI355" i="29"/>
  <c r="BD355" i="29" s="1"/>
  <c r="AF147" i="28"/>
  <c r="F150" i="28" a="1"/>
  <c r="F150" i="28" s="1"/>
  <c r="AK232" i="28"/>
  <c r="AI57" i="24"/>
  <c r="AH58" i="24"/>
  <c r="AI66" i="29"/>
  <c r="BD66" i="29" s="1"/>
  <c r="AE499" i="29"/>
  <c r="AG499" i="29"/>
  <c r="AE317" i="28"/>
  <c r="AK317" i="28"/>
  <c r="F177" i="26" a="1"/>
  <c r="F177" i="26" s="1"/>
  <c r="K176" i="26"/>
  <c r="F125" i="26" a="1"/>
  <c r="F125" i="26" s="1"/>
  <c r="K124" i="26"/>
  <c r="AI33" i="24"/>
  <c r="AH34" i="24"/>
  <c r="AG53" i="30"/>
  <c r="AH53" i="30" s="1"/>
  <c r="AH62" i="30"/>
  <c r="AB43" i="24" a="1"/>
  <c r="AB43" i="24" s="1"/>
  <c r="V43" i="24" a="1"/>
  <c r="V43" i="24" s="1"/>
  <c r="AH485" i="30"/>
  <c r="AG460" i="30"/>
  <c r="AH172" i="30"/>
  <c r="AB158" i="30"/>
  <c r="D159" i="30" a="1"/>
  <c r="D159" i="30" s="1"/>
  <c r="AF67" i="29"/>
  <c r="AJ68" i="29"/>
  <c r="AF68" i="29"/>
  <c r="BO68" i="29"/>
  <c r="AI68" i="29"/>
  <c r="BD68" i="29" s="1"/>
  <c r="AE68" i="29"/>
  <c r="AT68" i="29"/>
  <c r="F69" i="29" a="1"/>
  <c r="F69" i="29" s="1"/>
  <c r="AG68" i="29"/>
  <c r="F67" i="30" a="1"/>
  <c r="F67" i="30" s="1"/>
  <c r="BO66" i="30"/>
  <c r="AN64" i="28"/>
  <c r="F65" i="28" a="1"/>
  <c r="F65" i="28" s="1"/>
  <c r="AF62" i="28"/>
  <c r="AB302" i="29"/>
  <c r="D303" i="29" a="1"/>
  <c r="D303" i="29" s="1"/>
  <c r="AH30" i="30"/>
  <c r="AJ66" i="29"/>
  <c r="AI498" i="29"/>
  <c r="BD498" i="29" s="1"/>
  <c r="AJ211" i="29"/>
  <c r="AI211" i="29"/>
  <c r="BD211" i="29" s="1"/>
  <c r="AI204" i="29"/>
  <c r="BD204" i="29" s="1"/>
  <c r="AJ490" i="29"/>
  <c r="AG203" i="29"/>
  <c r="AJ353" i="29"/>
  <c r="AT65" i="29"/>
  <c r="AE347" i="29"/>
  <c r="AF348" i="29"/>
  <c r="AE58" i="29"/>
  <c r="AG347" i="29"/>
  <c r="AT497" i="29"/>
  <c r="AE65" i="29"/>
  <c r="AF492" i="29"/>
  <c r="AE346" i="29"/>
  <c r="AI61" i="29"/>
  <c r="BD61" i="29" s="1"/>
  <c r="AG493" i="29"/>
  <c r="AG65" i="29"/>
  <c r="AH65" i="29" s="1"/>
  <c r="AJ493" i="29"/>
  <c r="AG348" i="29"/>
  <c r="AJ355" i="29"/>
  <c r="AG147" i="28"/>
  <c r="AI147" i="28"/>
  <c r="AX172" i="30"/>
  <c r="F357" i="30" a="1"/>
  <c r="F357" i="30" s="1"/>
  <c r="AI232" i="28"/>
  <c r="AF232" i="28"/>
  <c r="AJ499" i="29"/>
  <c r="AT499" i="29"/>
  <c r="AG317" i="28"/>
  <c r="AB302" i="30"/>
  <c r="D303" i="30" a="1"/>
  <c r="D303" i="30" s="1"/>
  <c r="F70" i="26" a="1"/>
  <c r="F70" i="26" s="1"/>
  <c r="AG69" i="26"/>
  <c r="K69" i="26"/>
  <c r="AI67" i="29"/>
  <c r="BD67" i="29" s="1"/>
  <c r="AJ67" i="29"/>
  <c r="AE66" i="29"/>
  <c r="F47" i="18" a="1"/>
  <c r="F47" i="18" s="1"/>
  <c r="AE62" i="28"/>
  <c r="AJ62" i="28"/>
  <c r="AB590" i="29"/>
  <c r="D591" i="29" a="1"/>
  <c r="D591" i="29" s="1"/>
  <c r="AG498" i="29"/>
  <c r="AT211" i="29"/>
  <c r="AI203" i="29"/>
  <c r="BD203" i="29" s="1"/>
  <c r="AT493" i="29"/>
  <c r="AG204" i="29"/>
  <c r="AJ348" i="29"/>
  <c r="AJ65" i="29"/>
  <c r="AF209" i="29"/>
  <c r="AI497" i="29"/>
  <c r="BD497" i="29" s="1"/>
  <c r="AE61" i="29"/>
  <c r="AG60" i="29"/>
  <c r="AF497" i="29"/>
  <c r="AF349" i="29"/>
  <c r="AI348" i="29"/>
  <c r="BD348" i="29" s="1"/>
  <c r="AE492" i="29"/>
  <c r="AI491" i="29"/>
  <c r="BD491" i="29" s="1"/>
  <c r="AE497" i="29"/>
  <c r="AI65" i="29"/>
  <c r="BD65" i="29" s="1"/>
  <c r="AE209" i="29"/>
  <c r="K45" i="20"/>
  <c r="AN232" i="28" s="1"/>
  <c r="AF498" i="29"/>
  <c r="AJ498" i="29"/>
  <c r="AJ210" i="29"/>
  <c r="AE210" i="29"/>
  <c r="AI347" i="29"/>
  <c r="BD347" i="29" s="1"/>
  <c r="AF347" i="29"/>
  <c r="AF59" i="29"/>
  <c r="AI354" i="29"/>
  <c r="BD354" i="29" s="1"/>
  <c r="AT354" i="29"/>
  <c r="AE205" i="29"/>
  <c r="AT498" i="29"/>
  <c r="AF210" i="29"/>
  <c r="AT210" i="29"/>
  <c r="AG61" i="29"/>
  <c r="AI205" i="29"/>
  <c r="BD205" i="29" s="1"/>
  <c r="AG59" i="29"/>
  <c r="AT347" i="29"/>
  <c r="AJ354" i="29"/>
  <c r="AE354" i="29"/>
  <c r="AE349" i="29"/>
  <c r="AJ492" i="29"/>
  <c r="AJ59" i="29"/>
  <c r="AJ61" i="29"/>
  <c r="AF354" i="29"/>
  <c r="AI210" i="29"/>
  <c r="BD210" i="29" s="1"/>
  <c r="AG210" i="29"/>
  <c r="AI492" i="29"/>
  <c r="BD492" i="29" s="1"/>
  <c r="AE203" i="29"/>
  <c r="AF61" i="29"/>
  <c r="AG354" i="29"/>
  <c r="AF205" i="29"/>
  <c r="BO499" i="30"/>
  <c r="AG355" i="29"/>
  <c r="AT355" i="29"/>
  <c r="AK147" i="28"/>
  <c r="AE147" i="28"/>
  <c r="V35" i="24" a="1"/>
  <c r="V35" i="24" s="1"/>
  <c r="AB35" i="24" a="1"/>
  <c r="AB35" i="24" s="1"/>
  <c r="F235" i="28" a="1"/>
  <c r="F235" i="28" s="1"/>
  <c r="AJ232" i="28"/>
  <c r="AO172" i="30"/>
  <c r="AE498" i="29"/>
  <c r="AF499" i="29"/>
  <c r="F501" i="29" a="1"/>
  <c r="F501" i="29" s="1"/>
  <c r="AT500" i="29"/>
  <c r="AG500" i="29"/>
  <c r="AJ500" i="29"/>
  <c r="AF500" i="29"/>
  <c r="AI500" i="29"/>
  <c r="BD500" i="29" s="1"/>
  <c r="AE500" i="29"/>
  <c r="F320" i="28" a="1"/>
  <c r="F320" i="28" s="1"/>
  <c r="D591" i="30" a="1"/>
  <c r="D591" i="30" s="1"/>
  <c r="AB590" i="30"/>
  <c r="AI41" i="24"/>
  <c r="AH42" i="24"/>
  <c r="AN460" i="30"/>
  <c r="F213" i="30" a="1"/>
  <c r="F213" i="30" s="1"/>
  <c r="AG66" i="29"/>
  <c r="AH66" i="29" s="1"/>
  <c r="F46" i="19" a="1"/>
  <c r="F46" i="19" s="1"/>
  <c r="K45" i="19"/>
  <c r="AH45" i="19"/>
  <c r="AE45" i="19"/>
  <c r="AJ45" i="19"/>
  <c r="AI45" i="19"/>
  <c r="AF45" i="19"/>
  <c r="AG45" i="19"/>
  <c r="AE67" i="29"/>
  <c r="AG67" i="29"/>
  <c r="AK62" i="28"/>
  <c r="AI62" i="28"/>
  <c r="AH341" i="30"/>
  <c r="AG316" i="30"/>
  <c r="F213" i="29" a="1"/>
  <c r="F213" i="29" s="1"/>
  <c r="AT212" i="29"/>
  <c r="AG212" i="29"/>
  <c r="AI212" i="29"/>
  <c r="BD212" i="29" s="1"/>
  <c r="AF212" i="29"/>
  <c r="AE212" i="29"/>
  <c r="AJ212" i="29"/>
  <c r="AF211" i="29"/>
  <c r="AF353" i="29"/>
  <c r="AT59" i="29"/>
  <c r="AI493" i="29"/>
  <c r="BD493" i="29" s="1"/>
  <c r="AE348" i="29"/>
  <c r="AE59" i="29"/>
  <c r="AT348" i="29"/>
  <c r="AG349" i="29"/>
  <c r="AF491" i="29"/>
  <c r="AE353" i="29"/>
  <c r="AJ205" i="29"/>
  <c r="AT203" i="29"/>
  <c r="AI209" i="29"/>
  <c r="BD209" i="29" s="1"/>
  <c r="AG497" i="29"/>
  <c r="AI349" i="29"/>
  <c r="BD349" i="29" s="1"/>
  <c r="AJ497" i="29"/>
  <c r="AT491" i="29"/>
  <c r="AG209" i="29"/>
  <c r="F501" i="30" a="1"/>
  <c r="F501" i="30" s="1"/>
  <c r="F357" i="29" a="1"/>
  <c r="F357" i="29" s="1"/>
  <c r="AT356" i="29"/>
  <c r="AG356" i="29"/>
  <c r="AF356" i="29"/>
  <c r="AE356" i="29"/>
  <c r="AI356" i="29"/>
  <c r="BD356" i="29" s="1"/>
  <c r="AJ356" i="29"/>
  <c r="AE355" i="29"/>
  <c r="V51" i="24" a="1"/>
  <c r="V51" i="24" s="1"/>
  <c r="AB51" i="24" a="1"/>
  <c r="AB51" i="24" s="1"/>
  <c r="AJ147" i="28"/>
  <c r="AG232" i="28"/>
  <c r="AE232" i="28"/>
  <c r="AI499" i="29"/>
  <c r="BD499" i="29" s="1"/>
  <c r="AI317" i="28"/>
  <c r="AF317" i="28"/>
  <c r="AX316" i="30"/>
  <c r="BH316" i="30" s="1"/>
  <c r="AX460" i="30"/>
  <c r="D447" i="29" a="1"/>
  <c r="D447" i="29" s="1"/>
  <c r="AB446" i="29"/>
  <c r="AH60" i="29" l="1"/>
  <c r="BO348" i="30"/>
  <c r="AH209" i="29"/>
  <c r="AH497" i="29"/>
  <c r="BO210" i="30"/>
  <c r="AH349" i="29"/>
  <c r="AH346" i="29"/>
  <c r="BO356" i="29"/>
  <c r="BO353" i="30"/>
  <c r="AH203" i="29"/>
  <c r="BO212" i="29"/>
  <c r="AH487" i="29"/>
  <c r="AH493" i="29"/>
  <c r="AH345" i="29"/>
  <c r="AH200" i="29"/>
  <c r="AH344" i="29"/>
  <c r="AH67" i="29"/>
  <c r="AH58" i="29"/>
  <c r="BO499" i="29"/>
  <c r="AN147" i="28"/>
  <c r="BO354" i="29"/>
  <c r="BO497" i="30"/>
  <c r="BO497" i="29"/>
  <c r="BO498" i="30"/>
  <c r="BO212" i="30"/>
  <c r="BO500" i="29"/>
  <c r="BO500" i="30"/>
  <c r="BO209" i="30"/>
  <c r="BO498" i="29"/>
  <c r="BO209" i="29"/>
  <c r="BO353" i="29"/>
  <c r="BO349" i="30"/>
  <c r="BO354" i="30"/>
  <c r="BO205" i="29"/>
  <c r="AH355" i="29"/>
  <c r="AH204" i="29"/>
  <c r="AH356" i="29"/>
  <c r="AH354" i="29"/>
  <c r="AH210" i="29"/>
  <c r="AH68" i="29"/>
  <c r="AG28" i="30"/>
  <c r="AH28" i="30" s="1"/>
  <c r="AH488" i="29"/>
  <c r="AB447" i="29"/>
  <c r="D448" i="29" a="1"/>
  <c r="D448" i="29" s="1"/>
  <c r="AY460" i="30"/>
  <c r="BI460" i="30" s="1"/>
  <c r="AH232" i="28"/>
  <c r="V35" i="25" a="1"/>
  <c r="V35" i="25" s="1"/>
  <c r="AB35" i="25" a="1"/>
  <c r="AB35" i="25" s="1"/>
  <c r="BO64" i="29"/>
  <c r="BO64" i="30"/>
  <c r="AJ41" i="24"/>
  <c r="AI42" i="24"/>
  <c r="AH500" i="29"/>
  <c r="F236" i="28" a="1"/>
  <c r="F236" i="28" s="1"/>
  <c r="AN239" i="28"/>
  <c r="BO211" i="30"/>
  <c r="BO493" i="30"/>
  <c r="AL232" i="28"/>
  <c r="AY172" i="30"/>
  <c r="BI172" i="30" s="1"/>
  <c r="BO355" i="29"/>
  <c r="AH347" i="29"/>
  <c r="D304" i="29" a="1"/>
  <c r="D304" i="29" s="1"/>
  <c r="AB303" i="29"/>
  <c r="K125" i="26"/>
  <c r="F126" i="26" a="1"/>
  <c r="F126" i="26" s="1"/>
  <c r="AH499" i="29"/>
  <c r="AJ57" i="24"/>
  <c r="AI58" i="24"/>
  <c r="AH490" i="29"/>
  <c r="AH56" i="29"/>
  <c r="AH199" i="29"/>
  <c r="AH492" i="29"/>
  <c r="AH211" i="29"/>
  <c r="AP316" i="30"/>
  <c r="D160" i="29" a="1"/>
  <c r="D160" i="29" s="1"/>
  <c r="AB159" i="29"/>
  <c r="K227" i="26"/>
  <c r="F228" i="26" a="1"/>
  <c r="F228" i="26" s="1"/>
  <c r="AH212" i="29"/>
  <c r="AH316" i="30"/>
  <c r="F47" i="19" a="1"/>
  <c r="F47" i="19" s="1"/>
  <c r="K46" i="19"/>
  <c r="AO460" i="30"/>
  <c r="AP172" i="30"/>
  <c r="V29" i="25" a="1"/>
  <c r="V29" i="25" s="1"/>
  <c r="AB29" i="25" a="1"/>
  <c r="AB29" i="25" s="1"/>
  <c r="AH61" i="29"/>
  <c r="F48" i="18" a="1"/>
  <c r="F48" i="18" s="1"/>
  <c r="T47" i="18"/>
  <c r="T48" i="18" s="1" a="1"/>
  <c r="T48" i="18" s="1"/>
  <c r="F358" i="30" a="1"/>
  <c r="F358" i="30" s="1"/>
  <c r="BO357" i="30"/>
  <c r="BO67" i="30"/>
  <c r="F68" i="30" a="1"/>
  <c r="F68" i="30" s="1"/>
  <c r="AJ33" i="24"/>
  <c r="AI34" i="24"/>
  <c r="AH491" i="29"/>
  <c r="AH54" i="29"/>
  <c r="AH57" i="29"/>
  <c r="AH489" i="29"/>
  <c r="BD198" i="29"/>
  <c r="BD342" i="29"/>
  <c r="AH353" i="29"/>
  <c r="AH205" i="29"/>
  <c r="AU28" i="30"/>
  <c r="BE28" i="30"/>
  <c r="AH62" i="28"/>
  <c r="AN317" i="28"/>
  <c r="F358" i="29" a="1"/>
  <c r="F358" i="29" s="1"/>
  <c r="AT357" i="29"/>
  <c r="AG357" i="29"/>
  <c r="AJ357" i="29"/>
  <c r="AF357" i="29"/>
  <c r="AI357" i="29"/>
  <c r="BD357" i="29" s="1"/>
  <c r="AE357" i="29"/>
  <c r="BO357" i="29"/>
  <c r="D592" i="30" a="1"/>
  <c r="D592" i="30" s="1"/>
  <c r="AB591" i="30"/>
  <c r="AN324" i="28"/>
  <c r="F321" i="28" a="1"/>
  <c r="F321" i="28" s="1"/>
  <c r="AJ501" i="29"/>
  <c r="AF501" i="29"/>
  <c r="BO501" i="29"/>
  <c r="AI501" i="29"/>
  <c r="BD501" i="29" s="1"/>
  <c r="AE501" i="29"/>
  <c r="F502" i="29" a="1"/>
  <c r="F502" i="29" s="1"/>
  <c r="AG501" i="29"/>
  <c r="AT501" i="29"/>
  <c r="AH498" i="29"/>
  <c r="BO356" i="30"/>
  <c r="AL147" i="28"/>
  <c r="V32" i="25" a="1"/>
  <c r="V32" i="25" s="1"/>
  <c r="AB32" i="25" a="1"/>
  <c r="AB32" i="25" s="1"/>
  <c r="K177" i="26"/>
  <c r="F178" i="26" a="1"/>
  <c r="F178" i="26" s="1"/>
  <c r="BO493" i="29"/>
  <c r="AH486" i="29"/>
  <c r="AH343" i="29"/>
  <c r="BD54" i="29"/>
  <c r="BD486" i="29"/>
  <c r="AJ49" i="24"/>
  <c r="AI50" i="24"/>
  <c r="AB447" i="30"/>
  <c r="D448" i="30" a="1"/>
  <c r="D448" i="30" s="1"/>
  <c r="AL317" i="28"/>
  <c r="BH460" i="30"/>
  <c r="AY316" i="30"/>
  <c r="BI316" i="30" s="1"/>
  <c r="BO501" i="30"/>
  <c r="F502" i="30" a="1"/>
  <c r="F502" i="30" s="1"/>
  <c r="F214" i="29" a="1"/>
  <c r="F214" i="29" s="1"/>
  <c r="AT213" i="29"/>
  <c r="AG213" i="29"/>
  <c r="AJ213" i="29"/>
  <c r="AF213" i="29"/>
  <c r="AI213" i="29"/>
  <c r="BD213" i="29" s="1"/>
  <c r="BO213" i="29"/>
  <c r="AE213" i="29"/>
  <c r="AL62" i="28"/>
  <c r="F214" i="30" a="1"/>
  <c r="F214" i="30" s="1"/>
  <c r="BO213" i="30"/>
  <c r="AH59" i="29"/>
  <c r="BO211" i="29"/>
  <c r="BO210" i="29"/>
  <c r="D592" i="29" a="1"/>
  <c r="D592" i="29" s="1"/>
  <c r="AB591" i="29"/>
  <c r="K70" i="26"/>
  <c r="F71" i="26" a="1"/>
  <c r="F71" i="26" s="1"/>
  <c r="AG70" i="26"/>
  <c r="AB303" i="30"/>
  <c r="D304" i="30" a="1"/>
  <c r="D304" i="30" s="1"/>
  <c r="AH317" i="28"/>
  <c r="BH172" i="30"/>
  <c r="AH147" i="28"/>
  <c r="AH348" i="29"/>
  <c r="F66" i="28" a="1"/>
  <c r="F66" i="28" s="1"/>
  <c r="AN69" i="28"/>
  <c r="AN65" i="28"/>
  <c r="BO69" i="29"/>
  <c r="AI69" i="29"/>
  <c r="BD69" i="29" s="1"/>
  <c r="AE69" i="29"/>
  <c r="AF69" i="29"/>
  <c r="AT69" i="29"/>
  <c r="AJ69" i="29"/>
  <c r="F70" i="29" a="1"/>
  <c r="F70" i="29" s="1"/>
  <c r="AG69" i="29"/>
  <c r="AB159" i="30"/>
  <c r="D160" i="30" a="1"/>
  <c r="D160" i="30" s="1"/>
  <c r="AH460" i="30"/>
  <c r="BO355" i="30"/>
  <c r="F151" i="28" a="1"/>
  <c r="F151" i="28" s="1"/>
  <c r="AN154" i="28"/>
  <c r="AH198" i="29"/>
  <c r="AH342" i="29"/>
  <c r="BO487" i="30"/>
  <c r="BO342" i="29"/>
  <c r="BO487" i="29"/>
  <c r="BO342" i="30"/>
  <c r="BO486" i="30"/>
  <c r="BO198" i="29"/>
  <c r="BO199" i="30"/>
  <c r="BO486" i="29"/>
  <c r="BO198" i="30"/>
  <c r="BO488" i="29"/>
  <c r="BO488" i="30"/>
  <c r="BO344" i="30"/>
  <c r="BO343" i="30"/>
  <c r="BO202" i="29"/>
  <c r="BO343" i="29"/>
  <c r="BO200" i="29"/>
  <c r="BO490" i="30"/>
  <c r="BO345" i="30"/>
  <c r="BO344" i="29"/>
  <c r="BO199" i="29"/>
  <c r="BO345" i="29"/>
  <c r="BO200" i="30"/>
  <c r="BO489" i="29"/>
  <c r="BO201" i="30"/>
  <c r="BO490" i="29"/>
  <c r="BO202" i="30"/>
  <c r="BO349" i="29"/>
  <c r="BO201" i="29"/>
  <c r="BO491" i="30"/>
  <c r="BO346" i="29"/>
  <c r="BO489" i="30"/>
  <c r="BO346" i="30"/>
  <c r="BO203" i="29"/>
  <c r="BO203" i="30"/>
  <c r="BO347" i="30"/>
  <c r="BO347" i="29"/>
  <c r="BO492" i="29"/>
  <c r="BO492" i="30"/>
  <c r="BO204" i="29"/>
  <c r="BO205" i="30"/>
  <c r="BO491" i="29"/>
  <c r="BO204" i="30"/>
  <c r="BO348" i="29"/>
  <c r="AK28" i="30"/>
  <c r="AH69" i="29" l="1"/>
  <c r="AN151" i="28"/>
  <c r="AI151" i="28"/>
  <c r="AL151" i="28" s="1"/>
  <c r="AE151" i="28"/>
  <c r="AG151" i="28"/>
  <c r="AK151" i="28"/>
  <c r="AF151" i="28"/>
  <c r="F152" i="28" a="1"/>
  <c r="F152" i="28" s="1"/>
  <c r="AJ151" i="28"/>
  <c r="F71" i="29" a="1"/>
  <c r="F71" i="29" s="1"/>
  <c r="AT70" i="29"/>
  <c r="AG70" i="29"/>
  <c r="AI70" i="29"/>
  <c r="BD70" i="29" s="1"/>
  <c r="AF70" i="29"/>
  <c r="BO70" i="29"/>
  <c r="AE70" i="29"/>
  <c r="AJ70" i="29"/>
  <c r="F67" i="28" a="1"/>
  <c r="F67" i="28" s="1"/>
  <c r="AK66" i="28"/>
  <c r="AG66" i="28"/>
  <c r="AJ66" i="28"/>
  <c r="AF66" i="28"/>
  <c r="AN66" i="28"/>
  <c r="AE66" i="28"/>
  <c r="AI66" i="28"/>
  <c r="AL66" i="28" s="1"/>
  <c r="F503" i="30" a="1"/>
  <c r="F503" i="30" s="1"/>
  <c r="BO502" i="30"/>
  <c r="AK49" i="24"/>
  <c r="AJ50" i="24"/>
  <c r="F49" i="18" a="1"/>
  <c r="F49" i="18" s="1"/>
  <c r="AK57" i="24"/>
  <c r="AJ58" i="24"/>
  <c r="AB304" i="29"/>
  <c r="D305" i="29"/>
  <c r="AB180" i="26" a="1"/>
  <c r="AB180" i="26" s="1"/>
  <c r="B36" i="25"/>
  <c r="B37" i="25" s="1" a="1"/>
  <c r="B37" i="25" s="1"/>
  <c r="V180" i="26" a="1"/>
  <c r="V180" i="26" s="1"/>
  <c r="AG222" i="26"/>
  <c r="AG223" i="26"/>
  <c r="AL28" i="30"/>
  <c r="D161" i="30"/>
  <c r="AB160" i="30"/>
  <c r="K71" i="26"/>
  <c r="F72" i="26" a="1"/>
  <c r="F72" i="26" s="1"/>
  <c r="BO214" i="30"/>
  <c r="F215" i="30" a="1"/>
  <c r="F215" i="30" s="1"/>
  <c r="AH213" i="29"/>
  <c r="AZ316" i="30"/>
  <c r="AB448" i="30"/>
  <c r="D449" i="30"/>
  <c r="AB129" i="26" a="1"/>
  <c r="AB129" i="26" s="1"/>
  <c r="B33" i="25"/>
  <c r="B34" i="25" s="1" a="1"/>
  <c r="B34" i="25" s="1"/>
  <c r="V129" i="26" a="1"/>
  <c r="V129" i="26" s="1"/>
  <c r="AG171" i="26"/>
  <c r="AG172" i="26"/>
  <c r="AH501" i="29"/>
  <c r="AJ358" i="29"/>
  <c r="AF358" i="29"/>
  <c r="BO358" i="29"/>
  <c r="AI358" i="29"/>
  <c r="BD358" i="29" s="1"/>
  <c r="AE358" i="29"/>
  <c r="AT358" i="29"/>
  <c r="F359" i="29" a="1"/>
  <c r="F359" i="29" s="1"/>
  <c r="AG358" i="29"/>
  <c r="AB160" i="29"/>
  <c r="D161" i="29"/>
  <c r="D305" i="30"/>
  <c r="AB304" i="30"/>
  <c r="D593" i="29"/>
  <c r="AB592" i="29"/>
  <c r="K178" i="26"/>
  <c r="F179" i="26" a="1"/>
  <c r="F179" i="26" s="1"/>
  <c r="K179" i="26" s="1"/>
  <c r="BO502" i="29"/>
  <c r="AI502" i="29"/>
  <c r="BD502" i="29" s="1"/>
  <c r="AE502" i="29"/>
  <c r="AJ502" i="29"/>
  <c r="F503" i="29" a="1"/>
  <c r="F503" i="29" s="1"/>
  <c r="AG502" i="29"/>
  <c r="AT502" i="29"/>
  <c r="AF502" i="29"/>
  <c r="D593" i="30"/>
  <c r="AB592" i="30"/>
  <c r="F69" i="30" a="1"/>
  <c r="F69" i="30" s="1"/>
  <c r="BO68" i="30"/>
  <c r="K228" i="26"/>
  <c r="F229" i="26" a="1"/>
  <c r="F229" i="26" s="1"/>
  <c r="AQ316" i="30"/>
  <c r="AK41" i="24"/>
  <c r="AJ42" i="24"/>
  <c r="AZ460" i="30"/>
  <c r="BJ460" i="30" s="1"/>
  <c r="AJ214" i="29"/>
  <c r="AF214" i="29"/>
  <c r="BO214" i="29"/>
  <c r="AI214" i="29"/>
  <c r="BD214" i="29" s="1"/>
  <c r="AE214" i="29"/>
  <c r="F215" i="29" a="1"/>
  <c r="F215" i="29" s="1"/>
  <c r="AG214" i="29"/>
  <c r="AT214" i="29"/>
  <c r="AN321" i="28"/>
  <c r="AI321" i="28"/>
  <c r="AL321" i="28" s="1"/>
  <c r="AE321" i="28"/>
  <c r="AG321" i="28"/>
  <c r="AK321" i="28"/>
  <c r="AF321" i="28"/>
  <c r="F322" i="28" a="1"/>
  <c r="F322" i="28" s="1"/>
  <c r="AJ321" i="28"/>
  <c r="AH357" i="29"/>
  <c r="BF28" i="30"/>
  <c r="AV28" i="30"/>
  <c r="AK33" i="24"/>
  <c r="AJ34" i="24"/>
  <c r="BO358" i="30"/>
  <c r="F359" i="30" a="1"/>
  <c r="F359" i="30" s="1"/>
  <c r="AB78" i="26" a="1"/>
  <c r="AB78" i="26" s="1"/>
  <c r="B30" i="25"/>
  <c r="B31" i="25" s="1" a="1"/>
  <c r="B31" i="25" s="1"/>
  <c r="V78" i="26" a="1"/>
  <c r="V78" i="26" s="1"/>
  <c r="AG120" i="26"/>
  <c r="AG121" i="26"/>
  <c r="AQ172" i="30"/>
  <c r="AP460" i="30"/>
  <c r="T47" i="19"/>
  <c r="T48" i="19" s="1" a="1"/>
  <c r="T48" i="19" s="1"/>
  <c r="T49" i="19" s="1" a="1"/>
  <c r="T49" i="19" s="1"/>
  <c r="F48" i="19" a="1"/>
  <c r="F48" i="19" s="1"/>
  <c r="K126" i="26"/>
  <c r="F127" i="26" a="1"/>
  <c r="F127" i="26" s="1"/>
  <c r="AZ172" i="30"/>
  <c r="BJ172" i="30" s="1"/>
  <c r="F237" i="28" a="1"/>
  <c r="F237" i="28" s="1"/>
  <c r="AK236" i="28"/>
  <c r="AG236" i="28"/>
  <c r="AN236" i="28"/>
  <c r="AF236" i="28"/>
  <c r="AJ236" i="28"/>
  <c r="AE236" i="28"/>
  <c r="AI236" i="28"/>
  <c r="AL236" i="28" s="1"/>
  <c r="D449" i="29"/>
  <c r="AB448" i="29"/>
  <c r="AH358" i="29" l="1"/>
  <c r="AH66" i="28"/>
  <c r="AH70" i="29"/>
  <c r="AB449" i="29" a="1"/>
  <c r="AB449" i="29" s="1"/>
  <c r="D450" i="29"/>
  <c r="BA172" i="30"/>
  <c r="BK172" i="30" s="1"/>
  <c r="F49" i="19" a="1"/>
  <c r="F49" i="19" s="1"/>
  <c r="AR172" i="30"/>
  <c r="F360" i="30" a="1"/>
  <c r="F360" i="30" s="1"/>
  <c r="BO359" i="30"/>
  <c r="AW28" i="30"/>
  <c r="BG28" i="30"/>
  <c r="AH321" i="28"/>
  <c r="BA460" i="30"/>
  <c r="BK460" i="30" s="1"/>
  <c r="AH502" i="29"/>
  <c r="D162" i="29"/>
  <c r="AB161" i="29" a="1"/>
  <c r="AB161" i="29" s="1"/>
  <c r="D450" i="30"/>
  <c r="AB449" i="30" a="1"/>
  <c r="AB449" i="30" s="1"/>
  <c r="K72" i="26"/>
  <c r="F73" i="26" a="1"/>
  <c r="F73" i="26" s="1"/>
  <c r="AL57" i="24"/>
  <c r="AK58" i="24"/>
  <c r="F50" i="18" a="1"/>
  <c r="F50" i="18" s="1"/>
  <c r="F504" i="30" a="1"/>
  <c r="F504" i="30" s="1"/>
  <c r="BO503" i="30"/>
  <c r="AJ67" i="28"/>
  <c r="AF67" i="28"/>
  <c r="AN67" i="28"/>
  <c r="AI67" i="28"/>
  <c r="AL67" i="28" s="1"/>
  <c r="AE67" i="28"/>
  <c r="F68" i="28" a="1"/>
  <c r="F68" i="28" s="1"/>
  <c r="AG67" i="28"/>
  <c r="AK67" i="28"/>
  <c r="F72" i="29" a="1"/>
  <c r="F72" i="29" s="1"/>
  <c r="AT71" i="29"/>
  <c r="AG71" i="29"/>
  <c r="AJ71" i="29"/>
  <c r="AF71" i="29"/>
  <c r="AI71" i="29"/>
  <c r="BD71" i="29" s="1"/>
  <c r="BO71" i="29"/>
  <c r="AE71" i="29"/>
  <c r="AJ237" i="28"/>
  <c r="AF237" i="28"/>
  <c r="AK237" i="28"/>
  <c r="AE237" i="28"/>
  <c r="F238" i="28" a="1"/>
  <c r="F238" i="28" s="1"/>
  <c r="AI237" i="28"/>
  <c r="AL237" i="28" s="1"/>
  <c r="AN237" i="28"/>
  <c r="AG237" i="28"/>
  <c r="F323" i="28" a="1"/>
  <c r="F323" i="28" s="1"/>
  <c r="AK322" i="28"/>
  <c r="AF322" i="28"/>
  <c r="AJ322" i="28"/>
  <c r="AE322" i="28"/>
  <c r="AI322" i="28"/>
  <c r="AL322" i="28" s="1"/>
  <c r="AN322" i="28"/>
  <c r="AG322" i="28"/>
  <c r="AH214" i="29"/>
  <c r="AL41" i="24"/>
  <c r="AK42" i="24"/>
  <c r="AR316" i="30"/>
  <c r="D594" i="30"/>
  <c r="AB593" i="30" a="1"/>
  <c r="AB593" i="30" s="1"/>
  <c r="F504" i="29" a="1"/>
  <c r="F504" i="29" s="1"/>
  <c r="AT503" i="29"/>
  <c r="AG503" i="29"/>
  <c r="BO503" i="29"/>
  <c r="AE503" i="29"/>
  <c r="AJ503" i="29"/>
  <c r="AF503" i="29"/>
  <c r="AI503" i="29"/>
  <c r="BD503" i="29" s="1"/>
  <c r="AB593" i="29" a="1"/>
  <c r="AB593" i="29" s="1"/>
  <c r="D594" i="29"/>
  <c r="AM28" i="30"/>
  <c r="D306" i="29"/>
  <c r="AB305" i="29" a="1"/>
  <c r="AB305" i="29" s="1"/>
  <c r="AH151" i="28"/>
  <c r="AQ460" i="30"/>
  <c r="AD85" i="27" a="1"/>
  <c r="AD85" i="27" s="1"/>
  <c r="V85" i="27" a="1"/>
  <c r="V85" i="27" s="1"/>
  <c r="BO215" i="29"/>
  <c r="AI215" i="29"/>
  <c r="BD215" i="29" s="1"/>
  <c r="AE215" i="29"/>
  <c r="AJ215" i="29"/>
  <c r="F216" i="29" a="1"/>
  <c r="F216" i="29" s="1"/>
  <c r="AG215" i="29"/>
  <c r="AF215" i="29"/>
  <c r="AT215" i="29"/>
  <c r="BA316" i="30"/>
  <c r="BK316" i="30" s="1"/>
  <c r="F216" i="30" a="1"/>
  <c r="F216" i="30" s="1"/>
  <c r="BO215" i="30"/>
  <c r="V197" i="27" a="1"/>
  <c r="V197" i="27" s="1"/>
  <c r="AD197" i="27" a="1"/>
  <c r="AD197" i="27" s="1"/>
  <c r="AL49" i="24"/>
  <c r="AK50" i="24"/>
  <c r="F153" i="28" a="1"/>
  <c r="F153" i="28" s="1"/>
  <c r="AJ152" i="28"/>
  <c r="AE152" i="28"/>
  <c r="AI152" i="28"/>
  <c r="AL152" i="28" s="1"/>
  <c r="AF152" i="28"/>
  <c r="AN152" i="28"/>
  <c r="AK152" i="28"/>
  <c r="AG152" i="28"/>
  <c r="AH236" i="28"/>
  <c r="K127" i="26"/>
  <c r="F128" i="26" a="1"/>
  <c r="F128" i="26" s="1"/>
  <c r="K128" i="26" s="1"/>
  <c r="AL33" i="24"/>
  <c r="AK34" i="24"/>
  <c r="K229" i="26"/>
  <c r="F230" i="26" a="1"/>
  <c r="F230" i="26" s="1"/>
  <c r="K230" i="26" s="1"/>
  <c r="BO69" i="30"/>
  <c r="F70" i="30" a="1"/>
  <c r="F70" i="30" s="1"/>
  <c r="AB305" i="30" a="1"/>
  <c r="AB305" i="30" s="1"/>
  <c r="D306" i="30"/>
  <c r="BO359" i="29"/>
  <c r="AI359" i="29"/>
  <c r="BD359" i="29" s="1"/>
  <c r="AE359" i="29"/>
  <c r="F360" i="29" a="1"/>
  <c r="F360" i="29" s="1"/>
  <c r="AG359" i="29"/>
  <c r="AF359" i="29"/>
  <c r="AT359" i="29"/>
  <c r="AJ359" i="29"/>
  <c r="V141" i="27" a="1"/>
  <c r="V141" i="27" s="1"/>
  <c r="AD141" i="27" a="1"/>
  <c r="AD141" i="27" s="1"/>
  <c r="BJ316" i="30"/>
  <c r="D162" i="30"/>
  <c r="AB161" i="30" a="1"/>
  <c r="AB161" i="30" s="1"/>
  <c r="AH359" i="29" l="1"/>
  <c r="AH152" i="28"/>
  <c r="AH322" i="28"/>
  <c r="AH237" i="28"/>
  <c r="AH67" i="28"/>
  <c r="AB306" i="30" a="1"/>
  <c r="AB306" i="30" s="1"/>
  <c r="D307" i="30" a="1"/>
  <c r="D307" i="30" s="1"/>
  <c r="F154" i="28" a="1"/>
  <c r="F154" i="28" s="1"/>
  <c r="AK153" i="28"/>
  <c r="AG153" i="28"/>
  <c r="AN153" i="28"/>
  <c r="AF153" i="28"/>
  <c r="AJ153" i="28"/>
  <c r="AI153" i="28"/>
  <c r="AL153" i="28" s="1"/>
  <c r="AE153" i="28"/>
  <c r="AH215" i="29"/>
  <c r="AR460" i="30"/>
  <c r="D307" i="29" a="1"/>
  <c r="D307" i="29" s="1"/>
  <c r="AB306" i="29" a="1"/>
  <c r="AB306" i="29" s="1"/>
  <c r="D595" i="29" a="1"/>
  <c r="D595" i="29" s="1"/>
  <c r="AB594" i="29" a="1"/>
  <c r="AB594" i="29" s="1"/>
  <c r="AS316" i="30"/>
  <c r="F324" i="28" a="1"/>
  <c r="F324" i="28" s="1"/>
  <c r="AK323" i="28"/>
  <c r="AG323" i="28"/>
  <c r="AJ323" i="28"/>
  <c r="AF323" i="28"/>
  <c r="AN323" i="28"/>
  <c r="AE323" i="28"/>
  <c r="AI323" i="28"/>
  <c r="AL323" i="28" s="1"/>
  <c r="AN238" i="28"/>
  <c r="AI238" i="28"/>
  <c r="AL238" i="28" s="1"/>
  <c r="AE238" i="28"/>
  <c r="AG238" i="28"/>
  <c r="AK238" i="28"/>
  <c r="AF238" i="28"/>
  <c r="AJ238" i="28"/>
  <c r="F239" i="28" a="1"/>
  <c r="F239" i="28" s="1"/>
  <c r="AJ72" i="29"/>
  <c r="AF72" i="29"/>
  <c r="BO72" i="29"/>
  <c r="AI72" i="29"/>
  <c r="BD72" i="29" s="1"/>
  <c r="AE72" i="29"/>
  <c r="AG72" i="29"/>
  <c r="F73" i="29" a="1"/>
  <c r="F73" i="29" s="1"/>
  <c r="AT72" i="29"/>
  <c r="D451" i="30" a="1"/>
  <c r="D451" i="30" s="1"/>
  <c r="AB450" i="30" a="1"/>
  <c r="AB450" i="30" s="1"/>
  <c r="BB172" i="30"/>
  <c r="BL172" i="30" s="1"/>
  <c r="AB162" i="30" a="1"/>
  <c r="AB162" i="30" s="1"/>
  <c r="D163" i="30" a="1"/>
  <c r="D163" i="30" s="1"/>
  <c r="V197" i="28" a="1"/>
  <c r="V197" i="28" s="1"/>
  <c r="AB197" i="28" a="1"/>
  <c r="AB197" i="28" s="1"/>
  <c r="AB142" i="27"/>
  <c r="AM33" i="24"/>
  <c r="AL34" i="24"/>
  <c r="F217" i="29" a="1"/>
  <c r="F217" i="29" s="1"/>
  <c r="AT216" i="29"/>
  <c r="AG216" i="29"/>
  <c r="BO216" i="29"/>
  <c r="AE216" i="29"/>
  <c r="AJ216" i="29"/>
  <c r="AI216" i="29"/>
  <c r="BD216" i="29" s="1"/>
  <c r="AF216" i="29"/>
  <c r="AN28" i="30"/>
  <c r="AT504" i="29"/>
  <c r="AG504" i="29"/>
  <c r="AJ504" i="29"/>
  <c r="AF504" i="29"/>
  <c r="BO504" i="29"/>
  <c r="AE504" i="29"/>
  <c r="AI504" i="29"/>
  <c r="BD504" i="29" s="1"/>
  <c r="F505" i="29" a="1"/>
  <c r="F505" i="29" s="1"/>
  <c r="T50" i="18"/>
  <c r="T51" i="18" s="1" a="1"/>
  <c r="T51" i="18" s="1"/>
  <c r="F51" i="18" a="1"/>
  <c r="F51" i="18" s="1"/>
  <c r="F52" i="18" s="1" a="1"/>
  <c r="F52" i="18" s="1"/>
  <c r="F74" i="26" a="1"/>
  <c r="F74" i="26" s="1"/>
  <c r="K73" i="26"/>
  <c r="BB460" i="30"/>
  <c r="BL460" i="30" s="1"/>
  <c r="BO360" i="30"/>
  <c r="F361" i="30" a="1"/>
  <c r="F361" i="30" s="1"/>
  <c r="F362" i="30" s="1" a="1"/>
  <c r="F362" i="30" s="1"/>
  <c r="F363" i="30" s="1" a="1"/>
  <c r="F363" i="30" s="1"/>
  <c r="F364" i="30" s="1" a="1"/>
  <c r="F364" i="30" s="1"/>
  <c r="AM49" i="24"/>
  <c r="AL50" i="24"/>
  <c r="BO216" i="30"/>
  <c r="F217" i="30" a="1"/>
  <c r="F217" i="30" s="1"/>
  <c r="F218" i="30" s="1" a="1"/>
  <c r="F218" i="30" s="1"/>
  <c r="F219" i="30" s="1" a="1"/>
  <c r="F219" i="30" s="1"/>
  <c r="F220" i="30" s="1" a="1"/>
  <c r="F220" i="30" s="1"/>
  <c r="AH71" i="29"/>
  <c r="F505" i="30" a="1"/>
  <c r="F505" i="30" s="1"/>
  <c r="F506" i="30" s="1" a="1"/>
  <c r="F506" i="30" s="1"/>
  <c r="F507" i="30" s="1" a="1"/>
  <c r="F507" i="30" s="1"/>
  <c r="F508" i="30" s="1" a="1"/>
  <c r="F508" i="30" s="1"/>
  <c r="BO504" i="30"/>
  <c r="D163" i="29" a="1"/>
  <c r="D163" i="29" s="1"/>
  <c r="AB162" i="29" a="1"/>
  <c r="AB162" i="29" s="1"/>
  <c r="AX28" i="30"/>
  <c r="BH28" i="30"/>
  <c r="F50" i="19" a="1"/>
  <c r="F50" i="19" s="1"/>
  <c r="AB450" i="29" a="1"/>
  <c r="AB450" i="29" s="1"/>
  <c r="D451" i="29" a="1"/>
  <c r="D451" i="29" s="1"/>
  <c r="F361" i="29" a="1"/>
  <c r="F361" i="29" s="1"/>
  <c r="AT360" i="29"/>
  <c r="AG360" i="29"/>
  <c r="AJ360" i="29"/>
  <c r="AI360" i="29"/>
  <c r="BD360" i="29" s="1"/>
  <c r="AE360" i="29"/>
  <c r="BO360" i="29"/>
  <c r="AF360" i="29"/>
  <c r="F71" i="30" a="1"/>
  <c r="F71" i="30" s="1"/>
  <c r="BO70" i="30"/>
  <c r="V282" i="28" a="1"/>
  <c r="V282" i="28" s="1"/>
  <c r="AB282" i="28" a="1"/>
  <c r="AB282" i="28" s="1"/>
  <c r="AB198" i="27"/>
  <c r="BB316" i="30"/>
  <c r="BL316" i="30" s="1"/>
  <c r="AB112" i="28" a="1"/>
  <c r="AB112" i="28" s="1"/>
  <c r="V112" i="28" a="1"/>
  <c r="V112" i="28" s="1"/>
  <c r="AB86" i="27"/>
  <c r="AH503" i="29"/>
  <c r="AB594" i="30" a="1"/>
  <c r="AB594" i="30" s="1"/>
  <c r="D595" i="30" a="1"/>
  <c r="D595" i="30" s="1"/>
  <c r="AM41" i="24"/>
  <c r="AL42" i="24"/>
  <c r="AN68" i="28"/>
  <c r="AI68" i="28"/>
  <c r="AL68" i="28" s="1"/>
  <c r="AE68" i="28"/>
  <c r="AK68" i="28"/>
  <c r="AJ68" i="28"/>
  <c r="F69" i="28" a="1"/>
  <c r="F69" i="28" s="1"/>
  <c r="AG68" i="28"/>
  <c r="AF68" i="28"/>
  <c r="AM57" i="24"/>
  <c r="AL58" i="24"/>
  <c r="AS172" i="30"/>
  <c r="AH72" i="29" l="1"/>
  <c r="AH68" i="28"/>
  <c r="AH360" i="29"/>
  <c r="AH153" i="28"/>
  <c r="AB595" i="30"/>
  <c r="D596" i="30" a="1"/>
  <c r="D596" i="30" s="1"/>
  <c r="AN57" i="24"/>
  <c r="AM58" i="24"/>
  <c r="V171" i="29" a="1"/>
  <c r="V171" i="29" s="1"/>
  <c r="AB171" i="29" a="1"/>
  <c r="AB171" i="29" s="1"/>
  <c r="H171" i="28"/>
  <c r="H170" i="28"/>
  <c r="BI28" i="30"/>
  <c r="AY28" i="30"/>
  <c r="F509" i="30" a="1"/>
  <c r="F509" i="30" s="1"/>
  <c r="T508" i="30"/>
  <c r="F75" i="26" a="1"/>
  <c r="F75" i="26" s="1"/>
  <c r="K74" i="26"/>
  <c r="F218" i="29" a="1"/>
  <c r="F218" i="29" s="1"/>
  <c r="F219" i="29" s="1" a="1"/>
  <c r="F219" i="29" s="1"/>
  <c r="V315" i="29" a="1"/>
  <c r="V315" i="29" s="1"/>
  <c r="H255" i="28"/>
  <c r="AB315" i="29" a="1"/>
  <c r="AB315" i="29" s="1"/>
  <c r="H256" i="28"/>
  <c r="D452" i="30" a="1"/>
  <c r="D452" i="30" s="1"/>
  <c r="AB451" i="30"/>
  <c r="AJ324" i="28"/>
  <c r="AF324" i="28"/>
  <c r="AI324" i="28"/>
  <c r="AL324" i="28" s="1"/>
  <c r="AE324" i="28"/>
  <c r="F325" i="28" a="1"/>
  <c r="F325" i="28" s="1"/>
  <c r="AG324" i="28"/>
  <c r="AH324" i="28" s="1"/>
  <c r="AK324" i="28"/>
  <c r="D596" i="29" a="1"/>
  <c r="D596" i="29" s="1"/>
  <c r="AB595" i="29"/>
  <c r="F70" i="28" a="1"/>
  <c r="F70" i="28" s="1"/>
  <c r="AK69" i="28"/>
  <c r="AG69" i="28"/>
  <c r="AF69" i="28"/>
  <c r="AE69" i="28"/>
  <c r="AJ69" i="28"/>
  <c r="AI69" i="28"/>
  <c r="AL69" i="28" s="1"/>
  <c r="AB459" i="29" a="1"/>
  <c r="AB459" i="29" s="1"/>
  <c r="V459" i="29" a="1"/>
  <c r="V459" i="29" s="1"/>
  <c r="H340" i="28"/>
  <c r="H341" i="28"/>
  <c r="BO71" i="30"/>
  <c r="F72" i="30" a="1"/>
  <c r="F72" i="30" s="1"/>
  <c r="F362" i="29" a="1"/>
  <c r="F362" i="29" s="1"/>
  <c r="F363" i="29" s="1" a="1"/>
  <c r="F363" i="29" s="1"/>
  <c r="T50" i="19"/>
  <c r="T51" i="19" s="1" a="1"/>
  <c r="T51" i="19" s="1"/>
  <c r="F51" i="19" a="1"/>
  <c r="F51" i="19" s="1"/>
  <c r="AI234" i="28" s="1"/>
  <c r="AN49" i="24"/>
  <c r="AM50" i="24"/>
  <c r="BC460" i="30"/>
  <c r="BM460" i="30" s="1"/>
  <c r="T52" i="18"/>
  <c r="T53" i="18" s="1" a="1"/>
  <c r="T53" i="18" s="1"/>
  <c r="T54" i="18" s="1" a="1"/>
  <c r="T54" i="18" s="1"/>
  <c r="T55" i="18" s="1" a="1"/>
  <c r="T55" i="18" s="1"/>
  <c r="T56" i="18" s="1" a="1"/>
  <c r="T56" i="18" s="1"/>
  <c r="F53" i="18" a="1"/>
  <c r="F53" i="18" s="1"/>
  <c r="F54" i="18" s="1" a="1"/>
  <c r="F54" i="18" s="1"/>
  <c r="F55" i="18" s="1" a="1"/>
  <c r="F55" i="18" s="1"/>
  <c r="F56" i="18" s="1" a="1"/>
  <c r="F56" i="18" s="1"/>
  <c r="AH504" i="29"/>
  <c r="BC172" i="30"/>
  <c r="AK239" i="28"/>
  <c r="AF239" i="28"/>
  <c r="F240" i="28" a="1"/>
  <c r="F240" i="28" s="1"/>
  <c r="AJ239" i="28"/>
  <c r="AE239" i="28"/>
  <c r="AI239" i="28"/>
  <c r="AL239" i="28" s="1"/>
  <c r="AG239" i="28"/>
  <c r="AH238" i="28"/>
  <c r="AJ154" i="28"/>
  <c r="AF154" i="28"/>
  <c r="AK154" i="28"/>
  <c r="AE154" i="28"/>
  <c r="F155" i="28" a="1"/>
  <c r="F155" i="28" s="1"/>
  <c r="AI154" i="28"/>
  <c r="AL154" i="28" s="1"/>
  <c r="AG154" i="28"/>
  <c r="AN41" i="24"/>
  <c r="AM42" i="24"/>
  <c r="BC316" i="30"/>
  <c r="BM316" i="30" s="1"/>
  <c r="AB451" i="29"/>
  <c r="D452" i="29" a="1"/>
  <c r="D452" i="29" s="1"/>
  <c r="D164" i="29" a="1"/>
  <c r="D164" i="29" s="1"/>
  <c r="AB163" i="29"/>
  <c r="F221" i="30" a="1"/>
  <c r="F221" i="30" s="1"/>
  <c r="T220" i="30"/>
  <c r="T364" i="30"/>
  <c r="F365" i="30" a="1"/>
  <c r="F365" i="30" s="1"/>
  <c r="AH216" i="29"/>
  <c r="AN33" i="24"/>
  <c r="AM34" i="24"/>
  <c r="AB163" i="30"/>
  <c r="D164" i="30" a="1"/>
  <c r="D164" i="30" s="1"/>
  <c r="F74" i="29" a="1"/>
  <c r="F74" i="29" s="1"/>
  <c r="F75" i="29" s="1" a="1"/>
  <c r="F75" i="29" s="1"/>
  <c r="AH323" i="28"/>
  <c r="D308" i="29" a="1"/>
  <c r="D308" i="29" s="1"/>
  <c r="AB307" i="29"/>
  <c r="AB307" i="30"/>
  <c r="D308" i="30" a="1"/>
  <c r="D308" i="30" s="1"/>
  <c r="F506" i="29" a="1"/>
  <c r="F506" i="29" s="1"/>
  <c r="F507" i="29" s="1" a="1"/>
  <c r="F507" i="29" s="1"/>
  <c r="AO28" i="30"/>
  <c r="AS460" i="30"/>
  <c r="AF320" i="28" l="1"/>
  <c r="AF150" i="28"/>
  <c r="AG229" i="28"/>
  <c r="AF235" i="28"/>
  <c r="AJ65" i="28"/>
  <c r="AF65" i="28"/>
  <c r="AJ234" i="28"/>
  <c r="AJ45" i="28"/>
  <c r="AG235" i="28"/>
  <c r="AJ64" i="28"/>
  <c r="AJ320" i="28"/>
  <c r="AF59" i="28"/>
  <c r="AG149" i="28"/>
  <c r="AE320" i="28"/>
  <c r="AE64" i="28"/>
  <c r="AJ314" i="28"/>
  <c r="AJ315" i="28"/>
  <c r="AK64" i="28"/>
  <c r="AJ145" i="28"/>
  <c r="AI235" i="28"/>
  <c r="AL235" i="28" s="1"/>
  <c r="AE234" i="28"/>
  <c r="AE150" i="28"/>
  <c r="AE65" i="28"/>
  <c r="AF64" i="28"/>
  <c r="AF314" i="28"/>
  <c r="AI144" i="28"/>
  <c r="AI65" i="28"/>
  <c r="AL65" i="28" s="1"/>
  <c r="AJ229" i="28"/>
  <c r="AG150" i="28"/>
  <c r="AE229" i="28"/>
  <c r="AJ144" i="28"/>
  <c r="AG320" i="28"/>
  <c r="AK319" i="28"/>
  <c r="AI319" i="28"/>
  <c r="AJ319" i="28"/>
  <c r="AG234" i="28"/>
  <c r="AK229" i="28"/>
  <c r="AI320" i="28"/>
  <c r="AL320" i="28" s="1"/>
  <c r="AG64" i="28"/>
  <c r="AE314" i="28"/>
  <c r="AE149" i="28"/>
  <c r="AG65" i="28"/>
  <c r="AI314" i="28"/>
  <c r="AI64" i="28"/>
  <c r="AJ150" i="28"/>
  <c r="AE235" i="28"/>
  <c r="AK59" i="28"/>
  <c r="AG59" i="28"/>
  <c r="AH59" i="28" s="1"/>
  <c r="AF149" i="28"/>
  <c r="AF148" i="28" s="1"/>
  <c r="AK65" i="28"/>
  <c r="AK63" i="28" s="1"/>
  <c r="AJ59" i="28"/>
  <c r="AJ60" i="28"/>
  <c r="AI59" i="28"/>
  <c r="AL59" i="28" s="1"/>
  <c r="AE60" i="28"/>
  <c r="AK320" i="28"/>
  <c r="AK149" i="28"/>
  <c r="AE59" i="28"/>
  <c r="AE58" i="28" s="1"/>
  <c r="AE56" i="28" s="1"/>
  <c r="AK150" i="28"/>
  <c r="AF229" i="28"/>
  <c r="AJ149" i="28"/>
  <c r="AI150" i="28"/>
  <c r="AL150" i="28" s="1"/>
  <c r="AK234" i="28"/>
  <c r="AK314" i="28"/>
  <c r="AI229" i="28"/>
  <c r="AL229" i="28" s="1"/>
  <c r="AH69" i="28"/>
  <c r="AH154" i="28"/>
  <c r="AH239" i="28"/>
  <c r="F76" i="29" a="1"/>
  <c r="F76" i="29" s="1"/>
  <c r="T75" i="29"/>
  <c r="AE293" i="28"/>
  <c r="AK294" i="28"/>
  <c r="AI124" i="28"/>
  <c r="AL124" i="28" s="1"/>
  <c r="AG37" i="28"/>
  <c r="AK122" i="28"/>
  <c r="AK124" i="28"/>
  <c r="AI208" i="28"/>
  <c r="AL208" i="28" s="1"/>
  <c r="AF38" i="28"/>
  <c r="AJ294" i="28"/>
  <c r="AF124" i="28"/>
  <c r="AK292" i="28"/>
  <c r="AI293" i="28"/>
  <c r="AL293" i="28" s="1"/>
  <c r="AJ293" i="28"/>
  <c r="AJ38" i="28"/>
  <c r="AI38" i="28"/>
  <c r="AL38" i="28" s="1"/>
  <c r="AJ124" i="28"/>
  <c r="AI39" i="28"/>
  <c r="AL39" i="28" s="1"/>
  <c r="AJ209" i="28"/>
  <c r="AK293" i="28"/>
  <c r="AF208" i="28"/>
  <c r="AG208" i="28"/>
  <c r="AE294" i="28"/>
  <c r="AG293" i="28"/>
  <c r="AG294" i="28"/>
  <c r="AE123" i="28"/>
  <c r="AG39" i="28"/>
  <c r="AE208" i="28"/>
  <c r="AG210" i="28"/>
  <c r="AF294" i="28"/>
  <c r="AI210" i="28"/>
  <c r="AL210" i="28" s="1"/>
  <c r="AE124" i="28"/>
  <c r="AJ40" i="28"/>
  <c r="AF125" i="28"/>
  <c r="AG209" i="28"/>
  <c r="AE210" i="28"/>
  <c r="AF293" i="28"/>
  <c r="AF295" i="28"/>
  <c r="AG40" i="28"/>
  <c r="AE295" i="28"/>
  <c r="AJ208" i="28"/>
  <c r="AJ39" i="28"/>
  <c r="AK125" i="28"/>
  <c r="AE209" i="28"/>
  <c r="AI295" i="28"/>
  <c r="AL295" i="28" s="1"/>
  <c r="AG295" i="28"/>
  <c r="AH295" i="28" s="1"/>
  <c r="AE125" i="28"/>
  <c r="AI209" i="28"/>
  <c r="AL209" i="28" s="1"/>
  <c r="AG125" i="28"/>
  <c r="AF210" i="28"/>
  <c r="AF40" i="28"/>
  <c r="AK295" i="28"/>
  <c r="AK210" i="28"/>
  <c r="AE39" i="28"/>
  <c r="AJ125" i="28"/>
  <c r="AG124" i="28"/>
  <c r="AH124" i="28" s="1"/>
  <c r="AI40" i="28"/>
  <c r="AL40" i="28" s="1"/>
  <c r="AI125" i="28"/>
  <c r="AL125" i="28" s="1"/>
  <c r="AK209" i="28"/>
  <c r="AK40" i="28"/>
  <c r="AJ295" i="28"/>
  <c r="AF209" i="28"/>
  <c r="AF39" i="28"/>
  <c r="AJ126" i="28"/>
  <c r="AF296" i="28"/>
  <c r="AK41" i="28"/>
  <c r="AE40" i="28"/>
  <c r="AE41" i="28"/>
  <c r="AG296" i="28"/>
  <c r="AH296" i="28" s="1"/>
  <c r="AE296" i="28"/>
  <c r="AI41" i="28"/>
  <c r="AL41" i="28" s="1"/>
  <c r="AE120" i="28"/>
  <c r="AF126" i="28"/>
  <c r="AJ296" i="28"/>
  <c r="AG41" i="28"/>
  <c r="AE127" i="28"/>
  <c r="AG211" i="28"/>
  <c r="AF211" i="28"/>
  <c r="AI127" i="28"/>
  <c r="AL127" i="28" s="1"/>
  <c r="AJ127" i="28"/>
  <c r="AI126" i="28"/>
  <c r="AL126" i="28" s="1"/>
  <c r="AG42" i="28"/>
  <c r="AI42" i="28"/>
  <c r="AL42" i="28" s="1"/>
  <c r="AK126" i="28"/>
  <c r="AG127" i="28"/>
  <c r="AI296" i="28"/>
  <c r="AL296" i="28" s="1"/>
  <c r="AE121" i="28"/>
  <c r="AF207" i="28"/>
  <c r="AE126" i="28"/>
  <c r="AI211" i="28"/>
  <c r="AG126" i="28"/>
  <c r="AK296" i="28"/>
  <c r="AF41" i="28"/>
  <c r="AJ211" i="28"/>
  <c r="AJ41" i="28"/>
  <c r="AE211" i="28"/>
  <c r="AK211" i="28"/>
  <c r="AF42" i="28"/>
  <c r="AK297" i="28"/>
  <c r="AK127" i="28"/>
  <c r="AJ212" i="28"/>
  <c r="AF212" i="28"/>
  <c r="AJ297" i="28"/>
  <c r="AK42" i="28"/>
  <c r="AI212" i="28"/>
  <c r="AL212" i="28" s="1"/>
  <c r="AE297" i="28"/>
  <c r="AG297" i="28"/>
  <c r="AI297" i="28"/>
  <c r="AL297" i="28" s="1"/>
  <c r="AE42" i="28"/>
  <c r="AK212" i="28"/>
  <c r="AF127" i="28"/>
  <c r="AG212" i="28"/>
  <c r="AE212" i="28"/>
  <c r="AF297" i="28"/>
  <c r="AF122" i="28"/>
  <c r="AJ42" i="28"/>
  <c r="AF292" i="28"/>
  <c r="AG84" i="26"/>
  <c r="AG206" i="28"/>
  <c r="AF123" i="28"/>
  <c r="AJ290" i="28"/>
  <c r="AG207" i="28"/>
  <c r="AG205" i="28"/>
  <c r="AF291" i="28"/>
  <c r="AI36" i="28"/>
  <c r="AL36" i="28" s="1"/>
  <c r="AI207" i="28"/>
  <c r="AL207" i="28" s="1"/>
  <c r="AF121" i="28"/>
  <c r="AF84" i="26"/>
  <c r="AF83" i="26" s="1"/>
  <c r="AF81" i="26" s="1"/>
  <c r="AF79" i="26" s="1"/>
  <c r="AF128" i="26" s="1"/>
  <c r="AK208" i="28"/>
  <c r="AE290" i="28"/>
  <c r="AG186" i="26"/>
  <c r="AE37" i="28"/>
  <c r="AF36" i="28"/>
  <c r="AE291" i="28"/>
  <c r="AG123" i="28"/>
  <c r="AI292" i="28"/>
  <c r="AL292" i="28" s="1"/>
  <c r="AJ292" i="28"/>
  <c r="AK205" i="28"/>
  <c r="AJ210" i="28"/>
  <c r="AG290" i="28"/>
  <c r="AK120" i="28"/>
  <c r="AG33" i="26"/>
  <c r="AG120" i="28"/>
  <c r="AG35" i="28"/>
  <c r="AF290" i="28"/>
  <c r="AK121" i="28"/>
  <c r="AK37" i="28"/>
  <c r="AE207" i="28"/>
  <c r="AE292" i="28"/>
  <c r="AF205" i="28"/>
  <c r="AJ122" i="28"/>
  <c r="AI37" i="28"/>
  <c r="AL37" i="28" s="1"/>
  <c r="AF186" i="26"/>
  <c r="AF185" i="26" s="1"/>
  <c r="AF183" i="26" s="1"/>
  <c r="AF181" i="26" s="1"/>
  <c r="AF230" i="26" s="1"/>
  <c r="AF35" i="28"/>
  <c r="AI35" i="28"/>
  <c r="AI121" i="28"/>
  <c r="AL121" i="28" s="1"/>
  <c r="AG122" i="28"/>
  <c r="AJ291" i="28"/>
  <c r="AK36" i="28"/>
  <c r="AK38" i="28"/>
  <c r="AF33" i="26"/>
  <c r="AF32" i="26" s="1"/>
  <c r="AF30" i="26" s="1"/>
  <c r="AF28" i="26" s="1"/>
  <c r="AF77" i="26" s="1"/>
  <c r="AI120" i="28"/>
  <c r="AJ121" i="28"/>
  <c r="AJ205" i="28"/>
  <c r="AK290" i="28"/>
  <c r="AE36" i="28"/>
  <c r="AG36" i="28"/>
  <c r="AI123" i="28"/>
  <c r="AL123" i="28" s="1"/>
  <c r="AJ120" i="28"/>
  <c r="AJ206" i="28"/>
  <c r="AJ37" i="28"/>
  <c r="AK291" i="28"/>
  <c r="AI205" i="28"/>
  <c r="AE206" i="28"/>
  <c r="AE38" i="28"/>
  <c r="AI290" i="28"/>
  <c r="AF120" i="28"/>
  <c r="AI291" i="28"/>
  <c r="AL291" i="28" s="1"/>
  <c r="AK206" i="28"/>
  <c r="AK35" i="28"/>
  <c r="AJ35" i="28"/>
  <c r="AJ123" i="28"/>
  <c r="AI206" i="28"/>
  <c r="AL206" i="28" s="1"/>
  <c r="AE35" i="28"/>
  <c r="AI122" i="28"/>
  <c r="AL122" i="28" s="1"/>
  <c r="AF206" i="28"/>
  <c r="AJ36" i="28"/>
  <c r="AE205" i="28"/>
  <c r="AK123" i="28"/>
  <c r="AK207" i="28"/>
  <c r="AG121" i="28"/>
  <c r="AH121" i="28" s="1"/>
  <c r="AG291" i="28"/>
  <c r="AH291" i="28" s="1"/>
  <c r="AE122" i="28"/>
  <c r="AF37" i="28"/>
  <c r="AJ207" i="28"/>
  <c r="AI294" i="28"/>
  <c r="AL294" i="28" s="1"/>
  <c r="AG38" i="28"/>
  <c r="AH38" i="28" s="1"/>
  <c r="AK39" i="28"/>
  <c r="AG292" i="28"/>
  <c r="AP28" i="30"/>
  <c r="T507" i="29"/>
  <c r="F508" i="29" a="1"/>
  <c r="F508" i="29" s="1"/>
  <c r="AB308" i="30"/>
  <c r="D309" i="30" a="1"/>
  <c r="D309" i="30" s="1"/>
  <c r="AB164" i="30"/>
  <c r="D165" i="30" a="1"/>
  <c r="D165"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N155" i="28"/>
  <c r="AI155" i="28"/>
  <c r="AL155" i="28" s="1"/>
  <c r="AE155" i="28"/>
  <c r="AG155" i="28"/>
  <c r="AJ155" i="28"/>
  <c r="AF155" i="28"/>
  <c r="F156" i="28" a="1"/>
  <c r="F156" i="28" s="1"/>
  <c r="AK155" i="28"/>
  <c r="AO49" i="24"/>
  <c r="AN50" i="24"/>
  <c r="AJ318" i="28"/>
  <c r="K51" i="19"/>
  <c r="AE51" i="19"/>
  <c r="AE27" i="19" s="1"/>
  <c r="AF51" i="19"/>
  <c r="AF27" i="19" s="1"/>
  <c r="AJ51" i="19"/>
  <c r="AJ27" i="19" s="1"/>
  <c r="AH51" i="19"/>
  <c r="AH27" i="19" s="1"/>
  <c r="AG51" i="19"/>
  <c r="AG27" i="19" s="1"/>
  <c r="AI51" i="19"/>
  <c r="AI27" i="19" s="1"/>
  <c r="AG215" i="28"/>
  <c r="AG45" i="28"/>
  <c r="AK45" i="28"/>
  <c r="AG130" i="28"/>
  <c r="AJ130" i="28"/>
  <c r="AJ215" i="28"/>
  <c r="AE215" i="28"/>
  <c r="AI300" i="28"/>
  <c r="AG37" i="29"/>
  <c r="AK216" i="28"/>
  <c r="AK300" i="28"/>
  <c r="AG300" i="28"/>
  <c r="AI45" i="28"/>
  <c r="AE64" i="29"/>
  <c r="AI130" i="28"/>
  <c r="AJ131" i="28"/>
  <c r="AG301" i="28"/>
  <c r="AF131" i="28"/>
  <c r="AT37" i="29"/>
  <c r="AK131" i="28"/>
  <c r="AF216" i="28"/>
  <c r="AF45" i="28"/>
  <c r="AI131" i="28"/>
  <c r="AL131" i="28" s="1"/>
  <c r="AE301" i="28"/>
  <c r="AG216" i="28"/>
  <c r="AJ37" i="29"/>
  <c r="AI216" i="28"/>
  <c r="AL216" i="28" s="1"/>
  <c r="AE216" i="28"/>
  <c r="AE37" i="29"/>
  <c r="AF301" i="28"/>
  <c r="AJ207" i="29"/>
  <c r="AF37" i="29"/>
  <c r="AI207" i="29"/>
  <c r="AI37" i="29"/>
  <c r="BD37" i="29" s="1"/>
  <c r="AE131" i="28"/>
  <c r="AF300" i="28"/>
  <c r="AT351" i="29"/>
  <c r="AJ351" i="29"/>
  <c r="AG63" i="29"/>
  <c r="AT495" i="29"/>
  <c r="AE300" i="28"/>
  <c r="AJ495" i="29"/>
  <c r="AJ216" i="28"/>
  <c r="AT207" i="29"/>
  <c r="AK215" i="28"/>
  <c r="AJ300" i="28"/>
  <c r="AJ301" i="28"/>
  <c r="AG207" i="29"/>
  <c r="AK46" i="28"/>
  <c r="AG46" i="28"/>
  <c r="AF351" i="29"/>
  <c r="AG131" i="28"/>
  <c r="AI351" i="29"/>
  <c r="AF495" i="29"/>
  <c r="AE63" i="29"/>
  <c r="AF63" i="29"/>
  <c r="AE351" i="29"/>
  <c r="AI301" i="28"/>
  <c r="AL301" i="28" s="1"/>
  <c r="AJ63" i="29"/>
  <c r="AT352" i="29"/>
  <c r="AG144" i="28"/>
  <c r="AI496" i="29"/>
  <c r="BD496" i="29" s="1"/>
  <c r="AK145" i="28"/>
  <c r="AT208" i="29"/>
  <c r="AG29" i="20"/>
  <c r="AE45" i="28"/>
  <c r="AG496" i="29"/>
  <c r="AF60" i="28"/>
  <c r="AT64" i="29"/>
  <c r="AG352" i="29"/>
  <c r="AF352" i="29"/>
  <c r="AI46" i="28"/>
  <c r="AL46" i="28" s="1"/>
  <c r="AJ64" i="29"/>
  <c r="AE495" i="29"/>
  <c r="AI215" i="28"/>
  <c r="AE496" i="29"/>
  <c r="AJ352" i="29"/>
  <c r="AI64" i="29"/>
  <c r="BD64" i="29" s="1"/>
  <c r="AK301" i="28"/>
  <c r="AE144" i="28"/>
  <c r="AT52" i="29"/>
  <c r="AT63" i="29"/>
  <c r="AG145" i="28"/>
  <c r="AI495" i="29"/>
  <c r="AF207" i="29"/>
  <c r="AF315" i="28"/>
  <c r="AF313" i="28" s="1"/>
  <c r="AF311" i="28" s="1"/>
  <c r="AE315" i="28"/>
  <c r="AI60" i="28"/>
  <c r="AL60" i="28" s="1"/>
  <c r="AG351" i="29"/>
  <c r="AE207" i="29"/>
  <c r="AI352" i="29"/>
  <c r="BD352" i="29" s="1"/>
  <c r="AK315" i="28"/>
  <c r="AK313" i="28" s="1"/>
  <c r="AK311" i="28" s="1"/>
  <c r="AE208" i="29"/>
  <c r="AE352" i="29"/>
  <c r="AF496" i="29"/>
  <c r="AF208" i="29"/>
  <c r="AI208" i="29"/>
  <c r="BD208" i="29" s="1"/>
  <c r="AE145" i="28"/>
  <c r="AG208" i="29"/>
  <c r="AG64" i="29"/>
  <c r="AT496" i="29"/>
  <c r="AJ208" i="29"/>
  <c r="AI63" i="29"/>
  <c r="AI315" i="28"/>
  <c r="AL315" i="28" s="1"/>
  <c r="AK60" i="28"/>
  <c r="AK58" i="28" s="1"/>
  <c r="AK56" i="28" s="1"/>
  <c r="AG495" i="29"/>
  <c r="AF64" i="29"/>
  <c r="AF145" i="28"/>
  <c r="AG67" i="20"/>
  <c r="AI36" i="29"/>
  <c r="AI339" i="29"/>
  <c r="AJ28" i="20"/>
  <c r="AH28" i="20"/>
  <c r="AE483" i="29"/>
  <c r="AJ181" i="29"/>
  <c r="AG325" i="29"/>
  <c r="AF51" i="29"/>
  <c r="AT483" i="29"/>
  <c r="AE67" i="20"/>
  <c r="AK230" i="28"/>
  <c r="AG339" i="29"/>
  <c r="AG230" i="28"/>
  <c r="AG228" i="28" s="1"/>
  <c r="AE181" i="29"/>
  <c r="AE47" i="20"/>
  <c r="AG48" i="20"/>
  <c r="AF55" i="21"/>
  <c r="AF51" i="21" s="1"/>
  <c r="AF361" i="29" s="1"/>
  <c r="AI325" i="29"/>
  <c r="BD325" i="29" s="1"/>
  <c r="AG469" i="29"/>
  <c r="AI468" i="29"/>
  <c r="AH43" i="21"/>
  <c r="AH39" i="21" s="1"/>
  <c r="AI217" i="29" s="1"/>
  <c r="BD217" i="29" s="1"/>
  <c r="AF48" i="20"/>
  <c r="AH48" i="20"/>
  <c r="AT325" i="29"/>
  <c r="AF468" i="29"/>
  <c r="AI196" i="29"/>
  <c r="BD196" i="29" s="1"/>
  <c r="AE55" i="21"/>
  <c r="AE51" i="21" s="1"/>
  <c r="AE361" i="29" s="1"/>
  <c r="AE195" i="29"/>
  <c r="AI28" i="20"/>
  <c r="AE43" i="21"/>
  <c r="AE39" i="21" s="1"/>
  <c r="AE217" i="29" s="1"/>
  <c r="AJ85" i="20"/>
  <c r="AF43" i="21"/>
  <c r="AF39" i="21" s="1"/>
  <c r="AF217" i="29" s="1"/>
  <c r="AG468" i="29"/>
  <c r="AJ484" i="29"/>
  <c r="AG36" i="29"/>
  <c r="AH66" i="20"/>
  <c r="AT195" i="29"/>
  <c r="AG43" i="21"/>
  <c r="AG39" i="21" s="1"/>
  <c r="AG217" i="29" s="1"/>
  <c r="AG195" i="29"/>
  <c r="AE325" i="29"/>
  <c r="AF324" i="29"/>
  <c r="AF29" i="20"/>
  <c r="AI47" i="20"/>
  <c r="AF215" i="28"/>
  <c r="AF214" i="28" s="1"/>
  <c r="AH67" i="21"/>
  <c r="AH63" i="21" s="1"/>
  <c r="AI505" i="29" s="1"/>
  <c r="BD505" i="29" s="1"/>
  <c r="AF67" i="21"/>
  <c r="AF63" i="21" s="1"/>
  <c r="AF505" i="29" s="1"/>
  <c r="AT340" i="29"/>
  <c r="AI51" i="29"/>
  <c r="AG28" i="20"/>
  <c r="AJ340" i="29"/>
  <c r="AI340" i="29"/>
  <c r="BD340" i="29" s="1"/>
  <c r="AJ496" i="29"/>
  <c r="AG484" i="29"/>
  <c r="AK130" i="28"/>
  <c r="AJ67" i="20"/>
  <c r="AG55" i="21"/>
  <c r="AG51" i="21" s="1"/>
  <c r="AG361" i="29" s="1"/>
  <c r="AT196" i="29"/>
  <c r="AT468" i="29"/>
  <c r="AI52" i="29"/>
  <c r="BD52" i="29" s="1"/>
  <c r="AT484" i="29"/>
  <c r="AI85" i="20"/>
  <c r="AF195" i="29"/>
  <c r="AF484" i="29"/>
  <c r="AF339" i="29"/>
  <c r="AT51" i="29"/>
  <c r="AG483" i="29"/>
  <c r="AF230" i="28"/>
  <c r="AF228" i="28" s="1"/>
  <c r="AF226" i="28" s="1"/>
  <c r="AJ324" i="29"/>
  <c r="AG340" i="29"/>
  <c r="AJ468" i="29"/>
  <c r="AJ51" i="29"/>
  <c r="AI469" i="29"/>
  <c r="BD469" i="29" s="1"/>
  <c r="AG196" i="29"/>
  <c r="AE469" i="29"/>
  <c r="AI195" i="29"/>
  <c r="AE324" i="29"/>
  <c r="AF196" i="29"/>
  <c r="AF319" i="28"/>
  <c r="AF318" i="28" s="1"/>
  <c r="AH55" i="21"/>
  <c r="AH51" i="21" s="1"/>
  <c r="AI361" i="29" s="1"/>
  <c r="BD361" i="29" s="1"/>
  <c r="AH85" i="20"/>
  <c r="AG52" i="29"/>
  <c r="AE66" i="20"/>
  <c r="AI67" i="21"/>
  <c r="AI63" i="21" s="1"/>
  <c r="AJ505" i="29" s="1"/>
  <c r="AE86" i="20"/>
  <c r="AG47" i="20"/>
  <c r="AF483" i="29"/>
  <c r="AT324" i="29"/>
  <c r="AI324" i="29"/>
  <c r="AE51" i="29"/>
  <c r="AJ230" i="28"/>
  <c r="AJ228" i="28" s="1"/>
  <c r="AJ226" i="28" s="1"/>
  <c r="AJ67" i="21"/>
  <c r="AJ63" i="21" s="1"/>
  <c r="AT505" i="29" s="1"/>
  <c r="AF144" i="28"/>
  <c r="AF36" i="29"/>
  <c r="AI43" i="21"/>
  <c r="AI39" i="21" s="1"/>
  <c r="AJ217" i="29" s="1"/>
  <c r="AE46" i="28"/>
  <c r="AE319" i="28"/>
  <c r="AE318" i="28" s="1"/>
  <c r="AE36" i="29"/>
  <c r="AJ180" i="29"/>
  <c r="AK235" i="28"/>
  <c r="AK233" i="28" s="1"/>
  <c r="AI181" i="29"/>
  <c r="BD181" i="29" s="1"/>
  <c r="AJ235" i="28"/>
  <c r="AJ233" i="28" s="1"/>
  <c r="AJ29" i="20"/>
  <c r="AF46" i="28"/>
  <c r="AI145" i="28"/>
  <c r="AL145" i="28" s="1"/>
  <c r="AF66" i="20"/>
  <c r="AE230" i="28"/>
  <c r="AE228" i="28" s="1"/>
  <c r="AE226" i="28" s="1"/>
  <c r="AH29" i="20"/>
  <c r="AE28" i="20"/>
  <c r="AK144" i="28"/>
  <c r="AG60" i="28"/>
  <c r="AE29" i="20"/>
  <c r="AJ52" i="29"/>
  <c r="AF234" i="28"/>
  <c r="AF233" i="28" s="1"/>
  <c r="AJ339" i="29"/>
  <c r="AJ338" i="29" s="1"/>
  <c r="AJ335" i="29" s="1"/>
  <c r="AJ195" i="29"/>
  <c r="AG86" i="20"/>
  <c r="AE52" i="29"/>
  <c r="AI180" i="29"/>
  <c r="AE484" i="29"/>
  <c r="AG66" i="20"/>
  <c r="AE180" i="29"/>
  <c r="AJ66" i="20"/>
  <c r="AJ48" i="20"/>
  <c r="AF85" i="20"/>
  <c r="AT339" i="29"/>
  <c r="AG67" i="21"/>
  <c r="AG63" i="21" s="1"/>
  <c r="AG505" i="29" s="1"/>
  <c r="AI48" i="20"/>
  <c r="AE340" i="29"/>
  <c r="AI483" i="29"/>
  <c r="AF181" i="29"/>
  <c r="AG51" i="29"/>
  <c r="AJ36" i="29"/>
  <c r="AJ46" i="28"/>
  <c r="AJ44" i="28" s="1"/>
  <c r="AT469" i="29"/>
  <c r="AE67" i="21"/>
  <c r="AE63" i="21" s="1"/>
  <c r="AE505" i="29" s="1"/>
  <c r="AI66" i="20"/>
  <c r="AH86" i="20"/>
  <c r="AF28" i="20"/>
  <c r="AI86" i="20"/>
  <c r="AT36" i="29"/>
  <c r="AF325" i="29"/>
  <c r="AJ483" i="29"/>
  <c r="AF130" i="28"/>
  <c r="AG181" i="29"/>
  <c r="AF67" i="20"/>
  <c r="AJ86" i="20"/>
  <c r="AG324" i="29"/>
  <c r="AT181" i="29"/>
  <c r="AF47" i="20"/>
  <c r="AE468" i="29"/>
  <c r="AE467" i="29" s="1"/>
  <c r="AE462" i="29" s="1"/>
  <c r="AH67" i="20"/>
  <c r="AT180" i="29"/>
  <c r="AT179" i="29" s="1"/>
  <c r="AT174" i="29" s="1"/>
  <c r="AF52" i="29"/>
  <c r="AJ55" i="21"/>
  <c r="AJ51" i="21" s="1"/>
  <c r="AT361" i="29" s="1"/>
  <c r="AF340" i="29"/>
  <c r="AF86" i="20"/>
  <c r="AI230" i="28"/>
  <c r="AL230" i="28" s="1"/>
  <c r="AF469" i="29"/>
  <c r="AF180" i="29"/>
  <c r="AI29" i="20"/>
  <c r="AI484" i="29"/>
  <c r="BD484" i="29" s="1"/>
  <c r="AJ325" i="29"/>
  <c r="AJ43" i="21"/>
  <c r="AJ39" i="21" s="1"/>
  <c r="AT217" i="29" s="1"/>
  <c r="AJ196" i="29"/>
  <c r="AH47" i="20"/>
  <c r="AI55" i="21"/>
  <c r="AI51" i="21" s="1"/>
  <c r="AJ361" i="29" s="1"/>
  <c r="AG180" i="29"/>
  <c r="AJ469" i="29"/>
  <c r="AI67" i="20"/>
  <c r="AE339" i="29"/>
  <c r="AE196" i="29"/>
  <c r="AE85" i="20"/>
  <c r="AJ47" i="20"/>
  <c r="AG319" i="28"/>
  <c r="AG85" i="20"/>
  <c r="AE130" i="28"/>
  <c r="AG315" i="28"/>
  <c r="AE48" i="20"/>
  <c r="T363" i="29"/>
  <c r="F364" i="29" a="1"/>
  <c r="F364" i="29" s="1"/>
  <c r="D597" i="29" a="1"/>
  <c r="D597" i="29" s="1"/>
  <c r="AB596" i="29"/>
  <c r="T219" i="29"/>
  <c r="F220" i="29" a="1"/>
  <c r="F220" i="29" s="1"/>
  <c r="F510" i="30" a="1"/>
  <c r="F510" i="30" s="1"/>
  <c r="F511" i="30" s="1" a="1"/>
  <c r="F511" i="30" s="1"/>
  <c r="F512" i="30" s="1" a="1"/>
  <c r="F512" i="30" s="1"/>
  <c r="T509" i="30"/>
  <c r="T510" i="30" s="1" a="1"/>
  <c r="T510" i="30" s="1"/>
  <c r="T511" i="30" s="1" a="1"/>
  <c r="T511" i="30" s="1"/>
  <c r="T512" i="30" s="1" a="1"/>
  <c r="T512" i="30" s="1"/>
  <c r="T513" i="30" s="1" a="1"/>
  <c r="T513" i="30" s="1"/>
  <c r="T514" i="30" s="1" a="1"/>
  <c r="T514" i="30" s="1"/>
  <c r="T515" i="30" s="1" a="1"/>
  <c r="T515" i="30" s="1"/>
  <c r="T516" i="30" s="1" a="1"/>
  <c r="T516" i="30" s="1"/>
  <c r="T517" i="30" s="1" a="1"/>
  <c r="T517" i="30" s="1"/>
  <c r="T518" i="30" s="1" a="1"/>
  <c r="T518" i="30" s="1"/>
  <c r="T519" i="30" s="1" a="1"/>
  <c r="T519" i="30" s="1"/>
  <c r="T520" i="30" s="1" a="1"/>
  <c r="T520" i="30" s="1"/>
  <c r="T521" i="30" s="1" a="1"/>
  <c r="T521" i="30" s="1"/>
  <c r="T522" i="30" s="1" a="1"/>
  <c r="T522" i="30" s="1"/>
  <c r="T523" i="30" s="1" a="1"/>
  <c r="T523" i="30" s="1"/>
  <c r="T524" i="30" s="1" a="1"/>
  <c r="T524" i="30" s="1"/>
  <c r="T525" i="30" s="1" a="1"/>
  <c r="T525" i="30" s="1"/>
  <c r="T526" i="30" s="1" a="1"/>
  <c r="T526" i="30" s="1"/>
  <c r="T527" i="30" s="1" a="1"/>
  <c r="T527" i="30" s="1"/>
  <c r="T528" i="30" s="1" a="1"/>
  <c r="T528" i="30" s="1"/>
  <c r="T529" i="30" s="1" a="1"/>
  <c r="T529" i="30" s="1"/>
  <c r="T530" i="30" s="1" a="1"/>
  <c r="T530" i="30" s="1"/>
  <c r="T531" i="30" s="1" a="1"/>
  <c r="T531" i="30" s="1"/>
  <c r="T532" i="30" s="1" a="1"/>
  <c r="T532" i="30" s="1"/>
  <c r="T533" i="30" s="1" a="1"/>
  <c r="T533" i="30" s="1"/>
  <c r="T534" i="30" s="1" a="1"/>
  <c r="T534" i="30" s="1"/>
  <c r="T535" i="30" s="1" a="1"/>
  <c r="T535" i="30" s="1"/>
  <c r="T536" i="30" s="1" a="1"/>
  <c r="T536" i="30" s="1"/>
  <c r="T537" i="30" s="1" a="1"/>
  <c r="T537" i="30" s="1"/>
  <c r="T538" i="30" s="1" a="1"/>
  <c r="T538" i="30" s="1"/>
  <c r="T539" i="30" s="1" a="1"/>
  <c r="T539" i="30" s="1"/>
  <c r="T540" i="30" s="1" a="1"/>
  <c r="T540" i="30" s="1"/>
  <c r="T541" i="30" s="1" a="1"/>
  <c r="T541" i="30" s="1"/>
  <c r="T542" i="30" s="1" a="1"/>
  <c r="T542" i="30" s="1"/>
  <c r="T543" i="30" s="1" a="1"/>
  <c r="T543" i="30" s="1"/>
  <c r="T544" i="30" s="1" a="1"/>
  <c r="T544" i="30" s="1"/>
  <c r="T545" i="30" s="1" a="1"/>
  <c r="T545" i="30" s="1"/>
  <c r="T546" i="30" s="1" a="1"/>
  <c r="T546" i="30" s="1"/>
  <c r="T547" i="30" s="1" a="1"/>
  <c r="T547" i="30" s="1"/>
  <c r="T548" i="30" s="1" a="1"/>
  <c r="T548" i="30" s="1"/>
  <c r="T549" i="30" s="1" a="1"/>
  <c r="T549" i="30" s="1"/>
  <c r="T550" i="30" s="1" a="1"/>
  <c r="T550" i="30" s="1"/>
  <c r="T551" i="30" s="1" a="1"/>
  <c r="T551" i="30" s="1"/>
  <c r="T552" i="30" s="1" a="1"/>
  <c r="T552" i="30" s="1"/>
  <c r="T553" i="30" s="1" a="1"/>
  <c r="T553" i="30" s="1"/>
  <c r="T554" i="30" s="1" a="1"/>
  <c r="T554" i="30" s="1"/>
  <c r="T555" i="30" s="1" a="1"/>
  <c r="T555" i="30" s="1"/>
  <c r="T556" i="30" s="1" a="1"/>
  <c r="T556" i="30" s="1"/>
  <c r="T557" i="30" s="1" a="1"/>
  <c r="T557" i="30" s="1"/>
  <c r="T558" i="30" s="1" a="1"/>
  <c r="T558" i="30" s="1"/>
  <c r="T559" i="30" s="1" a="1"/>
  <c r="T559" i="30" s="1"/>
  <c r="T560" i="30" s="1" a="1"/>
  <c r="T560" i="30" s="1"/>
  <c r="T561" i="30" s="1" a="1"/>
  <c r="T561" i="30" s="1"/>
  <c r="T562" i="30" s="1" a="1"/>
  <c r="T562" i="30" s="1"/>
  <c r="T563" i="30" s="1" a="1"/>
  <c r="T563" i="30" s="1"/>
  <c r="T564" i="30" s="1" a="1"/>
  <c r="T564" i="30" s="1"/>
  <c r="T565" i="30" s="1" a="1"/>
  <c r="T565" i="30" s="1"/>
  <c r="T566" i="30" s="1" a="1"/>
  <c r="T566" i="30" s="1"/>
  <c r="T567" i="30" s="1" a="1"/>
  <c r="T567" i="30" s="1"/>
  <c r="T568" i="30" s="1" a="1"/>
  <c r="T568" i="30" s="1"/>
  <c r="T569" i="30" s="1" a="1"/>
  <c r="T569" i="30" s="1"/>
  <c r="T570" i="30" s="1" a="1"/>
  <c r="T570" i="30" s="1"/>
  <c r="T571" i="30" s="1" a="1"/>
  <c r="T571" i="30" s="1"/>
  <c r="T572" i="30" s="1" a="1"/>
  <c r="T572" i="30" s="1"/>
  <c r="T573" i="30" s="1" a="1"/>
  <c r="T573" i="30" s="1"/>
  <c r="T574" i="30" s="1" a="1"/>
  <c r="T574" i="30" s="1"/>
  <c r="T575" i="30" s="1" a="1"/>
  <c r="T575" i="30" s="1"/>
  <c r="T576" i="30" s="1" a="1"/>
  <c r="T576" i="30" s="1"/>
  <c r="T577" i="30" s="1" a="1"/>
  <c r="T577" i="30" s="1"/>
  <c r="T578" i="30" s="1" a="1"/>
  <c r="T578" i="30" s="1"/>
  <c r="T579" i="30" s="1" a="1"/>
  <c r="T579" i="30" s="1"/>
  <c r="T580" i="30" s="1" a="1"/>
  <c r="T580" i="30" s="1"/>
  <c r="T581" i="30" s="1" a="1"/>
  <c r="T581" i="30" s="1"/>
  <c r="T582" i="30" s="1" a="1"/>
  <c r="T582" i="30" s="1"/>
  <c r="T583" i="30" s="1" a="1"/>
  <c r="T583" i="30" s="1"/>
  <c r="T584" i="30" s="1" a="1"/>
  <c r="T584" i="30" s="1"/>
  <c r="T585" i="30" s="1" a="1"/>
  <c r="T585" i="30" s="1"/>
  <c r="T586" i="30" s="1" a="1"/>
  <c r="T586" i="30" s="1"/>
  <c r="T587" i="30" s="1" a="1"/>
  <c r="T587" i="30" s="1"/>
  <c r="T588" i="30" s="1" a="1"/>
  <c r="T588" i="30" s="1"/>
  <c r="T589" i="30" s="1" a="1"/>
  <c r="T589" i="30" s="1"/>
  <c r="T590" i="30" s="1" a="1"/>
  <c r="T590" i="30" s="1"/>
  <c r="T591" i="30" s="1" a="1"/>
  <c r="T591" i="30" s="1"/>
  <c r="T592" i="30" s="1" a="1"/>
  <c r="T592" i="30" s="1"/>
  <c r="T593" i="30" s="1" a="1"/>
  <c r="T593" i="30" s="1"/>
  <c r="T594" i="30" s="1" a="1"/>
  <c r="T594" i="30" s="1"/>
  <c r="T595" i="30" s="1" a="1"/>
  <c r="T595" i="30" s="1"/>
  <c r="T596" i="30" s="1" a="1"/>
  <c r="T596" i="30" s="1"/>
  <c r="T597" i="30" s="1" a="1"/>
  <c r="T597" i="30" s="1"/>
  <c r="T598" i="30" s="1" a="1"/>
  <c r="T598" i="30" s="1"/>
  <c r="T599" i="30" s="1" a="1"/>
  <c r="T599" i="30" s="1"/>
  <c r="T600" i="30" s="1" a="1"/>
  <c r="T600" i="30" s="1"/>
  <c r="T601" i="30" s="1" a="1"/>
  <c r="T601" i="30" s="1"/>
  <c r="T602" i="30" s="1" a="1"/>
  <c r="T602" i="30" s="1"/>
  <c r="AH65" i="28"/>
  <c r="AJ143" i="28"/>
  <c r="AJ141" i="28" s="1"/>
  <c r="AJ63" i="28"/>
  <c r="AK148" i="28"/>
  <c r="BO72" i="30"/>
  <c r="F73" i="30" a="1"/>
  <c r="F73" i="30" s="1"/>
  <c r="F74" i="30" s="1" a="1"/>
  <c r="F74" i="30" s="1"/>
  <c r="F75" i="30" s="1" a="1"/>
  <c r="F75" i="30" s="1"/>
  <c r="F76" i="30" s="1" a="1"/>
  <c r="F76" i="30" s="1"/>
  <c r="D453" i="30" a="1"/>
  <c r="D453" i="30" s="1"/>
  <c r="AB452" i="30"/>
  <c r="BJ28" i="30"/>
  <c r="AZ28" i="30"/>
  <c r="AO57" i="24"/>
  <c r="AN58" i="24"/>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AO41" i="24"/>
  <c r="AN42" i="24"/>
  <c r="D165" i="29" a="1"/>
  <c r="D165" i="29" s="1"/>
  <c r="AB164" i="29"/>
  <c r="AH150" i="28"/>
  <c r="AG148" i="28"/>
  <c r="AL314" i="28"/>
  <c r="AH320" i="28"/>
  <c r="AF63" i="28"/>
  <c r="AI318" i="28"/>
  <c r="AL319" i="28"/>
  <c r="AL144" i="28"/>
  <c r="AI233" i="28"/>
  <c r="AL234" i="28"/>
  <c r="V459" i="30" a="1"/>
  <c r="V459" i="30" s="1"/>
  <c r="AB459" i="30" a="1"/>
  <c r="AB459" i="30" s="1"/>
  <c r="F71" i="28" a="1"/>
  <c r="F71" i="28" s="1"/>
  <c r="AK70" i="28"/>
  <c r="AG70" i="28"/>
  <c r="AJ70" i="28"/>
  <c r="AF70" i="28"/>
  <c r="AI70" i="28"/>
  <c r="AL70" i="28" s="1"/>
  <c r="AN70" i="28"/>
  <c r="AE70" i="28"/>
  <c r="K75" i="26"/>
  <c r="F76" i="26" a="1"/>
  <c r="F76" i="26" s="1"/>
  <c r="AB171" i="30" a="1"/>
  <c r="AB171" i="30" s="1"/>
  <c r="V171" i="30" a="1"/>
  <c r="V171" i="30" s="1"/>
  <c r="AB596" i="30"/>
  <c r="D597" i="30" a="1"/>
  <c r="D597" i="30" s="1"/>
  <c r="D309" i="29" a="1"/>
  <c r="D309" i="29" s="1"/>
  <c r="AB308" i="29"/>
  <c r="AO33" i="24"/>
  <c r="AN34" i="24"/>
  <c r="AB452" i="29"/>
  <c r="D453" i="29" a="1"/>
  <c r="D453" i="29" s="1"/>
  <c r="F241" i="28" a="1"/>
  <c r="F241" i="28" s="1"/>
  <c r="AK240" i="28"/>
  <c r="AG240" i="28"/>
  <c r="AI240" i="28"/>
  <c r="AL240" i="28" s="1"/>
  <c r="AN240" i="28"/>
  <c r="AF240" i="28"/>
  <c r="AE240" i="28"/>
  <c r="AJ240" i="28"/>
  <c r="BM172" i="30"/>
  <c r="AG233" i="28"/>
  <c r="AH64" i="28"/>
  <c r="AG63" i="28"/>
  <c r="AH229" i="28"/>
  <c r="AI63" i="28"/>
  <c r="AL64" i="28"/>
  <c r="AI149" i="28"/>
  <c r="AG314" i="28"/>
  <c r="AN325" i="28"/>
  <c r="AI325" i="28"/>
  <c r="AL325" i="28" s="1"/>
  <c r="AE325" i="28"/>
  <c r="AK325" i="28"/>
  <c r="AJ325" i="28"/>
  <c r="F326" i="28" a="1"/>
  <c r="F326" i="28" s="1"/>
  <c r="AG325" i="28"/>
  <c r="AF325" i="28"/>
  <c r="V315" i="30" a="1"/>
  <c r="V315" i="30" s="1"/>
  <c r="AB315" i="30" a="1"/>
  <c r="AB315" i="30" s="1"/>
  <c r="AH149" i="28" l="1"/>
  <c r="AK228" i="28"/>
  <c r="AK226" i="28" s="1"/>
  <c r="AK318" i="28"/>
  <c r="AK143" i="28"/>
  <c r="AK141" i="28" s="1"/>
  <c r="AH216" i="28"/>
  <c r="AJ31" i="21"/>
  <c r="AJ27" i="21" s="1"/>
  <c r="AT73" i="29" s="1"/>
  <c r="AJ148" i="28"/>
  <c r="AH235" i="28"/>
  <c r="AG84" i="20"/>
  <c r="AK146" i="28"/>
  <c r="AE313" i="28"/>
  <c r="AE311" i="28" s="1"/>
  <c r="AG58" i="28"/>
  <c r="AF58" i="28"/>
  <c r="AF56" i="28" s="1"/>
  <c r="AE129" i="28"/>
  <c r="AE35" i="29"/>
  <c r="AE30" i="29" s="1"/>
  <c r="AG31" i="21"/>
  <c r="AG27" i="21" s="1"/>
  <c r="AG73" i="29" s="1"/>
  <c r="AT35" i="29"/>
  <c r="AT30" i="29" s="1"/>
  <c r="AG65" i="20"/>
  <c r="AE31" i="21"/>
  <c r="AE27" i="21" s="1"/>
  <c r="AE73" i="29" s="1"/>
  <c r="AH122" i="28"/>
  <c r="AE148" i="28"/>
  <c r="AE146" i="28" s="1"/>
  <c r="AH315" i="28"/>
  <c r="AH46" i="20"/>
  <c r="AH505" i="29"/>
  <c r="AT50" i="29"/>
  <c r="AT47" i="29" s="1"/>
  <c r="AG27" i="20"/>
  <c r="AT323" i="29"/>
  <c r="AT318" i="29" s="1"/>
  <c r="AF46" i="20"/>
  <c r="AE179" i="29"/>
  <c r="AE174" i="29" s="1"/>
  <c r="AJ179" i="29"/>
  <c r="AJ174" i="29" s="1"/>
  <c r="AE65" i="20"/>
  <c r="AH125" i="28"/>
  <c r="AE233" i="28"/>
  <c r="AE231" i="28" s="1"/>
  <c r="AJ313" i="28"/>
  <c r="AJ311" i="28" s="1"/>
  <c r="AE63" i="28"/>
  <c r="AE61" i="28" s="1"/>
  <c r="AJ65" i="20"/>
  <c r="AK61" i="28"/>
  <c r="AJ58" i="28"/>
  <c r="AJ56" i="28" s="1"/>
  <c r="AT62" i="29"/>
  <c r="AT53" i="29" s="1"/>
  <c r="AT338" i="29"/>
  <c r="AT335" i="29" s="1"/>
  <c r="AG46" i="20"/>
  <c r="AH212" i="28"/>
  <c r="AK316" i="28"/>
  <c r="AH126" i="28"/>
  <c r="AF129" i="28"/>
  <c r="AH31" i="21"/>
  <c r="AH27" i="21" s="1"/>
  <c r="AI73" i="29" s="1"/>
  <c r="BD73" i="29" s="1"/>
  <c r="AE203" i="28"/>
  <c r="AJ35" i="29"/>
  <c r="AJ30" i="29" s="1"/>
  <c r="AH131" i="28"/>
  <c r="AH292" i="28"/>
  <c r="AH36" i="28"/>
  <c r="AI228" i="28"/>
  <c r="AL228" i="28" s="1"/>
  <c r="AF299" i="28"/>
  <c r="AE323" i="29"/>
  <c r="AE318" i="29" s="1"/>
  <c r="AH217" i="29"/>
  <c r="AK214" i="28"/>
  <c r="AE33" i="28"/>
  <c r="AH234" i="28"/>
  <c r="AH240" i="28"/>
  <c r="AE338" i="29"/>
  <c r="AE335" i="29" s="1"/>
  <c r="AH361" i="29"/>
  <c r="AJ62" i="29"/>
  <c r="AJ53" i="29" s="1"/>
  <c r="AE62" i="29"/>
  <c r="AE53" i="29" s="1"/>
  <c r="AH208" i="28"/>
  <c r="AI143" i="28"/>
  <c r="AI141" i="28" s="1"/>
  <c r="AL141" i="28" s="1"/>
  <c r="AJ46" i="20"/>
  <c r="AF61" i="28"/>
  <c r="AK231" i="28"/>
  <c r="AE84" i="20"/>
  <c r="AF194" i="29"/>
  <c r="AF191" i="29" s="1"/>
  <c r="AJ61" i="28"/>
  <c r="AE46" i="20"/>
  <c r="AH325" i="29"/>
  <c r="AJ27" i="20"/>
  <c r="AH64" i="29"/>
  <c r="AE143" i="28"/>
  <c r="AE141" i="28" s="1"/>
  <c r="AF62" i="29"/>
  <c r="AF53" i="29" s="1"/>
  <c r="AT494" i="29"/>
  <c r="AT485" i="29" s="1"/>
  <c r="AJ316" i="28"/>
  <c r="AK44" i="28"/>
  <c r="AK33" i="28"/>
  <c r="AJ203" i="28"/>
  <c r="AH70" i="28"/>
  <c r="AJ231" i="28"/>
  <c r="AJ482" i="29"/>
  <c r="AJ479" i="29" s="1"/>
  <c r="AF27" i="20"/>
  <c r="AJ194" i="29"/>
  <c r="AJ191" i="29" s="1"/>
  <c r="AJ50" i="29"/>
  <c r="AJ47" i="29" s="1"/>
  <c r="AT194" i="29"/>
  <c r="AT191" i="29" s="1"/>
  <c r="AE206" i="29"/>
  <c r="AE197" i="29" s="1"/>
  <c r="AH228" i="28"/>
  <c r="AG226" i="28"/>
  <c r="AH226" i="28" s="1"/>
  <c r="D310" i="29" a="1"/>
  <c r="D310" i="29" s="1"/>
  <c r="AB309" i="29"/>
  <c r="V81" i="31" a="1"/>
  <c r="V81" i="31" s="1"/>
  <c r="AB81" i="31" a="1"/>
  <c r="AB81" i="31" s="1"/>
  <c r="AT206" i="29"/>
  <c r="AT197" i="29" s="1"/>
  <c r="AT172" i="29" s="1"/>
  <c r="AL290" i="28"/>
  <c r="AI288" i="28"/>
  <c r="AH290" i="28"/>
  <c r="AG288" i="28"/>
  <c r="AH325" i="28"/>
  <c r="AL149" i="28"/>
  <c r="AI148" i="28"/>
  <c r="AH63" i="28"/>
  <c r="AG61" i="28"/>
  <c r="AH233" i="28"/>
  <c r="AG231" i="28"/>
  <c r="AB597" i="30"/>
  <c r="D598" i="30" a="1"/>
  <c r="D598" i="30" s="1"/>
  <c r="K76" i="26"/>
  <c r="F77" i="26" a="1"/>
  <c r="F77" i="26" s="1"/>
  <c r="K77" i="26" s="1"/>
  <c r="AH60" i="28"/>
  <c r="AF482" i="29"/>
  <c r="AF479" i="29" s="1"/>
  <c r="AF316" i="28"/>
  <c r="AJ467" i="29"/>
  <c r="AJ462" i="29" s="1"/>
  <c r="AH483" i="29"/>
  <c r="AG482" i="29"/>
  <c r="AF323" i="29"/>
  <c r="AF318" i="29" s="1"/>
  <c r="AH468" i="29"/>
  <c r="AG467" i="29"/>
  <c r="AI27" i="20"/>
  <c r="AF467" i="29"/>
  <c r="AF462" i="29" s="1"/>
  <c r="BD339" i="29"/>
  <c r="AI338" i="29"/>
  <c r="BD63" i="29"/>
  <c r="AI62" i="29"/>
  <c r="AH208" i="29"/>
  <c r="AH145" i="28"/>
  <c r="AI214" i="28"/>
  <c r="AL214" i="28" s="1"/>
  <c r="AL215" i="28"/>
  <c r="AH496" i="29"/>
  <c r="AF350" i="29"/>
  <c r="AF341" i="29" s="1"/>
  <c r="AG62" i="29"/>
  <c r="AH63" i="29"/>
  <c r="AJ206" i="29"/>
  <c r="AJ197" i="29" s="1"/>
  <c r="AL130" i="28"/>
  <c r="AI129" i="28"/>
  <c r="AL129" i="28" s="1"/>
  <c r="AK299" i="28"/>
  <c r="AE214" i="28"/>
  <c r="AI58" i="28"/>
  <c r="AB165" i="30"/>
  <c r="D166" i="30" a="1"/>
  <c r="D166" i="30" s="1"/>
  <c r="F509" i="29" a="1"/>
  <c r="F509" i="29" s="1"/>
  <c r="T508" i="29"/>
  <c r="AL35" i="28"/>
  <c r="AI33" i="28"/>
  <c r="AH120" i="28"/>
  <c r="AG118" i="28"/>
  <c r="AH123" i="28"/>
  <c r="AH205" i="28"/>
  <c r="AG203" i="28"/>
  <c r="AH206" i="28"/>
  <c r="AH297" i="28"/>
  <c r="AH41" i="28"/>
  <c r="AH40" i="28"/>
  <c r="AH209" i="28"/>
  <c r="AH39" i="28"/>
  <c r="AG313" i="28"/>
  <c r="AH314" i="28"/>
  <c r="AL143" i="28"/>
  <c r="BA368" i="30"/>
  <c r="AW368" i="30"/>
  <c r="AS368" i="30"/>
  <c r="AO368" i="30"/>
  <c r="AK368" i="30"/>
  <c r="AG368" i="30"/>
  <c r="AZ368" i="30"/>
  <c r="AV368" i="30"/>
  <c r="AR368" i="30"/>
  <c r="AN368" i="30"/>
  <c r="AJ368" i="30"/>
  <c r="AF368" i="30"/>
  <c r="F369" i="30" a="1"/>
  <c r="F369" i="30" s="1"/>
  <c r="BC368" i="30"/>
  <c r="AY368" i="30"/>
  <c r="AU368" i="30"/>
  <c r="AQ368" i="30"/>
  <c r="AM368" i="30"/>
  <c r="AI368" i="30"/>
  <c r="AE368" i="30"/>
  <c r="BB368" i="30"/>
  <c r="AL368" i="30"/>
  <c r="AX368" i="30"/>
  <c r="AT368" i="30"/>
  <c r="AP368" i="30"/>
  <c r="AP57" i="24"/>
  <c r="AO58" i="24"/>
  <c r="BC512" i="30"/>
  <c r="AY512" i="30"/>
  <c r="AU512" i="30"/>
  <c r="AQ512" i="30"/>
  <c r="AM512" i="30"/>
  <c r="AI512" i="30"/>
  <c r="AE512" i="30"/>
  <c r="BA512" i="30"/>
  <c r="AV512" i="30"/>
  <c r="AP512" i="30"/>
  <c r="AK512" i="30"/>
  <c r="AF512" i="30"/>
  <c r="F513" i="30" a="1"/>
  <c r="F513" i="30" s="1"/>
  <c r="AZ512" i="30"/>
  <c r="AT512" i="30"/>
  <c r="AO512" i="30"/>
  <c r="AJ512" i="30"/>
  <c r="BO512" i="30"/>
  <c r="AX512" i="30"/>
  <c r="AS512" i="30"/>
  <c r="AN512" i="30"/>
  <c r="AL512" i="30"/>
  <c r="BB512" i="30"/>
  <c r="AG512" i="30"/>
  <c r="AW512" i="30"/>
  <c r="AR512" i="30"/>
  <c r="BD195" i="29"/>
  <c r="AI194" i="29"/>
  <c r="AI50" i="29"/>
  <c r="BD51" i="29"/>
  <c r="AI299" i="28"/>
  <c r="AL299" i="28" s="1"/>
  <c r="AL300" i="28"/>
  <c r="AQ28" i="30"/>
  <c r="D166" i="29" a="1"/>
  <c r="D166" i="29" s="1"/>
  <c r="AB165" i="29"/>
  <c r="D454" i="30" a="1"/>
  <c r="D454" i="30" s="1"/>
  <c r="AB453" i="30"/>
  <c r="F365" i="29" a="1"/>
  <c r="F365" i="29" s="1"/>
  <c r="T364" i="29"/>
  <c r="AI482" i="29"/>
  <c r="BD483" i="29"/>
  <c r="AJ241" i="28"/>
  <c r="AF241" i="28"/>
  <c r="AG241" i="28"/>
  <c r="AK241" i="28"/>
  <c r="AE241" i="28"/>
  <c r="F242" i="28" a="1"/>
  <c r="F242" i="28" s="1"/>
  <c r="AI241" i="28"/>
  <c r="AL241" i="28" s="1"/>
  <c r="AN241" i="28"/>
  <c r="AP33" i="24"/>
  <c r="AO34" i="24"/>
  <c r="AJ71" i="28"/>
  <c r="AF71" i="28"/>
  <c r="AN71" i="28"/>
  <c r="AI71" i="28"/>
  <c r="AL71" i="28" s="1"/>
  <c r="AE71" i="28"/>
  <c r="AK71" i="28"/>
  <c r="F72" i="28" a="1"/>
  <c r="F72" i="28" s="1"/>
  <c r="AG71" i="28"/>
  <c r="AL233" i="28"/>
  <c r="AI231" i="28"/>
  <c r="AL231" i="28" s="1"/>
  <c r="AH148" i="28"/>
  <c r="AG146" i="28"/>
  <c r="T76" i="30"/>
  <c r="F77" i="30" a="1"/>
  <c r="F77" i="30" s="1"/>
  <c r="AH180" i="29"/>
  <c r="AG179" i="29"/>
  <c r="AH181" i="29"/>
  <c r="AI65" i="20"/>
  <c r="AF84" i="20"/>
  <c r="AF231" i="28"/>
  <c r="AF65" i="20"/>
  <c r="AF35" i="29"/>
  <c r="AF30" i="29" s="1"/>
  <c r="AE50" i="29"/>
  <c r="AE47" i="29" s="1"/>
  <c r="AH52" i="29"/>
  <c r="AH196" i="29"/>
  <c r="AH340" i="29"/>
  <c r="AI84" i="20"/>
  <c r="AT467" i="29"/>
  <c r="AT462" i="29" s="1"/>
  <c r="AK129" i="28"/>
  <c r="AH65" i="20"/>
  <c r="AE194" i="29"/>
  <c r="AE191" i="29" s="1"/>
  <c r="AE172" i="29" s="1"/>
  <c r="AI31" i="21"/>
  <c r="AI27" i="21" s="1"/>
  <c r="AJ73" i="29" s="1"/>
  <c r="AH230" i="28"/>
  <c r="AT482" i="29"/>
  <c r="AT479" i="29" s="1"/>
  <c r="AE482" i="29"/>
  <c r="AE479" i="29" s="1"/>
  <c r="BD36" i="29"/>
  <c r="AI35" i="29"/>
  <c r="AH495" i="29"/>
  <c r="AG494" i="29"/>
  <c r="AE494" i="29"/>
  <c r="AE485" i="29" s="1"/>
  <c r="AH352" i="29"/>
  <c r="AE44" i="28"/>
  <c r="AE28" i="28" s="1"/>
  <c r="AF494" i="29"/>
  <c r="AF485" i="29" s="1"/>
  <c r="AH46" i="28"/>
  <c r="AJ299" i="28"/>
  <c r="AJ494" i="29"/>
  <c r="AJ485" i="29" s="1"/>
  <c r="AJ350" i="29"/>
  <c r="AJ341" i="29" s="1"/>
  <c r="AF44" i="28"/>
  <c r="AJ214" i="28"/>
  <c r="AH45" i="28"/>
  <c r="AG44" i="28"/>
  <c r="BO196" i="30"/>
  <c r="BO181" i="29"/>
  <c r="AN149" i="28"/>
  <c r="AN234" i="28"/>
  <c r="BO340" i="30"/>
  <c r="BO324" i="30"/>
  <c r="AN301" i="28"/>
  <c r="AN319" i="28"/>
  <c r="AN150" i="28"/>
  <c r="BO483" i="29"/>
  <c r="BO340" i="29"/>
  <c r="BO339" i="29"/>
  <c r="BO195" i="29"/>
  <c r="AN320" i="28"/>
  <c r="BO469" i="29"/>
  <c r="BO181" i="30"/>
  <c r="BO325" i="30"/>
  <c r="BO207" i="29"/>
  <c r="AN229" i="28"/>
  <c r="BO484" i="29"/>
  <c r="BO180" i="30"/>
  <c r="BO496" i="29"/>
  <c r="BO180" i="29"/>
  <c r="BO207" i="30"/>
  <c r="AN215" i="28"/>
  <c r="BO352" i="30"/>
  <c r="BO484" i="30"/>
  <c r="BO495" i="29"/>
  <c r="BO195" i="30"/>
  <c r="BO208" i="30"/>
  <c r="BO469" i="30"/>
  <c r="AN216" i="28"/>
  <c r="AN230" i="28"/>
  <c r="BO468" i="29"/>
  <c r="BO495" i="30"/>
  <c r="AN145" i="28"/>
  <c r="BO351" i="29"/>
  <c r="BO325" i="29"/>
  <c r="BO351" i="30"/>
  <c r="BO196" i="29"/>
  <c r="AN144" i="28"/>
  <c r="BO324" i="29"/>
  <c r="BO352" i="29"/>
  <c r="BO483" i="30"/>
  <c r="AN314" i="28"/>
  <c r="AN315" i="28"/>
  <c r="AN130" i="28"/>
  <c r="BO468" i="30"/>
  <c r="AN300" i="28"/>
  <c r="AN131" i="28"/>
  <c r="BO339" i="30"/>
  <c r="BO496" i="30"/>
  <c r="AN235" i="28"/>
  <c r="BO208" i="29"/>
  <c r="AP49" i="24"/>
  <c r="AO50" i="24"/>
  <c r="AL120" i="28"/>
  <c r="AI118" i="28"/>
  <c r="AF33" i="28"/>
  <c r="AF203" i="28"/>
  <c r="AF198" i="28" s="1"/>
  <c r="AK203" i="28"/>
  <c r="AE288" i="28"/>
  <c r="AH207" i="28"/>
  <c r="AL211" i="28"/>
  <c r="AH42" i="28"/>
  <c r="D598" i="29" a="1"/>
  <c r="D598" i="29" s="1"/>
  <c r="AB597" i="29"/>
  <c r="AI179" i="29"/>
  <c r="BD180" i="29"/>
  <c r="AH469" i="29"/>
  <c r="BD495" i="29"/>
  <c r="AI494" i="29"/>
  <c r="AH207" i="29"/>
  <c r="AG206" i="29"/>
  <c r="AG299" i="28"/>
  <c r="AH299" i="28" s="1"/>
  <c r="AH300" i="28"/>
  <c r="AG129" i="28"/>
  <c r="AH129" i="28" s="1"/>
  <c r="AH130" i="28"/>
  <c r="AK156" i="28"/>
  <c r="AF156" i="28"/>
  <c r="F157" i="28" a="1"/>
  <c r="F157" i="28" s="1"/>
  <c r="AJ156" i="28"/>
  <c r="AE156" i="28"/>
  <c r="AG156" i="28"/>
  <c r="AN156" i="28"/>
  <c r="AI156" i="28"/>
  <c r="AL156" i="28" s="1"/>
  <c r="AH35" i="28"/>
  <c r="AG33" i="28"/>
  <c r="BK28" i="30"/>
  <c r="BA28" i="30"/>
  <c r="T220" i="29"/>
  <c r="F221" i="29" a="1"/>
  <c r="F221" i="29" s="1"/>
  <c r="AB132" i="31" a="1"/>
  <c r="AB132" i="31" s="1"/>
  <c r="V132" i="31" a="1"/>
  <c r="V132" i="31" s="1"/>
  <c r="F327" i="28" a="1"/>
  <c r="F327" i="28" s="1"/>
  <c r="AK326" i="28"/>
  <c r="AG326" i="28"/>
  <c r="AF326" i="28"/>
  <c r="AN326" i="28"/>
  <c r="AE326" i="28"/>
  <c r="AJ326" i="28"/>
  <c r="AI326" i="28"/>
  <c r="AL326" i="28" s="1"/>
  <c r="AL63" i="28"/>
  <c r="AI61" i="28"/>
  <c r="AL61" i="28" s="1"/>
  <c r="AB453" i="29"/>
  <c r="D454" i="29" a="1"/>
  <c r="D454" i="29" s="1"/>
  <c r="V183" i="31" a="1"/>
  <c r="V183" i="31" s="1"/>
  <c r="AB183" i="31" a="1"/>
  <c r="AB183" i="31" s="1"/>
  <c r="AL318" i="28"/>
  <c r="AI316" i="28"/>
  <c r="AL316" i="28" s="1"/>
  <c r="AI313" i="28"/>
  <c r="AP41" i="24"/>
  <c r="AO42" i="24"/>
  <c r="AG318" i="28"/>
  <c r="AH319" i="28"/>
  <c r="AF179" i="29"/>
  <c r="AF174" i="29" s="1"/>
  <c r="AG323" i="29"/>
  <c r="AH324" i="29"/>
  <c r="AH51" i="29"/>
  <c r="AG50" i="29"/>
  <c r="AE27" i="20"/>
  <c r="AE316" i="28"/>
  <c r="AF143" i="28"/>
  <c r="AF141" i="28" s="1"/>
  <c r="AI323" i="29"/>
  <c r="BD324" i="29"/>
  <c r="AH84" i="20"/>
  <c r="AJ323" i="29"/>
  <c r="AJ318" i="29" s="1"/>
  <c r="AF338" i="29"/>
  <c r="AF335" i="29" s="1"/>
  <c r="AF31" i="21"/>
  <c r="AF27" i="21" s="1"/>
  <c r="AF73" i="29" s="1"/>
  <c r="AH484" i="29"/>
  <c r="AI46" i="20"/>
  <c r="AG194" i="29"/>
  <c r="AH195" i="29"/>
  <c r="AG35" i="29"/>
  <c r="AH36" i="29"/>
  <c r="AJ84" i="20"/>
  <c r="BD468" i="29"/>
  <c r="AI467" i="29"/>
  <c r="AG338" i="29"/>
  <c r="AH339" i="29"/>
  <c r="AF50" i="29"/>
  <c r="AF47" i="29" s="1"/>
  <c r="AH27" i="20"/>
  <c r="AH351" i="29"/>
  <c r="AG350" i="29"/>
  <c r="AF206" i="29"/>
  <c r="AF197" i="29" s="1"/>
  <c r="AG143" i="28"/>
  <c r="AH144" i="28"/>
  <c r="AE350" i="29"/>
  <c r="AE341" i="29" s="1"/>
  <c r="AI350" i="29"/>
  <c r="BD351" i="29"/>
  <c r="AE299" i="28"/>
  <c r="AT350" i="29"/>
  <c r="AT341" i="29" s="1"/>
  <c r="AI206" i="29"/>
  <c r="BD207" i="29"/>
  <c r="AH301" i="28"/>
  <c r="AI44" i="28"/>
  <c r="AL44" i="28" s="1"/>
  <c r="AL45" i="28"/>
  <c r="AH37" i="29"/>
  <c r="AJ129" i="28"/>
  <c r="AH215" i="28"/>
  <c r="AG214" i="28"/>
  <c r="AH214" i="28" s="1"/>
  <c r="AJ146" i="28"/>
  <c r="AF146" i="28"/>
  <c r="AH155" i="28"/>
  <c r="F225" i="30" a="1"/>
  <c r="F225" i="30" s="1"/>
  <c r="AZ224" i="30"/>
  <c r="AV224" i="30"/>
  <c r="AR224" i="30"/>
  <c r="AN224" i="30"/>
  <c r="AJ224" i="30"/>
  <c r="AF224" i="30"/>
  <c r="BC224" i="30"/>
  <c r="AY224" i="30"/>
  <c r="AU224" i="30"/>
  <c r="AQ224" i="30"/>
  <c r="AM224" i="30"/>
  <c r="AI224" i="30"/>
  <c r="AE224" i="30"/>
  <c r="BO224" i="30"/>
  <c r="BB224" i="30"/>
  <c r="AX224" i="30"/>
  <c r="AT224" i="30"/>
  <c r="AP224" i="30"/>
  <c r="AL224" i="30"/>
  <c r="AW224" i="30"/>
  <c r="AG224" i="30"/>
  <c r="AO224" i="30"/>
  <c r="BA224" i="30"/>
  <c r="AK224" i="30"/>
  <c r="AS224" i="30"/>
  <c r="AB309" i="30"/>
  <c r="D310" i="30" a="1"/>
  <c r="D310" i="30" s="1"/>
  <c r="AJ33" i="28"/>
  <c r="AJ28" i="28" s="1"/>
  <c r="AF118" i="28"/>
  <c r="AF113" i="28" s="1"/>
  <c r="AL205" i="28"/>
  <c r="AI203" i="28"/>
  <c r="AJ118" i="28"/>
  <c r="AK288" i="28"/>
  <c r="AF288" i="28"/>
  <c r="AF283" i="28" s="1"/>
  <c r="AK118" i="28"/>
  <c r="AJ288" i="28"/>
  <c r="AH127" i="28"/>
  <c r="AH211" i="28"/>
  <c r="AH210" i="28"/>
  <c r="AH294" i="28"/>
  <c r="AH37" i="28"/>
  <c r="AE118" i="28"/>
  <c r="AH293" i="28"/>
  <c r="F77" i="29" a="1"/>
  <c r="F77" i="29" s="1"/>
  <c r="T76" i="29"/>
  <c r="AE113" i="28" l="1"/>
  <c r="AJ198" i="28"/>
  <c r="AH73" i="29"/>
  <c r="AJ113" i="28"/>
  <c r="AH58" i="28"/>
  <c r="AE316" i="29"/>
  <c r="AI226" i="28"/>
  <c r="AL226" i="28" s="1"/>
  <c r="AG56" i="28"/>
  <c r="AH56" i="28" s="1"/>
  <c r="AK198" i="28"/>
  <c r="AJ28" i="29"/>
  <c r="AK28" i="29" s="1"/>
  <c r="AT316" i="29"/>
  <c r="BE316" i="29" s="1"/>
  <c r="AK283" i="28"/>
  <c r="AT28" i="29"/>
  <c r="BE28" i="29" s="1"/>
  <c r="AH156" i="28"/>
  <c r="AJ283" i="28"/>
  <c r="AE28" i="29"/>
  <c r="AJ316" i="29"/>
  <c r="AE198" i="28"/>
  <c r="AE460" i="29"/>
  <c r="AK28" i="28"/>
  <c r="AH61" i="28"/>
  <c r="AH71" i="28"/>
  <c r="AJ172" i="29"/>
  <c r="AK172" i="29" s="1"/>
  <c r="AH241" i="28"/>
  <c r="AH146" i="28"/>
  <c r="AH231" i="28"/>
  <c r="AF28" i="28"/>
  <c r="AF28" i="29"/>
  <c r="AF460" i="29"/>
  <c r="AF316" i="29"/>
  <c r="AE283" i="28"/>
  <c r="AU172" i="29"/>
  <c r="BE172" i="29"/>
  <c r="BK224" i="30"/>
  <c r="AL313" i="28"/>
  <c r="AI311" i="28"/>
  <c r="AL311" i="28" s="1"/>
  <c r="T221" i="29"/>
  <c r="F222" i="29" a="1"/>
  <c r="F222" i="29" s="1"/>
  <c r="BE224" i="30"/>
  <c r="BF224" i="30"/>
  <c r="AH35" i="29"/>
  <c r="AG30" i="29"/>
  <c r="F328" i="28" a="1"/>
  <c r="F328" i="28" s="1"/>
  <c r="AK327" i="28"/>
  <c r="AG327" i="28"/>
  <c r="AJ327" i="28"/>
  <c r="AF327" i="28"/>
  <c r="AI327" i="28"/>
  <c r="AL327" i="28" s="1"/>
  <c r="AN327" i="28"/>
  <c r="AE327" i="28"/>
  <c r="BB28" i="30"/>
  <c r="BL28" i="30"/>
  <c r="BD512" i="30"/>
  <c r="BM368" i="30"/>
  <c r="BO369" i="30"/>
  <c r="BB369" i="30"/>
  <c r="BM369" i="30" s="1"/>
  <c r="AX369" i="30"/>
  <c r="BI369" i="30" s="1"/>
  <c r="AT369" i="30"/>
  <c r="BE369" i="30" s="1"/>
  <c r="AP369" i="30"/>
  <c r="AL369" i="30"/>
  <c r="BA369" i="30"/>
  <c r="BL369" i="30" s="1"/>
  <c r="AW369" i="30"/>
  <c r="BH369" i="30" s="1"/>
  <c r="AS369" i="30"/>
  <c r="AO369" i="30"/>
  <c r="AK369" i="30"/>
  <c r="AG369" i="30"/>
  <c r="F370" i="30" a="1"/>
  <c r="F370" i="30" s="1"/>
  <c r="AZ369" i="30"/>
  <c r="BK369" i="30" s="1"/>
  <c r="AV369" i="30"/>
  <c r="BG369" i="30" s="1"/>
  <c r="AR369" i="30"/>
  <c r="AN369" i="30"/>
  <c r="AJ369" i="30"/>
  <c r="AF369" i="30"/>
  <c r="AU369" i="30"/>
  <c r="BF369" i="30" s="1"/>
  <c r="AE369" i="30"/>
  <c r="AQ369" i="30"/>
  <c r="BC369" i="30"/>
  <c r="AM369" i="30"/>
  <c r="AY369" i="30"/>
  <c r="BJ369" i="30" s="1"/>
  <c r="AI369" i="30"/>
  <c r="BD369" i="30" s="1"/>
  <c r="BL368" i="30"/>
  <c r="AH313" i="28"/>
  <c r="AG311" i="28"/>
  <c r="AH311" i="28" s="1"/>
  <c r="AJ460" i="29"/>
  <c r="BH224" i="30"/>
  <c r="AH318" i="28"/>
  <c r="AG316" i="28"/>
  <c r="AH316" i="28" s="1"/>
  <c r="AB454" i="29"/>
  <c r="D455" i="29"/>
  <c r="BC513" i="30"/>
  <c r="AY513" i="30"/>
  <c r="BJ513" i="30" s="1"/>
  <c r="AU513" i="30"/>
  <c r="BF513" i="30" s="1"/>
  <c r="AQ513" i="30"/>
  <c r="AM513" i="30"/>
  <c r="AI513" i="30"/>
  <c r="BD513" i="30" s="1"/>
  <c r="AE513" i="30"/>
  <c r="BO513" i="30"/>
  <c r="AX513" i="30"/>
  <c r="BI513" i="30" s="1"/>
  <c r="AS513" i="30"/>
  <c r="AN513" i="30"/>
  <c r="BB513" i="30"/>
  <c r="BM513" i="30" s="1"/>
  <c r="AW513" i="30"/>
  <c r="BH513" i="30" s="1"/>
  <c r="AR513" i="30"/>
  <c r="AL513" i="30"/>
  <c r="AG513" i="30"/>
  <c r="BA513" i="30"/>
  <c r="BL513" i="30" s="1"/>
  <c r="AV513" i="30"/>
  <c r="BG513" i="30" s="1"/>
  <c r="AP513" i="30"/>
  <c r="AK513" i="30"/>
  <c r="AF513" i="30"/>
  <c r="AO513" i="30"/>
  <c r="AJ513" i="30"/>
  <c r="AZ513" i="30"/>
  <c r="BK513" i="30" s="1"/>
  <c r="F514" i="30" a="1"/>
  <c r="F514" i="30" s="1"/>
  <c r="AT513" i="30"/>
  <c r="BE513" i="30" s="1"/>
  <c r="BG368" i="30"/>
  <c r="AL33" i="28"/>
  <c r="AI28" i="28"/>
  <c r="AB166" i="30"/>
  <c r="D167" i="30"/>
  <c r="BD62" i="29"/>
  <c r="AI53" i="29"/>
  <c r="BD53" i="29" s="1"/>
  <c r="AL148" i="28"/>
  <c r="AI146" i="28"/>
  <c r="AL146" i="28" s="1"/>
  <c r="D311" i="29"/>
  <c r="AB310" i="29"/>
  <c r="AH224" i="30"/>
  <c r="F158" i="28" a="1"/>
  <c r="F158" i="28" s="1"/>
  <c r="AK157" i="28"/>
  <c r="AG157" i="28"/>
  <c r="AI157" i="28"/>
  <c r="AL157" i="28" s="1"/>
  <c r="AN157" i="28"/>
  <c r="AE157" i="28"/>
  <c r="AJ157" i="28"/>
  <c r="AF157" i="28"/>
  <c r="BD179" i="29"/>
  <c r="AI174" i="29"/>
  <c r="AI479" i="29"/>
  <c r="BD479" i="29" s="1"/>
  <c r="BD482" i="29"/>
  <c r="AB454" i="30"/>
  <c r="D455" i="30"/>
  <c r="AR28" i="30"/>
  <c r="T509" i="29"/>
  <c r="F510" i="29" a="1"/>
  <c r="F510" i="29" s="1"/>
  <c r="F78" i="29" a="1"/>
  <c r="F78" i="29" s="1"/>
  <c r="T77" i="29"/>
  <c r="BD224" i="30"/>
  <c r="BJ224"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AO225" i="30"/>
  <c r="AW225" i="30"/>
  <c r="BH225" i="30" s="1"/>
  <c r="AG225" i="30"/>
  <c r="AS225" i="30"/>
  <c r="BA225" i="30"/>
  <c r="BL225" i="30" s="1"/>
  <c r="AK225" i="30"/>
  <c r="BD206" i="29"/>
  <c r="AI197" i="29"/>
  <c r="BD197" i="29" s="1"/>
  <c r="BD350" i="29"/>
  <c r="AI341" i="29"/>
  <c r="BD341" i="29" s="1"/>
  <c r="AH206" i="29"/>
  <c r="AG197" i="29"/>
  <c r="AH197" i="29" s="1"/>
  <c r="AL118" i="28"/>
  <c r="AI113" i="28"/>
  <c r="AI30" i="29"/>
  <c r="BD35" i="29"/>
  <c r="AG174" i="29"/>
  <c r="AH179" i="29"/>
  <c r="AN242" i="28"/>
  <c r="AI242" i="28"/>
  <c r="AL242" i="28" s="1"/>
  <c r="AE242" i="28"/>
  <c r="F243" i="28" a="1"/>
  <c r="F243" i="28" s="1"/>
  <c r="AJ242" i="28"/>
  <c r="AG242" i="28"/>
  <c r="AK242" i="28"/>
  <c r="AF242" i="28"/>
  <c r="BH512" i="30"/>
  <c r="BG512" i="30"/>
  <c r="BE368" i="30"/>
  <c r="BF368" i="30"/>
  <c r="AK113" i="28"/>
  <c r="AL203" i="28"/>
  <c r="AI198" i="28"/>
  <c r="AB310" i="30"/>
  <c r="D311" i="30"/>
  <c r="BL224" i="30"/>
  <c r="BM224" i="30"/>
  <c r="AH350" i="29"/>
  <c r="AG341" i="29"/>
  <c r="AH341" i="29" s="1"/>
  <c r="AG191" i="29"/>
  <c r="AH191" i="29" s="1"/>
  <c r="AH194" i="29"/>
  <c r="AG318" i="29"/>
  <c r="AH323" i="29"/>
  <c r="AH326" i="28"/>
  <c r="AB134" i="32" a="1"/>
  <c r="AB134" i="32" s="1"/>
  <c r="V134" i="32" a="1"/>
  <c r="V134" i="32" s="1"/>
  <c r="AT460" i="29"/>
  <c r="AN72" i="28"/>
  <c r="AI72" i="28"/>
  <c r="AL72" i="28" s="1"/>
  <c r="AE72" i="28"/>
  <c r="F73" i="28" a="1"/>
  <c r="F73" i="28" s="1"/>
  <c r="AG72" i="28"/>
  <c r="AF72" i="28"/>
  <c r="AK72" i="28"/>
  <c r="AJ72" i="28"/>
  <c r="AQ33" i="24"/>
  <c r="AP34" i="24"/>
  <c r="T365" i="29"/>
  <c r="F366" i="29" a="1"/>
  <c r="F366" i="29" s="1"/>
  <c r="D167" i="29"/>
  <c r="AB166" i="29"/>
  <c r="AI191" i="29"/>
  <c r="BD191" i="29" s="1"/>
  <c r="BD194" i="29"/>
  <c r="AH512" i="30"/>
  <c r="BL512" i="30"/>
  <c r="BI368" i="30"/>
  <c r="BD368" i="30"/>
  <c r="BJ368" i="30"/>
  <c r="BK368" i="30"/>
  <c r="AH62" i="29"/>
  <c r="AG53" i="29"/>
  <c r="AH53" i="29" s="1"/>
  <c r="AG479" i="29"/>
  <c r="AH479" i="29" s="1"/>
  <c r="AH482" i="29"/>
  <c r="AB81" i="32" a="1"/>
  <c r="AB81" i="32" s="1"/>
  <c r="V81" i="32" a="1"/>
  <c r="V81" i="32" s="1"/>
  <c r="AG141" i="28"/>
  <c r="AH141" i="28" s="1"/>
  <c r="AH143" i="28"/>
  <c r="BD467" i="29"/>
  <c r="AI462" i="29"/>
  <c r="AQ49" i="24"/>
  <c r="AP50" i="24"/>
  <c r="BK512" i="30"/>
  <c r="BJ512" i="30"/>
  <c r="AH288" i="28"/>
  <c r="AG283" i="28"/>
  <c r="BI224" i="30"/>
  <c r="AI47" i="29"/>
  <c r="BD47" i="29" s="1"/>
  <c r="BD50" i="29"/>
  <c r="BG224" i="30"/>
  <c r="AH338" i="29"/>
  <c r="AG335" i="29"/>
  <c r="AH335" i="29" s="1"/>
  <c r="AK316" i="29"/>
  <c r="BD323" i="29"/>
  <c r="AI318" i="29"/>
  <c r="AH50" i="29"/>
  <c r="AG47" i="29"/>
  <c r="AH47" i="29" s="1"/>
  <c r="AF172" i="29"/>
  <c r="AQ41" i="24"/>
  <c r="AP42" i="24"/>
  <c r="AB187" i="32" a="1"/>
  <c r="AB187" i="32" s="1"/>
  <c r="V187" i="32" a="1"/>
  <c r="V187" i="32" s="1"/>
  <c r="AH33" i="28"/>
  <c r="AG28" i="28"/>
  <c r="BD494" i="29"/>
  <c r="AI485" i="29"/>
  <c r="BD485" i="29" s="1"/>
  <c r="AB598" i="29"/>
  <c r="D599" i="29"/>
  <c r="AH44" i="28"/>
  <c r="AH494" i="29"/>
  <c r="AG485" i="29"/>
  <c r="AH485"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BM512" i="30"/>
  <c r="BI512" i="30"/>
  <c r="BE512" i="30"/>
  <c r="BF512" i="30"/>
  <c r="AQ57" i="24"/>
  <c r="AP58" i="24"/>
  <c r="AH368" i="30"/>
  <c r="BH368" i="30"/>
  <c r="AH203" i="28"/>
  <c r="AG198" i="28"/>
  <c r="AH118" i="28"/>
  <c r="AG113" i="28"/>
  <c r="AL58" i="28"/>
  <c r="AI56" i="28"/>
  <c r="AL56" i="28" s="1"/>
  <c r="BD338" i="29"/>
  <c r="AI335" i="29"/>
  <c r="BD335" i="29" s="1"/>
  <c r="AH467" i="29"/>
  <c r="AG462" i="29"/>
  <c r="AB598" i="30"/>
  <c r="D599" i="30"/>
  <c r="AL288" i="28"/>
  <c r="AI283" i="28"/>
  <c r="AH225" i="30" l="1"/>
  <c r="AU316" i="29"/>
  <c r="AU28" i="29"/>
  <c r="AH242" i="28"/>
  <c r="AH72" i="28"/>
  <c r="V205" i="33" a="1"/>
  <c r="V205" i="33" s="1"/>
  <c r="AB205" i="33" a="1"/>
  <c r="AB205" i="33" s="1"/>
  <c r="AB311" i="30" a="1"/>
  <c r="AB311" i="30" s="1"/>
  <c r="D312" i="30" a="1"/>
  <c r="D312" i="30" s="1"/>
  <c r="AL113" i="28"/>
  <c r="AH157" i="28"/>
  <c r="AL28" i="28"/>
  <c r="BC514" i="30"/>
  <c r="AY514" i="30"/>
  <c r="AU514" i="30"/>
  <c r="AQ514" i="30"/>
  <c r="AM514" i="30"/>
  <c r="AI514" i="30"/>
  <c r="BD514" i="30" s="1"/>
  <c r="AE514" i="30"/>
  <c r="BA514" i="30"/>
  <c r="AV514" i="30"/>
  <c r="AP514" i="30"/>
  <c r="AK514" i="30"/>
  <c r="AF514" i="30"/>
  <c r="F515" i="30" a="1"/>
  <c r="F515" i="30" s="1"/>
  <c r="AZ514" i="30"/>
  <c r="AT514" i="30"/>
  <c r="AO514" i="30"/>
  <c r="AJ514" i="30"/>
  <c r="BO514" i="30"/>
  <c r="AX514" i="30"/>
  <c r="AS514" i="30"/>
  <c r="AN514" i="30"/>
  <c r="AR514" i="30"/>
  <c r="AL514" i="30"/>
  <c r="BB514" i="30"/>
  <c r="AG514" i="30"/>
  <c r="AW514" i="30"/>
  <c r="AK460" i="29"/>
  <c r="BC28" i="30"/>
  <c r="BM28" i="30"/>
  <c r="AJ328" i="28"/>
  <c r="AF328" i="28"/>
  <c r="AN328" i="28"/>
  <c r="AI328" i="28"/>
  <c r="AL328" i="28" s="1"/>
  <c r="AE328" i="28"/>
  <c r="F329" i="28" a="1"/>
  <c r="F329" i="28" s="1"/>
  <c r="AK328" i="28"/>
  <c r="AG328" i="28"/>
  <c r="AR41" i="24"/>
  <c r="AQ42" i="24"/>
  <c r="AI460" i="29"/>
  <c r="BD462" i="29"/>
  <c r="AB116" i="33" a="1"/>
  <c r="AB116" i="33" s="1"/>
  <c r="V116" i="33" a="1"/>
  <c r="V116" i="33" s="1"/>
  <c r="AB599" i="30" a="1"/>
  <c r="AB599" i="30" s="1"/>
  <c r="D600" i="30" a="1"/>
  <c r="D600" i="30" s="1"/>
  <c r="AH113" i="28"/>
  <c r="AR57" i="24"/>
  <c r="AQ58" i="24"/>
  <c r="BO80" i="30"/>
  <c r="BB80" i="30"/>
  <c r="AX80" i="30"/>
  <c r="AT80" i="30"/>
  <c r="AP80" i="30"/>
  <c r="AL80" i="30"/>
  <c r="BA80" i="30"/>
  <c r="AW80" i="30"/>
  <c r="AS80" i="30"/>
  <c r="AO80" i="30"/>
  <c r="AK80" i="30"/>
  <c r="AG80" i="30"/>
  <c r="F81" i="30" a="1"/>
  <c r="F81" i="30" s="1"/>
  <c r="AZ80" i="30"/>
  <c r="AV80" i="30"/>
  <c r="AR80" i="30"/>
  <c r="AN80" i="30"/>
  <c r="AJ80" i="30"/>
  <c r="AF80" i="30"/>
  <c r="AY80" i="30"/>
  <c r="AI80" i="30"/>
  <c r="AU80" i="30"/>
  <c r="AE80" i="30"/>
  <c r="BC80" i="30"/>
  <c r="AQ80" i="30"/>
  <c r="AM80" i="30"/>
  <c r="D600" i="29" a="1"/>
  <c r="D600" i="29" s="1"/>
  <c r="AB599" i="29" a="1"/>
  <c r="AB599" i="29" s="1"/>
  <c r="AH28" i="28"/>
  <c r="AB294" i="33" a="1"/>
  <c r="AB294" i="33" s="1"/>
  <c r="V294" i="33" a="1"/>
  <c r="V294" i="33" s="1"/>
  <c r="AL316" i="29"/>
  <c r="AH283" i="28"/>
  <c r="AR49" i="24"/>
  <c r="AQ50" i="24"/>
  <c r="D168" i="29" a="1"/>
  <c r="D168" i="29" s="1"/>
  <c r="AB167" i="29" a="1"/>
  <c r="AB167" i="29" s="1"/>
  <c r="AR33" i="24"/>
  <c r="AQ34" i="24"/>
  <c r="F244" i="28" a="1"/>
  <c r="F244" i="28" s="1"/>
  <c r="AN243" i="28"/>
  <c r="AG243" i="28"/>
  <c r="AK243" i="28"/>
  <c r="AF243" i="28"/>
  <c r="AJ243" i="28"/>
  <c r="AE243" i="28"/>
  <c r="AI243" i="28"/>
  <c r="AL243" i="28"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B455" i="30" a="1"/>
  <c r="AB455" i="30" s="1"/>
  <c r="D456" i="30" a="1"/>
  <c r="D456" i="30" s="1"/>
  <c r="AI172" i="29"/>
  <c r="BD174" i="29"/>
  <c r="AH513" i="30"/>
  <c r="AH30" i="29"/>
  <c r="AG28"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L172" i="29"/>
  <c r="AL283" i="28"/>
  <c r="AG460" i="29"/>
  <c r="AH462" i="29"/>
  <c r="AH198" i="28"/>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F74" i="28" a="1"/>
  <c r="F74" i="28" s="1"/>
  <c r="AK73" i="28"/>
  <c r="AG73" i="28"/>
  <c r="AJ73" i="28"/>
  <c r="AI73" i="28"/>
  <c r="AL73" i="28" s="1"/>
  <c r="AF73" i="28"/>
  <c r="AN73" i="28"/>
  <c r="AE73" i="28"/>
  <c r="AU460" i="29"/>
  <c r="BE460" i="29"/>
  <c r="AL198" i="28"/>
  <c r="AH174" i="29"/>
  <c r="AG172" i="29"/>
  <c r="F227" i="30" a="1"/>
  <c r="F227" i="30" s="1"/>
  <c r="AZ226" i="30"/>
  <c r="BK226" i="30" s="1"/>
  <c r="AV226" i="30"/>
  <c r="AR226" i="30"/>
  <c r="AN226" i="30"/>
  <c r="AJ226" i="30"/>
  <c r="AF226" i="30"/>
  <c r="BC226" i="30"/>
  <c r="AY226" i="30"/>
  <c r="AU226" i="30"/>
  <c r="BF226" i="30" s="1"/>
  <c r="AQ226" i="30"/>
  <c r="AM226" i="30"/>
  <c r="AI226" i="30"/>
  <c r="BD226" i="30" s="1"/>
  <c r="AE226" i="30"/>
  <c r="BO226" i="30"/>
  <c r="BB226" i="30"/>
  <c r="AX226" i="30"/>
  <c r="AT226" i="30"/>
  <c r="BE226" i="30" s="1"/>
  <c r="AP226" i="30"/>
  <c r="AL226" i="30"/>
  <c r="AW226" i="30"/>
  <c r="BH226" i="30" s="1"/>
  <c r="AG226" i="30"/>
  <c r="AO226" i="30"/>
  <c r="BA226" i="30"/>
  <c r="AK226" i="30"/>
  <c r="AS226" i="30"/>
  <c r="F511" i="29" a="1"/>
  <c r="F511" i="29" s="1"/>
  <c r="F512" i="29" s="1" a="1"/>
  <c r="F512" i="29" s="1"/>
  <c r="T510" i="29"/>
  <c r="T511" i="29" s="1" a="1"/>
  <c r="T511" i="29" s="1"/>
  <c r="T512" i="29" s="1" a="1"/>
  <c r="T512" i="29" s="1"/>
  <c r="T513" i="29" s="1" a="1"/>
  <c r="T513" i="29" s="1"/>
  <c r="T514" i="29" s="1" a="1"/>
  <c r="T514" i="29" s="1"/>
  <c r="T515" i="29" s="1" a="1"/>
  <c r="T515" i="29" s="1"/>
  <c r="T516" i="29" s="1" a="1"/>
  <c r="T516" i="29" s="1"/>
  <c r="T517" i="29" s="1" a="1"/>
  <c r="T517" i="29" s="1"/>
  <c r="T518" i="29" s="1" a="1"/>
  <c r="T518" i="29" s="1"/>
  <c r="T519" i="29" s="1" a="1"/>
  <c r="T519" i="29" s="1"/>
  <c r="T520" i="29" s="1" a="1"/>
  <c r="T520" i="29" s="1"/>
  <c r="T521" i="29" s="1" a="1"/>
  <c r="T521" i="29" s="1"/>
  <c r="T522" i="29" s="1" a="1"/>
  <c r="T522" i="29" s="1"/>
  <c r="T523" i="29" s="1" a="1"/>
  <c r="T523" i="29" s="1"/>
  <c r="T524" i="29" s="1" a="1"/>
  <c r="T524" i="29" s="1"/>
  <c r="T525" i="29" s="1" a="1"/>
  <c r="T525" i="29" s="1"/>
  <c r="T526" i="29" s="1" a="1"/>
  <c r="T526" i="29" s="1"/>
  <c r="T527" i="29" s="1" a="1"/>
  <c r="T527" i="29" s="1"/>
  <c r="T528" i="29" s="1" a="1"/>
  <c r="T528" i="29" s="1"/>
  <c r="T529" i="29" s="1" a="1"/>
  <c r="T529" i="29" s="1"/>
  <c r="T530" i="29" s="1" a="1"/>
  <c r="T530" i="29" s="1"/>
  <c r="T531" i="29" s="1" a="1"/>
  <c r="T531" i="29" s="1"/>
  <c r="T532" i="29" s="1" a="1"/>
  <c r="T532" i="29" s="1"/>
  <c r="T533" i="29" s="1" a="1"/>
  <c r="T533" i="29" s="1"/>
  <c r="T534" i="29" s="1" a="1"/>
  <c r="T534" i="29" s="1"/>
  <c r="T535" i="29" s="1" a="1"/>
  <c r="T535" i="29" s="1"/>
  <c r="T536" i="29" s="1" a="1"/>
  <c r="T536" i="29" s="1"/>
  <c r="T537" i="29" s="1" a="1"/>
  <c r="T537" i="29" s="1"/>
  <c r="T538" i="29" s="1" a="1"/>
  <c r="T538" i="29" s="1"/>
  <c r="T539" i="29" s="1" a="1"/>
  <c r="T539" i="29" s="1"/>
  <c r="T540" i="29" s="1" a="1"/>
  <c r="T540" i="29" s="1"/>
  <c r="T541" i="29" s="1" a="1"/>
  <c r="T541" i="29" s="1"/>
  <c r="T542" i="29" s="1" a="1"/>
  <c r="T542" i="29" s="1"/>
  <c r="T543" i="29" s="1" a="1"/>
  <c r="T543" i="29" s="1"/>
  <c r="T544" i="29" s="1" a="1"/>
  <c r="T544" i="29" s="1"/>
  <c r="T545" i="29" s="1" a="1"/>
  <c r="T545" i="29" s="1"/>
  <c r="T546" i="29" s="1" a="1"/>
  <c r="T546" i="29" s="1"/>
  <c r="T547" i="29" s="1" a="1"/>
  <c r="T547" i="29" s="1"/>
  <c r="T548" i="29" s="1" a="1"/>
  <c r="T548" i="29" s="1"/>
  <c r="T549" i="29" s="1" a="1"/>
  <c r="T549" i="29" s="1"/>
  <c r="T550" i="29" s="1" a="1"/>
  <c r="T550" i="29" s="1"/>
  <c r="T551" i="29" s="1" a="1"/>
  <c r="T551" i="29" s="1"/>
  <c r="T552" i="29" s="1" a="1"/>
  <c r="T552" i="29" s="1"/>
  <c r="T553" i="29" s="1" a="1"/>
  <c r="T553" i="29" s="1"/>
  <c r="T554" i="29" s="1" a="1"/>
  <c r="T554" i="29" s="1"/>
  <c r="T555" i="29" s="1" a="1"/>
  <c r="T555" i="29" s="1"/>
  <c r="T556" i="29" s="1" a="1"/>
  <c r="T556" i="29" s="1"/>
  <c r="T557" i="29" s="1" a="1"/>
  <c r="T557" i="29" s="1"/>
  <c r="T558" i="29" s="1" a="1"/>
  <c r="T558" i="29" s="1"/>
  <c r="T559" i="29" s="1" a="1"/>
  <c r="T559" i="29" s="1"/>
  <c r="T560" i="29" s="1" a="1"/>
  <c r="T560" i="29" s="1"/>
  <c r="T561" i="29" s="1" a="1"/>
  <c r="T561" i="29" s="1"/>
  <c r="T562" i="29" s="1" a="1"/>
  <c r="T562" i="29" s="1"/>
  <c r="T563" i="29" s="1" a="1"/>
  <c r="T563" i="29" s="1"/>
  <c r="T564" i="29" s="1" a="1"/>
  <c r="T564" i="29" s="1"/>
  <c r="T565" i="29" s="1" a="1"/>
  <c r="T565" i="29" s="1"/>
  <c r="T566" i="29" s="1" a="1"/>
  <c r="T566" i="29" s="1"/>
  <c r="T567" i="29" s="1" a="1"/>
  <c r="T567" i="29" s="1"/>
  <c r="T568" i="29" s="1" a="1"/>
  <c r="T568" i="29" s="1"/>
  <c r="T569" i="29" s="1" a="1"/>
  <c r="T569" i="29" s="1"/>
  <c r="T570" i="29" s="1" a="1"/>
  <c r="T570" i="29" s="1"/>
  <c r="T571" i="29" s="1" a="1"/>
  <c r="T571" i="29" s="1"/>
  <c r="T572" i="29" s="1" a="1"/>
  <c r="T572" i="29" s="1"/>
  <c r="T573" i="29" s="1" a="1"/>
  <c r="T573" i="29" s="1"/>
  <c r="T574" i="29" s="1" a="1"/>
  <c r="T574" i="29" s="1"/>
  <c r="T575" i="29" s="1" a="1"/>
  <c r="T575" i="29" s="1"/>
  <c r="T576" i="29" s="1" a="1"/>
  <c r="T576" i="29" s="1"/>
  <c r="T577" i="29" s="1" a="1"/>
  <c r="T577" i="29" s="1"/>
  <c r="T578" i="29" s="1" a="1"/>
  <c r="T578" i="29" s="1"/>
  <c r="T579" i="29" s="1" a="1"/>
  <c r="T579" i="29" s="1"/>
  <c r="T580" i="29" s="1" a="1"/>
  <c r="T580" i="29" s="1"/>
  <c r="T581" i="29" s="1" a="1"/>
  <c r="T581" i="29" s="1"/>
  <c r="T582" i="29" s="1" a="1"/>
  <c r="T582" i="29" s="1"/>
  <c r="T583" i="29" s="1" a="1"/>
  <c r="T583" i="29" s="1"/>
  <c r="T584" i="29" s="1" a="1"/>
  <c r="T584" i="29" s="1"/>
  <c r="T585" i="29" s="1" a="1"/>
  <c r="T585" i="29" s="1"/>
  <c r="T586" i="29" s="1" a="1"/>
  <c r="T586" i="29" s="1"/>
  <c r="T587" i="29" s="1" a="1"/>
  <c r="T587" i="29" s="1"/>
  <c r="T588" i="29" s="1" a="1"/>
  <c r="T588" i="29" s="1"/>
  <c r="T589" i="29" s="1" a="1"/>
  <c r="T589" i="29" s="1"/>
  <c r="T590" i="29" s="1" a="1"/>
  <c r="T590" i="29" s="1"/>
  <c r="T591" i="29" s="1" a="1"/>
  <c r="T591" i="29" s="1"/>
  <c r="T592" i="29" s="1" a="1"/>
  <c r="T592" i="29" s="1"/>
  <c r="T593" i="29" s="1" a="1"/>
  <c r="T593" i="29" s="1"/>
  <c r="T594" i="29" s="1" a="1"/>
  <c r="T594" i="29" s="1"/>
  <c r="T595" i="29" s="1" a="1"/>
  <c r="T595" i="29" s="1"/>
  <c r="T596" i="29" s="1" a="1"/>
  <c r="T596" i="29" s="1"/>
  <c r="T597" i="29" s="1" a="1"/>
  <c r="T597" i="29" s="1"/>
  <c r="T598" i="29" s="1" a="1"/>
  <c r="T598" i="29" s="1"/>
  <c r="T599" i="29" s="1" a="1"/>
  <c r="T599" i="29" s="1"/>
  <c r="T600" i="29" s="1" a="1"/>
  <c r="T600" i="29" s="1"/>
  <c r="T601" i="29" s="1" a="1"/>
  <c r="T601" i="29" s="1"/>
  <c r="T602" i="29" s="1" a="1"/>
  <c r="T602" i="29" s="1"/>
  <c r="G511" i="29" a="1"/>
  <c r="G511" i="29" s="1"/>
  <c r="AJ158" i="28"/>
  <c r="AF158" i="28"/>
  <c r="F159" i="28" a="1"/>
  <c r="F159" i="28" s="1"/>
  <c r="AG158" i="28"/>
  <c r="AK158" i="28"/>
  <c r="AE158" i="28"/>
  <c r="AN158" i="28"/>
  <c r="AI158" i="28"/>
  <c r="AL158" i="28" s="1"/>
  <c r="AB167" i="30" a="1"/>
  <c r="AB167" i="30" s="1"/>
  <c r="D168" i="30" a="1"/>
  <c r="D168" i="30" s="1"/>
  <c r="BO370" i="30"/>
  <c r="BB370" i="30"/>
  <c r="BM370" i="30" s="1"/>
  <c r="AX370" i="30"/>
  <c r="AT370" i="30"/>
  <c r="AP370" i="30"/>
  <c r="AL370" i="30"/>
  <c r="BA370" i="30"/>
  <c r="AW370" i="30"/>
  <c r="AS370" i="30"/>
  <c r="AO370" i="30"/>
  <c r="AK370" i="30"/>
  <c r="AG370" i="30"/>
  <c r="F371" i="30" a="1"/>
  <c r="F371" i="30" s="1"/>
  <c r="AZ370" i="30"/>
  <c r="AV370" i="30"/>
  <c r="AR370" i="30"/>
  <c r="AN370" i="30"/>
  <c r="AJ370" i="30"/>
  <c r="AF370" i="30"/>
  <c r="BC370" i="30"/>
  <c r="AM370" i="30"/>
  <c r="AY370" i="30"/>
  <c r="AI370" i="30"/>
  <c r="AU370" i="30"/>
  <c r="AE370" i="30"/>
  <c r="AQ370" i="30"/>
  <c r="AH327" i="28"/>
  <c r="AV316" i="29"/>
  <c r="BF316" i="29"/>
  <c r="BD318" i="29"/>
  <c r="AI316" i="29"/>
  <c r="AH318" i="29"/>
  <c r="AG316" i="29"/>
  <c r="AL28" i="29"/>
  <c r="BD30" i="29"/>
  <c r="AI28" i="29"/>
  <c r="AS28" i="30"/>
  <c r="D312" i="29" a="1"/>
  <c r="D312" i="29" s="1"/>
  <c r="AB311" i="29" a="1"/>
  <c r="AB311" i="29" s="1"/>
  <c r="AB455" i="29" a="1"/>
  <c r="AB455" i="29" s="1"/>
  <c r="D456" i="29" a="1"/>
  <c r="D456" i="29" s="1"/>
  <c r="AH369" i="30"/>
  <c r="AV172" i="29"/>
  <c r="BF172" i="29"/>
  <c r="AV28" i="29" l="1"/>
  <c r="BF28" i="29"/>
  <c r="AH243" i="28"/>
  <c r="BC512" i="29"/>
  <c r="AY512" i="29"/>
  <c r="AU512" i="29"/>
  <c r="AQ512" i="29"/>
  <c r="AM512" i="29"/>
  <c r="AI512" i="29"/>
  <c r="AE512" i="29"/>
  <c r="BO512" i="29"/>
  <c r="BB512" i="29"/>
  <c r="AX512" i="29"/>
  <c r="AT512" i="29"/>
  <c r="AP512" i="29"/>
  <c r="AL512" i="29"/>
  <c r="AW512" i="29"/>
  <c r="AO512" i="29"/>
  <c r="AG512" i="29"/>
  <c r="AV512" i="29"/>
  <c r="AN512" i="29"/>
  <c r="AF512" i="29"/>
  <c r="AS512" i="29"/>
  <c r="AR512" i="29"/>
  <c r="BA512" i="29"/>
  <c r="AK512" i="29"/>
  <c r="F513" i="29" a="1"/>
  <c r="F513" i="29" s="1"/>
  <c r="AZ512" i="29"/>
  <c r="AJ512" i="29"/>
  <c r="BD28" i="29"/>
  <c r="AH316" i="29"/>
  <c r="AH370" i="30"/>
  <c r="AB168" i="30"/>
  <c r="D169" i="30" a="1"/>
  <c r="D169" i="30" s="1"/>
  <c r="AS33" i="24"/>
  <c r="AR34" i="24"/>
  <c r="AS49" i="24"/>
  <c r="AR50" i="24"/>
  <c r="BO81" i="30"/>
  <c r="BB81" i="30"/>
  <c r="BM81" i="30" s="1"/>
  <c r="AX81" i="30"/>
  <c r="BI81" i="30" s="1"/>
  <c r="AT81" i="30"/>
  <c r="BE81" i="30" s="1"/>
  <c r="AP81" i="30"/>
  <c r="AL81" i="30"/>
  <c r="BA81" i="30"/>
  <c r="BL81" i="30" s="1"/>
  <c r="AW81" i="30"/>
  <c r="BH81" i="30" s="1"/>
  <c r="AS81" i="30"/>
  <c r="AO81" i="30"/>
  <c r="AK81" i="30"/>
  <c r="AG81" i="30"/>
  <c r="F82" i="30" a="1"/>
  <c r="F82" i="30" s="1"/>
  <c r="AZ81" i="30"/>
  <c r="BK81" i="30" s="1"/>
  <c r="AV81" i="30"/>
  <c r="BG81" i="30" s="1"/>
  <c r="AR81" i="30"/>
  <c r="AN81" i="30"/>
  <c r="AJ81" i="30"/>
  <c r="AF81" i="30"/>
  <c r="AQ81" i="30"/>
  <c r="BC81" i="30"/>
  <c r="AM81" i="30"/>
  <c r="AU81" i="30"/>
  <c r="BF81" i="30" s="1"/>
  <c r="AI81" i="30"/>
  <c r="BD81" i="30" s="1"/>
  <c r="AY81" i="30"/>
  <c r="BJ81" i="30" s="1"/>
  <c r="AE81" i="30"/>
  <c r="AH514" i="30"/>
  <c r="BI370" i="30"/>
  <c r="AH226" i="30"/>
  <c r="F75" i="28" a="1"/>
  <c r="F75" i="28" s="1"/>
  <c r="AJ74" i="28"/>
  <c r="AF74" i="28"/>
  <c r="AI74" i="28"/>
  <c r="AE74" i="28"/>
  <c r="AK74" i="28"/>
  <c r="AG74" i="28"/>
  <c r="AB456" i="30"/>
  <c r="D457" i="30" a="1"/>
  <c r="D457" i="30" s="1"/>
  <c r="BJ80" i="30"/>
  <c r="AH80" i="30"/>
  <c r="BH80" i="30"/>
  <c r="BE80" i="30"/>
  <c r="AB600" i="30"/>
  <c r="D601" i="30" a="1"/>
  <c r="D601" i="30" s="1"/>
  <c r="AL460" i="29"/>
  <c r="BM514" i="30"/>
  <c r="BL514" i="30"/>
  <c r="BH370" i="30"/>
  <c r="F369" i="29" a="1"/>
  <c r="F369" i="29" s="1"/>
  <c r="AZ368" i="29"/>
  <c r="AV368" i="29"/>
  <c r="AR368" i="29"/>
  <c r="AN368" i="29"/>
  <c r="AJ368" i="29"/>
  <c r="AF368" i="29"/>
  <c r="BC368" i="29"/>
  <c r="AY368" i="29"/>
  <c r="AU368" i="29"/>
  <c r="AQ368" i="29"/>
  <c r="AM368" i="29"/>
  <c r="AI368" i="29"/>
  <c r="AE368" i="29"/>
  <c r="BO368" i="29"/>
  <c r="AX368" i="29"/>
  <c r="AP368" i="29"/>
  <c r="AW368" i="29"/>
  <c r="AO368" i="29"/>
  <c r="AG368" i="29"/>
  <c r="AT368" i="29"/>
  <c r="AS368" i="29"/>
  <c r="BB368" i="29"/>
  <c r="AL368" i="29"/>
  <c r="BA368" i="29"/>
  <c r="AK368" i="29"/>
  <c r="BD172" i="29"/>
  <c r="AB46" i="34" a="1"/>
  <c r="AB46" i="34" s="1"/>
  <c r="V46" i="34" a="1"/>
  <c r="V46" i="34" s="1"/>
  <c r="AS41" i="24"/>
  <c r="AR42" i="24"/>
  <c r="AK329" i="28"/>
  <c r="AG329" i="28"/>
  <c r="AE329" i="28"/>
  <c r="AJ329" i="28"/>
  <c r="AI329" i="28"/>
  <c r="F330" i="28" a="1"/>
  <c r="F330" i="28" s="1"/>
  <c r="AF329" i="28"/>
  <c r="BG514" i="30"/>
  <c r="BD370" i="30"/>
  <c r="BG370" i="30"/>
  <c r="BL370" i="30"/>
  <c r="BG172" i="29"/>
  <c r="AW172" i="29"/>
  <c r="AB456" i="29"/>
  <c r="D457" i="29" a="1"/>
  <c r="D457" i="29" s="1"/>
  <c r="AM28" i="29"/>
  <c r="BD316" i="29"/>
  <c r="AW316" i="29"/>
  <c r="BG316" i="29"/>
  <c r="BJ370" i="30"/>
  <c r="BK370" i="30"/>
  <c r="AH158" i="28"/>
  <c r="BI226" i="30"/>
  <c r="BJ226" i="30"/>
  <c r="F228" i="30" a="1"/>
  <c r="F228" i="30" s="1"/>
  <c r="AZ227" i="30"/>
  <c r="AV227" i="30"/>
  <c r="BG227" i="30" s="1"/>
  <c r="AR227" i="30"/>
  <c r="AN227" i="30"/>
  <c r="AJ227" i="30"/>
  <c r="AF227" i="30"/>
  <c r="BC227" i="30"/>
  <c r="AY227" i="30"/>
  <c r="BJ227" i="30" s="1"/>
  <c r="AU227" i="30"/>
  <c r="BF227" i="30" s="1"/>
  <c r="AQ227" i="30"/>
  <c r="AM227" i="30"/>
  <c r="AI227" i="30"/>
  <c r="BD227" i="30" s="1"/>
  <c r="AE227" i="30"/>
  <c r="BO227" i="30"/>
  <c r="BB227" i="30"/>
  <c r="BM227" i="30" s="1"/>
  <c r="AX227" i="30"/>
  <c r="BI227" i="30" s="1"/>
  <c r="AT227" i="30"/>
  <c r="AP227" i="30"/>
  <c r="AL227" i="30"/>
  <c r="AO227" i="30"/>
  <c r="AW227" i="30"/>
  <c r="AG227" i="30"/>
  <c r="AH227" i="30" s="1"/>
  <c r="AS227" i="30"/>
  <c r="BA227" i="30"/>
  <c r="BL227" i="30" s="1"/>
  <c r="AK227" i="30"/>
  <c r="AM172" i="29"/>
  <c r="F225" i="29" a="1"/>
  <c r="F225" i="29" s="1"/>
  <c r="AZ224" i="29"/>
  <c r="AV224" i="29"/>
  <c r="AR224" i="29"/>
  <c r="AN224" i="29"/>
  <c r="AJ224" i="29"/>
  <c r="AF224" i="29"/>
  <c r="BC224" i="29"/>
  <c r="AY224" i="29"/>
  <c r="AU224" i="29"/>
  <c r="AQ224" i="29"/>
  <c r="AM224" i="29"/>
  <c r="AI224" i="29"/>
  <c r="AE224" i="29"/>
  <c r="AW224" i="29"/>
  <c r="AO224" i="29"/>
  <c r="AG224" i="29"/>
  <c r="BB224" i="29"/>
  <c r="AT224" i="29"/>
  <c r="AL224" i="29"/>
  <c r="BA224" i="29"/>
  <c r="AS224" i="29"/>
  <c r="AK224" i="29"/>
  <c r="AX224" i="29"/>
  <c r="AP224" i="29"/>
  <c r="BO224" i="29"/>
  <c r="F245" i="28" a="1"/>
  <c r="F245" i="28" s="1"/>
  <c r="AJ244" i="28"/>
  <c r="AF244" i="28"/>
  <c r="AI244" i="28"/>
  <c r="AG244" i="28"/>
  <c r="AK244" i="28"/>
  <c r="AE244" i="28"/>
  <c r="D169" i="29" a="1"/>
  <c r="D169" i="29" s="1"/>
  <c r="AB168" i="29"/>
  <c r="AB84" i="34" a="1"/>
  <c r="AB84" i="34" s="1"/>
  <c r="V84" i="34" a="1"/>
  <c r="V84" i="34" s="1"/>
  <c r="D601" i="29" a="1"/>
  <c r="D601" i="29" s="1"/>
  <c r="AB600" i="29"/>
  <c r="BG80" i="30"/>
  <c r="BL80" i="30"/>
  <c r="BI80" i="30"/>
  <c r="AS57" i="24"/>
  <c r="AR58" i="24"/>
  <c r="BD460" i="29"/>
  <c r="AH328" i="28"/>
  <c r="BI514" i="30"/>
  <c r="BE514" i="30"/>
  <c r="BF514" i="30"/>
  <c r="V65" i="34" a="1"/>
  <c r="V65" i="34" s="1"/>
  <c r="AB65" i="34" a="1"/>
  <c r="AB65" i="34" s="1"/>
  <c r="BF370" i="30"/>
  <c r="BE370" i="30"/>
  <c r="BG226" i="30"/>
  <c r="BF460" i="29"/>
  <c r="AV460" i="29"/>
  <c r="BD80" i="30"/>
  <c r="BC515" i="30"/>
  <c r="AY515" i="30"/>
  <c r="BJ515" i="30" s="1"/>
  <c r="AU515" i="30"/>
  <c r="BF515" i="30" s="1"/>
  <c r="AQ515" i="30"/>
  <c r="AM515" i="30"/>
  <c r="AI515" i="30"/>
  <c r="AE515" i="30"/>
  <c r="BO515" i="30"/>
  <c r="AX515" i="30"/>
  <c r="BI515" i="30" s="1"/>
  <c r="AS515" i="30"/>
  <c r="AN515" i="30"/>
  <c r="BB515" i="30"/>
  <c r="BM515" i="30" s="1"/>
  <c r="AW515" i="30"/>
  <c r="BH515" i="30" s="1"/>
  <c r="AR515" i="30"/>
  <c r="AL515" i="30"/>
  <c r="AG515" i="30"/>
  <c r="BA515" i="30"/>
  <c r="BL515" i="30" s="1"/>
  <c r="AV515" i="30"/>
  <c r="BG515" i="30" s="1"/>
  <c r="AP515" i="30"/>
  <c r="AK515" i="30"/>
  <c r="AF515" i="30"/>
  <c r="F516" i="30" a="1"/>
  <c r="F516" i="30" s="1"/>
  <c r="AT515" i="30"/>
  <c r="BE515" i="30" s="1"/>
  <c r="AO515" i="30"/>
  <c r="AJ515" i="30"/>
  <c r="AZ515" i="30"/>
  <c r="BK515" i="30" s="1"/>
  <c r="AB312" i="30"/>
  <c r="D313" i="30" a="1"/>
  <c r="D313" i="30" s="1"/>
  <c r="D313" i="29" a="1"/>
  <c r="D313" i="29" s="1"/>
  <c r="AB312" i="29"/>
  <c r="BO371" i="30"/>
  <c r="BB371" i="30"/>
  <c r="AX371" i="30"/>
  <c r="BI371" i="30" s="1"/>
  <c r="AT371" i="30"/>
  <c r="BE371" i="30" s="1"/>
  <c r="AP371" i="30"/>
  <c r="AL371" i="30"/>
  <c r="BA371" i="30"/>
  <c r="BL371" i="30" s="1"/>
  <c r="AW371" i="30"/>
  <c r="BH371" i="30" s="1"/>
  <c r="AS371" i="30"/>
  <c r="AO371" i="30"/>
  <c r="AK371" i="30"/>
  <c r="AG371" i="30"/>
  <c r="F372" i="30" a="1"/>
  <c r="F372" i="30" s="1"/>
  <c r="AZ371" i="30"/>
  <c r="BK371" i="30" s="1"/>
  <c r="AV371" i="30"/>
  <c r="BG371" i="30" s="1"/>
  <c r="AR371" i="30"/>
  <c r="AN371" i="30"/>
  <c r="AJ371" i="30"/>
  <c r="AF371" i="30"/>
  <c r="AU371" i="30"/>
  <c r="BF371" i="30" s="1"/>
  <c r="AE371" i="30"/>
  <c r="AQ371" i="30"/>
  <c r="BC371" i="30"/>
  <c r="AM371" i="30"/>
  <c r="AI371" i="30"/>
  <c r="BD371" i="30" s="1"/>
  <c r="AY371" i="30"/>
  <c r="BJ371" i="30" s="1"/>
  <c r="AG159" i="28"/>
  <c r="AK159" i="28"/>
  <c r="AF159" i="28"/>
  <c r="AI159" i="28"/>
  <c r="AE159" i="28"/>
  <c r="F160" i="28" a="1"/>
  <c r="F160" i="28" s="1"/>
  <c r="AJ159" i="28"/>
  <c r="BL226" i="30"/>
  <c r="BM226" i="30"/>
  <c r="AH172" i="29"/>
  <c r="AH73" i="28"/>
  <c r="AH460" i="29"/>
  <c r="AH28" i="29"/>
  <c r="BO80" i="29"/>
  <c r="BB80" i="29"/>
  <c r="AX80" i="29"/>
  <c r="AT80" i="29"/>
  <c r="AP80" i="29"/>
  <c r="AL80" i="29"/>
  <c r="BA80" i="29"/>
  <c r="AW80" i="29"/>
  <c r="AS80" i="29"/>
  <c r="AO80" i="29"/>
  <c r="AK80" i="29"/>
  <c r="AG80" i="29"/>
  <c r="BC80" i="29"/>
  <c r="AU80" i="29"/>
  <c r="AM80" i="29"/>
  <c r="AE80" i="29"/>
  <c r="F81" i="29" a="1"/>
  <c r="F81" i="29" s="1"/>
  <c r="AZ80" i="29"/>
  <c r="AR80" i="29"/>
  <c r="AJ80" i="29"/>
  <c r="AY80" i="29"/>
  <c r="AQ80" i="29"/>
  <c r="AI80" i="29"/>
  <c r="AF80" i="29"/>
  <c r="AV80" i="29"/>
  <c r="AN80" i="29"/>
  <c r="AM316" i="29"/>
  <c r="BF80" i="30"/>
  <c r="BK80" i="30"/>
  <c r="BM80" i="30"/>
  <c r="BH514" i="30"/>
  <c r="BK514" i="30"/>
  <c r="BJ514" i="30"/>
  <c r="BG28" i="29" l="1"/>
  <c r="AW28" i="29"/>
  <c r="BK80" i="29"/>
  <c r="BJ80" i="29"/>
  <c r="BO81" i="29"/>
  <c r="BB81" i="29"/>
  <c r="BM81" i="29" s="1"/>
  <c r="AX81" i="29"/>
  <c r="BI81" i="29" s="1"/>
  <c r="AT81" i="29"/>
  <c r="BE81" i="29" s="1"/>
  <c r="AP81" i="29"/>
  <c r="AL81" i="29"/>
  <c r="BA81" i="29"/>
  <c r="BL81" i="29" s="1"/>
  <c r="AW81" i="29"/>
  <c r="BH81" i="29" s="1"/>
  <c r="AS81" i="29"/>
  <c r="AO81" i="29"/>
  <c r="AK81" i="29"/>
  <c r="AG81" i="29"/>
  <c r="BC81" i="29"/>
  <c r="AU81" i="29"/>
  <c r="BF81" i="29" s="1"/>
  <c r="AM81" i="29"/>
  <c r="AE81" i="29"/>
  <c r="F82" i="29" a="1"/>
  <c r="F82" i="29" s="1"/>
  <c r="AZ81" i="29"/>
  <c r="BK81" i="29" s="1"/>
  <c r="AR81" i="29"/>
  <c r="AJ81" i="29"/>
  <c r="AY81" i="29"/>
  <c r="BJ81" i="29" s="1"/>
  <c r="AQ81" i="29"/>
  <c r="AI81" i="29"/>
  <c r="BD81" i="29" s="1"/>
  <c r="AV81" i="29"/>
  <c r="BG81" i="29" s="1"/>
  <c r="AN81" i="29"/>
  <c r="AF81" i="29"/>
  <c r="AN316" i="29"/>
  <c r="AH80" i="29"/>
  <c r="BH80" i="29"/>
  <c r="BE80" i="29"/>
  <c r="AK160" i="28"/>
  <c r="AF160" i="28"/>
  <c r="F161" i="28" a="1"/>
  <c r="F161" i="28" s="1"/>
  <c r="AJ160" i="28"/>
  <c r="AE160" i="28"/>
  <c r="AG160" i="28"/>
  <c r="AH160" i="28" s="1"/>
  <c r="AN160" i="28"/>
  <c r="AI160" i="28"/>
  <c r="BO372" i="30"/>
  <c r="BB372" i="30"/>
  <c r="BM372" i="30" s="1"/>
  <c r="AX372" i="30"/>
  <c r="BI372" i="30" s="1"/>
  <c r="AT372" i="30"/>
  <c r="BE372" i="30" s="1"/>
  <c r="AP372" i="30"/>
  <c r="AL372" i="30"/>
  <c r="BA372" i="30"/>
  <c r="BL372" i="30" s="1"/>
  <c r="AW372" i="30"/>
  <c r="BH372" i="30" s="1"/>
  <c r="AS372" i="30"/>
  <c r="AO372" i="30"/>
  <c r="AK372" i="30"/>
  <c r="AG372" i="30"/>
  <c r="F373" i="30" a="1"/>
  <c r="F373" i="30" s="1"/>
  <c r="F374" i="30" s="1" a="1"/>
  <c r="F374" i="30" s="1"/>
  <c r="F375" i="30" s="1" a="1"/>
  <c r="F375" i="30" s="1"/>
  <c r="AZ372" i="30"/>
  <c r="BK372" i="30" s="1"/>
  <c r="AV372" i="30"/>
  <c r="BG372" i="30" s="1"/>
  <c r="AR372" i="30"/>
  <c r="AN372" i="30"/>
  <c r="AJ372" i="30"/>
  <c r="AF372" i="30"/>
  <c r="BC372" i="30"/>
  <c r="AM372" i="30"/>
  <c r="AY372" i="30"/>
  <c r="BJ372" i="30" s="1"/>
  <c r="AI372" i="30"/>
  <c r="BD372" i="30" s="1"/>
  <c r="AU372" i="30"/>
  <c r="BF372" i="30" s="1"/>
  <c r="AE372" i="30"/>
  <c r="AQ372" i="30"/>
  <c r="AH515" i="30"/>
  <c r="BG460" i="29"/>
  <c r="AW460" i="29"/>
  <c r="AT57" i="24"/>
  <c r="AS58" i="24"/>
  <c r="BM224" i="29"/>
  <c r="BF224" i="29"/>
  <c r="BK224" i="29"/>
  <c r="F229" i="30" a="1"/>
  <c r="F229" i="30" s="1"/>
  <c r="F230" i="30" s="1" a="1"/>
  <c r="F230" i="30" s="1"/>
  <c r="F231" i="30" s="1" a="1"/>
  <c r="F231" i="30" s="1"/>
  <c r="AZ228" i="30"/>
  <c r="BK228" i="30" s="1"/>
  <c r="AV228" i="30"/>
  <c r="AR228" i="30"/>
  <c r="AN228" i="30"/>
  <c r="AJ228" i="30"/>
  <c r="AF228" i="30"/>
  <c r="BC228" i="30"/>
  <c r="AY228" i="30"/>
  <c r="AU228" i="30"/>
  <c r="BF228" i="30" s="1"/>
  <c r="AQ228" i="30"/>
  <c r="AM228" i="30"/>
  <c r="AI228" i="30"/>
  <c r="AE228" i="30"/>
  <c r="BO228" i="30"/>
  <c r="BB228" i="30"/>
  <c r="AX228" i="30"/>
  <c r="BI228" i="30" s="1"/>
  <c r="AT228" i="30"/>
  <c r="BE228" i="30" s="1"/>
  <c r="AP228" i="30"/>
  <c r="AL228" i="30"/>
  <c r="AW228" i="30"/>
  <c r="BH228" i="30" s="1"/>
  <c r="AG228" i="30"/>
  <c r="AO228" i="30"/>
  <c r="BA228" i="30"/>
  <c r="AK228" i="30"/>
  <c r="AS228" i="30"/>
  <c r="AN28" i="29"/>
  <c r="AT41" i="24"/>
  <c r="AS42" i="24"/>
  <c r="BL368" i="29"/>
  <c r="BE368" i="29"/>
  <c r="BD368" i="29"/>
  <c r="BJ368"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O369" i="29"/>
  <c r="AX369" i="29"/>
  <c r="BI369" i="29" s="1"/>
  <c r="AP369" i="29"/>
  <c r="AW369" i="29"/>
  <c r="BH369" i="29" s="1"/>
  <c r="AO369" i="29"/>
  <c r="AG369" i="29"/>
  <c r="BB369" i="29"/>
  <c r="BM369" i="29" s="1"/>
  <c r="AL369" i="29"/>
  <c r="BA369" i="29"/>
  <c r="BL369" i="29" s="1"/>
  <c r="AK369" i="29"/>
  <c r="AT369" i="29"/>
  <c r="BE369" i="29" s="1"/>
  <c r="AS369" i="29"/>
  <c r="AH81" i="30"/>
  <c r="AT33" i="24"/>
  <c r="AS34" i="24"/>
  <c r="BC513" i="29"/>
  <c r="AY513" i="29"/>
  <c r="BJ513" i="29" s="1"/>
  <c r="AU513" i="29"/>
  <c r="BF513" i="29" s="1"/>
  <c r="AQ513" i="29"/>
  <c r="AM513" i="29"/>
  <c r="AI513" i="29"/>
  <c r="BD513" i="29" s="1"/>
  <c r="AE513" i="29"/>
  <c r="BO513" i="29"/>
  <c r="BB513" i="29"/>
  <c r="BM513" i="29" s="1"/>
  <c r="AX513" i="29"/>
  <c r="BI513" i="29" s="1"/>
  <c r="AT513" i="29"/>
  <c r="BE513" i="29" s="1"/>
  <c r="AP513" i="29"/>
  <c r="AL513" i="29"/>
  <c r="AW513" i="29"/>
  <c r="BH513" i="29" s="1"/>
  <c r="AO513" i="29"/>
  <c r="AG513" i="29"/>
  <c r="AV513" i="29"/>
  <c r="BG513" i="29" s="1"/>
  <c r="AN513" i="29"/>
  <c r="AF513" i="29"/>
  <c r="BA513" i="29"/>
  <c r="BL513" i="29" s="1"/>
  <c r="AK513" i="29"/>
  <c r="F514" i="29" a="1"/>
  <c r="F514" i="29" s="1"/>
  <c r="AZ513" i="29"/>
  <c r="BK513" i="29" s="1"/>
  <c r="AJ513" i="29"/>
  <c r="AS513" i="29"/>
  <c r="AR513" i="29"/>
  <c r="AH512" i="29"/>
  <c r="BG80" i="29"/>
  <c r="BD80" i="29"/>
  <c r="BL80" i="29"/>
  <c r="BI80" i="29"/>
  <c r="AH159" i="28"/>
  <c r="AH371" i="30"/>
  <c r="BL224" i="29"/>
  <c r="AH224"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AW225" i="29"/>
  <c r="BH225" i="29" s="1"/>
  <c r="AO225" i="29"/>
  <c r="AG225" i="29"/>
  <c r="BB225" i="29"/>
  <c r="BM225" i="29" s="1"/>
  <c r="AT225" i="29"/>
  <c r="BE225" i="29" s="1"/>
  <c r="AL225" i="29"/>
  <c r="BA225" i="29"/>
  <c r="BL225" i="29" s="1"/>
  <c r="AS225" i="29"/>
  <c r="AK225" i="29"/>
  <c r="AX225" i="29"/>
  <c r="BI225" i="29" s="1"/>
  <c r="AP225" i="29"/>
  <c r="BO225" i="29"/>
  <c r="BH316" i="29"/>
  <c r="AX316" i="29"/>
  <c r="BH172" i="29"/>
  <c r="AX172" i="29"/>
  <c r="F331" i="28" a="1"/>
  <c r="F331" i="28" s="1"/>
  <c r="AK330" i="28"/>
  <c r="AG330" i="28"/>
  <c r="AI330" i="28"/>
  <c r="AF330" i="28"/>
  <c r="AN330" i="28"/>
  <c r="AE330" i="28"/>
  <c r="AJ330" i="28"/>
  <c r="AH329" i="28"/>
  <c r="AH368" i="29"/>
  <c r="BI368" i="29"/>
  <c r="AB601" i="30"/>
  <c r="D602" i="30" a="1"/>
  <c r="D602" i="30" s="1"/>
  <c r="AB602" i="30" s="1"/>
  <c r="AB457" i="30"/>
  <c r="D458" i="30" a="1"/>
  <c r="D458" i="30" s="1"/>
  <c r="AB458" i="30" s="1"/>
  <c r="AJ75" i="28"/>
  <c r="AF75" i="28"/>
  <c r="AN75" i="28"/>
  <c r="AI75" i="28"/>
  <c r="AL75" i="28" s="1"/>
  <c r="AE75" i="28"/>
  <c r="F76" i="28" a="1"/>
  <c r="F76" i="28" s="1"/>
  <c r="AG75" i="28"/>
  <c r="AK75" i="28"/>
  <c r="BE512" i="29"/>
  <c r="BF512" i="29"/>
  <c r="BF80" i="29"/>
  <c r="BM80" i="29"/>
  <c r="AL159" i="28"/>
  <c r="D314" i="29" a="1"/>
  <c r="D314" i="29" s="1"/>
  <c r="AB314" i="29" s="1"/>
  <c r="AB313" i="29"/>
  <c r="F517" i="30" a="1"/>
  <c r="F517" i="30" s="1"/>
  <c r="F518" i="30" s="1" a="1"/>
  <c r="F518" i="30" s="1"/>
  <c r="F519" i="30" s="1" a="1"/>
  <c r="F519" i="30" s="1"/>
  <c r="AZ516" i="30"/>
  <c r="AV516" i="30"/>
  <c r="BG516" i="30" s="1"/>
  <c r="AR516" i="30"/>
  <c r="AN516" i="30"/>
  <c r="AJ516" i="30"/>
  <c r="BC516" i="30"/>
  <c r="AY516" i="30"/>
  <c r="AU516" i="30"/>
  <c r="BF516" i="30" s="1"/>
  <c r="AQ516" i="30"/>
  <c r="AM516" i="30"/>
  <c r="AI516" i="30"/>
  <c r="BD516" i="30" s="1"/>
  <c r="AE516" i="30"/>
  <c r="BB516" i="30"/>
  <c r="BM516" i="30" s="1"/>
  <c r="AT516" i="30"/>
  <c r="BE516" i="30" s="1"/>
  <c r="AL516" i="30"/>
  <c r="AF516" i="30"/>
  <c r="BA516" i="30"/>
  <c r="BL516" i="30" s="1"/>
  <c r="AS516" i="30"/>
  <c r="AK516" i="30"/>
  <c r="BO516" i="30"/>
  <c r="AX516" i="30"/>
  <c r="BI516" i="30" s="1"/>
  <c r="AP516" i="30"/>
  <c r="AW516" i="30"/>
  <c r="AO516" i="30"/>
  <c r="AG516" i="30"/>
  <c r="BD515" i="30"/>
  <c r="AH244" i="28"/>
  <c r="AJ245" i="28"/>
  <c r="AF245" i="28"/>
  <c r="AN245" i="28"/>
  <c r="AG245" i="28"/>
  <c r="AK245" i="28"/>
  <c r="AE245" i="28"/>
  <c r="F246" i="28" a="1"/>
  <c r="F246" i="28" s="1"/>
  <c r="AI245" i="28"/>
  <c r="BI224" i="29"/>
  <c r="AL329" i="28"/>
  <c r="BM368" i="29"/>
  <c r="BG368" i="29"/>
  <c r="AM460" i="29"/>
  <c r="AL74" i="28"/>
  <c r="AT49" i="24"/>
  <c r="AS50" i="24"/>
  <c r="AB169" i="30"/>
  <c r="D170" i="30" a="1"/>
  <c r="D170" i="30" s="1"/>
  <c r="AB170" i="30" s="1"/>
  <c r="BL512" i="29"/>
  <c r="BH512" i="29"/>
  <c r="BI512" i="29"/>
  <c r="BD512" i="29"/>
  <c r="BJ512" i="29"/>
  <c r="BM371" i="30"/>
  <c r="AB313" i="30"/>
  <c r="D314" i="30" a="1"/>
  <c r="D314" i="30" s="1"/>
  <c r="AB314" i="30" s="1"/>
  <c r="D602" i="29" a="1"/>
  <c r="D602" i="29" s="1"/>
  <c r="AB602" i="29" s="1"/>
  <c r="AB601" i="29"/>
  <c r="AB169" i="29"/>
  <c r="D170" i="29" a="1"/>
  <c r="D170" i="29" s="1"/>
  <c r="AB170" i="29" s="1"/>
  <c r="AL244" i="28"/>
  <c r="BE224" i="29"/>
  <c r="BH224" i="29"/>
  <c r="BG224" i="29"/>
  <c r="AN172" i="29"/>
  <c r="BH227" i="30"/>
  <c r="BE227" i="30"/>
  <c r="BK227" i="30"/>
  <c r="AB457" i="29"/>
  <c r="D458" i="29" a="1"/>
  <c r="D458" i="29" s="1"/>
  <c r="AB458" i="29" s="1"/>
  <c r="BH368" i="29"/>
  <c r="BF368" i="29"/>
  <c r="BK368" i="29"/>
  <c r="AH74" i="28"/>
  <c r="BO82" i="30"/>
  <c r="BB82" i="30"/>
  <c r="AX82" i="30"/>
  <c r="AT82" i="30"/>
  <c r="AP82" i="30"/>
  <c r="AL82" i="30"/>
  <c r="BA82" i="30"/>
  <c r="AW82" i="30"/>
  <c r="AS82" i="30"/>
  <c r="AO82" i="30"/>
  <c r="AK82" i="30"/>
  <c r="AG82" i="30"/>
  <c r="F83" i="30" a="1"/>
  <c r="F83" i="30" s="1"/>
  <c r="AZ82" i="30"/>
  <c r="AV82" i="30"/>
  <c r="AR82" i="30"/>
  <c r="AN82" i="30"/>
  <c r="AJ82" i="30"/>
  <c r="AF82" i="30"/>
  <c r="AY82" i="30"/>
  <c r="AI82" i="30"/>
  <c r="AU82" i="30"/>
  <c r="AE82" i="30"/>
  <c r="AM82" i="30"/>
  <c r="AQ82" i="30"/>
  <c r="BC82" i="30"/>
  <c r="BK512" i="29"/>
  <c r="BG512" i="29"/>
  <c r="BM512" i="29"/>
  <c r="BH28" i="29" l="1"/>
  <c r="AX28" i="29"/>
  <c r="AL160" i="28"/>
  <c r="AH225" i="29"/>
  <c r="AH369" i="29"/>
  <c r="BG82" i="30"/>
  <c r="BI82" i="30"/>
  <c r="AO172" i="29"/>
  <c r="F227" i="29" a="1"/>
  <c r="F227" i="29" s="1"/>
  <c r="AZ226" i="29"/>
  <c r="AV226" i="29"/>
  <c r="AR226" i="29"/>
  <c r="AN226" i="29"/>
  <c r="AJ226" i="29"/>
  <c r="AF226" i="29"/>
  <c r="BC226" i="29"/>
  <c r="AY226" i="29"/>
  <c r="BJ226" i="29" s="1"/>
  <c r="AU226" i="29"/>
  <c r="AQ226" i="29"/>
  <c r="AM226" i="29"/>
  <c r="AI226" i="29"/>
  <c r="BD226" i="29" s="1"/>
  <c r="AE226" i="29"/>
  <c r="AW226" i="29"/>
  <c r="AO226" i="29"/>
  <c r="AG226" i="29"/>
  <c r="BB226" i="29"/>
  <c r="BM226" i="29" s="1"/>
  <c r="AT226" i="29"/>
  <c r="AL226" i="29"/>
  <c r="BA226" i="29"/>
  <c r="BL226" i="29" s="1"/>
  <c r="AS226" i="29"/>
  <c r="AK226" i="29"/>
  <c r="AP226" i="29"/>
  <c r="BO226" i="29"/>
  <c r="AX226" i="29"/>
  <c r="BF82" i="30"/>
  <c r="BK82" i="30"/>
  <c r="BM82" i="30"/>
  <c r="AH516" i="30"/>
  <c r="BK516" i="30"/>
  <c r="AL330" i="28"/>
  <c r="AY172" i="29"/>
  <c r="BI172" i="29"/>
  <c r="BC514" i="29"/>
  <c r="AY514" i="29"/>
  <c r="AU514" i="29"/>
  <c r="BF514" i="29" s="1"/>
  <c r="AQ514" i="29"/>
  <c r="AM514" i="29"/>
  <c r="AI514" i="29"/>
  <c r="AE514" i="29"/>
  <c r="BO514" i="29"/>
  <c r="BB514" i="29"/>
  <c r="AX514" i="29"/>
  <c r="AT514" i="29"/>
  <c r="BE514" i="29" s="1"/>
  <c r="AP514" i="29"/>
  <c r="AL514" i="29"/>
  <c r="AW514" i="29"/>
  <c r="AO514" i="29"/>
  <c r="AG514" i="29"/>
  <c r="AV514" i="29"/>
  <c r="AN514" i="29"/>
  <c r="AF514" i="29"/>
  <c r="AS514" i="29"/>
  <c r="AR514" i="29"/>
  <c r="BA514" i="29"/>
  <c r="AK514" i="29"/>
  <c r="F515" i="29" a="1"/>
  <c r="F515" i="29" s="1"/>
  <c r="AZ514" i="29"/>
  <c r="BK514" i="29" s="1"/>
  <c r="AJ514" i="29"/>
  <c r="F371" i="29" a="1"/>
  <c r="F371" i="29" s="1"/>
  <c r="AZ370" i="29"/>
  <c r="AV370" i="29"/>
  <c r="AR370" i="29"/>
  <c r="AN370" i="29"/>
  <c r="AJ370" i="29"/>
  <c r="AF370" i="29"/>
  <c r="BC370" i="29"/>
  <c r="AY370" i="29"/>
  <c r="AU370" i="29"/>
  <c r="AQ370" i="29"/>
  <c r="AM370" i="29"/>
  <c r="AI370" i="29"/>
  <c r="BD370" i="29" s="1"/>
  <c r="AE370" i="29"/>
  <c r="BO370" i="29"/>
  <c r="AX370" i="29"/>
  <c r="AP370" i="29"/>
  <c r="AW370" i="29"/>
  <c r="BH370" i="29" s="1"/>
  <c r="AO370" i="29"/>
  <c r="AG370" i="29"/>
  <c r="AT370" i="29"/>
  <c r="BE370" i="29" s="1"/>
  <c r="AS370" i="29"/>
  <c r="BB370" i="29"/>
  <c r="AL370" i="29"/>
  <c r="BA370" i="29"/>
  <c r="BL370" i="29" s="1"/>
  <c r="AK370" i="29"/>
  <c r="AU41" i="24"/>
  <c r="AT42" i="24"/>
  <c r="BG228" i="30"/>
  <c r="F376" i="30" a="1"/>
  <c r="F376" i="30" s="1"/>
  <c r="AZ375" i="30"/>
  <c r="BK375" i="30" s="1"/>
  <c r="AV375" i="30"/>
  <c r="AR375" i="30"/>
  <c r="AN375" i="30"/>
  <c r="AJ375" i="30"/>
  <c r="AF375" i="30"/>
  <c r="BC375" i="30"/>
  <c r="AY375" i="30"/>
  <c r="AU375" i="30"/>
  <c r="AQ375" i="30"/>
  <c r="AM375" i="30"/>
  <c r="AI375" i="30"/>
  <c r="AE375" i="30"/>
  <c r="BO375" i="30"/>
  <c r="BB375" i="30"/>
  <c r="BM375" i="30" s="1"/>
  <c r="AX375" i="30"/>
  <c r="AT375" i="30"/>
  <c r="AP375" i="30"/>
  <c r="AL375" i="30"/>
  <c r="AW375" i="30"/>
  <c r="AG375" i="30"/>
  <c r="AS375" i="30"/>
  <c r="AO375" i="30"/>
  <c r="BA375" i="30"/>
  <c r="AK375" i="30"/>
  <c r="AO316" i="29"/>
  <c r="BO82" i="29"/>
  <c r="BB82" i="29"/>
  <c r="BM82" i="29" s="1"/>
  <c r="AX82" i="29"/>
  <c r="AT82" i="29"/>
  <c r="AP82" i="29"/>
  <c r="AL82" i="29"/>
  <c r="BA82" i="29"/>
  <c r="AW82" i="29"/>
  <c r="AS82" i="29"/>
  <c r="AO82" i="29"/>
  <c r="AK82" i="29"/>
  <c r="AG82" i="29"/>
  <c r="BC82" i="29"/>
  <c r="AU82" i="29"/>
  <c r="BF82" i="29" s="1"/>
  <c r="AM82" i="29"/>
  <c r="AE82" i="29"/>
  <c r="F83" i="29" a="1"/>
  <c r="F83" i="29" s="1"/>
  <c r="AZ82" i="29"/>
  <c r="BK82" i="29" s="1"/>
  <c r="AR82" i="29"/>
  <c r="AJ82" i="29"/>
  <c r="AY82" i="29"/>
  <c r="BJ82" i="29" s="1"/>
  <c r="AQ82" i="29"/>
  <c r="AI82" i="29"/>
  <c r="AV82" i="29"/>
  <c r="AN82" i="29"/>
  <c r="AF82" i="29"/>
  <c r="BL82" i="30"/>
  <c r="AI246" i="28"/>
  <c r="AL246" i="28" s="1"/>
  <c r="AE246" i="28"/>
  <c r="AK246" i="28"/>
  <c r="AF246" i="28"/>
  <c r="AJ246" i="28"/>
  <c r="F247" i="28" a="1"/>
  <c r="F247" i="28" s="1"/>
  <c r="AG246" i="28"/>
  <c r="AI76" i="28"/>
  <c r="AL76" i="28" s="1"/>
  <c r="AE76" i="28"/>
  <c r="AK76" i="28"/>
  <c r="AJ76" i="28"/>
  <c r="AG76" i="28"/>
  <c r="F77" i="28" a="1"/>
  <c r="F77" i="28" s="1"/>
  <c r="AF76" i="28"/>
  <c r="BL228" i="30"/>
  <c r="BM228" i="30"/>
  <c r="AU57" i="24"/>
  <c r="AT58" i="24"/>
  <c r="AX460" i="29"/>
  <c r="BH460" i="29"/>
  <c r="AK161" i="28"/>
  <c r="AG161" i="28"/>
  <c r="F162" i="28" a="1"/>
  <c r="F162" i="28" s="1"/>
  <c r="AI161" i="28"/>
  <c r="AL161" i="28" s="1"/>
  <c r="AE161" i="28"/>
  <c r="AJ161" i="28"/>
  <c r="AF161" i="28"/>
  <c r="BD82" i="30"/>
  <c r="BO83" i="30"/>
  <c r="BB83" i="30"/>
  <c r="BM83" i="30" s="1"/>
  <c r="AX83" i="30"/>
  <c r="BI83" i="30" s="1"/>
  <c r="AT83" i="30"/>
  <c r="BE83" i="30" s="1"/>
  <c r="AP83" i="30"/>
  <c r="AL83" i="30"/>
  <c r="BA83" i="30"/>
  <c r="BL83" i="30" s="1"/>
  <c r="AW83" i="30"/>
  <c r="BH83" i="30" s="1"/>
  <c r="AS83" i="30"/>
  <c r="AO83" i="30"/>
  <c r="AK83" i="30"/>
  <c r="AG83" i="30"/>
  <c r="F84" i="30" a="1"/>
  <c r="F84" i="30" s="1"/>
  <c r="AZ83" i="30"/>
  <c r="BK83" i="30" s="1"/>
  <c r="AV83" i="30"/>
  <c r="BG83" i="30" s="1"/>
  <c r="AR83" i="30"/>
  <c r="AN83" i="30"/>
  <c r="AJ83" i="30"/>
  <c r="AF83" i="30"/>
  <c r="AQ83" i="30"/>
  <c r="BC83" i="30"/>
  <c r="AM83" i="30"/>
  <c r="AE83" i="30"/>
  <c r="AY83" i="30"/>
  <c r="BJ83" i="30" s="1"/>
  <c r="AU83" i="30"/>
  <c r="BF83" i="30" s="1"/>
  <c r="AI83" i="30"/>
  <c r="BD83" i="30" s="1"/>
  <c r="AN460" i="29"/>
  <c r="BO519" i="30"/>
  <c r="BB519" i="30"/>
  <c r="BM519" i="30" s="1"/>
  <c r="AX519" i="30"/>
  <c r="AT519" i="30"/>
  <c r="BE519" i="30" s="1"/>
  <c r="AP519" i="30"/>
  <c r="AL519" i="30"/>
  <c r="BA519" i="30"/>
  <c r="AW519" i="30"/>
  <c r="BH519" i="30" s="1"/>
  <c r="AS519" i="30"/>
  <c r="AO519" i="30"/>
  <c r="AK519" i="30"/>
  <c r="AG519" i="30"/>
  <c r="AV519" i="30"/>
  <c r="BG519" i="30" s="1"/>
  <c r="AN519" i="30"/>
  <c r="AF519" i="30"/>
  <c r="BC519" i="30"/>
  <c r="AU519" i="30"/>
  <c r="BF519" i="30" s="1"/>
  <c r="AM519" i="30"/>
  <c r="AE519" i="30"/>
  <c r="F520" i="30" a="1"/>
  <c r="F520" i="30" s="1"/>
  <c r="AZ519" i="30"/>
  <c r="BK519" i="30" s="1"/>
  <c r="AR519" i="30"/>
  <c r="AJ519" i="30"/>
  <c r="AY519" i="30"/>
  <c r="BJ519" i="30" s="1"/>
  <c r="AQ519" i="30"/>
  <c r="AI519" i="30"/>
  <c r="AH330" i="28"/>
  <c r="AO28" i="29"/>
  <c r="AH228" i="30"/>
  <c r="AH372" i="30"/>
  <c r="AH81" i="29"/>
  <c r="AK331" i="28"/>
  <c r="AG331" i="28"/>
  <c r="F332" i="28" a="1"/>
  <c r="F332" i="28" s="1"/>
  <c r="AJ331" i="28"/>
  <c r="AF331" i="28"/>
  <c r="AI331" i="28"/>
  <c r="AL331" i="28" s="1"/>
  <c r="AE331" i="28"/>
  <c r="BI316" i="29"/>
  <c r="AY316" i="29"/>
  <c r="AU33" i="24"/>
  <c r="AT34" i="24"/>
  <c r="BJ82" i="30"/>
  <c r="AH82" i="30"/>
  <c r="BH82" i="30"/>
  <c r="BE82" i="30"/>
  <c r="AU49" i="24"/>
  <c r="AT50" i="24"/>
  <c r="AL245" i="28"/>
  <c r="AH245" i="28"/>
  <c r="BH516" i="30"/>
  <c r="BJ516" i="30"/>
  <c r="AH75" i="28"/>
  <c r="AH513" i="29"/>
  <c r="BD228" i="30"/>
  <c r="BJ228" i="30"/>
  <c r="BO231" i="30"/>
  <c r="BB231" i="30"/>
  <c r="BM231" i="30" s="1"/>
  <c r="AX231" i="30"/>
  <c r="BI231" i="30" s="1"/>
  <c r="AT231" i="30"/>
  <c r="AP231" i="30"/>
  <c r="AL231" i="30"/>
  <c r="BA231" i="30"/>
  <c r="BL231" i="30" s="1"/>
  <c r="AW231" i="30"/>
  <c r="AS231" i="30"/>
  <c r="AO231" i="30"/>
  <c r="AK231" i="30"/>
  <c r="AG231" i="30"/>
  <c r="F232" i="30" a="1"/>
  <c r="F232" i="30" s="1"/>
  <c r="AZ231" i="30"/>
  <c r="AV231" i="30"/>
  <c r="BG231" i="30" s="1"/>
  <c r="AR231" i="30"/>
  <c r="AN231" i="30"/>
  <c r="AJ231" i="30"/>
  <c r="AF231" i="30"/>
  <c r="BC231" i="30"/>
  <c r="AM231" i="30"/>
  <c r="AU231" i="30"/>
  <c r="AE231" i="30"/>
  <c r="AQ231" i="30"/>
  <c r="AY231" i="30"/>
  <c r="BJ231" i="30" s="1"/>
  <c r="AI231" i="30"/>
  <c r="BD231" i="30" s="1"/>
  <c r="BI28" i="29" l="1"/>
  <c r="AY28" i="29"/>
  <c r="AH246" i="28"/>
  <c r="AH161" i="28"/>
  <c r="AH83" i="30"/>
  <c r="BF231" i="30"/>
  <c r="AY460" i="29"/>
  <c r="BI460" i="29"/>
  <c r="BG82" i="29"/>
  <c r="AH82" i="29"/>
  <c r="BH82" i="29"/>
  <c r="BE82" i="29"/>
  <c r="BL375" i="30"/>
  <c r="BH375" i="30"/>
  <c r="BI375" i="30"/>
  <c r="BD375" i="30"/>
  <c r="BJ375" i="30"/>
  <c r="AZ376" i="30"/>
  <c r="AV376" i="30"/>
  <c r="BG376" i="30" s="1"/>
  <c r="AR376" i="30"/>
  <c r="AN376" i="30"/>
  <c r="AJ376" i="30"/>
  <c r="AF376" i="30"/>
  <c r="BC376" i="30"/>
  <c r="AY376" i="30"/>
  <c r="BJ376" i="30" s="1"/>
  <c r="AU376" i="30"/>
  <c r="BF376" i="30" s="1"/>
  <c r="AQ376" i="30"/>
  <c r="AM376" i="30"/>
  <c r="AI376" i="30"/>
  <c r="AE376" i="30"/>
  <c r="BB376" i="30"/>
  <c r="AX376" i="30"/>
  <c r="BI376" i="30" s="1"/>
  <c r="AT376" i="30"/>
  <c r="AP376" i="30"/>
  <c r="AL376" i="30"/>
  <c r="AO376" i="30"/>
  <c r="BA376" i="30"/>
  <c r="BL376" i="30" s="1"/>
  <c r="AK376" i="30"/>
  <c r="F377" i="30" a="1"/>
  <c r="F377" i="30" s="1"/>
  <c r="AW376" i="30"/>
  <c r="BH376" i="30" s="1"/>
  <c r="AG376" i="30"/>
  <c r="AS376" i="30"/>
  <c r="AV41" i="24"/>
  <c r="AU42" i="24"/>
  <c r="BJ370" i="29"/>
  <c r="F372" i="29" a="1"/>
  <c r="F372" i="29" s="1"/>
  <c r="AZ371" i="29"/>
  <c r="BK371" i="29" s="1"/>
  <c r="AV371" i="29"/>
  <c r="BG371" i="29" s="1"/>
  <c r="AR371" i="29"/>
  <c r="AN371" i="29"/>
  <c r="AJ371" i="29"/>
  <c r="AF371" i="29"/>
  <c r="BC371" i="29"/>
  <c r="AY371" i="29"/>
  <c r="BJ371" i="29" s="1"/>
  <c r="AU371" i="29"/>
  <c r="BF371" i="29" s="1"/>
  <c r="AQ371" i="29"/>
  <c r="AM371" i="29"/>
  <c r="AI371" i="29"/>
  <c r="BD371" i="29" s="1"/>
  <c r="AE371" i="29"/>
  <c r="BO371" i="29"/>
  <c r="AX371" i="29"/>
  <c r="BI371" i="29" s="1"/>
  <c r="AP371" i="29"/>
  <c r="AW371" i="29"/>
  <c r="AO371" i="29"/>
  <c r="AG371" i="29"/>
  <c r="BB371" i="29"/>
  <c r="BM371" i="29" s="1"/>
  <c r="AL371" i="29"/>
  <c r="BA371" i="29"/>
  <c r="AK371" i="29"/>
  <c r="AT371" i="29"/>
  <c r="BE371" i="29" s="1"/>
  <c r="AS371" i="29"/>
  <c r="AZ172" i="29"/>
  <c r="BJ172" i="29"/>
  <c r="BE226" i="29"/>
  <c r="BH226" i="29"/>
  <c r="BG226" i="29"/>
  <c r="AP172" i="29"/>
  <c r="BK231" i="30"/>
  <c r="BL519" i="30"/>
  <c r="AV33" i="24"/>
  <c r="AU34" i="24"/>
  <c r="BD519" i="30"/>
  <c r="AN77" i="28"/>
  <c r="AI77" i="28"/>
  <c r="AE77" i="28"/>
  <c r="F78" i="28" a="1"/>
  <c r="F78" i="28" s="1"/>
  <c r="AG77" i="28"/>
  <c r="AF77" i="28"/>
  <c r="AK77" i="28"/>
  <c r="AJ77" i="28"/>
  <c r="BD82" i="29"/>
  <c r="BL82" i="29"/>
  <c r="BI82" i="29"/>
  <c r="AP316" i="29"/>
  <c r="AH370" i="29"/>
  <c r="BI370" i="29"/>
  <c r="BL514" i="29"/>
  <c r="BH514" i="29"/>
  <c r="BI514" i="29"/>
  <c r="BD514" i="29"/>
  <c r="BJ514" i="29"/>
  <c r="BI226" i="29"/>
  <c r="BF226" i="29"/>
  <c r="BK226" i="29"/>
  <c r="AN247" i="28"/>
  <c r="AI247" i="28"/>
  <c r="AE247" i="28"/>
  <c r="F248" i="28" a="1"/>
  <c r="F248" i="28" s="1"/>
  <c r="AJ247" i="28"/>
  <c r="AG247" i="28"/>
  <c r="AK247" i="28"/>
  <c r="AF247" i="28"/>
  <c r="AH231" i="30"/>
  <c r="BH231" i="30"/>
  <c r="BE231" i="30"/>
  <c r="F333" i="28" a="1"/>
  <c r="F333" i="28" s="1"/>
  <c r="AK332" i="28"/>
  <c r="AG332" i="28"/>
  <c r="AJ332" i="28"/>
  <c r="AF332" i="28"/>
  <c r="AN332" i="28"/>
  <c r="AE332" i="28"/>
  <c r="AI332" i="28"/>
  <c r="AP28" i="29"/>
  <c r="AV57" i="24"/>
  <c r="AU58" i="24"/>
  <c r="AH76" i="28"/>
  <c r="BG375" i="30"/>
  <c r="BM370" i="29"/>
  <c r="BG370" i="29"/>
  <c r="BG514" i="29"/>
  <c r="BM514" i="29"/>
  <c r="AH226" i="29"/>
  <c r="F228" i="29" a="1"/>
  <c r="F228" i="29" s="1"/>
  <c r="AZ227" i="29"/>
  <c r="BK227" i="29" s="1"/>
  <c r="AV227" i="29"/>
  <c r="BG227" i="29" s="1"/>
  <c r="AR227" i="29"/>
  <c r="AN227" i="29"/>
  <c r="AJ227" i="29"/>
  <c r="AF227" i="29"/>
  <c r="BC227" i="29"/>
  <c r="AY227" i="29"/>
  <c r="AU227" i="29"/>
  <c r="BF227" i="29" s="1"/>
  <c r="AQ227" i="29"/>
  <c r="AM227" i="29"/>
  <c r="AI227" i="29"/>
  <c r="AE227" i="29"/>
  <c r="AW227" i="29"/>
  <c r="BH227" i="29" s="1"/>
  <c r="AO227" i="29"/>
  <c r="AG227" i="29"/>
  <c r="BB227" i="29"/>
  <c r="AT227" i="29"/>
  <c r="BE227" i="29" s="1"/>
  <c r="AL227" i="29"/>
  <c r="BA227" i="29"/>
  <c r="AS227" i="29"/>
  <c r="AK227" i="29"/>
  <c r="BO227" i="29"/>
  <c r="AX227" i="29"/>
  <c r="BI227" i="29" s="1"/>
  <c r="AP227" i="29"/>
  <c r="BI519" i="30"/>
  <c r="AO460" i="29"/>
  <c r="BO232" i="30"/>
  <c r="BB232" i="30"/>
  <c r="BM232" i="30" s="1"/>
  <c r="AX232" i="30"/>
  <c r="BI232" i="30" s="1"/>
  <c r="AT232" i="30"/>
  <c r="BE232" i="30" s="1"/>
  <c r="AP232" i="30"/>
  <c r="AL232" i="30"/>
  <c r="BA232" i="30"/>
  <c r="BL232" i="30" s="1"/>
  <c r="AW232" i="30"/>
  <c r="BH232" i="30" s="1"/>
  <c r="AS232" i="30"/>
  <c r="AO232" i="30"/>
  <c r="AK232" i="30"/>
  <c r="AG232" i="30"/>
  <c r="F233" i="30" a="1"/>
  <c r="F233" i="30" s="1"/>
  <c r="AZ232" i="30"/>
  <c r="BK232" i="30" s="1"/>
  <c r="AV232" i="30"/>
  <c r="BG232" i="30" s="1"/>
  <c r="AR232" i="30"/>
  <c r="AN232" i="30"/>
  <c r="AJ232" i="30"/>
  <c r="AF232" i="30"/>
  <c r="AU232" i="30"/>
  <c r="BF232" i="30" s="1"/>
  <c r="AE232" i="30"/>
  <c r="BC232" i="30"/>
  <c r="AM232" i="30"/>
  <c r="AY232" i="30"/>
  <c r="BJ232" i="30" s="1"/>
  <c r="AI232" i="30"/>
  <c r="BD232" i="30" s="1"/>
  <c r="AQ232" i="30"/>
  <c r="AV49" i="24"/>
  <c r="AU50" i="24"/>
  <c r="AZ316" i="29"/>
  <c r="BJ316" i="29"/>
  <c r="AH331" i="28"/>
  <c r="BO520" i="30"/>
  <c r="BB520" i="30"/>
  <c r="AX520" i="30"/>
  <c r="BI520" i="30" s="1"/>
  <c r="AT520" i="30"/>
  <c r="BE520" i="30" s="1"/>
  <c r="AP520" i="30"/>
  <c r="AL520" i="30"/>
  <c r="BA520" i="30"/>
  <c r="BL520" i="30" s="1"/>
  <c r="AW520" i="30"/>
  <c r="AS520" i="30"/>
  <c r="AO520" i="30"/>
  <c r="AK520" i="30"/>
  <c r="AG520" i="30"/>
  <c r="F521" i="30" a="1"/>
  <c r="F521" i="30" s="1"/>
  <c r="AZ520" i="30"/>
  <c r="BK520" i="30" s="1"/>
  <c r="AV520" i="30"/>
  <c r="BG520" i="30" s="1"/>
  <c r="AR520" i="30"/>
  <c r="AN520" i="30"/>
  <c r="AJ520" i="30"/>
  <c r="AU520" i="30"/>
  <c r="AF520" i="30"/>
  <c r="AQ520" i="30"/>
  <c r="AE520" i="30"/>
  <c r="BC520" i="30"/>
  <c r="AM520" i="30"/>
  <c r="AY520" i="30"/>
  <c r="AI520" i="30"/>
  <c r="BD520" i="30" s="1"/>
  <c r="AH519" i="30"/>
  <c r="BO84" i="30"/>
  <c r="BB84" i="30"/>
  <c r="BM84" i="30" s="1"/>
  <c r="AX84" i="30"/>
  <c r="BI84" i="30" s="1"/>
  <c r="AT84" i="30"/>
  <c r="AP84" i="30"/>
  <c r="AL84" i="30"/>
  <c r="BA84" i="30"/>
  <c r="BL84" i="30" s="1"/>
  <c r="AW84" i="30"/>
  <c r="BH84" i="30" s="1"/>
  <c r="AS84" i="30"/>
  <c r="AO84" i="30"/>
  <c r="AK84" i="30"/>
  <c r="AG84" i="30"/>
  <c r="F85" i="30" a="1"/>
  <c r="F85" i="30" s="1"/>
  <c r="F86" i="30" s="1" a="1"/>
  <c r="F86" i="30" s="1"/>
  <c r="F87" i="30" s="1" a="1"/>
  <c r="F87" i="30" s="1"/>
  <c r="AZ84" i="30"/>
  <c r="BK84" i="30" s="1"/>
  <c r="AV84" i="30"/>
  <c r="BG84" i="30" s="1"/>
  <c r="AR84" i="30"/>
  <c r="AN84" i="30"/>
  <c r="AJ84" i="30"/>
  <c r="AF84" i="30"/>
  <c r="AY84" i="30"/>
  <c r="BJ84" i="30" s="1"/>
  <c r="AI84" i="30"/>
  <c r="AU84" i="30"/>
  <c r="BF84" i="30" s="1"/>
  <c r="AE84" i="30"/>
  <c r="BC84" i="30"/>
  <c r="AQ84" i="30"/>
  <c r="AM84" i="30"/>
  <c r="F163" i="28" a="1"/>
  <c r="F163" i="28" s="1"/>
  <c r="AK162" i="28"/>
  <c r="AG162" i="28"/>
  <c r="AN162" i="28"/>
  <c r="AF162" i="28"/>
  <c r="AJ162" i="28"/>
  <c r="AI162" i="28"/>
  <c r="AE162" i="28"/>
  <c r="BO83" i="29"/>
  <c r="BB83" i="29"/>
  <c r="AX83" i="29"/>
  <c r="BI83" i="29" s="1"/>
  <c r="AT83" i="29"/>
  <c r="BE83" i="29" s="1"/>
  <c r="AP83" i="29"/>
  <c r="AL83" i="29"/>
  <c r="BA83" i="29"/>
  <c r="BL83" i="29" s="1"/>
  <c r="AW83" i="29"/>
  <c r="BH83" i="29" s="1"/>
  <c r="AS83" i="29"/>
  <c r="AO83" i="29"/>
  <c r="AK83" i="29"/>
  <c r="AG83" i="29"/>
  <c r="BC83" i="29"/>
  <c r="AU83" i="29"/>
  <c r="AM83" i="29"/>
  <c r="AE83" i="29"/>
  <c r="F84" i="29" a="1"/>
  <c r="F84" i="29" s="1"/>
  <c r="AZ83" i="29"/>
  <c r="AR83" i="29"/>
  <c r="AJ83" i="29"/>
  <c r="AY83" i="29"/>
  <c r="AQ83" i="29"/>
  <c r="AI83" i="29"/>
  <c r="BD83" i="29" s="1"/>
  <c r="AN83" i="29"/>
  <c r="AF83" i="29"/>
  <c r="AV83" i="29"/>
  <c r="BG83" i="29" s="1"/>
  <c r="AH375" i="30"/>
  <c r="BE375" i="30"/>
  <c r="BF375" i="30"/>
  <c r="BF370" i="29"/>
  <c r="BK370" i="29"/>
  <c r="BC515" i="29"/>
  <c r="AY515" i="29"/>
  <c r="BJ515" i="29" s="1"/>
  <c r="AU515" i="29"/>
  <c r="AQ515" i="29"/>
  <c r="AM515" i="29"/>
  <c r="AI515" i="29"/>
  <c r="BD515" i="29" s="1"/>
  <c r="AE515" i="29"/>
  <c r="BO515" i="29"/>
  <c r="BB515" i="29"/>
  <c r="BM515" i="29" s="1"/>
  <c r="AX515" i="29"/>
  <c r="BI515" i="29" s="1"/>
  <c r="AT515" i="29"/>
  <c r="AP515" i="29"/>
  <c r="AL515" i="29"/>
  <c r="AW515" i="29"/>
  <c r="BH515" i="29" s="1"/>
  <c r="AO515" i="29"/>
  <c r="AG515" i="29"/>
  <c r="AV515" i="29"/>
  <c r="BG515" i="29" s="1"/>
  <c r="AN515" i="29"/>
  <c r="AF515" i="29"/>
  <c r="BA515" i="29"/>
  <c r="BL515" i="29" s="1"/>
  <c r="AK515" i="29"/>
  <c r="F516" i="29" a="1"/>
  <c r="F516" i="29" s="1"/>
  <c r="AZ515" i="29"/>
  <c r="AJ515" i="29"/>
  <c r="AS515" i="29"/>
  <c r="AR515" i="29"/>
  <c r="AH514" i="29"/>
  <c r="BJ28" i="29" l="1"/>
  <c r="AZ28" i="29"/>
  <c r="BE376" i="30"/>
  <c r="AH371" i="29"/>
  <c r="AH376" i="30"/>
  <c r="BF520" i="30"/>
  <c r="AH232" i="30"/>
  <c r="AP460" i="29"/>
  <c r="AJ333" i="28"/>
  <c r="AF333" i="28"/>
  <c r="AN333" i="28"/>
  <c r="AI333" i="28"/>
  <c r="AE333" i="28"/>
  <c r="AK333" i="28"/>
  <c r="F334" i="28" a="1"/>
  <c r="F334" i="28" s="1"/>
  <c r="F335" i="28" s="1" a="1"/>
  <c r="F335" i="28" s="1"/>
  <c r="AG333" i="28"/>
  <c r="AN248" i="28"/>
  <c r="AG248" i="28"/>
  <c r="AK248" i="28"/>
  <c r="AF248" i="28"/>
  <c r="F249" i="28" a="1"/>
  <c r="F249" i="28" s="1"/>
  <c r="F250" i="28" s="1" a="1"/>
  <c r="F250" i="28" s="1"/>
  <c r="AJ248" i="28"/>
  <c r="AE248" i="28"/>
  <c r="AI248" i="28"/>
  <c r="F79" i="28" a="1"/>
  <c r="F79" i="28" s="1"/>
  <c r="F80" i="28" s="1" a="1"/>
  <c r="F80" i="28" s="1"/>
  <c r="AK78" i="28"/>
  <c r="AG78" i="28"/>
  <c r="AJ78" i="28"/>
  <c r="AI78" i="28"/>
  <c r="AL78" i="28" s="1"/>
  <c r="AF78" i="28"/>
  <c r="AN78" i="28"/>
  <c r="AE78" i="28"/>
  <c r="F373" i="29" a="1"/>
  <c r="F373" i="29" s="1"/>
  <c r="F374" i="29" s="1" a="1"/>
  <c r="F374" i="29" s="1"/>
  <c r="F375" i="29" s="1" a="1"/>
  <c r="F375" i="29" s="1"/>
  <c r="AZ372" i="29"/>
  <c r="AV372" i="29"/>
  <c r="AR372" i="29"/>
  <c r="AN372" i="29"/>
  <c r="AJ372" i="29"/>
  <c r="AF372" i="29"/>
  <c r="BC372" i="29"/>
  <c r="AY372" i="29"/>
  <c r="BJ372" i="29" s="1"/>
  <c r="AU372" i="29"/>
  <c r="AQ372" i="29"/>
  <c r="AM372" i="29"/>
  <c r="AI372" i="29"/>
  <c r="AE372" i="29"/>
  <c r="BO372" i="29"/>
  <c r="AX372" i="29"/>
  <c r="AP372" i="29"/>
  <c r="AW372" i="29"/>
  <c r="BH372" i="29" s="1"/>
  <c r="AO372" i="29"/>
  <c r="AG372" i="29"/>
  <c r="AT372" i="29"/>
  <c r="AS372" i="29"/>
  <c r="BB372" i="29"/>
  <c r="AL372" i="29"/>
  <c r="BA372" i="29"/>
  <c r="BL372" i="29" s="1"/>
  <c r="AK372" i="29"/>
  <c r="AH515" i="29"/>
  <c r="BK83" i="29"/>
  <c r="BF83" i="29"/>
  <c r="BM83" i="29"/>
  <c r="AL162" i="28"/>
  <c r="AH162" i="28"/>
  <c r="BD84" i="30"/>
  <c r="F88" i="30" a="1"/>
  <c r="F88" i="30" s="1"/>
  <c r="AZ87" i="30"/>
  <c r="BK87" i="30" s="1"/>
  <c r="AV87" i="30"/>
  <c r="BG87" i="30" s="1"/>
  <c r="AR87" i="30"/>
  <c r="AN87" i="30"/>
  <c r="AJ87" i="30"/>
  <c r="AF87" i="30"/>
  <c r="BC87" i="30"/>
  <c r="AY87" i="30"/>
  <c r="BJ87" i="30" s="1"/>
  <c r="AU87" i="30"/>
  <c r="BF87" i="30" s="1"/>
  <c r="AQ87" i="30"/>
  <c r="AM87" i="30"/>
  <c r="AI87" i="30"/>
  <c r="BD87" i="30" s="1"/>
  <c r="AE87" i="30"/>
  <c r="BO87" i="30"/>
  <c r="BB87" i="30"/>
  <c r="BM87" i="30" s="1"/>
  <c r="AX87" i="30"/>
  <c r="BI87" i="30" s="1"/>
  <c r="AT87" i="30"/>
  <c r="BE87" i="30" s="1"/>
  <c r="AP87" i="30"/>
  <c r="AL87" i="30"/>
  <c r="AS87" i="30"/>
  <c r="AO87" i="30"/>
  <c r="AG87" i="30"/>
  <c r="BA87" i="30"/>
  <c r="BL87" i="30" s="1"/>
  <c r="AW87" i="30"/>
  <c r="BH87" i="30" s="1"/>
  <c r="AK87" i="30"/>
  <c r="BM520" i="30"/>
  <c r="BA316" i="29"/>
  <c r="BK316" i="29"/>
  <c r="AW49" i="24"/>
  <c r="AV50" i="24"/>
  <c r="AL332" i="28"/>
  <c r="AQ316" i="29"/>
  <c r="AQ172" i="29"/>
  <c r="AW41" i="24"/>
  <c r="AV42" i="24"/>
  <c r="BO377" i="30"/>
  <c r="BB377" i="30"/>
  <c r="BM377" i="30" s="1"/>
  <c r="AX377" i="30"/>
  <c r="BI377" i="30" s="1"/>
  <c r="AT377" i="30"/>
  <c r="AP377" i="30"/>
  <c r="AL377" i="30"/>
  <c r="F378" i="30" a="1"/>
  <c r="F378" i="30" s="1"/>
  <c r="AZ377" i="30"/>
  <c r="BK377" i="30" s="1"/>
  <c r="AV377" i="30"/>
  <c r="AW377" i="30"/>
  <c r="BH377" i="30" s="1"/>
  <c r="AQ377" i="30"/>
  <c r="AK377" i="30"/>
  <c r="AF377" i="30"/>
  <c r="BC377" i="30"/>
  <c r="AU377" i="30"/>
  <c r="AO377" i="30"/>
  <c r="AJ377" i="30"/>
  <c r="AE377" i="30"/>
  <c r="BA377" i="30"/>
  <c r="BL377" i="30" s="1"/>
  <c r="AS377" i="30"/>
  <c r="AN377" i="30"/>
  <c r="AI377" i="30"/>
  <c r="BD377" i="30" s="1"/>
  <c r="AM377" i="30"/>
  <c r="AG377" i="30"/>
  <c r="AY377" i="30"/>
  <c r="BJ377" i="30" s="1"/>
  <c r="AR377" i="30"/>
  <c r="BM376" i="30"/>
  <c r="BJ460" i="29"/>
  <c r="AZ460" i="29"/>
  <c r="BE515" i="29"/>
  <c r="BF515" i="29"/>
  <c r="BJ83" i="29"/>
  <c r="BO84" i="29"/>
  <c r="BB84" i="29"/>
  <c r="BM84" i="29" s="1"/>
  <c r="AX84" i="29"/>
  <c r="BI84" i="29" s="1"/>
  <c r="AT84" i="29"/>
  <c r="BE84" i="29" s="1"/>
  <c r="AP84" i="29"/>
  <c r="AL84" i="29"/>
  <c r="BA84" i="29"/>
  <c r="BL84" i="29" s="1"/>
  <c r="AW84" i="29"/>
  <c r="BH84" i="29" s="1"/>
  <c r="AS84" i="29"/>
  <c r="AO84" i="29"/>
  <c r="AK84" i="29"/>
  <c r="AG84" i="29"/>
  <c r="BC84" i="29"/>
  <c r="AU84" i="29"/>
  <c r="BF84" i="29" s="1"/>
  <c r="AM84" i="29"/>
  <c r="AE84" i="29"/>
  <c r="F85" i="29" a="1"/>
  <c r="F85" i="29" s="1"/>
  <c r="F86" i="29" s="1" a="1"/>
  <c r="F86" i="29" s="1"/>
  <c r="F87" i="29" s="1" a="1"/>
  <c r="F87" i="29" s="1"/>
  <c r="AZ84" i="29"/>
  <c r="BK84" i="29" s="1"/>
  <c r="AR84" i="29"/>
  <c r="AJ84" i="29"/>
  <c r="AY84" i="29"/>
  <c r="BJ84" i="29" s="1"/>
  <c r="AQ84" i="29"/>
  <c r="AI84" i="29"/>
  <c r="BD84" i="29" s="1"/>
  <c r="AF84" i="29"/>
  <c r="AV84" i="29"/>
  <c r="BG84" i="29" s="1"/>
  <c r="AN84" i="29"/>
  <c r="AH84" i="30"/>
  <c r="BE84" i="30"/>
  <c r="BJ520" i="30"/>
  <c r="BO521" i="30"/>
  <c r="BB521" i="30"/>
  <c r="BM521" i="30" s="1"/>
  <c r="AX521" i="30"/>
  <c r="BI521" i="30" s="1"/>
  <c r="AT521" i="30"/>
  <c r="BE521" i="30" s="1"/>
  <c r="AP521" i="30"/>
  <c r="AL521" i="30"/>
  <c r="BA521" i="30"/>
  <c r="BL521" i="30" s="1"/>
  <c r="AW521" i="30"/>
  <c r="BH521" i="30" s="1"/>
  <c r="AS521" i="30"/>
  <c r="AO521" i="30"/>
  <c r="AK521" i="30"/>
  <c r="AG521" i="30"/>
  <c r="F522" i="30" a="1"/>
  <c r="F522" i="30" s="1"/>
  <c r="AZ521" i="30"/>
  <c r="BK521" i="30" s="1"/>
  <c r="AV521" i="30"/>
  <c r="BG521" i="30" s="1"/>
  <c r="AR521" i="30"/>
  <c r="AN521" i="30"/>
  <c r="AJ521" i="30"/>
  <c r="AF521" i="30"/>
  <c r="BC521" i="30"/>
  <c r="AM521" i="30"/>
  <c r="AY521" i="30"/>
  <c r="BJ521" i="30" s="1"/>
  <c r="AI521" i="30"/>
  <c r="BD521" i="30" s="1"/>
  <c r="AU521" i="30"/>
  <c r="BF521" i="30" s="1"/>
  <c r="AE521" i="30"/>
  <c r="AQ521" i="30"/>
  <c r="BM227" i="29"/>
  <c r="AW57" i="24"/>
  <c r="AV58" i="24"/>
  <c r="AH332" i="28"/>
  <c r="AH247" i="28"/>
  <c r="AL247" i="28"/>
  <c r="AL77" i="28"/>
  <c r="BL371" i="29"/>
  <c r="BK376" i="30"/>
  <c r="BK515" i="29"/>
  <c r="BC516" i="29"/>
  <c r="AY516" i="29"/>
  <c r="BJ516" i="29" s="1"/>
  <c r="AU516" i="29"/>
  <c r="BF516" i="29" s="1"/>
  <c r="AQ516" i="29"/>
  <c r="AM516" i="29"/>
  <c r="AI516" i="29"/>
  <c r="BD516" i="29" s="1"/>
  <c r="AE516" i="29"/>
  <c r="BO516" i="29"/>
  <c r="BB516" i="29"/>
  <c r="BM516" i="29" s="1"/>
  <c r="AX516" i="29"/>
  <c r="BI516" i="29" s="1"/>
  <c r="AT516" i="29"/>
  <c r="BE516" i="29" s="1"/>
  <c r="AP516" i="29"/>
  <c r="AL516" i="29"/>
  <c r="AW516" i="29"/>
  <c r="BH516" i="29" s="1"/>
  <c r="AO516" i="29"/>
  <c r="AG516" i="29"/>
  <c r="AV516" i="29"/>
  <c r="BG516" i="29" s="1"/>
  <c r="AN516" i="29"/>
  <c r="AF516" i="29"/>
  <c r="AS516" i="29"/>
  <c r="AR516" i="29"/>
  <c r="BA516" i="29"/>
  <c r="BL516" i="29" s="1"/>
  <c r="AK516" i="29"/>
  <c r="F517" i="29" a="1"/>
  <c r="F517" i="29" s="1"/>
  <c r="F518" i="29" s="1" a="1"/>
  <c r="F518" i="29" s="1"/>
  <c r="F519" i="29" s="1" a="1"/>
  <c r="F519" i="29" s="1"/>
  <c r="AZ516" i="29"/>
  <c r="BK516" i="29" s="1"/>
  <c r="AJ516" i="29"/>
  <c r="AH83" i="29"/>
  <c r="AJ163" i="28"/>
  <c r="AF163" i="28"/>
  <c r="AK163" i="28"/>
  <c r="AE163" i="28"/>
  <c r="F164" i="28" a="1"/>
  <c r="F164" i="28" s="1"/>
  <c r="F165" i="28" s="1" a="1"/>
  <c r="F165" i="28" s="1"/>
  <c r="AI163" i="28"/>
  <c r="AG163" i="28"/>
  <c r="AN163" i="28"/>
  <c r="AH520" i="30"/>
  <c r="BH520" i="30"/>
  <c r="BO233" i="30"/>
  <c r="BB233" i="30"/>
  <c r="BM233" i="30" s="1"/>
  <c r="AX233" i="30"/>
  <c r="BI233" i="30" s="1"/>
  <c r="AT233" i="30"/>
  <c r="BE233" i="30" s="1"/>
  <c r="AP233" i="30"/>
  <c r="AL233" i="30"/>
  <c r="BA233" i="30"/>
  <c r="BL233" i="30" s="1"/>
  <c r="AW233" i="30"/>
  <c r="BH233" i="30" s="1"/>
  <c r="AS233" i="30"/>
  <c r="AO233" i="30"/>
  <c r="AK233" i="30"/>
  <c r="AG233" i="30"/>
  <c r="F234" i="30" a="1"/>
  <c r="F234" i="30" s="1"/>
  <c r="AZ233" i="30"/>
  <c r="BK233" i="30" s="1"/>
  <c r="AV233" i="30"/>
  <c r="AR233" i="30"/>
  <c r="AN233" i="30"/>
  <c r="AJ233" i="30"/>
  <c r="AF233" i="30"/>
  <c r="BC233" i="30"/>
  <c r="AM233" i="30"/>
  <c r="AU233" i="30"/>
  <c r="BF233" i="30" s="1"/>
  <c r="AE233" i="30"/>
  <c r="AQ233" i="30"/>
  <c r="AY233" i="30"/>
  <c r="BJ233" i="30" s="1"/>
  <c r="AI233" i="30"/>
  <c r="BD233" i="30" s="1"/>
  <c r="BL227" i="29"/>
  <c r="AH227" i="29"/>
  <c r="BD227" i="29"/>
  <c r="BJ227" i="29"/>
  <c r="F229" i="29" a="1"/>
  <c r="F229" i="29" s="1"/>
  <c r="F230" i="29" s="1" a="1"/>
  <c r="F230" i="29" s="1"/>
  <c r="F231" i="29" s="1" a="1"/>
  <c r="F231" i="29" s="1"/>
  <c r="AZ228" i="29"/>
  <c r="BK228" i="29" s="1"/>
  <c r="AV228" i="29"/>
  <c r="BG228" i="29" s="1"/>
  <c r="AR228" i="29"/>
  <c r="AN228" i="29"/>
  <c r="AJ228" i="29"/>
  <c r="AF228" i="29"/>
  <c r="BC228" i="29"/>
  <c r="AY228" i="29"/>
  <c r="BJ228" i="29" s="1"/>
  <c r="AU228" i="29"/>
  <c r="BF228" i="29" s="1"/>
  <c r="AQ228" i="29"/>
  <c r="AM228" i="29"/>
  <c r="AI228" i="29"/>
  <c r="BD228" i="29" s="1"/>
  <c r="AE228" i="29"/>
  <c r="AW228" i="29"/>
  <c r="BH228" i="29" s="1"/>
  <c r="AO228" i="29"/>
  <c r="AG228" i="29"/>
  <c r="BB228" i="29"/>
  <c r="BM228" i="29" s="1"/>
  <c r="AT228" i="29"/>
  <c r="BE228" i="29" s="1"/>
  <c r="AL228" i="29"/>
  <c r="BA228" i="29"/>
  <c r="BL228" i="29" s="1"/>
  <c r="AS228" i="29"/>
  <c r="AK228" i="29"/>
  <c r="AX228" i="29"/>
  <c r="BI228" i="29" s="1"/>
  <c r="AP228" i="29"/>
  <c r="BO228" i="29"/>
  <c r="AQ28" i="29"/>
  <c r="AH77" i="28"/>
  <c r="AW33" i="24"/>
  <c r="AV34" i="24"/>
  <c r="BK172" i="29"/>
  <c r="BA172" i="29"/>
  <c r="BH371" i="29"/>
  <c r="BD376" i="30"/>
  <c r="AH87" i="30" l="1"/>
  <c r="BK28" i="29"/>
  <c r="BA28" i="29"/>
  <c r="AL248" i="28"/>
  <c r="AL163" i="28"/>
  <c r="AX33" i="24"/>
  <c r="AX34" i="24" s="1"/>
  <c r="AW34" i="24"/>
  <c r="AN165" i="28"/>
  <c r="AI165" i="28"/>
  <c r="AE165" i="28"/>
  <c r="AG165" i="28"/>
  <c r="AK165" i="28"/>
  <c r="AF165" i="28"/>
  <c r="F166" i="28" a="1"/>
  <c r="F166" i="28" s="1"/>
  <c r="AJ165" i="28"/>
  <c r="AX57" i="24"/>
  <c r="AX58" i="24" s="1"/>
  <c r="AW58" i="24"/>
  <c r="F88" i="29" a="1"/>
  <c r="F88" i="29" s="1"/>
  <c r="AZ87" i="29"/>
  <c r="BK87" i="29" s="1"/>
  <c r="AV87" i="29"/>
  <c r="BG87" i="29" s="1"/>
  <c r="AR87" i="29"/>
  <c r="AN87" i="29"/>
  <c r="AJ87" i="29"/>
  <c r="AF87" i="29"/>
  <c r="BC87" i="29"/>
  <c r="AY87" i="29"/>
  <c r="BJ87" i="29" s="1"/>
  <c r="AU87" i="29"/>
  <c r="BF87" i="29" s="1"/>
  <c r="AQ87" i="29"/>
  <c r="AM87" i="29"/>
  <c r="AI87" i="29"/>
  <c r="AE87" i="29"/>
  <c r="BA87" i="29"/>
  <c r="BL87" i="29" s="1"/>
  <c r="AS87" i="29"/>
  <c r="AK87" i="29"/>
  <c r="BO87" i="29"/>
  <c r="AX87" i="29"/>
  <c r="AP87" i="29"/>
  <c r="AW87" i="29"/>
  <c r="AO87" i="29"/>
  <c r="AG87" i="29"/>
  <c r="AL87" i="29"/>
  <c r="BB87" i="29"/>
  <c r="BM87" i="29" s="1"/>
  <c r="AT87" i="29"/>
  <c r="BE87" i="29" s="1"/>
  <c r="BK460" i="29"/>
  <c r="BA460" i="29"/>
  <c r="BF372" i="29"/>
  <c r="BK372" i="29"/>
  <c r="F251" i="28" a="1"/>
  <c r="F251" i="28" s="1"/>
  <c r="AK250" i="28"/>
  <c r="AG250" i="28"/>
  <c r="AI250" i="28"/>
  <c r="AN250" i="28"/>
  <c r="AF250" i="28"/>
  <c r="AE250" i="28"/>
  <c r="AJ250" i="28"/>
  <c r="BO234" i="30"/>
  <c r="BB234" i="30"/>
  <c r="AX234" i="30"/>
  <c r="AT234" i="30"/>
  <c r="AP234" i="30"/>
  <c r="AP223" i="30" s="1"/>
  <c r="AL234" i="30"/>
  <c r="AL223" i="30" s="1"/>
  <c r="BA234" i="30"/>
  <c r="AW234" i="30"/>
  <c r="AS234" i="30"/>
  <c r="AS223" i="30" s="1"/>
  <c r="AO234" i="30"/>
  <c r="AO223" i="30" s="1"/>
  <c r="AK234" i="30"/>
  <c r="AK223" i="30" s="1"/>
  <c r="AG234" i="30"/>
  <c r="F235" i="30" a="1"/>
  <c r="F235" i="30" s="1"/>
  <c r="AZ234" i="30"/>
  <c r="AV234" i="30"/>
  <c r="BG234" i="30" s="1"/>
  <c r="AR234" i="30"/>
  <c r="AR223" i="30" s="1"/>
  <c r="AN234" i="30"/>
  <c r="AN223" i="30" s="1"/>
  <c r="AJ234" i="30"/>
  <c r="AJ223" i="30" s="1"/>
  <c r="AF234" i="30"/>
  <c r="AF223" i="30" s="1"/>
  <c r="AU234" i="30"/>
  <c r="AE234" i="30"/>
  <c r="AE223" i="30" s="1"/>
  <c r="BC234" i="30"/>
  <c r="BC223" i="30" s="1"/>
  <c r="AM234" i="30"/>
  <c r="AM223" i="30" s="1"/>
  <c r="AY234" i="30"/>
  <c r="AI234" i="30"/>
  <c r="AQ234" i="30"/>
  <c r="AQ223" i="30" s="1"/>
  <c r="BA519" i="29"/>
  <c r="AW519" i="29"/>
  <c r="AS519" i="29"/>
  <c r="AO519" i="29"/>
  <c r="AK519" i="29"/>
  <c r="AG519" i="29"/>
  <c r="F520" i="29" a="1"/>
  <c r="F520" i="29" s="1"/>
  <c r="AZ519" i="29"/>
  <c r="BK519" i="29" s="1"/>
  <c r="AV519" i="29"/>
  <c r="AR519" i="29"/>
  <c r="AN519" i="29"/>
  <c r="AJ519" i="29"/>
  <c r="AF519" i="29"/>
  <c r="BB519" i="29"/>
  <c r="BM519" i="29" s="1"/>
  <c r="AT519" i="29"/>
  <c r="BE519" i="29" s="1"/>
  <c r="AL519" i="29"/>
  <c r="AY519" i="29"/>
  <c r="BJ519" i="29" s="1"/>
  <c r="AQ519" i="29"/>
  <c r="AI519" i="29"/>
  <c r="BC519" i="29"/>
  <c r="AM519" i="29"/>
  <c r="BO519" i="29"/>
  <c r="AX519" i="29"/>
  <c r="BI519" i="29" s="1"/>
  <c r="AU519" i="29"/>
  <c r="BF519" i="29" s="1"/>
  <c r="AE519" i="29"/>
  <c r="AP519" i="29"/>
  <c r="AH516" i="29"/>
  <c r="AH84" i="29"/>
  <c r="BG377" i="30"/>
  <c r="AX49" i="24"/>
  <c r="AX50" i="24" s="1"/>
  <c r="AW50" i="24"/>
  <c r="BE372" i="29"/>
  <c r="BD372" i="29"/>
  <c r="BO375" i="29"/>
  <c r="BB375" i="29"/>
  <c r="BM375" i="29" s="1"/>
  <c r="AX375" i="29"/>
  <c r="BI375" i="29" s="1"/>
  <c r="AT375" i="29"/>
  <c r="BE375" i="29" s="1"/>
  <c r="AP375" i="29"/>
  <c r="AL375" i="29"/>
  <c r="BA375" i="29"/>
  <c r="AW375" i="29"/>
  <c r="AS375" i="29"/>
  <c r="AO375" i="29"/>
  <c r="AK375" i="29"/>
  <c r="AG375" i="29"/>
  <c r="F376" i="29" a="1"/>
  <c r="F376" i="29" s="1"/>
  <c r="AZ375" i="29"/>
  <c r="BK375" i="29" s="1"/>
  <c r="AR375" i="29"/>
  <c r="AJ375" i="29"/>
  <c r="AY375" i="29"/>
  <c r="AQ375" i="29"/>
  <c r="AI375" i="29"/>
  <c r="BD375" i="29" s="1"/>
  <c r="BC375" i="29"/>
  <c r="AM375" i="29"/>
  <c r="AV375" i="29"/>
  <c r="BG375" i="29" s="1"/>
  <c r="AF375" i="29"/>
  <c r="AU375" i="29"/>
  <c r="BF375" i="29" s="1"/>
  <c r="AE375" i="29"/>
  <c r="AN375" i="29"/>
  <c r="F81" i="28" a="1"/>
  <c r="F81" i="28" s="1"/>
  <c r="AK80" i="28"/>
  <c r="AG80" i="28"/>
  <c r="AJ80" i="28"/>
  <c r="AF80" i="28"/>
  <c r="AI80" i="28"/>
  <c r="AN80" i="28"/>
  <c r="AE80" i="28"/>
  <c r="BL172" i="29"/>
  <c r="BB172" i="29"/>
  <c r="AH228" i="29"/>
  <c r="BO231" i="29"/>
  <c r="BB231" i="29"/>
  <c r="BM231" i="29" s="1"/>
  <c r="AX231" i="29"/>
  <c r="BI231" i="29" s="1"/>
  <c r="AT231" i="29"/>
  <c r="BE231" i="29" s="1"/>
  <c r="AP231" i="29"/>
  <c r="AL231" i="29"/>
  <c r="BA231" i="29"/>
  <c r="BL231" i="29" s="1"/>
  <c r="AW231" i="29"/>
  <c r="BH231" i="29" s="1"/>
  <c r="AS231" i="29"/>
  <c r="AO231" i="29"/>
  <c r="AK231" i="29"/>
  <c r="AG231" i="29"/>
  <c r="AY231" i="29"/>
  <c r="AQ231" i="29"/>
  <c r="AI231" i="29"/>
  <c r="BD231" i="29" s="1"/>
  <c r="AV231" i="29"/>
  <c r="BG231" i="29" s="1"/>
  <c r="AN231" i="29"/>
  <c r="AF231" i="29"/>
  <c r="BC231" i="29"/>
  <c r="AU231" i="29"/>
  <c r="BF231" i="29" s="1"/>
  <c r="AM231" i="29"/>
  <c r="AE231" i="29"/>
  <c r="AZ231" i="29"/>
  <c r="BK231" i="29" s="1"/>
  <c r="AR231" i="29"/>
  <c r="F232" i="29" a="1"/>
  <c r="F232" i="29" s="1"/>
  <c r="AJ231" i="29"/>
  <c r="AH233" i="30"/>
  <c r="AH163" i="28"/>
  <c r="BO522" i="30"/>
  <c r="BB522" i="30"/>
  <c r="AX522" i="30"/>
  <c r="AT522" i="30"/>
  <c r="AP522" i="30"/>
  <c r="AP511" i="30" s="1"/>
  <c r="AL522" i="30"/>
  <c r="AL511" i="30" s="1"/>
  <c r="BA522" i="30"/>
  <c r="AW522" i="30"/>
  <c r="AS522" i="30"/>
  <c r="AS511" i="30" s="1"/>
  <c r="AO522" i="30"/>
  <c r="AO511" i="30" s="1"/>
  <c r="AK522" i="30"/>
  <c r="AK511" i="30" s="1"/>
  <c r="AG522" i="30"/>
  <c r="F523" i="30" a="1"/>
  <c r="F523" i="30" s="1"/>
  <c r="AZ522" i="30"/>
  <c r="AV522" i="30"/>
  <c r="AR522" i="30"/>
  <c r="AR511" i="30" s="1"/>
  <c r="AN522" i="30"/>
  <c r="AN511" i="30" s="1"/>
  <c r="AJ522" i="30"/>
  <c r="AJ511" i="30" s="1"/>
  <c r="AF522" i="30"/>
  <c r="AF511" i="30" s="1"/>
  <c r="AU522" i="30"/>
  <c r="AE522" i="30"/>
  <c r="AE511" i="30" s="1"/>
  <c r="AQ522" i="30"/>
  <c r="AQ511" i="30" s="1"/>
  <c r="BC522" i="30"/>
  <c r="BC511" i="30" s="1"/>
  <c r="AM522" i="30"/>
  <c r="AM511" i="30" s="1"/>
  <c r="AI522" i="30"/>
  <c r="AY522" i="30"/>
  <c r="BJ522" i="30" s="1"/>
  <c r="AH377" i="30"/>
  <c r="BE377" i="30"/>
  <c r="AR172" i="29"/>
  <c r="AR316" i="29"/>
  <c r="F89" i="30" a="1"/>
  <c r="F89" i="30" s="1"/>
  <c r="AZ88" i="30"/>
  <c r="AV88" i="30"/>
  <c r="BG88" i="30" s="1"/>
  <c r="AR88" i="30"/>
  <c r="AN88" i="30"/>
  <c r="AJ88" i="30"/>
  <c r="AF88" i="30"/>
  <c r="BC88" i="30"/>
  <c r="AY88" i="30"/>
  <c r="AU88" i="30"/>
  <c r="BF88" i="30" s="1"/>
  <c r="AQ88" i="30"/>
  <c r="AM88" i="30"/>
  <c r="AI88" i="30"/>
  <c r="BD88" i="30" s="1"/>
  <c r="AE88" i="30"/>
  <c r="BO88" i="30"/>
  <c r="BB88" i="30"/>
  <c r="BM88" i="30" s="1"/>
  <c r="AX88" i="30"/>
  <c r="AT88" i="30"/>
  <c r="AP88" i="30"/>
  <c r="AL88" i="30"/>
  <c r="BA88" i="30"/>
  <c r="AK88" i="30"/>
  <c r="AW88" i="30"/>
  <c r="AG88" i="30"/>
  <c r="AS88" i="30"/>
  <c r="AO88" i="30"/>
  <c r="AH372" i="29"/>
  <c r="BI372" i="29"/>
  <c r="AH333" i="28"/>
  <c r="AL333" i="28"/>
  <c r="AQ460" i="29"/>
  <c r="AR28" i="29"/>
  <c r="BG233" i="30"/>
  <c r="AH521" i="30"/>
  <c r="BF377" i="30"/>
  <c r="BO378" i="30"/>
  <c r="BB378" i="30"/>
  <c r="AX378" i="30"/>
  <c r="AT378" i="30"/>
  <c r="BE378" i="30" s="1"/>
  <c r="AP378" i="30"/>
  <c r="AP367" i="30" s="1"/>
  <c r="AL378" i="30"/>
  <c r="AL367" i="30" s="1"/>
  <c r="F379" i="30" a="1"/>
  <c r="F379" i="30" s="1"/>
  <c r="AZ378" i="30"/>
  <c r="AV378" i="30"/>
  <c r="BG378" i="30" s="1"/>
  <c r="AR378" i="30"/>
  <c r="AR367" i="30" s="1"/>
  <c r="AN378" i="30"/>
  <c r="AN367" i="30" s="1"/>
  <c r="AJ378" i="30"/>
  <c r="AJ367" i="30" s="1"/>
  <c r="AF378" i="30"/>
  <c r="AF367" i="30" s="1"/>
  <c r="AW378" i="30"/>
  <c r="AO378" i="30"/>
  <c r="AO367" i="30" s="1"/>
  <c r="AG378" i="30"/>
  <c r="BC378" i="30"/>
  <c r="BC367" i="30" s="1"/>
  <c r="AU378" i="30"/>
  <c r="BF378" i="30" s="1"/>
  <c r="AM378" i="30"/>
  <c r="AM367" i="30" s="1"/>
  <c r="AE378" i="30"/>
  <c r="AE367" i="30" s="1"/>
  <c r="BA378" i="30"/>
  <c r="AS378" i="30"/>
  <c r="AS367" i="30" s="1"/>
  <c r="AK378" i="30"/>
  <c r="AK367" i="30" s="1"/>
  <c r="AY378" i="30"/>
  <c r="AQ378" i="30"/>
  <c r="AQ367" i="30" s="1"/>
  <c r="AI378" i="30"/>
  <c r="AX41" i="24"/>
  <c r="AX42" i="24" s="1"/>
  <c r="AW42" i="24"/>
  <c r="BL316" i="29"/>
  <c r="BB316" i="29"/>
  <c r="BM372" i="29"/>
  <c r="BG372" i="29"/>
  <c r="AH78" i="28"/>
  <c r="AH248" i="28"/>
  <c r="AN335" i="28"/>
  <c r="AI335" i="28"/>
  <c r="AE335" i="28"/>
  <c r="AJ335" i="28"/>
  <c r="F336" i="28" a="1"/>
  <c r="F336" i="28" s="1"/>
  <c r="AG335" i="28"/>
  <c r="AF335" i="28"/>
  <c r="AK335" i="28"/>
  <c r="AV223" i="30" l="1"/>
  <c r="AH87" i="29"/>
  <c r="BB28" i="29"/>
  <c r="BL28" i="29"/>
  <c r="AT367" i="30"/>
  <c r="AL335" i="28"/>
  <c r="BM316" i="29"/>
  <c r="BC316" i="29"/>
  <c r="BB379" i="30"/>
  <c r="BM379" i="30" s="1"/>
  <c r="AX379" i="30"/>
  <c r="BI379" i="30" s="1"/>
  <c r="AT379" i="30"/>
  <c r="AP379" i="30"/>
  <c r="AL379" i="30"/>
  <c r="AZ379" i="30"/>
  <c r="BK379" i="30" s="1"/>
  <c r="AV379" i="30"/>
  <c r="BG379" i="30" s="1"/>
  <c r="AR379" i="30"/>
  <c r="AN379" i="30"/>
  <c r="AJ379" i="30"/>
  <c r="AF379" i="30"/>
  <c r="AW379" i="30"/>
  <c r="BH379" i="30" s="1"/>
  <c r="AO379" i="30"/>
  <c r="AG379" i="30"/>
  <c r="BC379" i="30"/>
  <c r="AU379" i="30"/>
  <c r="BF379" i="30" s="1"/>
  <c r="AM379" i="30"/>
  <c r="AE379" i="30"/>
  <c r="BA379" i="30"/>
  <c r="BL379" i="30" s="1"/>
  <c r="AS379" i="30"/>
  <c r="AK379" i="30"/>
  <c r="AY379" i="30"/>
  <c r="BJ379" i="30" s="1"/>
  <c r="AQ379" i="30"/>
  <c r="F380" i="30" a="1"/>
  <c r="F380" i="30" s="1"/>
  <c r="F381" i="30" s="1" a="1"/>
  <c r="F381" i="30" s="1"/>
  <c r="AI379" i="30"/>
  <c r="BD379" i="30" s="1"/>
  <c r="BH88" i="30"/>
  <c r="AH80" i="28"/>
  <c r="BD519" i="29"/>
  <c r="AL165" i="28"/>
  <c r="F337" i="28" a="1"/>
  <c r="F337" i="28" s="1"/>
  <c r="F338" i="28" s="1" a="1"/>
  <c r="F338" i="28" s="1"/>
  <c r="F339" i="28" s="1" a="1"/>
  <c r="F339" i="28" s="1"/>
  <c r="F340" i="28" s="1" a="1"/>
  <c r="F340" i="28" s="1"/>
  <c r="AK336" i="28"/>
  <c r="AG336" i="28"/>
  <c r="AG334" i="28" s="1"/>
  <c r="AN336" i="28"/>
  <c r="AE336" i="28"/>
  <c r="AE334" i="28" s="1"/>
  <c r="AE348" i="28" s="1"/>
  <c r="AJ336" i="28"/>
  <c r="AI336" i="28"/>
  <c r="AL336" i="28" s="1"/>
  <c r="AF336" i="28"/>
  <c r="BD378" i="30"/>
  <c r="AI367" i="30"/>
  <c r="BH378" i="30"/>
  <c r="AW367" i="30"/>
  <c r="BM378" i="30"/>
  <c r="BB367" i="30"/>
  <c r="BE88" i="30"/>
  <c r="BK88" i="30"/>
  <c r="BD522" i="30"/>
  <c r="AI511" i="30"/>
  <c r="BO523" i="30"/>
  <c r="BB523" i="30"/>
  <c r="BM523" i="30" s="1"/>
  <c r="AX523" i="30"/>
  <c r="BI523" i="30" s="1"/>
  <c r="AT523" i="30"/>
  <c r="BE523" i="30" s="1"/>
  <c r="AP523" i="30"/>
  <c r="AL523" i="30"/>
  <c r="BA523" i="30"/>
  <c r="BL523" i="30" s="1"/>
  <c r="AW523" i="30"/>
  <c r="BH523" i="30" s="1"/>
  <c r="AS523" i="30"/>
  <c r="AO523" i="30"/>
  <c r="AK523" i="30"/>
  <c r="AG523" i="30"/>
  <c r="F524" i="30" a="1"/>
  <c r="F524" i="30" s="1"/>
  <c r="F525" i="30" s="1" a="1"/>
  <c r="F525" i="30" s="1"/>
  <c r="AZ523" i="30"/>
  <c r="BK523" i="30" s="1"/>
  <c r="AV523" i="30"/>
  <c r="BG523" i="30" s="1"/>
  <c r="AR523" i="30"/>
  <c r="AN523" i="30"/>
  <c r="AJ523" i="30"/>
  <c r="AF523" i="30"/>
  <c r="BC523" i="30"/>
  <c r="AM523" i="30"/>
  <c r="AY523" i="30"/>
  <c r="BJ523" i="30" s="1"/>
  <c r="AI523" i="30"/>
  <c r="BD523" i="30" s="1"/>
  <c r="AU523" i="30"/>
  <c r="BF523" i="30" s="1"/>
  <c r="AE523" i="30"/>
  <c r="AQ523" i="30"/>
  <c r="BO232" i="29"/>
  <c r="BB232" i="29"/>
  <c r="BM232" i="29" s="1"/>
  <c r="AX232" i="29"/>
  <c r="AT232" i="29"/>
  <c r="BE232" i="29" s="1"/>
  <c r="AP232" i="29"/>
  <c r="AL232" i="29"/>
  <c r="BA232" i="29"/>
  <c r="AW232" i="29"/>
  <c r="AS232" i="29"/>
  <c r="AO232" i="29"/>
  <c r="AK232" i="29"/>
  <c r="AG232" i="29"/>
  <c r="AY232" i="29"/>
  <c r="BJ232" i="29" s="1"/>
  <c r="AQ232" i="29"/>
  <c r="AI232" i="29"/>
  <c r="AV232" i="29"/>
  <c r="BG232" i="29" s="1"/>
  <c r="AN232" i="29"/>
  <c r="AF232" i="29"/>
  <c r="BC232" i="29"/>
  <c r="AU232" i="29"/>
  <c r="AM232" i="29"/>
  <c r="AE232" i="29"/>
  <c r="AZ232" i="29"/>
  <c r="BK232" i="29" s="1"/>
  <c r="AR232" i="29"/>
  <c r="F233" i="29" a="1"/>
  <c r="F233" i="29" s="1"/>
  <c r="AJ232" i="29"/>
  <c r="BJ231" i="29"/>
  <c r="AL80" i="28"/>
  <c r="AH375" i="29"/>
  <c r="BH375" i="29"/>
  <c r="AH519" i="29"/>
  <c r="BH519" i="29"/>
  <c r="BJ234" i="30"/>
  <c r="AY223" i="30"/>
  <c r="BF234" i="30"/>
  <c r="AU223" i="30"/>
  <c r="AH234" i="30"/>
  <c r="AG223" i="30"/>
  <c r="BH234" i="30"/>
  <c r="AW223" i="30"/>
  <c r="BE234" i="30"/>
  <c r="AT223" i="30"/>
  <c r="AJ251" i="28"/>
  <c r="AJ249" i="28" s="1"/>
  <c r="AJ263" i="28" s="1"/>
  <c r="AF251" i="28"/>
  <c r="AF249" i="28" s="1"/>
  <c r="AF263" i="28" s="1"/>
  <c r="AG251" i="28"/>
  <c r="AK251" i="28"/>
  <c r="AE251" i="28"/>
  <c r="AE249" i="28" s="1"/>
  <c r="AE263" i="28" s="1"/>
  <c r="F252" i="28" a="1"/>
  <c r="F252" i="28" s="1"/>
  <c r="F253" i="28" s="1" a="1"/>
  <c r="F253" i="28" s="1"/>
  <c r="F254" i="28" s="1" a="1"/>
  <c r="F254" i="28" s="1"/>
  <c r="F255" i="28" s="1" a="1"/>
  <c r="F255" i="28" s="1"/>
  <c r="AI251" i="28"/>
  <c r="AL251" i="28" s="1"/>
  <c r="AN251" i="28"/>
  <c r="BI87" i="29"/>
  <c r="BI378" i="30"/>
  <c r="AX367" i="30"/>
  <c r="BG223" i="30"/>
  <c r="AS316" i="29"/>
  <c r="BK522" i="30"/>
  <c r="AZ511" i="30"/>
  <c r="BM522" i="30"/>
  <c r="BB511" i="30"/>
  <c r="BC172" i="29"/>
  <c r="BM172" i="29"/>
  <c r="BJ375" i="29"/>
  <c r="BB376" i="29"/>
  <c r="AX376" i="29"/>
  <c r="AT376" i="29"/>
  <c r="AP376" i="29"/>
  <c r="AL376" i="29"/>
  <c r="BA376" i="29"/>
  <c r="BL376" i="29" s="1"/>
  <c r="AW376" i="29"/>
  <c r="BH376" i="29" s="1"/>
  <c r="AS376" i="29"/>
  <c r="AO376" i="29"/>
  <c r="AK376" i="29"/>
  <c r="AG376" i="29"/>
  <c r="AZ376" i="29"/>
  <c r="BK376" i="29" s="1"/>
  <c r="AR376" i="29"/>
  <c r="AJ376" i="29"/>
  <c r="F377" i="29" a="1"/>
  <c r="F377" i="29" s="1"/>
  <c r="AY376" i="29"/>
  <c r="BJ376" i="29" s="1"/>
  <c r="AQ376" i="29"/>
  <c r="AI376" i="29"/>
  <c r="AU376" i="29"/>
  <c r="BF376" i="29" s="1"/>
  <c r="AE376" i="29"/>
  <c r="AN376" i="29"/>
  <c r="BC376" i="29"/>
  <c r="AM376" i="29"/>
  <c r="AV376" i="29"/>
  <c r="AF376" i="29"/>
  <c r="BA520" i="29"/>
  <c r="BL520" i="29" s="1"/>
  <c r="AW520" i="29"/>
  <c r="BH520" i="29" s="1"/>
  <c r="AS520" i="29"/>
  <c r="AO520" i="29"/>
  <c r="AK520" i="29"/>
  <c r="AG520" i="29"/>
  <c r="F521" i="29" a="1"/>
  <c r="F521" i="29" s="1"/>
  <c r="AZ520" i="29"/>
  <c r="AV520" i="29"/>
  <c r="BG520" i="29" s="1"/>
  <c r="AR520" i="29"/>
  <c r="AN520" i="29"/>
  <c r="AJ520" i="29"/>
  <c r="AF520" i="29"/>
  <c r="BB520" i="29"/>
  <c r="BM520" i="29" s="1"/>
  <c r="AT520" i="29"/>
  <c r="BE520" i="29" s="1"/>
  <c r="AL520" i="29"/>
  <c r="AY520" i="29"/>
  <c r="BJ520" i="29" s="1"/>
  <c r="AQ520" i="29"/>
  <c r="AI520" i="29"/>
  <c r="BD520" i="29" s="1"/>
  <c r="AU520" i="29"/>
  <c r="BF520" i="29" s="1"/>
  <c r="AE520" i="29"/>
  <c r="AP520" i="29"/>
  <c r="BC520" i="29"/>
  <c r="AM520" i="29"/>
  <c r="BO520" i="29"/>
  <c r="AX520" i="29"/>
  <c r="BI520" i="29" s="1"/>
  <c r="BB235" i="30"/>
  <c r="BM235" i="30" s="1"/>
  <c r="AX235" i="30"/>
  <c r="BI235" i="30" s="1"/>
  <c r="AT235" i="30"/>
  <c r="AP235" i="30"/>
  <c r="AL235" i="30"/>
  <c r="BA235" i="30"/>
  <c r="BL235" i="30" s="1"/>
  <c r="AW235" i="30"/>
  <c r="BH235" i="30" s="1"/>
  <c r="AS235" i="30"/>
  <c r="AO235" i="30"/>
  <c r="AK235" i="30"/>
  <c r="AG235" i="30"/>
  <c r="AZ235" i="30"/>
  <c r="BK235" i="30" s="1"/>
  <c r="AV235" i="30"/>
  <c r="BG235" i="30" s="1"/>
  <c r="AR235" i="30"/>
  <c r="AN235" i="30"/>
  <c r="AJ235" i="30"/>
  <c r="AF235" i="30"/>
  <c r="BC235" i="30"/>
  <c r="AM235" i="30"/>
  <c r="AU235" i="30"/>
  <c r="BF235" i="30" s="1"/>
  <c r="AE235" i="30"/>
  <c r="AQ235" i="30"/>
  <c r="AI235" i="30"/>
  <c r="BD235" i="30" s="1"/>
  <c r="F236" i="30" a="1"/>
  <c r="F236" i="30" s="1"/>
  <c r="F237" i="30" s="1" a="1"/>
  <c r="F237" i="30" s="1"/>
  <c r="AY235" i="30"/>
  <c r="BJ235" i="30" s="1"/>
  <c r="AK249" i="28"/>
  <c r="BB460" i="29"/>
  <c r="BL460" i="29"/>
  <c r="AK334" i="28"/>
  <c r="AJ334" i="28"/>
  <c r="AJ348" i="28" s="1"/>
  <c r="BL378" i="30"/>
  <c r="BA367" i="30"/>
  <c r="AY511" i="30"/>
  <c r="AR460" i="29"/>
  <c r="BL88" i="30"/>
  <c r="BI88" i="30"/>
  <c r="BJ88" i="30"/>
  <c r="F90" i="30" a="1"/>
  <c r="F90" i="30" s="1"/>
  <c r="AZ89" i="30"/>
  <c r="BK89" i="30" s="1"/>
  <c r="AV89" i="30"/>
  <c r="BG89" i="30" s="1"/>
  <c r="AR89" i="30"/>
  <c r="AN89" i="30"/>
  <c r="AJ89" i="30"/>
  <c r="AF89" i="30"/>
  <c r="BC89" i="30"/>
  <c r="AY89" i="30"/>
  <c r="BJ89" i="30" s="1"/>
  <c r="AU89" i="30"/>
  <c r="BF89" i="30" s="1"/>
  <c r="AQ89" i="30"/>
  <c r="AM89" i="30"/>
  <c r="AI89" i="30"/>
  <c r="AE89" i="30"/>
  <c r="BO89" i="30"/>
  <c r="BB89" i="30"/>
  <c r="BM89" i="30" s="1"/>
  <c r="AX89" i="30"/>
  <c r="BI89" i="30" s="1"/>
  <c r="AT89" i="30"/>
  <c r="BE89" i="30" s="1"/>
  <c r="AP89" i="30"/>
  <c r="AL89" i="30"/>
  <c r="AS89" i="30"/>
  <c r="AO89" i="30"/>
  <c r="AW89" i="30"/>
  <c r="BH89" i="30" s="1"/>
  <c r="AK89" i="30"/>
  <c r="BA89" i="30"/>
  <c r="BL89" i="30" s="1"/>
  <c r="AG89" i="30"/>
  <c r="BF522" i="30"/>
  <c r="AU511" i="30"/>
  <c r="AH522" i="30"/>
  <c r="AG511" i="30"/>
  <c r="BH522" i="30"/>
  <c r="AW511" i="30"/>
  <c r="BE522" i="30"/>
  <c r="AT511" i="30"/>
  <c r="AH231" i="29"/>
  <c r="AJ81" i="28"/>
  <c r="AJ79" i="28" s="1"/>
  <c r="AJ93" i="28" s="1"/>
  <c r="AF81" i="28"/>
  <c r="AF79" i="28" s="1"/>
  <c r="AF93" i="28" s="1"/>
  <c r="AN81" i="28"/>
  <c r="AI81" i="28"/>
  <c r="AL81" i="28" s="1"/>
  <c r="AE81" i="28"/>
  <c r="AE79" i="28" s="1"/>
  <c r="AE93" i="28" s="1"/>
  <c r="AK81" i="28"/>
  <c r="AK79" i="28" s="1"/>
  <c r="F82" i="28" a="1"/>
  <c r="F82" i="28" s="1"/>
  <c r="F83" i="28" s="1" a="1"/>
  <c r="F83" i="28" s="1"/>
  <c r="F84" i="28" s="1" a="1"/>
  <c r="F84" i="28" s="1"/>
  <c r="F85" i="28" s="1" a="1"/>
  <c r="F85" i="28" s="1"/>
  <c r="AG81" i="28"/>
  <c r="BL375" i="29"/>
  <c r="BG519" i="29"/>
  <c r="BL519" i="29"/>
  <c r="BL234" i="30"/>
  <c r="BA223" i="30"/>
  <c r="BI234" i="30"/>
  <c r="AX223" i="30"/>
  <c r="AL250" i="28"/>
  <c r="AH165" i="28"/>
  <c r="AH335" i="28"/>
  <c r="BD234" i="30"/>
  <c r="AI223" i="30"/>
  <c r="AF334" i="28"/>
  <c r="AF348" i="28" s="1"/>
  <c r="BJ378" i="30"/>
  <c r="AY367" i="30"/>
  <c r="AH378" i="30"/>
  <c r="AG367" i="30"/>
  <c r="BK378" i="30"/>
  <c r="AZ367" i="30"/>
  <c r="AU367" i="30"/>
  <c r="AS28" i="29"/>
  <c r="AH88" i="30"/>
  <c r="AS172" i="29"/>
  <c r="BG522" i="30"/>
  <c r="AV511" i="30"/>
  <c r="BL522" i="30"/>
  <c r="BA511" i="30"/>
  <c r="BI522" i="30"/>
  <c r="AX511" i="30"/>
  <c r="AV367" i="30"/>
  <c r="BK234" i="30"/>
  <c r="AZ223" i="30"/>
  <c r="BM234" i="30"/>
  <c r="BB223" i="30"/>
  <c r="AH250" i="28"/>
  <c r="BH87" i="29"/>
  <c r="BD87" i="29"/>
  <c r="F89" i="29" a="1"/>
  <c r="F89" i="29" s="1"/>
  <c r="AZ88" i="29"/>
  <c r="AV88" i="29"/>
  <c r="AR88" i="29"/>
  <c r="AN88" i="29"/>
  <c r="AJ88" i="29"/>
  <c r="AF88" i="29"/>
  <c r="BC88" i="29"/>
  <c r="AY88" i="29"/>
  <c r="AU88" i="29"/>
  <c r="AQ88" i="29"/>
  <c r="AM88" i="29"/>
  <c r="AI88" i="29"/>
  <c r="BD88" i="29" s="1"/>
  <c r="AE88" i="29"/>
  <c r="BA88" i="29"/>
  <c r="AS88" i="29"/>
  <c r="AK88" i="29"/>
  <c r="BO88" i="29"/>
  <c r="AX88" i="29"/>
  <c r="BI88" i="29" s="1"/>
  <c r="AP88" i="29"/>
  <c r="AW88" i="29"/>
  <c r="BH88" i="29" s="1"/>
  <c r="AO88" i="29"/>
  <c r="AG88" i="29"/>
  <c r="AH88" i="29" s="1"/>
  <c r="BB88" i="29"/>
  <c r="AT88" i="29"/>
  <c r="BE88" i="29" s="1"/>
  <c r="AL88" i="29"/>
  <c r="F167" i="28" a="1"/>
  <c r="F167" i="28" s="1"/>
  <c r="F168" i="28" s="1" a="1"/>
  <c r="F168" i="28" s="1"/>
  <c r="F169" i="28" s="1" a="1"/>
  <c r="F169" i="28" s="1"/>
  <c r="F170" i="28" s="1" a="1"/>
  <c r="F170" i="28" s="1"/>
  <c r="AJ166" i="28"/>
  <c r="AJ164" i="28" s="1"/>
  <c r="AJ178" i="28" s="1"/>
  <c r="AE166" i="28"/>
  <c r="AE164" i="28" s="1"/>
  <c r="AE178" i="28" s="1"/>
  <c r="AI166" i="28"/>
  <c r="AL166" i="28" s="1"/>
  <c r="AF166" i="28"/>
  <c r="AF164" i="28" s="1"/>
  <c r="AF178" i="28" s="1"/>
  <c r="AN166" i="28"/>
  <c r="AK166" i="28"/>
  <c r="AK164" i="28" s="1"/>
  <c r="AG166" i="28"/>
  <c r="BM28" i="29" l="1"/>
  <c r="BC28" i="29"/>
  <c r="AH89" i="30"/>
  <c r="BD376" i="29"/>
  <c r="AH81" i="28"/>
  <c r="AH379" i="30"/>
  <c r="AH166" i="28"/>
  <c r="AH251" i="28"/>
  <c r="AG164" i="28"/>
  <c r="BD511" i="30"/>
  <c r="AH336" i="28"/>
  <c r="AG79" i="28"/>
  <c r="BG367" i="30"/>
  <c r="BF367" i="30"/>
  <c r="BE511" i="30"/>
  <c r="BM376" i="29"/>
  <c r="BK511" i="30"/>
  <c r="AH223" i="30"/>
  <c r="BM88" i="29"/>
  <c r="AG249" i="28"/>
  <c r="BG511" i="30"/>
  <c r="BK367" i="30"/>
  <c r="AH334" i="28"/>
  <c r="AG348" i="28"/>
  <c r="AH348" i="28" s="1"/>
  <c r="AI249" i="28"/>
  <c r="BL223" i="30"/>
  <c r="AK85" i="28"/>
  <c r="F86" i="28" a="1"/>
  <c r="F86" i="28" s="1"/>
  <c r="BJ511" i="30"/>
  <c r="BL367" i="30"/>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AO237" i="30"/>
  <c r="AW237" i="30"/>
  <c r="AG237" i="30"/>
  <c r="AS237" i="30"/>
  <c r="AK237" i="30"/>
  <c r="BA237" i="30"/>
  <c r="BA521" i="29"/>
  <c r="AW521" i="29"/>
  <c r="BH521" i="29" s="1"/>
  <c r="AS521" i="29"/>
  <c r="AO521" i="29"/>
  <c r="AK521" i="29"/>
  <c r="AG521" i="29"/>
  <c r="F522" i="29" a="1"/>
  <c r="F522" i="29" s="1"/>
  <c r="AZ521" i="29"/>
  <c r="BK521" i="29" s="1"/>
  <c r="AV521" i="29"/>
  <c r="AR521" i="29"/>
  <c r="AN521" i="29"/>
  <c r="AJ521" i="29"/>
  <c r="AF521" i="29"/>
  <c r="BB521" i="29"/>
  <c r="BM521" i="29" s="1"/>
  <c r="AT521" i="29"/>
  <c r="BE521" i="29" s="1"/>
  <c r="AL521" i="29"/>
  <c r="AY521" i="29"/>
  <c r="BJ521" i="29" s="1"/>
  <c r="AQ521" i="29"/>
  <c r="AI521" i="29"/>
  <c r="BD521" i="29" s="1"/>
  <c r="BC521" i="29"/>
  <c r="AM521" i="29"/>
  <c r="BO521" i="29"/>
  <c r="AX521" i="29"/>
  <c r="BI521" i="29" s="1"/>
  <c r="AU521" i="29"/>
  <c r="BF521" i="29" s="1"/>
  <c r="AE521" i="29"/>
  <c r="AP521" i="29"/>
  <c r="BG376" i="29"/>
  <c r="F256" i="28" a="1"/>
  <c r="F256" i="28" s="1"/>
  <c r="AK255" i="28"/>
  <c r="BJ223" i="30"/>
  <c r="AI79" i="28"/>
  <c r="BO233" i="29"/>
  <c r="BB233" i="29"/>
  <c r="BM233" i="29" s="1"/>
  <c r="AX233" i="29"/>
  <c r="BI233" i="29" s="1"/>
  <c r="AT233" i="29"/>
  <c r="BE233" i="29" s="1"/>
  <c r="AP233" i="29"/>
  <c r="AL233" i="29"/>
  <c r="BA233" i="29"/>
  <c r="BL233" i="29" s="1"/>
  <c r="AW233" i="29"/>
  <c r="BH233" i="29" s="1"/>
  <c r="AS233" i="29"/>
  <c r="AO233" i="29"/>
  <c r="AK233" i="29"/>
  <c r="AG233" i="29"/>
  <c r="AY233" i="29"/>
  <c r="AQ233" i="29"/>
  <c r="AI233" i="29"/>
  <c r="BD233" i="29" s="1"/>
  <c r="AV233" i="29"/>
  <c r="BG233" i="29" s="1"/>
  <c r="AN233" i="29"/>
  <c r="AF233" i="29"/>
  <c r="BC233" i="29"/>
  <c r="AU233" i="29"/>
  <c r="BF233" i="29" s="1"/>
  <c r="AM233" i="29"/>
  <c r="AE233" i="29"/>
  <c r="AR233" i="29"/>
  <c r="F234" i="29" a="1"/>
  <c r="F234" i="29" s="1"/>
  <c r="AJ233" i="29"/>
  <c r="AZ233" i="29"/>
  <c r="BK233" i="29" s="1"/>
  <c r="BC525" i="30"/>
  <c r="AY525" i="30"/>
  <c r="AU525" i="30"/>
  <c r="AQ525" i="30"/>
  <c r="AM525" i="30"/>
  <c r="AI525" i="30"/>
  <c r="AE525" i="30"/>
  <c r="BO525" i="30"/>
  <c r="BB525" i="30"/>
  <c r="AX525" i="30"/>
  <c r="AT525" i="30"/>
  <c r="AP525" i="30"/>
  <c r="AL525" i="30"/>
  <c r="BA525" i="30"/>
  <c r="AW525" i="30"/>
  <c r="AS525" i="30"/>
  <c r="AO525" i="30"/>
  <c r="AK525" i="30"/>
  <c r="AG525" i="30"/>
  <c r="AN525" i="30"/>
  <c r="F526" i="30" a="1"/>
  <c r="F526" i="30" s="1"/>
  <c r="AZ525" i="30"/>
  <c r="AJ525" i="30"/>
  <c r="AV525" i="30"/>
  <c r="AF525" i="30"/>
  <c r="AR525" i="30"/>
  <c r="BD367" i="30"/>
  <c r="AI164" i="28"/>
  <c r="BJ88" i="29"/>
  <c r="F90" i="29" a="1"/>
  <c r="F90" i="29" s="1"/>
  <c r="AZ89" i="29"/>
  <c r="BK89" i="29" s="1"/>
  <c r="AV89" i="29"/>
  <c r="BG89" i="29" s="1"/>
  <c r="AR89" i="29"/>
  <c r="AN89" i="29"/>
  <c r="AJ89" i="29"/>
  <c r="AF89" i="29"/>
  <c r="BC89" i="29"/>
  <c r="AY89" i="29"/>
  <c r="BJ89" i="29" s="1"/>
  <c r="AU89" i="29"/>
  <c r="BF89" i="29" s="1"/>
  <c r="AQ89" i="29"/>
  <c r="AM89" i="29"/>
  <c r="AI89" i="29"/>
  <c r="BD89" i="29" s="1"/>
  <c r="AE89" i="29"/>
  <c r="BA89" i="29"/>
  <c r="BL89" i="29" s="1"/>
  <c r="AS89" i="29"/>
  <c r="AK89" i="29"/>
  <c r="BO89" i="29"/>
  <c r="AX89" i="29"/>
  <c r="BI89" i="29" s="1"/>
  <c r="AP89" i="29"/>
  <c r="AW89" i="29"/>
  <c r="BH89" i="29" s="1"/>
  <c r="AO89" i="29"/>
  <c r="AG89" i="29"/>
  <c r="AH89" i="29" s="1"/>
  <c r="BB89" i="29"/>
  <c r="BM89" i="29" s="1"/>
  <c r="AT89" i="29"/>
  <c r="BE89" i="29" s="1"/>
  <c r="AL89" i="29"/>
  <c r="BI511" i="30"/>
  <c r="AH367" i="30"/>
  <c r="AH164" i="28"/>
  <c r="AG178" i="28"/>
  <c r="AH178" i="28" s="1"/>
  <c r="AH511" i="30"/>
  <c r="BE223" i="30"/>
  <c r="F171" i="28" a="1"/>
  <c r="F171" i="28" s="1"/>
  <c r="AK170" i="28"/>
  <c r="BL88" i="29"/>
  <c r="BG88" i="29"/>
  <c r="BL511" i="30"/>
  <c r="BE367" i="30"/>
  <c r="BH511" i="30"/>
  <c r="AH235" i="30"/>
  <c r="BE235" i="30"/>
  <c r="AH520" i="29"/>
  <c r="BC377" i="29"/>
  <c r="AY377" i="29"/>
  <c r="BJ377" i="29" s="1"/>
  <c r="AU377" i="29"/>
  <c r="BF377" i="29" s="1"/>
  <c r="AQ377" i="29"/>
  <c r="AM377" i="29"/>
  <c r="AI377" i="29"/>
  <c r="BD377" i="29" s="1"/>
  <c r="AE377" i="29"/>
  <c r="BO377" i="29"/>
  <c r="BB377" i="29"/>
  <c r="BM377" i="29" s="1"/>
  <c r="AX377" i="29"/>
  <c r="BI377" i="29" s="1"/>
  <c r="AT377" i="29"/>
  <c r="BE377" i="29" s="1"/>
  <c r="AP377" i="29"/>
  <c r="AL377" i="29"/>
  <c r="BA377" i="29"/>
  <c r="AS377" i="29"/>
  <c r="AK377" i="29"/>
  <c r="F378" i="29" a="1"/>
  <c r="F378" i="29" s="1"/>
  <c r="AZ377" i="29"/>
  <c r="AR377" i="29"/>
  <c r="AJ377" i="29"/>
  <c r="AN377" i="29"/>
  <c r="AW377" i="29"/>
  <c r="AG377" i="29"/>
  <c r="AV377" i="29"/>
  <c r="BG377" i="29" s="1"/>
  <c r="AF377" i="29"/>
  <c r="AO377" i="29"/>
  <c r="AH376" i="29"/>
  <c r="BE376" i="29"/>
  <c r="BM511" i="30"/>
  <c r="BH223" i="30"/>
  <c r="BF232" i="29"/>
  <c r="AH232" i="29"/>
  <c r="BH232" i="29"/>
  <c r="AH523" i="30"/>
  <c r="BM367" i="30"/>
  <c r="BH367" i="30"/>
  <c r="F341" i="28" a="1"/>
  <c r="F341" i="28" s="1"/>
  <c r="AK340" i="28"/>
  <c r="F382" i="30" a="1"/>
  <c r="F382" i="30" s="1"/>
  <c r="AZ381" i="30"/>
  <c r="AV381" i="30"/>
  <c r="AR381" i="30"/>
  <c r="AN381" i="30"/>
  <c r="AJ381" i="30"/>
  <c r="AF381" i="30"/>
  <c r="BO381" i="30"/>
  <c r="BB381" i="30"/>
  <c r="AX381" i="30"/>
  <c r="AT381" i="30"/>
  <c r="AP381" i="30"/>
  <c r="AL381" i="30"/>
  <c r="AY381" i="30"/>
  <c r="AQ381" i="30"/>
  <c r="AI381" i="30"/>
  <c r="AW381" i="30"/>
  <c r="AO381" i="30"/>
  <c r="AG381" i="30"/>
  <c r="BC381" i="30"/>
  <c r="AU381" i="30"/>
  <c r="AM381" i="30"/>
  <c r="AE381" i="30"/>
  <c r="AK381" i="30"/>
  <c r="BA381" i="30"/>
  <c r="AS381" i="30"/>
  <c r="BK520" i="29"/>
  <c r="BF88" i="29"/>
  <c r="BK88" i="29"/>
  <c r="BM223" i="30"/>
  <c r="BK223" i="30"/>
  <c r="BJ367" i="30"/>
  <c r="BD223" i="30"/>
  <c r="BI223" i="30"/>
  <c r="BF511" i="30"/>
  <c r="BD89" i="30"/>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BD90" i="30" s="1"/>
  <c r="AE90" i="30"/>
  <c r="AE79" i="30" s="1"/>
  <c r="BO90" i="30"/>
  <c r="BB90" i="30"/>
  <c r="AX90" i="30"/>
  <c r="AT90" i="30"/>
  <c r="BE90" i="30" s="1"/>
  <c r="AP90" i="30"/>
  <c r="AP79" i="30" s="1"/>
  <c r="AL90" i="30"/>
  <c r="AL79" i="30" s="1"/>
  <c r="BA90" i="30"/>
  <c r="AK90" i="30"/>
  <c r="AK79" i="30" s="1"/>
  <c r="AW90" i="30"/>
  <c r="AG90" i="30"/>
  <c r="AO90" i="30"/>
  <c r="AO79" i="30" s="1"/>
  <c r="AS90" i="30"/>
  <c r="AS79" i="30" s="1"/>
  <c r="AS460" i="29"/>
  <c r="BC460" i="29"/>
  <c r="BM460" i="29"/>
  <c r="BI376" i="29"/>
  <c r="BI367" i="30"/>
  <c r="BF223" i="30"/>
  <c r="BD232" i="29"/>
  <c r="BL232" i="29"/>
  <c r="BI232" i="29"/>
  <c r="BE379" i="30"/>
  <c r="AI334" i="28"/>
  <c r="AH377" i="29" l="1"/>
  <c r="BL381" i="30"/>
  <c r="BF381" i="30"/>
  <c r="BH381" i="30"/>
  <c r="BM381" i="30"/>
  <c r="AZ382" i="30"/>
  <c r="BK382" i="30" s="1"/>
  <c r="AV382" i="30"/>
  <c r="BG382" i="30" s="1"/>
  <c r="AR382" i="30"/>
  <c r="AN382" i="30"/>
  <c r="AJ382" i="30"/>
  <c r="AF382" i="30"/>
  <c r="BB382" i="30"/>
  <c r="BM382" i="30" s="1"/>
  <c r="AX382" i="30"/>
  <c r="BI382" i="30" s="1"/>
  <c r="AT382" i="30"/>
  <c r="AP382" i="30"/>
  <c r="AL382" i="30"/>
  <c r="F383" i="30" a="1"/>
  <c r="F383" i="30" s="1"/>
  <c r="AY382" i="30"/>
  <c r="BJ382" i="30" s="1"/>
  <c r="AQ382" i="30"/>
  <c r="AI382" i="30"/>
  <c r="AW382" i="30"/>
  <c r="BH382" i="30" s="1"/>
  <c r="AO382" i="30"/>
  <c r="AG382" i="30"/>
  <c r="AH382" i="30" s="1"/>
  <c r="BC382" i="30"/>
  <c r="AU382" i="30"/>
  <c r="BF382" i="30" s="1"/>
  <c r="AM382" i="30"/>
  <c r="AE382" i="30"/>
  <c r="BA382" i="30"/>
  <c r="BL382" i="30" s="1"/>
  <c r="AS382" i="30"/>
  <c r="AK382" i="30"/>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171" i="28"/>
  <c r="AK178" i="28" s="1"/>
  <c r="F91" i="29" a="1"/>
  <c r="F91" i="29" s="1"/>
  <c r="AZ90" i="29"/>
  <c r="AV90" i="29"/>
  <c r="AR90" i="29"/>
  <c r="AR79" i="29" s="1"/>
  <c r="AN90" i="29"/>
  <c r="AN79" i="29" s="1"/>
  <c r="AJ90" i="29"/>
  <c r="AJ79" i="29" s="1"/>
  <c r="AF90" i="29"/>
  <c r="AF79" i="29" s="1"/>
  <c r="BC90" i="29"/>
  <c r="BC79" i="29" s="1"/>
  <c r="AY90" i="29"/>
  <c r="AU90" i="29"/>
  <c r="AQ90" i="29"/>
  <c r="AQ79" i="29" s="1"/>
  <c r="AM90" i="29"/>
  <c r="AM79" i="29" s="1"/>
  <c r="AI90" i="29"/>
  <c r="AE90" i="29"/>
  <c r="AE79" i="29" s="1"/>
  <c r="BA90" i="29"/>
  <c r="AS90" i="29"/>
  <c r="AS79" i="29" s="1"/>
  <c r="AK90" i="29"/>
  <c r="AK79" i="29" s="1"/>
  <c r="BO90" i="29"/>
  <c r="AX90" i="29"/>
  <c r="AP90" i="29"/>
  <c r="AP79" i="29" s="1"/>
  <c r="AW90" i="29"/>
  <c r="AO90" i="29"/>
  <c r="AO79" i="29" s="1"/>
  <c r="AG90" i="29"/>
  <c r="AT90" i="29"/>
  <c r="AL90" i="29"/>
  <c r="AL79" i="29" s="1"/>
  <c r="BB90" i="29"/>
  <c r="AL164" i="28"/>
  <c r="AI178" i="28"/>
  <c r="F527" i="30" a="1"/>
  <c r="F527" i="30" s="1"/>
  <c r="BC526" i="30"/>
  <c r="AY526" i="30"/>
  <c r="BJ526" i="30" s="1"/>
  <c r="AU526" i="30"/>
  <c r="BF526" i="30" s="1"/>
  <c r="AQ526" i="30"/>
  <c r="AM526" i="30"/>
  <c r="AI526" i="30"/>
  <c r="AE526" i="30"/>
  <c r="BB526" i="30"/>
  <c r="BM526" i="30" s="1"/>
  <c r="AX526" i="30"/>
  <c r="BI526" i="30" s="1"/>
  <c r="AT526" i="30"/>
  <c r="AP526" i="30"/>
  <c r="AL526" i="30"/>
  <c r="BA526" i="30"/>
  <c r="BL526" i="30" s="1"/>
  <c r="AW526" i="30"/>
  <c r="BH526" i="30" s="1"/>
  <c r="AS526" i="30"/>
  <c r="AO526" i="30"/>
  <c r="AK526" i="30"/>
  <c r="AG526" i="30"/>
  <c r="AV526" i="30"/>
  <c r="BG526" i="30" s="1"/>
  <c r="AF526" i="30"/>
  <c r="AR526" i="30"/>
  <c r="AN526" i="30"/>
  <c r="AZ526" i="30"/>
  <c r="BK526" i="30" s="1"/>
  <c r="AJ526" i="30"/>
  <c r="BM525" i="30"/>
  <c r="BA522" i="29"/>
  <c r="BL522" i="29" s="1"/>
  <c r="AW522" i="29"/>
  <c r="AS522" i="29"/>
  <c r="AS511" i="29" s="1"/>
  <c r="AO522" i="29"/>
  <c r="AO511" i="29" s="1"/>
  <c r="AK522" i="29"/>
  <c r="AK511" i="29" s="1"/>
  <c r="AG522" i="29"/>
  <c r="F523" i="29" a="1"/>
  <c r="F523" i="29" s="1"/>
  <c r="AZ522" i="29"/>
  <c r="AV522" i="29"/>
  <c r="BG522" i="29" s="1"/>
  <c r="AR522" i="29"/>
  <c r="AR511" i="29" s="1"/>
  <c r="AN522" i="29"/>
  <c r="AN511" i="29" s="1"/>
  <c r="AJ522" i="29"/>
  <c r="AJ511" i="29" s="1"/>
  <c r="AF522" i="29"/>
  <c r="AF511" i="29" s="1"/>
  <c r="BB522" i="29"/>
  <c r="AT522" i="29"/>
  <c r="AL522" i="29"/>
  <c r="AL511" i="29" s="1"/>
  <c r="AY522" i="29"/>
  <c r="AQ522" i="29"/>
  <c r="AQ511" i="29" s="1"/>
  <c r="AI522" i="29"/>
  <c r="AU522" i="29"/>
  <c r="AE522" i="29"/>
  <c r="AE511" i="29" s="1"/>
  <c r="AP522" i="29"/>
  <c r="AP511" i="29" s="1"/>
  <c r="BC522" i="29"/>
  <c r="BC511" i="29" s="1"/>
  <c r="AM522" i="29"/>
  <c r="AM511" i="29" s="1"/>
  <c r="BO522" i="29"/>
  <c r="AX522" i="29"/>
  <c r="BI237" i="30"/>
  <c r="BD237" i="30"/>
  <c r="BJ237" i="30"/>
  <c r="AZ238" i="30"/>
  <c r="BK238" i="30" s="1"/>
  <c r="AV238" i="30"/>
  <c r="BG238" i="30" s="1"/>
  <c r="AR238" i="30"/>
  <c r="AN238" i="30"/>
  <c r="AJ238" i="30"/>
  <c r="AF238" i="30"/>
  <c r="F239" i="30" a="1"/>
  <c r="F239" i="30" s="1"/>
  <c r="BC238" i="30"/>
  <c r="AY238" i="30"/>
  <c r="BJ238" i="30" s="1"/>
  <c r="AU238" i="30"/>
  <c r="BF238" i="30" s="1"/>
  <c r="AQ238" i="30"/>
  <c r="AM238" i="30"/>
  <c r="AI238" i="30"/>
  <c r="AE238" i="30"/>
  <c r="BB238" i="30"/>
  <c r="BM238" i="30" s="1"/>
  <c r="AX238" i="30"/>
  <c r="BI238" i="30" s="1"/>
  <c r="AT238" i="30"/>
  <c r="AP238" i="30"/>
  <c r="AL238" i="30"/>
  <c r="AW238" i="30"/>
  <c r="BH238" i="30" s="1"/>
  <c r="AG238" i="30"/>
  <c r="AO238" i="30"/>
  <c r="BA238" i="30"/>
  <c r="BL238" i="30" s="1"/>
  <c r="AK238" i="30"/>
  <c r="AS238" i="30"/>
  <c r="AT79" i="30"/>
  <c r="BF90" i="30"/>
  <c r="AU79" i="30"/>
  <c r="BL90" i="30"/>
  <c r="BA79" i="30"/>
  <c r="BI90" i="30"/>
  <c r="AX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AS91" i="30"/>
  <c r="AO91" i="30"/>
  <c r="AG91" i="30"/>
  <c r="AH91" i="30" s="1"/>
  <c r="BA91" i="30"/>
  <c r="BL91" i="30" s="1"/>
  <c r="AW91" i="30"/>
  <c r="BH91" i="30" s="1"/>
  <c r="AK91" i="30"/>
  <c r="BD381" i="30"/>
  <c r="BG525" i="30"/>
  <c r="AH521" i="29"/>
  <c r="BM237" i="30"/>
  <c r="BK90" i="30"/>
  <c r="AZ79" i="30"/>
  <c r="AL334" i="28"/>
  <c r="AI348" i="28"/>
  <c r="BM90" i="30"/>
  <c r="BB79" i="30"/>
  <c r="AI79" i="30"/>
  <c r="AH381" i="30"/>
  <c r="BE381" i="30"/>
  <c r="BG381" i="30"/>
  <c r="F342" i="28" a="1"/>
  <c r="F342" i="28" s="1"/>
  <c r="F343" i="28" s="1" a="1"/>
  <c r="F343" i="28" s="1"/>
  <c r="F344" i="28" s="1" a="1"/>
  <c r="F344" i="28" s="1"/>
  <c r="F345" i="28" s="1" a="1"/>
  <c r="F345" i="28" s="1"/>
  <c r="F346" i="28" s="1" a="1"/>
  <c r="F346" i="28" s="1"/>
  <c r="F347" i="28" s="1" a="1"/>
  <c r="F347" i="28" s="1"/>
  <c r="F348" i="28" s="1" a="1"/>
  <c r="F348" i="28" s="1"/>
  <c r="F349" i="28" s="1" a="1"/>
  <c r="F349" i="28" s="1"/>
  <c r="F350" i="28" s="1" a="1"/>
  <c r="F350" i="28" s="1"/>
  <c r="F351" i="28" s="1" a="1"/>
  <c r="F351" i="28" s="1"/>
  <c r="AK341" i="28"/>
  <c r="AK348" i="28" s="1"/>
  <c r="BH377" i="29"/>
  <c r="BK377" i="29"/>
  <c r="BL377" i="29"/>
  <c r="AH525" i="30"/>
  <c r="BH525" i="30"/>
  <c r="BE525" i="30"/>
  <c r="BF525" i="30"/>
  <c r="BJ233" i="29"/>
  <c r="BG521" i="29"/>
  <c r="BL521" i="29"/>
  <c r="AH237" i="30"/>
  <c r="BG237" i="30"/>
  <c r="AH249" i="28"/>
  <c r="AG263" i="28"/>
  <c r="AH263" i="28" s="1"/>
  <c r="AH79" i="28"/>
  <c r="AG93" i="28"/>
  <c r="AH93" i="28" s="1"/>
  <c r="AH90" i="30"/>
  <c r="AG79" i="30"/>
  <c r="BH90" i="30"/>
  <c r="AW79" i="30"/>
  <c r="BG90" i="30"/>
  <c r="AV79" i="30"/>
  <c r="BJ381" i="30"/>
  <c r="BI381" i="30"/>
  <c r="BK381" i="30"/>
  <c r="BC378" i="29"/>
  <c r="BC367" i="29" s="1"/>
  <c r="AY378" i="29"/>
  <c r="AU378" i="29"/>
  <c r="AQ378" i="29"/>
  <c r="AQ367" i="29" s="1"/>
  <c r="AM378" i="29"/>
  <c r="AM367" i="29" s="1"/>
  <c r="AI378" i="29"/>
  <c r="AE378" i="29"/>
  <c r="AE367" i="29" s="1"/>
  <c r="BO378" i="29"/>
  <c r="BB378" i="29"/>
  <c r="BM378" i="29" s="1"/>
  <c r="AX378" i="29"/>
  <c r="AT378" i="29"/>
  <c r="AP378" i="29"/>
  <c r="AP367" i="29" s="1"/>
  <c r="AL378" i="29"/>
  <c r="AL367" i="29" s="1"/>
  <c r="BA378" i="29"/>
  <c r="BL378" i="29" s="1"/>
  <c r="AS378" i="29"/>
  <c r="AS367" i="29" s="1"/>
  <c r="AK378" i="29"/>
  <c r="AK367" i="29" s="1"/>
  <c r="F379" i="29" a="1"/>
  <c r="F379" i="29" s="1"/>
  <c r="AZ378" i="29"/>
  <c r="BK378" i="29" s="1"/>
  <c r="AR378" i="29"/>
  <c r="AR367" i="29" s="1"/>
  <c r="AJ378" i="29"/>
  <c r="AJ367" i="29" s="1"/>
  <c r="AV378" i="29"/>
  <c r="BG378" i="29" s="1"/>
  <c r="AF378" i="29"/>
  <c r="AF367" i="29" s="1"/>
  <c r="AO378" i="29"/>
  <c r="AO367" i="29" s="1"/>
  <c r="AN378" i="29"/>
  <c r="AN367" i="29" s="1"/>
  <c r="AW378" i="29"/>
  <c r="BH378" i="29" s="1"/>
  <c r="AG378" i="29"/>
  <c r="BK525" i="30"/>
  <c r="BL525" i="30"/>
  <c r="BI525" i="30"/>
  <c r="BD525" i="30"/>
  <c r="BJ525" i="30"/>
  <c r="BO234" i="29"/>
  <c r="BB234" i="29"/>
  <c r="AX234" i="29"/>
  <c r="AT234" i="29"/>
  <c r="AP234" i="29"/>
  <c r="AP223" i="29" s="1"/>
  <c r="AL234" i="29"/>
  <c r="AL223" i="29" s="1"/>
  <c r="BA234" i="29"/>
  <c r="AW234" i="29"/>
  <c r="AS234" i="29"/>
  <c r="AS223" i="29" s="1"/>
  <c r="AO234" i="29"/>
  <c r="AO223" i="29" s="1"/>
  <c r="AK234" i="29"/>
  <c r="AK223" i="29" s="1"/>
  <c r="AG234" i="29"/>
  <c r="AY234" i="29"/>
  <c r="BJ234" i="29" s="1"/>
  <c r="AQ234" i="29"/>
  <c r="AQ223" i="29" s="1"/>
  <c r="AI234" i="29"/>
  <c r="AV234" i="29"/>
  <c r="AN234" i="29"/>
  <c r="AN223" i="29" s="1"/>
  <c r="AF234" i="29"/>
  <c r="AF223" i="29" s="1"/>
  <c r="BC234" i="29"/>
  <c r="BC223" i="29" s="1"/>
  <c r="AU234" i="29"/>
  <c r="AM234" i="29"/>
  <c r="AM223" i="29" s="1"/>
  <c r="AE234" i="29"/>
  <c r="AE223" i="29" s="1"/>
  <c r="F235" i="29" a="1"/>
  <c r="F235" i="29" s="1"/>
  <c r="AJ234" i="29"/>
  <c r="AJ223" i="29" s="1"/>
  <c r="AZ234" i="29"/>
  <c r="AR234" i="29"/>
  <c r="AR223" i="29" s="1"/>
  <c r="AH233" i="29"/>
  <c r="AG223" i="29"/>
  <c r="AL79" i="28"/>
  <c r="AI93" i="28"/>
  <c r="AL93" i="28" s="1"/>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L237" i="30"/>
  <c r="BH237" i="30"/>
  <c r="BE237" i="30"/>
  <c r="BF237" i="30"/>
  <c r="BK237"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249" i="28"/>
  <c r="AI263" i="28"/>
  <c r="BD382" i="30" l="1"/>
  <c r="AH238" i="30"/>
  <c r="BA511" i="29"/>
  <c r="AV367" i="29"/>
  <c r="BG367" i="29" s="1"/>
  <c r="AV511" i="29"/>
  <c r="BE526" i="30"/>
  <c r="BA367" i="29"/>
  <c r="AH234" i="29"/>
  <c r="AK96" i="28"/>
  <c r="AG96" i="28"/>
  <c r="AJ96" i="28"/>
  <c r="AI96" i="28"/>
  <c r="AF96" i="28"/>
  <c r="F97" i="28" a="1"/>
  <c r="F97" i="28" s="1"/>
  <c r="F98" i="28" s="1" a="1"/>
  <c r="F98" i="28" s="1"/>
  <c r="F99" i="28" s="1" a="1"/>
  <c r="F99" i="28" s="1"/>
  <c r="F100" i="28" s="1" a="1"/>
  <c r="F100" i="28" s="1"/>
  <c r="F101" i="28" s="1" a="1"/>
  <c r="F101" i="28" s="1"/>
  <c r="F102" i="28" s="1" a="1"/>
  <c r="F102" i="28" s="1"/>
  <c r="F103" i="28" s="1" a="1"/>
  <c r="F103" i="28" s="1"/>
  <c r="F104" i="28" s="1" a="1"/>
  <c r="F104" i="28" s="1"/>
  <c r="AE96" i="28"/>
  <c r="BB235" i="29"/>
  <c r="BM235" i="29" s="1"/>
  <c r="AX235" i="29"/>
  <c r="BI235" i="29" s="1"/>
  <c r="AT235" i="29"/>
  <c r="AP235" i="29"/>
  <c r="AL235" i="29"/>
  <c r="BA235" i="29"/>
  <c r="BL235" i="29" s="1"/>
  <c r="AW235" i="29"/>
  <c r="BH235" i="29" s="1"/>
  <c r="AS235" i="29"/>
  <c r="AO235" i="29"/>
  <c r="AK235" i="29"/>
  <c r="AG235" i="29"/>
  <c r="F236" i="29" a="1"/>
  <c r="F236" i="29" s="1"/>
  <c r="F237" i="29" s="1" a="1"/>
  <c r="F237" i="29" s="1"/>
  <c r="AY235" i="29"/>
  <c r="BJ235" i="29" s="1"/>
  <c r="AQ235" i="29"/>
  <c r="AI235" i="29"/>
  <c r="BD235" i="29" s="1"/>
  <c r="AV235" i="29"/>
  <c r="BG235" i="29" s="1"/>
  <c r="AN235" i="29"/>
  <c r="AF235" i="29"/>
  <c r="BC235" i="29"/>
  <c r="AU235" i="29"/>
  <c r="BF235" i="29" s="1"/>
  <c r="AM235" i="29"/>
  <c r="AE235" i="29"/>
  <c r="AZ235" i="29"/>
  <c r="BK235" i="29" s="1"/>
  <c r="AR235" i="29"/>
  <c r="AJ235" i="29"/>
  <c r="BD234" i="29"/>
  <c r="AI223" i="29"/>
  <c r="BL234" i="29"/>
  <c r="BA223" i="29"/>
  <c r="BI234" i="29"/>
  <c r="AX223" i="29"/>
  <c r="F380" i="29" a="1"/>
  <c r="F380" i="29" s="1"/>
  <c r="F381" i="29" s="1" a="1"/>
  <c r="F381" i="29" s="1"/>
  <c r="BC379" i="29"/>
  <c r="AY379" i="29"/>
  <c r="BJ379" i="29" s="1"/>
  <c r="AU379" i="29"/>
  <c r="BF379" i="29" s="1"/>
  <c r="AQ379" i="29"/>
  <c r="AM379" i="29"/>
  <c r="AI379" i="29"/>
  <c r="AE379" i="29"/>
  <c r="BB379" i="29"/>
  <c r="BM379" i="29" s="1"/>
  <c r="AX379" i="29"/>
  <c r="BI379" i="29" s="1"/>
  <c r="AT379" i="29"/>
  <c r="AP379" i="29"/>
  <c r="AL379" i="29"/>
  <c r="BA379" i="29"/>
  <c r="BL379" i="29" s="1"/>
  <c r="AS379" i="29"/>
  <c r="AK379" i="29"/>
  <c r="AZ379" i="29"/>
  <c r="BK379" i="29" s="1"/>
  <c r="AR379" i="29"/>
  <c r="AJ379" i="29"/>
  <c r="AN379" i="29"/>
  <c r="AW379" i="29"/>
  <c r="BH379" i="29" s="1"/>
  <c r="AG379" i="29"/>
  <c r="AV379" i="29"/>
  <c r="BG379" i="29" s="1"/>
  <c r="AF379" i="29"/>
  <c r="AO379" i="29"/>
  <c r="BH79" i="30"/>
  <c r="BB367" i="29"/>
  <c r="BG511" i="29"/>
  <c r="AZ367" i="29"/>
  <c r="F93" i="30" a="1"/>
  <c r="F93" i="30" s="1"/>
  <c r="BO92" i="30"/>
  <c r="BI79" i="30"/>
  <c r="BE79" i="30"/>
  <c r="BJ522" i="29"/>
  <c r="AY511" i="29"/>
  <c r="BH90" i="29"/>
  <c r="AW79" i="29"/>
  <c r="BD90" i="29"/>
  <c r="AI79" i="29"/>
  <c r="BJ90" i="29"/>
  <c r="AY79" i="29"/>
  <c r="F92" i="29" a="1"/>
  <c r="F92" i="29" s="1"/>
  <c r="AZ91" i="29"/>
  <c r="BK91" i="29" s="1"/>
  <c r="AV91" i="29"/>
  <c r="BG91" i="29" s="1"/>
  <c r="AR91" i="29"/>
  <c r="AN91" i="29"/>
  <c r="AJ91" i="29"/>
  <c r="AF91" i="29"/>
  <c r="BC91" i="29"/>
  <c r="AY91" i="29"/>
  <c r="BJ91" i="29" s="1"/>
  <c r="AU91" i="29"/>
  <c r="BF91" i="29" s="1"/>
  <c r="AQ91" i="29"/>
  <c r="AM91" i="29"/>
  <c r="AI91" i="29"/>
  <c r="BD91" i="29" s="1"/>
  <c r="AE91" i="29"/>
  <c r="BA91" i="29"/>
  <c r="BL91" i="29" s="1"/>
  <c r="AS91" i="29"/>
  <c r="AK91" i="29"/>
  <c r="BO91" i="29"/>
  <c r="AX91" i="29"/>
  <c r="BI91" i="29" s="1"/>
  <c r="AP91" i="29"/>
  <c r="AW91" i="29"/>
  <c r="BH91" i="29" s="1"/>
  <c r="AO91" i="29"/>
  <c r="AG91" i="29"/>
  <c r="AH91" i="29" s="1"/>
  <c r="AL91" i="29"/>
  <c r="BB91" i="29"/>
  <c r="BM91" i="29" s="1"/>
  <c r="AT91" i="29"/>
  <c r="BE91" i="29" s="1"/>
  <c r="BA383" i="30"/>
  <c r="BL383" i="30" s="1"/>
  <c r="AW383" i="30"/>
  <c r="BH383" i="30" s="1"/>
  <c r="AS383" i="30"/>
  <c r="AO383" i="30"/>
  <c r="AK383" i="30"/>
  <c r="AG383" i="30"/>
  <c r="BC383" i="30"/>
  <c r="AY383" i="30"/>
  <c r="AU383" i="30"/>
  <c r="BF383" i="30" s="1"/>
  <c r="AQ383" i="30"/>
  <c r="AM383" i="30"/>
  <c r="AI383" i="30"/>
  <c r="AE383" i="30"/>
  <c r="F384" i="30" a="1"/>
  <c r="F384" i="30" s="1"/>
  <c r="AZ383" i="30"/>
  <c r="AR383" i="30"/>
  <c r="AJ383" i="30"/>
  <c r="BO383" i="30"/>
  <c r="AX383" i="30"/>
  <c r="AP383" i="30"/>
  <c r="AV383" i="30"/>
  <c r="AN383" i="30"/>
  <c r="AF383" i="30"/>
  <c r="BB383" i="30"/>
  <c r="BM383" i="30" s="1"/>
  <c r="AT383" i="30"/>
  <c r="AL383" i="30"/>
  <c r="AL263" i="28"/>
  <c r="F267" i="28" a="1"/>
  <c r="F267" i="28" s="1"/>
  <c r="F268" i="28" s="1" a="1"/>
  <c r="F268" i="28" s="1"/>
  <c r="F269" i="28" s="1" a="1"/>
  <c r="F269" i="28" s="1"/>
  <c r="F270" i="28" s="1" a="1"/>
  <c r="F270" i="28" s="1"/>
  <c r="F271" i="28" s="1" a="1"/>
  <c r="F271" i="28" s="1"/>
  <c r="F272" i="28" s="1" a="1"/>
  <c r="F272" i="28" s="1"/>
  <c r="F273" i="28" s="1" a="1"/>
  <c r="F273" i="28" s="1"/>
  <c r="F274" i="28" s="1" a="1"/>
  <c r="F274" i="28" s="1"/>
  <c r="AG266" i="28"/>
  <c r="AK266" i="28"/>
  <c r="AF266" i="28"/>
  <c r="AJ266" i="28"/>
  <c r="AE266" i="28"/>
  <c r="AI266" i="28"/>
  <c r="AH223" i="29"/>
  <c r="BM234" i="29"/>
  <c r="BB223" i="29"/>
  <c r="AJ351" i="28"/>
  <c r="AF351" i="28"/>
  <c r="F352" i="28" a="1"/>
  <c r="F352" i="28" s="1"/>
  <c r="F353" i="28" s="1" a="1"/>
  <c r="F353" i="28" s="1"/>
  <c r="F354" i="28" s="1" a="1"/>
  <c r="F354" i="28" s="1"/>
  <c r="F355" i="28" s="1" a="1"/>
  <c r="F355" i="28" s="1"/>
  <c r="F356" i="28" s="1" a="1"/>
  <c r="F356" i="28" s="1"/>
  <c r="F357" i="28" s="1" a="1"/>
  <c r="F357" i="28" s="1"/>
  <c r="F358" i="28" s="1" a="1"/>
  <c r="F358" i="28" s="1"/>
  <c r="F359" i="28" s="1" a="1"/>
  <c r="F359" i="28" s="1"/>
  <c r="AI351" i="28"/>
  <c r="AE351" i="28"/>
  <c r="AG351" i="28"/>
  <c r="AK351" i="28"/>
  <c r="BK79" i="30"/>
  <c r="BF79" i="30"/>
  <c r="BE238" i="30"/>
  <c r="BD238" i="30"/>
  <c r="BF522" i="29"/>
  <c r="AU511" i="29"/>
  <c r="BK522" i="29"/>
  <c r="AZ511" i="29"/>
  <c r="AH526" i="30"/>
  <c r="BD526" i="30"/>
  <c r="AL178" i="28"/>
  <c r="BE90" i="29"/>
  <c r="AT79" i="29"/>
  <c r="BE378" i="29"/>
  <c r="AT367" i="29"/>
  <c r="BF378" i="29"/>
  <c r="AU367" i="29"/>
  <c r="AH79" i="30"/>
  <c r="BL511" i="29"/>
  <c r="AY223" i="29"/>
  <c r="BL367" i="29"/>
  <c r="AW367" i="29"/>
  <c r="BJ79" i="30"/>
  <c r="BL79" i="30"/>
  <c r="BD522" i="29"/>
  <c r="AI511" i="29"/>
  <c r="BE522" i="29"/>
  <c r="AT511" i="29"/>
  <c r="BA523" i="29"/>
  <c r="BL523" i="29" s="1"/>
  <c r="AW523" i="29"/>
  <c r="BH523" i="29" s="1"/>
  <c r="AS523" i="29"/>
  <c r="AO523" i="29"/>
  <c r="AK523" i="29"/>
  <c r="AG523" i="29"/>
  <c r="F524" i="29" a="1"/>
  <c r="F524" i="29" s="1"/>
  <c r="F525" i="29" s="1" a="1"/>
  <c r="F525" i="29" s="1"/>
  <c r="AZ523" i="29"/>
  <c r="BK523" i="29" s="1"/>
  <c r="AV523" i="29"/>
  <c r="BG523" i="29" s="1"/>
  <c r="AR523" i="29"/>
  <c r="AN523" i="29"/>
  <c r="AJ523" i="29"/>
  <c r="AF523" i="29"/>
  <c r="BB523" i="29"/>
  <c r="BM523" i="29" s="1"/>
  <c r="AT523" i="29"/>
  <c r="BE523" i="29" s="1"/>
  <c r="AL523" i="29"/>
  <c r="AY523" i="29"/>
  <c r="BJ523" i="29" s="1"/>
  <c r="AQ523" i="29"/>
  <c r="AI523" i="29"/>
  <c r="BD523" i="29" s="1"/>
  <c r="BC523" i="29"/>
  <c r="AM523" i="29"/>
  <c r="BO523" i="29"/>
  <c r="AX523" i="29"/>
  <c r="BI523" i="29" s="1"/>
  <c r="AU523" i="29"/>
  <c r="BF523" i="29" s="1"/>
  <c r="AE523" i="29"/>
  <c r="AP523" i="29"/>
  <c r="AH90" i="29"/>
  <c r="AG79" i="29"/>
  <c r="BI90" i="29"/>
  <c r="AX79" i="29"/>
  <c r="BL90" i="29"/>
  <c r="BA79" i="29"/>
  <c r="BG90" i="29"/>
  <c r="AV79" i="29"/>
  <c r="AJ181" i="28"/>
  <c r="AF181" i="28"/>
  <c r="AK181" i="28"/>
  <c r="AE181" i="28"/>
  <c r="AI181" i="28"/>
  <c r="AG181" i="28"/>
  <c r="F182" i="28" a="1"/>
  <c r="F182" i="28" s="1"/>
  <c r="F183" i="28" s="1" a="1"/>
  <c r="F183" i="28" s="1"/>
  <c r="F184" i="28" s="1" a="1"/>
  <c r="F184" i="28" s="1"/>
  <c r="F185" i="28" s="1" a="1"/>
  <c r="F185" i="28" s="1"/>
  <c r="F186" i="28" s="1" a="1"/>
  <c r="F186" i="28" s="1"/>
  <c r="F187" i="28" s="1" a="1"/>
  <c r="F187" i="28" s="1"/>
  <c r="F188" i="28" s="1" a="1"/>
  <c r="F188" i="28" s="1"/>
  <c r="F189" i="28" s="1" a="1"/>
  <c r="F189" i="28" s="1"/>
  <c r="BK234" i="29"/>
  <c r="AZ223" i="29"/>
  <c r="BF234" i="29"/>
  <c r="AU223" i="29"/>
  <c r="BG234" i="29"/>
  <c r="AV223" i="29"/>
  <c r="BH234" i="29"/>
  <c r="AW223" i="29"/>
  <c r="BE234" i="29"/>
  <c r="AT223" i="29"/>
  <c r="AH378" i="29"/>
  <c r="AG367" i="29"/>
  <c r="BI378" i="29"/>
  <c r="AX367" i="29"/>
  <c r="BD378" i="29"/>
  <c r="AI367" i="29"/>
  <c r="BJ378" i="29"/>
  <c r="AY367" i="29"/>
  <c r="BG79" i="30"/>
  <c r="BD79" i="30"/>
  <c r="BM79" i="30"/>
  <c r="AL348" i="28"/>
  <c r="BA239" i="30"/>
  <c r="AW239" i="30"/>
  <c r="AS239" i="30"/>
  <c r="AO239" i="30"/>
  <c r="AK239" i="30"/>
  <c r="AG239" i="30"/>
  <c r="F240" i="30" a="1"/>
  <c r="F240" i="30" s="1"/>
  <c r="AZ239" i="30"/>
  <c r="AV239" i="30"/>
  <c r="AR239" i="30"/>
  <c r="AN239" i="30"/>
  <c r="AJ239" i="30"/>
  <c r="AF239" i="30"/>
  <c r="BC239" i="30"/>
  <c r="AY239" i="30"/>
  <c r="BJ239" i="30" s="1"/>
  <c r="AU239" i="30"/>
  <c r="AQ239" i="30"/>
  <c r="AM239" i="30"/>
  <c r="AI239" i="30"/>
  <c r="BD239" i="30" s="1"/>
  <c r="AE239" i="30"/>
  <c r="AP239" i="30"/>
  <c r="BO239" i="30"/>
  <c r="AX239" i="30"/>
  <c r="BI239" i="30" s="1"/>
  <c r="AT239" i="30"/>
  <c r="BB239" i="30"/>
  <c r="AL239" i="30"/>
  <c r="BI522" i="29"/>
  <c r="AX511" i="29"/>
  <c r="BM522" i="29"/>
  <c r="BB511" i="29"/>
  <c r="AH522" i="29"/>
  <c r="AG511" i="29"/>
  <c r="BH522" i="29"/>
  <c r="AW511" i="29"/>
  <c r="F528" i="30" a="1"/>
  <c r="F528" i="30" s="1"/>
  <c r="AZ527" i="30"/>
  <c r="AV527" i="30"/>
  <c r="AR527" i="30"/>
  <c r="AN527" i="30"/>
  <c r="AJ527" i="30"/>
  <c r="AF527" i="30"/>
  <c r="BC527" i="30"/>
  <c r="AY527" i="30"/>
  <c r="AU527" i="30"/>
  <c r="AQ527" i="30"/>
  <c r="AM527" i="30"/>
  <c r="AI527" i="30"/>
  <c r="AE527" i="30"/>
  <c r="BO527" i="30"/>
  <c r="BB527" i="30"/>
  <c r="AX527" i="30"/>
  <c r="AT527" i="30"/>
  <c r="AP527" i="30"/>
  <c r="AL527" i="30"/>
  <c r="AO527" i="30"/>
  <c r="BA527" i="30"/>
  <c r="AK527" i="30"/>
  <c r="AW527" i="30"/>
  <c r="AG527" i="30"/>
  <c r="AS527" i="30"/>
  <c r="BM90" i="29"/>
  <c r="BB79" i="29"/>
  <c r="BF90" i="29"/>
  <c r="AU79" i="29"/>
  <c r="BK90" i="29"/>
  <c r="AZ79" i="29"/>
  <c r="BE382" i="30"/>
  <c r="BE379" i="29" l="1"/>
  <c r="BE239" i="30"/>
  <c r="AH527" i="30"/>
  <c r="BI527" i="30"/>
  <c r="BD527" i="30"/>
  <c r="BJ527" i="30"/>
  <c r="F529" i="30" a="1"/>
  <c r="F529" i="30" s="1"/>
  <c r="AZ528" i="30"/>
  <c r="BK528" i="30" s="1"/>
  <c r="AV528" i="30"/>
  <c r="BG528" i="30" s="1"/>
  <c r="AR528" i="30"/>
  <c r="AN528" i="30"/>
  <c r="AJ528" i="30"/>
  <c r="AF528" i="30"/>
  <c r="BC528" i="30"/>
  <c r="AY528" i="30"/>
  <c r="BJ528" i="30" s="1"/>
  <c r="AU528" i="30"/>
  <c r="BF528" i="30" s="1"/>
  <c r="AQ528" i="30"/>
  <c r="AM528" i="30"/>
  <c r="AI528" i="30"/>
  <c r="BD528" i="30" s="1"/>
  <c r="AE528" i="30"/>
  <c r="BO528" i="30"/>
  <c r="BB528" i="30"/>
  <c r="BM528" i="30" s="1"/>
  <c r="AX528" i="30"/>
  <c r="BI528" i="30" s="1"/>
  <c r="AT528" i="30"/>
  <c r="BE528" i="30" s="1"/>
  <c r="AP528" i="30"/>
  <c r="AL528" i="30"/>
  <c r="AW528" i="30"/>
  <c r="BH528" i="30" s="1"/>
  <c r="AG528" i="30"/>
  <c r="AS528" i="30"/>
  <c r="AO528" i="30"/>
  <c r="BA528" i="30"/>
  <c r="BL528" i="30" s="1"/>
  <c r="AK528" i="30"/>
  <c r="AH239" i="30"/>
  <c r="BH239" i="30"/>
  <c r="AH367" i="29"/>
  <c r="BH223" i="29"/>
  <c r="BF223" i="29"/>
  <c r="AE182" i="28"/>
  <c r="AE184" i="28" s="1"/>
  <c r="AE185" i="28" s="1"/>
  <c r="AE187" i="28"/>
  <c r="BG79" i="29"/>
  <c r="BL79" i="29"/>
  <c r="AH79" i="29"/>
  <c r="BD511" i="29"/>
  <c r="BE79" i="29"/>
  <c r="AK357" i="28"/>
  <c r="AK352" i="28"/>
  <c r="AK354" i="28" s="1"/>
  <c r="AK355" i="28" s="1"/>
  <c r="AK359" i="28"/>
  <c r="AG359" i="28"/>
  <c r="AI359" i="28"/>
  <c r="AF359" i="28"/>
  <c r="F360" i="28" a="1"/>
  <c r="F360" i="28" s="1"/>
  <c r="F361" i="28" s="1" a="1"/>
  <c r="F361" i="28" s="1"/>
  <c r="F362" i="28" s="1" a="1"/>
  <c r="F362" i="28" s="1"/>
  <c r="F363" i="28" s="1" a="1"/>
  <c r="F363" i="28" s="1"/>
  <c r="F364" i="28" s="1" a="1"/>
  <c r="F364" i="28" s="1"/>
  <c r="F365" i="28" s="1" a="1"/>
  <c r="F365" i="28" s="1"/>
  <c r="F366" i="28" s="1" a="1"/>
  <c r="F366" i="28" s="1"/>
  <c r="AE359" i="28"/>
  <c r="AJ359" i="28"/>
  <c r="BM223" i="29"/>
  <c r="AJ272" i="28"/>
  <c r="AJ267" i="28"/>
  <c r="AJ269" i="28" s="1"/>
  <c r="AJ270" i="28" s="1"/>
  <c r="AJ274" i="28"/>
  <c r="AF274" i="28"/>
  <c r="AI274" i="28"/>
  <c r="F275" i="28" a="1"/>
  <c r="F275" i="28" s="1"/>
  <c r="F276" i="28" s="1" a="1"/>
  <c r="F276" i="28" s="1"/>
  <c r="F277" i="28" s="1" a="1"/>
  <c r="F277" i="28" s="1"/>
  <c r="F278" i="28" s="1" a="1"/>
  <c r="F278" i="28" s="1"/>
  <c r="F279" i="28" s="1" a="1"/>
  <c r="F279" i="28" s="1"/>
  <c r="F280" i="28" s="1" a="1"/>
  <c r="F280" i="28" s="1"/>
  <c r="F281" i="28" s="1" a="1"/>
  <c r="F281" i="28" s="1"/>
  <c r="AG274" i="28"/>
  <c r="AK274" i="28"/>
  <c r="AE274" i="28"/>
  <c r="BE383" i="30"/>
  <c r="BG383" i="30"/>
  <c r="BJ79" i="29"/>
  <c r="F94" i="30" a="1"/>
  <c r="F94" i="30" s="1"/>
  <c r="AZ93" i="30"/>
  <c r="AV93" i="30"/>
  <c r="AR93" i="30"/>
  <c r="AN93" i="30"/>
  <c r="AJ93" i="30"/>
  <c r="AF93" i="30"/>
  <c r="BC93" i="30"/>
  <c r="AY93" i="30"/>
  <c r="AU93" i="30"/>
  <c r="AQ93" i="30"/>
  <c r="AM93" i="30"/>
  <c r="AI93" i="30"/>
  <c r="AE93" i="30"/>
  <c r="BO93" i="30"/>
  <c r="BB93" i="30"/>
  <c r="AX93" i="30"/>
  <c r="AT93" i="30"/>
  <c r="AP93" i="30"/>
  <c r="AL93" i="30"/>
  <c r="AS93" i="30"/>
  <c r="AO93" i="30"/>
  <c r="AW93" i="30"/>
  <c r="AK93" i="30"/>
  <c r="AG93" i="30"/>
  <c r="BA93" i="30"/>
  <c r="BM367" i="29"/>
  <c r="BD379" i="29"/>
  <c r="BD223" i="29"/>
  <c r="F238" i="29" a="1"/>
  <c r="F238" i="29" s="1"/>
  <c r="AZ237" i="29"/>
  <c r="AV237" i="29"/>
  <c r="AR237" i="29"/>
  <c r="AN237" i="29"/>
  <c r="AJ237" i="29"/>
  <c r="AF237" i="29"/>
  <c r="BC237" i="29"/>
  <c r="AY237" i="29"/>
  <c r="AU237" i="29"/>
  <c r="AQ237" i="29"/>
  <c r="AM237" i="29"/>
  <c r="AI237" i="29"/>
  <c r="AE237" i="29"/>
  <c r="BA237" i="29"/>
  <c r="AS237" i="29"/>
  <c r="AK237" i="29"/>
  <c r="BO237" i="29"/>
  <c r="AX237" i="29"/>
  <c r="AP237" i="29"/>
  <c r="AW237" i="29"/>
  <c r="AO237" i="29"/>
  <c r="AG237" i="29"/>
  <c r="AT237" i="29"/>
  <c r="AL237" i="29"/>
  <c r="BB237" i="29"/>
  <c r="AE102" i="28"/>
  <c r="AE97" i="28"/>
  <c r="AE99" i="28" s="1"/>
  <c r="AE100" i="28" s="1"/>
  <c r="AE103" i="28"/>
  <c r="AJ103" i="28"/>
  <c r="AJ102" i="28"/>
  <c r="AJ97" i="28"/>
  <c r="AJ99" i="28" s="1"/>
  <c r="AJ100" i="28" s="1"/>
  <c r="BK79" i="29"/>
  <c r="BF239" i="30"/>
  <c r="BL527" i="30"/>
  <c r="BF79" i="29"/>
  <c r="BM79" i="29"/>
  <c r="BH527" i="30"/>
  <c r="BM527" i="30"/>
  <c r="BH511" i="29"/>
  <c r="BM239" i="30"/>
  <c r="BG239" i="30"/>
  <c r="BL239" i="30"/>
  <c r="BJ367" i="29"/>
  <c r="BI367" i="29"/>
  <c r="AK189" i="28"/>
  <c r="AK188" i="28" s="1"/>
  <c r="AF189" i="28"/>
  <c r="AF188" i="28" s="1"/>
  <c r="AJ189" i="28"/>
  <c r="AJ188" i="28" s="1"/>
  <c r="AE189" i="28"/>
  <c r="AE188" i="28" s="1"/>
  <c r="AI189" i="28"/>
  <c r="AG189" i="28"/>
  <c r="F190" i="28" a="1"/>
  <c r="F190" i="28" s="1"/>
  <c r="F191" i="28" s="1" a="1"/>
  <c r="F191" i="28" s="1"/>
  <c r="F192" i="28" s="1" a="1"/>
  <c r="F192" i="28" s="1"/>
  <c r="F193" i="28" s="1" a="1"/>
  <c r="F193" i="28" s="1"/>
  <c r="F194" i="28" s="1" a="1"/>
  <c r="F194" i="28" s="1"/>
  <c r="F195" i="28" s="1" a="1"/>
  <c r="F195" i="28" s="1"/>
  <c r="F196" i="28" s="1" a="1"/>
  <c r="F196" i="28" s="1"/>
  <c r="AK187" i="28"/>
  <c r="AK182" i="28"/>
  <c r="AK184" i="28" s="1"/>
  <c r="AK185" i="28" s="1"/>
  <c r="AG357" i="28"/>
  <c r="AG352" i="28"/>
  <c r="AG354" i="28" s="1"/>
  <c r="AG358" i="28"/>
  <c r="AH351" i="28"/>
  <c r="AF357" i="28"/>
  <c r="AF352" i="28"/>
  <c r="AF354" i="28" s="1"/>
  <c r="AF355" i="28" s="1"/>
  <c r="AF358" i="28"/>
  <c r="AF273" i="28"/>
  <c r="AF272" i="28"/>
  <c r="AF267" i="28"/>
  <c r="AF269" i="28" s="1"/>
  <c r="AF270" i="28" s="1"/>
  <c r="BD383" i="30"/>
  <c r="BJ383" i="30"/>
  <c r="BH79" i="29"/>
  <c r="BK367" i="29"/>
  <c r="AH379" i="29"/>
  <c r="BL223" i="29"/>
  <c r="AH235" i="29"/>
  <c r="BE235" i="29"/>
  <c r="AJ104" i="28"/>
  <c r="AF104" i="28"/>
  <c r="F105" i="28" a="1"/>
  <c r="F105" i="28" s="1"/>
  <c r="F106" i="28" s="1" a="1"/>
  <c r="F106" i="28" s="1"/>
  <c r="F107" i="28" s="1" a="1"/>
  <c r="F107" i="28" s="1"/>
  <c r="F108" i="28" s="1" a="1"/>
  <c r="F108" i="28" s="1"/>
  <c r="F109" i="28" s="1" a="1"/>
  <c r="F109" i="28" s="1"/>
  <c r="F110" i="28" s="1" a="1"/>
  <c r="F110" i="28" s="1"/>
  <c r="F111" i="28" s="1" a="1"/>
  <c r="F111" i="28" s="1"/>
  <c r="AG104" i="28"/>
  <c r="AK104" i="28"/>
  <c r="AI104" i="28"/>
  <c r="AE104" i="28"/>
  <c r="AH96" i="28"/>
  <c r="AG97" i="28"/>
  <c r="AG103" i="28"/>
  <c r="AG102" i="28"/>
  <c r="BG527" i="30"/>
  <c r="BM511" i="29"/>
  <c r="BI511" i="29"/>
  <c r="BK239" i="30"/>
  <c r="BE223" i="29"/>
  <c r="BG223" i="29"/>
  <c r="AG187" i="28"/>
  <c r="AG182" i="28"/>
  <c r="AH181" i="28"/>
  <c r="AF187" i="28"/>
  <c r="AF182" i="28"/>
  <c r="AF184" i="28" s="1"/>
  <c r="AF185" i="28" s="1"/>
  <c r="BI79" i="29"/>
  <c r="BO525" i="29"/>
  <c r="BB525" i="29"/>
  <c r="AX525" i="29"/>
  <c r="AT525" i="29"/>
  <c r="AP525" i="29"/>
  <c r="AL525" i="29"/>
  <c r="BA525" i="29"/>
  <c r="AW525" i="29"/>
  <c r="AS525" i="29"/>
  <c r="AO525" i="29"/>
  <c r="AK525" i="29"/>
  <c r="AG525" i="29"/>
  <c r="BC525" i="29"/>
  <c r="AU525" i="29"/>
  <c r="AM525" i="29"/>
  <c r="AE525" i="29"/>
  <c r="F526" i="29" a="1"/>
  <c r="F526" i="29" s="1"/>
  <c r="AZ525" i="29"/>
  <c r="AR525" i="29"/>
  <c r="AJ525" i="29"/>
  <c r="AN525" i="29"/>
  <c r="AY525" i="29"/>
  <c r="AI525" i="29"/>
  <c r="AV525" i="29"/>
  <c r="AF525" i="29"/>
  <c r="AQ525" i="29"/>
  <c r="BE511" i="29"/>
  <c r="BJ223" i="29"/>
  <c r="BE367" i="29"/>
  <c r="BK511" i="29"/>
  <c r="BF511" i="29"/>
  <c r="AE358" i="28"/>
  <c r="AE352" i="28"/>
  <c r="AE354" i="28" s="1"/>
  <c r="AE355" i="28" s="1"/>
  <c r="AE357" i="28"/>
  <c r="AJ357" i="28"/>
  <c r="AJ352" i="28"/>
  <c r="AJ354" i="28" s="1"/>
  <c r="AJ355" i="28" s="1"/>
  <c r="AJ358" i="28"/>
  <c r="AI272" i="28"/>
  <c r="AI267" i="28"/>
  <c r="AI269" i="28" s="1"/>
  <c r="AI270" i="28" s="1"/>
  <c r="AI273" i="28"/>
  <c r="AL273" i="28" s="1"/>
  <c r="AK273" i="28"/>
  <c r="AK272" i="28"/>
  <c r="AK267" i="28"/>
  <c r="AK269" i="28" s="1"/>
  <c r="AK270" i="28" s="1"/>
  <c r="BI383" i="30"/>
  <c r="BK383" i="30"/>
  <c r="F93" i="29" a="1"/>
  <c r="F93" i="29" s="1"/>
  <c r="BO92" i="29"/>
  <c r="BD79" i="29"/>
  <c r="BJ511" i="29"/>
  <c r="BA381" i="29"/>
  <c r="AW381" i="29"/>
  <c r="AS381" i="29"/>
  <c r="AO381" i="29"/>
  <c r="AK381" i="29"/>
  <c r="AG381" i="29"/>
  <c r="F382" i="29" a="1"/>
  <c r="F382" i="29" s="1"/>
  <c r="AZ381" i="29"/>
  <c r="AV381" i="29"/>
  <c r="AR381" i="29"/>
  <c r="AN381" i="29"/>
  <c r="AJ381" i="29"/>
  <c r="AF381" i="29"/>
  <c r="BC381" i="29"/>
  <c r="AU381" i="29"/>
  <c r="AM381" i="29"/>
  <c r="AE381" i="29"/>
  <c r="BB381" i="29"/>
  <c r="AT381" i="29"/>
  <c r="AL381" i="29"/>
  <c r="AP381" i="29"/>
  <c r="AY381" i="29"/>
  <c r="AI381" i="29"/>
  <c r="BO381" i="29"/>
  <c r="AX381" i="29"/>
  <c r="AQ381" i="29"/>
  <c r="AF103" i="28"/>
  <c r="AF97" i="28"/>
  <c r="AF99" i="28" s="1"/>
  <c r="AF100" i="28" s="1"/>
  <c r="AF102" i="28"/>
  <c r="AK103" i="28"/>
  <c r="AK102" i="28"/>
  <c r="AK97" i="28"/>
  <c r="AK99" i="28" s="1"/>
  <c r="AK100" i="28" s="1"/>
  <c r="BE527" i="30"/>
  <c r="BF527" i="30"/>
  <c r="BK527" i="30"/>
  <c r="AH511" i="29"/>
  <c r="BA240" i="30"/>
  <c r="BL240" i="30" s="1"/>
  <c r="AW240" i="30"/>
  <c r="BH240" i="30" s="1"/>
  <c r="AS240" i="30"/>
  <c r="AO240" i="30"/>
  <c r="AK240" i="30"/>
  <c r="AG240" i="30"/>
  <c r="F241" i="30" a="1"/>
  <c r="F241" i="30" s="1"/>
  <c r="AZ240" i="30"/>
  <c r="BK240" i="30" s="1"/>
  <c r="AV240" i="30"/>
  <c r="BG240" i="30" s="1"/>
  <c r="AR240" i="30"/>
  <c r="AN240" i="30"/>
  <c r="AJ240" i="30"/>
  <c r="AF240" i="30"/>
  <c r="BC240" i="30"/>
  <c r="AY240" i="30"/>
  <c r="BJ240" i="30" s="1"/>
  <c r="AU240" i="30"/>
  <c r="BF240" i="30" s="1"/>
  <c r="AQ240" i="30"/>
  <c r="AM240" i="30"/>
  <c r="AI240" i="30"/>
  <c r="BD240" i="30" s="1"/>
  <c r="AE240" i="30"/>
  <c r="BO240" i="30"/>
  <c r="AX240" i="30"/>
  <c r="BI240" i="30" s="1"/>
  <c r="AP240" i="30"/>
  <c r="BB240" i="30"/>
  <c r="BM240" i="30" s="1"/>
  <c r="AL240" i="30"/>
  <c r="AT240" i="30"/>
  <c r="BE240" i="30" s="1"/>
  <c r="BD367" i="29"/>
  <c r="BK223" i="29"/>
  <c r="AI182" i="28"/>
  <c r="AI184" i="28" s="1"/>
  <c r="AI185" i="28" s="1"/>
  <c r="AI188" i="28"/>
  <c r="AL188" i="28" s="1"/>
  <c r="AI187" i="28"/>
  <c r="AJ182" i="28"/>
  <c r="AJ184" i="28" s="1"/>
  <c r="AJ185" i="28" s="1"/>
  <c r="AJ187" i="28"/>
  <c r="AH523" i="29"/>
  <c r="BH367" i="29"/>
  <c r="BF367" i="29"/>
  <c r="AI358" i="28"/>
  <c r="AL358" i="28" s="1"/>
  <c r="AI352" i="28"/>
  <c r="AI354" i="28" s="1"/>
  <c r="AI355" i="28" s="1"/>
  <c r="AI357" i="28"/>
  <c r="AE272" i="28"/>
  <c r="AE267" i="28"/>
  <c r="AE269" i="28" s="1"/>
  <c r="AE270" i="28" s="1"/>
  <c r="AE273" i="28"/>
  <c r="AH266" i="28"/>
  <c r="AG267" i="28"/>
  <c r="AG269" i="28" s="1"/>
  <c r="AG272" i="28"/>
  <c r="AH272" i="28" s="1"/>
  <c r="AG273" i="28"/>
  <c r="BA384" i="30"/>
  <c r="AW384" i="30"/>
  <c r="AS384" i="30"/>
  <c r="AO384" i="30"/>
  <c r="AK384" i="30"/>
  <c r="AG384" i="30"/>
  <c r="BC384" i="30"/>
  <c r="AY384" i="30"/>
  <c r="BJ384" i="30" s="1"/>
  <c r="AU384" i="30"/>
  <c r="AQ384" i="30"/>
  <c r="AM384" i="30"/>
  <c r="AI384" i="30"/>
  <c r="BD384" i="30" s="1"/>
  <c r="AE384" i="30"/>
  <c r="F385" i="30" a="1"/>
  <c r="F385" i="30" s="1"/>
  <c r="AZ384" i="30"/>
  <c r="BK384" i="30" s="1"/>
  <c r="AR384" i="30"/>
  <c r="AJ384" i="30"/>
  <c r="BO384" i="30"/>
  <c r="AX384" i="30"/>
  <c r="BI384" i="30" s="1"/>
  <c r="AP384" i="30"/>
  <c r="AV384" i="30"/>
  <c r="BG384" i="30" s="1"/>
  <c r="AN384" i="30"/>
  <c r="AF384" i="30"/>
  <c r="AT384" i="30"/>
  <c r="BE384" i="30" s="1"/>
  <c r="AL384" i="30"/>
  <c r="BB384" i="30"/>
  <c r="AH383" i="30"/>
  <c r="BI223" i="29"/>
  <c r="AI102" i="28"/>
  <c r="AI103" i="28"/>
  <c r="AL103" i="28" s="1"/>
  <c r="AI97" i="28"/>
  <c r="AI99" i="28" s="1"/>
  <c r="AI100" i="28" s="1"/>
  <c r="AH528" i="30" l="1"/>
  <c r="AH267" i="28"/>
  <c r="AH384" i="30"/>
  <c r="AH240" i="30"/>
  <c r="AH182" i="28"/>
  <c r="AH352" i="28"/>
  <c r="BL384" i="30"/>
  <c r="AG270" i="28"/>
  <c r="AH270" i="28" s="1"/>
  <c r="AH269" i="28"/>
  <c r="BA241" i="30"/>
  <c r="BL241" i="30" s="1"/>
  <c r="AW241" i="30"/>
  <c r="BH241" i="30" s="1"/>
  <c r="AS241" i="30"/>
  <c r="AO241" i="30"/>
  <c r="AK241" i="30"/>
  <c r="AG241" i="30"/>
  <c r="AZ241" i="30"/>
  <c r="BK241" i="30" s="1"/>
  <c r="AV241" i="30"/>
  <c r="BG241" i="30" s="1"/>
  <c r="AR241" i="30"/>
  <c r="AN241" i="30"/>
  <c r="AJ241" i="30"/>
  <c r="AF241" i="30"/>
  <c r="F242" i="30" a="1"/>
  <c r="F242" i="30" s="1"/>
  <c r="BC241" i="30"/>
  <c r="AY241" i="30"/>
  <c r="BJ241" i="30" s="1"/>
  <c r="AU241" i="30"/>
  <c r="BF241" i="30" s="1"/>
  <c r="AQ241" i="30"/>
  <c r="AM241" i="30"/>
  <c r="AI241" i="30"/>
  <c r="AE241" i="30"/>
  <c r="AP241" i="30"/>
  <c r="AX241" i="30"/>
  <c r="BI241" i="30" s="1"/>
  <c r="AT241" i="30"/>
  <c r="BB241" i="30"/>
  <c r="BM241" i="30" s="1"/>
  <c r="AL241" i="30"/>
  <c r="BI381" i="29"/>
  <c r="BG381" i="29"/>
  <c r="BL381" i="29"/>
  <c r="BG525" i="29"/>
  <c r="AH525" i="29"/>
  <c r="BH525" i="29"/>
  <c r="BE525" i="29"/>
  <c r="AH97" i="28"/>
  <c r="AK105" i="28"/>
  <c r="AK107" i="28" s="1"/>
  <c r="AK108" i="28"/>
  <c r="AK106" i="28"/>
  <c r="AJ108" i="28"/>
  <c r="AJ106" i="28"/>
  <c r="AJ105" i="28"/>
  <c r="AJ107" i="28" s="1"/>
  <c r="AJ191" i="28"/>
  <c r="AJ193" i="28"/>
  <c r="AJ190" i="28"/>
  <c r="AJ192" i="28" s="1"/>
  <c r="AH237" i="29"/>
  <c r="BI237" i="29"/>
  <c r="BL237" i="29"/>
  <c r="BG237" i="29"/>
  <c r="BL93" i="30"/>
  <c r="BE93" i="30"/>
  <c r="BF93" i="30"/>
  <c r="BK93" i="30"/>
  <c r="AK275" i="28"/>
  <c r="AK277" i="28" s="1"/>
  <c r="AK278" i="28"/>
  <c r="AK276" i="28"/>
  <c r="AF278" i="28"/>
  <c r="AF276" i="28"/>
  <c r="AF275" i="28"/>
  <c r="AF277" i="28" s="1"/>
  <c r="AJ361" i="28"/>
  <c r="AJ363" i="28"/>
  <c r="AJ360" i="28"/>
  <c r="AJ362" i="28" s="1"/>
  <c r="AI360" i="28"/>
  <c r="AI362" i="28" s="1"/>
  <c r="AI361" i="28"/>
  <c r="AI363" i="28"/>
  <c r="BK381" i="29"/>
  <c r="BD525" i="29"/>
  <c r="BL525" i="29"/>
  <c r="BI525" i="29"/>
  <c r="AG184" i="28"/>
  <c r="AG99" i="28"/>
  <c r="AG105" i="28"/>
  <c r="AG108" i="28"/>
  <c r="AG106" i="28"/>
  <c r="AH104" i="28"/>
  <c r="AG355" i="28"/>
  <c r="AH355" i="28" s="1"/>
  <c r="AH354" i="28"/>
  <c r="AH189" i="28"/>
  <c r="AG193" i="28"/>
  <c r="AG191" i="28"/>
  <c r="AG190" i="28"/>
  <c r="AF191" i="28"/>
  <c r="AF190" i="28"/>
  <c r="AF192" i="28" s="1"/>
  <c r="AF193" i="28"/>
  <c r="BM237" i="29"/>
  <c r="BF237" i="29"/>
  <c r="BK237" i="29"/>
  <c r="AH93" i="30"/>
  <c r="BI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O94" i="30"/>
  <c r="BB94" i="30"/>
  <c r="BM94" i="30" s="1"/>
  <c r="AX94" i="30"/>
  <c r="BI94" i="30" s="1"/>
  <c r="AT94" i="30"/>
  <c r="BE94" i="30" s="1"/>
  <c r="AP94" i="30"/>
  <c r="AL94" i="30"/>
  <c r="BA94" i="30"/>
  <c r="BL94" i="30" s="1"/>
  <c r="AK94" i="30"/>
  <c r="AW94" i="30"/>
  <c r="BH94" i="30" s="1"/>
  <c r="AG94" i="30"/>
  <c r="AO94" i="30"/>
  <c r="AS94" i="30"/>
  <c r="AG275" i="28"/>
  <c r="AG278" i="28"/>
  <c r="AH278" i="28" s="1"/>
  <c r="AG276" i="28"/>
  <c r="AH274" i="28"/>
  <c r="AJ278" i="28"/>
  <c r="AJ276" i="28"/>
  <c r="AJ275" i="28"/>
  <c r="AJ277" i="28" s="1"/>
  <c r="AJ273" i="28"/>
  <c r="AE360" i="28"/>
  <c r="AE362" i="28" s="1"/>
  <c r="AE361" i="28"/>
  <c r="AE363" i="28"/>
  <c r="AH359" i="28"/>
  <c r="AG363" i="28"/>
  <c r="AG361" i="28"/>
  <c r="AG360" i="28"/>
  <c r="BD381" i="29"/>
  <c r="BE381" i="29"/>
  <c r="BF381" i="29"/>
  <c r="BA382" i="29"/>
  <c r="BL382" i="29" s="1"/>
  <c r="AW382" i="29"/>
  <c r="BH382" i="29" s="1"/>
  <c r="AS382" i="29"/>
  <c r="AO382" i="29"/>
  <c r="AK382" i="29"/>
  <c r="AG382" i="29"/>
  <c r="AZ382" i="29"/>
  <c r="BK382" i="29" s="1"/>
  <c r="AV382" i="29"/>
  <c r="BG382" i="29" s="1"/>
  <c r="AR382" i="29"/>
  <c r="AN382" i="29"/>
  <c r="AJ382" i="29"/>
  <c r="AF382" i="29"/>
  <c r="BC382" i="29"/>
  <c r="AU382" i="29"/>
  <c r="BF382" i="29" s="1"/>
  <c r="AM382" i="29"/>
  <c r="AE382" i="29"/>
  <c r="BB382" i="29"/>
  <c r="BM382" i="29" s="1"/>
  <c r="AT382" i="29"/>
  <c r="BE382" i="29" s="1"/>
  <c r="AL382" i="29"/>
  <c r="AX382" i="29"/>
  <c r="BI382" i="29" s="1"/>
  <c r="AQ382" i="29"/>
  <c r="AP382" i="29"/>
  <c r="F383" i="29" a="1"/>
  <c r="F383" i="29" s="1"/>
  <c r="AY382" i="29"/>
  <c r="BJ382" i="29" s="1"/>
  <c r="AI382" i="29"/>
  <c r="BJ525" i="29"/>
  <c r="BK525" i="29"/>
  <c r="BF525" i="29"/>
  <c r="BM525" i="29"/>
  <c r="AH187" i="28"/>
  <c r="AH102" i="28"/>
  <c r="AE108" i="28"/>
  <c r="AE106" i="28"/>
  <c r="AE105" i="28"/>
  <c r="AE107" i="28" s="1"/>
  <c r="AH357" i="28"/>
  <c r="AI190" i="28"/>
  <c r="AI192" i="28" s="1"/>
  <c r="AI193" i="28"/>
  <c r="AI191" i="28"/>
  <c r="AK191" i="28"/>
  <c r="AK190" i="28"/>
  <c r="AK192" i="28" s="1"/>
  <c r="AK193" i="28"/>
  <c r="BH237" i="29"/>
  <c r="BD237" i="29"/>
  <c r="BJ237" i="29"/>
  <c r="AZ238" i="29"/>
  <c r="BK238" i="29" s="1"/>
  <c r="AV238" i="29"/>
  <c r="BG238" i="29" s="1"/>
  <c r="AR238" i="29"/>
  <c r="AN238" i="29"/>
  <c r="AJ238" i="29"/>
  <c r="AF238" i="29"/>
  <c r="F239" i="29" a="1"/>
  <c r="F239" i="29" s="1"/>
  <c r="BC238" i="29"/>
  <c r="AY238" i="29"/>
  <c r="BJ238" i="29" s="1"/>
  <c r="AU238" i="29"/>
  <c r="BF238" i="29" s="1"/>
  <c r="AQ238" i="29"/>
  <c r="AM238" i="29"/>
  <c r="AI238" i="29"/>
  <c r="AE238" i="29"/>
  <c r="BA238" i="29"/>
  <c r="BL238" i="29" s="1"/>
  <c r="AS238" i="29"/>
  <c r="AK238" i="29"/>
  <c r="AX238" i="29"/>
  <c r="BI238" i="29" s="1"/>
  <c r="AP238" i="29"/>
  <c r="AW238" i="29"/>
  <c r="BH238" i="29" s="1"/>
  <c r="AO238" i="29"/>
  <c r="AG238" i="29"/>
  <c r="AH238" i="29" s="1"/>
  <c r="AL238" i="29"/>
  <c r="BB238" i="29"/>
  <c r="BM238" i="29" s="1"/>
  <c r="AT238" i="29"/>
  <c r="BE238" i="29" s="1"/>
  <c r="BM93" i="30"/>
  <c r="AK363" i="28"/>
  <c r="AK361" i="28"/>
  <c r="AK360" i="28"/>
  <c r="AK362" i="28" s="1"/>
  <c r="BF384" i="30"/>
  <c r="BM384" i="30"/>
  <c r="BA385" i="30"/>
  <c r="BL385" i="30" s="1"/>
  <c r="AW385" i="30"/>
  <c r="BH385" i="30" s="1"/>
  <c r="AS385" i="30"/>
  <c r="AO385" i="30"/>
  <c r="AK385" i="30"/>
  <c r="AG385" i="30"/>
  <c r="BC385" i="30"/>
  <c r="AY385" i="30"/>
  <c r="BJ385" i="30" s="1"/>
  <c r="AU385" i="30"/>
  <c r="BF385" i="30" s="1"/>
  <c r="AQ385" i="30"/>
  <c r="AM385" i="30"/>
  <c r="AI385" i="30"/>
  <c r="BD385" i="30" s="1"/>
  <c r="AE385" i="30"/>
  <c r="F386" i="30" a="1"/>
  <c r="F386" i="30" s="1"/>
  <c r="AZ385" i="30"/>
  <c r="BK385" i="30" s="1"/>
  <c r="AR385" i="30"/>
  <c r="AJ385" i="30"/>
  <c r="BO385" i="30"/>
  <c r="AX385" i="30"/>
  <c r="BI385" i="30" s="1"/>
  <c r="AP385" i="30"/>
  <c r="AV385" i="30"/>
  <c r="BG385" i="30" s="1"/>
  <c r="AN385" i="30"/>
  <c r="AF385" i="30"/>
  <c r="AL385" i="30"/>
  <c r="BB385" i="30"/>
  <c r="BM385" i="30" s="1"/>
  <c r="AT385" i="30"/>
  <c r="BE385" i="30" s="1"/>
  <c r="BH384" i="30"/>
  <c r="BJ381" i="29"/>
  <c r="BM381" i="29"/>
  <c r="AH381" i="29"/>
  <c r="BH381" i="29"/>
  <c r="F94" i="29" a="1"/>
  <c r="F94" i="29" s="1"/>
  <c r="AZ93" i="29"/>
  <c r="AV93" i="29"/>
  <c r="AR93" i="29"/>
  <c r="AN93" i="29"/>
  <c r="AJ93" i="29"/>
  <c r="AF93" i="29"/>
  <c r="BC93" i="29"/>
  <c r="AY93" i="29"/>
  <c r="AU93" i="29"/>
  <c r="AQ93" i="29"/>
  <c r="AM93" i="29"/>
  <c r="AI93" i="29"/>
  <c r="AE93" i="29"/>
  <c r="BA93" i="29"/>
  <c r="AS93" i="29"/>
  <c r="AK93" i="29"/>
  <c r="BO93" i="29"/>
  <c r="AX93" i="29"/>
  <c r="AP93" i="29"/>
  <c r="AW93" i="29"/>
  <c r="AO93" i="29"/>
  <c r="AG93" i="29"/>
  <c r="BB93" i="29"/>
  <c r="AT93" i="29"/>
  <c r="AL93" i="29"/>
  <c r="BB526" i="29"/>
  <c r="BM526" i="29" s="1"/>
  <c r="AX526" i="29"/>
  <c r="BI526" i="29" s="1"/>
  <c r="AT526" i="29"/>
  <c r="AP526" i="29"/>
  <c r="AL526" i="29"/>
  <c r="BA526" i="29"/>
  <c r="BL526" i="29" s="1"/>
  <c r="AW526" i="29"/>
  <c r="BH526" i="29" s="1"/>
  <c r="AS526" i="29"/>
  <c r="AO526" i="29"/>
  <c r="AK526" i="29"/>
  <c r="AG526" i="29"/>
  <c r="BC526" i="29"/>
  <c r="AU526" i="29"/>
  <c r="BF526" i="29" s="1"/>
  <c r="AM526" i="29"/>
  <c r="AE526" i="29"/>
  <c r="AZ526" i="29"/>
  <c r="BK526" i="29" s="1"/>
  <c r="AR526" i="29"/>
  <c r="AJ526" i="29"/>
  <c r="AV526" i="29"/>
  <c r="BG526" i="29" s="1"/>
  <c r="AF526" i="29"/>
  <c r="AQ526" i="29"/>
  <c r="AN526" i="29"/>
  <c r="F527" i="29" a="1"/>
  <c r="F527" i="29" s="1"/>
  <c r="AY526" i="29"/>
  <c r="BJ526" i="29" s="1"/>
  <c r="AI526" i="29"/>
  <c r="AG188" i="28"/>
  <c r="AI108" i="28"/>
  <c r="AI106" i="28"/>
  <c r="AI105" i="28"/>
  <c r="AI107" i="28" s="1"/>
  <c r="AF108" i="28"/>
  <c r="AF106" i="28"/>
  <c r="AF105" i="28"/>
  <c r="AF107" i="28" s="1"/>
  <c r="AE190" i="28"/>
  <c r="AE192" i="28" s="1"/>
  <c r="AE193" i="28"/>
  <c r="AE191" i="28"/>
  <c r="BE237" i="29"/>
  <c r="BH93" i="30"/>
  <c r="BG93" i="30"/>
  <c r="AE278" i="28"/>
  <c r="AE276" i="28"/>
  <c r="AE275" i="28"/>
  <c r="AE277" i="28" s="1"/>
  <c r="AI276" i="28"/>
  <c r="AI275" i="28"/>
  <c r="AI277" i="28" s="1"/>
  <c r="AI278" i="28"/>
  <c r="AF361" i="28"/>
  <c r="AF360" i="28"/>
  <c r="AF362" i="28" s="1"/>
  <c r="AF363" i="28"/>
  <c r="AK358" i="28"/>
  <c r="F530" i="30" a="1"/>
  <c r="F530" i="30" s="1"/>
  <c r="AZ529" i="30"/>
  <c r="AV529" i="30"/>
  <c r="AR529" i="30"/>
  <c r="AN529" i="30"/>
  <c r="AJ529" i="30"/>
  <c r="AF529" i="30"/>
  <c r="BC529" i="30"/>
  <c r="AY529" i="30"/>
  <c r="BJ529" i="30" s="1"/>
  <c r="AU529" i="30"/>
  <c r="AQ529" i="30"/>
  <c r="AM529" i="30"/>
  <c r="AI529" i="30"/>
  <c r="BD529" i="30" s="1"/>
  <c r="AE529" i="30"/>
  <c r="BO529" i="30"/>
  <c r="BB529" i="30"/>
  <c r="AX529" i="30"/>
  <c r="BI529" i="30" s="1"/>
  <c r="AT529" i="30"/>
  <c r="AP529" i="30"/>
  <c r="AL529" i="30"/>
  <c r="AO529" i="30"/>
  <c r="BA529" i="30"/>
  <c r="AK529" i="30"/>
  <c r="AW529" i="30"/>
  <c r="AG529" i="30"/>
  <c r="AS529" i="30"/>
  <c r="AH276" i="28" l="1"/>
  <c r="AH94" i="30"/>
  <c r="AH275" i="28"/>
  <c r="BE241" i="30"/>
  <c r="AH529" i="30"/>
  <c r="BD526" i="29"/>
  <c r="BD382" i="29"/>
  <c r="AG277" i="28"/>
  <c r="AH277" i="28" s="1"/>
  <c r="AH193" i="28"/>
  <c r="BH529" i="30"/>
  <c r="BF93" i="29"/>
  <c r="BK93" i="29"/>
  <c r="AH361" i="28"/>
  <c r="F96" i="30" a="1"/>
  <c r="F96" i="30" s="1"/>
  <c r="AZ95" i="30"/>
  <c r="BK95" i="30" s="1"/>
  <c r="AV95" i="30"/>
  <c r="AR95" i="30"/>
  <c r="AN95" i="30"/>
  <c r="AJ95" i="30"/>
  <c r="AF95" i="30"/>
  <c r="BC95" i="30"/>
  <c r="AY95" i="30"/>
  <c r="BJ95" i="30" s="1"/>
  <c r="AU95" i="30"/>
  <c r="BF95" i="30" s="1"/>
  <c r="AQ95" i="30"/>
  <c r="AM95" i="30"/>
  <c r="AI95" i="30"/>
  <c r="BD95" i="30" s="1"/>
  <c r="AE95" i="30"/>
  <c r="BO95" i="30"/>
  <c r="BB95" i="30"/>
  <c r="AX95" i="30"/>
  <c r="BI95" i="30" s="1"/>
  <c r="AT95" i="30"/>
  <c r="BE95" i="30" s="1"/>
  <c r="AP95" i="30"/>
  <c r="AL95" i="30"/>
  <c r="AS95" i="30"/>
  <c r="AO95" i="30"/>
  <c r="AG95" i="30"/>
  <c r="AH95" i="30" s="1"/>
  <c r="BA95" i="30"/>
  <c r="BL95" i="30" s="1"/>
  <c r="AW95" i="30"/>
  <c r="AK95" i="30"/>
  <c r="AH108" i="28"/>
  <c r="AH241" i="30"/>
  <c r="BG529" i="30"/>
  <c r="BE93" i="29"/>
  <c r="BH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A94" i="29"/>
  <c r="BL94" i="29" s="1"/>
  <c r="AS94" i="29"/>
  <c r="AK94" i="29"/>
  <c r="BO94" i="29"/>
  <c r="AX94" i="29"/>
  <c r="BI94" i="29" s="1"/>
  <c r="AP94" i="29"/>
  <c r="AW94" i="29"/>
  <c r="BH94" i="29" s="1"/>
  <c r="AO94" i="29"/>
  <c r="AG94" i="29"/>
  <c r="AH94" i="29" s="1"/>
  <c r="AT94" i="29"/>
  <c r="BE94" i="29" s="1"/>
  <c r="AL94" i="29"/>
  <c r="BB94" i="29"/>
  <c r="BM94" i="29" s="1"/>
  <c r="BD238" i="29"/>
  <c r="AH363" i="28"/>
  <c r="AH105" i="28"/>
  <c r="BO242" i="30"/>
  <c r="BB242" i="30"/>
  <c r="AX242" i="30"/>
  <c r="AT242" i="30"/>
  <c r="AP242" i="30"/>
  <c r="AL242" i="30"/>
  <c r="BA242" i="30"/>
  <c r="AW242" i="30"/>
  <c r="AS242" i="30"/>
  <c r="AO242" i="30"/>
  <c r="AK242" i="30"/>
  <c r="AG242" i="30"/>
  <c r="F243" i="30" a="1"/>
  <c r="F243" i="30" s="1"/>
  <c r="AZ242" i="30"/>
  <c r="AV242" i="30"/>
  <c r="AR242" i="30"/>
  <c r="AN242" i="30"/>
  <c r="AJ242" i="30"/>
  <c r="AF242" i="30"/>
  <c r="AY242" i="30"/>
  <c r="AI242" i="30"/>
  <c r="AQ242" i="30"/>
  <c r="BC242" i="30"/>
  <c r="AM242" i="30"/>
  <c r="AU242" i="30"/>
  <c r="AE242" i="30"/>
  <c r="BM529" i="30"/>
  <c r="BL529" i="30"/>
  <c r="BE529" i="30"/>
  <c r="BF529" i="30"/>
  <c r="BK529" i="30"/>
  <c r="BC527" i="29"/>
  <c r="AY527" i="29"/>
  <c r="BJ527" i="29" s="1"/>
  <c r="AU527" i="29"/>
  <c r="BF527" i="29" s="1"/>
  <c r="AQ527" i="29"/>
  <c r="AM527" i="29"/>
  <c r="AI527" i="29"/>
  <c r="BD527" i="29" s="1"/>
  <c r="AE527" i="29"/>
  <c r="BO527" i="29"/>
  <c r="BB527" i="29"/>
  <c r="BM527" i="29" s="1"/>
  <c r="AX527" i="29"/>
  <c r="BI527" i="29" s="1"/>
  <c r="AT527" i="29"/>
  <c r="BE527" i="29" s="1"/>
  <c r="AP527" i="29"/>
  <c r="AL527" i="29"/>
  <c r="AV527" i="29"/>
  <c r="BG527" i="29" s="1"/>
  <c r="AN527" i="29"/>
  <c r="AF527" i="29"/>
  <c r="BA527" i="29"/>
  <c r="BL527" i="29" s="1"/>
  <c r="AS527" i="29"/>
  <c r="AK527" i="29"/>
  <c r="AO527" i="29"/>
  <c r="F528" i="29" a="1"/>
  <c r="F528" i="29" s="1"/>
  <c r="AZ527" i="29"/>
  <c r="BK527" i="29" s="1"/>
  <c r="AJ527" i="29"/>
  <c r="AW527" i="29"/>
  <c r="BH527" i="29" s="1"/>
  <c r="AG527" i="29"/>
  <c r="AR527" i="29"/>
  <c r="AH526" i="29"/>
  <c r="BE526" i="29"/>
  <c r="BM93" i="29"/>
  <c r="BO383" i="29"/>
  <c r="BB383" i="29"/>
  <c r="AX383" i="29"/>
  <c r="BI383" i="29" s="1"/>
  <c r="AT383" i="29"/>
  <c r="BE383" i="29" s="1"/>
  <c r="AP383" i="29"/>
  <c r="AL383" i="29"/>
  <c r="BA383" i="29"/>
  <c r="BL383" i="29" s="1"/>
  <c r="AW383" i="29"/>
  <c r="AS383" i="29"/>
  <c r="AO383" i="29"/>
  <c r="AK383" i="29"/>
  <c r="AG383" i="29"/>
  <c r="AV383" i="29"/>
  <c r="BG383" i="29" s="1"/>
  <c r="AN383" i="29"/>
  <c r="AF383" i="29"/>
  <c r="BC383" i="29"/>
  <c r="AU383" i="29"/>
  <c r="BF383" i="29" s="1"/>
  <c r="AM383" i="29"/>
  <c r="AE383" i="29"/>
  <c r="AQ383" i="29"/>
  <c r="F384" i="29" a="1"/>
  <c r="F384" i="29" s="1"/>
  <c r="AZ383" i="29"/>
  <c r="BK383" i="29" s="1"/>
  <c r="AJ383" i="29"/>
  <c r="AY383" i="29"/>
  <c r="AI383" i="29"/>
  <c r="BD383" i="29" s="1"/>
  <c r="AR383" i="29"/>
  <c r="AH190" i="28"/>
  <c r="AG192" i="28"/>
  <c r="AH192" i="28" s="1"/>
  <c r="AH106" i="28"/>
  <c r="AH99" i="28"/>
  <c r="AG100" i="28"/>
  <c r="AH100" i="28" s="1"/>
  <c r="F531" i="30" a="1"/>
  <c r="F531" i="30" s="1"/>
  <c r="AZ530" i="30"/>
  <c r="BK530" i="30" s="1"/>
  <c r="AV530" i="30"/>
  <c r="BG530" i="30" s="1"/>
  <c r="AR530" i="30"/>
  <c r="AN530" i="30"/>
  <c r="AJ530" i="30"/>
  <c r="AF530" i="30"/>
  <c r="BC530" i="30"/>
  <c r="AY530" i="30"/>
  <c r="BJ530" i="30" s="1"/>
  <c r="AU530" i="30"/>
  <c r="BF530" i="30" s="1"/>
  <c r="AQ530" i="30"/>
  <c r="AM530" i="30"/>
  <c r="AI530" i="30"/>
  <c r="AE530" i="30"/>
  <c r="BO530" i="30"/>
  <c r="BB530" i="30"/>
  <c r="BM530" i="30" s="1"/>
  <c r="AX530" i="30"/>
  <c r="BI530" i="30" s="1"/>
  <c r="AT530" i="30"/>
  <c r="BE530" i="30" s="1"/>
  <c r="AP530" i="30"/>
  <c r="AL530" i="30"/>
  <c r="AW530" i="30"/>
  <c r="BH530" i="30" s="1"/>
  <c r="AG530" i="30"/>
  <c r="AS530" i="30"/>
  <c r="AO530" i="30"/>
  <c r="AK530" i="30"/>
  <c r="BA530" i="30"/>
  <c r="BL530" i="30" s="1"/>
  <c r="AH93" i="29"/>
  <c r="BI93" i="29"/>
  <c r="BL93" i="29"/>
  <c r="BG93" i="29"/>
  <c r="BA386" i="30"/>
  <c r="BL386" i="30" s="1"/>
  <c r="AW386" i="30"/>
  <c r="AS386" i="30"/>
  <c r="AO386" i="30"/>
  <c r="AK386" i="30"/>
  <c r="AG386" i="30"/>
  <c r="BC386" i="30"/>
  <c r="AY386" i="30"/>
  <c r="BJ386" i="30" s="1"/>
  <c r="AU386" i="30"/>
  <c r="BF386" i="30" s="1"/>
  <c r="AQ386" i="30"/>
  <c r="AM386" i="30"/>
  <c r="AI386" i="30"/>
  <c r="BD386" i="30" s="1"/>
  <c r="AE386" i="30"/>
  <c r="F387" i="30" a="1"/>
  <c r="F387" i="30" s="1"/>
  <c r="AZ386" i="30"/>
  <c r="AR386" i="30"/>
  <c r="AJ386" i="30"/>
  <c r="BO386" i="30"/>
  <c r="AX386" i="30"/>
  <c r="BI386" i="30" s="1"/>
  <c r="AP386" i="30"/>
  <c r="AV386" i="30"/>
  <c r="AN386" i="30"/>
  <c r="AF386" i="30"/>
  <c r="BB386" i="30"/>
  <c r="BM386" i="30" s="1"/>
  <c r="AT386" i="30"/>
  <c r="BE386" i="30" s="1"/>
  <c r="AL386" i="30"/>
  <c r="AH385" i="30"/>
  <c r="BA239" i="29"/>
  <c r="BL239" i="29" s="1"/>
  <c r="AW239" i="29"/>
  <c r="BH239" i="29" s="1"/>
  <c r="AS239" i="29"/>
  <c r="AO239" i="29"/>
  <c r="AK239" i="29"/>
  <c r="AG239" i="29"/>
  <c r="F240" i="29" a="1"/>
  <c r="F240" i="29" s="1"/>
  <c r="AZ239" i="29"/>
  <c r="BK239" i="29" s="1"/>
  <c r="AV239" i="29"/>
  <c r="BG239" i="29" s="1"/>
  <c r="AR239" i="29"/>
  <c r="AN239" i="29"/>
  <c r="AJ239" i="29"/>
  <c r="AF239" i="29"/>
  <c r="BB239" i="29"/>
  <c r="BM239" i="29" s="1"/>
  <c r="AT239" i="29"/>
  <c r="AL239" i="29"/>
  <c r="AY239" i="29"/>
  <c r="BJ239" i="29" s="1"/>
  <c r="AQ239" i="29"/>
  <c r="AI239" i="29"/>
  <c r="BD239" i="29" s="1"/>
  <c r="BO239" i="29"/>
  <c r="AX239" i="29"/>
  <c r="BI239" i="29" s="1"/>
  <c r="AP239" i="29"/>
  <c r="AE239" i="29"/>
  <c r="BC239" i="29"/>
  <c r="AU239" i="29"/>
  <c r="BF239" i="29" s="1"/>
  <c r="AM239" i="29"/>
  <c r="AH382" i="29"/>
  <c r="AH360" i="28"/>
  <c r="AG362" i="28"/>
  <c r="AH362" i="28" s="1"/>
  <c r="AH191" i="28"/>
  <c r="AG107" i="28"/>
  <c r="AH107" i="28" s="1"/>
  <c r="AG185" i="28"/>
  <c r="AH185" i="28" s="1"/>
  <c r="AH184" i="28"/>
  <c r="BD241" i="30"/>
  <c r="AH273" i="28" l="1"/>
  <c r="AH527" i="29"/>
  <c r="BE239" i="29"/>
  <c r="BA240" i="29"/>
  <c r="BL240" i="29" s="1"/>
  <c r="AW240" i="29"/>
  <c r="BH240" i="29" s="1"/>
  <c r="AS240" i="29"/>
  <c r="AO240" i="29"/>
  <c r="AK240" i="29"/>
  <c r="AG240" i="29"/>
  <c r="F241" i="29" a="1"/>
  <c r="F241" i="29" s="1"/>
  <c r="AZ240" i="29"/>
  <c r="AV240" i="29"/>
  <c r="BG240" i="29" s="1"/>
  <c r="AR240" i="29"/>
  <c r="AN240" i="29"/>
  <c r="AJ240" i="29"/>
  <c r="AF240" i="29"/>
  <c r="BB240" i="29"/>
  <c r="AT240" i="29"/>
  <c r="BE240" i="29" s="1"/>
  <c r="AL240" i="29"/>
  <c r="AY240" i="29"/>
  <c r="BJ240" i="29" s="1"/>
  <c r="AQ240" i="29"/>
  <c r="AI240" i="29"/>
  <c r="BD240" i="29" s="1"/>
  <c r="BO240" i="29"/>
  <c r="AX240" i="29"/>
  <c r="AP240" i="29"/>
  <c r="BC240" i="29"/>
  <c r="AU240" i="29"/>
  <c r="AM240" i="29"/>
  <c r="AE240" i="29"/>
  <c r="BJ242" i="30"/>
  <c r="AH242" i="30"/>
  <c r="BH242" i="30"/>
  <c r="BE242" i="30"/>
  <c r="AH239" i="29"/>
  <c r="BK386" i="30"/>
  <c r="BM383" i="29"/>
  <c r="BC528" i="29"/>
  <c r="AY528" i="29"/>
  <c r="BJ528" i="29" s="1"/>
  <c r="AU528" i="29"/>
  <c r="BF528" i="29" s="1"/>
  <c r="AQ528" i="29"/>
  <c r="AM528" i="29"/>
  <c r="AI528" i="29"/>
  <c r="BD528" i="29" s="1"/>
  <c r="AE528" i="29"/>
  <c r="BO528" i="29"/>
  <c r="BB528" i="29"/>
  <c r="BM528" i="29" s="1"/>
  <c r="AX528" i="29"/>
  <c r="BI528" i="29" s="1"/>
  <c r="AT528" i="29"/>
  <c r="BE528" i="29" s="1"/>
  <c r="AP528" i="29"/>
  <c r="AL528" i="29"/>
  <c r="AV528" i="29"/>
  <c r="AN528" i="29"/>
  <c r="AF528" i="29"/>
  <c r="BA528" i="29"/>
  <c r="AS528" i="29"/>
  <c r="AK528" i="29"/>
  <c r="AW528" i="29"/>
  <c r="BH528" i="29" s="1"/>
  <c r="AG528" i="29"/>
  <c r="AR528" i="29"/>
  <c r="AO528" i="29"/>
  <c r="F529" i="29" a="1"/>
  <c r="F529" i="29" s="1"/>
  <c r="AZ528" i="29"/>
  <c r="AJ528" i="29"/>
  <c r="BG242" i="30"/>
  <c r="BL242" i="30"/>
  <c r="BI242" i="30"/>
  <c r="F96" i="29" a="1"/>
  <c r="F96" i="29" s="1"/>
  <c r="AZ95" i="29"/>
  <c r="BK95" i="29" s="1"/>
  <c r="AV95" i="29"/>
  <c r="AR95" i="29"/>
  <c r="AN95" i="29"/>
  <c r="AJ95" i="29"/>
  <c r="AF95" i="29"/>
  <c r="BC95" i="29"/>
  <c r="AY95" i="29"/>
  <c r="BJ95" i="29" s="1"/>
  <c r="AU95" i="29"/>
  <c r="BF95" i="29" s="1"/>
  <c r="AQ95" i="29"/>
  <c r="AM95" i="29"/>
  <c r="AI95" i="29"/>
  <c r="BD95" i="29" s="1"/>
  <c r="AE95" i="29"/>
  <c r="BA95" i="29"/>
  <c r="AS95" i="29"/>
  <c r="AK95" i="29"/>
  <c r="BO95" i="29"/>
  <c r="AX95" i="29"/>
  <c r="AP95" i="29"/>
  <c r="AW95" i="29"/>
  <c r="BH95" i="29" s="1"/>
  <c r="AO95" i="29"/>
  <c r="AG95" i="29"/>
  <c r="AL95" i="29"/>
  <c r="BB95" i="29"/>
  <c r="AT95" i="29"/>
  <c r="BE95" i="29" s="1"/>
  <c r="BH95" i="30"/>
  <c r="F97" i="30" a="1"/>
  <c r="F97" i="30" s="1"/>
  <c r="AZ96" i="30"/>
  <c r="AV96" i="30"/>
  <c r="BG96" i="30" s="1"/>
  <c r="AR96" i="30"/>
  <c r="AN96" i="30"/>
  <c r="AJ96" i="30"/>
  <c r="AF96" i="30"/>
  <c r="BC96" i="30"/>
  <c r="AY96" i="30"/>
  <c r="AU96" i="30"/>
  <c r="AQ96" i="30"/>
  <c r="AM96" i="30"/>
  <c r="AI96" i="30"/>
  <c r="AE96" i="30"/>
  <c r="BO96" i="30"/>
  <c r="BB96" i="30"/>
  <c r="BM96" i="30" s="1"/>
  <c r="AX96" i="30"/>
  <c r="AT96" i="30"/>
  <c r="AP96" i="30"/>
  <c r="AL96" i="30"/>
  <c r="BA96" i="30"/>
  <c r="AK96" i="30"/>
  <c r="AW96" i="30"/>
  <c r="BH96" i="30" s="1"/>
  <c r="AG96" i="30"/>
  <c r="AS96" i="30"/>
  <c r="AO96" i="30"/>
  <c r="AH358" i="28"/>
  <c r="BA387" i="30"/>
  <c r="BL387" i="30" s="1"/>
  <c r="AW387" i="30"/>
  <c r="BH387" i="30" s="1"/>
  <c r="AS387" i="30"/>
  <c r="AO387" i="30"/>
  <c r="AK387" i="30"/>
  <c r="AG387" i="30"/>
  <c r="BC387" i="30"/>
  <c r="AY387" i="30"/>
  <c r="BJ387" i="30" s="1"/>
  <c r="AU387" i="30"/>
  <c r="AQ387" i="30"/>
  <c r="AM387" i="30"/>
  <c r="AI387" i="30"/>
  <c r="BD387" i="30" s="1"/>
  <c r="AE387" i="30"/>
  <c r="F388" i="30" a="1"/>
  <c r="F388" i="30" s="1"/>
  <c r="AZ387" i="30"/>
  <c r="BK387" i="30" s="1"/>
  <c r="AR387" i="30"/>
  <c r="AJ387" i="30"/>
  <c r="BO387" i="30"/>
  <c r="AX387" i="30"/>
  <c r="BI387" i="30" s="1"/>
  <c r="AP387" i="30"/>
  <c r="AV387" i="30"/>
  <c r="BG387" i="30" s="1"/>
  <c r="AN387" i="30"/>
  <c r="AF387" i="30"/>
  <c r="BB387" i="30"/>
  <c r="BM387" i="30" s="1"/>
  <c r="AT387" i="30"/>
  <c r="BE387" i="30" s="1"/>
  <c r="AL387" i="30"/>
  <c r="AH386" i="30"/>
  <c r="BH386" i="30"/>
  <c r="AH530" i="30"/>
  <c r="AH188" i="28"/>
  <c r="BO384" i="29"/>
  <c r="BB384" i="29"/>
  <c r="BM384" i="29" s="1"/>
  <c r="AX384" i="29"/>
  <c r="AT384" i="29"/>
  <c r="BE384" i="29" s="1"/>
  <c r="AP384" i="29"/>
  <c r="AL384" i="29"/>
  <c r="BA384" i="29"/>
  <c r="AW384" i="29"/>
  <c r="BH384" i="29" s="1"/>
  <c r="AS384" i="29"/>
  <c r="AO384" i="29"/>
  <c r="AK384" i="29"/>
  <c r="AG384" i="29"/>
  <c r="AV384" i="29"/>
  <c r="AN384" i="29"/>
  <c r="AF384" i="29"/>
  <c r="BC384" i="29"/>
  <c r="AU384" i="29"/>
  <c r="AM384" i="29"/>
  <c r="AE384" i="29"/>
  <c r="AY384" i="29"/>
  <c r="BJ384" i="29" s="1"/>
  <c r="AI384" i="29"/>
  <c r="AR384" i="29"/>
  <c r="AQ384" i="29"/>
  <c r="F385" i="29" a="1"/>
  <c r="F385" i="29" s="1"/>
  <c r="AZ384" i="29"/>
  <c r="BK384" i="29" s="1"/>
  <c r="AJ384" i="29"/>
  <c r="BK242" i="30"/>
  <c r="BM242" i="30"/>
  <c r="BM95" i="30"/>
  <c r="BG386" i="30"/>
  <c r="BD530" i="30"/>
  <c r="F532" i="30" a="1"/>
  <c r="F532" i="30" s="1"/>
  <c r="AZ531" i="30"/>
  <c r="BK531" i="30" s="1"/>
  <c r="AV531" i="30"/>
  <c r="BG531" i="30" s="1"/>
  <c r="AR531" i="30"/>
  <c r="AN531" i="30"/>
  <c r="AJ531" i="30"/>
  <c r="AF531" i="30"/>
  <c r="BC531" i="30"/>
  <c r="AY531" i="30"/>
  <c r="BJ531" i="30" s="1"/>
  <c r="AU531" i="30"/>
  <c r="BF531" i="30" s="1"/>
  <c r="AQ531" i="30"/>
  <c r="AM531" i="30"/>
  <c r="AI531" i="30"/>
  <c r="BD531" i="30" s="1"/>
  <c r="AE531" i="30"/>
  <c r="BO531" i="30"/>
  <c r="BB531" i="30"/>
  <c r="BM531" i="30" s="1"/>
  <c r="AX531" i="30"/>
  <c r="BI531" i="30" s="1"/>
  <c r="AT531" i="30"/>
  <c r="BE531" i="30" s="1"/>
  <c r="AP531" i="30"/>
  <c r="AL531" i="30"/>
  <c r="AO531" i="30"/>
  <c r="BA531" i="30"/>
  <c r="BL531" i="30" s="1"/>
  <c r="AK531" i="30"/>
  <c r="AW531" i="30"/>
  <c r="BH531" i="30" s="1"/>
  <c r="AG531" i="30"/>
  <c r="AS531" i="30"/>
  <c r="BJ383" i="29"/>
  <c r="AH383" i="29"/>
  <c r="BH383" i="29"/>
  <c r="BF242" i="30"/>
  <c r="BD242" i="30"/>
  <c r="BO243" i="30"/>
  <c r="BB243" i="30"/>
  <c r="BM243" i="30" s="1"/>
  <c r="AX243" i="30"/>
  <c r="BI243" i="30" s="1"/>
  <c r="AT243" i="30"/>
  <c r="BE243" i="30" s="1"/>
  <c r="AP243" i="30"/>
  <c r="AL243" i="30"/>
  <c r="BA243" i="30"/>
  <c r="BL243" i="30" s="1"/>
  <c r="AW243" i="30"/>
  <c r="BH243" i="30" s="1"/>
  <c r="AS243" i="30"/>
  <c r="AO243" i="30"/>
  <c r="AK243" i="30"/>
  <c r="AG243" i="30"/>
  <c r="F244" i="30" a="1"/>
  <c r="F244" i="30" s="1"/>
  <c r="AZ243" i="30"/>
  <c r="BK243" i="30" s="1"/>
  <c r="AV243" i="30"/>
  <c r="BG243" i="30" s="1"/>
  <c r="AR243" i="30"/>
  <c r="AN243" i="30"/>
  <c r="AJ243" i="30"/>
  <c r="AF243" i="30"/>
  <c r="AQ243" i="30"/>
  <c r="AY243" i="30"/>
  <c r="BJ243" i="30" s="1"/>
  <c r="AI243" i="30"/>
  <c r="BD243" i="30" s="1"/>
  <c r="AU243" i="30"/>
  <c r="BF243" i="30" s="1"/>
  <c r="AE243" i="30"/>
  <c r="AM243" i="30"/>
  <c r="BC243" i="30"/>
  <c r="AH103" i="28"/>
  <c r="BG95" i="30"/>
  <c r="AH528" i="29" l="1"/>
  <c r="AH531" i="30"/>
  <c r="AH384" i="29"/>
  <c r="BA388" i="30"/>
  <c r="BL388" i="30" s="1"/>
  <c r="AW388" i="30"/>
  <c r="AS388" i="30"/>
  <c r="AO388" i="30"/>
  <c r="AK388" i="30"/>
  <c r="AG388" i="30"/>
  <c r="BC388" i="30"/>
  <c r="AY388" i="30"/>
  <c r="BJ388" i="30" s="1"/>
  <c r="AU388" i="30"/>
  <c r="BF388" i="30" s="1"/>
  <c r="AQ388" i="30"/>
  <c r="AM388" i="30"/>
  <c r="AI388" i="30"/>
  <c r="BD388" i="30" s="1"/>
  <c r="AE388" i="30"/>
  <c r="F389" i="30" a="1"/>
  <c r="F389" i="30" s="1"/>
  <c r="AZ388" i="30"/>
  <c r="BK388" i="30" s="1"/>
  <c r="AR388" i="30"/>
  <c r="AJ388" i="30"/>
  <c r="BO388" i="30"/>
  <c r="AX388" i="30"/>
  <c r="BI388" i="30" s="1"/>
  <c r="AP388" i="30"/>
  <c r="AV388" i="30"/>
  <c r="AN388" i="30"/>
  <c r="AF388" i="30"/>
  <c r="AT388" i="30"/>
  <c r="BE388" i="30" s="1"/>
  <c r="AL388" i="30"/>
  <c r="BB388" i="30"/>
  <c r="BM388" i="30" s="1"/>
  <c r="AH387" i="30"/>
  <c r="AH95" i="29"/>
  <c r="BI95" i="29"/>
  <c r="BL95" i="29"/>
  <c r="BG95" i="29"/>
  <c r="BA241" i="29"/>
  <c r="AW241" i="29"/>
  <c r="AS241" i="29"/>
  <c r="AO241" i="29"/>
  <c r="AK241" i="29"/>
  <c r="AG241" i="29"/>
  <c r="AZ241" i="29"/>
  <c r="BK241" i="29" s="1"/>
  <c r="AV241" i="29"/>
  <c r="AR241" i="29"/>
  <c r="AN241" i="29"/>
  <c r="AJ241" i="29"/>
  <c r="AF241" i="29"/>
  <c r="BB241" i="29"/>
  <c r="BM241" i="29" s="1"/>
  <c r="AT241" i="29"/>
  <c r="AL241" i="29"/>
  <c r="F242" i="29" a="1"/>
  <c r="F242" i="29" s="1"/>
  <c r="AY241" i="29"/>
  <c r="AQ241" i="29"/>
  <c r="AI241" i="29"/>
  <c r="AX241" i="29"/>
  <c r="BI241" i="29" s="1"/>
  <c r="AP241" i="29"/>
  <c r="AU241" i="29"/>
  <c r="BF241" i="29" s="1"/>
  <c r="AM241" i="29"/>
  <c r="AE241" i="29"/>
  <c r="BC241" i="29"/>
  <c r="BD384" i="29"/>
  <c r="BF384" i="29"/>
  <c r="BG384" i="29"/>
  <c r="BF387" i="30"/>
  <c r="BE96" i="30"/>
  <c r="BF96" i="30"/>
  <c r="BK96" i="30"/>
  <c r="BG528" i="29"/>
  <c r="BM240" i="29"/>
  <c r="AH240" i="29"/>
  <c r="BO244" i="30"/>
  <c r="BB244" i="30"/>
  <c r="BM244" i="30" s="1"/>
  <c r="AX244" i="30"/>
  <c r="BI244" i="30" s="1"/>
  <c r="AT244" i="30"/>
  <c r="BE244" i="30" s="1"/>
  <c r="AP244" i="30"/>
  <c r="AL244" i="30"/>
  <c r="BA244" i="30"/>
  <c r="BL244" i="30" s="1"/>
  <c r="AW244" i="30"/>
  <c r="BH244" i="30" s="1"/>
  <c r="AS244" i="30"/>
  <c r="AO244" i="30"/>
  <c r="AK244" i="30"/>
  <c r="AG244" i="30"/>
  <c r="F245" i="30" a="1"/>
  <c r="F245" i="30" s="1"/>
  <c r="AZ244" i="30"/>
  <c r="BK244" i="30" s="1"/>
  <c r="AV244" i="30"/>
  <c r="BG244" i="30" s="1"/>
  <c r="AR244" i="30"/>
  <c r="AN244" i="30"/>
  <c r="AJ244" i="30"/>
  <c r="AF244" i="30"/>
  <c r="AY244" i="30"/>
  <c r="BJ244" i="30" s="1"/>
  <c r="AI244" i="30"/>
  <c r="BD244" i="30" s="1"/>
  <c r="AQ244" i="30"/>
  <c r="BC244" i="30"/>
  <c r="AM244" i="30"/>
  <c r="AU244" i="30"/>
  <c r="BF244" i="30" s="1"/>
  <c r="AE244" i="30"/>
  <c r="F533" i="30" a="1"/>
  <c r="F533" i="30" s="1"/>
  <c r="AZ532" i="30"/>
  <c r="BK532" i="30" s="1"/>
  <c r="AV532" i="30"/>
  <c r="BG532" i="30" s="1"/>
  <c r="AR532" i="30"/>
  <c r="AN532" i="30"/>
  <c r="AJ532" i="30"/>
  <c r="AF532" i="30"/>
  <c r="BC532" i="30"/>
  <c r="AY532" i="30"/>
  <c r="BJ532" i="30" s="1"/>
  <c r="AU532" i="30"/>
  <c r="BF532" i="30" s="1"/>
  <c r="AQ532" i="30"/>
  <c r="AM532" i="30"/>
  <c r="AI532" i="30"/>
  <c r="BD532" i="30" s="1"/>
  <c r="AE532" i="30"/>
  <c r="BO532" i="30"/>
  <c r="BB532" i="30"/>
  <c r="BM532" i="30" s="1"/>
  <c r="AX532" i="30"/>
  <c r="BI532" i="30" s="1"/>
  <c r="AT532" i="30"/>
  <c r="BE532" i="30" s="1"/>
  <c r="AP532" i="30"/>
  <c r="AL532" i="30"/>
  <c r="AW532" i="30"/>
  <c r="BH532" i="30" s="1"/>
  <c r="AG532" i="30"/>
  <c r="AS532" i="30"/>
  <c r="AO532" i="30"/>
  <c r="BA532" i="30"/>
  <c r="BL532" i="30" s="1"/>
  <c r="AK532" i="30"/>
  <c r="BO385" i="29"/>
  <c r="BB385" i="29"/>
  <c r="BM385" i="29" s="1"/>
  <c r="AX385" i="29"/>
  <c r="BI385" i="29" s="1"/>
  <c r="AT385" i="29"/>
  <c r="BE385" i="29" s="1"/>
  <c r="AP385" i="29"/>
  <c r="AL385" i="29"/>
  <c r="BA385" i="29"/>
  <c r="BL385" i="29" s="1"/>
  <c r="AW385" i="29"/>
  <c r="AS385" i="29"/>
  <c r="AO385" i="29"/>
  <c r="AK385" i="29"/>
  <c r="AG385" i="29"/>
  <c r="AV385" i="29"/>
  <c r="BG385" i="29" s="1"/>
  <c r="AN385" i="29"/>
  <c r="AF385" i="29"/>
  <c r="BC385" i="29"/>
  <c r="AU385" i="29"/>
  <c r="BF385" i="29" s="1"/>
  <c r="AM385" i="29"/>
  <c r="AE385" i="29"/>
  <c r="AQ385" i="29"/>
  <c r="F386" i="29" a="1"/>
  <c r="F386" i="29" s="1"/>
  <c r="AZ385" i="29"/>
  <c r="BK385" i="29" s="1"/>
  <c r="AJ385" i="29"/>
  <c r="AY385" i="29"/>
  <c r="AI385" i="29"/>
  <c r="BD385" i="29" s="1"/>
  <c r="AR385" i="29"/>
  <c r="BL96" i="30"/>
  <c r="BI96" i="30"/>
  <c r="BD96" i="30"/>
  <c r="BJ96" i="30"/>
  <c r="F98" i="30" a="1"/>
  <c r="F98" i="30" s="1"/>
  <c r="AZ97" i="30"/>
  <c r="BK97" i="30" s="1"/>
  <c r="AV97" i="30"/>
  <c r="AR97" i="30"/>
  <c r="AN97" i="30"/>
  <c r="AJ97" i="30"/>
  <c r="AF97" i="30"/>
  <c r="BC97" i="30"/>
  <c r="AY97" i="30"/>
  <c r="BJ97" i="30" s="1"/>
  <c r="AU97" i="30"/>
  <c r="BF97" i="30" s="1"/>
  <c r="AQ97" i="30"/>
  <c r="AM97" i="30"/>
  <c r="AI97" i="30"/>
  <c r="BD97" i="30" s="1"/>
  <c r="AE97" i="30"/>
  <c r="BO97" i="30"/>
  <c r="BB97" i="30"/>
  <c r="AX97" i="30"/>
  <c r="BI97" i="30" s="1"/>
  <c r="AT97" i="30"/>
  <c r="BE97" i="30" s="1"/>
  <c r="AP97" i="30"/>
  <c r="AL97" i="30"/>
  <c r="AS97" i="30"/>
  <c r="AO97" i="30"/>
  <c r="AW97" i="30"/>
  <c r="BH97" i="30" s="1"/>
  <c r="AK97" i="30"/>
  <c r="BA97" i="30"/>
  <c r="BL97" i="30" s="1"/>
  <c r="AG97" i="30"/>
  <c r="BM95" i="29"/>
  <c r="F97" i="29" a="1"/>
  <c r="F97" i="29" s="1"/>
  <c r="AZ96" i="29"/>
  <c r="AV96" i="29"/>
  <c r="BG96" i="29" s="1"/>
  <c r="AR96" i="29"/>
  <c r="AN96" i="29"/>
  <c r="AJ96" i="29"/>
  <c r="AF96" i="29"/>
  <c r="BC96" i="29"/>
  <c r="AY96" i="29"/>
  <c r="BJ96" i="29" s="1"/>
  <c r="AU96" i="29"/>
  <c r="AQ96" i="29"/>
  <c r="AM96" i="29"/>
  <c r="AI96" i="29"/>
  <c r="BD96" i="29" s="1"/>
  <c r="AE96" i="29"/>
  <c r="BA96" i="29"/>
  <c r="BL96" i="29" s="1"/>
  <c r="AS96" i="29"/>
  <c r="AK96" i="29"/>
  <c r="BO96" i="29"/>
  <c r="AX96" i="29"/>
  <c r="BI96" i="29" s="1"/>
  <c r="AP96" i="29"/>
  <c r="AW96" i="29"/>
  <c r="BH96" i="29" s="1"/>
  <c r="AO96" i="29"/>
  <c r="AG96" i="29"/>
  <c r="AH96" i="29" s="1"/>
  <c r="BB96" i="29"/>
  <c r="BM96" i="29" s="1"/>
  <c r="AT96" i="29"/>
  <c r="AL96" i="29"/>
  <c r="BK528" i="29"/>
  <c r="BL528" i="29"/>
  <c r="BI240" i="29"/>
  <c r="AH243" i="30"/>
  <c r="BL384" i="29"/>
  <c r="BI384" i="29"/>
  <c r="AH96" i="30"/>
  <c r="BC529" i="29"/>
  <c r="AY529" i="29"/>
  <c r="AU529" i="29"/>
  <c r="AQ529" i="29"/>
  <c r="AM529" i="29"/>
  <c r="AI529" i="29"/>
  <c r="BD529" i="29" s="1"/>
  <c r="AE529" i="29"/>
  <c r="BO529" i="29"/>
  <c r="BB529" i="29"/>
  <c r="AX529" i="29"/>
  <c r="AT529" i="29"/>
  <c r="AP529" i="29"/>
  <c r="AL529" i="29"/>
  <c r="AV529" i="29"/>
  <c r="BG529" i="29" s="1"/>
  <c r="AN529" i="29"/>
  <c r="AF529" i="29"/>
  <c r="BA529" i="29"/>
  <c r="BL529" i="29" s="1"/>
  <c r="AS529" i="29"/>
  <c r="AK529" i="29"/>
  <c r="AO529" i="29"/>
  <c r="F530" i="29" a="1"/>
  <c r="F530" i="29" s="1"/>
  <c r="AZ529" i="29"/>
  <c r="BK529" i="29" s="1"/>
  <c r="AJ529" i="29"/>
  <c r="AW529" i="29"/>
  <c r="AG529" i="29"/>
  <c r="AR529" i="29"/>
  <c r="BF240" i="29"/>
  <c r="BK240" i="29"/>
  <c r="AH97" i="30" l="1"/>
  <c r="AH532" i="30"/>
  <c r="AH244" i="30"/>
  <c r="AH241" i="29"/>
  <c r="BH529" i="29"/>
  <c r="BI529" i="29"/>
  <c r="BJ529" i="29"/>
  <c r="BG97" i="30"/>
  <c r="BO386" i="29"/>
  <c r="BB386" i="29"/>
  <c r="AX386" i="29"/>
  <c r="AT386" i="29"/>
  <c r="AP386" i="29"/>
  <c r="AL386" i="29"/>
  <c r="BA386" i="29"/>
  <c r="AW386" i="29"/>
  <c r="BH386" i="29" s="1"/>
  <c r="AS386" i="29"/>
  <c r="AO386" i="29"/>
  <c r="AK386" i="29"/>
  <c r="AG386" i="29"/>
  <c r="AV386" i="29"/>
  <c r="BG386" i="29" s="1"/>
  <c r="AN386" i="29"/>
  <c r="AF386" i="29"/>
  <c r="BC386" i="29"/>
  <c r="AU386" i="29"/>
  <c r="BF386" i="29" s="1"/>
  <c r="AM386" i="29"/>
  <c r="AE386" i="29"/>
  <c r="AY386" i="29"/>
  <c r="BJ386" i="29" s="1"/>
  <c r="AI386" i="29"/>
  <c r="BD386" i="29" s="1"/>
  <c r="AR386" i="29"/>
  <c r="AQ386" i="29"/>
  <c r="F387" i="29" a="1"/>
  <c r="F387" i="29" s="1"/>
  <c r="AZ386" i="29"/>
  <c r="BK386" i="29" s="1"/>
  <c r="AJ386" i="29"/>
  <c r="BO242" i="29"/>
  <c r="BB242" i="29"/>
  <c r="AX242" i="29"/>
  <c r="AT242" i="29"/>
  <c r="AP242" i="29"/>
  <c r="AL242" i="29"/>
  <c r="BA242" i="29"/>
  <c r="BL242" i="29" s="1"/>
  <c r="AW242" i="29"/>
  <c r="BH242" i="29" s="1"/>
  <c r="AS242" i="29"/>
  <c r="AO242" i="29"/>
  <c r="AK242" i="29"/>
  <c r="AG242" i="29"/>
  <c r="BC242" i="29"/>
  <c r="AU242" i="29"/>
  <c r="AM242" i="29"/>
  <c r="AE242" i="29"/>
  <c r="F243" i="29" a="1"/>
  <c r="F243" i="29" s="1"/>
  <c r="AZ242" i="29"/>
  <c r="AR242" i="29"/>
  <c r="AJ242" i="29"/>
  <c r="AY242" i="29"/>
  <c r="BJ242" i="29" s="1"/>
  <c r="AQ242" i="29"/>
  <c r="AI242" i="29"/>
  <c r="BD242" i="29" s="1"/>
  <c r="AN242" i="29"/>
  <c r="AF242" i="29"/>
  <c r="AV242" i="29"/>
  <c r="BG242" i="29" s="1"/>
  <c r="BG241" i="29"/>
  <c r="BA389" i="30"/>
  <c r="BL389" i="30" s="1"/>
  <c r="AW389" i="30"/>
  <c r="BH389" i="30" s="1"/>
  <c r="AS389" i="30"/>
  <c r="AO389" i="30"/>
  <c r="AK389" i="30"/>
  <c r="AG389" i="30"/>
  <c r="BC389" i="30"/>
  <c r="AY389" i="30"/>
  <c r="BJ389" i="30" s="1"/>
  <c r="AU389" i="30"/>
  <c r="BF389" i="30" s="1"/>
  <c r="AQ389" i="30"/>
  <c r="AM389" i="30"/>
  <c r="AI389" i="30"/>
  <c r="BD389" i="30" s="1"/>
  <c r="AE389" i="30"/>
  <c r="F390" i="30" a="1"/>
  <c r="F390" i="30" s="1"/>
  <c r="AZ389" i="30"/>
  <c r="BK389" i="30" s="1"/>
  <c r="AR389" i="30"/>
  <c r="AJ389" i="30"/>
  <c r="BO389" i="30"/>
  <c r="AX389" i="30"/>
  <c r="BI389" i="30" s="1"/>
  <c r="AP389" i="30"/>
  <c r="AV389" i="30"/>
  <c r="BG389" i="30" s="1"/>
  <c r="AN389" i="30"/>
  <c r="AF389" i="30"/>
  <c r="AL389" i="30"/>
  <c r="BB389" i="30"/>
  <c r="BM389" i="30" s="1"/>
  <c r="AT389" i="30"/>
  <c r="BE389" i="30" s="1"/>
  <c r="AH388" i="30"/>
  <c r="BH388" i="30"/>
  <c r="AH529" i="29"/>
  <c r="BC530" i="29"/>
  <c r="AY530" i="29"/>
  <c r="BJ530" i="29" s="1"/>
  <c r="AU530" i="29"/>
  <c r="BF530" i="29" s="1"/>
  <c r="AQ530" i="29"/>
  <c r="AM530" i="29"/>
  <c r="AI530" i="29"/>
  <c r="BD530" i="29" s="1"/>
  <c r="AE530" i="29"/>
  <c r="BO530" i="29"/>
  <c r="BB530" i="29"/>
  <c r="BM530" i="29" s="1"/>
  <c r="AX530" i="29"/>
  <c r="BI530" i="29" s="1"/>
  <c r="AT530" i="29"/>
  <c r="BE530" i="29" s="1"/>
  <c r="AP530" i="29"/>
  <c r="AL530" i="29"/>
  <c r="AV530" i="29"/>
  <c r="BG530" i="29" s="1"/>
  <c r="AN530" i="29"/>
  <c r="AF530" i="29"/>
  <c r="BA530" i="29"/>
  <c r="BL530" i="29" s="1"/>
  <c r="AS530" i="29"/>
  <c r="AK530" i="29"/>
  <c r="AW530" i="29"/>
  <c r="BH530" i="29" s="1"/>
  <c r="AG530" i="29"/>
  <c r="AR530" i="29"/>
  <c r="AO530" i="29"/>
  <c r="F531" i="29" a="1"/>
  <c r="F531" i="29" s="1"/>
  <c r="AZ530" i="29"/>
  <c r="BK530" i="29" s="1"/>
  <c r="AJ530" i="29"/>
  <c r="BM529" i="29"/>
  <c r="BF96" i="29"/>
  <c r="BK96" i="29"/>
  <c r="BJ385" i="29"/>
  <c r="AH385" i="29"/>
  <c r="BH385" i="29"/>
  <c r="BO245" i="30"/>
  <c r="BB245" i="30"/>
  <c r="BM245" i="30" s="1"/>
  <c r="AX245" i="30"/>
  <c r="BI245" i="30" s="1"/>
  <c r="AT245" i="30"/>
  <c r="BE245" i="30" s="1"/>
  <c r="AP245" i="30"/>
  <c r="AL245" i="30"/>
  <c r="BA245" i="30"/>
  <c r="BL245" i="30" s="1"/>
  <c r="AW245" i="30"/>
  <c r="BH245" i="30" s="1"/>
  <c r="AS245" i="30"/>
  <c r="AO245" i="30"/>
  <c r="AK245" i="30"/>
  <c r="AG245" i="30"/>
  <c r="F246" i="30" a="1"/>
  <c r="F246" i="30" s="1"/>
  <c r="AZ245" i="30"/>
  <c r="BK245" i="30" s="1"/>
  <c r="AV245" i="30"/>
  <c r="BG245" i="30" s="1"/>
  <c r="AR245" i="30"/>
  <c r="AN245" i="30"/>
  <c r="AJ245" i="30"/>
  <c r="AF245" i="30"/>
  <c r="AQ245" i="30"/>
  <c r="AY245" i="30"/>
  <c r="BJ245" i="30" s="1"/>
  <c r="AI245" i="30"/>
  <c r="BD245" i="30" s="1"/>
  <c r="AU245" i="30"/>
  <c r="BF245" i="30" s="1"/>
  <c r="AE245" i="30"/>
  <c r="BC245" i="30"/>
  <c r="AM245" i="30"/>
  <c r="BD241" i="29"/>
  <c r="BG388" i="30"/>
  <c r="BE96" i="29"/>
  <c r="F98" i="29" a="1"/>
  <c r="F98" i="29" s="1"/>
  <c r="AZ97" i="29"/>
  <c r="BK97" i="29" s="1"/>
  <c r="AV97" i="29"/>
  <c r="BG97" i="29" s="1"/>
  <c r="AR97" i="29"/>
  <c r="AN97" i="29"/>
  <c r="AJ97" i="29"/>
  <c r="AF97" i="29"/>
  <c r="BC97" i="29"/>
  <c r="AY97" i="29"/>
  <c r="AU97" i="29"/>
  <c r="BF97" i="29" s="1"/>
  <c r="AQ97" i="29"/>
  <c r="AM97" i="29"/>
  <c r="AI97" i="29"/>
  <c r="BD97" i="29" s="1"/>
  <c r="AE97" i="29"/>
  <c r="BA97" i="29"/>
  <c r="BL97" i="29" s="1"/>
  <c r="AS97" i="29"/>
  <c r="AK97" i="29"/>
  <c r="BO97" i="29"/>
  <c r="AX97" i="29"/>
  <c r="BI97" i="29" s="1"/>
  <c r="AP97" i="29"/>
  <c r="AW97" i="29"/>
  <c r="AO97" i="29"/>
  <c r="AG97" i="29"/>
  <c r="AH97" i="29" s="1"/>
  <c r="BB97" i="29"/>
  <c r="BM97" i="29" s="1"/>
  <c r="AT97" i="29"/>
  <c r="BE97" i="29" s="1"/>
  <c r="AL97" i="29"/>
  <c r="F99" i="30" a="1"/>
  <c r="F99" i="30" s="1"/>
  <c r="AZ98" i="30"/>
  <c r="BK98" i="30" s="1"/>
  <c r="AV98" i="30"/>
  <c r="BG98" i="30" s="1"/>
  <c r="AR98" i="30"/>
  <c r="AN98" i="30"/>
  <c r="AJ98" i="30"/>
  <c r="AF98" i="30"/>
  <c r="BC98" i="30"/>
  <c r="AY98" i="30"/>
  <c r="BJ98" i="30" s="1"/>
  <c r="AU98" i="30"/>
  <c r="BF98" i="30" s="1"/>
  <c r="AQ98" i="30"/>
  <c r="AM98" i="30"/>
  <c r="AI98" i="30"/>
  <c r="BD98" i="30" s="1"/>
  <c r="AE98" i="30"/>
  <c r="BO98" i="30"/>
  <c r="BB98" i="30"/>
  <c r="BM98" i="30" s="1"/>
  <c r="AX98" i="30"/>
  <c r="BI98" i="30" s="1"/>
  <c r="AT98" i="30"/>
  <c r="BE98" i="30" s="1"/>
  <c r="AP98" i="30"/>
  <c r="AL98" i="30"/>
  <c r="BA98" i="30"/>
  <c r="BL98" i="30" s="1"/>
  <c r="AK98" i="30"/>
  <c r="AW98" i="30"/>
  <c r="AG98" i="30"/>
  <c r="AO98" i="30"/>
  <c r="AS98" i="30"/>
  <c r="BE241" i="29"/>
  <c r="BH241" i="29"/>
  <c r="BE529" i="29"/>
  <c r="BF529" i="29"/>
  <c r="BM97" i="30"/>
  <c r="F534" i="30" a="1"/>
  <c r="F534" i="30" s="1"/>
  <c r="AZ533" i="30"/>
  <c r="BK533" i="30" s="1"/>
  <c r="AV533" i="30"/>
  <c r="BG533" i="30" s="1"/>
  <c r="AR533" i="30"/>
  <c r="AN533" i="30"/>
  <c r="AJ533" i="30"/>
  <c r="AF533" i="30"/>
  <c r="BC533" i="30"/>
  <c r="AY533" i="30"/>
  <c r="BJ533" i="30" s="1"/>
  <c r="AU533" i="30"/>
  <c r="BF533" i="30" s="1"/>
  <c r="AQ533" i="30"/>
  <c r="AM533" i="30"/>
  <c r="AI533" i="30"/>
  <c r="BD533" i="30" s="1"/>
  <c r="AE533" i="30"/>
  <c r="BO533" i="30"/>
  <c r="BB533" i="30"/>
  <c r="BM533" i="30" s="1"/>
  <c r="AX533" i="30"/>
  <c r="BI533" i="30" s="1"/>
  <c r="AT533" i="30"/>
  <c r="BE533" i="30" s="1"/>
  <c r="AP533" i="30"/>
  <c r="AL533" i="30"/>
  <c r="AO533" i="30"/>
  <c r="BA533" i="30"/>
  <c r="BL533" i="30" s="1"/>
  <c r="AK533" i="30"/>
  <c r="AW533" i="30"/>
  <c r="BH533" i="30" s="1"/>
  <c r="AG533" i="30"/>
  <c r="AS533" i="30"/>
  <c r="BJ241" i="29"/>
  <c r="BL241" i="29"/>
  <c r="AH530" i="29" l="1"/>
  <c r="BH98" i="30"/>
  <c r="BH97" i="29"/>
  <c r="BJ97" i="29"/>
  <c r="F99" i="29" a="1"/>
  <c r="F99" i="29" s="1"/>
  <c r="AZ98" i="29"/>
  <c r="BK98" i="29" s="1"/>
  <c r="AV98" i="29"/>
  <c r="AR98" i="29"/>
  <c r="AN98" i="29"/>
  <c r="AJ98" i="29"/>
  <c r="AF98" i="29"/>
  <c r="BC98" i="29"/>
  <c r="AY98" i="29"/>
  <c r="BJ98" i="29" s="1"/>
  <c r="AU98" i="29"/>
  <c r="BF98" i="29" s="1"/>
  <c r="AQ98" i="29"/>
  <c r="AM98" i="29"/>
  <c r="AI98" i="29"/>
  <c r="BD98" i="29" s="1"/>
  <c r="AE98" i="29"/>
  <c r="BA98" i="29"/>
  <c r="AS98" i="29"/>
  <c r="AK98" i="29"/>
  <c r="BO98" i="29"/>
  <c r="AX98" i="29"/>
  <c r="BI98" i="29" s="1"/>
  <c r="AP98" i="29"/>
  <c r="AW98" i="29"/>
  <c r="BH98" i="29" s="1"/>
  <c r="AO98" i="29"/>
  <c r="AG98" i="29"/>
  <c r="AT98" i="29"/>
  <c r="BE98" i="29" s="1"/>
  <c r="AL98" i="29"/>
  <c r="BB98" i="29"/>
  <c r="BA390" i="30"/>
  <c r="AW390" i="30"/>
  <c r="AS390" i="30"/>
  <c r="AS380" i="30" s="1"/>
  <c r="AO390" i="30"/>
  <c r="AO380" i="30" s="1"/>
  <c r="AK390" i="30"/>
  <c r="AK380" i="30" s="1"/>
  <c r="AG390" i="30"/>
  <c r="AG380" i="30" s="1"/>
  <c r="BC390" i="30"/>
  <c r="BC380" i="30" s="1"/>
  <c r="AY390" i="30"/>
  <c r="AU390" i="30"/>
  <c r="AQ390" i="30"/>
  <c r="AQ380" i="30" s="1"/>
  <c r="AM390" i="30"/>
  <c r="AM380" i="30" s="1"/>
  <c r="AI390" i="30"/>
  <c r="AE390" i="30"/>
  <c r="AE380" i="30" s="1"/>
  <c r="F391" i="30" a="1"/>
  <c r="F391" i="30" s="1"/>
  <c r="F392" i="30" s="1" a="1"/>
  <c r="F392" i="30" s="1"/>
  <c r="AZ390" i="30"/>
  <c r="AR390" i="30"/>
  <c r="AR380" i="30" s="1"/>
  <c r="AJ390" i="30"/>
  <c r="AJ380" i="30" s="1"/>
  <c r="BO390" i="30"/>
  <c r="AX390" i="30"/>
  <c r="AP390" i="30"/>
  <c r="AP380" i="30" s="1"/>
  <c r="AV390" i="30"/>
  <c r="AN390" i="30"/>
  <c r="AN380" i="30" s="1"/>
  <c r="AF390" i="30"/>
  <c r="AF380" i="30" s="1"/>
  <c r="BB390" i="30"/>
  <c r="AT390" i="30"/>
  <c r="AL390" i="30"/>
  <c r="AL380" i="30" s="1"/>
  <c r="AH389" i="30"/>
  <c r="BI242" i="29"/>
  <c r="BM386" i="29"/>
  <c r="BO246" i="30"/>
  <c r="BB246" i="30"/>
  <c r="AX246" i="30"/>
  <c r="AT246" i="30"/>
  <c r="AP246" i="30"/>
  <c r="AP236" i="30" s="1"/>
  <c r="AL246" i="30"/>
  <c r="AL236" i="30" s="1"/>
  <c r="BA246" i="30"/>
  <c r="AW246" i="30"/>
  <c r="AS246" i="30"/>
  <c r="AS236" i="30" s="1"/>
  <c r="AO246" i="30"/>
  <c r="AO236" i="30" s="1"/>
  <c r="AK246" i="30"/>
  <c r="AK236" i="30" s="1"/>
  <c r="AG246" i="30"/>
  <c r="F247" i="30" a="1"/>
  <c r="F247" i="30" s="1"/>
  <c r="F248" i="30" s="1" a="1"/>
  <c r="F248" i="30" s="1"/>
  <c r="AZ246" i="30"/>
  <c r="AV246" i="30"/>
  <c r="AR246" i="30"/>
  <c r="AR236" i="30" s="1"/>
  <c r="AN246" i="30"/>
  <c r="AN236" i="30" s="1"/>
  <c r="AJ246" i="30"/>
  <c r="AJ236" i="30" s="1"/>
  <c r="AF246" i="30"/>
  <c r="AF236" i="30" s="1"/>
  <c r="AY246" i="30"/>
  <c r="AI246" i="30"/>
  <c r="AQ246" i="30"/>
  <c r="AQ236" i="30" s="1"/>
  <c r="BC246" i="30"/>
  <c r="BC236" i="30" s="1"/>
  <c r="AM246" i="30"/>
  <c r="AM236" i="30" s="1"/>
  <c r="AU246" i="30"/>
  <c r="AE246" i="30"/>
  <c r="AE236" i="30" s="1"/>
  <c r="BK242" i="29"/>
  <c r="BF242" i="29"/>
  <c r="BM242" i="29"/>
  <c r="AH533" i="30"/>
  <c r="F535" i="30" a="1"/>
  <c r="F535" i="30" s="1"/>
  <c r="F536" i="30" s="1" a="1"/>
  <c r="F536" i="30" s="1"/>
  <c r="AZ534" i="30"/>
  <c r="AV534" i="30"/>
  <c r="AR534" i="30"/>
  <c r="AR524" i="30" s="1"/>
  <c r="AN534" i="30"/>
  <c r="AN524" i="30" s="1"/>
  <c r="AJ534" i="30"/>
  <c r="AJ524" i="30" s="1"/>
  <c r="AF534" i="30"/>
  <c r="AF524" i="30" s="1"/>
  <c r="BC534" i="30"/>
  <c r="BC524" i="30" s="1"/>
  <c r="AY534" i="30"/>
  <c r="AU534" i="30"/>
  <c r="AQ534" i="30"/>
  <c r="AQ524" i="30" s="1"/>
  <c r="AM534" i="30"/>
  <c r="AM524" i="30" s="1"/>
  <c r="AI534" i="30"/>
  <c r="AE534" i="30"/>
  <c r="AE524" i="30" s="1"/>
  <c r="BO534" i="30"/>
  <c r="BB534" i="30"/>
  <c r="AX534" i="30"/>
  <c r="AT534" i="30"/>
  <c r="AP534" i="30"/>
  <c r="AP524" i="30" s="1"/>
  <c r="AL534" i="30"/>
  <c r="AL524" i="30" s="1"/>
  <c r="AW534" i="30"/>
  <c r="AG534" i="30"/>
  <c r="AS534" i="30"/>
  <c r="AS524" i="30" s="1"/>
  <c r="AO534" i="30"/>
  <c r="AO524" i="30" s="1"/>
  <c r="BA534" i="30"/>
  <c r="AK534" i="30"/>
  <c r="AK524" i="30" s="1"/>
  <c r="F100" i="30" a="1"/>
  <c r="F100" i="30" s="1"/>
  <c r="AZ99" i="30"/>
  <c r="AV99" i="30"/>
  <c r="BG99" i="30" s="1"/>
  <c r="AR99" i="30"/>
  <c r="AN99" i="30"/>
  <c r="AJ99" i="30"/>
  <c r="AF99" i="30"/>
  <c r="BC99" i="30"/>
  <c r="AY99" i="30"/>
  <c r="AU99" i="30"/>
  <c r="BF99" i="30" s="1"/>
  <c r="AQ99" i="30"/>
  <c r="AM99" i="30"/>
  <c r="AI99" i="30"/>
  <c r="BD99" i="30" s="1"/>
  <c r="AE99" i="30"/>
  <c r="BO99" i="30"/>
  <c r="BB99" i="30"/>
  <c r="AX99" i="30"/>
  <c r="AT99" i="30"/>
  <c r="AP99" i="30"/>
  <c r="AL99" i="30"/>
  <c r="AS99" i="30"/>
  <c r="AO99" i="30"/>
  <c r="AG99" i="30"/>
  <c r="AH99" i="30" s="1"/>
  <c r="BA99" i="30"/>
  <c r="BL99" i="30" s="1"/>
  <c r="AW99" i="30"/>
  <c r="BH99" i="30" s="1"/>
  <c r="AK99" i="30"/>
  <c r="AH245" i="30"/>
  <c r="BC531" i="29"/>
  <c r="AY531" i="29"/>
  <c r="BJ531" i="29" s="1"/>
  <c r="AU531" i="29"/>
  <c r="AQ531" i="29"/>
  <c r="AM531" i="29"/>
  <c r="AI531" i="29"/>
  <c r="BD531" i="29" s="1"/>
  <c r="AE531" i="29"/>
  <c r="BO531" i="29"/>
  <c r="BB531" i="29"/>
  <c r="BM531" i="29" s="1"/>
  <c r="AX531" i="29"/>
  <c r="BI531" i="29" s="1"/>
  <c r="AT531" i="29"/>
  <c r="BE531" i="29" s="1"/>
  <c r="AP531" i="29"/>
  <c r="AL531" i="29"/>
  <c r="AV531" i="29"/>
  <c r="BG531" i="29" s="1"/>
  <c r="AN531" i="29"/>
  <c r="AF531" i="29"/>
  <c r="BA531" i="29"/>
  <c r="AS531" i="29"/>
  <c r="AK531" i="29"/>
  <c r="AO531" i="29"/>
  <c r="F532" i="29" a="1"/>
  <c r="F532" i="29" s="1"/>
  <c r="AZ531" i="29"/>
  <c r="AJ531" i="29"/>
  <c r="AW531" i="29"/>
  <c r="BH531" i="29" s="1"/>
  <c r="AG531" i="29"/>
  <c r="AR531" i="29"/>
  <c r="BO243" i="29"/>
  <c r="BB243" i="29"/>
  <c r="BM243" i="29" s="1"/>
  <c r="AX243" i="29"/>
  <c r="BI243" i="29" s="1"/>
  <c r="AT243" i="29"/>
  <c r="BE243" i="29" s="1"/>
  <c r="AP243" i="29"/>
  <c r="AL243" i="29"/>
  <c r="BA243" i="29"/>
  <c r="AW243" i="29"/>
  <c r="AS243" i="29"/>
  <c r="AO243" i="29"/>
  <c r="AK243" i="29"/>
  <c r="AG243" i="29"/>
  <c r="BC243" i="29"/>
  <c r="AU243" i="29"/>
  <c r="BF243" i="29" s="1"/>
  <c r="AM243" i="29"/>
  <c r="AE243" i="29"/>
  <c r="F244" i="29" a="1"/>
  <c r="F244" i="29" s="1"/>
  <c r="AZ243" i="29"/>
  <c r="BK243" i="29" s="1"/>
  <c r="AR243" i="29"/>
  <c r="AJ243" i="29"/>
  <c r="AY243" i="29"/>
  <c r="AQ243" i="29"/>
  <c r="AI243" i="29"/>
  <c r="AF243" i="29"/>
  <c r="AV243" i="29"/>
  <c r="BG243" i="29" s="1"/>
  <c r="AN243" i="29"/>
  <c r="BO387" i="29"/>
  <c r="BB387" i="29"/>
  <c r="BM387" i="29" s="1"/>
  <c r="AX387" i="29"/>
  <c r="BI387" i="29" s="1"/>
  <c r="AT387" i="29"/>
  <c r="BE387" i="29" s="1"/>
  <c r="AP387" i="29"/>
  <c r="AL387" i="29"/>
  <c r="BA387" i="29"/>
  <c r="BL387" i="29" s="1"/>
  <c r="AW387" i="29"/>
  <c r="AS387" i="29"/>
  <c r="AO387" i="29"/>
  <c r="AK387" i="29"/>
  <c r="AG387" i="29"/>
  <c r="AV387" i="29"/>
  <c r="AN387" i="29"/>
  <c r="AF387" i="29"/>
  <c r="BC387" i="29"/>
  <c r="AU387" i="29"/>
  <c r="AM387" i="29"/>
  <c r="AE387" i="29"/>
  <c r="AQ387" i="29"/>
  <c r="F388" i="29" a="1"/>
  <c r="F388" i="29" s="1"/>
  <c r="AZ387" i="29"/>
  <c r="BK387" i="29" s="1"/>
  <c r="AJ387" i="29"/>
  <c r="AY387" i="29"/>
  <c r="AI387" i="29"/>
  <c r="AR387" i="29"/>
  <c r="AH386" i="29"/>
  <c r="BE386" i="29"/>
  <c r="AH98" i="30"/>
  <c r="AH242" i="29"/>
  <c r="BE242" i="29"/>
  <c r="BL386" i="29"/>
  <c r="BI386" i="29"/>
  <c r="AH243" i="29" l="1"/>
  <c r="BH243" i="29"/>
  <c r="BK531" i="29"/>
  <c r="BI99" i="30"/>
  <c r="BJ99" i="30"/>
  <c r="F101" i="30" a="1"/>
  <c r="F101" i="30" s="1"/>
  <c r="AZ100" i="30"/>
  <c r="BK100" i="30" s="1"/>
  <c r="AV100" i="30"/>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BA100" i="30"/>
  <c r="BL100" i="30" s="1"/>
  <c r="AK100" i="30"/>
  <c r="AW100" i="30"/>
  <c r="BH100" i="30" s="1"/>
  <c r="AG100" i="30"/>
  <c r="AS100" i="30"/>
  <c r="AO100" i="30"/>
  <c r="BG534" i="30"/>
  <c r="AV524" i="30"/>
  <c r="BF246" i="30"/>
  <c r="AU236" i="30"/>
  <c r="BD246" i="30"/>
  <c r="AI236" i="30"/>
  <c r="BC248" i="30"/>
  <c r="AY248" i="30"/>
  <c r="BJ248" i="30" s="1"/>
  <c r="AU248" i="30"/>
  <c r="BF248" i="30" s="1"/>
  <c r="AQ248" i="30"/>
  <c r="AM248" i="30"/>
  <c r="AI248" i="30"/>
  <c r="BD248" i="30" s="1"/>
  <c r="AE248" i="30"/>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R248" i="30"/>
  <c r="AZ248" i="30"/>
  <c r="BK248" i="30" s="1"/>
  <c r="AJ248" i="30"/>
  <c r="AV248" i="30"/>
  <c r="BG248" i="30" s="1"/>
  <c r="AF248" i="30"/>
  <c r="AN248" i="30"/>
  <c r="BI390" i="30"/>
  <c r="AX380" i="30"/>
  <c r="BK390" i="30"/>
  <c r="AZ380" i="30"/>
  <c r="BM98" i="29"/>
  <c r="BD387" i="29"/>
  <c r="BO388" i="29"/>
  <c r="BB388" i="29"/>
  <c r="BM388" i="29" s="1"/>
  <c r="AX388" i="29"/>
  <c r="AT388" i="29"/>
  <c r="BE388" i="29" s="1"/>
  <c r="AP388" i="29"/>
  <c r="AL388" i="29"/>
  <c r="BA388" i="29"/>
  <c r="BL388" i="29" s="1"/>
  <c r="AW388" i="29"/>
  <c r="BH388" i="29" s="1"/>
  <c r="AS388" i="29"/>
  <c r="AO388" i="29"/>
  <c r="AK388" i="29"/>
  <c r="AG388" i="29"/>
  <c r="AV388" i="29"/>
  <c r="BG388" i="29" s="1"/>
  <c r="AN388" i="29"/>
  <c r="AF388" i="29"/>
  <c r="BC388" i="29"/>
  <c r="AU388" i="29"/>
  <c r="BF388" i="29" s="1"/>
  <c r="AM388" i="29"/>
  <c r="AE388" i="29"/>
  <c r="AY388" i="29"/>
  <c r="BJ388" i="29" s="1"/>
  <c r="AI388" i="29"/>
  <c r="BD388" i="29" s="1"/>
  <c r="AR388" i="29"/>
  <c r="AQ388" i="29"/>
  <c r="F389" i="29" a="1"/>
  <c r="F389" i="29" s="1"/>
  <c r="AZ388" i="29"/>
  <c r="BK388" i="29" s="1"/>
  <c r="AJ388" i="29"/>
  <c r="BF387" i="29"/>
  <c r="BG387" i="29"/>
  <c r="BD243" i="29"/>
  <c r="BL243" i="29"/>
  <c r="AH531" i="29"/>
  <c r="BC532" i="29"/>
  <c r="AY532" i="29"/>
  <c r="BJ532" i="29" s="1"/>
  <c r="AU532" i="29"/>
  <c r="BF532" i="29" s="1"/>
  <c r="AQ532" i="29"/>
  <c r="AM532" i="29"/>
  <c r="AI532" i="29"/>
  <c r="BD532" i="29" s="1"/>
  <c r="AE532" i="29"/>
  <c r="BO532" i="29"/>
  <c r="BB532" i="29"/>
  <c r="BM532" i="29" s="1"/>
  <c r="AX532" i="29"/>
  <c r="BI532" i="29" s="1"/>
  <c r="AT532" i="29"/>
  <c r="BE532" i="29" s="1"/>
  <c r="AP532" i="29"/>
  <c r="AL532" i="29"/>
  <c r="AV532" i="29"/>
  <c r="BG532" i="29" s="1"/>
  <c r="AN532" i="29"/>
  <c r="AF532" i="29"/>
  <c r="BA532" i="29"/>
  <c r="BL532" i="29" s="1"/>
  <c r="AS532" i="29"/>
  <c r="AK532" i="29"/>
  <c r="AW532" i="29"/>
  <c r="BH532" i="29" s="1"/>
  <c r="AG532" i="29"/>
  <c r="AR532" i="29"/>
  <c r="AO532" i="29"/>
  <c r="F533" i="29" a="1"/>
  <c r="F533" i="29" s="1"/>
  <c r="AZ532" i="29"/>
  <c r="BK532" i="29" s="1"/>
  <c r="AJ532" i="29"/>
  <c r="BL531" i="29"/>
  <c r="BM99" i="30"/>
  <c r="AH534" i="30"/>
  <c r="AG524" i="30"/>
  <c r="BE534" i="30"/>
  <c r="AT524" i="30"/>
  <c r="BF534" i="30"/>
  <c r="AU524" i="30"/>
  <c r="BK534" i="30"/>
  <c r="AZ524" i="30"/>
  <c r="BJ246" i="30"/>
  <c r="AY236" i="30"/>
  <c r="AH246" i="30"/>
  <c r="AG236" i="30"/>
  <c r="BH246" i="30"/>
  <c r="AW236" i="30"/>
  <c r="BE246" i="30"/>
  <c r="AT236" i="30"/>
  <c r="BO392" i="30"/>
  <c r="BB392" i="30"/>
  <c r="BM392" i="30" s="1"/>
  <c r="AX392" i="30"/>
  <c r="BI392" i="30" s="1"/>
  <c r="AT392" i="30"/>
  <c r="BE392" i="30" s="1"/>
  <c r="AP392" i="30"/>
  <c r="AL392" i="30"/>
  <c r="AZ392" i="30"/>
  <c r="BK392" i="30" s="1"/>
  <c r="AV392" i="30"/>
  <c r="BG392" i="30" s="1"/>
  <c r="AR392" i="30"/>
  <c r="AN392" i="30"/>
  <c r="AJ392" i="30"/>
  <c r="AF392" i="30"/>
  <c r="AF366" i="30" s="1"/>
  <c r="AW392" i="30"/>
  <c r="BH392" i="30" s="1"/>
  <c r="AO392" i="30"/>
  <c r="AG392" i="30"/>
  <c r="BC392" i="30"/>
  <c r="AU392" i="30"/>
  <c r="BF392" i="30" s="1"/>
  <c r="AM392" i="30"/>
  <c r="AE392" i="30"/>
  <c r="AE366" i="30" s="1"/>
  <c r="F393" i="30" a="1"/>
  <c r="F393" i="30" s="1"/>
  <c r="F394" i="30" s="1" a="1"/>
  <c r="F394" i="30" s="1"/>
  <c r="BA392" i="30"/>
  <c r="BL392" i="30" s="1"/>
  <c r="AS392" i="30"/>
  <c r="AK392" i="30"/>
  <c r="AY392" i="30"/>
  <c r="BJ392" i="30" s="1"/>
  <c r="AQ392" i="30"/>
  <c r="AI392" i="30"/>
  <c r="BD392" i="30" s="1"/>
  <c r="AH390" i="30"/>
  <c r="BH390" i="30"/>
  <c r="AW380" i="30"/>
  <c r="F100" i="29" a="1"/>
  <c r="F100" i="29" s="1"/>
  <c r="AZ99" i="29"/>
  <c r="AV99" i="29"/>
  <c r="BG99" i="29" s="1"/>
  <c r="AR99" i="29"/>
  <c r="AN99" i="29"/>
  <c r="AJ99" i="29"/>
  <c r="AF99" i="29"/>
  <c r="BC99" i="29"/>
  <c r="AY99" i="29"/>
  <c r="BJ99" i="29" s="1"/>
  <c r="AU99" i="29"/>
  <c r="AQ99" i="29"/>
  <c r="AM99" i="29"/>
  <c r="AI99" i="29"/>
  <c r="BD99" i="29" s="1"/>
  <c r="AE99" i="29"/>
  <c r="BA99" i="29"/>
  <c r="BL99" i="29" s="1"/>
  <c r="AS99" i="29"/>
  <c r="AK99" i="29"/>
  <c r="BO99" i="29"/>
  <c r="AX99" i="29"/>
  <c r="AP99" i="29"/>
  <c r="AW99" i="29"/>
  <c r="BH99" i="29" s="1"/>
  <c r="AO99" i="29"/>
  <c r="AG99" i="29"/>
  <c r="AH99" i="29" s="1"/>
  <c r="AL99" i="29"/>
  <c r="BB99" i="29"/>
  <c r="BM99" i="29" s="1"/>
  <c r="AT99" i="29"/>
  <c r="AH387" i="29"/>
  <c r="BH387" i="29"/>
  <c r="BL534" i="30"/>
  <c r="BA524" i="30"/>
  <c r="BH534" i="30"/>
  <c r="AW524" i="30"/>
  <c r="BI534" i="30"/>
  <c r="AX524" i="30"/>
  <c r="BD534" i="30"/>
  <c r="AI524" i="30"/>
  <c r="BJ534" i="30"/>
  <c r="AY524" i="30"/>
  <c r="BA536" i="30"/>
  <c r="BL536" i="30" s="1"/>
  <c r="AW536" i="30"/>
  <c r="BH536" i="30" s="1"/>
  <c r="AS536" i="30"/>
  <c r="AO536" i="30"/>
  <c r="AK536" i="30"/>
  <c r="AG536" i="30"/>
  <c r="F537" i="30" a="1"/>
  <c r="F537" i="30" s="1"/>
  <c r="F538" i="30" s="1" a="1"/>
  <c r="F538" i="30" s="1"/>
  <c r="AZ536" i="30"/>
  <c r="BK536" i="30" s="1"/>
  <c r="AV536" i="30"/>
  <c r="BG536" i="30" s="1"/>
  <c r="AR536" i="30"/>
  <c r="AN536" i="30"/>
  <c r="AJ536" i="30"/>
  <c r="AF536" i="30"/>
  <c r="AF510" i="30" s="1"/>
  <c r="BC536" i="30"/>
  <c r="AY536" i="30"/>
  <c r="BJ536" i="30" s="1"/>
  <c r="AU536" i="30"/>
  <c r="BF536" i="30" s="1"/>
  <c r="AQ536" i="30"/>
  <c r="AM536" i="30"/>
  <c r="AI536" i="30"/>
  <c r="AE536" i="30"/>
  <c r="AE510" i="30" s="1"/>
  <c r="AP536" i="30"/>
  <c r="BB536" i="30"/>
  <c r="BM536" i="30" s="1"/>
  <c r="AL536" i="30"/>
  <c r="AX536" i="30"/>
  <c r="BI536" i="30" s="1"/>
  <c r="AT536" i="30"/>
  <c r="AF222" i="30"/>
  <c r="BG246" i="30"/>
  <c r="AV236" i="30"/>
  <c r="BL246" i="30"/>
  <c r="BA236" i="30"/>
  <c r="BI246" i="30"/>
  <c r="AX236" i="30"/>
  <c r="BE390" i="30"/>
  <c r="AT380" i="30"/>
  <c r="BG390" i="30"/>
  <c r="AV380" i="30"/>
  <c r="BF390" i="30"/>
  <c r="AU380" i="30"/>
  <c r="BL390" i="30"/>
  <c r="BA380" i="30"/>
  <c r="BJ387" i="29"/>
  <c r="BJ243" i="29"/>
  <c r="BO244" i="29"/>
  <c r="BB244" i="29"/>
  <c r="BM244" i="29" s="1"/>
  <c r="AX244" i="29"/>
  <c r="BI244" i="29" s="1"/>
  <c r="AT244" i="29"/>
  <c r="AP244" i="29"/>
  <c r="AL244" i="29"/>
  <c r="BA244" i="29"/>
  <c r="BL244" i="29" s="1"/>
  <c r="AW244" i="29"/>
  <c r="BH244" i="29" s="1"/>
  <c r="AS244" i="29"/>
  <c r="AO244" i="29"/>
  <c r="AK244" i="29"/>
  <c r="AG244" i="29"/>
  <c r="BC244" i="29"/>
  <c r="AU244" i="29"/>
  <c r="BF244" i="29" s="1"/>
  <c r="AM244" i="29"/>
  <c r="AE244" i="29"/>
  <c r="F245" i="29" a="1"/>
  <c r="F245" i="29" s="1"/>
  <c r="AZ244" i="29"/>
  <c r="BK244" i="29" s="1"/>
  <c r="AR244" i="29"/>
  <c r="AJ244" i="29"/>
  <c r="AY244" i="29"/>
  <c r="BJ244" i="29" s="1"/>
  <c r="AQ244" i="29"/>
  <c r="AI244" i="29"/>
  <c r="BD244" i="29" s="1"/>
  <c r="AV244" i="29"/>
  <c r="BG244" i="29" s="1"/>
  <c r="AN244" i="29"/>
  <c r="AF244" i="29"/>
  <c r="BF531" i="29"/>
  <c r="BE99" i="30"/>
  <c r="BK99" i="30"/>
  <c r="BM534" i="30"/>
  <c r="BB524" i="30"/>
  <c r="AE222" i="30"/>
  <c r="BK246" i="30"/>
  <c r="AZ236" i="30"/>
  <c r="BM246" i="30"/>
  <c r="BB236" i="30"/>
  <c r="AH380" i="30"/>
  <c r="AG366" i="30"/>
  <c r="BM390" i="30"/>
  <c r="BB380" i="30"/>
  <c r="BD390" i="30"/>
  <c r="AI380" i="30"/>
  <c r="BJ390" i="30"/>
  <c r="AY380" i="30"/>
  <c r="AH98" i="29"/>
  <c r="BL98" i="29"/>
  <c r="BG98" i="29"/>
  <c r="AH392" i="30" l="1"/>
  <c r="AH532" i="29"/>
  <c r="BE536" i="30"/>
  <c r="AH536" i="30"/>
  <c r="BI99" i="29"/>
  <c r="BE236" i="30"/>
  <c r="AH236" i="30"/>
  <c r="AG222" i="30"/>
  <c r="BK524" i="30"/>
  <c r="AH524" i="30"/>
  <c r="AG510" i="30"/>
  <c r="BO389" i="29"/>
  <c r="BB389" i="29"/>
  <c r="BM389" i="29" s="1"/>
  <c r="AX389" i="29"/>
  <c r="BI389" i="29" s="1"/>
  <c r="AT389" i="29"/>
  <c r="BE389" i="29" s="1"/>
  <c r="AP389" i="29"/>
  <c r="AL389" i="29"/>
  <c r="BA389" i="29"/>
  <c r="BL389" i="29" s="1"/>
  <c r="AW389" i="29"/>
  <c r="AS389" i="29"/>
  <c r="AO389" i="29"/>
  <c r="AK389" i="29"/>
  <c r="AG389" i="29"/>
  <c r="AV389" i="29"/>
  <c r="BG389" i="29" s="1"/>
  <c r="AN389" i="29"/>
  <c r="AF389" i="29"/>
  <c r="BC389" i="29"/>
  <c r="AU389" i="29"/>
  <c r="BF389" i="29" s="1"/>
  <c r="AM389" i="29"/>
  <c r="AE389" i="29"/>
  <c r="AQ389" i="29"/>
  <c r="F390" i="29" a="1"/>
  <c r="F390" i="29" s="1"/>
  <c r="AZ389" i="29"/>
  <c r="BK389" i="29" s="1"/>
  <c r="AJ389" i="29"/>
  <c r="AY389" i="29"/>
  <c r="AI389" i="29"/>
  <c r="BD389" i="29" s="1"/>
  <c r="AR389" i="29"/>
  <c r="AH388" i="29"/>
  <c r="BO250" i="30"/>
  <c r="F251" i="30" a="1"/>
  <c r="F251" i="30" s="1"/>
  <c r="BG100" i="30"/>
  <c r="BF380" i="30"/>
  <c r="BG380" i="30"/>
  <c r="BI236" i="30"/>
  <c r="BL380" i="30"/>
  <c r="BG236" i="30"/>
  <c r="BD524" i="30"/>
  <c r="AI510" i="30"/>
  <c r="BH524" i="30"/>
  <c r="BE99" i="29"/>
  <c r="BF99" i="29"/>
  <c r="BK99" i="29"/>
  <c r="F395" i="30" a="1"/>
  <c r="F395" i="30" s="1"/>
  <c r="BO394" i="30"/>
  <c r="BC533" i="29"/>
  <c r="AY533" i="29"/>
  <c r="BJ533" i="29" s="1"/>
  <c r="AU533" i="29"/>
  <c r="BF533" i="29" s="1"/>
  <c r="AQ533" i="29"/>
  <c r="AM533" i="29"/>
  <c r="AI533" i="29"/>
  <c r="BD533" i="29" s="1"/>
  <c r="AE533" i="29"/>
  <c r="BO533" i="29"/>
  <c r="BB533" i="29"/>
  <c r="BM533" i="29" s="1"/>
  <c r="AX533" i="29"/>
  <c r="BI533" i="29" s="1"/>
  <c r="AT533" i="29"/>
  <c r="BE533" i="29" s="1"/>
  <c r="AP533" i="29"/>
  <c r="AL533" i="29"/>
  <c r="AV533" i="29"/>
  <c r="BG533" i="29" s="1"/>
  <c r="AN533" i="29"/>
  <c r="AF533" i="29"/>
  <c r="BA533" i="29"/>
  <c r="BL533" i="29" s="1"/>
  <c r="AS533" i="29"/>
  <c r="AK533" i="29"/>
  <c r="AO533" i="29"/>
  <c r="F534" i="29" a="1"/>
  <c r="F534" i="29" s="1"/>
  <c r="AZ533" i="29"/>
  <c r="BK533" i="29" s="1"/>
  <c r="AJ533" i="29"/>
  <c r="AW533" i="29"/>
  <c r="BH533" i="29" s="1"/>
  <c r="AG533" i="29"/>
  <c r="AH533" i="29" s="1"/>
  <c r="AR533" i="29"/>
  <c r="BI388" i="29"/>
  <c r="BK380" i="30"/>
  <c r="BF236" i="30"/>
  <c r="BD380" i="30"/>
  <c r="AI366" i="30"/>
  <c r="BM380" i="30"/>
  <c r="BM236" i="30"/>
  <c r="BK236" i="30"/>
  <c r="BO245" i="29"/>
  <c r="BB245" i="29"/>
  <c r="BM245" i="29" s="1"/>
  <c r="AX245" i="29"/>
  <c r="BI245" i="29" s="1"/>
  <c r="AT245" i="29"/>
  <c r="BE245" i="29" s="1"/>
  <c r="AP245" i="29"/>
  <c r="AL245" i="29"/>
  <c r="BA245" i="29"/>
  <c r="BL245" i="29" s="1"/>
  <c r="AW245" i="29"/>
  <c r="BH245" i="29" s="1"/>
  <c r="AS245" i="29"/>
  <c r="AO245" i="29"/>
  <c r="AK245" i="29"/>
  <c r="AG245" i="29"/>
  <c r="BC245" i="29"/>
  <c r="AU245" i="29"/>
  <c r="BF245" i="29" s="1"/>
  <c r="AM245" i="29"/>
  <c r="AE245" i="29"/>
  <c r="F246" i="29" a="1"/>
  <c r="F246" i="29" s="1"/>
  <c r="AZ245" i="29"/>
  <c r="BK245" i="29" s="1"/>
  <c r="AR245" i="29"/>
  <c r="AJ245" i="29"/>
  <c r="AY245" i="29"/>
  <c r="BJ245" i="29" s="1"/>
  <c r="AQ245" i="29"/>
  <c r="AI245" i="29"/>
  <c r="BD245" i="29" s="1"/>
  <c r="AV245" i="29"/>
  <c r="BG245" i="29" s="1"/>
  <c r="AN245" i="29"/>
  <c r="AF245" i="29"/>
  <c r="BE380" i="30"/>
  <c r="BL236" i="30"/>
  <c r="F101" i="29" a="1"/>
  <c r="F101" i="29" s="1"/>
  <c r="AZ100" i="29"/>
  <c r="BK100" i="29" s="1"/>
  <c r="AV100" i="29"/>
  <c r="AR100" i="29"/>
  <c r="AN100" i="29"/>
  <c r="AJ100" i="29"/>
  <c r="AF100" i="29"/>
  <c r="BC100" i="29"/>
  <c r="AY100" i="29"/>
  <c r="BJ100" i="29" s="1"/>
  <c r="AU100" i="29"/>
  <c r="BF100" i="29" s="1"/>
  <c r="AQ100" i="29"/>
  <c r="AM100" i="29"/>
  <c r="AI100" i="29"/>
  <c r="BD100" i="29" s="1"/>
  <c r="AE100" i="29"/>
  <c r="BA100" i="29"/>
  <c r="AS100" i="29"/>
  <c r="AK100" i="29"/>
  <c r="BO100" i="29"/>
  <c r="AX100" i="29"/>
  <c r="BI100" i="29" s="1"/>
  <c r="AP100" i="29"/>
  <c r="AW100" i="29"/>
  <c r="BH100" i="29" s="1"/>
  <c r="AO100" i="29"/>
  <c r="AG100" i="29"/>
  <c r="BB100" i="29"/>
  <c r="BM100" i="29" s="1"/>
  <c r="AT100" i="29"/>
  <c r="BE100" i="29" s="1"/>
  <c r="AL100" i="29"/>
  <c r="BH236" i="30"/>
  <c r="BE524" i="30"/>
  <c r="AH248"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O101" i="30"/>
  <c r="BB101" i="30"/>
  <c r="AX101" i="30"/>
  <c r="BI101" i="30" s="1"/>
  <c r="AT101" i="30"/>
  <c r="BE101" i="30" s="1"/>
  <c r="AP101" i="30"/>
  <c r="AL101" i="30"/>
  <c r="AS101" i="30"/>
  <c r="AO101" i="30"/>
  <c r="AW101" i="30"/>
  <c r="BH101" i="30" s="1"/>
  <c r="AK101" i="30"/>
  <c r="AG101" i="30"/>
  <c r="BA101" i="30"/>
  <c r="BL101" i="30" s="1"/>
  <c r="BJ380" i="30"/>
  <c r="AH366" i="30"/>
  <c r="BM524" i="30"/>
  <c r="AH244" i="29"/>
  <c r="BE244" i="29"/>
  <c r="BD536" i="30"/>
  <c r="F539" i="30" a="1"/>
  <c r="F539" i="30" s="1"/>
  <c r="BO538" i="30"/>
  <c r="BJ524" i="30"/>
  <c r="BI524" i="30"/>
  <c r="BL524" i="30"/>
  <c r="BH380" i="30"/>
  <c r="BJ236" i="30"/>
  <c r="BF524" i="30"/>
  <c r="BI380" i="30"/>
  <c r="BD236" i="30"/>
  <c r="AI222" i="30"/>
  <c r="BG524" i="30"/>
  <c r="AH100" i="30"/>
  <c r="AH101" i="30" l="1"/>
  <c r="BM101" i="30"/>
  <c r="BL100" i="29"/>
  <c r="BO390" i="29"/>
  <c r="BB390" i="29"/>
  <c r="AX390" i="29"/>
  <c r="AT390" i="29"/>
  <c r="AP390" i="29"/>
  <c r="AP380" i="29" s="1"/>
  <c r="AL390" i="29"/>
  <c r="AL380" i="29" s="1"/>
  <c r="BA390" i="29"/>
  <c r="AW390" i="29"/>
  <c r="BH390" i="29" s="1"/>
  <c r="AS390" i="29"/>
  <c r="AS380" i="29" s="1"/>
  <c r="AO390" i="29"/>
  <c r="AO380" i="29" s="1"/>
  <c r="AK390" i="29"/>
  <c r="AK380" i="29" s="1"/>
  <c r="AG390" i="29"/>
  <c r="AV390" i="29"/>
  <c r="AN390" i="29"/>
  <c r="AN380" i="29" s="1"/>
  <c r="AF390" i="29"/>
  <c r="AF380" i="29" s="1"/>
  <c r="BC390" i="29"/>
  <c r="BC380" i="29" s="1"/>
  <c r="AU390" i="29"/>
  <c r="AM390" i="29"/>
  <c r="AM380" i="29" s="1"/>
  <c r="AE390" i="29"/>
  <c r="AE380" i="29" s="1"/>
  <c r="AY390" i="29"/>
  <c r="BJ390" i="29" s="1"/>
  <c r="AI390" i="29"/>
  <c r="AR390" i="29"/>
  <c r="AR380" i="29" s="1"/>
  <c r="AQ390" i="29"/>
  <c r="AQ380" i="29" s="1"/>
  <c r="F391" i="29" a="1"/>
  <c r="F391" i="29" s="1"/>
  <c r="F392" i="29" s="1" a="1"/>
  <c r="F392" i="29" s="1"/>
  <c r="AZ390" i="29"/>
  <c r="AJ390" i="29"/>
  <c r="AJ380" i="29" s="1"/>
  <c r="BO246" i="29"/>
  <c r="BB246" i="29"/>
  <c r="AX246" i="29"/>
  <c r="AT246" i="29"/>
  <c r="AP246" i="29"/>
  <c r="AP236" i="29" s="1"/>
  <c r="AL246" i="29"/>
  <c r="AL236" i="29" s="1"/>
  <c r="BA246" i="29"/>
  <c r="AW246" i="29"/>
  <c r="AS246" i="29"/>
  <c r="AS236" i="29" s="1"/>
  <c r="AO246" i="29"/>
  <c r="AO236" i="29" s="1"/>
  <c r="AK246" i="29"/>
  <c r="AK236" i="29" s="1"/>
  <c r="AG246" i="29"/>
  <c r="BC246" i="29"/>
  <c r="BC236" i="29" s="1"/>
  <c r="AU246" i="29"/>
  <c r="AM246" i="29"/>
  <c r="AM236" i="29" s="1"/>
  <c r="AE246" i="29"/>
  <c r="AE236" i="29" s="1"/>
  <c r="F247" i="29" a="1"/>
  <c r="F247" i="29" s="1"/>
  <c r="F248" i="29" s="1" a="1"/>
  <c r="F248" i="29" s="1"/>
  <c r="AZ246" i="29"/>
  <c r="AR246" i="29"/>
  <c r="AR236" i="29" s="1"/>
  <c r="AJ246" i="29"/>
  <c r="AJ236" i="29" s="1"/>
  <c r="AY246" i="29"/>
  <c r="AQ246" i="29"/>
  <c r="AQ236" i="29" s="1"/>
  <c r="AI246" i="29"/>
  <c r="AN246" i="29"/>
  <c r="AN236" i="29" s="1"/>
  <c r="AF246" i="29"/>
  <c r="AF236" i="29" s="1"/>
  <c r="AV246" i="29"/>
  <c r="BJ389" i="29"/>
  <c r="AH389" i="29"/>
  <c r="BH389" i="29"/>
  <c r="AW380" i="29"/>
  <c r="AH510" i="30"/>
  <c r="AH222" i="30"/>
  <c r="AH100" i="29"/>
  <c r="BG100" i="29"/>
  <c r="BA395" i="30"/>
  <c r="AW395" i="30"/>
  <c r="AS395" i="30"/>
  <c r="AS366" i="30" s="1"/>
  <c r="AO395" i="30"/>
  <c r="AO366" i="30" s="1"/>
  <c r="AK395" i="30"/>
  <c r="AK366" i="30" s="1"/>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AQ395" i="30"/>
  <c r="AQ366" i="30" s="1"/>
  <c r="AM395" i="30"/>
  <c r="AM366" i="30" s="1"/>
  <c r="AX395" i="30"/>
  <c r="AP395" i="30"/>
  <c r="AP366" i="30" s="1"/>
  <c r="AV395" i="30"/>
  <c r="AN395" i="30"/>
  <c r="AN366" i="30" s="1"/>
  <c r="BB395" i="30"/>
  <c r="AT395" i="30"/>
  <c r="AL395" i="30"/>
  <c r="AL366" i="30" s="1"/>
  <c r="AZ395" i="30"/>
  <c r="AR395" i="30"/>
  <c r="AR366" i="30" s="1"/>
  <c r="AJ395" i="30"/>
  <c r="AJ366" i="30" s="1"/>
  <c r="BA539" i="30"/>
  <c r="AW539" i="30"/>
  <c r="AS539" i="30"/>
  <c r="AS510" i="30" s="1"/>
  <c r="AO539" i="30"/>
  <c r="AO510" i="30" s="1"/>
  <c r="AK539" i="30"/>
  <c r="AK510" i="30" s="1"/>
  <c r="AZ539" i="30"/>
  <c r="AV539" i="30"/>
  <c r="AR539" i="30"/>
  <c r="AR510" i="30" s="1"/>
  <c r="AN539" i="30"/>
  <c r="AN510" i="30" s="1"/>
  <c r="AJ539" i="30"/>
  <c r="AJ510" i="30" s="1"/>
  <c r="F540" i="30" a="1"/>
  <c r="F540" i="30" s="1"/>
  <c r="F541" i="30" s="1" a="1"/>
  <c r="F541" i="30" s="1"/>
  <c r="F542" i="30" s="1" a="1"/>
  <c r="F542" i="30" s="1"/>
  <c r="F543" i="30" s="1" a="1"/>
  <c r="F543" i="30" s="1"/>
  <c r="F544" i="30" s="1" a="1"/>
  <c r="F544" i="30" s="1"/>
  <c r="F545" i="30" s="1" a="1"/>
  <c r="F545" i="30" s="1"/>
  <c r="F546" i="30" s="1" a="1"/>
  <c r="F546" i="30" s="1"/>
  <c r="BC539" i="30"/>
  <c r="BC510" i="30" s="1"/>
  <c r="AY539" i="30"/>
  <c r="AU539" i="30"/>
  <c r="AQ539" i="30"/>
  <c r="AQ510" i="30" s="1"/>
  <c r="AM539" i="30"/>
  <c r="AM510" i="30" s="1"/>
  <c r="AP539" i="30"/>
  <c r="AP510" i="30" s="1"/>
  <c r="BB539" i="30"/>
  <c r="AL539" i="30"/>
  <c r="AL510" i="30" s="1"/>
  <c r="AX539" i="30"/>
  <c r="AT539" i="30"/>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A101" i="29"/>
  <c r="BL101" i="29" s="1"/>
  <c r="AS101" i="29"/>
  <c r="AK101" i="29"/>
  <c r="BO101" i="29"/>
  <c r="AX101" i="29"/>
  <c r="BI101" i="29" s="1"/>
  <c r="AP101" i="29"/>
  <c r="AW101" i="29"/>
  <c r="BH101" i="29" s="1"/>
  <c r="AO101" i="29"/>
  <c r="AG101" i="29"/>
  <c r="AH101" i="29" s="1"/>
  <c r="BB101" i="29"/>
  <c r="BM101" i="29" s="1"/>
  <c r="AT101" i="29"/>
  <c r="BE101" i="29" s="1"/>
  <c r="AL101" i="29"/>
  <c r="AH245" i="29"/>
  <c r="BC534" i="29"/>
  <c r="BC524" i="29" s="1"/>
  <c r="AY534" i="29"/>
  <c r="AU534" i="29"/>
  <c r="AQ534" i="29"/>
  <c r="AQ524" i="29" s="1"/>
  <c r="AM534" i="29"/>
  <c r="AM524" i="29" s="1"/>
  <c r="AI534" i="29"/>
  <c r="AE534" i="29"/>
  <c r="AE524" i="29" s="1"/>
  <c r="BO534" i="29"/>
  <c r="BB534" i="29"/>
  <c r="AX534" i="29"/>
  <c r="AT534" i="29"/>
  <c r="AP534" i="29"/>
  <c r="AP524" i="29" s="1"/>
  <c r="AL534" i="29"/>
  <c r="AL524" i="29" s="1"/>
  <c r="AV534" i="29"/>
  <c r="AN534" i="29"/>
  <c r="AN524" i="29" s="1"/>
  <c r="AF534" i="29"/>
  <c r="AF524" i="29" s="1"/>
  <c r="BA534" i="29"/>
  <c r="AS534" i="29"/>
  <c r="AS524" i="29" s="1"/>
  <c r="AK534" i="29"/>
  <c r="AK524" i="29" s="1"/>
  <c r="AW534" i="29"/>
  <c r="AG534" i="29"/>
  <c r="AR534" i="29"/>
  <c r="AR524" i="29" s="1"/>
  <c r="AO534" i="29"/>
  <c r="AO524" i="29" s="1"/>
  <c r="F535" i="29" a="1"/>
  <c r="F535" i="29" s="1"/>
  <c r="F536" i="29" s="1" a="1"/>
  <c r="F536" i="29" s="1"/>
  <c r="AZ534" i="29"/>
  <c r="AJ534" i="29"/>
  <c r="AJ524" i="29" s="1"/>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BM102" i="30" s="1"/>
  <c r="AX102" i="30"/>
  <c r="AT102" i="30"/>
  <c r="AP102" i="30"/>
  <c r="AP92" i="30" s="1"/>
  <c r="AL102" i="30"/>
  <c r="AL92" i="30" s="1"/>
  <c r="BA102" i="30"/>
  <c r="AK102" i="30"/>
  <c r="AK92" i="30" s="1"/>
  <c r="AW102" i="30"/>
  <c r="AG102" i="30"/>
  <c r="AO102" i="30"/>
  <c r="AO92" i="30" s="1"/>
  <c r="AS102" i="30"/>
  <c r="AS92" i="30" s="1"/>
  <c r="BB251" i="30"/>
  <c r="AX251" i="30"/>
  <c r="AT251" i="30"/>
  <c r="AP251" i="30"/>
  <c r="AP222" i="30" s="1"/>
  <c r="AL251" i="30"/>
  <c r="AL222" i="30" s="1"/>
  <c r="BA251" i="30"/>
  <c r="AW251" i="30"/>
  <c r="AS251" i="30"/>
  <c r="AS222" i="30" s="1"/>
  <c r="AO251" i="30"/>
  <c r="AO222" i="30" s="1"/>
  <c r="AK251" i="30"/>
  <c r="AK222" i="30" s="1"/>
  <c r="AZ251" i="30"/>
  <c r="AV251" i="30"/>
  <c r="AR251" i="30"/>
  <c r="AR222" i="30" s="1"/>
  <c r="AN251" i="30"/>
  <c r="AN222" i="30" s="1"/>
  <c r="AJ251" i="30"/>
  <c r="AJ222" i="30" s="1"/>
  <c r="AU251" i="30"/>
  <c r="F252" i="30" a="1"/>
  <c r="F252" i="30" s="1"/>
  <c r="F253" i="30" s="1" a="1"/>
  <c r="F253" i="30" s="1"/>
  <c r="F254" i="30" s="1" a="1"/>
  <c r="F254" i="30" s="1"/>
  <c r="F255" i="30" s="1" a="1"/>
  <c r="F255" i="30" s="1"/>
  <c r="F256" i="30" s="1" a="1"/>
  <c r="F256" i="30" s="1"/>
  <c r="F257" i="30" s="1" a="1"/>
  <c r="F257" i="30" s="1"/>
  <c r="F258" i="30" s="1" a="1"/>
  <c r="F258" i="30" s="1"/>
  <c r="BC251" i="30"/>
  <c r="BC222" i="30" s="1"/>
  <c r="AM251" i="30"/>
  <c r="AM222" i="30" s="1"/>
  <c r="AY251" i="30"/>
  <c r="AQ251" i="30"/>
  <c r="AQ222" i="30" s="1"/>
  <c r="AY380" i="29" l="1"/>
  <c r="BJ380" i="29" s="1"/>
  <c r="AH390" i="29"/>
  <c r="BH251" i="30"/>
  <c r="AW222" i="30"/>
  <c r="BI102" i="30"/>
  <c r="AX92" i="30"/>
  <c r="BG539" i="30"/>
  <c r="AV510" i="30"/>
  <c r="BI395" i="30"/>
  <c r="AX366" i="30"/>
  <c r="BJ395" i="30"/>
  <c r="AY366" i="30"/>
  <c r="BH380" i="29"/>
  <c r="AH246" i="29"/>
  <c r="AG236" i="29"/>
  <c r="BH246" i="29"/>
  <c r="AW236" i="29"/>
  <c r="BE246" i="29"/>
  <c r="AT236" i="29"/>
  <c r="BC392" i="29"/>
  <c r="AY392" i="29"/>
  <c r="BJ392" i="29" s="1"/>
  <c r="AU392" i="29"/>
  <c r="BF392" i="29" s="1"/>
  <c r="AQ392" i="29"/>
  <c r="AM392" i="29"/>
  <c r="AI392" i="29"/>
  <c r="BD392" i="29" s="1"/>
  <c r="AE392" i="29"/>
  <c r="BO392" i="29"/>
  <c r="BB392" i="29"/>
  <c r="BM392" i="29" s="1"/>
  <c r="AX392" i="29"/>
  <c r="BI392" i="29" s="1"/>
  <c r="AT392" i="29"/>
  <c r="BE392" i="29" s="1"/>
  <c r="AP392" i="29"/>
  <c r="AL392" i="29"/>
  <c r="F393" i="29" a="1"/>
  <c r="F393" i="29" s="1"/>
  <c r="F394" i="29" s="1" a="1"/>
  <c r="F394" i="29" s="1"/>
  <c r="AV392" i="29"/>
  <c r="BG392" i="29" s="1"/>
  <c r="AN392" i="29"/>
  <c r="AF392" i="29"/>
  <c r="BA392" i="29"/>
  <c r="BL392" i="29" s="1"/>
  <c r="AS392" i="29"/>
  <c r="AK392" i="29"/>
  <c r="AO392" i="29"/>
  <c r="AZ392" i="29"/>
  <c r="BK392" i="29" s="1"/>
  <c r="AJ392" i="29"/>
  <c r="AW392" i="29"/>
  <c r="BH392" i="29" s="1"/>
  <c r="AG392" i="29"/>
  <c r="AH392" i="29" s="1"/>
  <c r="AR392" i="29"/>
  <c r="BE390" i="29"/>
  <c r="AT380" i="29"/>
  <c r="BK251" i="30"/>
  <c r="AZ222" i="30"/>
  <c r="BL102" i="30"/>
  <c r="BA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BC104" i="30"/>
  <c r="AY104" i="30"/>
  <c r="BJ104" i="30" s="1"/>
  <c r="AU104" i="30"/>
  <c r="BF104" i="30" s="1"/>
  <c r="AQ104" i="30"/>
  <c r="AM104" i="30"/>
  <c r="AI104" i="30"/>
  <c r="BD104" i="30" s="1"/>
  <c r="AE104" i="30"/>
  <c r="AT104" i="30"/>
  <c r="BE104" i="30" s="1"/>
  <c r="AP104" i="30"/>
  <c r="AL104" i="30"/>
  <c r="BO104" i="30"/>
  <c r="AX104" i="30"/>
  <c r="BI104" i="30" s="1"/>
  <c r="BB104" i="30"/>
  <c r="BM104" i="30" s="1"/>
  <c r="BE534" i="29"/>
  <c r="AT524" i="29"/>
  <c r="AH102" i="30"/>
  <c r="AG92" i="30"/>
  <c r="BG534" i="29"/>
  <c r="AV524" i="29"/>
  <c r="BI534" i="29"/>
  <c r="AX524" i="29"/>
  <c r="BD534" i="29"/>
  <c r="AI524" i="29"/>
  <c r="BJ534" i="29"/>
  <c r="AY524"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A102" i="29"/>
  <c r="AS102" i="29"/>
  <c r="AS92" i="29" s="1"/>
  <c r="AK102" i="29"/>
  <c r="AK92" i="29" s="1"/>
  <c r="BO102" i="29"/>
  <c r="AX102" i="29"/>
  <c r="AP102" i="29"/>
  <c r="AP92" i="29" s="1"/>
  <c r="AW102" i="29"/>
  <c r="AO102" i="29"/>
  <c r="AO92" i="29" s="1"/>
  <c r="AG102" i="29"/>
  <c r="AT102" i="29"/>
  <c r="AL102" i="29"/>
  <c r="AL92" i="29" s="1"/>
  <c r="BB102" i="29"/>
  <c r="BM539" i="30"/>
  <c r="BB510" i="30"/>
  <c r="BF539" i="30"/>
  <c r="AU510" i="30"/>
  <c r="BK539" i="30"/>
  <c r="AZ510" i="30"/>
  <c r="BH539" i="30"/>
  <c r="AW510" i="30"/>
  <c r="BK395" i="30"/>
  <c r="AZ366" i="30"/>
  <c r="BD246" i="29"/>
  <c r="AI236" i="29"/>
  <c r="BL246" i="29"/>
  <c r="BA236" i="29"/>
  <c r="BI246" i="29"/>
  <c r="AX236" i="29"/>
  <c r="BL390" i="29"/>
  <c r="BA380" i="29"/>
  <c r="BI390" i="29"/>
  <c r="AX380" i="29"/>
  <c r="BJ102" i="30"/>
  <c r="AY92" i="30"/>
  <c r="F547" i="30" a="1"/>
  <c r="F547" i="30" s="1"/>
  <c r="AZ546" i="30"/>
  <c r="BK546" i="30" s="1"/>
  <c r="AV546" i="30"/>
  <c r="BG546" i="30" s="1"/>
  <c r="AR546" i="30"/>
  <c r="AN546" i="30"/>
  <c r="AJ546" i="30"/>
  <c r="AF546" i="30"/>
  <c r="BC546" i="30"/>
  <c r="AY546" i="30"/>
  <c r="BJ546" i="30" s="1"/>
  <c r="AU546" i="30"/>
  <c r="BF546" i="30" s="1"/>
  <c r="AQ546" i="30"/>
  <c r="AM546" i="30"/>
  <c r="AI546" i="30"/>
  <c r="AE546" i="30"/>
  <c r="BB546" i="30"/>
  <c r="BM546" i="30" s="1"/>
  <c r="AX546" i="30"/>
  <c r="BI546" i="30" s="1"/>
  <c r="AT546" i="30"/>
  <c r="AP546" i="30"/>
  <c r="AL546" i="30"/>
  <c r="BA546" i="30"/>
  <c r="BL546" i="30" s="1"/>
  <c r="AK546" i="30"/>
  <c r="AW546" i="30"/>
  <c r="BH546" i="30" s="1"/>
  <c r="AG546" i="30"/>
  <c r="AS546" i="30"/>
  <c r="AO546" i="30"/>
  <c r="BM395" i="30"/>
  <c r="BB366" i="30"/>
  <c r="BI251" i="30"/>
  <c r="AX222" i="30"/>
  <c r="BA258" i="30"/>
  <c r="BL258" i="30" s="1"/>
  <c r="AW258" i="30"/>
  <c r="BH258" i="30" s="1"/>
  <c r="AS258" i="30"/>
  <c r="AO258" i="30"/>
  <c r="AK258" i="30"/>
  <c r="AG258" i="30"/>
  <c r="F259" i="30" a="1"/>
  <c r="F259" i="30" s="1"/>
  <c r="AZ258" i="30"/>
  <c r="BK258" i="30" s="1"/>
  <c r="AV258" i="30"/>
  <c r="BG258" i="30" s="1"/>
  <c r="AR258" i="30"/>
  <c r="AN258" i="30"/>
  <c r="AJ258" i="30"/>
  <c r="AF258" i="30"/>
  <c r="BC258" i="30"/>
  <c r="AY258" i="30"/>
  <c r="BJ258" i="30" s="1"/>
  <c r="AU258" i="30"/>
  <c r="BF258" i="30" s="1"/>
  <c r="AQ258" i="30"/>
  <c r="AM258" i="30"/>
  <c r="AI258" i="30"/>
  <c r="AE258" i="30"/>
  <c r="AP258" i="30"/>
  <c r="AX258" i="30"/>
  <c r="BI258" i="30" s="1"/>
  <c r="AT258" i="30"/>
  <c r="AL258" i="30"/>
  <c r="BB258" i="30"/>
  <c r="BM258" i="30" s="1"/>
  <c r="BM251" i="30"/>
  <c r="BB222" i="30"/>
  <c r="BH102" i="30"/>
  <c r="AW92" i="30"/>
  <c r="AF78" i="30"/>
  <c r="BG102" i="30"/>
  <c r="AV92" i="30"/>
  <c r="BK534" i="29"/>
  <c r="AZ524" i="29"/>
  <c r="AH534" i="29"/>
  <c r="AG524" i="29"/>
  <c r="BL534" i="29"/>
  <c r="BA524" i="29"/>
  <c r="BM534" i="29"/>
  <c r="BB524" i="29"/>
  <c r="BE539" i="30"/>
  <c r="AT510" i="30"/>
  <c r="BJ539" i="30"/>
  <c r="AY510" i="30"/>
  <c r="BL539" i="30"/>
  <c r="BA510" i="30"/>
  <c r="BG395" i="30"/>
  <c r="AV366" i="30"/>
  <c r="F403" i="30" a="1"/>
  <c r="F403" i="30" s="1"/>
  <c r="AZ402" i="30"/>
  <c r="BK402" i="30" s="1"/>
  <c r="AV402" i="30"/>
  <c r="BG402" i="30" s="1"/>
  <c r="AR402" i="30"/>
  <c r="AN402" i="30"/>
  <c r="AJ402" i="30"/>
  <c r="AF402" i="30"/>
  <c r="BB402" i="30"/>
  <c r="BM402" i="30" s="1"/>
  <c r="AX402" i="30"/>
  <c r="BI402" i="30" s="1"/>
  <c r="AT402" i="30"/>
  <c r="AP402" i="30"/>
  <c r="AL402" i="30"/>
  <c r="AY402" i="30"/>
  <c r="BJ402" i="30" s="1"/>
  <c r="AQ402" i="30"/>
  <c r="AI402" i="30"/>
  <c r="AW402" i="30"/>
  <c r="BH402" i="30" s="1"/>
  <c r="AO402" i="30"/>
  <c r="AG402" i="30"/>
  <c r="BC402" i="30"/>
  <c r="AU402" i="30"/>
  <c r="BF402" i="30" s="1"/>
  <c r="AM402" i="30"/>
  <c r="AE402" i="30"/>
  <c r="BA402" i="30"/>
  <c r="BL402" i="30" s="1"/>
  <c r="AS402" i="30"/>
  <c r="AK402" i="30"/>
  <c r="BH395" i="30"/>
  <c r="AW366" i="30"/>
  <c r="AG380" i="29"/>
  <c r="BG246" i="29"/>
  <c r="AV236" i="29"/>
  <c r="BK246" i="29"/>
  <c r="AZ236" i="29"/>
  <c r="BF246" i="29"/>
  <c r="AU236" i="29"/>
  <c r="BM246" i="29"/>
  <c r="BB236" i="29"/>
  <c r="BM390" i="29"/>
  <c r="BB380" i="29"/>
  <c r="BB92" i="30"/>
  <c r="BE251" i="30"/>
  <c r="AT222" i="30"/>
  <c r="BD102" i="30"/>
  <c r="AI92" i="30"/>
  <c r="BF534" i="29"/>
  <c r="AU524" i="29"/>
  <c r="BL251" i="30"/>
  <c r="BA222" i="30"/>
  <c r="BJ251" i="30"/>
  <c r="AY222" i="30"/>
  <c r="BF251" i="30"/>
  <c r="AU222" i="30"/>
  <c r="BG251" i="30"/>
  <c r="AV222" i="30"/>
  <c r="BE102" i="30"/>
  <c r="AT92" i="30"/>
  <c r="AE78" i="30"/>
  <c r="BF102" i="30"/>
  <c r="AU92" i="30"/>
  <c r="BK102" i="30"/>
  <c r="AZ92" i="30"/>
  <c r="F537" i="29" a="1"/>
  <c r="F537" i="29" s="1"/>
  <c r="F538" i="29" s="1" a="1"/>
  <c r="F538" i="29" s="1"/>
  <c r="AZ536" i="29"/>
  <c r="BK536" i="29" s="1"/>
  <c r="AV536" i="29"/>
  <c r="BG536" i="29" s="1"/>
  <c r="AR536" i="29"/>
  <c r="AN536" i="29"/>
  <c r="AJ536" i="29"/>
  <c r="AF536" i="29"/>
  <c r="BC536" i="29"/>
  <c r="AY536" i="29"/>
  <c r="BJ536" i="29" s="1"/>
  <c r="AU536" i="29"/>
  <c r="BF536" i="29" s="1"/>
  <c r="AQ536" i="29"/>
  <c r="AM536" i="29"/>
  <c r="AI536" i="29"/>
  <c r="AE536" i="29"/>
  <c r="BB536" i="29"/>
  <c r="BM536" i="29" s="1"/>
  <c r="AT536" i="29"/>
  <c r="AL536" i="29"/>
  <c r="BA536" i="29"/>
  <c r="BL536" i="29" s="1"/>
  <c r="AS536" i="29"/>
  <c r="AK536" i="29"/>
  <c r="AP536" i="29"/>
  <c r="AO536" i="29"/>
  <c r="AX536" i="29"/>
  <c r="BI536" i="29" s="1"/>
  <c r="AW536" i="29"/>
  <c r="BH536" i="29" s="1"/>
  <c r="AG536" i="29"/>
  <c r="BH534" i="29"/>
  <c r="AW524" i="29"/>
  <c r="BI539" i="30"/>
  <c r="AX510" i="30"/>
  <c r="BE395" i="30"/>
  <c r="AT366" i="30"/>
  <c r="BF395" i="30"/>
  <c r="AU366" i="30"/>
  <c r="BL395" i="30"/>
  <c r="BA366" i="30"/>
  <c r="BJ246" i="29"/>
  <c r="AY236" i="29"/>
  <c r="BC248" i="29"/>
  <c r="AY248" i="29"/>
  <c r="BJ248" i="29" s="1"/>
  <c r="AU248" i="29"/>
  <c r="BF248" i="29" s="1"/>
  <c r="AQ248" i="29"/>
  <c r="AM248" i="29"/>
  <c r="AI248" i="29"/>
  <c r="BD248" i="29" s="1"/>
  <c r="AE248" i="29"/>
  <c r="BO248" i="29"/>
  <c r="BB248" i="29"/>
  <c r="BM248" i="29" s="1"/>
  <c r="AX248" i="29"/>
  <c r="BI248" i="29" s="1"/>
  <c r="AT248" i="29"/>
  <c r="BE248" i="29" s="1"/>
  <c r="AP248" i="29"/>
  <c r="AL248" i="29"/>
  <c r="BA248" i="29"/>
  <c r="BL248" i="29" s="1"/>
  <c r="AS248" i="29"/>
  <c r="AK248" i="29"/>
  <c r="AZ248" i="29"/>
  <c r="BK248" i="29" s="1"/>
  <c r="AR248" i="29"/>
  <c r="AJ248" i="29"/>
  <c r="AW248" i="29"/>
  <c r="BH248" i="29" s="1"/>
  <c r="AO248" i="29"/>
  <c r="AG248" i="29"/>
  <c r="AN248" i="29"/>
  <c r="AF248" i="29"/>
  <c r="F249" i="29" a="1"/>
  <c r="F249" i="29" s="1"/>
  <c r="F250" i="29" s="1" a="1"/>
  <c r="F250" i="29" s="1"/>
  <c r="AV248" i="29"/>
  <c r="BG248" i="29" s="1"/>
  <c r="BK390" i="29"/>
  <c r="AZ380" i="29"/>
  <c r="BD390" i="29"/>
  <c r="AI380" i="29"/>
  <c r="BF390" i="29"/>
  <c r="AU380" i="29"/>
  <c r="BG390" i="29"/>
  <c r="AV380" i="29"/>
  <c r="BE258" i="30" l="1"/>
  <c r="AH536" i="29"/>
  <c r="BE536" i="29"/>
  <c r="BE546" i="30"/>
  <c r="AH248" i="29"/>
  <c r="BF366" i="30"/>
  <c r="BE92" i="30"/>
  <c r="BF222" i="30"/>
  <c r="BG236" i="29"/>
  <c r="AH402" i="30"/>
  <c r="BE402" i="30"/>
  <c r="BL524" i="29"/>
  <c r="BK524" i="29"/>
  <c r="BD258" i="30"/>
  <c r="F260" i="30" a="1"/>
  <c r="F260" i="30" s="1"/>
  <c r="BA259" i="30"/>
  <c r="BL259" i="30" s="1"/>
  <c r="AW259" i="30"/>
  <c r="BH259" i="30" s="1"/>
  <c r="AS259" i="30"/>
  <c r="AO259" i="30"/>
  <c r="AK259" i="30"/>
  <c r="AG259" i="30"/>
  <c r="AZ259" i="30"/>
  <c r="BK259" i="30" s="1"/>
  <c r="AV259" i="30"/>
  <c r="BG259" i="30" s="1"/>
  <c r="AR259" i="30"/>
  <c r="AN259" i="30"/>
  <c r="AJ259" i="30"/>
  <c r="AF259" i="30"/>
  <c r="BC259" i="30"/>
  <c r="AY259" i="30"/>
  <c r="BJ259" i="30" s="1"/>
  <c r="AU259" i="30"/>
  <c r="BF259" i="30" s="1"/>
  <c r="AQ259" i="30"/>
  <c r="AM259" i="30"/>
  <c r="AI259" i="30"/>
  <c r="AE259" i="30"/>
  <c r="AX259" i="30"/>
  <c r="BI259" i="30" s="1"/>
  <c r="AP259" i="30"/>
  <c r="BB259" i="30"/>
  <c r="BM259" i="30" s="1"/>
  <c r="AL259" i="30"/>
  <c r="AT259" i="30"/>
  <c r="BI222" i="30"/>
  <c r="BK366" i="30"/>
  <c r="BK510" i="30"/>
  <c r="BH102" i="29"/>
  <c r="AW92" i="29"/>
  <c r="BD102" i="29"/>
  <c r="AI92" i="29"/>
  <c r="BJ102" i="29"/>
  <c r="AY92"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O104" i="29"/>
  <c r="AX104" i="29"/>
  <c r="BI104" i="29" s="1"/>
  <c r="AP104" i="29"/>
  <c r="BC104" i="29"/>
  <c r="AU104" i="29"/>
  <c r="BF104" i="29" s="1"/>
  <c r="AM104" i="29"/>
  <c r="AE104" i="29"/>
  <c r="BB104" i="29"/>
  <c r="BM104" i="29" s="1"/>
  <c r="AT104" i="29"/>
  <c r="BE104" i="29" s="1"/>
  <c r="AL104" i="29"/>
  <c r="AI104" i="29"/>
  <c r="BD104" i="29" s="1"/>
  <c r="AY104" i="29"/>
  <c r="BJ104" i="29" s="1"/>
  <c r="AQ104" i="29"/>
  <c r="AH104" i="30"/>
  <c r="BL92" i="30"/>
  <c r="BE380" i="29"/>
  <c r="BI92" i="30"/>
  <c r="BF380" i="29"/>
  <c r="BK380" i="29"/>
  <c r="BG380" i="29"/>
  <c r="BD380" i="29"/>
  <c r="F251" i="29" a="1"/>
  <c r="F251" i="29" s="1"/>
  <c r="AT250" i="29"/>
  <c r="AG250" i="29"/>
  <c r="BO250" i="29"/>
  <c r="AF250" i="29"/>
  <c r="AF249" i="29" s="1" a="1"/>
  <c r="AF249" i="29" s="1"/>
  <c r="AF222" i="29" s="1"/>
  <c r="AE250" i="29"/>
  <c r="AE249" i="29" s="1" a="1"/>
  <c r="AE249" i="29" s="1"/>
  <c r="AE222" i="29" s="1"/>
  <c r="AJ250" i="29"/>
  <c r="AJ249" i="29" s="1" a="1"/>
  <c r="AJ249" i="29" s="1"/>
  <c r="AI250" i="29"/>
  <c r="BL366" i="30"/>
  <c r="BD536" i="29"/>
  <c r="BO538" i="29"/>
  <c r="AJ538" i="29"/>
  <c r="AJ537" i="29" s="1" a="1"/>
  <c r="AJ537" i="29" s="1"/>
  <c r="AF538" i="29"/>
  <c r="AF537" i="29" s="1" a="1"/>
  <c r="AF537" i="29" s="1"/>
  <c r="AF510" i="29" s="1"/>
  <c r="AI538" i="29"/>
  <c r="AE538" i="29"/>
  <c r="AE537" i="29" s="1" a="1"/>
  <c r="AE537" i="29" s="1"/>
  <c r="AE510" i="29" s="1"/>
  <c r="F539" i="29" a="1"/>
  <c r="F539" i="29" s="1"/>
  <c r="AG538" i="29"/>
  <c r="AT538" i="29"/>
  <c r="BF92" i="30"/>
  <c r="BL222" i="30"/>
  <c r="BD92" i="30"/>
  <c r="AI78" i="30"/>
  <c r="BK236" i="29"/>
  <c r="AZ403" i="30"/>
  <c r="BK403" i="30" s="1"/>
  <c r="AV403" i="30"/>
  <c r="BG403" i="30" s="1"/>
  <c r="AR403" i="30"/>
  <c r="AN403" i="30"/>
  <c r="AJ403" i="30"/>
  <c r="AF403" i="30"/>
  <c r="BB403" i="30"/>
  <c r="BM403" i="30" s="1"/>
  <c r="AX403" i="30"/>
  <c r="BI403" i="30" s="1"/>
  <c r="AT403" i="30"/>
  <c r="AP403" i="30"/>
  <c r="AL403" i="30"/>
  <c r="AW403" i="30"/>
  <c r="BH403" i="30" s="1"/>
  <c r="AO403" i="30"/>
  <c r="AG403" i="30"/>
  <c r="AH403" i="30" s="1"/>
  <c r="BC403" i="30"/>
  <c r="AU403" i="30"/>
  <c r="BF403" i="30" s="1"/>
  <c r="AM403" i="30"/>
  <c r="AE403" i="30"/>
  <c r="F404" i="30" a="1"/>
  <c r="F404" i="30" s="1"/>
  <c r="BA403" i="30"/>
  <c r="BL403" i="30" s="1"/>
  <c r="AS403" i="30"/>
  <c r="AK403" i="30"/>
  <c r="AI403" i="30"/>
  <c r="AY403" i="30"/>
  <c r="BJ403" i="30" s="1"/>
  <c r="AQ403" i="30"/>
  <c r="BE510" i="30"/>
  <c r="BD510" i="30"/>
  <c r="BM524" i="29"/>
  <c r="BM222" i="30"/>
  <c r="AH258" i="30"/>
  <c r="BD546" i="30"/>
  <c r="AZ547" i="30"/>
  <c r="BK547" i="30" s="1"/>
  <c r="AV547" i="30"/>
  <c r="BG547" i="30" s="1"/>
  <c r="AR547" i="30"/>
  <c r="AN547" i="30"/>
  <c r="AJ547" i="30"/>
  <c r="AF547" i="30"/>
  <c r="BC547" i="30"/>
  <c r="AY547" i="30"/>
  <c r="BJ547" i="30" s="1"/>
  <c r="AU547" i="30"/>
  <c r="BF547" i="30" s="1"/>
  <c r="AQ547" i="30"/>
  <c r="AM547" i="30"/>
  <c r="AI547" i="30"/>
  <c r="AE547" i="30"/>
  <c r="BB547" i="30"/>
  <c r="BM547" i="30" s="1"/>
  <c r="AX547" i="30"/>
  <c r="BI547" i="30" s="1"/>
  <c r="AT547" i="30"/>
  <c r="AP547" i="30"/>
  <c r="AL547" i="30"/>
  <c r="AO547" i="30"/>
  <c r="F548" i="30" a="1"/>
  <c r="F548" i="30" s="1"/>
  <c r="BA547" i="30"/>
  <c r="BL547" i="30" s="1"/>
  <c r="AK547" i="30"/>
  <c r="AW547" i="30"/>
  <c r="BH547" i="30" s="1"/>
  <c r="AG547" i="30"/>
  <c r="AS547" i="30"/>
  <c r="BL380" i="29"/>
  <c r="BL236" i="29"/>
  <c r="BM510" i="30"/>
  <c r="BE102" i="29"/>
  <c r="AT92" i="29"/>
  <c r="BJ524" i="29"/>
  <c r="BI524" i="29"/>
  <c r="BE236" i="29"/>
  <c r="AH236" i="29"/>
  <c r="BI366" i="30"/>
  <c r="BJ236" i="29"/>
  <c r="BI510" i="30"/>
  <c r="BK92" i="30"/>
  <c r="BG222" i="30"/>
  <c r="BJ222" i="30"/>
  <c r="BF524" i="29"/>
  <c r="BM92" i="30"/>
  <c r="AH380" i="29"/>
  <c r="BL510" i="30"/>
  <c r="BJ510" i="30"/>
  <c r="AH524" i="29"/>
  <c r="BG92" i="30"/>
  <c r="BD236" i="29"/>
  <c r="BH510" i="30"/>
  <c r="AH102" i="29"/>
  <c r="AG92" i="29"/>
  <c r="BI102" i="29"/>
  <c r="AX92" i="29"/>
  <c r="BL102" i="29"/>
  <c r="BA92" i="29"/>
  <c r="BG102" i="29"/>
  <c r="AV92" i="29"/>
  <c r="F107" i="30" a="1"/>
  <c r="F107" i="30" s="1"/>
  <c r="BO106" i="30"/>
  <c r="BK222" i="30"/>
  <c r="BH222" i="30"/>
  <c r="BE366" i="30"/>
  <c r="BD366" i="30"/>
  <c r="BH524" i="29"/>
  <c r="BE222" i="30"/>
  <c r="BD222" i="30"/>
  <c r="BM380" i="29"/>
  <c r="BM236" i="29"/>
  <c r="BF236" i="29"/>
  <c r="BH366" i="30"/>
  <c r="BD402" i="30"/>
  <c r="BG366" i="30"/>
  <c r="BH92" i="30"/>
  <c r="BM366" i="30"/>
  <c r="AH546" i="30"/>
  <c r="BJ92" i="30"/>
  <c r="BI380" i="29"/>
  <c r="BI236" i="29"/>
  <c r="BF510" i="30"/>
  <c r="BM102" i="29"/>
  <c r="BB92" i="29"/>
  <c r="BF102" i="29"/>
  <c r="AU92" i="29"/>
  <c r="BK102" i="29"/>
  <c r="AZ92" i="29"/>
  <c r="BD524" i="29"/>
  <c r="BG524" i="29"/>
  <c r="AH92" i="30"/>
  <c r="AG78" i="30"/>
  <c r="BE524" i="29"/>
  <c r="F395" i="29" a="1"/>
  <c r="F395" i="29" s="1"/>
  <c r="AT394" i="29"/>
  <c r="AG394" i="29"/>
  <c r="AI394" i="29"/>
  <c r="BO394" i="29"/>
  <c r="AF394" i="29"/>
  <c r="AF393" i="29" s="1" a="1"/>
  <c r="AF393" i="29" s="1"/>
  <c r="AF366" i="29" s="1"/>
  <c r="AJ394" i="29"/>
  <c r="AJ393" i="29" s="1" a="1"/>
  <c r="AJ393" i="29" s="1"/>
  <c r="AE394" i="29"/>
  <c r="AE393" i="29" s="1" a="1"/>
  <c r="AE393" i="29" s="1"/>
  <c r="AE366" i="29" s="1"/>
  <c r="BH236" i="29"/>
  <c r="BJ366" i="30"/>
  <c r="BG510" i="30"/>
  <c r="AH547" i="30" l="1"/>
  <c r="BE259" i="30"/>
  <c r="AH104" i="29"/>
  <c r="BE403" i="30"/>
  <c r="BD259" i="30"/>
  <c r="AH259" i="30"/>
  <c r="BD394" i="29"/>
  <c r="AI393" i="29" a="1"/>
  <c r="AI393" i="29" s="1"/>
  <c r="BK92" i="29"/>
  <c r="BI92" i="29"/>
  <c r="BE92" i="29"/>
  <c r="BD250" i="29"/>
  <c r="AI249" i="29" a="1"/>
  <c r="AI249" i="29" s="1"/>
  <c r="BH92" i="29"/>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AS107" i="30"/>
  <c r="AS78" i="30" s="1"/>
  <c r="AO107" i="30"/>
  <c r="AO78" i="30" s="1"/>
  <c r="BA107" i="30"/>
  <c r="AW107" i="30"/>
  <c r="AK107" i="30"/>
  <c r="AK78" i="30" s="1"/>
  <c r="BC548" i="30"/>
  <c r="AY548" i="30"/>
  <c r="BJ548" i="30" s="1"/>
  <c r="AU548" i="30"/>
  <c r="BF548" i="30" s="1"/>
  <c r="AQ548" i="30"/>
  <c r="AM548" i="30"/>
  <c r="AI548" i="30"/>
  <c r="BD548" i="30" s="1"/>
  <c r="AE548" i="30"/>
  <c r="BB548" i="30"/>
  <c r="BM548" i="30" s="1"/>
  <c r="AX548" i="30"/>
  <c r="BI548" i="30" s="1"/>
  <c r="AT548" i="30"/>
  <c r="BE548" i="30" s="1"/>
  <c r="AP548" i="30"/>
  <c r="AL548" i="30"/>
  <c r="F549" i="30" a="1"/>
  <c r="F549" i="30" s="1"/>
  <c r="F550" i="30" s="1" a="1"/>
  <c r="F550" i="30" s="1"/>
  <c r="BA548" i="30"/>
  <c r="BL548" i="30" s="1"/>
  <c r="AW548" i="30"/>
  <c r="BH548" i="30" s="1"/>
  <c r="AS548" i="30"/>
  <c r="AO548" i="30"/>
  <c r="AK548" i="30"/>
  <c r="AG548" i="30"/>
  <c r="AV548" i="30"/>
  <c r="BG548" i="30" s="1"/>
  <c r="AF548" i="30"/>
  <c r="AR548" i="30"/>
  <c r="AN548" i="30"/>
  <c r="AZ548" i="30"/>
  <c r="BK548" i="30" s="1"/>
  <c r="AJ548" i="30"/>
  <c r="BE547" i="30"/>
  <c r="BD547" i="30"/>
  <c r="BE538" i="29"/>
  <c r="AT537" i="29" a="1"/>
  <c r="AT537" i="29" s="1"/>
  <c r="AI537" i="29" a="1"/>
  <c r="AI537" i="29" s="1"/>
  <c r="BD538" i="29"/>
  <c r="AH250" i="29"/>
  <c r="AG249" i="29" a="1"/>
  <c r="AG249" i="29" s="1"/>
  <c r="BO106" i="29"/>
  <c r="AJ106" i="29"/>
  <c r="AJ105" i="29" s="1" a="1"/>
  <c r="AJ105" i="29" s="1"/>
  <c r="AF106" i="29"/>
  <c r="AF105" i="29" s="1" a="1"/>
  <c r="AF105" i="29" s="1"/>
  <c r="AF78" i="29" s="1"/>
  <c r="AI106" i="29"/>
  <c r="AE106" i="29"/>
  <c r="AE105" i="29" s="1" a="1"/>
  <c r="AE105" i="29" s="1"/>
  <c r="AE78" i="29" s="1"/>
  <c r="AT106" i="29"/>
  <c r="F107" i="29" a="1"/>
  <c r="F107" i="29" s="1"/>
  <c r="AG106" i="29"/>
  <c r="BD92" i="29"/>
  <c r="AH394" i="29"/>
  <c r="AG393" i="29" a="1"/>
  <c r="AG393" i="29" s="1"/>
  <c r="AT393" i="29" a="1"/>
  <c r="AT393" i="29" s="1"/>
  <c r="BE394" i="29"/>
  <c r="AH78" i="30"/>
  <c r="BG92" i="29"/>
  <c r="BL92" i="29"/>
  <c r="AH92" i="29"/>
  <c r="BD403" i="30"/>
  <c r="BC404" i="30"/>
  <c r="AY404" i="30"/>
  <c r="BJ404" i="30" s="1"/>
  <c r="AU404" i="30"/>
  <c r="BF404" i="30" s="1"/>
  <c r="AQ404" i="30"/>
  <c r="AM404" i="30"/>
  <c r="AI404" i="30"/>
  <c r="BD404" i="30" s="1"/>
  <c r="AE404" i="30"/>
  <c r="F405" i="30" a="1"/>
  <c r="F405" i="30" s="1"/>
  <c r="F406" i="30" s="1" a="1"/>
  <c r="F406" i="30" s="1"/>
  <c r="BA404" i="30"/>
  <c r="BL404" i="30" s="1"/>
  <c r="AW404" i="30"/>
  <c r="BH404" i="30" s="1"/>
  <c r="AS404" i="30"/>
  <c r="AO404" i="30"/>
  <c r="AK404" i="30"/>
  <c r="AG404" i="30"/>
  <c r="AV404" i="30"/>
  <c r="BG404" i="30" s="1"/>
  <c r="AN404" i="30"/>
  <c r="AF404" i="30"/>
  <c r="BB404" i="30"/>
  <c r="BM404" i="30" s="1"/>
  <c r="AT404" i="30"/>
  <c r="BE404" i="30" s="1"/>
  <c r="AL404" i="30"/>
  <c r="AZ404" i="30"/>
  <c r="BK404" i="30" s="1"/>
  <c r="AR404" i="30"/>
  <c r="AJ404" i="30"/>
  <c r="AX404" i="30"/>
  <c r="BI404" i="30" s="1"/>
  <c r="AP404" i="30"/>
  <c r="AG537" i="29" a="1"/>
  <c r="AG537" i="29" s="1"/>
  <c r="AH538" i="29"/>
  <c r="AT249" i="29" a="1"/>
  <c r="AT249" i="29" s="1"/>
  <c r="BE250" i="29"/>
  <c r="BB260" i="30"/>
  <c r="BM260" i="30" s="1"/>
  <c r="AX260" i="30"/>
  <c r="BI260" i="30" s="1"/>
  <c r="AT260" i="30"/>
  <c r="BE260" i="30" s="1"/>
  <c r="AP260" i="30"/>
  <c r="AL260" i="30"/>
  <c r="AZ260" i="30"/>
  <c r="BK260" i="30" s="1"/>
  <c r="AV260" i="30"/>
  <c r="BG260" i="30" s="1"/>
  <c r="AR260" i="30"/>
  <c r="AN260" i="30"/>
  <c r="AJ260" i="30"/>
  <c r="AF260" i="30"/>
  <c r="AY260" i="30"/>
  <c r="BJ260" i="30" s="1"/>
  <c r="AQ260" i="30"/>
  <c r="AI260" i="30"/>
  <c r="BD260" i="30" s="1"/>
  <c r="AW260" i="30"/>
  <c r="BH260" i="30" s="1"/>
  <c r="AO260" i="30"/>
  <c r="AG260" i="30"/>
  <c r="BC260" i="30"/>
  <c r="AU260" i="30"/>
  <c r="BF260" i="30" s="1"/>
  <c r="AM260" i="30"/>
  <c r="AE260" i="30"/>
  <c r="BA260" i="30"/>
  <c r="BL260" i="30" s="1"/>
  <c r="F261" i="30" a="1"/>
  <c r="F261" i="30" s="1"/>
  <c r="F262" i="30" s="1" a="1"/>
  <c r="F262" i="30" s="1"/>
  <c r="AK260" i="30"/>
  <c r="AS260" i="30"/>
  <c r="AZ395" i="29"/>
  <c r="AV395" i="29"/>
  <c r="AR395" i="29"/>
  <c r="AR366" i="29" s="1"/>
  <c r="AN395" i="29"/>
  <c r="AN366" i="29" s="1"/>
  <c r="AJ395" i="29"/>
  <c r="AJ366" i="29" s="1"/>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T395" i="29"/>
  <c r="BE395" i="29" s="1"/>
  <c r="AL395" i="29"/>
  <c r="AL366" i="29" s="1"/>
  <c r="BA395" i="29"/>
  <c r="AS395" i="29"/>
  <c r="AS366" i="29" s="1"/>
  <c r="AK395" i="29"/>
  <c r="AK366" i="29" s="1"/>
  <c r="AO395" i="29"/>
  <c r="AO366" i="29" s="1"/>
  <c r="AX395" i="29"/>
  <c r="AW395" i="29"/>
  <c r="AP395" i="29"/>
  <c r="AP366" i="29" s="1"/>
  <c r="BF92" i="29"/>
  <c r="BM92" i="29"/>
  <c r="BD78" i="30"/>
  <c r="BB539" i="29"/>
  <c r="AX539" i="29"/>
  <c r="AT539" i="29"/>
  <c r="BE539" i="29" s="1"/>
  <c r="AP539" i="29"/>
  <c r="AP510" i="29" s="1"/>
  <c r="AL539" i="29"/>
  <c r="AL510" i="29" s="1"/>
  <c r="BA539" i="29"/>
  <c r="AW539" i="29"/>
  <c r="AS539" i="29"/>
  <c r="AS510" i="29" s="1"/>
  <c r="AO539" i="29"/>
  <c r="AO510" i="29" s="1"/>
  <c r="AK539" i="29"/>
  <c r="AK510" i="29" s="1"/>
  <c r="AV539" i="29"/>
  <c r="AN539" i="29"/>
  <c r="AN510" i="29" s="1"/>
  <c r="BC539" i="29"/>
  <c r="BC510" i="29" s="1"/>
  <c r="AU539" i="29"/>
  <c r="AM539" i="29"/>
  <c r="AM510" i="29" s="1"/>
  <c r="AR539" i="29"/>
  <c r="AR510" i="29" s="1"/>
  <c r="AQ539" i="29"/>
  <c r="AQ510" i="29" s="1"/>
  <c r="F540" i="29" a="1"/>
  <c r="F540" i="29" s="1"/>
  <c r="F541" i="29" s="1" a="1"/>
  <c r="F541" i="29" s="1"/>
  <c r="F542" i="29" s="1" a="1"/>
  <c r="F542" i="29" s="1"/>
  <c r="F543" i="29" s="1" a="1"/>
  <c r="F543" i="29" s="1"/>
  <c r="F544" i="29" s="1" a="1"/>
  <c r="F544" i="29" s="1"/>
  <c r="F545" i="29" s="1" a="1"/>
  <c r="F545" i="29" s="1"/>
  <c r="F546" i="29" s="1" a="1"/>
  <c r="F546" i="29" s="1"/>
  <c r="AZ539" i="29"/>
  <c r="AJ539" i="29"/>
  <c r="AJ510" i="29" s="1"/>
  <c r="AY539" i="29"/>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A251" i="29"/>
  <c r="AS251" i="29"/>
  <c r="AS222" i="29" s="1"/>
  <c r="AK251" i="29"/>
  <c r="AK222" i="29" s="1"/>
  <c r="AX251" i="29"/>
  <c r="AP251" i="29"/>
  <c r="AP222" i="29" s="1"/>
  <c r="AW251" i="29"/>
  <c r="AO251" i="29"/>
  <c r="AO222" i="29" s="1"/>
  <c r="AL251" i="29"/>
  <c r="AL222" i="29" s="1"/>
  <c r="BB251" i="29"/>
  <c r="AT251" i="29"/>
  <c r="BE251" i="29" s="1"/>
  <c r="BJ92" i="29"/>
  <c r="AH260" i="30" l="1"/>
  <c r="AH548" i="30"/>
  <c r="BC258" i="29"/>
  <c r="AY258" i="29"/>
  <c r="BJ258" i="29" s="1"/>
  <c r="AU258" i="29"/>
  <c r="BF258" i="29" s="1"/>
  <c r="AQ258" i="29"/>
  <c r="AM258" i="29"/>
  <c r="AI258" i="29"/>
  <c r="AE258" i="29"/>
  <c r="BB258" i="29"/>
  <c r="BM258" i="29" s="1"/>
  <c r="AX258" i="29"/>
  <c r="BI258" i="29" s="1"/>
  <c r="AT258" i="29"/>
  <c r="AP258" i="29"/>
  <c r="AL258" i="29"/>
  <c r="F259" i="29" a="1"/>
  <c r="F259" i="29" s="1"/>
  <c r="BA258" i="29"/>
  <c r="BL258" i="29" s="1"/>
  <c r="AS258" i="29"/>
  <c r="AK258" i="29"/>
  <c r="AZ258" i="29"/>
  <c r="BK258" i="29" s="1"/>
  <c r="AR258" i="29"/>
  <c r="AJ258" i="29"/>
  <c r="AW258" i="29"/>
  <c r="BH258" i="29" s="1"/>
  <c r="AO258" i="29"/>
  <c r="AG258" i="29"/>
  <c r="AV258" i="29"/>
  <c r="BG258" i="29" s="1"/>
  <c r="AN258" i="29"/>
  <c r="AF258" i="29"/>
  <c r="BK539" i="29"/>
  <c r="AZ510" i="29"/>
  <c r="BG539" i="29"/>
  <c r="AV510" i="29"/>
  <c r="BH251" i="29"/>
  <c r="AW222" i="29"/>
  <c r="BF251" i="29"/>
  <c r="AU222" i="29"/>
  <c r="BK251" i="29"/>
  <c r="AZ222" i="29"/>
  <c r="BA546" i="29"/>
  <c r="BL546" i="29" s="1"/>
  <c r="AW546" i="29"/>
  <c r="BH546" i="29" s="1"/>
  <c r="AS546" i="29"/>
  <c r="AO546" i="29"/>
  <c r="AK546" i="29"/>
  <c r="AG546" i="29"/>
  <c r="F547" i="29" a="1"/>
  <c r="F547" i="29" s="1"/>
  <c r="AZ546" i="29"/>
  <c r="BK546" i="29" s="1"/>
  <c r="AV546" i="29"/>
  <c r="BG546" i="29" s="1"/>
  <c r="AR546" i="29"/>
  <c r="AN546" i="29"/>
  <c r="AJ546" i="29"/>
  <c r="AF546" i="29"/>
  <c r="AX546" i="29"/>
  <c r="BI546" i="29" s="1"/>
  <c r="AP546" i="29"/>
  <c r="BC546" i="29"/>
  <c r="AU546" i="29"/>
  <c r="BF546" i="29" s="1"/>
  <c r="AM546" i="29"/>
  <c r="AE546" i="29"/>
  <c r="AY546" i="29"/>
  <c r="BJ546" i="29" s="1"/>
  <c r="AI546" i="29"/>
  <c r="AT546" i="29"/>
  <c r="AQ546" i="29"/>
  <c r="BB546" i="29"/>
  <c r="BM546" i="29" s="1"/>
  <c r="AL546" i="29"/>
  <c r="BF539" i="29"/>
  <c r="AU510" i="29"/>
  <c r="BL539" i="29"/>
  <c r="BA510" i="29"/>
  <c r="BI539" i="29"/>
  <c r="AX510" i="29"/>
  <c r="BC402" i="29"/>
  <c r="AY402" i="29"/>
  <c r="BJ402" i="29" s="1"/>
  <c r="AU402" i="29"/>
  <c r="BF402" i="29" s="1"/>
  <c r="AQ402" i="29"/>
  <c r="AM402" i="29"/>
  <c r="AI402" i="29"/>
  <c r="AE402" i="29"/>
  <c r="BB402" i="29"/>
  <c r="BM402" i="29" s="1"/>
  <c r="AX402" i="29"/>
  <c r="BI402" i="29" s="1"/>
  <c r="AT402" i="29"/>
  <c r="AP402" i="29"/>
  <c r="AL402" i="29"/>
  <c r="AZ402" i="29"/>
  <c r="BK402" i="29" s="1"/>
  <c r="AR402" i="29"/>
  <c r="AJ402" i="29"/>
  <c r="AW402" i="29"/>
  <c r="BH402" i="29" s="1"/>
  <c r="AO402" i="29"/>
  <c r="AG402" i="29"/>
  <c r="BA402" i="29"/>
  <c r="BL402" i="29" s="1"/>
  <c r="AK402" i="29"/>
  <c r="AV402" i="29"/>
  <c r="BG402" i="29" s="1"/>
  <c r="AF402" i="29"/>
  <c r="AS402" i="29"/>
  <c r="F403" i="29" a="1"/>
  <c r="F403" i="29" s="1"/>
  <c r="AN402" i="29"/>
  <c r="BG395" i="29"/>
  <c r="AV366" i="29"/>
  <c r="AZ262" i="30"/>
  <c r="AV262" i="30"/>
  <c r="AR262" i="30"/>
  <c r="AN262" i="30"/>
  <c r="AJ262" i="30"/>
  <c r="AF262" i="30"/>
  <c r="F263" i="30" a="1"/>
  <c r="F263" i="30" s="1"/>
  <c r="BO262" i="30"/>
  <c r="BB262" i="30"/>
  <c r="AX262" i="30"/>
  <c r="AT262" i="30"/>
  <c r="AP262" i="30"/>
  <c r="AL262" i="30"/>
  <c r="AW262" i="30"/>
  <c r="AO262" i="30"/>
  <c r="AG262" i="30"/>
  <c r="BC262" i="30"/>
  <c r="AU262" i="30"/>
  <c r="AM262" i="30"/>
  <c r="AE262" i="30"/>
  <c r="BA262" i="30"/>
  <c r="AS262" i="30"/>
  <c r="AK262" i="30"/>
  <c r="AI262" i="30"/>
  <c r="AY262" i="30"/>
  <c r="AQ262" i="30"/>
  <c r="BA406" i="30"/>
  <c r="AW406" i="30"/>
  <c r="AS406" i="30"/>
  <c r="AO406" i="30"/>
  <c r="AK406" i="30"/>
  <c r="AG406" i="30"/>
  <c r="BC406" i="30"/>
  <c r="AY406" i="30"/>
  <c r="AU406" i="30"/>
  <c r="AQ406" i="30"/>
  <c r="AM406" i="30"/>
  <c r="AI406" i="30"/>
  <c r="AE406" i="30"/>
  <c r="F407" i="30" a="1"/>
  <c r="F407" i="30" s="1"/>
  <c r="BB406" i="30"/>
  <c r="AT406" i="30"/>
  <c r="AL406" i="30"/>
  <c r="AZ406" i="30"/>
  <c r="AR406" i="30"/>
  <c r="AJ406" i="30"/>
  <c r="BO406" i="30"/>
  <c r="AX406" i="30"/>
  <c r="AP406" i="30"/>
  <c r="AN406" i="30"/>
  <c r="AF406" i="30"/>
  <c r="AV406" i="30"/>
  <c r="BE393" i="29"/>
  <c r="AT366" i="29"/>
  <c r="BB107" i="29"/>
  <c r="AX107" i="29"/>
  <c r="AT107" i="29"/>
  <c r="BE107" i="29" s="1"/>
  <c r="AP107" i="29"/>
  <c r="AP78" i="29" s="1"/>
  <c r="AL107" i="29"/>
  <c r="AL78" i="29" s="1"/>
  <c r="BA107" i="29"/>
  <c r="AW107" i="29"/>
  <c r="AS107" i="29"/>
  <c r="AS78" i="29" s="1"/>
  <c r="AO107" i="29"/>
  <c r="AO78" i="29" s="1"/>
  <c r="AK107" i="29"/>
  <c r="AK78" i="29" s="1"/>
  <c r="F108" i="29" a="1"/>
  <c r="F108" i="29" s="1"/>
  <c r="F109" i="29" s="1" a="1"/>
  <c r="F109" i="29" s="1"/>
  <c r="F110" i="29" s="1" a="1"/>
  <c r="F110" i="29" s="1"/>
  <c r="F111" i="29" s="1" a="1"/>
  <c r="F111" i="29" s="1"/>
  <c r="F112" i="29" s="1" a="1"/>
  <c r="F112" i="29" s="1"/>
  <c r="F113" i="29" s="1" a="1"/>
  <c r="F113" i="29" s="1"/>
  <c r="F114" i="29" s="1" a="1"/>
  <c r="F114" i="29" s="1"/>
  <c r="AY107" i="29"/>
  <c r="AQ107" i="29"/>
  <c r="AQ78" i="29" s="1"/>
  <c r="AV107" i="29"/>
  <c r="AN107" i="29"/>
  <c r="AN78" i="29" s="1"/>
  <c r="BC107" i="29"/>
  <c r="BC78" i="29" s="1"/>
  <c r="AU107" i="29"/>
  <c r="AM107" i="29"/>
  <c r="AM78" i="29" s="1"/>
  <c r="AJ107" i="29"/>
  <c r="AJ78" i="29" s="1"/>
  <c r="AZ107" i="29"/>
  <c r="AR107" i="29"/>
  <c r="AR78" i="29" s="1"/>
  <c r="BL107" i="30"/>
  <c r="BA78" i="30"/>
  <c r="BD249" i="29"/>
  <c r="AI222" i="29"/>
  <c r="BM251" i="29"/>
  <c r="BB222" i="29"/>
  <c r="BJ539" i="29"/>
  <c r="AY510" i="29"/>
  <c r="BM539" i="29"/>
  <c r="BB510" i="29"/>
  <c r="BF395" i="29"/>
  <c r="AU366" i="29"/>
  <c r="BK395" i="29"/>
  <c r="AZ366" i="29"/>
  <c r="BE249" i="29"/>
  <c r="AT222" i="29"/>
  <c r="AH537" i="29"/>
  <c r="AG510" i="29"/>
  <c r="BE106" i="29"/>
  <c r="AT105" i="29" a="1"/>
  <c r="AT105" i="29" s="1"/>
  <c r="BA550" i="30"/>
  <c r="AW550" i="30"/>
  <c r="AS550" i="30"/>
  <c r="AO550" i="30"/>
  <c r="AK550" i="30"/>
  <c r="AG550" i="30"/>
  <c r="AZ550" i="30"/>
  <c r="AV550" i="30"/>
  <c r="AR550" i="30"/>
  <c r="AN550" i="30"/>
  <c r="AJ550" i="30"/>
  <c r="AF550" i="30"/>
  <c r="BC550" i="30"/>
  <c r="AY550" i="30"/>
  <c r="AU550" i="30"/>
  <c r="AQ550" i="30"/>
  <c r="AM550" i="30"/>
  <c r="AI550" i="30"/>
  <c r="AE550" i="30"/>
  <c r="AT550" i="30"/>
  <c r="AP550" i="30"/>
  <c r="F551" i="30" a="1"/>
  <c r="F551" i="30" s="1"/>
  <c r="BB550" i="30"/>
  <c r="AL550" i="30"/>
  <c r="BO550" i="30"/>
  <c r="AX550" i="30"/>
  <c r="BE107" i="30"/>
  <c r="AT78"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AN114" i="30"/>
  <c r="AZ114" i="30"/>
  <c r="BK114" i="30" s="1"/>
  <c r="AJ114" i="30"/>
  <c r="AR114" i="30"/>
  <c r="AF114" i="30"/>
  <c r="AV114" i="30"/>
  <c r="BG114" i="30" s="1"/>
  <c r="BG107" i="30"/>
  <c r="AV78" i="30"/>
  <c r="BD393" i="29"/>
  <c r="AI366" i="29"/>
  <c r="BJ251" i="29"/>
  <c r="AY222" i="29"/>
  <c r="BI251" i="29"/>
  <c r="AX222" i="29"/>
  <c r="BH395" i="29"/>
  <c r="AW366" i="29"/>
  <c r="BM395" i="29"/>
  <c r="BB366" i="29"/>
  <c r="BJ395" i="29"/>
  <c r="AY366" i="29"/>
  <c r="AH404" i="30"/>
  <c r="AH393" i="29"/>
  <c r="AG366" i="29"/>
  <c r="BD537" i="29"/>
  <c r="AI510" i="29"/>
  <c r="BI107" i="30"/>
  <c r="AX78" i="30"/>
  <c r="BF107" i="30"/>
  <c r="AU78" i="30"/>
  <c r="BK107" i="30"/>
  <c r="AZ78" i="30"/>
  <c r="BL251" i="29"/>
  <c r="BA222" i="29"/>
  <c r="BG251" i="29"/>
  <c r="AV222" i="29"/>
  <c r="BH539" i="29"/>
  <c r="AW510" i="29"/>
  <c r="BI395" i="29"/>
  <c r="AX366" i="29"/>
  <c r="BL395" i="29"/>
  <c r="BA366" i="29"/>
  <c r="AG105" i="29" a="1"/>
  <c r="AG105" i="29" s="1"/>
  <c r="AH106" i="29"/>
  <c r="AI105" i="29" a="1"/>
  <c r="AI105" i="29" s="1"/>
  <c r="BD106" i="29"/>
  <c r="AH249" i="29"/>
  <c r="AG222" i="29"/>
  <c r="BE537" i="29"/>
  <c r="AT510" i="29"/>
  <c r="BH107" i="30"/>
  <c r="AW78" i="30"/>
  <c r="BM107" i="30"/>
  <c r="BB78" i="30"/>
  <c r="BJ107" i="30"/>
  <c r="AY78" i="30"/>
  <c r="BE402" i="29" l="1"/>
  <c r="BE258" i="29"/>
  <c r="BD546" i="29"/>
  <c r="BE546" i="29"/>
  <c r="BD105" i="29"/>
  <c r="AI78" i="29"/>
  <c r="AH366" i="29"/>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AQ115" i="30"/>
  <c r="BC115" i="30"/>
  <c r="AM115" i="30"/>
  <c r="AY115" i="30"/>
  <c r="BJ115" i="30" s="1"/>
  <c r="AU115" i="30"/>
  <c r="BF115" i="30" s="1"/>
  <c r="AI115" i="30"/>
  <c r="BD115" i="30" s="1"/>
  <c r="AE115" i="30"/>
  <c r="BH78" i="30"/>
  <c r="AH222" i="29"/>
  <c r="BG222" i="29"/>
  <c r="BI78" i="30"/>
  <c r="BD510" i="29"/>
  <c r="BH366" i="29"/>
  <c r="BM550" i="30"/>
  <c r="BF550" i="30"/>
  <c r="BK550" i="30"/>
  <c r="BE105" i="29"/>
  <c r="AT78" i="29"/>
  <c r="BE222" i="29"/>
  <c r="BF366" i="29"/>
  <c r="BM510" i="29"/>
  <c r="BF107" i="29"/>
  <c r="AU78" i="29"/>
  <c r="BM107" i="29"/>
  <c r="BB78" i="29"/>
  <c r="BF406" i="30"/>
  <c r="BL406" i="30"/>
  <c r="BE262" i="30"/>
  <c r="F264" i="30" a="1"/>
  <c r="F264" i="30" s="1"/>
  <c r="BO263" i="30"/>
  <c r="BB263" i="30"/>
  <c r="BM263" i="30" s="1"/>
  <c r="AX263" i="30"/>
  <c r="BI263" i="30" s="1"/>
  <c r="AT263" i="30"/>
  <c r="BE263" i="30" s="1"/>
  <c r="AP263" i="30"/>
  <c r="AL263" i="30"/>
  <c r="AZ263" i="30"/>
  <c r="BK263" i="30" s="1"/>
  <c r="AV263" i="30"/>
  <c r="BG263" i="30" s="1"/>
  <c r="AR263" i="30"/>
  <c r="AN263" i="30"/>
  <c r="AJ263" i="30"/>
  <c r="AF263" i="30"/>
  <c r="BC263" i="30"/>
  <c r="AU263" i="30"/>
  <c r="BF263" i="30" s="1"/>
  <c r="AM263" i="30"/>
  <c r="AE263" i="30"/>
  <c r="BA263" i="30"/>
  <c r="BL263" i="30" s="1"/>
  <c r="AS263" i="30"/>
  <c r="AK263" i="30"/>
  <c r="AY263" i="30"/>
  <c r="BJ263" i="30" s="1"/>
  <c r="AQ263" i="30"/>
  <c r="AI263" i="30"/>
  <c r="BD263" i="30" s="1"/>
  <c r="AO263" i="30"/>
  <c r="AG263" i="30"/>
  <c r="AH263" i="30" s="1"/>
  <c r="AW263" i="30"/>
  <c r="BH263" i="30" s="1"/>
  <c r="AH402" i="29"/>
  <c r="BD402" i="29"/>
  <c r="BG510" i="29"/>
  <c r="BC259" i="29"/>
  <c r="AY259" i="29"/>
  <c r="BJ259" i="29" s="1"/>
  <c r="AU259" i="29"/>
  <c r="BF259" i="29" s="1"/>
  <c r="AQ259" i="29"/>
  <c r="AM259" i="29"/>
  <c r="AI259" i="29"/>
  <c r="AE259" i="29"/>
  <c r="BB259" i="29"/>
  <c r="BM259" i="29" s="1"/>
  <c r="AX259" i="29"/>
  <c r="BI259" i="29" s="1"/>
  <c r="AT259" i="29"/>
  <c r="AP259" i="29"/>
  <c r="AL259" i="29"/>
  <c r="AZ259" i="29"/>
  <c r="BK259" i="29" s="1"/>
  <c r="AR259" i="29"/>
  <c r="AJ259" i="29"/>
  <c r="AW259" i="29"/>
  <c r="BH259" i="29" s="1"/>
  <c r="AO259" i="29"/>
  <c r="AG259" i="29"/>
  <c r="AV259" i="29"/>
  <c r="BG259" i="29" s="1"/>
  <c r="AN259" i="29"/>
  <c r="AF259" i="29"/>
  <c r="BA259" i="29"/>
  <c r="BL259" i="29" s="1"/>
  <c r="AS259" i="29"/>
  <c r="F260" i="29" a="1"/>
  <c r="F260" i="29" s="1"/>
  <c r="AK259" i="29"/>
  <c r="BJ78" i="30"/>
  <c r="BI366" i="29"/>
  <c r="BK78" i="30"/>
  <c r="BJ366" i="29"/>
  <c r="BI222" i="29"/>
  <c r="BD366" i="29"/>
  <c r="BM78" i="30"/>
  <c r="BL366" i="29"/>
  <c r="BL222" i="29"/>
  <c r="BJ222" i="29"/>
  <c r="BG78" i="30"/>
  <c r="AH114" i="30"/>
  <c r="BI550" i="30"/>
  <c r="BC551" i="30"/>
  <c r="AY551" i="30"/>
  <c r="BJ551" i="30" s="1"/>
  <c r="AU551" i="30"/>
  <c r="BF551" i="30" s="1"/>
  <c r="AQ551" i="30"/>
  <c r="AM551" i="30"/>
  <c r="AI551" i="30"/>
  <c r="BD551" i="30" s="1"/>
  <c r="AE551" i="30"/>
  <c r="F552" i="30" a="1"/>
  <c r="F552" i="30" s="1"/>
  <c r="BO551" i="30"/>
  <c r="BB551" i="30"/>
  <c r="BM551" i="30" s="1"/>
  <c r="AX551" i="30"/>
  <c r="BI551" i="30" s="1"/>
  <c r="AT551" i="30"/>
  <c r="BE551" i="30" s="1"/>
  <c r="AP551" i="30"/>
  <c r="AL551" i="30"/>
  <c r="BA551" i="30"/>
  <c r="BL551" i="30" s="1"/>
  <c r="AW551" i="30"/>
  <c r="BH551" i="30" s="1"/>
  <c r="AS551" i="30"/>
  <c r="AO551" i="30"/>
  <c r="AK551" i="30"/>
  <c r="AG551" i="30"/>
  <c r="AZ551" i="30"/>
  <c r="BK551" i="30" s="1"/>
  <c r="AJ551" i="30"/>
  <c r="AV551" i="30"/>
  <c r="BG551" i="30" s="1"/>
  <c r="AF551" i="30"/>
  <c r="AR551" i="30"/>
  <c r="AN551" i="30"/>
  <c r="BD550" i="30"/>
  <c r="BJ550" i="30"/>
  <c r="AH550" i="30"/>
  <c r="BH550" i="30"/>
  <c r="BM222" i="29"/>
  <c r="BL78" i="30"/>
  <c r="BK107" i="29"/>
  <c r="AZ78" i="29"/>
  <c r="BJ107" i="29"/>
  <c r="AY78" i="29"/>
  <c r="BE366" i="29"/>
  <c r="BE406" i="30"/>
  <c r="BD406" i="30"/>
  <c r="BJ406" i="30"/>
  <c r="BF262" i="30"/>
  <c r="BH262" i="30"/>
  <c r="BI262" i="30"/>
  <c r="BG262" i="30"/>
  <c r="BI510" i="29"/>
  <c r="BK222" i="29"/>
  <c r="AH105" i="29"/>
  <c r="AG78" i="29"/>
  <c r="BH510" i="29"/>
  <c r="BM366" i="29"/>
  <c r="BE510" i="29"/>
  <c r="BF78" i="30"/>
  <c r="BE78" i="30"/>
  <c r="BL550" i="30"/>
  <c r="AH510" i="29"/>
  <c r="BK366" i="29"/>
  <c r="BJ510" i="29"/>
  <c r="F115" i="29" a="1"/>
  <c r="F115" i="29" s="1"/>
  <c r="BA114" i="29"/>
  <c r="BL114" i="29" s="1"/>
  <c r="AW114" i="29"/>
  <c r="BH114" i="29" s="1"/>
  <c r="AS114" i="29"/>
  <c r="AO114" i="29"/>
  <c r="AK114" i="29"/>
  <c r="AG114" i="29"/>
  <c r="AZ114" i="29"/>
  <c r="BK114" i="29" s="1"/>
  <c r="AV114" i="29"/>
  <c r="BG114" i="29" s="1"/>
  <c r="AR114" i="29"/>
  <c r="AN114" i="29"/>
  <c r="AJ114" i="29"/>
  <c r="AF114" i="29"/>
  <c r="BC114" i="29"/>
  <c r="AU114" i="29"/>
  <c r="BF114" i="29" s="1"/>
  <c r="AM114" i="29"/>
  <c r="AE114" i="29"/>
  <c r="BB114" i="29"/>
  <c r="BM114" i="29" s="1"/>
  <c r="AT114" i="29"/>
  <c r="BE114" i="29" s="1"/>
  <c r="AL114" i="29"/>
  <c r="AY114" i="29"/>
  <c r="BJ114" i="29" s="1"/>
  <c r="AQ114" i="29"/>
  <c r="AI114" i="29"/>
  <c r="BD114" i="29" s="1"/>
  <c r="AX114" i="29"/>
  <c r="BI114" i="29" s="1"/>
  <c r="AP114" i="29"/>
  <c r="BO114" i="29"/>
  <c r="BH107" i="29"/>
  <c r="AW78" i="29"/>
  <c r="BM406" i="30"/>
  <c r="BJ262" i="30"/>
  <c r="BL262" i="30"/>
  <c r="BM262" i="30"/>
  <c r="BK262" i="30"/>
  <c r="BC403" i="29"/>
  <c r="AY403" i="29"/>
  <c r="BJ403" i="29" s="1"/>
  <c r="AU403" i="29"/>
  <c r="BF403" i="29" s="1"/>
  <c r="AQ403" i="29"/>
  <c r="AM403" i="29"/>
  <c r="AI403" i="29"/>
  <c r="AE403" i="29"/>
  <c r="BB403" i="29"/>
  <c r="BM403" i="29" s="1"/>
  <c r="AX403" i="29"/>
  <c r="BI403" i="29" s="1"/>
  <c r="AT403" i="29"/>
  <c r="AP403" i="29"/>
  <c r="AL403" i="29"/>
  <c r="AW403" i="29"/>
  <c r="BH403" i="29" s="1"/>
  <c r="AO403" i="29"/>
  <c r="AG403" i="29"/>
  <c r="F404" i="29" a="1"/>
  <c r="F404" i="29" s="1"/>
  <c r="AV403" i="29"/>
  <c r="BG403" i="29" s="1"/>
  <c r="AN403" i="29"/>
  <c r="AF403" i="29"/>
  <c r="BA403" i="29"/>
  <c r="BL403" i="29" s="1"/>
  <c r="AK403" i="29"/>
  <c r="AZ403" i="29"/>
  <c r="BK403" i="29" s="1"/>
  <c r="AJ403" i="29"/>
  <c r="AS403" i="29"/>
  <c r="AR403" i="29"/>
  <c r="BF510" i="29"/>
  <c r="F548" i="29" a="1"/>
  <c r="F548" i="29" s="1"/>
  <c r="BA547" i="29"/>
  <c r="BL547" i="29" s="1"/>
  <c r="AW547" i="29"/>
  <c r="BH547" i="29" s="1"/>
  <c r="AS547" i="29"/>
  <c r="AO547" i="29"/>
  <c r="AK547" i="29"/>
  <c r="AG547" i="29"/>
  <c r="AZ547" i="29"/>
  <c r="BK547" i="29" s="1"/>
  <c r="AV547" i="29"/>
  <c r="BG547" i="29" s="1"/>
  <c r="AR547" i="29"/>
  <c r="AN547" i="29"/>
  <c r="AJ547" i="29"/>
  <c r="AF547" i="29"/>
  <c r="AX547" i="29"/>
  <c r="BI547" i="29" s="1"/>
  <c r="AP547" i="29"/>
  <c r="BC547" i="29"/>
  <c r="AU547" i="29"/>
  <c r="BF547" i="29" s="1"/>
  <c r="AM547" i="29"/>
  <c r="AE547" i="29"/>
  <c r="BB547" i="29"/>
  <c r="BM547" i="29" s="1"/>
  <c r="AL547" i="29"/>
  <c r="AY547" i="29"/>
  <c r="BJ547" i="29" s="1"/>
  <c r="AI547" i="29"/>
  <c r="AT547" i="29"/>
  <c r="AQ547" i="29"/>
  <c r="BH222" i="29"/>
  <c r="BK510" i="29"/>
  <c r="BD114" i="30"/>
  <c r="BE550" i="30"/>
  <c r="BG550" i="30"/>
  <c r="BD222" i="29"/>
  <c r="BG107" i="29"/>
  <c r="AV78" i="29"/>
  <c r="BL107" i="29"/>
  <c r="BA78" i="29"/>
  <c r="BI107" i="29"/>
  <c r="AX78" i="29"/>
  <c r="BG406" i="30"/>
  <c r="BI406" i="30"/>
  <c r="BK406" i="30"/>
  <c r="BC407" i="30"/>
  <c r="AY407" i="30"/>
  <c r="BJ407" i="30" s="1"/>
  <c r="AU407" i="30"/>
  <c r="BF407" i="30" s="1"/>
  <c r="AQ407" i="30"/>
  <c r="AM407" i="30"/>
  <c r="AI407" i="30"/>
  <c r="BD407" i="30" s="1"/>
  <c r="AE407" i="30"/>
  <c r="BA407" i="30"/>
  <c r="BL407" i="30" s="1"/>
  <c r="AW407" i="30"/>
  <c r="BH407" i="30" s="1"/>
  <c r="AS407" i="30"/>
  <c r="AO407" i="30"/>
  <c r="AK407" i="30"/>
  <c r="AG407" i="30"/>
  <c r="AZ407" i="30"/>
  <c r="BK407" i="30" s="1"/>
  <c r="AR407" i="30"/>
  <c r="AJ407" i="30"/>
  <c r="BO407" i="30"/>
  <c r="AX407" i="30"/>
  <c r="BI407" i="30" s="1"/>
  <c r="AP407" i="30"/>
  <c r="AV407" i="30"/>
  <c r="BG407" i="30" s="1"/>
  <c r="AN407" i="30"/>
  <c r="AF407" i="30"/>
  <c r="BB407" i="30"/>
  <c r="BM407" i="30" s="1"/>
  <c r="AT407" i="30"/>
  <c r="BE407" i="30" s="1"/>
  <c r="AL407" i="30"/>
  <c r="F408" i="30" a="1"/>
  <c r="F408" i="30" s="1"/>
  <c r="AH406" i="30"/>
  <c r="BH406" i="30"/>
  <c r="BD262" i="30"/>
  <c r="AH262" i="30"/>
  <c r="BG366" i="29"/>
  <c r="BL510" i="29"/>
  <c r="AH546" i="29"/>
  <c r="BF222" i="29"/>
  <c r="AH258" i="29"/>
  <c r="BD258" i="29"/>
  <c r="BE259" i="29" l="1"/>
  <c r="BE403" i="29"/>
  <c r="AH114" i="29"/>
  <c r="BL78" i="29"/>
  <c r="BA408" i="30"/>
  <c r="BL408" i="30" s="1"/>
  <c r="AW408" i="30"/>
  <c r="AS408" i="30"/>
  <c r="AS405" i="30" s="1"/>
  <c r="AS438" i="30" s="1"/>
  <c r="AO408" i="30"/>
  <c r="AO405" i="30" s="1"/>
  <c r="AO438" i="30" s="1"/>
  <c r="AK408" i="30"/>
  <c r="AK405" i="30" s="1"/>
  <c r="AK438" i="30" s="1"/>
  <c r="AG408" i="30"/>
  <c r="BC408" i="30"/>
  <c r="BC405" i="30" s="1"/>
  <c r="BC438" i="30" s="1"/>
  <c r="AY408" i="30"/>
  <c r="BJ408" i="30" s="1"/>
  <c r="AU408" i="30"/>
  <c r="BF408" i="30" s="1"/>
  <c r="AQ408" i="30"/>
  <c r="AQ405" i="30" s="1"/>
  <c r="AQ438" i="30" s="1"/>
  <c r="AM408" i="30"/>
  <c r="AM405" i="30" s="1"/>
  <c r="AM438" i="30" s="1"/>
  <c r="AI408" i="30"/>
  <c r="BD408" i="30" s="1"/>
  <c r="AE408" i="30"/>
  <c r="AE405" i="30" s="1"/>
  <c r="AE438" i="30" s="1"/>
  <c r="BO408" i="30"/>
  <c r="AX408" i="30"/>
  <c r="BI408" i="30" s="1"/>
  <c r="AP408" i="30"/>
  <c r="AP405" i="30" s="1"/>
  <c r="AP438" i="30" s="1"/>
  <c r="AV408" i="30"/>
  <c r="BG408" i="30" s="1"/>
  <c r="AN408" i="30"/>
  <c r="AN405" i="30" s="1"/>
  <c r="AN438" i="30" s="1"/>
  <c r="AF408" i="30"/>
  <c r="AF405" i="30" s="1"/>
  <c r="AF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B408" i="30"/>
  <c r="BM408" i="30" s="1"/>
  <c r="AT408" i="30"/>
  <c r="BE408" i="30" s="1"/>
  <c r="AL408" i="30"/>
  <c r="AL405" i="30" s="1"/>
  <c r="AL438" i="30" s="1"/>
  <c r="AZ408" i="30"/>
  <c r="AR408" i="30"/>
  <c r="AR405" i="30" s="1"/>
  <c r="AR438" i="30" s="1"/>
  <c r="AJ408" i="30"/>
  <c r="AJ405" i="30" s="1"/>
  <c r="AJ438" i="30" s="1"/>
  <c r="AX405" i="30"/>
  <c r="BI78" i="29"/>
  <c r="BD547" i="29"/>
  <c r="AH547" i="29"/>
  <c r="AH403"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B115" i="29"/>
  <c r="BM115" i="29" s="1"/>
  <c r="AT115" i="29"/>
  <c r="BE115" i="29" s="1"/>
  <c r="AL115" i="29"/>
  <c r="BA115" i="29"/>
  <c r="BL115" i="29" s="1"/>
  <c r="AS115" i="29"/>
  <c r="AK115" i="29"/>
  <c r="BO115" i="29"/>
  <c r="AX115" i="29"/>
  <c r="BI115" i="29" s="1"/>
  <c r="AP115" i="29"/>
  <c r="AG115" i="29"/>
  <c r="AW115" i="29"/>
  <c r="BH115" i="29" s="1"/>
  <c r="AO115" i="29"/>
  <c r="AT405" i="30"/>
  <c r="BJ78" i="29"/>
  <c r="AH551" i="30"/>
  <c r="BA552" i="30"/>
  <c r="AW552" i="30"/>
  <c r="AS552" i="30"/>
  <c r="AS549" i="30" s="1"/>
  <c r="AS582" i="30" s="1"/>
  <c r="AO552" i="30"/>
  <c r="AO549" i="30" s="1"/>
  <c r="AO582" i="30" s="1"/>
  <c r="AK552" i="30"/>
  <c r="AK549" i="30" s="1"/>
  <c r="AK582" i="30" s="1"/>
  <c r="AG552" i="30"/>
  <c r="AZ552" i="30"/>
  <c r="BK552" i="30" s="1"/>
  <c r="AV552" i="30"/>
  <c r="AR552" i="30"/>
  <c r="AR549" i="30" s="1"/>
  <c r="AR582" i="30" s="1"/>
  <c r="AN552" i="30"/>
  <c r="AN549" i="30" s="1"/>
  <c r="AN582" i="30" s="1"/>
  <c r="AJ552" i="30"/>
  <c r="AJ549" i="30" s="1"/>
  <c r="AJ582" i="30" s="1"/>
  <c r="AF552" i="30"/>
  <c r="AF549" i="30" s="1"/>
  <c r="AF582" i="30" s="1"/>
  <c r="BC552" i="30"/>
  <c r="BC549" i="30" s="1"/>
  <c r="BC582" i="30" s="1"/>
  <c r="AY552" i="30"/>
  <c r="AU552" i="30"/>
  <c r="BF552" i="30" s="1"/>
  <c r="AQ552" i="30"/>
  <c r="AQ549" i="30" s="1"/>
  <c r="AQ582" i="30" s="1"/>
  <c r="AM552" i="30"/>
  <c r="AM549" i="30" s="1"/>
  <c r="AM582" i="30" s="1"/>
  <c r="AI552" i="30"/>
  <c r="BD552" i="30" s="1"/>
  <c r="AE552" i="30"/>
  <c r="AE549" i="30" s="1"/>
  <c r="AE582" i="30" s="1"/>
  <c r="AP552" i="30"/>
  <c r="AP549" i="30" s="1"/>
  <c r="AP582" i="30" s="1"/>
  <c r="F553" i="30" a="1"/>
  <c r="F553" i="30" s="1"/>
  <c r="F554" i="30" s="1" a="1"/>
  <c r="F554" i="30" s="1"/>
  <c r="F555" i="30" s="1" a="1"/>
  <c r="F555" i="30" s="1"/>
  <c r="F556" i="30" s="1" a="1"/>
  <c r="F556" i="30" s="1"/>
  <c r="F557" i="30" s="1" a="1"/>
  <c r="F557" i="30" s="1"/>
  <c r="F558" i="30" s="1" a="1"/>
  <c r="F558" i="30" s="1"/>
  <c r="F559" i="30" s="1" a="1"/>
  <c r="F559" i="30" s="1"/>
  <c r="F560" i="30" s="1" a="1"/>
  <c r="F560" i="30" s="1"/>
  <c r="F561" i="30" s="1" a="1"/>
  <c r="F561" i="30" s="1"/>
  <c r="F562" i="30" s="1" a="1"/>
  <c r="F562" i="30" s="1"/>
  <c r="F563" i="30" s="1" a="1"/>
  <c r="F563" i="30" s="1"/>
  <c r="F564" i="30" s="1" a="1"/>
  <c r="F564" i="30" s="1"/>
  <c r="F565" i="30" s="1" a="1"/>
  <c r="F565" i="30" s="1"/>
  <c r="F566" i="30" s="1" a="1"/>
  <c r="F566" i="30" s="1"/>
  <c r="F567" i="30" s="1" a="1"/>
  <c r="F567" i="30" s="1"/>
  <c r="BB552" i="30"/>
  <c r="BM552" i="30" s="1"/>
  <c r="AL552" i="30"/>
  <c r="AL549" i="30" s="1"/>
  <c r="AL582" i="30" s="1"/>
  <c r="BO552" i="30"/>
  <c r="AX552" i="30"/>
  <c r="BI552" i="30" s="1"/>
  <c r="AT552" i="30"/>
  <c r="AZ264" i="30"/>
  <c r="AV264" i="30"/>
  <c r="AR264" i="30"/>
  <c r="AR261" i="30" s="1"/>
  <c r="AR294" i="30" s="1"/>
  <c r="AN264" i="30"/>
  <c r="AN261" i="30" s="1"/>
  <c r="AN294" i="30" s="1"/>
  <c r="AJ264" i="30"/>
  <c r="AJ261" i="30" s="1"/>
  <c r="AJ294" i="30" s="1"/>
  <c r="AF264" i="30"/>
  <c r="AF261" i="30" s="1"/>
  <c r="AF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F280" i="30" s="1" a="1"/>
  <c r="F280" i="30" s="1"/>
  <c r="F281" i="30" s="1" a="1"/>
  <c r="F281" i="30" s="1"/>
  <c r="BO264" i="30"/>
  <c r="BB264" i="30"/>
  <c r="AX264" i="30"/>
  <c r="AT264" i="30"/>
  <c r="BE264" i="30" s="1"/>
  <c r="AP264" i="30"/>
  <c r="AP261" i="30" s="1"/>
  <c r="AP294" i="30" s="1"/>
  <c r="AL264" i="30"/>
  <c r="AL261" i="30" s="1"/>
  <c r="AL294" i="30" s="1"/>
  <c r="BA264" i="30"/>
  <c r="AS264" i="30"/>
  <c r="AS261" i="30" s="1"/>
  <c r="AS294" i="30" s="1"/>
  <c r="AK264" i="30"/>
  <c r="AK261" i="30" s="1"/>
  <c r="AK294" i="30" s="1"/>
  <c r="AY264" i="30"/>
  <c r="AQ264" i="30"/>
  <c r="AQ261" i="30" s="1"/>
  <c r="AQ294" i="30" s="1"/>
  <c r="AI264" i="30"/>
  <c r="AW264" i="30"/>
  <c r="AO264" i="30"/>
  <c r="AO261" i="30" s="1"/>
  <c r="AO294" i="30" s="1"/>
  <c r="AG264" i="30"/>
  <c r="AU264" i="30"/>
  <c r="AE264" i="30"/>
  <c r="AE261" i="30" s="1"/>
  <c r="AE294" i="30" s="1"/>
  <c r="BC264" i="30"/>
  <c r="BC261" i="30" s="1"/>
  <c r="BC294" i="30" s="1"/>
  <c r="AM264" i="30"/>
  <c r="AM261" i="30" s="1"/>
  <c r="AM294" i="30" s="1"/>
  <c r="BE78" i="29"/>
  <c r="BD78" i="29"/>
  <c r="AV405" i="30"/>
  <c r="AH407" i="30"/>
  <c r="BG78" i="29"/>
  <c r="BD403" i="29"/>
  <c r="BB405" i="30"/>
  <c r="BH78" i="29"/>
  <c r="AH259" i="29"/>
  <c r="BD259" i="29"/>
  <c r="AH115"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AW116" i="30"/>
  <c r="BH116" i="30" s="1"/>
  <c r="AG116" i="30"/>
  <c r="AS116" i="30"/>
  <c r="AO116" i="30"/>
  <c r="F117" i="30" a="1"/>
  <c r="F117" i="30" s="1"/>
  <c r="F118" i="30" s="1" a="1"/>
  <c r="F118" i="30" s="1"/>
  <c r="AK116" i="30"/>
  <c r="BA116" i="30"/>
  <c r="BL116" i="30" s="1"/>
  <c r="AZ548" i="29"/>
  <c r="BK548" i="29" s="1"/>
  <c r="AV548" i="29"/>
  <c r="BG548" i="29" s="1"/>
  <c r="AR548" i="29"/>
  <c r="AN548" i="29"/>
  <c r="AJ548" i="29"/>
  <c r="AF548" i="29"/>
  <c r="BC548" i="29"/>
  <c r="AY548" i="29"/>
  <c r="BJ548" i="29" s="1"/>
  <c r="AU548" i="29"/>
  <c r="BF548" i="29" s="1"/>
  <c r="AQ548" i="29"/>
  <c r="AM548" i="29"/>
  <c r="AI548" i="29"/>
  <c r="BD548" i="29" s="1"/>
  <c r="AE548" i="29"/>
  <c r="AW548" i="29"/>
  <c r="BH548" i="29" s="1"/>
  <c r="AO548" i="29"/>
  <c r="AG548" i="29"/>
  <c r="BB548" i="29"/>
  <c r="BM548" i="29" s="1"/>
  <c r="AT548" i="29"/>
  <c r="BE548" i="29" s="1"/>
  <c r="AL548" i="29"/>
  <c r="AS548" i="29"/>
  <c r="AP548" i="29"/>
  <c r="F549" i="29" a="1"/>
  <c r="F549" i="29" s="1"/>
  <c r="F550" i="29" s="1" a="1"/>
  <c r="F550" i="29" s="1"/>
  <c r="BA548" i="29"/>
  <c r="BL548" i="29" s="1"/>
  <c r="AK548" i="29"/>
  <c r="AX548" i="29"/>
  <c r="BI548" i="29" s="1"/>
  <c r="AH78" i="29"/>
  <c r="AU405" i="30"/>
  <c r="BM78" i="29"/>
  <c r="AU549" i="30"/>
  <c r="BE547" i="29"/>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BC404" i="29"/>
  <c r="AU404" i="29"/>
  <c r="BF404" i="29" s="1"/>
  <c r="AM404" i="29"/>
  <c r="AE404" i="29"/>
  <c r="AZ404" i="29"/>
  <c r="BK404" i="29" s="1"/>
  <c r="AR404" i="29"/>
  <c r="AJ404" i="29"/>
  <c r="AQ404" i="29"/>
  <c r="AN404" i="29"/>
  <c r="AY404" i="29"/>
  <c r="BJ404" i="29" s="1"/>
  <c r="AI404" i="29"/>
  <c r="BD404" i="29" s="1"/>
  <c r="AV404" i="29"/>
  <c r="BG404" i="29" s="1"/>
  <c r="AF404" i="29"/>
  <c r="AI405" i="30"/>
  <c r="BK78" i="29"/>
  <c r="BB260" i="29"/>
  <c r="BM260" i="29" s="1"/>
  <c r="AX260" i="29"/>
  <c r="BI260" i="29" s="1"/>
  <c r="AT260" i="29"/>
  <c r="BE260" i="29" s="1"/>
  <c r="AP260" i="29"/>
  <c r="AL260" i="29"/>
  <c r="F261" i="29" a="1"/>
  <c r="F261" i="29" s="1"/>
  <c r="F262" i="29" s="1" a="1"/>
  <c r="F262" i="29" s="1"/>
  <c r="BA260" i="29"/>
  <c r="BL260" i="29" s="1"/>
  <c r="AW260" i="29"/>
  <c r="BH260" i="29" s="1"/>
  <c r="AS260" i="29"/>
  <c r="AO260" i="29"/>
  <c r="AK260" i="29"/>
  <c r="AG260" i="29"/>
  <c r="AY260" i="29"/>
  <c r="BJ260" i="29" s="1"/>
  <c r="AQ260" i="29"/>
  <c r="AI260" i="29"/>
  <c r="BD260" i="29" s="1"/>
  <c r="AV260" i="29"/>
  <c r="BG260" i="29" s="1"/>
  <c r="AN260" i="29"/>
  <c r="AF260" i="29"/>
  <c r="BC260" i="29"/>
  <c r="AU260" i="29"/>
  <c r="BF260" i="29" s="1"/>
  <c r="AM260" i="29"/>
  <c r="AE260" i="29"/>
  <c r="AZ260" i="29"/>
  <c r="BK260" i="29" s="1"/>
  <c r="AR260" i="29"/>
  <c r="AJ260" i="29"/>
  <c r="BA405" i="30"/>
  <c r="BF78" i="29"/>
  <c r="AZ549" i="30"/>
  <c r="AH116" i="30" l="1"/>
  <c r="AH548" i="29"/>
  <c r="AT261" i="30"/>
  <c r="AH115" i="29"/>
  <c r="AH404" i="29"/>
  <c r="BB549" i="30"/>
  <c r="BB582" i="30" s="1"/>
  <c r="AY405" i="30"/>
  <c r="AI549" i="30"/>
  <c r="BD549" i="30" s="1"/>
  <c r="AK293" i="30"/>
  <c r="AK295" i="30"/>
  <c r="AN581" i="30"/>
  <c r="AN583" i="30"/>
  <c r="AP439" i="30"/>
  <c r="AP437" i="30"/>
  <c r="AO439" i="30"/>
  <c r="AO437" i="30"/>
  <c r="AL437" i="30"/>
  <c r="AL439" i="30"/>
  <c r="BC437" i="30"/>
  <c r="BC439" i="30"/>
  <c r="AS439" i="30"/>
  <c r="AS437" i="30"/>
  <c r="AM295" i="30"/>
  <c r="AM293" i="30"/>
  <c r="AN439" i="30"/>
  <c r="AN437" i="30"/>
  <c r="AQ437" i="30"/>
  <c r="AQ439" i="30"/>
  <c r="AO295" i="30"/>
  <c r="AO293" i="30"/>
  <c r="AE583" i="30"/>
  <c r="AE581" i="30"/>
  <c r="AJ581" i="30"/>
  <c r="AJ583" i="30"/>
  <c r="AS581" i="30"/>
  <c r="AS583" i="30"/>
  <c r="AR439" i="30"/>
  <c r="AR437" i="30"/>
  <c r="AE437" i="30"/>
  <c r="AE439" i="30"/>
  <c r="AK439" i="30"/>
  <c r="AK437" i="30"/>
  <c r="BL405" i="30"/>
  <c r="BA438" i="30"/>
  <c r="AH260" i="29"/>
  <c r="BF549" i="30"/>
  <c r="AU582" i="30"/>
  <c r="F119" i="30" a="1"/>
  <c r="F119" i="30" s="1"/>
  <c r="BO118" i="30"/>
  <c r="BB118" i="30"/>
  <c r="AX118" i="30"/>
  <c r="AT118" i="30"/>
  <c r="AP118" i="30"/>
  <c r="AL118" i="30"/>
  <c r="BA118" i="30"/>
  <c r="AW118" i="30"/>
  <c r="AS118" i="30"/>
  <c r="AO118" i="30"/>
  <c r="AK118" i="30"/>
  <c r="AG118" i="30"/>
  <c r="AZ118" i="30"/>
  <c r="AV118" i="30"/>
  <c r="AR118" i="30"/>
  <c r="AN118" i="30"/>
  <c r="AJ118" i="30"/>
  <c r="AF118" i="30"/>
  <c r="AU118" i="30"/>
  <c r="AE118" i="30"/>
  <c r="AQ118" i="30"/>
  <c r="BC118" i="30"/>
  <c r="AY118" i="30"/>
  <c r="AM118" i="30"/>
  <c r="AI118" i="30"/>
  <c r="BM549" i="30"/>
  <c r="BG405" i="30"/>
  <c r="AV438" i="30"/>
  <c r="AH264" i="30"/>
  <c r="AG261" i="30"/>
  <c r="AQ295" i="30"/>
  <c r="AQ293" i="30"/>
  <c r="BL264" i="30"/>
  <c r="BA261" i="30"/>
  <c r="BI264" i="30"/>
  <c r="AX261" i="30"/>
  <c r="AF295" i="30"/>
  <c r="AF293" i="30"/>
  <c r="BG264" i="30"/>
  <c r="AV261" i="30"/>
  <c r="AX549" i="30"/>
  <c r="AL583" i="30"/>
  <c r="AL581" i="30"/>
  <c r="BE405" i="30"/>
  <c r="AT438" i="30"/>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R116" i="29"/>
  <c r="AJ116" i="29"/>
  <c r="AY116" i="29"/>
  <c r="BJ116" i="29" s="1"/>
  <c r="AQ116" i="29"/>
  <c r="AI116" i="29"/>
  <c r="BD116" i="29" s="1"/>
  <c r="AV116" i="29"/>
  <c r="BG116" i="29" s="1"/>
  <c r="AN116" i="29"/>
  <c r="AF116" i="29"/>
  <c r="BC116" i="29"/>
  <c r="AU116" i="29"/>
  <c r="BF116" i="29" s="1"/>
  <c r="AM116" i="29"/>
  <c r="AE116" i="29"/>
  <c r="BK408" i="30"/>
  <c r="AZ405" i="30"/>
  <c r="F424" i="30" a="1"/>
  <c r="F424" i="30" s="1"/>
  <c r="F425" i="30" s="1" a="1"/>
  <c r="F425" i="30" s="1"/>
  <c r="BO423" i="30"/>
  <c r="AJ439" i="30"/>
  <c r="AJ437" i="30"/>
  <c r="AM437" i="30"/>
  <c r="AM439" i="30"/>
  <c r="AF439" i="30"/>
  <c r="AF437" i="30"/>
  <c r="AZ262" i="29"/>
  <c r="AV262" i="29"/>
  <c r="AR262" i="29"/>
  <c r="AN262" i="29"/>
  <c r="AJ262" i="29"/>
  <c r="AF262" i="29"/>
  <c r="BC262" i="29"/>
  <c r="AY262" i="29"/>
  <c r="AU262" i="29"/>
  <c r="AQ262" i="29"/>
  <c r="AM262" i="29"/>
  <c r="AI262" i="29"/>
  <c r="AE262" i="29"/>
  <c r="AW262" i="29"/>
  <c r="AO262" i="29"/>
  <c r="AG262" i="29"/>
  <c r="F263" i="29" a="1"/>
  <c r="F263" i="29" s="1"/>
  <c r="BB262" i="29"/>
  <c r="AT262" i="29"/>
  <c r="AL262" i="29"/>
  <c r="BA262" i="29"/>
  <c r="AS262" i="29"/>
  <c r="AK262" i="29"/>
  <c r="BO262" i="29"/>
  <c r="AX262" i="29"/>
  <c r="AP262" i="29"/>
  <c r="BK549" i="30"/>
  <c r="AZ582" i="30"/>
  <c r="BF405" i="30"/>
  <c r="AU438" i="30"/>
  <c r="F551" i="29" a="1"/>
  <c r="F551" i="29" s="1"/>
  <c r="BO550" i="29"/>
  <c r="BB550" i="29"/>
  <c r="AX550" i="29"/>
  <c r="AT550" i="29"/>
  <c r="AP550" i="29"/>
  <c r="AL550" i="29"/>
  <c r="BA550" i="29"/>
  <c r="AW550" i="29"/>
  <c r="AS550" i="29"/>
  <c r="AO550" i="29"/>
  <c r="AK550" i="29"/>
  <c r="AG550" i="29"/>
  <c r="BC550" i="29"/>
  <c r="AU550" i="29"/>
  <c r="AM550" i="29"/>
  <c r="AE550" i="29"/>
  <c r="AZ550" i="29"/>
  <c r="AR550" i="29"/>
  <c r="AJ550" i="29"/>
  <c r="AQ550" i="29"/>
  <c r="AN550" i="29"/>
  <c r="AY550" i="29"/>
  <c r="AI550" i="29"/>
  <c r="AV550" i="29"/>
  <c r="AF550" i="29"/>
  <c r="BE261" i="30"/>
  <c r="AT294" i="30"/>
  <c r="BC295" i="30"/>
  <c r="BC293" i="30"/>
  <c r="BJ264" i="30"/>
  <c r="AY261" i="30"/>
  <c r="AL293" i="30"/>
  <c r="AL295" i="30"/>
  <c r="BM264" i="30"/>
  <c r="BB261" i="30"/>
  <c r="AJ295" i="30"/>
  <c r="AJ293" i="30"/>
  <c r="BK264" i="30"/>
  <c r="AZ261" i="30"/>
  <c r="BE552" i="30"/>
  <c r="AT549" i="30"/>
  <c r="BJ552" i="30"/>
  <c r="AY549" i="30"/>
  <c r="AH552" i="30"/>
  <c r="AG549" i="30"/>
  <c r="BH552" i="30"/>
  <c r="AW549" i="30"/>
  <c r="BJ405" i="30"/>
  <c r="AY438" i="30"/>
  <c r="BI405" i="30"/>
  <c r="AX438" i="30"/>
  <c r="AE295" i="30"/>
  <c r="AE293" i="30"/>
  <c r="BH264" i="30"/>
  <c r="AW261" i="30"/>
  <c r="AP293" i="30"/>
  <c r="AP295" i="30"/>
  <c r="AN295" i="30"/>
  <c r="AN293" i="30"/>
  <c r="F568" i="30" a="1"/>
  <c r="F568" i="30" s="1"/>
  <c r="F569" i="30" s="1" a="1"/>
  <c r="F569" i="30" s="1"/>
  <c r="BO567" i="30"/>
  <c r="AM583" i="30"/>
  <c r="AM581" i="30"/>
  <c r="BC583" i="30"/>
  <c r="BC581" i="30"/>
  <c r="AR581" i="30"/>
  <c r="AR583" i="30"/>
  <c r="AK581" i="30"/>
  <c r="AK583" i="30"/>
  <c r="BL552" i="30"/>
  <c r="BA549" i="30"/>
  <c r="AH408" i="30"/>
  <c r="AG405" i="30"/>
  <c r="BH408" i="30"/>
  <c r="AW405" i="30"/>
  <c r="BD405" i="30"/>
  <c r="AI438" i="30"/>
  <c r="AZ406" i="29"/>
  <c r="AV406" i="29"/>
  <c r="AR406" i="29"/>
  <c r="AN406" i="29"/>
  <c r="AJ406" i="29"/>
  <c r="AF406" i="29"/>
  <c r="BC406" i="29"/>
  <c r="AY406" i="29"/>
  <c r="AU406" i="29"/>
  <c r="AQ406" i="29"/>
  <c r="AM406" i="29"/>
  <c r="AI406" i="29"/>
  <c r="AE406" i="29"/>
  <c r="BA406" i="29"/>
  <c r="AS406" i="29"/>
  <c r="AK406" i="29"/>
  <c r="BO406" i="29"/>
  <c r="AX406" i="29"/>
  <c r="AP406" i="29"/>
  <c r="AO406" i="29"/>
  <c r="F407" i="29" a="1"/>
  <c r="F407" i="29" s="1"/>
  <c r="BB406" i="29"/>
  <c r="AL406" i="29"/>
  <c r="AW406" i="29"/>
  <c r="AG406" i="29"/>
  <c r="AT406" i="29"/>
  <c r="BM405" i="30"/>
  <c r="BB438" i="30"/>
  <c r="BF264" i="30"/>
  <c r="AU261" i="30"/>
  <c r="BD264" i="30"/>
  <c r="AI261" i="30"/>
  <c r="AS295" i="30"/>
  <c r="AS293" i="30"/>
  <c r="AT281" i="30"/>
  <c r="AJ281" i="30"/>
  <c r="F282" i="30" a="1"/>
  <c r="F282" i="30" s="1"/>
  <c r="BO281" i="30"/>
  <c r="AR295" i="30"/>
  <c r="AR293" i="30"/>
  <c r="AP583" i="30"/>
  <c r="AP581" i="30"/>
  <c r="AQ583" i="30"/>
  <c r="AQ581" i="30"/>
  <c r="AF581" i="30"/>
  <c r="AF583" i="30"/>
  <c r="BG552" i="30"/>
  <c r="AV549" i="30"/>
  <c r="AO581" i="30"/>
  <c r="AO583" i="30"/>
  <c r="AI582" i="30" l="1"/>
  <c r="BE406" i="29"/>
  <c r="BM406" i="29"/>
  <c r="BI406" i="29"/>
  <c r="BL406" i="29"/>
  <c r="BG406" i="29"/>
  <c r="BH405" i="30"/>
  <c r="AW438" i="30"/>
  <c r="F570" i="30" a="1"/>
  <c r="F570" i="30" s="1"/>
  <c r="BO569" i="30"/>
  <c r="AT569" i="30"/>
  <c r="AJ569" i="30"/>
  <c r="AY437" i="30"/>
  <c r="AY439" i="30"/>
  <c r="BG550" i="29"/>
  <c r="AH550" i="29"/>
  <c r="BH550" i="29"/>
  <c r="BE550" i="29"/>
  <c r="AZ551" i="29"/>
  <c r="BK551" i="29" s="1"/>
  <c r="AV551" i="29"/>
  <c r="BG551" i="29" s="1"/>
  <c r="AR551" i="29"/>
  <c r="AN551" i="29"/>
  <c r="AJ551" i="29"/>
  <c r="AF551" i="29"/>
  <c r="BC551" i="29"/>
  <c r="AY551" i="29"/>
  <c r="BJ551" i="29" s="1"/>
  <c r="AU551" i="29"/>
  <c r="BF551" i="29" s="1"/>
  <c r="AQ551" i="29"/>
  <c r="AM551" i="29"/>
  <c r="AI551" i="29"/>
  <c r="BD551" i="29" s="1"/>
  <c r="AE551" i="29"/>
  <c r="BA551" i="29"/>
  <c r="BL551" i="29" s="1"/>
  <c r="AS551" i="29"/>
  <c r="AK551" i="29"/>
  <c r="BO551" i="29"/>
  <c r="AX551" i="29"/>
  <c r="BI551" i="29" s="1"/>
  <c r="AP551" i="29"/>
  <c r="AW551" i="29"/>
  <c r="BH551" i="29" s="1"/>
  <c r="AG551" i="29"/>
  <c r="AH551" i="29" s="1"/>
  <c r="AT551" i="29"/>
  <c r="BE551" i="29" s="1"/>
  <c r="AO551" i="29"/>
  <c r="F552" i="29" a="1"/>
  <c r="F552" i="29" s="1"/>
  <c r="BB551" i="29"/>
  <c r="BM551" i="29" s="1"/>
  <c r="AL551" i="29"/>
  <c r="AZ581" i="30"/>
  <c r="AZ583" i="30"/>
  <c r="AH262" i="29"/>
  <c r="BD262" i="29"/>
  <c r="BJ262" i="29"/>
  <c r="AT425" i="30"/>
  <c r="F426" i="30" a="1"/>
  <c r="F426" i="30" s="1"/>
  <c r="BO425" i="30"/>
  <c r="AJ425" i="30"/>
  <c r="AH116" i="29"/>
  <c r="BE438" i="30"/>
  <c r="AT437" i="30"/>
  <c r="AT439" i="30"/>
  <c r="AH118" i="30"/>
  <c r="BH118" i="30"/>
  <c r="BE118"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K119" i="30"/>
  <c r="AW119" i="30"/>
  <c r="BH119" i="30" s="1"/>
  <c r="AG119" i="30"/>
  <c r="AS119" i="30"/>
  <c r="AO119" i="30"/>
  <c r="BA439" i="30"/>
  <c r="BA437" i="30"/>
  <c r="BL438" i="30"/>
  <c r="BG549" i="30"/>
  <c r="AV582" i="30"/>
  <c r="BF261" i="30"/>
  <c r="AU294" i="30"/>
  <c r="AJ282" i="30"/>
  <c r="F283" i="30" a="1"/>
  <c r="F283" i="30" s="1"/>
  <c r="F284" i="30" s="1" a="1"/>
  <c r="F284" i="30" s="1"/>
  <c r="AT282" i="30"/>
  <c r="AH406" i="29"/>
  <c r="F408" i="29" a="1"/>
  <c r="F408" i="29" s="1"/>
  <c r="BO407" i="29"/>
  <c r="BB407" i="29"/>
  <c r="BM407" i="29" s="1"/>
  <c r="AX407" i="29"/>
  <c r="BI407" i="29" s="1"/>
  <c r="AT407" i="29"/>
  <c r="BE407" i="29" s="1"/>
  <c r="AP407" i="29"/>
  <c r="AL407" i="29"/>
  <c r="BA407" i="29"/>
  <c r="BL407" i="29" s="1"/>
  <c r="AW407" i="29"/>
  <c r="BH407" i="29" s="1"/>
  <c r="AS407" i="29"/>
  <c r="AO407" i="29"/>
  <c r="AK407" i="29"/>
  <c r="AG407" i="29"/>
  <c r="AY407" i="29"/>
  <c r="BJ407" i="29" s="1"/>
  <c r="AQ407" i="29"/>
  <c r="AI407" i="29"/>
  <c r="BD407" i="29" s="1"/>
  <c r="AV407" i="29"/>
  <c r="BG407" i="29" s="1"/>
  <c r="AN407" i="29"/>
  <c r="AF407" i="29"/>
  <c r="AU407" i="29"/>
  <c r="BF407" i="29" s="1"/>
  <c r="AE407" i="29"/>
  <c r="AR407" i="29"/>
  <c r="BC407" i="29"/>
  <c r="AM407" i="29"/>
  <c r="AZ407" i="29"/>
  <c r="BK407" i="29" s="1"/>
  <c r="AJ407" i="29"/>
  <c r="BF406" i="29"/>
  <c r="BK406" i="29"/>
  <c r="BL549" i="30"/>
  <c r="BA582" i="30"/>
  <c r="BK582" i="30" s="1"/>
  <c r="BH261" i="30"/>
  <c r="AW294" i="30"/>
  <c r="BI438" i="30"/>
  <c r="AX439" i="30"/>
  <c r="BI439" i="30" s="1"/>
  <c r="AX437" i="30"/>
  <c r="AH549" i="30"/>
  <c r="AG582" i="30"/>
  <c r="BE549" i="30"/>
  <c r="AT582" i="30"/>
  <c r="AT293" i="30"/>
  <c r="BE294" i="30"/>
  <c r="AT295" i="30"/>
  <c r="BD550" i="29"/>
  <c r="BL550" i="29"/>
  <c r="BI550" i="29"/>
  <c r="BE262" i="29"/>
  <c r="BK405" i="30"/>
  <c r="AZ438" i="30"/>
  <c r="BL261" i="30"/>
  <c r="BA294" i="30"/>
  <c r="AH261" i="30"/>
  <c r="AG294" i="30"/>
  <c r="BM582" i="30"/>
  <c r="BB583" i="30"/>
  <c r="BM583" i="30" s="1"/>
  <c r="BB581" i="30"/>
  <c r="BJ118" i="30"/>
  <c r="BF118" i="30"/>
  <c r="BL118" i="30"/>
  <c r="BI118" i="30"/>
  <c r="AU583" i="30"/>
  <c r="AU581" i="30"/>
  <c r="BF582" i="30"/>
  <c r="BD261" i="30"/>
  <c r="AI294" i="30"/>
  <c r="BM438" i="30"/>
  <c r="BB437" i="30"/>
  <c r="BB439" i="30"/>
  <c r="BM439" i="30" s="1"/>
  <c r="BH406" i="29"/>
  <c r="BD406" i="29"/>
  <c r="BJ406" i="29"/>
  <c r="AI437" i="30"/>
  <c r="AI439" i="30"/>
  <c r="BD439" i="30" s="1"/>
  <c r="BD438" i="30"/>
  <c r="AH405" i="30"/>
  <c r="AG438" i="30"/>
  <c r="BJ550" i="29"/>
  <c r="BF550" i="29"/>
  <c r="BM550" i="29"/>
  <c r="AU437" i="30"/>
  <c r="AU439" i="30"/>
  <c r="BF438" i="30"/>
  <c r="BM262" i="29"/>
  <c r="BH262" i="29"/>
  <c r="BG262" i="29"/>
  <c r="AZ118" i="29"/>
  <c r="AV118" i="29"/>
  <c r="AR118" i="29"/>
  <c r="AN118" i="29"/>
  <c r="AJ118" i="29"/>
  <c r="AF118" i="29"/>
  <c r="BC118" i="29"/>
  <c r="AY118" i="29"/>
  <c r="AU118" i="29"/>
  <c r="AQ118" i="29"/>
  <c r="AM118" i="29"/>
  <c r="AI118" i="29"/>
  <c r="AE118" i="29"/>
  <c r="BO118" i="29"/>
  <c r="AX118" i="29"/>
  <c r="AP118" i="29"/>
  <c r="AW118" i="29"/>
  <c r="AO118" i="29"/>
  <c r="AG118" i="29"/>
  <c r="F119" i="29" a="1"/>
  <c r="F119" i="29" s="1"/>
  <c r="BB118" i="29"/>
  <c r="AT118" i="29"/>
  <c r="AL118" i="29"/>
  <c r="AK118" i="29"/>
  <c r="BA118" i="29"/>
  <c r="AS118" i="29"/>
  <c r="AI583" i="30"/>
  <c r="BD582" i="30"/>
  <c r="AI581" i="30"/>
  <c r="BI549" i="30"/>
  <c r="AX582" i="30"/>
  <c r="BG118" i="30"/>
  <c r="BM118" i="30"/>
  <c r="BH549" i="30"/>
  <c r="AW582" i="30"/>
  <c r="BJ549" i="30"/>
  <c r="AY582" i="30"/>
  <c r="BK261" i="30"/>
  <c r="AZ294" i="30"/>
  <c r="BM261" i="30"/>
  <c r="BB294" i="30"/>
  <c r="BJ261" i="30"/>
  <c r="AY294" i="30"/>
  <c r="BK550" i="29"/>
  <c r="BI262" i="29"/>
  <c r="BL262" i="29"/>
  <c r="F264" i="29" a="1"/>
  <c r="F264" i="29" s="1"/>
  <c r="BO263" i="29"/>
  <c r="BB263" i="29"/>
  <c r="BM263" i="29" s="1"/>
  <c r="AX263" i="29"/>
  <c r="BI263" i="29" s="1"/>
  <c r="AT263" i="29"/>
  <c r="BE263" i="29" s="1"/>
  <c r="AP263" i="29"/>
  <c r="AL263" i="29"/>
  <c r="BA263" i="29"/>
  <c r="BL263" i="29" s="1"/>
  <c r="AW263" i="29"/>
  <c r="BH263" i="29" s="1"/>
  <c r="AS263" i="29"/>
  <c r="AO263" i="29"/>
  <c r="AK263" i="29"/>
  <c r="AG263" i="29"/>
  <c r="BC263" i="29"/>
  <c r="AU263" i="29"/>
  <c r="BF263" i="29" s="1"/>
  <c r="AM263" i="29"/>
  <c r="AE263" i="29"/>
  <c r="AZ263" i="29"/>
  <c r="BK263" i="29" s="1"/>
  <c r="AR263" i="29"/>
  <c r="AJ263" i="29"/>
  <c r="AY263" i="29"/>
  <c r="BJ263" i="29" s="1"/>
  <c r="AQ263" i="29"/>
  <c r="AI263" i="29"/>
  <c r="BD263" i="29" s="1"/>
  <c r="AV263" i="29"/>
  <c r="BG263" i="29" s="1"/>
  <c r="AN263" i="29"/>
  <c r="AF263" i="29"/>
  <c r="BF262" i="29"/>
  <c r="BK262" i="29"/>
  <c r="BG261" i="30"/>
  <c r="AV294" i="30"/>
  <c r="BI261" i="30"/>
  <c r="AX294" i="30"/>
  <c r="BG438" i="30"/>
  <c r="AV439" i="30"/>
  <c r="AV437" i="30"/>
  <c r="BD118" i="30"/>
  <c r="BK118" i="30"/>
  <c r="AH119" i="30" l="1"/>
  <c r="AH263" i="29"/>
  <c r="BL439" i="30"/>
  <c r="AH118" i="29"/>
  <c r="AH294" i="30"/>
  <c r="AH295" i="30" s="1"/>
  <c r="AG293" i="30"/>
  <c r="AH293" i="30" s="1"/>
  <c r="AG295" i="30"/>
  <c r="BK438" i="30"/>
  <c r="AZ439" i="30"/>
  <c r="BK439" i="30" s="1"/>
  <c r="AZ437" i="30"/>
  <c r="BH294" i="30"/>
  <c r="AW295" i="30"/>
  <c r="AW293" i="30"/>
  <c r="AV295" i="30"/>
  <c r="AV293" i="30"/>
  <c r="BG294" i="30"/>
  <c r="BE118" i="29"/>
  <c r="BG118" i="29"/>
  <c r="AG439" i="30"/>
  <c r="AG437" i="30"/>
  <c r="AH437" i="30" s="1"/>
  <c r="AH438" i="30"/>
  <c r="AH439" i="30" s="1"/>
  <c r="BE582" i="30"/>
  <c r="AT583" i="30"/>
  <c r="BE583" i="30" s="1"/>
  <c r="AT581" i="30"/>
  <c r="BF294" i="30"/>
  <c r="AU295" i="30"/>
  <c r="BF295" i="30" s="1"/>
  <c r="AU293"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AX120" i="30"/>
  <c r="AT120" i="30"/>
  <c r="BE120" i="30" s="1"/>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Z120" i="30"/>
  <c r="AV120" i="30"/>
  <c r="AR120" i="30"/>
  <c r="AR117" i="30" s="1"/>
  <c r="AR150" i="30" s="1"/>
  <c r="AN120" i="30"/>
  <c r="AN117" i="30" s="1"/>
  <c r="AN150" i="30" s="1"/>
  <c r="AJ120" i="30"/>
  <c r="AJ117" i="30" s="1"/>
  <c r="AJ150" i="30" s="1"/>
  <c r="AF120" i="30"/>
  <c r="AF117" i="30" s="1"/>
  <c r="AF150" i="30" s="1"/>
  <c r="AQ120" i="30"/>
  <c r="AQ117" i="30" s="1"/>
  <c r="AQ150" i="30" s="1"/>
  <c r="BC120" i="30"/>
  <c r="BC117" i="30" s="1"/>
  <c r="BC150" i="30" s="1"/>
  <c r="AM120" i="30"/>
  <c r="AM117" i="30" s="1"/>
  <c r="AM150" i="30" s="1"/>
  <c r="AI120" i="30"/>
  <c r="AE120" i="30"/>
  <c r="AE117" i="30" s="1"/>
  <c r="AE150" i="30" s="1"/>
  <c r="AY120" i="30"/>
  <c r="AU120" i="30"/>
  <c r="F553" i="29" a="1"/>
  <c r="F553" i="29" s="1"/>
  <c r="F554" i="29" s="1" a="1"/>
  <c r="F554" i="29" s="1"/>
  <c r="F555" i="29" s="1" a="1"/>
  <c r="F555" i="29" s="1"/>
  <c r="F556" i="29" s="1" a="1"/>
  <c r="F556" i="29" s="1"/>
  <c r="F557" i="29" s="1" a="1"/>
  <c r="F557" i="29" s="1"/>
  <c r="F558" i="29" s="1" a="1"/>
  <c r="F558" i="29" s="1"/>
  <c r="F559" i="29" s="1" a="1"/>
  <c r="F559" i="29" s="1"/>
  <c r="F560" i="29" s="1" a="1"/>
  <c r="F560" i="29" s="1"/>
  <c r="F561" i="29" s="1" a="1"/>
  <c r="F561" i="29" s="1"/>
  <c r="F562" i="29" s="1" a="1"/>
  <c r="F562" i="29" s="1"/>
  <c r="F563" i="29" s="1" a="1"/>
  <c r="F563" i="29" s="1"/>
  <c r="F564" i="29" s="1" a="1"/>
  <c r="F564" i="29" s="1"/>
  <c r="F565" i="29" s="1" a="1"/>
  <c r="F565" i="29" s="1"/>
  <c r="F566" i="29" s="1" a="1"/>
  <c r="F566" i="29" s="1"/>
  <c r="F567" i="29" s="1" a="1"/>
  <c r="F567" i="29" s="1"/>
  <c r="BO552" i="29"/>
  <c r="BB552" i="29"/>
  <c r="AX552" i="29"/>
  <c r="AT552" i="29"/>
  <c r="BE552" i="29" s="1"/>
  <c r="AP552" i="29"/>
  <c r="AP549" i="29" s="1"/>
  <c r="AP582" i="29" s="1"/>
  <c r="AL552" i="29"/>
  <c r="AL549" i="29" s="1"/>
  <c r="AL582" i="29" s="1"/>
  <c r="BA552" i="29"/>
  <c r="AW552" i="29"/>
  <c r="BH552" i="29" s="1"/>
  <c r="AS552" i="29"/>
  <c r="AS549" i="29" s="1"/>
  <c r="AS582" i="29" s="1"/>
  <c r="AO552" i="29"/>
  <c r="AO549" i="29" s="1"/>
  <c r="AO582" i="29" s="1"/>
  <c r="AK552" i="29"/>
  <c r="AK549" i="29" s="1"/>
  <c r="AK582" i="29" s="1"/>
  <c r="AG552" i="29"/>
  <c r="AY552" i="29"/>
  <c r="AQ552" i="29"/>
  <c r="AQ549" i="29" s="1"/>
  <c r="AQ582" i="29" s="1"/>
  <c r="AI552" i="29"/>
  <c r="AV552" i="29"/>
  <c r="BG552" i="29" s="1"/>
  <c r="AN552" i="29"/>
  <c r="AN549" i="29" s="1"/>
  <c r="AN582" i="29" s="1"/>
  <c r="AF552" i="29"/>
  <c r="AF549" i="29" s="1"/>
  <c r="AF582" i="29" s="1"/>
  <c r="BC552" i="29"/>
  <c r="BC549" i="29" s="1"/>
  <c r="BC582" i="29" s="1"/>
  <c r="AM552" i="29"/>
  <c r="AM549" i="29" s="1"/>
  <c r="AM582" i="29" s="1"/>
  <c r="AZ552" i="29"/>
  <c r="AJ552" i="29"/>
  <c r="AJ549" i="29" s="1"/>
  <c r="AJ582" i="29" s="1"/>
  <c r="AU552" i="29"/>
  <c r="AE552" i="29"/>
  <c r="AE549" i="29" s="1"/>
  <c r="AE582" i="29" s="1"/>
  <c r="AR552" i="29"/>
  <c r="AR549" i="29" s="1"/>
  <c r="AR582" i="29" s="1"/>
  <c r="AT549" i="29"/>
  <c r="AG549" i="29"/>
  <c r="F571" i="30" a="1"/>
  <c r="F571" i="30" s="1"/>
  <c r="F572" i="30" s="1" a="1"/>
  <c r="F572" i="30" s="1"/>
  <c r="AJ570" i="30"/>
  <c r="AY583" i="30"/>
  <c r="BJ583" i="30" s="1"/>
  <c r="AY581" i="30"/>
  <c r="BJ582" i="30"/>
  <c r="BI582" i="30"/>
  <c r="AX583" i="30"/>
  <c r="BI583" i="30" s="1"/>
  <c r="AX581" i="30"/>
  <c r="AZ295" i="30"/>
  <c r="AZ293" i="30"/>
  <c r="BK294" i="30"/>
  <c r="AW581" i="30"/>
  <c r="BH582" i="30"/>
  <c r="AW583" i="30"/>
  <c r="BM118" i="29"/>
  <c r="BH118" i="29"/>
  <c r="BF118" i="29"/>
  <c r="BK118" i="29"/>
  <c r="BF439" i="30"/>
  <c r="AI295" i="30"/>
  <c r="BD295" i="30" s="1"/>
  <c r="BD294" i="30"/>
  <c r="AI293" i="30"/>
  <c r="BL294" i="30"/>
  <c r="BA293" i="30"/>
  <c r="BA295" i="30"/>
  <c r="BE295" i="30"/>
  <c r="BA581" i="30"/>
  <c r="BL582" i="30"/>
  <c r="BA583" i="30"/>
  <c r="BL583" i="30" s="1"/>
  <c r="F427" i="30" a="1"/>
  <c r="F427" i="30" s="1"/>
  <c r="F428" i="30" s="1" a="1"/>
  <c r="F428" i="30" s="1"/>
  <c r="AJ426" i="30"/>
  <c r="AW439" i="30"/>
  <c r="BH439" i="30" s="1"/>
  <c r="AW437" i="30"/>
  <c r="BH438" i="30"/>
  <c r="BB293" i="30"/>
  <c r="BM294" i="30"/>
  <c r="BB295" i="30"/>
  <c r="BM295" i="30" s="1"/>
  <c r="BI118" i="29"/>
  <c r="AZ264" i="29"/>
  <c r="BK264" i="29" s="1"/>
  <c r="AV264" i="29"/>
  <c r="BG264" i="29" s="1"/>
  <c r="AR264" i="29"/>
  <c r="AR261" i="29" s="1"/>
  <c r="AR294" i="29" s="1"/>
  <c r="AN264" i="29"/>
  <c r="AN261" i="29" s="1"/>
  <c r="AN294" i="29" s="1"/>
  <c r="AJ264" i="29"/>
  <c r="AJ261" i="29" s="1"/>
  <c r="AJ294" i="29" s="1"/>
  <c r="AF264" i="29"/>
  <c r="AF261" i="29" s="1"/>
  <c r="AF294" i="29" s="1"/>
  <c r="BC264" i="29"/>
  <c r="BC261" i="29" s="1"/>
  <c r="BC294" i="29" s="1"/>
  <c r="AY264" i="29"/>
  <c r="BJ264" i="29" s="1"/>
  <c r="AU264" i="29"/>
  <c r="BF264" i="29" s="1"/>
  <c r="AQ264" i="29"/>
  <c r="AQ261" i="29" s="1"/>
  <c r="AQ294" i="29" s="1"/>
  <c r="AM264" i="29"/>
  <c r="AM261" i="29" s="1"/>
  <c r="AM294" i="29" s="1"/>
  <c r="AI264" i="29"/>
  <c r="BD264" i="29" s="1"/>
  <c r="AE264" i="29"/>
  <c r="AE261" i="29" s="1"/>
  <c r="AE294" i="29" s="1"/>
  <c r="BA264" i="29"/>
  <c r="BL264" i="29" s="1"/>
  <c r="AS264" i="29"/>
  <c r="AS261" i="29" s="1"/>
  <c r="AS294" i="29" s="1"/>
  <c r="AK264" i="29"/>
  <c r="AK261" i="29" s="1"/>
  <c r="AK294" i="29" s="1"/>
  <c r="BO264" i="29"/>
  <c r="AX264" i="29"/>
  <c r="AP264" i="29"/>
  <c r="AP261" i="29" s="1"/>
  <c r="AP294" i="29" s="1"/>
  <c r="AW264" i="29"/>
  <c r="BH264" i="29" s="1"/>
  <c r="AO264" i="29"/>
  <c r="AO261" i="29" s="1"/>
  <c r="AO294" i="29" s="1"/>
  <c r="AG264" i="29"/>
  <c r="AH264" i="29" s="1"/>
  <c r="AT264" i="29"/>
  <c r="BE26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AL264" i="29"/>
  <c r="AL261" i="29" s="1"/>
  <c r="AL294" i="29" s="1"/>
  <c r="BB264" i="29"/>
  <c r="BM264" i="29" s="1"/>
  <c r="BJ294" i="30"/>
  <c r="AY295" i="30"/>
  <c r="AY293" i="30"/>
  <c r="BL118" i="29"/>
  <c r="AX293" i="30"/>
  <c r="BI294" i="30"/>
  <c r="AX295" i="30"/>
  <c r="AZ261" i="29"/>
  <c r="F120" i="29" a="1"/>
  <c r="F120" i="29" s="1"/>
  <c r="BO119" i="29"/>
  <c r="BB119" i="29"/>
  <c r="BM119" i="29" s="1"/>
  <c r="AX119" i="29"/>
  <c r="BI119" i="29" s="1"/>
  <c r="AT119" i="29"/>
  <c r="BE119" i="29" s="1"/>
  <c r="AP119" i="29"/>
  <c r="AL119" i="29"/>
  <c r="BA119" i="29"/>
  <c r="BL119" i="29" s="1"/>
  <c r="AW119" i="29"/>
  <c r="BH119" i="29" s="1"/>
  <c r="AS119" i="29"/>
  <c r="AO119" i="29"/>
  <c r="AK119" i="29"/>
  <c r="AG119" i="29"/>
  <c r="AV119" i="29"/>
  <c r="BG119" i="29" s="1"/>
  <c r="AN119" i="29"/>
  <c r="AF119" i="29"/>
  <c r="BC119" i="29"/>
  <c r="AU119" i="29"/>
  <c r="BF119" i="29" s="1"/>
  <c r="AM119" i="29"/>
  <c r="AE119" i="29"/>
  <c r="AZ119" i="29"/>
  <c r="BK119" i="29" s="1"/>
  <c r="AR119" i="29"/>
  <c r="AJ119" i="29"/>
  <c r="AY119" i="29"/>
  <c r="BJ119" i="29" s="1"/>
  <c r="AQ119" i="29"/>
  <c r="AI119" i="29"/>
  <c r="BD119" i="29" s="1"/>
  <c r="BD118" i="29"/>
  <c r="BJ118" i="29"/>
  <c r="AG581" i="30"/>
  <c r="AH581" i="30" s="1"/>
  <c r="AG583" i="30"/>
  <c r="AH582" i="30"/>
  <c r="AH583" i="30" s="1"/>
  <c r="AH407" i="29"/>
  <c r="AZ408" i="29"/>
  <c r="AV408" i="29"/>
  <c r="BG408" i="29" s="1"/>
  <c r="AR408" i="29"/>
  <c r="AR405" i="29" s="1"/>
  <c r="AR438" i="29" s="1"/>
  <c r="AN408" i="29"/>
  <c r="AN405" i="29" s="1"/>
  <c r="AN438" i="29" s="1"/>
  <c r="AJ408" i="29"/>
  <c r="AJ405" i="29" s="1"/>
  <c r="AJ438" i="29" s="1"/>
  <c r="AF408" i="29"/>
  <c r="AF405" i="29" s="1"/>
  <c r="AF438" i="29" s="1"/>
  <c r="BC408" i="29"/>
  <c r="BC405" i="29" s="1"/>
  <c r="BC438" i="29" s="1"/>
  <c r="AY408" i="29"/>
  <c r="AU408" i="29"/>
  <c r="BF408" i="29" s="1"/>
  <c r="AQ408" i="29"/>
  <c r="AQ405" i="29" s="1"/>
  <c r="AQ438" i="29" s="1"/>
  <c r="AM408" i="29"/>
  <c r="AM405" i="29" s="1"/>
  <c r="AM438" i="29" s="1"/>
  <c r="AI408" i="29"/>
  <c r="BD408" i="29" s="1"/>
  <c r="AE408" i="29"/>
  <c r="AE405" i="29" s="1"/>
  <c r="AE438" i="29" s="1"/>
  <c r="AW408" i="29"/>
  <c r="AO408" i="29"/>
  <c r="AO405" i="29" s="1"/>
  <c r="AO438" i="29" s="1"/>
  <c r="AG408" i="29"/>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B408" i="29"/>
  <c r="BM408" i="29" s="1"/>
  <c r="AT408" i="29"/>
  <c r="BE408" i="29" s="1"/>
  <c r="AL408" i="29"/>
  <c r="AL405" i="29" s="1"/>
  <c r="AL438" i="29" s="1"/>
  <c r="BA408" i="29"/>
  <c r="BL408" i="29" s="1"/>
  <c r="AK408" i="29"/>
  <c r="AK405" i="29" s="1"/>
  <c r="AK438" i="29" s="1"/>
  <c r="BO408" i="29"/>
  <c r="AX408" i="29"/>
  <c r="BI408" i="29" s="1"/>
  <c r="AS408" i="29"/>
  <c r="AS405" i="29" s="1"/>
  <c r="AS438" i="29" s="1"/>
  <c r="AP408" i="29"/>
  <c r="AP405" i="29" s="1"/>
  <c r="AP438" i="29" s="1"/>
  <c r="AT284" i="30"/>
  <c r="F285" i="30" a="1"/>
  <c r="F285" i="30" s="1"/>
  <c r="AJ284" i="30"/>
  <c r="BO284" i="30"/>
  <c r="AT117" i="30"/>
  <c r="AG117" i="30"/>
  <c r="AI261" i="29"/>
  <c r="AW549" i="29"/>
  <c r="BJ438" i="30"/>
  <c r="AV581" i="30"/>
  <c r="BG582" i="30"/>
  <c r="AV583" i="30"/>
  <c r="BG583" i="30" s="1"/>
  <c r="BE439" i="30"/>
  <c r="BJ439" i="30"/>
  <c r="AV405" i="29"/>
  <c r="AU261" i="29" l="1"/>
  <c r="BH583" i="30"/>
  <c r="AV549" i="29"/>
  <c r="BK583" i="30"/>
  <c r="BD583" i="30"/>
  <c r="AV261" i="29"/>
  <c r="BJ295" i="30"/>
  <c r="AW117" i="30"/>
  <c r="BH117" i="30" s="1"/>
  <c r="AW261" i="29"/>
  <c r="BH261" i="29" s="1"/>
  <c r="AT405" i="29"/>
  <c r="BE405" i="29" s="1"/>
  <c r="BA261" i="29"/>
  <c r="BA294" i="29" s="1"/>
  <c r="BA405" i="29"/>
  <c r="BA438" i="29" s="1"/>
  <c r="AH408" i="29"/>
  <c r="BI295" i="30"/>
  <c r="BG295" i="30"/>
  <c r="AM439" i="29"/>
  <c r="AM437" i="29"/>
  <c r="AL295" i="29"/>
  <c r="AL293" i="29"/>
  <c r="AO293" i="29"/>
  <c r="AO295" i="29"/>
  <c r="AE581" i="29"/>
  <c r="AE583" i="29"/>
  <c r="AE149" i="30"/>
  <c r="AE151" i="30"/>
  <c r="AP437" i="29"/>
  <c r="AP439" i="29"/>
  <c r="AK437" i="29"/>
  <c r="AK439" i="29"/>
  <c r="AQ439" i="29"/>
  <c r="AQ437" i="29"/>
  <c r="AF439" i="29"/>
  <c r="AF437" i="29"/>
  <c r="AN293" i="29"/>
  <c r="AN295" i="29"/>
  <c r="AS293" i="29"/>
  <c r="AS295" i="29"/>
  <c r="BC295" i="29"/>
  <c r="BC293" i="29"/>
  <c r="AR293" i="29"/>
  <c r="AR295" i="29"/>
  <c r="AJ581" i="29"/>
  <c r="AJ583" i="29"/>
  <c r="AQ583" i="29"/>
  <c r="AQ581" i="29"/>
  <c r="AM149" i="30"/>
  <c r="AM151" i="30"/>
  <c r="AL437" i="29"/>
  <c r="AL439" i="29"/>
  <c r="AQ295" i="29"/>
  <c r="AQ293" i="29"/>
  <c r="AF293" i="29"/>
  <c r="AF295" i="29"/>
  <c r="BC149" i="30"/>
  <c r="BC151" i="30"/>
  <c r="AN151" i="30"/>
  <c r="AN149" i="30"/>
  <c r="BD261" i="29"/>
  <c r="AI294" i="29"/>
  <c r="AS437" i="29"/>
  <c r="AS439" i="29"/>
  <c r="F424" i="29" a="1"/>
  <c r="F424" i="29" s="1"/>
  <c r="F425" i="29" s="1" a="1"/>
  <c r="F425" i="29" s="1"/>
  <c r="BO423" i="29"/>
  <c r="AE439" i="29"/>
  <c r="AE437" i="29"/>
  <c r="AJ439" i="29"/>
  <c r="AJ437" i="29"/>
  <c r="BK408" i="29"/>
  <c r="AZ405" i="29"/>
  <c r="BI264" i="29"/>
  <c r="AX261" i="29"/>
  <c r="AG261" i="29"/>
  <c r="BL295" i="30"/>
  <c r="BB405" i="29"/>
  <c r="BE549" i="29"/>
  <c r="AT582" i="29"/>
  <c r="AF581" i="29"/>
  <c r="AF583" i="29"/>
  <c r="AO581" i="29"/>
  <c r="AO583" i="29"/>
  <c r="AL583" i="29"/>
  <c r="AL581" i="29"/>
  <c r="BM552" i="29"/>
  <c r="BB549" i="29"/>
  <c r="BD120" i="30"/>
  <c r="AI117" i="30"/>
  <c r="AF151" i="30"/>
  <c r="AF149" i="30"/>
  <c r="BG120" i="30"/>
  <c r="AV117" i="30"/>
  <c r="AO151" i="30"/>
  <c r="AO149" i="30"/>
  <c r="AL149" i="30"/>
  <c r="AL151" i="30"/>
  <c r="BM120" i="30"/>
  <c r="BB117" i="30"/>
  <c r="BJ408" i="29"/>
  <c r="AY405" i="29"/>
  <c r="AN439" i="29"/>
  <c r="AN437" i="29"/>
  <c r="BL261" i="29"/>
  <c r="AE295" i="29"/>
  <c r="AE293" i="29"/>
  <c r="AJ293" i="29"/>
  <c r="AJ295" i="29"/>
  <c r="AR581" i="29"/>
  <c r="AR583" i="29"/>
  <c r="BK552" i="29"/>
  <c r="AZ549" i="29"/>
  <c r="AN581" i="29"/>
  <c r="AN583" i="29"/>
  <c r="BJ552" i="29"/>
  <c r="AY549" i="29"/>
  <c r="AS583" i="29"/>
  <c r="AS581" i="29"/>
  <c r="AP583" i="29"/>
  <c r="AP581" i="29"/>
  <c r="BF120" i="30"/>
  <c r="AU117" i="30"/>
  <c r="AJ149" i="30"/>
  <c r="BK120" i="30"/>
  <c r="AZ117" i="30"/>
  <c r="AS151" i="30"/>
  <c r="AS149" i="30"/>
  <c r="AP149" i="30"/>
  <c r="AP151" i="30"/>
  <c r="AI405" i="29"/>
  <c r="BB261" i="29"/>
  <c r="BG439" i="30"/>
  <c r="AH117" i="30"/>
  <c r="AG150" i="30"/>
  <c r="AJ285" i="30"/>
  <c r="F286" i="30" a="1"/>
  <c r="F286" i="30" s="1"/>
  <c r="BO285" i="30"/>
  <c r="AT285" i="30"/>
  <c r="BE117" i="30"/>
  <c r="AT150" i="30"/>
  <c r="AO437" i="29"/>
  <c r="AO439" i="29"/>
  <c r="BC439" i="29"/>
  <c r="BC437" i="29"/>
  <c r="AR439" i="29"/>
  <c r="AR437" i="29"/>
  <c r="AU405" i="29"/>
  <c r="BF261" i="29"/>
  <c r="AU294" i="29"/>
  <c r="F280" i="29" a="1"/>
  <c r="F280" i="29" s="1"/>
  <c r="F281" i="29" s="1" a="1"/>
  <c r="F281" i="29" s="1"/>
  <c r="BO279" i="29"/>
  <c r="AK293" i="29"/>
  <c r="AK295" i="29"/>
  <c r="BO428" i="30"/>
  <c r="F429" i="30" a="1"/>
  <c r="F429" i="30" s="1"/>
  <c r="AJ428" i="30"/>
  <c r="AT428" i="30"/>
  <c r="BO572" i="30"/>
  <c r="AT572" i="30"/>
  <c r="F573" i="30" a="1"/>
  <c r="F573" i="30" s="1"/>
  <c r="AJ572" i="30"/>
  <c r="AM581" i="29"/>
  <c r="AM583" i="29"/>
  <c r="AH552" i="29"/>
  <c r="F568" i="29" a="1"/>
  <c r="F568" i="29" s="1"/>
  <c r="F569" i="29" s="1" a="1"/>
  <c r="F569" i="29" s="1"/>
  <c r="BO567" i="29"/>
  <c r="BJ120" i="30"/>
  <c r="AY117" i="30"/>
  <c r="AH120" i="30"/>
  <c r="F136" i="30" a="1"/>
  <c r="F136" i="30" s="1"/>
  <c r="F137" i="30" s="1" a="1"/>
  <c r="F137" i="30" s="1"/>
  <c r="BO135" i="30"/>
  <c r="AJ135" i="30"/>
  <c r="AJ151" i="30" s="1"/>
  <c r="AG405" i="29"/>
  <c r="BG405" i="29"/>
  <c r="AV438" i="29"/>
  <c r="BH549" i="29"/>
  <c r="AW582" i="29"/>
  <c r="BH408" i="29"/>
  <c r="AW405" i="29"/>
  <c r="BG261" i="29"/>
  <c r="AV294" i="29"/>
  <c r="AH119" i="29"/>
  <c r="AZ120" i="29"/>
  <c r="BK120" i="29" s="1"/>
  <c r="AV120" i="29"/>
  <c r="BG120" i="29" s="1"/>
  <c r="AR120" i="29"/>
  <c r="AR117" i="29" s="1"/>
  <c r="AR150" i="29" s="1"/>
  <c r="AN120" i="29"/>
  <c r="AN117" i="29" s="1"/>
  <c r="AN150" i="29" s="1"/>
  <c r="AJ120" i="29"/>
  <c r="AJ117" i="29" s="1"/>
  <c r="AJ150" i="29" s="1"/>
  <c r="AF120" i="29"/>
  <c r="AF117" i="29" s="1"/>
  <c r="AF150" i="29" s="1"/>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BM120" i="29" s="1"/>
  <c r="AT120" i="29"/>
  <c r="BE120" i="29" s="1"/>
  <c r="AL120" i="29"/>
  <c r="AL117" i="29" s="1"/>
  <c r="AL150" i="29" s="1"/>
  <c r="BA120" i="29"/>
  <c r="BL120" i="29" s="1"/>
  <c r="AS120" i="29"/>
  <c r="AS117" i="29" s="1"/>
  <c r="AS150" i="29" s="1"/>
  <c r="AK120" i="29"/>
  <c r="AK117" i="29" s="1"/>
  <c r="AK150" i="29" s="1"/>
  <c r="BO120" i="29"/>
  <c r="AX120" i="29"/>
  <c r="BI120" i="29" s="1"/>
  <c r="AP120" i="29"/>
  <c r="AP117" i="29" s="1"/>
  <c r="AP150" i="29" s="1"/>
  <c r="AW120" i="29"/>
  <c r="BH120" i="29" s="1"/>
  <c r="AO120" i="29"/>
  <c r="AO117" i="29" s="1"/>
  <c r="AO150" i="29" s="1"/>
  <c r="AG120" i="29"/>
  <c r="AH120" i="29" s="1"/>
  <c r="BK261" i="29"/>
  <c r="AZ294" i="29"/>
  <c r="AP295" i="29"/>
  <c r="AP293" i="29"/>
  <c r="AM295" i="29"/>
  <c r="AM293" i="29"/>
  <c r="AX405" i="29"/>
  <c r="BG549" i="29"/>
  <c r="AV582" i="29"/>
  <c r="AT261" i="29"/>
  <c r="BF583" i="30"/>
  <c r="BK295" i="30"/>
  <c r="AH549" i="29"/>
  <c r="AG582" i="29"/>
  <c r="BF552" i="29"/>
  <c r="AU549" i="29"/>
  <c r="BC581" i="29"/>
  <c r="BC583" i="29"/>
  <c r="BD552" i="29"/>
  <c r="AI549" i="29"/>
  <c r="AK583" i="29"/>
  <c r="AK581" i="29"/>
  <c r="BL552" i="29"/>
  <c r="BA549" i="29"/>
  <c r="BI552" i="29"/>
  <c r="AX549" i="29"/>
  <c r="AY261" i="29"/>
  <c r="AQ149" i="30"/>
  <c r="AQ151" i="30"/>
  <c r="AR151" i="30"/>
  <c r="AR149" i="30"/>
  <c r="AK151" i="30"/>
  <c r="AK149" i="30"/>
  <c r="BL120" i="30"/>
  <c r="BA117" i="30"/>
  <c r="BI120" i="30"/>
  <c r="AX117" i="30"/>
  <c r="AT117" i="29"/>
  <c r="BH295" i="30"/>
  <c r="AU117" i="29" l="1"/>
  <c r="BL405" i="29"/>
  <c r="AW150" i="30"/>
  <c r="AT438" i="29"/>
  <c r="AW294" i="29"/>
  <c r="AI117" i="29"/>
  <c r="AQ151" i="29"/>
  <c r="AQ149" i="29"/>
  <c r="AF149" i="29"/>
  <c r="AF151" i="29"/>
  <c r="AO149" i="29"/>
  <c r="AO151" i="29"/>
  <c r="AE151" i="29"/>
  <c r="AE149" i="29"/>
  <c r="AJ149" i="29"/>
  <c r="AK149" i="29"/>
  <c r="AK151" i="29"/>
  <c r="AN149" i="29"/>
  <c r="AN151" i="29"/>
  <c r="AS149" i="29"/>
  <c r="AS151" i="29"/>
  <c r="AM151" i="29"/>
  <c r="AM149" i="29"/>
  <c r="AR149" i="29"/>
  <c r="AR151" i="29"/>
  <c r="BL117" i="30"/>
  <c r="BA150" i="30"/>
  <c r="BJ261" i="29"/>
  <c r="AY294" i="29"/>
  <c r="BF117" i="29"/>
  <c r="AU150" i="29"/>
  <c r="AZ293" i="29"/>
  <c r="BK294" i="29"/>
  <c r="AZ295" i="29"/>
  <c r="BK295" i="29" s="1"/>
  <c r="BH405" i="29"/>
  <c r="AW438" i="29"/>
  <c r="AV439" i="29"/>
  <c r="BG439" i="29" s="1"/>
  <c r="BG438" i="29"/>
  <c r="AV437" i="29"/>
  <c r="F570" i="29" a="1"/>
  <c r="F570" i="29" s="1"/>
  <c r="BO569" i="29"/>
  <c r="AJ569" i="29"/>
  <c r="AT569" i="29"/>
  <c r="AW117" i="29"/>
  <c r="F282" i="29" a="1"/>
  <c r="F282" i="29" s="1"/>
  <c r="BO281" i="29"/>
  <c r="AT281" i="29"/>
  <c r="AJ281" i="29"/>
  <c r="AW293" i="29"/>
  <c r="BH294" i="29"/>
  <c r="AW295" i="29"/>
  <c r="BH295" i="29" s="1"/>
  <c r="BK117" i="30"/>
  <c r="AZ150" i="30"/>
  <c r="BF117" i="30"/>
  <c r="AU150" i="30"/>
  <c r="BM117" i="30"/>
  <c r="BB150" i="30"/>
  <c r="AW151" i="30"/>
  <c r="BH151" i="30" s="1"/>
  <c r="AW149" i="30"/>
  <c r="BH150" i="30"/>
  <c r="BM405" i="29"/>
  <c r="BB438" i="29"/>
  <c r="AH261" i="29"/>
  <c r="AG294" i="29"/>
  <c r="AG117" i="29"/>
  <c r="AP151" i="29"/>
  <c r="AP149" i="29"/>
  <c r="AU295" i="29"/>
  <c r="BF295" i="29" s="1"/>
  <c r="AU293" i="29"/>
  <c r="BF294" i="29"/>
  <c r="AT149" i="30"/>
  <c r="BE150" i="30"/>
  <c r="AG151" i="30"/>
  <c r="AH150" i="30"/>
  <c r="AH151" i="30" s="1"/>
  <c r="AG149" i="30"/>
  <c r="AH149" i="30" s="1"/>
  <c r="BB117" i="29"/>
  <c r="BI261" i="29"/>
  <c r="AX294" i="29"/>
  <c r="AI295" i="29"/>
  <c r="AI293" i="29"/>
  <c r="BC151" i="29"/>
  <c r="BC149" i="29"/>
  <c r="BJ117" i="30"/>
  <c r="AY150" i="30"/>
  <c r="BO135" i="29"/>
  <c r="F136" i="29" a="1"/>
  <c r="F136" i="29" s="1"/>
  <c r="F137" i="29" s="1" a="1"/>
  <c r="F137" i="29" s="1"/>
  <c r="AJ135" i="29"/>
  <c r="AJ151" i="29" s="1"/>
  <c r="AV293" i="29"/>
  <c r="BG294" i="29"/>
  <c r="AV295" i="29"/>
  <c r="BG295" i="29" s="1"/>
  <c r="BH582" i="29"/>
  <c r="AW583" i="29"/>
  <c r="BH583" i="29" s="1"/>
  <c r="AW581" i="29"/>
  <c r="AH405" i="29"/>
  <c r="AG438" i="29"/>
  <c r="F138" i="30" a="1"/>
  <c r="F138" i="30" s="1"/>
  <c r="BO137" i="30"/>
  <c r="AT137" i="30"/>
  <c r="AJ137" i="30"/>
  <c r="BF405" i="29"/>
  <c r="AU438" i="29"/>
  <c r="BE438" i="29" s="1"/>
  <c r="BM261" i="29"/>
  <c r="BB294" i="29"/>
  <c r="BJ549" i="29"/>
  <c r="AY582" i="29"/>
  <c r="BK549" i="29"/>
  <c r="AZ582" i="29"/>
  <c r="BA293" i="29"/>
  <c r="BL294" i="29"/>
  <c r="BA295" i="29"/>
  <c r="BL295" i="29" s="1"/>
  <c r="BJ405" i="29"/>
  <c r="AY438" i="29"/>
  <c r="BG117" i="30"/>
  <c r="AV150" i="30"/>
  <c r="BD117" i="30"/>
  <c r="AI150" i="30"/>
  <c r="BM549" i="29"/>
  <c r="BB582" i="29"/>
  <c r="AT583" i="29"/>
  <c r="AT581" i="29"/>
  <c r="AZ117" i="29"/>
  <c r="F426" i="29" a="1"/>
  <c r="F426" i="29" s="1"/>
  <c r="BO425" i="29"/>
  <c r="AT425" i="29"/>
  <c r="AJ425" i="29"/>
  <c r="BE117" i="29"/>
  <c r="AT150" i="29"/>
  <c r="BI549" i="29"/>
  <c r="AX582" i="29"/>
  <c r="AH582" i="29"/>
  <c r="AH583" i="29" s="1"/>
  <c r="AG583" i="29"/>
  <c r="AG581" i="29"/>
  <c r="AH581" i="29" s="1"/>
  <c r="BI405" i="29"/>
  <c r="AX438" i="29"/>
  <c r="BD117" i="29"/>
  <c r="AI150" i="29"/>
  <c r="AT573" i="30"/>
  <c r="AJ573" i="30"/>
  <c r="BO573" i="30"/>
  <c r="F574" i="30" a="1"/>
  <c r="F574" i="30" s="1"/>
  <c r="BI117" i="30"/>
  <c r="AX150" i="30"/>
  <c r="BE261" i="29"/>
  <c r="AT294" i="29"/>
  <c r="BD294" i="29" s="1"/>
  <c r="AX117" i="29"/>
  <c r="BL549" i="29"/>
  <c r="BA582" i="29"/>
  <c r="BD549" i="29"/>
  <c r="AI582" i="29"/>
  <c r="BF549" i="29"/>
  <c r="AU582" i="29"/>
  <c r="BE582" i="29" s="1"/>
  <c r="AV581" i="29"/>
  <c r="AV583" i="29"/>
  <c r="BG583" i="29" s="1"/>
  <c r="BG582" i="29"/>
  <c r="BA117" i="29"/>
  <c r="AL151" i="29"/>
  <c r="AL149" i="29"/>
  <c r="AV117" i="29"/>
  <c r="AT429" i="30"/>
  <c r="AJ429" i="30"/>
  <c r="F430" i="30" a="1"/>
  <c r="F430" i="30" s="1"/>
  <c r="F431" i="30" s="1" a="1"/>
  <c r="F431" i="30" s="1"/>
  <c r="BO429" i="30"/>
  <c r="AY117" i="29"/>
  <c r="BA437" i="29"/>
  <c r="BL438" i="29"/>
  <c r="BA439" i="29"/>
  <c r="BL439" i="29" s="1"/>
  <c r="AT286" i="30"/>
  <c r="F287" i="30" a="1"/>
  <c r="F287" i="30" s="1"/>
  <c r="BO286" i="30"/>
  <c r="AJ286" i="30"/>
  <c r="AT437" i="29"/>
  <c r="AT439" i="29"/>
  <c r="BD405" i="29"/>
  <c r="AI438" i="29"/>
  <c r="BK405" i="29"/>
  <c r="AZ438" i="29"/>
  <c r="AI439" i="29" l="1"/>
  <c r="BD439" i="29" s="1"/>
  <c r="AI437" i="29"/>
  <c r="BD438" i="29"/>
  <c r="F432" i="30" a="1"/>
  <c r="F432" i="30" s="1"/>
  <c r="BO431" i="30"/>
  <c r="AJ431" i="30"/>
  <c r="BD582" i="29"/>
  <c r="AI583" i="29"/>
  <c r="BD583" i="29" s="1"/>
  <c r="AI581" i="29"/>
  <c r="BI117" i="29"/>
  <c r="AX150" i="29"/>
  <c r="AX583" i="29"/>
  <c r="BI583" i="29" s="1"/>
  <c r="AX581" i="29"/>
  <c r="BI582" i="29"/>
  <c r="BK117" i="29"/>
  <c r="AZ150" i="29"/>
  <c r="BB583" i="29"/>
  <c r="BM583" i="29" s="1"/>
  <c r="BB581" i="29"/>
  <c r="BM582" i="29"/>
  <c r="BG150" i="30"/>
  <c r="AV151" i="30"/>
  <c r="BG151" i="30" s="1"/>
  <c r="AV149" i="30"/>
  <c r="BM117" i="29"/>
  <c r="BB150" i="29"/>
  <c r="AH117" i="29"/>
  <c r="AG150" i="29"/>
  <c r="BB149" i="30"/>
  <c r="BM150" i="30"/>
  <c r="BB151" i="30"/>
  <c r="BM151" i="30" s="1"/>
  <c r="BK150" i="30"/>
  <c r="AZ151" i="30"/>
  <c r="BK151" i="30" s="1"/>
  <c r="AZ149" i="30"/>
  <c r="F283" i="29" a="1"/>
  <c r="F283" i="29" s="1"/>
  <c r="F284" i="29" s="1" a="1"/>
  <c r="F284" i="29" s="1"/>
  <c r="AT282" i="29"/>
  <c r="AJ282" i="29"/>
  <c r="AY295" i="29"/>
  <c r="BJ295" i="29" s="1"/>
  <c r="BJ294" i="29"/>
  <c r="AY293" i="29"/>
  <c r="BG117" i="29"/>
  <c r="AV150" i="29"/>
  <c r="AX149" i="30"/>
  <c r="BI150" i="30"/>
  <c r="AX151" i="30"/>
  <c r="BI151" i="30" s="1"/>
  <c r="AZ439" i="29"/>
  <c r="BK439" i="29" s="1"/>
  <c r="AZ437" i="29"/>
  <c r="BK438" i="29"/>
  <c r="BO287" i="30"/>
  <c r="AJ287" i="30"/>
  <c r="F288" i="30" a="1"/>
  <c r="F288" i="30" s="1"/>
  <c r="AT287" i="30"/>
  <c r="BE294" i="29"/>
  <c r="AT295" i="29"/>
  <c r="BE295" i="29" s="1"/>
  <c r="AT293" i="29"/>
  <c r="F575" i="30" a="1"/>
  <c r="F575" i="30" s="1"/>
  <c r="AT574" i="30"/>
  <c r="AI151" i="29"/>
  <c r="BD151" i="29" s="1"/>
  <c r="BD150" i="29"/>
  <c r="AI149" i="29"/>
  <c r="BJ582" i="29"/>
  <c r="AY583" i="29"/>
  <c r="BJ583" i="29" s="1"/>
  <c r="AY581" i="29"/>
  <c r="BF438" i="29"/>
  <c r="AU439" i="29"/>
  <c r="BF439" i="29" s="1"/>
  <c r="AU437" i="29"/>
  <c r="AJ137" i="29"/>
  <c r="F138" i="29" a="1"/>
  <c r="F138" i="29" s="1"/>
  <c r="BO137" i="29"/>
  <c r="AT137" i="29"/>
  <c r="AG293" i="29"/>
  <c r="AH293" i="29" s="1"/>
  <c r="AG295" i="29"/>
  <c r="AH294" i="29"/>
  <c r="AH295" i="29" s="1"/>
  <c r="BH117" i="29"/>
  <c r="AW150" i="29"/>
  <c r="AJ570" i="29"/>
  <c r="F571" i="29" a="1"/>
  <c r="F571" i="29" s="1"/>
  <c r="F572" i="29" s="1" a="1"/>
  <c r="F572" i="29" s="1"/>
  <c r="AW437" i="29"/>
  <c r="BH438" i="29"/>
  <c r="AW439" i="29"/>
  <c r="BH439" i="29" s="1"/>
  <c r="BJ117" i="29"/>
  <c r="AY150" i="29"/>
  <c r="BL117" i="29"/>
  <c r="BA150" i="29"/>
  <c r="BF582" i="29"/>
  <c r="AU581" i="29"/>
  <c r="AU583" i="29"/>
  <c r="BF583" i="29" s="1"/>
  <c r="BL582" i="29"/>
  <c r="BA583" i="29"/>
  <c r="BL583" i="29" s="1"/>
  <c r="BA581" i="29"/>
  <c r="BE150" i="29"/>
  <c r="AT149" i="29"/>
  <c r="AI149" i="30"/>
  <c r="AI151" i="30"/>
  <c r="BD151" i="30" s="1"/>
  <c r="BD150" i="30"/>
  <c r="BJ438" i="29"/>
  <c r="AY439" i="29"/>
  <c r="BJ439" i="29" s="1"/>
  <c r="AY437" i="29"/>
  <c r="F139" i="30" a="1"/>
  <c r="F139" i="30" s="1"/>
  <c r="BO138" i="30"/>
  <c r="AT138" i="30"/>
  <c r="AJ138" i="30"/>
  <c r="BI294" i="29"/>
  <c r="AX295" i="29"/>
  <c r="BI295" i="29" s="1"/>
  <c r="AX293" i="29"/>
  <c r="AU149" i="30"/>
  <c r="BF150" i="30"/>
  <c r="AU151" i="30"/>
  <c r="BF151" i="30" s="1"/>
  <c r="AU151" i="29"/>
  <c r="BF151" i="29" s="1"/>
  <c r="AU149" i="29"/>
  <c r="BF150" i="29"/>
  <c r="BA151" i="30"/>
  <c r="BL151" i="30" s="1"/>
  <c r="BA149" i="30"/>
  <c r="BL150" i="30"/>
  <c r="AX437" i="29"/>
  <c r="BI438" i="29"/>
  <c r="AX439" i="29"/>
  <c r="BI439" i="29" s="1"/>
  <c r="AJ426" i="29"/>
  <c r="F427" i="29" a="1"/>
  <c r="F427" i="29" s="1"/>
  <c r="F428" i="29" s="1" a="1"/>
  <c r="F428" i="29" s="1"/>
  <c r="BE583" i="29"/>
  <c r="AZ581" i="29"/>
  <c r="AZ583" i="29"/>
  <c r="BK583" i="29" s="1"/>
  <c r="BK582" i="29"/>
  <c r="BM294" i="29"/>
  <c r="BB295" i="29"/>
  <c r="BM295" i="29" s="1"/>
  <c r="BB293" i="29"/>
  <c r="AH438" i="29"/>
  <c r="AH439" i="29" s="1"/>
  <c r="AG437" i="29"/>
  <c r="AH437" i="29" s="1"/>
  <c r="AG439" i="29"/>
  <c r="AY149" i="30"/>
  <c r="BJ150" i="30"/>
  <c r="AY151" i="30"/>
  <c r="BJ151" i="30" s="1"/>
  <c r="BB437" i="29"/>
  <c r="BM438" i="29"/>
  <c r="BB439" i="29"/>
  <c r="BM439" i="29" s="1"/>
  <c r="BD295" i="29" l="1"/>
  <c r="AY151" i="29"/>
  <c r="BJ151" i="29" s="1"/>
  <c r="BJ150" i="29"/>
  <c r="AY149" i="29"/>
  <c r="AT428" i="29"/>
  <c r="F429" i="29" a="1"/>
  <c r="F429" i="29" s="1"/>
  <c r="AJ428" i="29"/>
  <c r="BO428" i="29"/>
  <c r="AJ139" i="30"/>
  <c r="F140" i="30" a="1"/>
  <c r="F140" i="30" s="1"/>
  <c r="BA149" i="29"/>
  <c r="BL150" i="29"/>
  <c r="BA151" i="29"/>
  <c r="BL151" i="29" s="1"/>
  <c r="AV149" i="29"/>
  <c r="BG150" i="29"/>
  <c r="AV151" i="29"/>
  <c r="BG151" i="29" s="1"/>
  <c r="BM150" i="29"/>
  <c r="BB151" i="29"/>
  <c r="BM151" i="29" s="1"/>
  <c r="BB149" i="29"/>
  <c r="AZ149" i="29"/>
  <c r="BK150" i="29"/>
  <c r="AZ151" i="29"/>
  <c r="BK151" i="29" s="1"/>
  <c r="F433" i="30" a="1"/>
  <c r="F433" i="30" s="1"/>
  <c r="AJ432" i="30"/>
  <c r="AW149" i="29"/>
  <c r="BH150" i="29"/>
  <c r="AW151" i="29"/>
  <c r="BH151" i="29" s="1"/>
  <c r="AT138" i="29"/>
  <c r="AJ138" i="29"/>
  <c r="BO138" i="29"/>
  <c r="F139" i="29" a="1"/>
  <c r="F139" i="29" s="1"/>
  <c r="F576" i="30" a="1"/>
  <c r="F576" i="30" s="1"/>
  <c r="BO575" i="30"/>
  <c r="AJ575" i="30"/>
  <c r="BE287" i="30"/>
  <c r="BD287" i="30"/>
  <c r="BE439" i="29"/>
  <c r="BI150" i="29"/>
  <c r="AX151" i="29"/>
  <c r="BI151" i="29" s="1"/>
  <c r="AX149" i="29"/>
  <c r="F289" i="30" a="1"/>
  <c r="F289" i="30" s="1"/>
  <c r="BO288" i="30"/>
  <c r="AJ288" i="30"/>
  <c r="AT288" i="30"/>
  <c r="AG149" i="29"/>
  <c r="AH149" i="29" s="1"/>
  <c r="AG151" i="29"/>
  <c r="AH150" i="29"/>
  <c r="AH151" i="29" s="1"/>
  <c r="AT572" i="29"/>
  <c r="BO572" i="29"/>
  <c r="AJ572" i="29"/>
  <c r="F573" i="29" a="1"/>
  <c r="F573" i="29" s="1"/>
  <c r="F285" i="29" a="1"/>
  <c r="F285" i="29" s="1"/>
  <c r="AJ284" i="29"/>
  <c r="AT284" i="29"/>
  <c r="BO284" i="29"/>
  <c r="F577" i="30" l="1" a="1"/>
  <c r="F577" i="30" s="1"/>
  <c r="AJ576" i="30"/>
  <c r="AJ573" i="29"/>
  <c r="F574" i="29" a="1"/>
  <c r="F574" i="29" s="1"/>
  <c r="BO573" i="29"/>
  <c r="AT573" i="29"/>
  <c r="F140" i="29" a="1"/>
  <c r="F140" i="29" s="1"/>
  <c r="AJ139" i="29"/>
  <c r="AJ433" i="30"/>
  <c r="F434" i="30" a="1"/>
  <c r="F434" i="30" s="1"/>
  <c r="BO433" i="30"/>
  <c r="AT433" i="30"/>
  <c r="F286" i="29" a="1"/>
  <c r="F286" i="29" s="1"/>
  <c r="BO285" i="29"/>
  <c r="AT285" i="29"/>
  <c r="AJ285" i="29"/>
  <c r="AT289" i="30"/>
  <c r="BO289" i="30"/>
  <c r="AJ289" i="30"/>
  <c r="F290" i="30" a="1"/>
  <c r="F290" i="30" s="1"/>
  <c r="AT140" i="30"/>
  <c r="F141" i="30" a="1"/>
  <c r="F141" i="30" s="1"/>
  <c r="AJ140" i="30"/>
  <c r="BO140" i="30"/>
  <c r="AJ429" i="29"/>
  <c r="AT429" i="29"/>
  <c r="F430" i="29" a="1"/>
  <c r="F430" i="29" s="1"/>
  <c r="F431" i="29" s="1" a="1"/>
  <c r="F431" i="29" s="1"/>
  <c r="BO429" i="29"/>
  <c r="AJ290" i="30" l="1"/>
  <c r="F291" i="30" a="1"/>
  <c r="F291" i="30" s="1"/>
  <c r="BO290" i="30"/>
  <c r="AT290" i="30"/>
  <c r="F575" i="29" a="1"/>
  <c r="F575" i="29" s="1"/>
  <c r="AT574" i="29"/>
  <c r="F432" i="29" a="1"/>
  <c r="F432" i="29" s="1"/>
  <c r="BO431" i="29"/>
  <c r="AJ431" i="29"/>
  <c r="AJ141" i="30"/>
  <c r="F142" i="30" a="1"/>
  <c r="F142" i="30" s="1"/>
  <c r="BO141" i="30"/>
  <c r="AT141" i="30"/>
  <c r="AT434" i="30"/>
  <c r="F435" i="30" a="1"/>
  <c r="F435" i="30" s="1"/>
  <c r="BO434" i="30"/>
  <c r="AJ434" i="30"/>
  <c r="BO140" i="29"/>
  <c r="AT140" i="29"/>
  <c r="F141" i="29" a="1"/>
  <c r="F141" i="29" s="1"/>
  <c r="AJ140" i="29"/>
  <c r="AJ286" i="29"/>
  <c r="BO286" i="29"/>
  <c r="AT286" i="29"/>
  <c r="F287" i="29" a="1"/>
  <c r="F287" i="29" s="1"/>
  <c r="F578" i="30" a="1"/>
  <c r="F578" i="30" s="1"/>
  <c r="BO577" i="30"/>
  <c r="AT577" i="30"/>
  <c r="AJ577" i="30"/>
  <c r="F142" i="29" l="1" a="1"/>
  <c r="F142" i="29" s="1"/>
  <c r="BO141" i="29"/>
  <c r="AT141" i="29"/>
  <c r="AJ141" i="29"/>
  <c r="F579" i="30" a="1"/>
  <c r="F579" i="30" s="1"/>
  <c r="BO578" i="30"/>
  <c r="AT578" i="30"/>
  <c r="AJ578" i="30"/>
  <c r="BO435" i="30"/>
  <c r="AJ435" i="30"/>
  <c r="AT435" i="30"/>
  <c r="F436" i="30" a="1"/>
  <c r="F436" i="30" s="1"/>
  <c r="F437" i="30" s="1" a="1"/>
  <c r="F437" i="30" s="1"/>
  <c r="F438" i="30" s="1" a="1"/>
  <c r="F438" i="30" s="1"/>
  <c r="F439" i="30" s="1" a="1"/>
  <c r="F439" i="30" s="1"/>
  <c r="F440" i="30" s="1" a="1"/>
  <c r="F440" i="30" s="1"/>
  <c r="F441" i="30" s="1" a="1"/>
  <c r="F441" i="30" s="1"/>
  <c r="F442" i="30" s="1" a="1"/>
  <c r="F442" i="30" s="1"/>
  <c r="AT142" i="30"/>
  <c r="AJ142" i="30"/>
  <c r="BO142" i="30"/>
  <c r="F143" i="30" a="1"/>
  <c r="F143" i="30" s="1"/>
  <c r="F433" i="29" a="1"/>
  <c r="F433" i="29" s="1"/>
  <c r="AJ432" i="29"/>
  <c r="F292" i="30" a="1"/>
  <c r="F292" i="30" s="1"/>
  <c r="F293" i="30" s="1" a="1"/>
  <c r="F293" i="30" s="1"/>
  <c r="F294" i="30" s="1" a="1"/>
  <c r="F294" i="30" s="1"/>
  <c r="F295" i="30" s="1" a="1"/>
  <c r="F295" i="30" s="1"/>
  <c r="F296" i="30" s="1" a="1"/>
  <c r="F296" i="30" s="1"/>
  <c r="F297" i="30" s="1" a="1"/>
  <c r="F297" i="30" s="1"/>
  <c r="F298" i="30" s="1" a="1"/>
  <c r="F298" i="30" s="1"/>
  <c r="AT291" i="30"/>
  <c r="BO291" i="30"/>
  <c r="AJ291" i="30"/>
  <c r="AJ287" i="29"/>
  <c r="BO287" i="29"/>
  <c r="F288" i="29" a="1"/>
  <c r="F288" i="29" s="1"/>
  <c r="AT287" i="29"/>
  <c r="AJ575" i="29"/>
  <c r="F576" i="29" a="1"/>
  <c r="F576" i="29" s="1"/>
  <c r="BO575" i="29"/>
  <c r="F577" i="29" l="1" a="1"/>
  <c r="F577" i="29" s="1"/>
  <c r="AJ576" i="29"/>
  <c r="F144" i="30" a="1"/>
  <c r="F144" i="30" s="1"/>
  <c r="BO143" i="30"/>
  <c r="AT143" i="30"/>
  <c r="BE143" i="30" s="1"/>
  <c r="AJ143" i="30"/>
  <c r="BA442" i="30"/>
  <c r="AW442" i="30"/>
  <c r="AS442" i="30"/>
  <c r="AO442" i="30"/>
  <c r="AK442" i="30"/>
  <c r="AG442" i="30"/>
  <c r="F443" i="30" a="1"/>
  <c r="F443" i="30" s="1"/>
  <c r="F444" i="30" s="1" a="1"/>
  <c r="F444" i="30" s="1"/>
  <c r="F445" i="30" s="1" a="1"/>
  <c r="F445" i="30" s="1"/>
  <c r="F446" i="30" s="1" a="1"/>
  <c r="F446" i="30" s="1"/>
  <c r="F447" i="30" s="1" a="1"/>
  <c r="F447" i="30" s="1"/>
  <c r="F448" i="30" s="1" a="1"/>
  <c r="F448" i="30" s="1"/>
  <c r="F449" i="30" s="1" a="1"/>
  <c r="F449" i="30" s="1"/>
  <c r="F450" i="30" s="1" a="1"/>
  <c r="F450" i="30" s="1"/>
  <c r="BC442" i="30"/>
  <c r="AY442" i="30"/>
  <c r="AU442" i="30"/>
  <c r="AQ442" i="30"/>
  <c r="AM442" i="30"/>
  <c r="AI442" i="30"/>
  <c r="AE442" i="30"/>
  <c r="AZ442" i="30"/>
  <c r="AR442" i="30"/>
  <c r="AJ442" i="30"/>
  <c r="AX442" i="30"/>
  <c r="AP442" i="30"/>
  <c r="AV442" i="30"/>
  <c r="AN442" i="30"/>
  <c r="AF442" i="30"/>
  <c r="BB442" i="30"/>
  <c r="AT442" i="30"/>
  <c r="AL442" i="30"/>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AW298" i="30"/>
  <c r="AG298" i="30"/>
  <c r="AS298" i="30"/>
  <c r="AO298" i="30"/>
  <c r="AK298" i="30"/>
  <c r="BA298" i="30"/>
  <c r="BD287" i="29"/>
  <c r="BE287" i="29"/>
  <c r="AT288" i="29"/>
  <c r="AJ288" i="29"/>
  <c r="F289" i="29" a="1"/>
  <c r="F289" i="29" s="1"/>
  <c r="BO288" i="29"/>
  <c r="F434" i="29" a="1"/>
  <c r="F434" i="29" s="1"/>
  <c r="BO433" i="29"/>
  <c r="AJ433" i="29"/>
  <c r="AT433" i="29"/>
  <c r="AJ579" i="30"/>
  <c r="BO579" i="30"/>
  <c r="F580" i="30" a="1"/>
  <c r="F580" i="30" s="1"/>
  <c r="F581" i="30" s="1" a="1"/>
  <c r="F581" i="30" s="1"/>
  <c r="F582" i="30" s="1" a="1"/>
  <c r="F582" i="30" s="1"/>
  <c r="F583" i="30" s="1" a="1"/>
  <c r="F583" i="30" s="1"/>
  <c r="F584" i="30" s="1" a="1"/>
  <c r="F584" i="30" s="1"/>
  <c r="F585" i="30" s="1" a="1"/>
  <c r="F585" i="30" s="1"/>
  <c r="F586" i="30" s="1" a="1"/>
  <c r="F586" i="30" s="1"/>
  <c r="AT579" i="30"/>
  <c r="F143" i="29" a="1"/>
  <c r="F143" i="29" s="1"/>
  <c r="BO142" i="29"/>
  <c r="AT142" i="29"/>
  <c r="AJ142" i="29"/>
  <c r="BA305" i="30" l="1"/>
  <c r="BL305" i="30" s="1"/>
  <c r="BA304" i="30"/>
  <c r="BA299" i="30"/>
  <c r="BA301" i="30" s="1"/>
  <c r="BA302" i="30" s="1"/>
  <c r="BB300" i="30" s="1" a="1"/>
  <c r="BB300" i="30" s="1"/>
  <c r="BB303" i="30" s="1"/>
  <c r="AG301" i="30"/>
  <c r="AH298" i="30"/>
  <c r="AT301" i="30"/>
  <c r="AI301" i="30"/>
  <c r="AY305" i="30"/>
  <c r="BJ305" i="30" s="1"/>
  <c r="AY304" i="30"/>
  <c r="AY299" i="30"/>
  <c r="AY301" i="30" s="1"/>
  <c r="AY302" i="30" s="1"/>
  <c r="AZ300" i="30" s="1" a="1"/>
  <c r="AZ300" i="30" s="1"/>
  <c r="AZ303" i="30" s="1"/>
  <c r="AJ301" i="30"/>
  <c r="AZ305" i="30"/>
  <c r="BK305" i="30" s="1"/>
  <c r="AZ304" i="30"/>
  <c r="AZ299" i="30"/>
  <c r="AZ301" i="30" s="1"/>
  <c r="AZ302" i="30" s="1"/>
  <c r="BA300" i="30" s="1" a="1"/>
  <c r="BA300" i="30" s="1"/>
  <c r="BA303" i="30" s="1"/>
  <c r="AF445" i="30"/>
  <c r="AX449" i="30"/>
  <c r="BI449" i="30" s="1"/>
  <c r="AX448" i="30"/>
  <c r="AX443" i="30"/>
  <c r="AX445" i="30" s="1"/>
  <c r="AX446" i="30" s="1"/>
  <c r="AY444" i="30" s="1" a="1"/>
  <c r="AY444" i="30" s="1"/>
  <c r="AY447" i="30" s="1"/>
  <c r="AE445" i="30"/>
  <c r="AU443" i="30"/>
  <c r="AU445" i="30" s="1"/>
  <c r="AU446" i="30" s="1"/>
  <c r="AU449" i="30"/>
  <c r="BF449" i="30" s="1"/>
  <c r="AU448" i="30"/>
  <c r="AG445" i="30"/>
  <c r="AH442" i="30"/>
  <c r="AW449" i="30"/>
  <c r="BH449" i="30" s="1"/>
  <c r="AW448" i="30"/>
  <c r="AW443" i="30"/>
  <c r="AW445" i="30" s="1"/>
  <c r="AW446" i="30" s="1"/>
  <c r="AX444" i="30" s="1" a="1"/>
  <c r="AX444" i="30" s="1"/>
  <c r="AX447" i="30" s="1"/>
  <c r="AJ434" i="29"/>
  <c r="BO434" i="29"/>
  <c r="AT434" i="29"/>
  <c r="F435" i="29" a="1"/>
  <c r="F435" i="29" s="1"/>
  <c r="AK305" i="30"/>
  <c r="AK299" i="30"/>
  <c r="AK301" i="30"/>
  <c r="AK302" i="30" s="1"/>
  <c r="AK304" i="30"/>
  <c r="AW305" i="30"/>
  <c r="BH305" i="30" s="1"/>
  <c r="AW304" i="30"/>
  <c r="AW301" i="30"/>
  <c r="AW302" i="30" s="1"/>
  <c r="AX300" i="30" s="1" a="1"/>
  <c r="AX300" i="30" s="1"/>
  <c r="AX303" i="30" s="1"/>
  <c r="AW299" i="30"/>
  <c r="AX301" i="30"/>
  <c r="AX302" i="30" s="1"/>
  <c r="AY300" i="30" s="1" a="1"/>
  <c r="AY300" i="30" s="1"/>
  <c r="AY303" i="30" s="1"/>
  <c r="AX299" i="30"/>
  <c r="AX304" i="30"/>
  <c r="AX305" i="30"/>
  <c r="BI305" i="30" s="1"/>
  <c r="AM304" i="30"/>
  <c r="AM305" i="30"/>
  <c r="AM299" i="30"/>
  <c r="AM301" i="30" s="1"/>
  <c r="AM302" i="30" s="1"/>
  <c r="BC305" i="30"/>
  <c r="BC304" i="30"/>
  <c r="BC299" i="30"/>
  <c r="BC301" i="30" s="1"/>
  <c r="BC302" i="30" s="1"/>
  <c r="AN304" i="30"/>
  <c r="AN305" i="30"/>
  <c r="AN299" i="30"/>
  <c r="AN301" i="30" s="1"/>
  <c r="AN302" i="30" s="1"/>
  <c r="AL443" i="30"/>
  <c r="AL445" i="30" s="1"/>
  <c r="AL446" i="30" s="1"/>
  <c r="AL449" i="30"/>
  <c r="AL448" i="30"/>
  <c r="AN443" i="30"/>
  <c r="AN445" i="30" s="1"/>
  <c r="AN446" i="30" s="1"/>
  <c r="AN449" i="30"/>
  <c r="AN448" i="30"/>
  <c r="AJ445" i="30"/>
  <c r="AI445" i="30"/>
  <c r="AY443" i="30"/>
  <c r="AY445" i="30" s="1"/>
  <c r="AY446" i="30" s="1"/>
  <c r="AZ444" i="30" s="1" a="1"/>
  <c r="AZ444" i="30" s="1"/>
  <c r="AZ447" i="30" s="1"/>
  <c r="AY449" i="30"/>
  <c r="BJ449" i="30" s="1"/>
  <c r="AY448" i="30"/>
  <c r="AK449" i="30"/>
  <c r="AK448" i="30"/>
  <c r="AK443" i="30"/>
  <c r="AK445" i="30" s="1"/>
  <c r="AK446" i="30" s="1"/>
  <c r="BA449" i="30"/>
  <c r="BL449" i="30" s="1"/>
  <c r="BA448" i="30"/>
  <c r="BA443" i="30"/>
  <c r="BA445" i="30" s="1"/>
  <c r="BA446" i="30" s="1"/>
  <c r="BB444" i="30" s="1" a="1"/>
  <c r="BB444" i="30" s="1"/>
  <c r="BB447" i="30" s="1"/>
  <c r="F145" i="30" a="1"/>
  <c r="F145" i="30" s="1"/>
  <c r="BO144" i="30"/>
  <c r="AT144" i="30"/>
  <c r="AJ144" i="30"/>
  <c r="AO305" i="30"/>
  <c r="AO299" i="30"/>
  <c r="AO301" i="30" s="1"/>
  <c r="AO302" i="30" s="1"/>
  <c r="AO304" i="30"/>
  <c r="AL304" i="30"/>
  <c r="AL305" i="30"/>
  <c r="AL299" i="30"/>
  <c r="AL301" i="30" s="1"/>
  <c r="AL302" i="30" s="1"/>
  <c r="BB299" i="30"/>
  <c r="BB301" i="30" s="1"/>
  <c r="BB302" i="30" s="1"/>
  <c r="BC300" i="30" s="1" a="1"/>
  <c r="BC300" i="30" s="1"/>
  <c r="BC303" i="30" s="1"/>
  <c r="BB305" i="30"/>
  <c r="BM305" i="30" s="1"/>
  <c r="BB304" i="30"/>
  <c r="AQ304" i="30"/>
  <c r="AQ305" i="30"/>
  <c r="AQ299" i="30"/>
  <c r="AQ301" i="30" s="1"/>
  <c r="AQ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E306" i="30"/>
  <c r="BB306" i="30"/>
  <c r="AX306" i="30"/>
  <c r="AT306" i="30"/>
  <c r="AP306" i="30"/>
  <c r="AL306" i="30"/>
  <c r="BA306" i="30"/>
  <c r="AW306" i="30"/>
  <c r="AS306" i="30"/>
  <c r="AO306" i="30"/>
  <c r="AK306" i="30"/>
  <c r="AG306" i="30"/>
  <c r="AZ306" i="30"/>
  <c r="AJ306" i="30"/>
  <c r="AJ305" i="30" s="1"/>
  <c r="AV306" i="30"/>
  <c r="AF306" i="30"/>
  <c r="AF305" i="30" s="1"/>
  <c r="AR306" i="30"/>
  <c r="AN306" i="30"/>
  <c r="AR304" i="30"/>
  <c r="AR305" i="30"/>
  <c r="AR299" i="30"/>
  <c r="AR301" i="30" s="1"/>
  <c r="AR302" i="30" s="1"/>
  <c r="AT445" i="30"/>
  <c r="AT448" i="30"/>
  <c r="AV443" i="30"/>
  <c r="AV445" i="30" s="1"/>
  <c r="AV446" i="30" s="1"/>
  <c r="AW444" i="30" s="1" a="1"/>
  <c r="AW444" i="30" s="1"/>
  <c r="AW447" i="30" s="1"/>
  <c r="AV449" i="30"/>
  <c r="BG449" i="30" s="1"/>
  <c r="AV448" i="30"/>
  <c r="AR443" i="30"/>
  <c r="AR445" i="30" s="1"/>
  <c r="AR446" i="30" s="1"/>
  <c r="AR449" i="30"/>
  <c r="AR448" i="30"/>
  <c r="AM449" i="30"/>
  <c r="AM448" i="30"/>
  <c r="AM443" i="30"/>
  <c r="AM445" i="30" s="1"/>
  <c r="AM446" i="30" s="1"/>
  <c r="BC443" i="30"/>
  <c r="BC445" i="30" s="1"/>
  <c r="BC446" i="30" s="1"/>
  <c r="BC449" i="30"/>
  <c r="BC448" i="30"/>
  <c r="AO449" i="30"/>
  <c r="AO448" i="30"/>
  <c r="AO443" i="30"/>
  <c r="AO445" i="30" s="1"/>
  <c r="AO446" i="30" s="1"/>
  <c r="AJ143" i="29"/>
  <c r="BO143" i="29"/>
  <c r="AT143" i="29"/>
  <c r="BE143" i="29" s="1"/>
  <c r="F144" i="29" a="1"/>
  <c r="F144" i="29" s="1"/>
  <c r="F587" i="30" a="1"/>
  <c r="F587" i="30" s="1"/>
  <c r="F588" i="30" s="1" a="1"/>
  <c r="F588" i="30" s="1"/>
  <c r="F589" i="30" s="1" a="1"/>
  <c r="F589" i="30" s="1"/>
  <c r="F590" i="30" s="1" a="1"/>
  <c r="F590" i="30" s="1"/>
  <c r="F591" i="30" s="1" a="1"/>
  <c r="F591" i="30" s="1"/>
  <c r="F592" i="30" s="1" a="1"/>
  <c r="F592" i="30" s="1"/>
  <c r="F593" i="30" s="1" a="1"/>
  <c r="F593" i="30" s="1"/>
  <c r="F594" i="30" s="1" a="1"/>
  <c r="F594" i="30" s="1"/>
  <c r="BC586" i="30"/>
  <c r="AY586" i="30"/>
  <c r="AU586" i="30"/>
  <c r="AQ586" i="30"/>
  <c r="AM586" i="30"/>
  <c r="AI586" i="30"/>
  <c r="AE586" i="30"/>
  <c r="BB586" i="30"/>
  <c r="AX586" i="30"/>
  <c r="AT586" i="30"/>
  <c r="AP586" i="30"/>
  <c r="AL586" i="30"/>
  <c r="BA586" i="30"/>
  <c r="AW586" i="30"/>
  <c r="AS586" i="30"/>
  <c r="AO586" i="30"/>
  <c r="AK586" i="30"/>
  <c r="AG586" i="30"/>
  <c r="AV586" i="30"/>
  <c r="AF586" i="30"/>
  <c r="AR586" i="30"/>
  <c r="AN586" i="30"/>
  <c r="AZ586" i="30"/>
  <c r="AJ586" i="30"/>
  <c r="F290" i="29" a="1"/>
  <c r="F290" i="29" s="1"/>
  <c r="BO289" i="29"/>
  <c r="AT289" i="29"/>
  <c r="AJ289" i="29"/>
  <c r="AS305" i="30"/>
  <c r="AS299" i="30"/>
  <c r="AS301" i="30" s="1"/>
  <c r="AS302" i="30" s="1"/>
  <c r="AS304" i="30"/>
  <c r="AP304" i="30"/>
  <c r="AP305" i="30"/>
  <c r="AP299" i="30"/>
  <c r="AP301" i="30" s="1"/>
  <c r="AP302" i="30" s="1"/>
  <c r="AE305" i="30"/>
  <c r="AE301" i="30"/>
  <c r="AU305" i="30"/>
  <c r="BF305" i="30" s="1"/>
  <c r="AU304" i="30"/>
  <c r="AU299" i="30"/>
  <c r="AU301" i="30" s="1"/>
  <c r="AU302" i="30" s="1"/>
  <c r="AF301" i="30"/>
  <c r="AV305" i="30"/>
  <c r="BG305" i="30" s="1"/>
  <c r="AV304" i="30"/>
  <c r="AV299" i="30"/>
  <c r="AV301" i="30" s="1"/>
  <c r="AV302" i="30" s="1"/>
  <c r="AW300" i="30" s="1" a="1"/>
  <c r="AW300" i="30" s="1"/>
  <c r="AW303" i="30" s="1"/>
  <c r="BB443" i="30"/>
  <c r="BB445" i="30" s="1"/>
  <c r="BB446" i="30" s="1"/>
  <c r="BC444" i="30" s="1" a="1"/>
  <c r="BC444" i="30" s="1"/>
  <c r="BC447" i="30" s="1"/>
  <c r="BB449" i="30"/>
  <c r="BM449" i="30" s="1"/>
  <c r="BB448" i="30"/>
  <c r="AP443" i="30"/>
  <c r="AP445" i="30" s="1"/>
  <c r="AP446" i="30" s="1"/>
  <c r="AP449" i="30"/>
  <c r="AP448" i="30"/>
  <c r="AZ449" i="30"/>
  <c r="BK449" i="30" s="1"/>
  <c r="AZ448" i="30"/>
  <c r="AZ443" i="30"/>
  <c r="AZ445" i="30" s="1"/>
  <c r="AZ446" i="30" s="1"/>
  <c r="BA444" i="30" s="1" a="1"/>
  <c r="BA444" i="30" s="1"/>
  <c r="BA447" i="30" s="1"/>
  <c r="AQ449" i="30"/>
  <c r="AQ448" i="30"/>
  <c r="AQ443" i="30"/>
  <c r="AQ445" i="30" s="1"/>
  <c r="AQ446" i="30" s="1"/>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E450" i="30"/>
  <c r="AE449" i="30" s="1"/>
  <c r="BA450" i="30"/>
  <c r="AW450" i="30"/>
  <c r="AS450" i="30"/>
  <c r="AO450" i="30"/>
  <c r="AK450" i="30"/>
  <c r="AG450" i="30"/>
  <c r="AX450" i="30"/>
  <c r="AP450" i="30"/>
  <c r="AV450" i="30"/>
  <c r="AN450" i="30"/>
  <c r="AF450" i="30"/>
  <c r="BB450" i="30"/>
  <c r="AT450" i="30"/>
  <c r="AT449" i="30" s="1"/>
  <c r="BE449" i="30" s="1"/>
  <c r="AL450" i="30"/>
  <c r="AZ450" i="30"/>
  <c r="AR450" i="30"/>
  <c r="AJ450" i="30"/>
  <c r="AS449" i="30"/>
  <c r="AS448" i="30"/>
  <c r="AS443" i="30"/>
  <c r="AS445" i="30" s="1"/>
  <c r="AS446" i="30" s="1"/>
  <c r="AT577" i="29"/>
  <c r="BO577" i="29"/>
  <c r="AJ577" i="29"/>
  <c r="F578" i="29" a="1"/>
  <c r="F578" i="29" s="1"/>
  <c r="AV444" i="30" l="1" a="1"/>
  <c r="AV444" i="30" s="1"/>
  <c r="AV447" i="30" s="1"/>
  <c r="AU447" i="30"/>
  <c r="AV300" i="30" a="1"/>
  <c r="AV300" i="30" s="1"/>
  <c r="AV303" i="30" s="1"/>
  <c r="AU303" i="30"/>
  <c r="AZ454" i="30"/>
  <c r="AZ452" i="30"/>
  <c r="AZ451" i="30"/>
  <c r="AZ453" i="30" s="1"/>
  <c r="AF454" i="30"/>
  <c r="AF452" i="30"/>
  <c r="AF451" i="30"/>
  <c r="AF453" i="30" s="1"/>
  <c r="AX454" i="30"/>
  <c r="AX452" i="30"/>
  <c r="AX451" i="30"/>
  <c r="AX453" i="30" s="1"/>
  <c r="AS454" i="30"/>
  <c r="AS452" i="30"/>
  <c r="AS451" i="30"/>
  <c r="AS453" i="30" s="1"/>
  <c r="AI454" i="30"/>
  <c r="AI452" i="30"/>
  <c r="AI451" i="30"/>
  <c r="AI453" i="30" s="1"/>
  <c r="AY454" i="30"/>
  <c r="AY452" i="30"/>
  <c r="AY451" i="30"/>
  <c r="AY453" i="30" s="1"/>
  <c r="AZ593" i="30"/>
  <c r="BK593" i="30" s="1"/>
  <c r="AZ592" i="30"/>
  <c r="AZ587" i="30"/>
  <c r="AZ589" i="30" s="1"/>
  <c r="AZ590" i="30" s="1"/>
  <c r="BA588" i="30" s="1" a="1"/>
  <c r="BA588" i="30" s="1"/>
  <c r="BA591" i="30" s="1"/>
  <c r="AV593" i="30"/>
  <c r="BG593" i="30" s="1"/>
  <c r="AV592" i="30"/>
  <c r="AV587" i="30"/>
  <c r="AV589" i="30" s="1"/>
  <c r="AV590" i="30" s="1"/>
  <c r="AW588" i="30" s="1" a="1"/>
  <c r="AW588" i="30" s="1"/>
  <c r="AW591" i="30" s="1"/>
  <c r="AS592" i="30"/>
  <c r="AS587" i="30"/>
  <c r="AS589" i="30" s="1"/>
  <c r="AS590" i="30" s="1"/>
  <c r="AS593" i="30"/>
  <c r="AP592" i="30"/>
  <c r="AP593" i="30"/>
  <c r="AP587" i="30"/>
  <c r="AP589" i="30" s="1"/>
  <c r="AP590" i="30" s="1"/>
  <c r="AE589" i="30"/>
  <c r="AU593" i="30"/>
  <c r="BF593" i="30" s="1"/>
  <c r="AU592" i="30"/>
  <c r="AU587" i="30"/>
  <c r="AU589" i="30" s="1"/>
  <c r="AU590" i="30" s="1"/>
  <c r="AT144" i="29"/>
  <c r="AJ144" i="29"/>
  <c r="F145" i="29" a="1"/>
  <c r="F145" i="29" s="1"/>
  <c r="BO144" i="29"/>
  <c r="AR310" i="30"/>
  <c r="AR309" i="30"/>
  <c r="AR308" i="30"/>
  <c r="AR307" i="30"/>
  <c r="AZ310" i="30"/>
  <c r="AZ309" i="30"/>
  <c r="AZ308" i="30"/>
  <c r="AZ307" i="30"/>
  <c r="AS310" i="30"/>
  <c r="AS309" i="30"/>
  <c r="AS308" i="30"/>
  <c r="AS307" i="30"/>
  <c r="AP310" i="30"/>
  <c r="AP309" i="30"/>
  <c r="AP308" i="30"/>
  <c r="AP307" i="30"/>
  <c r="AE310" i="30"/>
  <c r="AE309" i="30"/>
  <c r="AE308" i="30"/>
  <c r="AE307" i="30"/>
  <c r="AU310" i="30"/>
  <c r="AU309" i="30"/>
  <c r="AU308" i="30"/>
  <c r="AU307" i="30"/>
  <c r="F436" i="29" a="1"/>
  <c r="F436" i="29" s="1"/>
  <c r="F437" i="29" s="1" a="1"/>
  <c r="F437" i="29" s="1"/>
  <c r="F438" i="29" s="1" a="1"/>
  <c r="F438" i="29" s="1"/>
  <c r="F439" i="29" s="1" a="1"/>
  <c r="F439" i="29" s="1"/>
  <c r="F440" i="29" s="1" a="1"/>
  <c r="F440" i="29" s="1"/>
  <c r="F441" i="29" s="1" a="1"/>
  <c r="F441" i="29" s="1"/>
  <c r="F442" i="29" s="1" a="1"/>
  <c r="F442" i="29" s="1"/>
  <c r="AT435" i="29"/>
  <c r="AJ435" i="29"/>
  <c r="BO435" i="29"/>
  <c r="AN452" i="30"/>
  <c r="AN451" i="30"/>
  <c r="AN453" i="30" s="1"/>
  <c r="AN454" i="30"/>
  <c r="AG454" i="30"/>
  <c r="AG452" i="30"/>
  <c r="AH452" i="30" s="1"/>
  <c r="AG451" i="30"/>
  <c r="AH451" i="30" s="1"/>
  <c r="AH450" i="30"/>
  <c r="AW454" i="30"/>
  <c r="AW452" i="30"/>
  <c r="AW451" i="30"/>
  <c r="AW453" i="30" s="1"/>
  <c r="AM454" i="30"/>
  <c r="AM452" i="30"/>
  <c r="AM451" i="30"/>
  <c r="AM453" i="30" s="1"/>
  <c r="BC454" i="30"/>
  <c r="BC452" i="30"/>
  <c r="BC451" i="30"/>
  <c r="BC453" i="30" s="1"/>
  <c r="AN593" i="30"/>
  <c r="AN587" i="30"/>
  <c r="AN589" i="30" s="1"/>
  <c r="AN590" i="30" s="1"/>
  <c r="AN592" i="30"/>
  <c r="AH586" i="30"/>
  <c r="AG589" i="30"/>
  <c r="AW587" i="30"/>
  <c r="AW589" i="30" s="1"/>
  <c r="AW590" i="30" s="1"/>
  <c r="AX588" i="30" s="1" a="1"/>
  <c r="AX588" i="30" s="1"/>
  <c r="AX591" i="30" s="1"/>
  <c r="AW593" i="30"/>
  <c r="BH593" i="30" s="1"/>
  <c r="AW592" i="30"/>
  <c r="AT589" i="30"/>
  <c r="AI589" i="30"/>
  <c r="AY593" i="30"/>
  <c r="BJ593" i="30" s="1"/>
  <c r="AY592" i="30"/>
  <c r="AY587" i="30"/>
  <c r="AY589" i="30" s="1"/>
  <c r="AY590" i="30" s="1"/>
  <c r="AZ588" i="30" s="1" a="1"/>
  <c r="AZ588" i="30" s="1"/>
  <c r="AZ591" i="30" s="1"/>
  <c r="AF310" i="30"/>
  <c r="AF308" i="30"/>
  <c r="AF307" i="30"/>
  <c r="AF309" i="30" s="1"/>
  <c r="AH306" i="30"/>
  <c r="AG310" i="30"/>
  <c r="AH310" i="30" s="1"/>
  <c r="AG308" i="30"/>
  <c r="AG307" i="30"/>
  <c r="AG309" i="30" s="1"/>
  <c r="AW310" i="30"/>
  <c r="AW308" i="30"/>
  <c r="AW307" i="30"/>
  <c r="AW309" i="30" s="1"/>
  <c r="AT310" i="30"/>
  <c r="AT308" i="30"/>
  <c r="AT307" i="30"/>
  <c r="AT309" i="30" s="1"/>
  <c r="AI310" i="30"/>
  <c r="AI308" i="30"/>
  <c r="AI307" i="30"/>
  <c r="AI309" i="30" s="1"/>
  <c r="AY310" i="30"/>
  <c r="AY308" i="30"/>
  <c r="AY307" i="30"/>
  <c r="AY309" i="30" s="1"/>
  <c r="AI449" i="30"/>
  <c r="BD449" i="30" s="1"/>
  <c r="AH445" i="30"/>
  <c r="AF449" i="30"/>
  <c r="AL454" i="30"/>
  <c r="AL452" i="30"/>
  <c r="AL451" i="30"/>
  <c r="AL453" i="30" s="1"/>
  <c r="F579" i="29" a="1"/>
  <c r="F579" i="29" s="1"/>
  <c r="BO578" i="29"/>
  <c r="AJ578" i="29"/>
  <c r="AT578" i="29"/>
  <c r="AJ454" i="30"/>
  <c r="AJ452" i="30"/>
  <c r="AJ451" i="30"/>
  <c r="AJ453" i="30" s="1"/>
  <c r="AT454" i="30"/>
  <c r="AT452" i="30"/>
  <c r="AT451" i="30"/>
  <c r="AT453" i="30" s="1"/>
  <c r="AV454" i="30"/>
  <c r="AV452" i="30"/>
  <c r="AV451" i="30"/>
  <c r="AV453" i="30" s="1"/>
  <c r="AK454" i="30"/>
  <c r="AK452" i="30"/>
  <c r="AK451" i="30"/>
  <c r="AK453" i="30" s="1"/>
  <c r="BA454" i="30"/>
  <c r="BA452" i="30"/>
  <c r="BA451" i="30"/>
  <c r="BA453" i="30" s="1"/>
  <c r="AQ454" i="30"/>
  <c r="AQ452" i="30"/>
  <c r="AQ451" i="30"/>
  <c r="AQ453" i="30" s="1"/>
  <c r="F291" i="29" a="1"/>
  <c r="F291" i="29" s="1"/>
  <c r="BO290" i="29"/>
  <c r="AJ290" i="29"/>
  <c r="AT290" i="29"/>
  <c r="AR593" i="30"/>
  <c r="AR587" i="30"/>
  <c r="AR589" i="30" s="1"/>
  <c r="AR590" i="30" s="1"/>
  <c r="AR592" i="30"/>
  <c r="AK592" i="30"/>
  <c r="AK593" i="30"/>
  <c r="AK587" i="30"/>
  <c r="AK589" i="30" s="1"/>
  <c r="AK590" i="30" s="1"/>
  <c r="BA593" i="30"/>
  <c r="BL593" i="30" s="1"/>
  <c r="BA587" i="30"/>
  <c r="BA589" i="30"/>
  <c r="BA590" i="30" s="1"/>
  <c r="BB588" i="30" s="1" a="1"/>
  <c r="BB588" i="30" s="1"/>
  <c r="BB591" i="30" s="1"/>
  <c r="BA592" i="30"/>
  <c r="AX593" i="30"/>
  <c r="BI593" i="30" s="1"/>
  <c r="AX592" i="30"/>
  <c r="AX587" i="30"/>
  <c r="AX589" i="30" s="1"/>
  <c r="AX590" i="30" s="1"/>
  <c r="AY588" i="30" s="1" a="1"/>
  <c r="AY588" i="30" s="1"/>
  <c r="AY591" i="30" s="1"/>
  <c r="AM592" i="30"/>
  <c r="AM593" i="30"/>
  <c r="AM587" i="30"/>
  <c r="AM589" i="30" s="1"/>
  <c r="AM590" i="30" s="1"/>
  <c r="BC592" i="30"/>
  <c r="BC593" i="30"/>
  <c r="BC587" i="30"/>
  <c r="BC589" i="30" s="1"/>
  <c r="BC590" i="30" s="1"/>
  <c r="AV310" i="30"/>
  <c r="AV308" i="30"/>
  <c r="AV307" i="30"/>
  <c r="AV309" i="30" s="1"/>
  <c r="AK310" i="30"/>
  <c r="AK308" i="30"/>
  <c r="AK307" i="30"/>
  <c r="AK309" i="30" s="1"/>
  <c r="BA310" i="30"/>
  <c r="BA308" i="30"/>
  <c r="BA307" i="30"/>
  <c r="BA309" i="30" s="1"/>
  <c r="AX310" i="30"/>
  <c r="AX308" i="30"/>
  <c r="AX307" i="30"/>
  <c r="AX309" i="30" s="1"/>
  <c r="AM310" i="30"/>
  <c r="AM308" i="30"/>
  <c r="AM307" i="30"/>
  <c r="AM309" i="30" s="1"/>
  <c r="BC310" i="30"/>
  <c r="BC308" i="30"/>
  <c r="BC307" i="30"/>
  <c r="BC309" i="30" s="1"/>
  <c r="AG449" i="30"/>
  <c r="AI305" i="30"/>
  <c r="BD305" i="30" s="1"/>
  <c r="AH301" i="30"/>
  <c r="AR454" i="30"/>
  <c r="AR452" i="30"/>
  <c r="AR451" i="30"/>
  <c r="AR453" i="30" s="1"/>
  <c r="BB454" i="30"/>
  <c r="BB452" i="30"/>
  <c r="BB451" i="30"/>
  <c r="BB453" i="30" s="1"/>
  <c r="AP454" i="30"/>
  <c r="AP452" i="30"/>
  <c r="AP451" i="30"/>
  <c r="AP453" i="30" s="1"/>
  <c r="AO454" i="30"/>
  <c r="AO452" i="30"/>
  <c r="AO451" i="30"/>
  <c r="AO453" i="30" s="1"/>
  <c r="AE454" i="30"/>
  <c r="AE452" i="30"/>
  <c r="AE451" i="30"/>
  <c r="AE453" i="30" s="1"/>
  <c r="AU454" i="30"/>
  <c r="AU452" i="30"/>
  <c r="AU451" i="30"/>
  <c r="AU453" i="30" s="1"/>
  <c r="AJ589" i="30"/>
  <c r="AF589" i="30"/>
  <c r="AO592" i="30"/>
  <c r="AO593" i="30"/>
  <c r="AO587" i="30"/>
  <c r="AO589" i="30" s="1"/>
  <c r="AO590" i="30" s="1"/>
  <c r="AL592" i="30"/>
  <c r="AL593" i="30"/>
  <c r="AL587" i="30"/>
  <c r="AL589" i="30" s="1"/>
  <c r="AL590" i="30" s="1"/>
  <c r="BB592" i="30"/>
  <c r="BB593" i="30"/>
  <c r="BM593" i="30" s="1"/>
  <c r="BB587" i="30"/>
  <c r="BB589" i="30" s="1"/>
  <c r="BB590" i="30" s="1"/>
  <c r="BC588" i="30" s="1" a="1"/>
  <c r="BC588" i="30" s="1"/>
  <c r="BC591" i="30" s="1"/>
  <c r="AQ592" i="30"/>
  <c r="AQ593" i="30"/>
  <c r="AQ587" i="30"/>
  <c r="AQ589" i="30" s="1"/>
  <c r="AQ590" i="30" s="1"/>
  <c r="BB594" i="30"/>
  <c r="AX594" i="30"/>
  <c r="AT594" i="30"/>
  <c r="AP594" i="30"/>
  <c r="AL594" i="30"/>
  <c r="F595" i="30" a="1"/>
  <c r="F595" i="30" s="1"/>
  <c r="F596" i="30" s="1" a="1"/>
  <c r="F596" i="30" s="1"/>
  <c r="F597" i="30" s="1" a="1"/>
  <c r="F597" i="30" s="1"/>
  <c r="F598" i="30" s="1" a="1"/>
  <c r="F598" i="30" s="1"/>
  <c r="F599" i="30" s="1" a="1"/>
  <c r="F599" i="30" s="1"/>
  <c r="F600" i="30" s="1" a="1"/>
  <c r="F600" i="30" s="1"/>
  <c r="F601" i="30" s="1" a="1"/>
  <c r="F601" i="30" s="1"/>
  <c r="F602" i="30" s="1" a="1"/>
  <c r="F602" i="30" s="1"/>
  <c r="BA594" i="30"/>
  <c r="AV594" i="30"/>
  <c r="AQ594" i="30"/>
  <c r="AK594" i="30"/>
  <c r="AF594" i="30"/>
  <c r="AZ594" i="30"/>
  <c r="AU594" i="30"/>
  <c r="AO594" i="30"/>
  <c r="AJ594" i="30"/>
  <c r="AE594" i="30"/>
  <c r="AE593" i="30" s="1"/>
  <c r="AY594" i="30"/>
  <c r="AS594" i="30"/>
  <c r="AN594" i="30"/>
  <c r="AI594" i="30"/>
  <c r="AI593" i="30" s="1"/>
  <c r="BD593" i="30" s="1"/>
  <c r="AM594" i="30"/>
  <c r="BC594" i="30"/>
  <c r="AG594" i="30"/>
  <c r="AW594" i="30"/>
  <c r="AR594" i="30"/>
  <c r="AN310" i="30"/>
  <c r="AN308" i="30"/>
  <c r="AN307" i="30"/>
  <c r="AN309" i="30" s="1"/>
  <c r="AJ310" i="30"/>
  <c r="AJ308" i="30"/>
  <c r="AJ307" i="30"/>
  <c r="AJ309" i="30" s="1"/>
  <c r="AO310" i="30"/>
  <c r="AO308" i="30"/>
  <c r="AO307" i="30"/>
  <c r="AO309" i="30" s="1"/>
  <c r="AL310" i="30"/>
  <c r="AL308" i="30"/>
  <c r="AL307" i="30"/>
  <c r="AL309" i="30" s="1"/>
  <c r="BB310" i="30"/>
  <c r="BB308" i="30"/>
  <c r="BB307" i="30"/>
  <c r="BB309" i="30" s="1"/>
  <c r="AQ310" i="30"/>
  <c r="AQ308" i="30"/>
  <c r="AQ307" i="30"/>
  <c r="AQ309" i="30" s="1"/>
  <c r="AJ145" i="30"/>
  <c r="F146" i="30" a="1"/>
  <c r="F146" i="30" s="1"/>
  <c r="BO145" i="30"/>
  <c r="AT145" i="30"/>
  <c r="AJ449" i="30"/>
  <c r="AT305" i="30"/>
  <c r="BE305" i="30" s="1"/>
  <c r="AG305" i="30"/>
  <c r="AH454" i="30" l="1"/>
  <c r="AG453" i="30"/>
  <c r="AH453" i="30" s="1"/>
  <c r="AH307" i="30"/>
  <c r="AV588" i="30" a="1"/>
  <c r="AV588" i="30" s="1"/>
  <c r="AV591" i="30" s="1"/>
  <c r="AU591" i="30"/>
  <c r="AH594" i="30"/>
  <c r="AG598" i="30"/>
  <c r="AG596" i="30"/>
  <c r="AG595" i="30"/>
  <c r="AG597" i="30" s="1"/>
  <c r="AN598" i="30"/>
  <c r="AN596" i="30"/>
  <c r="AN595" i="30"/>
  <c r="AN597" i="30" s="1"/>
  <c r="AJ598" i="30"/>
  <c r="AJ596" i="30"/>
  <c r="AJ595" i="30"/>
  <c r="AJ597" i="30" s="1"/>
  <c r="AF598" i="30"/>
  <c r="AF596" i="30"/>
  <c r="AF595" i="30"/>
  <c r="AF597" i="30" s="1"/>
  <c r="BA598" i="30"/>
  <c r="BA596" i="30"/>
  <c r="BA595" i="30"/>
  <c r="BA597" i="30" s="1"/>
  <c r="AT598" i="30"/>
  <c r="AT596" i="30"/>
  <c r="AT595" i="30"/>
  <c r="AT597" i="30" s="1"/>
  <c r="AF593" i="30"/>
  <c r="AT593" i="30"/>
  <c r="BE593" i="30" s="1"/>
  <c r="AW595" i="30"/>
  <c r="AW597" i="30" s="1"/>
  <c r="AW598" i="30"/>
  <c r="AW596" i="30"/>
  <c r="AT146" i="30"/>
  <c r="AJ146" i="30"/>
  <c r="F147" i="30" a="1"/>
  <c r="F147" i="30" s="1"/>
  <c r="BO146" i="30"/>
  <c r="BC598" i="30"/>
  <c r="BC596" i="30"/>
  <c r="BC595" i="30"/>
  <c r="BC597" i="30" s="1"/>
  <c r="AS598" i="30"/>
  <c r="AS596" i="30"/>
  <c r="AS595" i="30"/>
  <c r="AS597" i="30" s="1"/>
  <c r="AO598" i="30"/>
  <c r="AO596" i="30"/>
  <c r="AO595" i="30"/>
  <c r="AO597" i="30" s="1"/>
  <c r="AK598" i="30"/>
  <c r="AK596" i="30"/>
  <c r="AK595" i="30"/>
  <c r="AK597" i="30" s="1"/>
  <c r="AX598" i="30"/>
  <c r="AX596" i="30"/>
  <c r="AX595" i="30"/>
  <c r="AX597" i="30" s="1"/>
  <c r="AJ291" i="29"/>
  <c r="BO291" i="29"/>
  <c r="AT291" i="29"/>
  <c r="F292" i="29" a="1"/>
  <c r="F292" i="29" s="1"/>
  <c r="F293" i="29" s="1" a="1"/>
  <c r="F293" i="29" s="1"/>
  <c r="F294" i="29" s="1" a="1"/>
  <c r="F294" i="29" s="1"/>
  <c r="F295" i="29" s="1" a="1"/>
  <c r="F295" i="29" s="1"/>
  <c r="F296" i="29" s="1" a="1"/>
  <c r="F296" i="29" s="1"/>
  <c r="F297" i="29" s="1" a="1"/>
  <c r="F297" i="29" s="1"/>
  <c r="F298" i="29" s="1" a="1"/>
  <c r="F298" i="29" s="1"/>
  <c r="F580" i="29" a="1"/>
  <c r="F580" i="29" s="1"/>
  <c r="F581" i="29" s="1" a="1"/>
  <c r="F581" i="29" s="1"/>
  <c r="F582" i="29" s="1" a="1"/>
  <c r="F582" i="29" s="1"/>
  <c r="F583" i="29" s="1" a="1"/>
  <c r="F583" i="29" s="1"/>
  <c r="F584" i="29" s="1" a="1"/>
  <c r="F584" i="29" s="1"/>
  <c r="F585" i="29" s="1" a="1"/>
  <c r="F585" i="29" s="1"/>
  <c r="F586" i="29" s="1" a="1"/>
  <c r="F586" i="29" s="1"/>
  <c r="AT579" i="29"/>
  <c r="BO579" i="29"/>
  <c r="AJ579" i="29"/>
  <c r="AZ442" i="29"/>
  <c r="AV442" i="29"/>
  <c r="AR442" i="29"/>
  <c r="AN442" i="29"/>
  <c r="AJ442" i="29"/>
  <c r="AF442" i="29"/>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E442" i="29"/>
  <c r="AX442" i="29"/>
  <c r="AP442" i="29"/>
  <c r="AW442" i="29"/>
  <c r="AO442" i="29"/>
  <c r="AG442" i="29"/>
  <c r="AT442" i="29"/>
  <c r="AS442" i="29"/>
  <c r="BB442" i="29"/>
  <c r="AL442" i="29"/>
  <c r="BA442" i="29"/>
  <c r="AK442" i="29"/>
  <c r="AM598" i="30"/>
  <c r="AM596" i="30"/>
  <c r="AM595" i="30"/>
  <c r="AM597" i="30" s="1"/>
  <c r="AY598" i="30"/>
  <c r="AY596" i="30"/>
  <c r="AY595" i="30"/>
  <c r="AY597" i="30" s="1"/>
  <c r="AU598" i="30"/>
  <c r="AU596" i="30"/>
  <c r="AU595" i="30"/>
  <c r="AU597" i="30" s="1"/>
  <c r="AQ598" i="30"/>
  <c r="AQ596" i="30"/>
  <c r="AQ595" i="30"/>
  <c r="AQ597" i="30" s="1"/>
  <c r="AL598" i="30"/>
  <c r="AL596" i="30"/>
  <c r="AL595" i="30"/>
  <c r="AL597" i="30" s="1"/>
  <c r="BB598" i="30"/>
  <c r="BB596" i="30"/>
  <c r="BB595" i="30"/>
  <c r="BB597" i="30" s="1"/>
  <c r="AJ593" i="30"/>
  <c r="AH308" i="30"/>
  <c r="AG593" i="30"/>
  <c r="AR595" i="30"/>
  <c r="AR597" i="30" s="1"/>
  <c r="AR596" i="30"/>
  <c r="AR598" i="30"/>
  <c r="AI598" i="30"/>
  <c r="AI596" i="30"/>
  <c r="AI595" i="30"/>
  <c r="AI597" i="30" s="1"/>
  <c r="AE598" i="30"/>
  <c r="AE596" i="30"/>
  <c r="AE595" i="30"/>
  <c r="AE597" i="30" s="1"/>
  <c r="AZ598" i="30"/>
  <c r="AZ596" i="30"/>
  <c r="AZ595" i="30"/>
  <c r="AZ597" i="30" s="1"/>
  <c r="AV598" i="30"/>
  <c r="AV596" i="30"/>
  <c r="AV595" i="30"/>
  <c r="AV597" i="30" s="1"/>
  <c r="AP598" i="30"/>
  <c r="AP596" i="30"/>
  <c r="AP595" i="30"/>
  <c r="AP597" i="30" s="1"/>
  <c r="AH309" i="30"/>
  <c r="AH589" i="30"/>
  <c r="F146" i="29" a="1"/>
  <c r="F146" i="29" s="1"/>
  <c r="BO145" i="29"/>
  <c r="AT145" i="29"/>
  <c r="AJ145" i="29"/>
  <c r="AH449" i="30" l="1"/>
  <c r="AH597" i="30"/>
  <c r="AH305" i="30"/>
  <c r="AL449" i="29"/>
  <c r="AL443" i="29"/>
  <c r="AL445" i="29" s="1"/>
  <c r="AL446" i="29" s="1"/>
  <c r="AL448" i="29"/>
  <c r="AR448" i="29"/>
  <c r="AR449" i="29"/>
  <c r="AR443" i="29"/>
  <c r="AR445" i="29" s="1"/>
  <c r="AR446" i="29" s="1"/>
  <c r="AK449" i="29"/>
  <c r="AK443" i="29"/>
  <c r="AK445" i="29" s="1"/>
  <c r="AK446" i="29" s="1"/>
  <c r="AK448" i="29"/>
  <c r="AS449" i="29"/>
  <c r="AS443" i="29"/>
  <c r="AS445" i="29" s="1"/>
  <c r="AS446" i="29" s="1"/>
  <c r="AS448" i="29"/>
  <c r="AW449" i="29"/>
  <c r="BH449" i="29" s="1"/>
  <c r="AW448" i="29"/>
  <c r="AW443" i="29"/>
  <c r="AW445" i="29" s="1"/>
  <c r="AW446" i="29" s="1"/>
  <c r="AX444" i="29" s="1" a="1"/>
  <c r="AX444" i="29" s="1"/>
  <c r="AX447" i="29" s="1"/>
  <c r="AI445" i="29"/>
  <c r="AY449" i="29"/>
  <c r="BJ449" i="29" s="1"/>
  <c r="AY448" i="29"/>
  <c r="AY443" i="29"/>
  <c r="AY445" i="29" s="1"/>
  <c r="AY446" i="29" s="1"/>
  <c r="AZ444" i="29" s="1" a="1"/>
  <c r="AZ444" i="29" s="1"/>
  <c r="AZ447" i="29" s="1"/>
  <c r="AJ445" i="29"/>
  <c r="AZ449" i="29"/>
  <c r="BK449" i="29" s="1"/>
  <c r="AZ448" i="29"/>
  <c r="AZ443" i="29"/>
  <c r="AZ445" i="29" s="1"/>
  <c r="AZ446" i="29" s="1"/>
  <c r="BA444" i="29" s="1" a="1"/>
  <c r="BA444" i="29" s="1"/>
  <c r="BA447" i="29" s="1"/>
  <c r="AH598" i="30"/>
  <c r="AQ448" i="29"/>
  <c r="AQ449" i="29"/>
  <c r="AQ443" i="29"/>
  <c r="AQ445" i="29" s="1"/>
  <c r="AQ446" i="29" s="1"/>
  <c r="F147" i="29" a="1"/>
  <c r="F147" i="29" s="1"/>
  <c r="BO146" i="29"/>
  <c r="AJ146" i="29"/>
  <c r="AT146" i="29"/>
  <c r="BA449" i="29"/>
  <c r="BL449" i="29" s="1"/>
  <c r="BA448" i="29"/>
  <c r="BA443" i="29"/>
  <c r="BA445" i="29" s="1"/>
  <c r="BA446" i="29" s="1"/>
  <c r="BB444" i="29" s="1" a="1"/>
  <c r="BB444" i="29" s="1"/>
  <c r="BB447" i="29" s="1"/>
  <c r="AT445" i="29"/>
  <c r="AP448" i="29"/>
  <c r="AP443" i="29"/>
  <c r="AP445" i="29" s="1"/>
  <c r="AP446" i="29" s="1"/>
  <c r="AP449" i="29"/>
  <c r="AM448" i="29"/>
  <c r="AM449" i="29"/>
  <c r="AM443" i="29"/>
  <c r="AM445" i="29" s="1"/>
  <c r="AM446" i="29" s="1"/>
  <c r="BC443" i="29"/>
  <c r="BC445" i="29" s="1"/>
  <c r="BC446" i="29" s="1"/>
  <c r="BC449" i="29"/>
  <c r="BC448" i="29"/>
  <c r="AN448" i="29"/>
  <c r="AN449" i="29"/>
  <c r="AN443" i="29"/>
  <c r="AN445" i="29" s="1"/>
  <c r="AN446" i="29" s="1"/>
  <c r="BB586" i="29"/>
  <c r="AX586" i="29"/>
  <c r="AT586" i="29"/>
  <c r="AP586" i="29"/>
  <c r="AL586" i="29"/>
  <c r="AZ586" i="29"/>
  <c r="AV586" i="29"/>
  <c r="AR586" i="29"/>
  <c r="AN586" i="29"/>
  <c r="AJ586" i="29"/>
  <c r="AF586" i="29"/>
  <c r="BA586" i="29"/>
  <c r="AS586" i="29"/>
  <c r="AK586" i="29"/>
  <c r="F587" i="29" a="1"/>
  <c r="F587" i="29" s="1"/>
  <c r="F588" i="29" s="1" a="1"/>
  <c r="F588" i="29" s="1"/>
  <c r="F589" i="29" s="1" a="1"/>
  <c r="F589" i="29" s="1"/>
  <c r="F590" i="29" s="1" a="1"/>
  <c r="F590" i="29" s="1"/>
  <c r="F591" i="29" s="1" a="1"/>
  <c r="F591" i="29" s="1"/>
  <c r="F592" i="29" s="1" a="1"/>
  <c r="F592" i="29" s="1"/>
  <c r="F593" i="29" s="1" a="1"/>
  <c r="F593" i="29" s="1"/>
  <c r="F594" i="29" s="1" a="1"/>
  <c r="F594" i="29" s="1"/>
  <c r="AY586" i="29"/>
  <c r="AQ586" i="29"/>
  <c r="AI586" i="29"/>
  <c r="AO586" i="29"/>
  <c r="BC586" i="29"/>
  <c r="AM586" i="29"/>
  <c r="AW586" i="29"/>
  <c r="AU586" i="29"/>
  <c r="AG586" i="29"/>
  <c r="AE586" i="29"/>
  <c r="AH442" i="29"/>
  <c r="AG445" i="29"/>
  <c r="AH595" i="30"/>
  <c r="AX443" i="29"/>
  <c r="AX445" i="29" s="1"/>
  <c r="AX446" i="29" s="1"/>
  <c r="AY444" i="29" s="1" a="1"/>
  <c r="AY444" i="29" s="1"/>
  <c r="AY447" i="29" s="1"/>
  <c r="AX449" i="29"/>
  <c r="BI449" i="29" s="1"/>
  <c r="AX448" i="29"/>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E450" i="29"/>
  <c r="BB450" i="29"/>
  <c r="AX450" i="29"/>
  <c r="AT450" i="29"/>
  <c r="AP450" i="29"/>
  <c r="AL450" i="29"/>
  <c r="AZ450" i="29"/>
  <c r="AR450" i="29"/>
  <c r="AJ450" i="29"/>
  <c r="AW450" i="29"/>
  <c r="AO450" i="29"/>
  <c r="AG450" i="29"/>
  <c r="AS450" i="29"/>
  <c r="AN450" i="29"/>
  <c r="BA450" i="29"/>
  <c r="AK450" i="29"/>
  <c r="AV450" i="29"/>
  <c r="AF450"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BB298" i="29"/>
  <c r="AX298" i="29"/>
  <c r="AT298" i="29"/>
  <c r="AP298" i="29"/>
  <c r="AL298" i="29"/>
  <c r="AW298" i="29"/>
  <c r="AO298" i="29"/>
  <c r="AG298" i="29"/>
  <c r="AV298" i="29"/>
  <c r="AN298" i="29"/>
  <c r="AF298" i="29"/>
  <c r="BA298" i="29"/>
  <c r="AS298" i="29"/>
  <c r="AK298" i="29"/>
  <c r="AJ298" i="29"/>
  <c r="AZ298" i="29"/>
  <c r="AR298" i="29"/>
  <c r="BB443" i="29"/>
  <c r="BB445" i="29" s="1"/>
  <c r="BB446" i="29" s="1"/>
  <c r="BC444" i="29" s="1" a="1"/>
  <c r="BC444" i="29" s="1"/>
  <c r="BC447" i="29" s="1"/>
  <c r="BB449" i="29"/>
  <c r="BM449" i="29" s="1"/>
  <c r="BB448" i="29"/>
  <c r="AO449" i="29"/>
  <c r="AO443" i="29"/>
  <c r="AO445" i="29" s="1"/>
  <c r="AO446" i="29" s="1"/>
  <c r="AO448" i="29"/>
  <c r="AE445" i="29"/>
  <c r="AE449" i="29"/>
  <c r="AU443" i="29"/>
  <c r="AU445" i="29" s="1"/>
  <c r="AU446" i="29" s="1"/>
  <c r="AU449" i="29"/>
  <c r="BF449" i="29" s="1"/>
  <c r="AU448" i="29"/>
  <c r="AF445" i="29"/>
  <c r="AF449" i="29"/>
  <c r="AV449" i="29"/>
  <c r="BG449" i="29" s="1"/>
  <c r="AV448" i="29"/>
  <c r="AV443" i="29"/>
  <c r="AV445" i="29" s="1"/>
  <c r="AV446" i="29" s="1"/>
  <c r="AW444" i="29" s="1" a="1"/>
  <c r="AW444" i="29" s="1"/>
  <c r="AW447" i="29" s="1"/>
  <c r="BO147" i="30"/>
  <c r="F148" i="30" a="1"/>
  <c r="F148" i="30" s="1"/>
  <c r="AT147" i="30"/>
  <c r="AJ147" i="30"/>
  <c r="AH596" i="30"/>
  <c r="AV444" i="29" l="1" a="1"/>
  <c r="AV444" i="29" s="1"/>
  <c r="AV447" i="29" s="1"/>
  <c r="AU447" i="29"/>
  <c r="BA305" i="29"/>
  <c r="BL305" i="29" s="1"/>
  <c r="BA304" i="29"/>
  <c r="BA299" i="29"/>
  <c r="BA301" i="29" s="1"/>
  <c r="BA302" i="29" s="1"/>
  <c r="BB300" i="29" s="1" a="1"/>
  <c r="BB300" i="29" s="1"/>
  <c r="BB303" i="29" s="1"/>
  <c r="AG301" i="29"/>
  <c r="AH298" i="29"/>
  <c r="AP304" i="29"/>
  <c r="AP305" i="29"/>
  <c r="AP299" i="29"/>
  <c r="AP301" i="29" s="1"/>
  <c r="AP302" i="29" s="1"/>
  <c r="AE301" i="29"/>
  <c r="F149" i="30" a="1"/>
  <c r="F149" i="30" s="1"/>
  <c r="F150" i="30" s="1" a="1"/>
  <c r="F150" i="30" s="1"/>
  <c r="F151" i="30" s="1" a="1"/>
  <c r="F151" i="30" s="1"/>
  <c r="F152" i="30" s="1" a="1"/>
  <c r="F152" i="30" s="1"/>
  <c r="F153" i="30" s="1" a="1"/>
  <c r="F153" i="30" s="1"/>
  <c r="F154" i="30" s="1" a="1"/>
  <c r="F154" i="30" s="1"/>
  <c r="AJ301" i="29"/>
  <c r="AF301" i="29"/>
  <c r="AO304" i="29"/>
  <c r="AO305" i="29"/>
  <c r="AO299" i="29"/>
  <c r="AO301" i="29" s="1"/>
  <c r="AO302" i="29" s="1"/>
  <c r="AT299" i="29"/>
  <c r="AT301" i="29" s="1"/>
  <c r="AI301" i="29"/>
  <c r="AY305" i="29"/>
  <c r="BJ305" i="29" s="1"/>
  <c r="AY304" i="29"/>
  <c r="AY299" i="29"/>
  <c r="AY301" i="29" s="1"/>
  <c r="AY302" i="29" s="1"/>
  <c r="AZ300" i="29" s="1" a="1"/>
  <c r="AZ300" i="29" s="1"/>
  <c r="AZ303" i="29" s="1"/>
  <c r="AV454" i="29"/>
  <c r="AV452" i="29"/>
  <c r="AV451" i="29"/>
  <c r="AV453" i="29" s="1"/>
  <c r="AS454" i="29"/>
  <c r="AS452" i="29"/>
  <c r="AS451" i="29"/>
  <c r="AS453" i="29" s="1"/>
  <c r="AJ454" i="29"/>
  <c r="AJ452" i="29"/>
  <c r="AJ451" i="29"/>
  <c r="AJ453" i="29" s="1"/>
  <c r="AP454" i="29"/>
  <c r="AP452" i="29"/>
  <c r="AP451" i="29"/>
  <c r="AP453" i="29" s="1"/>
  <c r="AE454" i="29"/>
  <c r="AE452" i="29"/>
  <c r="AE451" i="29"/>
  <c r="AE453" i="29" s="1"/>
  <c r="AU454" i="29"/>
  <c r="AU452" i="29"/>
  <c r="AU451" i="29"/>
  <c r="AU453" i="29" s="1"/>
  <c r="AH593" i="30"/>
  <c r="AE589" i="29"/>
  <c r="AM593" i="29"/>
  <c r="AM587" i="29"/>
  <c r="AM589" i="29" s="1"/>
  <c r="AM590" i="29" s="1"/>
  <c r="AM592" i="29"/>
  <c r="AQ593" i="29"/>
  <c r="AQ587" i="29"/>
  <c r="AQ589" i="29" s="1"/>
  <c r="AQ590" i="29" s="1"/>
  <c r="AQ592" i="29"/>
  <c r="AS593" i="29"/>
  <c r="AS587" i="29"/>
  <c r="AS589" i="29" s="1"/>
  <c r="AS590" i="29" s="1"/>
  <c r="AS592" i="29"/>
  <c r="AN592" i="29"/>
  <c r="AN587" i="29"/>
  <c r="AN589" i="29" s="1"/>
  <c r="AN590" i="29" s="1"/>
  <c r="AN593" i="29"/>
  <c r="AL592" i="29"/>
  <c r="AL593" i="29"/>
  <c r="AL587" i="29"/>
  <c r="AL589" i="29" s="1"/>
  <c r="AL590" i="29" s="1"/>
  <c r="BB587" i="29"/>
  <c r="BB589" i="29" s="1"/>
  <c r="BB590" i="29" s="1"/>
  <c r="BC588" i="29" s="1" a="1"/>
  <c r="BC588" i="29" s="1"/>
  <c r="BC591" i="29" s="1"/>
  <c r="BB593" i="29"/>
  <c r="BM593" i="29" s="1"/>
  <c r="BB592" i="29"/>
  <c r="AJ449" i="29"/>
  <c r="BC305" i="29"/>
  <c r="BC304" i="29"/>
  <c r="BC299" i="29"/>
  <c r="BC301" i="29" s="1"/>
  <c r="BC302" i="29" s="1"/>
  <c r="AK454" i="29"/>
  <c r="AK452" i="29"/>
  <c r="AK451" i="29"/>
  <c r="AK453" i="29" s="1"/>
  <c r="AH450" i="29"/>
  <c r="AG454" i="29"/>
  <c r="AG452" i="29"/>
  <c r="AG451" i="29"/>
  <c r="AG453" i="29" s="1"/>
  <c r="AR454" i="29"/>
  <c r="AR452" i="29"/>
  <c r="AR451" i="29"/>
  <c r="AR453" i="29" s="1"/>
  <c r="AT454" i="29"/>
  <c r="AT452" i="29"/>
  <c r="AT451" i="29"/>
  <c r="AT453" i="29" s="1"/>
  <c r="AI454" i="29"/>
  <c r="AI452" i="29"/>
  <c r="AI451" i="29"/>
  <c r="AI453" i="29" s="1"/>
  <c r="AY454" i="29"/>
  <c r="AY452" i="29"/>
  <c r="AY451" i="29"/>
  <c r="AY453" i="29" s="1"/>
  <c r="AH445" i="29"/>
  <c r="AH586" i="29"/>
  <c r="AG589" i="29"/>
  <c r="BC593" i="29"/>
  <c r="BC592" i="29"/>
  <c r="BC587" i="29"/>
  <c r="BC589" i="29" s="1"/>
  <c r="BC590" i="29" s="1"/>
  <c r="AY593" i="29"/>
  <c r="BJ593" i="29" s="1"/>
  <c r="AY592" i="29"/>
  <c r="AY587" i="29"/>
  <c r="AY589" i="29" s="1"/>
  <c r="AY590" i="29" s="1"/>
  <c r="AZ588" i="29" s="1" a="1"/>
  <c r="AZ588" i="29" s="1"/>
  <c r="AZ591" i="29" s="1"/>
  <c r="BA593" i="29"/>
  <c r="BL593" i="29" s="1"/>
  <c r="BA592" i="29"/>
  <c r="BA587" i="29"/>
  <c r="BA589" i="29" s="1"/>
  <c r="BA590" i="29" s="1"/>
  <c r="BB588" i="29" s="1" a="1"/>
  <c r="BB588" i="29" s="1"/>
  <c r="BB591" i="29" s="1"/>
  <c r="AR592" i="29"/>
  <c r="AR593" i="29"/>
  <c r="AR587" i="29"/>
  <c r="AR589" i="29" s="1"/>
  <c r="AR590" i="29" s="1"/>
  <c r="AP592" i="29"/>
  <c r="AP587" i="29"/>
  <c r="AP589" i="29" s="1"/>
  <c r="AP590" i="29" s="1"/>
  <c r="AP593" i="29"/>
  <c r="AZ299" i="29"/>
  <c r="AZ301" i="29" s="1"/>
  <c r="AZ302" i="29" s="1"/>
  <c r="BA300" i="29" s="1" a="1"/>
  <c r="BA300" i="29" s="1"/>
  <c r="BA303" i="29" s="1"/>
  <c r="AZ305" i="29"/>
  <c r="BK305" i="29" s="1"/>
  <c r="AZ304" i="29"/>
  <c r="AK304" i="29"/>
  <c r="AK305" i="29"/>
  <c r="AK299" i="29"/>
  <c r="AK301" i="29" s="1"/>
  <c r="AK302" i="29" s="1"/>
  <c r="AN299" i="29"/>
  <c r="AN301" i="29" s="1"/>
  <c r="AN302" i="29" s="1"/>
  <c r="AN304" i="29"/>
  <c r="AN305" i="29"/>
  <c r="AW305" i="29"/>
  <c r="BH305" i="29" s="1"/>
  <c r="AW304" i="29"/>
  <c r="AW299" i="29"/>
  <c r="AW301" i="29" s="1"/>
  <c r="AW302" i="29" s="1"/>
  <c r="AX300" i="29" s="1" a="1"/>
  <c r="AX300" i="29" s="1"/>
  <c r="AX303" i="29" s="1"/>
  <c r="AX305" i="29"/>
  <c r="BI305" i="29" s="1"/>
  <c r="AX304" i="29"/>
  <c r="AX299" i="29"/>
  <c r="AX301" i="29" s="1"/>
  <c r="AX302" i="29" s="1"/>
  <c r="AY300" i="29" s="1" a="1"/>
  <c r="AY300" i="29" s="1"/>
  <c r="AY303" i="29" s="1"/>
  <c r="AM305" i="29"/>
  <c r="AM299" i="29"/>
  <c r="AM301" i="29" s="1"/>
  <c r="AM302" i="29" s="1"/>
  <c r="AM304" i="29"/>
  <c r="AR299" i="29"/>
  <c r="AR301" i="29" s="1"/>
  <c r="AR302" i="29" s="1"/>
  <c r="AR304" i="29"/>
  <c r="AR305" i="29"/>
  <c r="AS304" i="29"/>
  <c r="AS305" i="29"/>
  <c r="AS299" i="29"/>
  <c r="AS301" i="29" s="1"/>
  <c r="AS302" i="29" s="1"/>
  <c r="AV299" i="29"/>
  <c r="AV301" i="29" s="1"/>
  <c r="AV302" i="29" s="1"/>
  <c r="AW300" i="29" s="1" a="1"/>
  <c r="AW300" i="29" s="1"/>
  <c r="AW303" i="29" s="1"/>
  <c r="AV305" i="29"/>
  <c r="BG305" i="29" s="1"/>
  <c r="AV304" i="29"/>
  <c r="AL304" i="29"/>
  <c r="AL305" i="29"/>
  <c r="AL299" i="29"/>
  <c r="AL301" i="29" s="1"/>
  <c r="AL302" i="29" s="1"/>
  <c r="BB305" i="29"/>
  <c r="BM305" i="29" s="1"/>
  <c r="BB304" i="29"/>
  <c r="BB299" i="29"/>
  <c r="BB301" i="29" s="1"/>
  <c r="BB302" i="29" s="1"/>
  <c r="BC300" i="29" s="1" a="1"/>
  <c r="BC300" i="29" s="1"/>
  <c r="BC303" i="29" s="1"/>
  <c r="AQ305" i="29"/>
  <c r="AQ299" i="29"/>
  <c r="AQ301" i="29" s="1"/>
  <c r="AQ302" i="29" s="1"/>
  <c r="AQ304" i="29"/>
  <c r="BA306" i="29"/>
  <c r="AW306" i="29"/>
  <c r="AS306" i="29"/>
  <c r="AO306" i="29"/>
  <c r="AK306" i="29"/>
  <c r="AG306" i="29"/>
  <c r="AZ306" i="29"/>
  <c r="AV306" i="29"/>
  <c r="AR306" i="29"/>
  <c r="AN306" i="29"/>
  <c r="AJ306" i="29"/>
  <c r="AF306" i="29"/>
  <c r="AF305" i="29" s="1"/>
  <c r="F307" i="29" a="1"/>
  <c r="F307" i="29" s="1"/>
  <c r="F308" i="29" s="1" a="1"/>
  <c r="F308" i="29" s="1"/>
  <c r="F309" i="29" s="1" a="1"/>
  <c r="F309" i="29" s="1"/>
  <c r="F310" i="29" s="1" a="1"/>
  <c r="F310" i="29" s="1"/>
  <c r="F311" i="29" s="1" a="1"/>
  <c r="F311" i="29" s="1"/>
  <c r="F312" i="29" s="1" a="1"/>
  <c r="F312" i="29" s="1"/>
  <c r="F313" i="29" s="1" a="1"/>
  <c r="F313" i="29" s="1"/>
  <c r="F314" i="29" s="1" a="1"/>
  <c r="F314" i="29" s="1"/>
  <c r="AY306" i="29"/>
  <c r="AQ306" i="29"/>
  <c r="AI306" i="29"/>
  <c r="AI305" i="29" s="1"/>
  <c r="BD305" i="29" s="1"/>
  <c r="AX306" i="29"/>
  <c r="AP306" i="29"/>
  <c r="BC306" i="29"/>
  <c r="AU306" i="29"/>
  <c r="AM306" i="29"/>
  <c r="AE306" i="29"/>
  <c r="BB306" i="29"/>
  <c r="AT306" i="29"/>
  <c r="AL306" i="29"/>
  <c r="BA454" i="29"/>
  <c r="BA452" i="29"/>
  <c r="BA451" i="29"/>
  <c r="BA453" i="29" s="1"/>
  <c r="AO454" i="29"/>
  <c r="AO452" i="29"/>
  <c r="AO451" i="29"/>
  <c r="AO453" i="29" s="1"/>
  <c r="AZ454" i="29"/>
  <c r="AZ452" i="29"/>
  <c r="AZ451" i="29"/>
  <c r="AZ453" i="29" s="1"/>
  <c r="AX454" i="29"/>
  <c r="AX452" i="29"/>
  <c r="AX451" i="29"/>
  <c r="AX453" i="29" s="1"/>
  <c r="AM454" i="29"/>
  <c r="AM452" i="29"/>
  <c r="AM451" i="29"/>
  <c r="AM453" i="29" s="1"/>
  <c r="BC454" i="29"/>
  <c r="BC452" i="29"/>
  <c r="BC451" i="29"/>
  <c r="BC453" i="29" s="1"/>
  <c r="AU593" i="29"/>
  <c r="BF593" i="29" s="1"/>
  <c r="AU592" i="29"/>
  <c r="AU587" i="29"/>
  <c r="AU589" i="29" s="1"/>
  <c r="AU590" i="29" s="1"/>
  <c r="AO593" i="29"/>
  <c r="AO587" i="29"/>
  <c r="AO589" i="29" s="1"/>
  <c r="AO590" i="29" s="1"/>
  <c r="AO592" i="29"/>
  <c r="BA594" i="29"/>
  <c r="AW594" i="29"/>
  <c r="AS594" i="29"/>
  <c r="AO594" i="29"/>
  <c r="AK594" i="29"/>
  <c r="AG594" i="29"/>
  <c r="F595" i="29" a="1"/>
  <c r="F595" i="29" s="1"/>
  <c r="F596" i="29" s="1" a="1"/>
  <c r="F596" i="29" s="1"/>
  <c r="F597" i="29" s="1" a="1"/>
  <c r="F597" i="29" s="1"/>
  <c r="F598" i="29" s="1" a="1"/>
  <c r="F598" i="29" s="1"/>
  <c r="F599" i="29" s="1" a="1"/>
  <c r="F599" i="29" s="1"/>
  <c r="F600" i="29" s="1" a="1"/>
  <c r="F600" i="29" s="1"/>
  <c r="F601" i="29" s="1" a="1"/>
  <c r="F601" i="29" s="1"/>
  <c r="F602" i="29" s="1" a="1"/>
  <c r="F602" i="29" s="1"/>
  <c r="BC594" i="29"/>
  <c r="AY594" i="29"/>
  <c r="AU594" i="29"/>
  <c r="AQ594" i="29"/>
  <c r="AM594" i="29"/>
  <c r="AI594" i="29"/>
  <c r="AI593" i="29" s="1"/>
  <c r="BD593" i="29" s="1"/>
  <c r="AE594" i="29"/>
  <c r="AE593" i="29" s="1"/>
  <c r="AZ594" i="29"/>
  <c r="AR594" i="29"/>
  <c r="AJ594" i="29"/>
  <c r="AX594" i="29"/>
  <c r="AP594" i="29"/>
  <c r="AV594" i="29"/>
  <c r="AF594" i="29"/>
  <c r="AT594" i="29"/>
  <c r="AT593" i="29" s="1"/>
  <c r="BE593" i="29" s="1"/>
  <c r="BB594" i="29"/>
  <c r="AN594" i="29"/>
  <c r="AL594" i="29"/>
  <c r="AF589" i="29"/>
  <c r="AV587" i="29"/>
  <c r="AV589" i="29" s="1"/>
  <c r="AV590" i="29" s="1"/>
  <c r="AW588" i="29" s="1" a="1"/>
  <c r="AW588" i="29" s="1"/>
  <c r="AW591" i="29" s="1"/>
  <c r="AV593" i="29"/>
  <c r="BG593" i="29" s="1"/>
  <c r="AV592" i="29"/>
  <c r="AT589" i="29"/>
  <c r="AT449" i="29"/>
  <c r="BE449" i="29" s="1"/>
  <c r="AJ147" i="29"/>
  <c r="BO147" i="29"/>
  <c r="AT147" i="29"/>
  <c r="F148" i="29" a="1"/>
  <c r="F148" i="29" s="1"/>
  <c r="F149" i="29" s="1" a="1"/>
  <c r="F149" i="29" s="1"/>
  <c r="F150" i="29" s="1" a="1"/>
  <c r="F150" i="29" s="1"/>
  <c r="F151" i="29" s="1" a="1"/>
  <c r="F151" i="29" s="1"/>
  <c r="F152" i="29" s="1" a="1"/>
  <c r="F152" i="29" s="1"/>
  <c r="F153" i="29" s="1" a="1"/>
  <c r="F153" i="29" s="1"/>
  <c r="F154" i="29" s="1" a="1"/>
  <c r="F154" i="29" s="1"/>
  <c r="AI449" i="29"/>
  <c r="BD449" i="29" s="1"/>
  <c r="AU305" i="29"/>
  <c r="BF305" i="29" s="1"/>
  <c r="AU304" i="29"/>
  <c r="AU299" i="29"/>
  <c r="AU301" i="29" s="1"/>
  <c r="AU302" i="29" s="1"/>
  <c r="AF454" i="29"/>
  <c r="AF452" i="29"/>
  <c r="AF451" i="29"/>
  <c r="AF453" i="29" s="1"/>
  <c r="AN454" i="29"/>
  <c r="AN452" i="29"/>
  <c r="AN451" i="29"/>
  <c r="AN453" i="29" s="1"/>
  <c r="AW454" i="29"/>
  <c r="AW452" i="29"/>
  <c r="AW451" i="29"/>
  <c r="AW453" i="29" s="1"/>
  <c r="AL454" i="29"/>
  <c r="AL452" i="29"/>
  <c r="AL451" i="29"/>
  <c r="AL453" i="29" s="1"/>
  <c r="BB454" i="29"/>
  <c r="BB452" i="29"/>
  <c r="BB451" i="29"/>
  <c r="BB453" i="29" s="1"/>
  <c r="AQ454" i="29"/>
  <c r="AQ452" i="29"/>
  <c r="AQ451" i="29"/>
  <c r="AQ453" i="29" s="1"/>
  <c r="AG449" i="29"/>
  <c r="AW593" i="29"/>
  <c r="BH593" i="29" s="1"/>
  <c r="AW592" i="29"/>
  <c r="AW587" i="29"/>
  <c r="AW589" i="29" s="1"/>
  <c r="AW590" i="29" s="1"/>
  <c r="AX588" i="29" s="1" a="1"/>
  <c r="AX588" i="29" s="1"/>
  <c r="AX591" i="29" s="1"/>
  <c r="AI589" i="29"/>
  <c r="AK593" i="29"/>
  <c r="AK587" i="29"/>
  <c r="AK589" i="29" s="1"/>
  <c r="AK590" i="29" s="1"/>
  <c r="AK592" i="29"/>
  <c r="AJ589" i="29"/>
  <c r="AZ587" i="29"/>
  <c r="AZ589" i="29" s="1"/>
  <c r="AZ590" i="29" s="1"/>
  <c r="BA588" i="29" s="1" a="1"/>
  <c r="BA588" i="29" s="1"/>
  <c r="BA591" i="29" s="1"/>
  <c r="AZ593" i="29"/>
  <c r="BK593" i="29" s="1"/>
  <c r="AZ592" i="29"/>
  <c r="AX587" i="29"/>
  <c r="AX589" i="29" s="1"/>
  <c r="AX590" i="29" s="1"/>
  <c r="AY588" i="29" s="1" a="1"/>
  <c r="AY588" i="29" s="1"/>
  <c r="AY591" i="29" s="1"/>
  <c r="AX593" i="29"/>
  <c r="BI593" i="29" s="1"/>
  <c r="AX592" i="29"/>
  <c r="AV300" i="29" l="1" a="1"/>
  <c r="AV300" i="29" s="1"/>
  <c r="AV303" i="29" s="1"/>
  <c r="AU303" i="29"/>
  <c r="AV588" i="29" a="1"/>
  <c r="AV588" i="29" s="1"/>
  <c r="AV591" i="29" s="1"/>
  <c r="AU591" i="29"/>
  <c r="AL598" i="29"/>
  <c r="AL596" i="29"/>
  <c r="AL595" i="29"/>
  <c r="AL597" i="29" s="1"/>
  <c r="AI598" i="29"/>
  <c r="AI596" i="29"/>
  <c r="AI595" i="29"/>
  <c r="AI597" i="29" s="1"/>
  <c r="BA598" i="29"/>
  <c r="BA596" i="29"/>
  <c r="BA595" i="29"/>
  <c r="BA597" i="29" s="1"/>
  <c r="AY310" i="29"/>
  <c r="AY308" i="29"/>
  <c r="AY307" i="29"/>
  <c r="AY309" i="29" s="1"/>
  <c r="AG310" i="29"/>
  <c r="AG308" i="29"/>
  <c r="AG307" i="29"/>
  <c r="AH306" i="29"/>
  <c r="BA154" i="30"/>
  <c r="AW154" i="30"/>
  <c r="AS154" i="30"/>
  <c r="AO154" i="30"/>
  <c r="AK154" i="30"/>
  <c r="AG154" i="30"/>
  <c r="AZ154" i="30"/>
  <c r="AV154" i="30"/>
  <c r="AR154" i="30"/>
  <c r="AN154" i="30"/>
  <c r="AJ154" i="30"/>
  <c r="AF154" i="30"/>
  <c r="F155" i="30" a="1"/>
  <c r="F155" i="30" s="1"/>
  <c r="BC154" i="30"/>
  <c r="AY154" i="30"/>
  <c r="AU154" i="30"/>
  <c r="AQ154" i="30"/>
  <c r="AM154" i="30"/>
  <c r="AI154" i="30"/>
  <c r="AE154" i="30"/>
  <c r="AX154" i="30"/>
  <c r="BB154" i="30"/>
  <c r="AL154" i="30"/>
  <c r="AP154" i="30"/>
  <c r="AT154" i="30"/>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AW154" i="29"/>
  <c r="AO154" i="29"/>
  <c r="AG154" i="29"/>
  <c r="AV154" i="29"/>
  <c r="AN154" i="29"/>
  <c r="AF154" i="29"/>
  <c r="BA154" i="29"/>
  <c r="AS154" i="29"/>
  <c r="AK154" i="29"/>
  <c r="AR154" i="29"/>
  <c r="AJ154" i="29"/>
  <c r="AZ154" i="29"/>
  <c r="AJ598" i="29"/>
  <c r="AJ596" i="29"/>
  <c r="AJ595" i="29"/>
  <c r="AJ597" i="29" s="1"/>
  <c r="AK598" i="29"/>
  <c r="AK596" i="29"/>
  <c r="AK595" i="29"/>
  <c r="AK597" i="29" s="1"/>
  <c r="AP310" i="29"/>
  <c r="AP308" i="29"/>
  <c r="AP307" i="29"/>
  <c r="AP309" i="29" s="1"/>
  <c r="AN310" i="29"/>
  <c r="AN308" i="29"/>
  <c r="AN307" i="29"/>
  <c r="AN309" i="29" s="1"/>
  <c r="AH453" i="29"/>
  <c r="AJ593" i="29"/>
  <c r="AV598" i="29"/>
  <c r="AV596" i="29"/>
  <c r="AV595" i="29"/>
  <c r="AV597" i="29" s="1"/>
  <c r="AM598" i="29"/>
  <c r="AM596" i="29"/>
  <c r="AM595" i="29"/>
  <c r="AM597" i="29" s="1"/>
  <c r="BC598" i="29"/>
  <c r="BC596" i="29"/>
  <c r="BC595" i="29"/>
  <c r="BC597" i="29" s="1"/>
  <c r="AO598" i="29"/>
  <c r="AO596" i="29"/>
  <c r="AO595" i="29"/>
  <c r="AO597" i="29" s="1"/>
  <c r="AL310" i="29"/>
  <c r="AL308" i="29"/>
  <c r="AL307" i="29"/>
  <c r="AL309" i="29" s="1"/>
  <c r="AM310" i="29"/>
  <c r="AM308" i="29"/>
  <c r="AM307" i="29"/>
  <c r="AM309" i="29" s="1"/>
  <c r="AX310" i="29"/>
  <c r="AX308" i="29"/>
  <c r="AX307" i="29"/>
  <c r="AX309" i="29" s="1"/>
  <c r="AR310" i="29"/>
  <c r="AR308" i="29"/>
  <c r="AR307" i="29"/>
  <c r="AR309" i="29" s="1"/>
  <c r="AK310" i="29"/>
  <c r="AK308" i="29"/>
  <c r="AK307" i="29"/>
  <c r="AK309" i="29" s="1"/>
  <c r="BA310" i="29"/>
  <c r="BA308" i="29"/>
  <c r="BA307" i="29"/>
  <c r="BA309" i="29" s="1"/>
  <c r="AH454" i="29"/>
  <c r="AH301" i="29"/>
  <c r="AF598" i="29"/>
  <c r="AF596" i="29"/>
  <c r="AF595" i="29"/>
  <c r="AF597" i="29" s="1"/>
  <c r="AY598" i="29"/>
  <c r="AY596" i="29"/>
  <c r="AY595" i="29"/>
  <c r="AY597" i="29" s="1"/>
  <c r="AE310" i="29"/>
  <c r="AE308" i="29"/>
  <c r="AE307" i="29"/>
  <c r="AE309" i="29" s="1"/>
  <c r="AW310" i="29"/>
  <c r="AW308" i="29"/>
  <c r="AW307" i="29"/>
  <c r="AW309" i="29" s="1"/>
  <c r="AN598" i="29"/>
  <c r="AN596" i="29"/>
  <c r="AN595" i="29"/>
  <c r="AN597" i="29" s="1"/>
  <c r="AR598" i="29"/>
  <c r="AR596" i="29"/>
  <c r="AR595" i="29"/>
  <c r="AR597" i="29" s="1"/>
  <c r="AF593" i="29"/>
  <c r="BB598" i="29"/>
  <c r="BB596" i="29"/>
  <c r="BB595" i="29"/>
  <c r="BB597" i="29" s="1"/>
  <c r="AP598" i="29"/>
  <c r="AP596" i="29"/>
  <c r="AP595" i="29"/>
  <c r="AP597" i="29" s="1"/>
  <c r="AZ598" i="29"/>
  <c r="AZ596" i="29"/>
  <c r="AZ595" i="29"/>
  <c r="AZ597" i="29" s="1"/>
  <c r="AQ598" i="29"/>
  <c r="AQ596" i="29"/>
  <c r="AQ595" i="29"/>
  <c r="AQ597" i="29" s="1"/>
  <c r="AS598" i="29"/>
  <c r="AS596" i="29"/>
  <c r="AS595" i="29"/>
  <c r="AS597" i="29" s="1"/>
  <c r="AT310" i="29"/>
  <c r="AT308" i="29"/>
  <c r="AT307" i="29"/>
  <c r="AT309" i="29" s="1"/>
  <c r="AU310" i="29"/>
  <c r="AU308" i="29"/>
  <c r="AU307" i="29"/>
  <c r="AU309" i="29" s="1"/>
  <c r="AI310" i="29"/>
  <c r="AI308" i="29"/>
  <c r="AI307" i="29"/>
  <c r="AI309" i="29" s="1"/>
  <c r="AF310" i="29"/>
  <c r="AF308" i="29"/>
  <c r="AF307" i="29"/>
  <c r="AF309" i="29" s="1"/>
  <c r="AV310" i="29"/>
  <c r="AV308" i="29"/>
  <c r="AV307" i="29"/>
  <c r="AV309" i="29" s="1"/>
  <c r="AO310" i="29"/>
  <c r="AO308" i="29"/>
  <c r="AO307" i="29"/>
  <c r="AO309" i="29" s="1"/>
  <c r="AH589" i="29"/>
  <c r="AH451" i="29"/>
  <c r="AT305" i="29"/>
  <c r="BE305" i="29" s="1"/>
  <c r="AE305" i="29"/>
  <c r="AT598" i="29"/>
  <c r="AT596" i="29"/>
  <c r="AT595" i="29"/>
  <c r="AT597" i="29" s="1"/>
  <c r="AX598" i="29"/>
  <c r="AX596" i="29"/>
  <c r="AX595" i="29"/>
  <c r="AX597" i="29" s="1"/>
  <c r="AE598" i="29"/>
  <c r="AE596" i="29"/>
  <c r="AE595" i="29"/>
  <c r="AE597" i="29" s="1"/>
  <c r="AU598" i="29"/>
  <c r="AU596" i="29"/>
  <c r="AU595" i="29"/>
  <c r="AU597" i="29" s="1"/>
  <c r="AG598" i="29"/>
  <c r="AH598" i="29" s="1"/>
  <c r="AG596" i="29"/>
  <c r="AH596" i="29" s="1"/>
  <c r="AG595" i="29"/>
  <c r="AH595" i="29" s="1"/>
  <c r="AH594" i="29"/>
  <c r="AW598" i="29"/>
  <c r="AW596" i="29"/>
  <c r="AW595" i="29"/>
  <c r="AW597" i="29" s="1"/>
  <c r="BB310" i="29"/>
  <c r="BB308" i="29"/>
  <c r="BB307" i="29"/>
  <c r="BB309" i="29" s="1"/>
  <c r="BC310" i="29"/>
  <c r="BC308" i="29"/>
  <c r="BC307" i="29"/>
  <c r="BC309" i="29" s="1"/>
  <c r="AQ310" i="29"/>
  <c r="AQ308" i="29"/>
  <c r="AQ307" i="29"/>
  <c r="AQ309" i="29" s="1"/>
  <c r="AJ310" i="29"/>
  <c r="AJ308" i="29"/>
  <c r="AJ307" i="29"/>
  <c r="AJ309" i="29" s="1"/>
  <c r="AZ310" i="29"/>
  <c r="AZ308" i="29"/>
  <c r="AZ307" i="29"/>
  <c r="AZ309" i="29" s="1"/>
  <c r="AS310" i="29"/>
  <c r="AS308" i="29"/>
  <c r="AS307" i="29"/>
  <c r="AS309" i="29" s="1"/>
  <c r="AG593" i="29"/>
  <c r="AH452" i="29"/>
  <c r="AJ305" i="29"/>
  <c r="AG305" i="29"/>
  <c r="AW161" i="29" l="1"/>
  <c r="BH161" i="29" s="1"/>
  <c r="AW160" i="29"/>
  <c r="AW155" i="29"/>
  <c r="AW157" i="29" s="1"/>
  <c r="AW158" i="29" s="1"/>
  <c r="AX156" i="29" s="1" a="1"/>
  <c r="AX156" i="29" s="1"/>
  <c r="AX159" i="29" s="1"/>
  <c r="AM155" i="29"/>
  <c r="AM157" i="29" s="1"/>
  <c r="AM158" i="29" s="1"/>
  <c r="AM161" i="29"/>
  <c r="AM160" i="29"/>
  <c r="AY161" i="30"/>
  <c r="BJ161" i="30" s="1"/>
  <c r="AY160" i="30"/>
  <c r="AY155" i="30"/>
  <c r="AY157" i="30" s="1"/>
  <c r="AY158" i="30" s="1"/>
  <c r="AZ156" i="30" s="1" a="1"/>
  <c r="AZ156" i="30" s="1"/>
  <c r="AZ161" i="30"/>
  <c r="BK161" i="30" s="1"/>
  <c r="AZ160" i="30"/>
  <c r="AZ155" i="30"/>
  <c r="AZ157" i="30" s="1"/>
  <c r="AZ158" i="30" s="1"/>
  <c r="BA156" i="30" s="1" a="1"/>
  <c r="BA156" i="30" s="1"/>
  <c r="AH307" i="29"/>
  <c r="AZ161" i="29"/>
  <c r="BK161" i="29" s="1"/>
  <c r="AZ160" i="29"/>
  <c r="AZ155" i="29"/>
  <c r="AZ157" i="29" s="1"/>
  <c r="AZ158" i="29" s="1"/>
  <c r="BA156" i="29" s="1" a="1"/>
  <c r="BA156" i="29" s="1"/>
  <c r="BA159" i="29" s="1"/>
  <c r="AS161" i="29"/>
  <c r="AS160" i="29"/>
  <c r="AS155" i="29"/>
  <c r="AS157" i="29" s="1"/>
  <c r="AS158" i="29" s="1"/>
  <c r="AV155" i="29"/>
  <c r="AV157" i="29" s="1"/>
  <c r="AV158" i="29" s="1"/>
  <c r="AW156" i="29" s="1" a="1"/>
  <c r="AW156" i="29" s="1"/>
  <c r="AW159" i="29" s="1"/>
  <c r="AV161" i="29"/>
  <c r="BG161" i="29" s="1"/>
  <c r="AV160" i="29"/>
  <c r="AL161" i="29"/>
  <c r="AL160" i="29"/>
  <c r="AL155" i="29"/>
  <c r="AL157" i="29" s="1"/>
  <c r="AL158" i="29" s="1"/>
  <c r="BB161" i="29"/>
  <c r="BM161" i="29" s="1"/>
  <c r="BB160" i="29"/>
  <c r="BB155" i="29"/>
  <c r="BB157" i="29" s="1"/>
  <c r="BB158" i="29" s="1"/>
  <c r="BC156" i="29" s="1" a="1"/>
  <c r="BC156" i="29" s="1"/>
  <c r="BC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A162" i="29"/>
  <c r="AS162" i="29"/>
  <c r="AK162" i="29"/>
  <c r="AX162" i="29"/>
  <c r="AP162" i="29"/>
  <c r="AW162" i="29"/>
  <c r="AO162" i="29"/>
  <c r="AG162" i="29"/>
  <c r="BB162" i="29"/>
  <c r="AT162" i="29"/>
  <c r="AL162" i="29"/>
  <c r="BB161" i="30"/>
  <c r="BM161" i="30" s="1"/>
  <c r="BB160" i="30"/>
  <c r="BB155" i="30"/>
  <c r="BB157" i="30" s="1"/>
  <c r="BB158" i="30" s="1"/>
  <c r="BC156" i="30" s="1" a="1"/>
  <c r="BC156" i="30" s="1"/>
  <c r="AM161" i="30"/>
  <c r="AM160" i="30"/>
  <c r="AM155" i="30"/>
  <c r="AM157" i="30" s="1"/>
  <c r="AM158" i="30" s="1"/>
  <c r="BC161" i="30"/>
  <c r="BC160" i="30"/>
  <c r="BC155" i="30"/>
  <c r="BC157" i="30" s="1"/>
  <c r="BC158" i="30" s="1"/>
  <c r="AN161" i="30"/>
  <c r="AN160" i="30"/>
  <c r="AN155" i="30"/>
  <c r="AN157" i="30" s="1"/>
  <c r="AN158" i="30" s="1"/>
  <c r="AG155" i="30"/>
  <c r="AG157" i="30" s="1"/>
  <c r="AH154" i="30"/>
  <c r="AG161" i="30"/>
  <c r="AG160" i="30"/>
  <c r="AW155" i="30"/>
  <c r="AW157" i="30" s="1"/>
  <c r="AW158" i="30" s="1"/>
  <c r="AX156" i="30" s="1" a="1"/>
  <c r="AX156" i="30" s="1"/>
  <c r="AX159" i="30" s="1"/>
  <c r="AW161" i="30"/>
  <c r="BH161" i="30" s="1"/>
  <c r="AW160" i="30"/>
  <c r="AH308" i="29"/>
  <c r="AK161" i="29"/>
  <c r="AK160" i="29"/>
  <c r="AK155" i="29"/>
  <c r="AK157" i="29" s="1"/>
  <c r="AK158" i="29" s="1"/>
  <c r="BC155" i="29"/>
  <c r="BC157" i="29" s="1"/>
  <c r="BC158" i="29" s="1"/>
  <c r="BC161" i="29"/>
  <c r="BC160" i="29"/>
  <c r="AI161" i="30"/>
  <c r="BD161" i="30" s="1"/>
  <c r="AI160" i="30"/>
  <c r="AI155" i="30"/>
  <c r="AI157" i="30" s="1"/>
  <c r="AI158" i="30" s="1"/>
  <c r="AS155" i="30"/>
  <c r="AS157" i="30" s="1"/>
  <c r="AS158" i="30" s="1"/>
  <c r="AS161" i="30"/>
  <c r="AS160" i="30"/>
  <c r="AH449" i="29"/>
  <c r="AJ161" i="29"/>
  <c r="AJ160" i="29"/>
  <c r="AJ155" i="29"/>
  <c r="AJ157" i="29" s="1"/>
  <c r="AJ158" i="29" s="1"/>
  <c r="BA161" i="29"/>
  <c r="BL161" i="29" s="1"/>
  <c r="BA160" i="29"/>
  <c r="BA155" i="29"/>
  <c r="BA157" i="29" s="1"/>
  <c r="BA158" i="29" s="1"/>
  <c r="BB156" i="29" s="1" a="1"/>
  <c r="BB156" i="29" s="1"/>
  <c r="BB159" i="29" s="1"/>
  <c r="AG161" i="29"/>
  <c r="AG160" i="29"/>
  <c r="AH154" i="29"/>
  <c r="AG155" i="29"/>
  <c r="AP161" i="29"/>
  <c r="AP160" i="29"/>
  <c r="AP155" i="29"/>
  <c r="AP157" i="29" s="1"/>
  <c r="AP158" i="29" s="1"/>
  <c r="AE155" i="29"/>
  <c r="AE157" i="29" s="1"/>
  <c r="AE158" i="29" s="1"/>
  <c r="AE161" i="29"/>
  <c r="AE160" i="29"/>
  <c r="AU155" i="29"/>
  <c r="AU157" i="29" s="1"/>
  <c r="AU158" i="29" s="1"/>
  <c r="AV156" i="29" s="1" a="1"/>
  <c r="AV156" i="29" s="1"/>
  <c r="AV159" i="29" s="1"/>
  <c r="AU161" i="29"/>
  <c r="BF161" i="29" s="1"/>
  <c r="AU160" i="29"/>
  <c r="AT161" i="30"/>
  <c r="BE161" i="30" s="1"/>
  <c r="AT160" i="30"/>
  <c r="AT155" i="30"/>
  <c r="AT157" i="30" s="1"/>
  <c r="AT158" i="30" s="1"/>
  <c r="AU156" i="30" s="1" a="1"/>
  <c r="AU156" i="30" s="1"/>
  <c r="AX161" i="30"/>
  <c r="BI161" i="30" s="1"/>
  <c r="AX160" i="30"/>
  <c r="AX155" i="30"/>
  <c r="AX157" i="30" s="1"/>
  <c r="AX158" i="30" s="1"/>
  <c r="AY156" i="30" s="1" a="1"/>
  <c r="AY156" i="30" s="1"/>
  <c r="AY159" i="30" s="1"/>
  <c r="AQ161" i="30"/>
  <c r="AQ160" i="30"/>
  <c r="AQ155" i="30"/>
  <c r="AQ157" i="30" s="1"/>
  <c r="AQ158" i="30" s="1"/>
  <c r="F156" i="30" a="1"/>
  <c r="F156" i="30" s="1"/>
  <c r="AR161" i="30"/>
  <c r="AR160" i="30"/>
  <c r="AR155" i="30"/>
  <c r="AR157" i="30" s="1"/>
  <c r="AR158" i="30" s="1"/>
  <c r="AK155" i="30"/>
  <c r="AK160" i="30"/>
  <c r="AK161" i="30"/>
  <c r="BA155" i="30"/>
  <c r="BA157" i="30" s="1"/>
  <c r="BA158" i="30" s="1"/>
  <c r="BB156" i="30" s="1" a="1"/>
  <c r="BB156" i="30" s="1"/>
  <c r="BB159" i="30" s="1"/>
  <c r="BA161" i="30"/>
  <c r="BL161" i="30" s="1"/>
  <c r="BA160" i="30"/>
  <c r="AG309" i="29"/>
  <c r="AH309" i="29" s="1"/>
  <c r="AN155" i="29"/>
  <c r="AN157" i="29" s="1"/>
  <c r="AN158" i="29" s="1"/>
  <c r="AN161" i="29"/>
  <c r="AN160" i="29"/>
  <c r="AX161" i="29"/>
  <c r="BI161" i="29" s="1"/>
  <c r="AX160" i="29"/>
  <c r="AX155" i="29"/>
  <c r="AX157" i="29" s="1"/>
  <c r="AX158" i="29" s="1"/>
  <c r="AY156" i="29" s="1" a="1"/>
  <c r="AY156" i="29" s="1"/>
  <c r="AY159" i="29" s="1"/>
  <c r="AL161" i="30"/>
  <c r="AL160" i="30"/>
  <c r="AL155" i="30"/>
  <c r="AL157" i="30" s="1"/>
  <c r="AL158" i="30" s="1"/>
  <c r="AJ161" i="30"/>
  <c r="AJ160" i="30"/>
  <c r="AJ155" i="30"/>
  <c r="AJ157" i="30" s="1"/>
  <c r="AJ158" i="30" s="1"/>
  <c r="AG597" i="29"/>
  <c r="AH597" i="29" s="1"/>
  <c r="AH593" i="29" s="1"/>
  <c r="AR161" i="29"/>
  <c r="AR160" i="29"/>
  <c r="AR155" i="29"/>
  <c r="AR157" i="29" s="1"/>
  <c r="AR158" i="29" s="1"/>
  <c r="AF155" i="29"/>
  <c r="AF157" i="29" s="1"/>
  <c r="AF158" i="29" s="1"/>
  <c r="AF161" i="29"/>
  <c r="AF160" i="29"/>
  <c r="AO161" i="29"/>
  <c r="AO160" i="29"/>
  <c r="AO155" i="29"/>
  <c r="AO157" i="29" s="1"/>
  <c r="AO158" i="29" s="1"/>
  <c r="AT161" i="29"/>
  <c r="BE161" i="29" s="1"/>
  <c r="AT160" i="29"/>
  <c r="AT155" i="29"/>
  <c r="AT157" i="29" s="1"/>
  <c r="AT158" i="29" s="1"/>
  <c r="AU156" i="29" s="1" a="1"/>
  <c r="AU156" i="29" s="1"/>
  <c r="AU159" i="29" s="1"/>
  <c r="AI155" i="29"/>
  <c r="AI157" i="29" s="1"/>
  <c r="AI158" i="29" s="1"/>
  <c r="AI161" i="29"/>
  <c r="BD161" i="29" s="1"/>
  <c r="AI160" i="29"/>
  <c r="AY155" i="29"/>
  <c r="AY157" i="29" s="1"/>
  <c r="AY158" i="29" s="1"/>
  <c r="AZ156" i="29" s="1" a="1"/>
  <c r="AZ156" i="29" s="1"/>
  <c r="AZ159" i="29" s="1"/>
  <c r="AY161" i="29"/>
  <c r="BJ161" i="29" s="1"/>
  <c r="AY160" i="29"/>
  <c r="AP161" i="30"/>
  <c r="AP160" i="30"/>
  <c r="AP155" i="30"/>
  <c r="AP157" i="30" s="1"/>
  <c r="AP158" i="30" s="1"/>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AH310" i="29"/>
  <c r="BC159" i="30" l="1"/>
  <c r="AZ159" i="30"/>
  <c r="AU159" i="30"/>
  <c r="BA159" i="30"/>
  <c r="AK157" i="30"/>
  <c r="AK158" i="30" s="1"/>
  <c r="F157" i="30" a="1"/>
  <c r="F157" i="30" s="1"/>
  <c r="AH157" i="30"/>
  <c r="AG158" i="30"/>
  <c r="AH158" i="30" s="1"/>
  <c r="AT166" i="29"/>
  <c r="AT164" i="29"/>
  <c r="AT163" i="29"/>
  <c r="AT165" i="29" s="1"/>
  <c r="AW166" i="29"/>
  <c r="AW164" i="29"/>
  <c r="AW163" i="29"/>
  <c r="AW165" i="29" s="1"/>
  <c r="AS166" i="29"/>
  <c r="AS164" i="29"/>
  <c r="AS163" i="29"/>
  <c r="AS165" i="29" s="1"/>
  <c r="AM166" i="29"/>
  <c r="AM164" i="29"/>
  <c r="AM163" i="29"/>
  <c r="AM165" i="29" s="1"/>
  <c r="BC166" i="29"/>
  <c r="BC164" i="29"/>
  <c r="BC163" i="29"/>
  <c r="BC165" i="29" s="1"/>
  <c r="AN166" i="29"/>
  <c r="AN164" i="29"/>
  <c r="AN163" i="29"/>
  <c r="AN165" i="29" s="1"/>
  <c r="AH305" i="29"/>
  <c r="AH160" i="29"/>
  <c r="AH160" i="30"/>
  <c r="AH155" i="30"/>
  <c r="BB166" i="29"/>
  <c r="BB164" i="29"/>
  <c r="BB163" i="29"/>
  <c r="BB165" i="29" s="1"/>
  <c r="AP166" i="29"/>
  <c r="AP164" i="29"/>
  <c r="AP163" i="29"/>
  <c r="AP165" i="29" s="1"/>
  <c r="BA166" i="29"/>
  <c r="BA164" i="29"/>
  <c r="BA163" i="29"/>
  <c r="BA165" i="29" s="1"/>
  <c r="AQ166" i="29"/>
  <c r="AQ164" i="29"/>
  <c r="AQ163" i="29"/>
  <c r="AQ165" i="29" s="1"/>
  <c r="AR166" i="29"/>
  <c r="AR164" i="29"/>
  <c r="AR163" i="29"/>
  <c r="AR165" i="29" s="1"/>
  <c r="AH162" i="29"/>
  <c r="AG166" i="29"/>
  <c r="AG164" i="29"/>
  <c r="AG163" i="29"/>
  <c r="AG165" i="29" s="1"/>
  <c r="AX166" i="29"/>
  <c r="AX164" i="29"/>
  <c r="AX163" i="29"/>
  <c r="AX165" i="29" s="1"/>
  <c r="AE166" i="29"/>
  <c r="AE164" i="29"/>
  <c r="AE163" i="29"/>
  <c r="AE165" i="29" s="1"/>
  <c r="AU166" i="29"/>
  <c r="AU164" i="29"/>
  <c r="AU163" i="29"/>
  <c r="AU165" i="29" s="1"/>
  <c r="AF166" i="29"/>
  <c r="AF164" i="29"/>
  <c r="AF163" i="29"/>
  <c r="AF165" i="29" s="1"/>
  <c r="AV166" i="29"/>
  <c r="AV164" i="29"/>
  <c r="AV163" i="29"/>
  <c r="AV165" i="29" s="1"/>
  <c r="AH155" i="29"/>
  <c r="AG157" i="29"/>
  <c r="AL166" i="29"/>
  <c r="AL164" i="29"/>
  <c r="AL163" i="29"/>
  <c r="AL165" i="29" s="1"/>
  <c r="AO166" i="29"/>
  <c r="AO164" i="29"/>
  <c r="AO163" i="29"/>
  <c r="AO165" i="29" s="1"/>
  <c r="AK166" i="29"/>
  <c r="AK164" i="29"/>
  <c r="AK163" i="29"/>
  <c r="AK165" i="29" s="1"/>
  <c r="AI166" i="29"/>
  <c r="AI164" i="29"/>
  <c r="AI163" i="29"/>
  <c r="AI165" i="29" s="1"/>
  <c r="AY166" i="29"/>
  <c r="AY164" i="29"/>
  <c r="AY163" i="29"/>
  <c r="AY165" i="29" s="1"/>
  <c r="AJ166" i="29"/>
  <c r="AJ164" i="29"/>
  <c r="AJ163" i="29"/>
  <c r="AJ165" i="29" s="1"/>
  <c r="AZ166" i="29"/>
  <c r="AZ164" i="29"/>
  <c r="AZ163" i="29"/>
  <c r="AZ165" i="29" s="1"/>
  <c r="AG158" i="29" l="1"/>
  <c r="AH158" i="29" s="1"/>
  <c r="AH157" i="29"/>
  <c r="AH166" i="29"/>
  <c r="AH165" i="29"/>
  <c r="AH163" i="29"/>
  <c r="AH164" i="29"/>
  <c r="F158" i="30" a="1"/>
  <c r="F158" i="30" s="1"/>
  <c r="AH161" i="29" l="1"/>
  <c r="F159" i="30" a="1"/>
  <c r="F159" i="30" s="1"/>
  <c r="F160" i="30" l="1" a="1"/>
  <c r="F160" i="30" s="1"/>
  <c r="F161" i="30" s="1" a="1"/>
  <c r="F161" i="30" s="1"/>
  <c r="F162" i="30" s="1" a="1"/>
  <c r="F162" i="30" s="1"/>
  <c r="BB162" i="30" l="1"/>
  <c r="AX162" i="30"/>
  <c r="AT162" i="30"/>
  <c r="AP162" i="30"/>
  <c r="AL162" i="30"/>
  <c r="BA162" i="30"/>
  <c r="AW162" i="30"/>
  <c r="AS162" i="30"/>
  <c r="AO162" i="30"/>
  <c r="AK162" i="30"/>
  <c r="AG162" i="30"/>
  <c r="AZ162" i="30"/>
  <c r="AV162" i="30"/>
  <c r="AR162" i="30"/>
  <c r="AN162" i="30"/>
  <c r="AJ162" i="30"/>
  <c r="AF162" i="30"/>
  <c r="AU162" i="30"/>
  <c r="AE162" i="30"/>
  <c r="AY162" i="30"/>
  <c r="AI162" i="30"/>
  <c r="AQ162" i="30"/>
  <c r="AM162" i="30"/>
  <c r="BC162" i="30"/>
  <c r="F163" i="30" a="1"/>
  <c r="F163" i="30" s="1"/>
  <c r="F164" i="30" s="1" a="1"/>
  <c r="F164" i="30" s="1"/>
  <c r="F165" i="30" s="1" a="1"/>
  <c r="F165" i="30" s="1"/>
  <c r="F166" i="30" s="1" a="1"/>
  <c r="F166" i="30" s="1"/>
  <c r="F167" i="30" s="1" a="1"/>
  <c r="F167" i="30" s="1"/>
  <c r="F168" i="30" s="1" a="1"/>
  <c r="F168" i="30" s="1"/>
  <c r="F169" i="30" s="1" a="1"/>
  <c r="F169" i="30" s="1"/>
  <c r="AY166" i="30" l="1"/>
  <c r="AY164" i="30"/>
  <c r="AY163" i="30"/>
  <c r="AY165" i="30" s="1"/>
  <c r="AJ166" i="30"/>
  <c r="AJ164" i="30"/>
  <c r="AJ163" i="30"/>
  <c r="AJ165" i="30" s="1"/>
  <c r="AP166" i="30"/>
  <c r="AP164" i="30"/>
  <c r="AP163" i="30"/>
  <c r="AP165" i="30" s="1"/>
  <c r="AM166" i="30"/>
  <c r="AM41" i="27" s="1"/>
  <c r="AO41" i="27" s="1"/>
  <c r="AM164" i="30"/>
  <c r="AM163" i="30"/>
  <c r="AM165" i="30" s="1"/>
  <c r="AE166" i="30"/>
  <c r="AE164" i="30"/>
  <c r="AE163" i="30"/>
  <c r="AE165" i="30" s="1"/>
  <c r="AN166" i="30"/>
  <c r="AP41" i="27" s="1"/>
  <c r="AR41" i="27" s="1"/>
  <c r="AN164" i="30"/>
  <c r="AN163" i="30"/>
  <c r="AN165" i="30" s="1"/>
  <c r="AH162" i="30"/>
  <c r="AG166" i="30"/>
  <c r="AG164" i="30"/>
  <c r="AG163" i="30"/>
  <c r="AW166" i="30"/>
  <c r="AW164" i="30"/>
  <c r="AW163" i="30"/>
  <c r="AW165" i="30" s="1"/>
  <c r="AT166" i="30"/>
  <c r="AT164" i="30"/>
  <c r="AT163" i="30"/>
  <c r="AT165" i="30" s="1"/>
  <c r="AZ166" i="30"/>
  <c r="AZ164" i="30"/>
  <c r="AZ163" i="30"/>
  <c r="AZ165" i="30" s="1"/>
  <c r="AS166" i="30"/>
  <c r="AS164" i="30"/>
  <c r="AS163" i="30"/>
  <c r="AS165" i="30" s="1"/>
  <c r="AQ166" i="30"/>
  <c r="AQ164" i="30"/>
  <c r="AQ163" i="30"/>
  <c r="AQ165" i="30" s="1"/>
  <c r="AU166" i="30"/>
  <c r="AU164" i="30"/>
  <c r="AU163" i="30"/>
  <c r="AU165" i="30" s="1"/>
  <c r="AR166" i="30"/>
  <c r="AR164" i="30"/>
  <c r="AR163" i="30"/>
  <c r="AR165" i="30" s="1"/>
  <c r="AK166" i="30"/>
  <c r="AK164" i="30"/>
  <c r="AK163" i="30"/>
  <c r="AK165" i="30" s="1"/>
  <c r="BA166" i="30"/>
  <c r="BA164" i="30"/>
  <c r="BA163" i="30"/>
  <c r="BA165" i="30" s="1"/>
  <c r="AX166" i="30"/>
  <c r="AX164" i="30"/>
  <c r="AX163" i="30"/>
  <c r="AX165" i="30" s="1"/>
  <c r="BC166" i="30"/>
  <c r="BC164" i="30"/>
  <c r="BC163" i="30"/>
  <c r="BC165" i="30"/>
  <c r="F170" i="30" a="1"/>
  <c r="F170" i="30" s="1"/>
  <c r="AC31" i="31"/>
  <c r="AI166" i="30"/>
  <c r="AI165" i="30"/>
  <c r="AI164" i="30"/>
  <c r="AI163" i="30"/>
  <c r="AF166" i="30"/>
  <c r="AF165" i="30"/>
  <c r="AF164" i="30"/>
  <c r="AF163" i="30"/>
  <c r="AV166" i="30"/>
  <c r="AV165" i="30"/>
  <c r="AV164" i="30"/>
  <c r="AV163" i="30"/>
  <c r="AO166" i="30"/>
  <c r="AO165" i="30"/>
  <c r="AO164" i="30"/>
  <c r="AO163" i="30"/>
  <c r="AL166" i="30"/>
  <c r="AL165" i="30"/>
  <c r="AL164" i="30"/>
  <c r="AL163" i="30"/>
  <c r="BB166" i="30"/>
  <c r="BC41" i="27" s="1"/>
  <c r="BB165" i="30"/>
  <c r="BB164" i="30"/>
  <c r="BB163" i="30"/>
  <c r="AH163" i="30" l="1"/>
  <c r="AJ41" i="27"/>
  <c r="AL41" i="27" s="1"/>
  <c r="AS41" i="27"/>
  <c r="AU41" i="27" s="1"/>
  <c r="AH164" i="30"/>
  <c r="AG165" i="30"/>
  <c r="AH165" i="30" s="1"/>
  <c r="AJ37" i="27"/>
  <c r="AL37" i="27" s="1"/>
  <c r="AH49" i="27"/>
  <c r="AH47" i="27" s="1"/>
  <c r="AD49" i="27"/>
  <c r="AZ49" i="27"/>
  <c r="AZ47" i="27" s="1"/>
  <c r="AE49" i="27"/>
  <c r="AE47" i="27" s="1"/>
  <c r="AS49" i="27"/>
  <c r="AP49" i="27"/>
  <c r="AV49" i="27"/>
  <c r="BF37" i="27"/>
  <c r="BB49" i="27"/>
  <c r="AJ49" i="27"/>
  <c r="AK49" i="27"/>
  <c r="AK47" i="27" s="1"/>
  <c r="AG49" i="27"/>
  <c r="BF49" i="27"/>
  <c r="BF47" i="27" s="1"/>
  <c r="AW49" i="27"/>
  <c r="AW47" i="27" s="1"/>
  <c r="AW78" i="27"/>
  <c r="AW80" i="27" s="1"/>
  <c r="AZ78" i="27"/>
  <c r="AZ80" i="27" s="1"/>
  <c r="BC223" i="27"/>
  <c r="BC221" i="27" s="1"/>
  <c r="BF78" i="27"/>
  <c r="BF80" i="27" s="1"/>
  <c r="AE137" i="27"/>
  <c r="AW34" i="27"/>
  <c r="AW36" i="27" s="1"/>
  <c r="AJ81" i="27"/>
  <c r="AL81" i="27" s="1"/>
  <c r="AZ34" i="27"/>
  <c r="AZ36" i="27" s="1"/>
  <c r="BF81" i="27"/>
  <c r="AT90" i="27"/>
  <c r="AT92" i="27" s="1"/>
  <c r="BB205" i="27"/>
  <c r="BD205" i="27" s="1"/>
  <c r="AJ209" i="27"/>
  <c r="AL209" i="27" s="1"/>
  <c r="AZ173" i="27"/>
  <c r="AZ171" i="27" s="1"/>
  <c r="AY205" i="27"/>
  <c r="BA205" i="27" s="1"/>
  <c r="AW61" i="27"/>
  <c r="AW59" i="27" s="1"/>
  <c r="AG38" i="27"/>
  <c r="AG189" i="26"/>
  <c r="AD249" i="27"/>
  <c r="AJ150" i="27"/>
  <c r="BE123" i="27"/>
  <c r="AJ67" i="27"/>
  <c r="AP146" i="27"/>
  <c r="BB41" i="27"/>
  <c r="BD41" i="27" s="1"/>
  <c r="BC147" i="27"/>
  <c r="AV206" i="27"/>
  <c r="AV191" i="27"/>
  <c r="AX191" i="27" s="1"/>
  <c r="AS249" i="27"/>
  <c r="AU249" i="27" s="1"/>
  <c r="AQ161" i="27"/>
  <c r="AQ159" i="27" s="1"/>
  <c r="AD191" i="27"/>
  <c r="BC229" i="27"/>
  <c r="BC227" i="27" s="1"/>
  <c r="AV249" i="27"/>
  <c r="AX249" i="27" s="1"/>
  <c r="AW229" i="27"/>
  <c r="AW227" i="27" s="1"/>
  <c r="AQ190" i="27"/>
  <c r="AQ192" i="27" s="1"/>
  <c r="AQ137" i="27"/>
  <c r="AW94" i="27"/>
  <c r="AW96" i="27" s="1"/>
  <c r="AN41" i="27"/>
  <c r="AK94" i="27"/>
  <c r="AK96" i="27" s="1"/>
  <c r="BE95" i="27"/>
  <c r="BG95" i="27" s="1"/>
  <c r="BE151" i="27"/>
  <c r="BG151" i="27" s="1"/>
  <c r="AD205" i="27"/>
  <c r="AQ150" i="27"/>
  <c r="AQ152" i="27" s="1"/>
  <c r="AS229" i="27"/>
  <c r="AW37" i="27"/>
  <c r="AZ137" i="27"/>
  <c r="AG34" i="27"/>
  <c r="AG39" i="26"/>
  <c r="AT191" i="27"/>
  <c r="AN229" i="27"/>
  <c r="AN227" i="27" s="1"/>
  <c r="AT39" i="27"/>
  <c r="BC81" i="27"/>
  <c r="AG202" i="27"/>
  <c r="BF105" i="27"/>
  <c r="BF103" i="27" s="1"/>
  <c r="AP217" i="27"/>
  <c r="AH147" i="27"/>
  <c r="AY38" i="27"/>
  <c r="AM161" i="27"/>
  <c r="AY202" i="27"/>
  <c r="AY97" i="27"/>
  <c r="BA97" i="27" s="1"/>
  <c r="AH105" i="27"/>
  <c r="AH103" i="27" s="1"/>
  <c r="AS34" i="27"/>
  <c r="AE205" i="27"/>
  <c r="AN137" i="27"/>
  <c r="AY190" i="27"/>
  <c r="AK78" i="27"/>
  <c r="AK80" i="27" s="1"/>
  <c r="AJ217" i="27"/>
  <c r="AY111" i="27"/>
  <c r="AN35" i="27"/>
  <c r="BB34" i="27"/>
  <c r="BC105" i="27"/>
  <c r="BC103" i="27" s="1"/>
  <c r="AZ151" i="27"/>
  <c r="AJ167" i="27"/>
  <c r="AQ247" i="27"/>
  <c r="AT38" i="27"/>
  <c r="AT40" i="27" s="1"/>
  <c r="AE117" i="27"/>
  <c r="AE115" i="27" s="1"/>
  <c r="AM117" i="27"/>
  <c r="BB153" i="27"/>
  <c r="BD153" i="27" s="1"/>
  <c r="AN167" i="27"/>
  <c r="AN165" i="27" s="1"/>
  <c r="AQ37" i="27"/>
  <c r="AJ173" i="27"/>
  <c r="AE190" i="27"/>
  <c r="AV134" i="27"/>
  <c r="AK117" i="27"/>
  <c r="AK115" i="27" s="1"/>
  <c r="AW249" i="27"/>
  <c r="BB229" i="27"/>
  <c r="AE81" i="27"/>
  <c r="AH90" i="27"/>
  <c r="BB150" i="27"/>
  <c r="AZ202" i="27"/>
  <c r="AZ204" i="27" s="1"/>
  <c r="AY39" i="27"/>
  <c r="BA39" i="27" s="1"/>
  <c r="AY209" i="27"/>
  <c r="BA209" i="27" s="1"/>
  <c r="AK151" i="27"/>
  <c r="AH207" i="27"/>
  <c r="AE123" i="27"/>
  <c r="AE121" i="27" s="1"/>
  <c r="AH41" i="27"/>
  <c r="AG194" i="26"/>
  <c r="AE235" i="27"/>
  <c r="AE233" i="27" s="1"/>
  <c r="BC78" i="27"/>
  <c r="BC80" i="27" s="1"/>
  <c r="BE111" i="27"/>
  <c r="AS217" i="27"/>
  <c r="BB173" i="27"/>
  <c r="BF217" i="27"/>
  <c r="BF215" i="27" s="1"/>
  <c r="AG87" i="26"/>
  <c r="AS105" i="27"/>
  <c r="BE37" i="27"/>
  <c r="BG37" i="27" s="1"/>
  <c r="AG90" i="26"/>
  <c r="AG90" i="27"/>
  <c r="AJ38" i="27"/>
  <c r="AZ93" i="27"/>
  <c r="AK81" i="27"/>
  <c r="AJ161" i="27"/>
  <c r="AN81" i="27"/>
  <c r="AZ105" i="27"/>
  <c r="AZ103" i="27" s="1"/>
  <c r="BE179" i="27"/>
  <c r="AG152" i="26"/>
  <c r="AG88" i="26"/>
  <c r="BB203" i="27"/>
  <c r="BD203" i="27" s="1"/>
  <c r="AD134" i="27"/>
  <c r="BB79" i="27"/>
  <c r="BD79" i="27" s="1"/>
  <c r="AY246" i="27"/>
  <c r="BB97" i="27"/>
  <c r="BD97" i="27" s="1"/>
  <c r="AY81" i="27"/>
  <c r="BA81" i="27" s="1"/>
  <c r="BE209" i="27"/>
  <c r="BG209" i="27" s="1"/>
  <c r="AT81" i="27"/>
  <c r="AJ97" i="27"/>
  <c r="AL97" i="27" s="1"/>
  <c r="AY79" i="27"/>
  <c r="BA79" i="27" s="1"/>
  <c r="BB190" i="27"/>
  <c r="AN151" i="27"/>
  <c r="BF117" i="27"/>
  <c r="BF115" i="27" s="1"/>
  <c r="AP202" i="27"/>
  <c r="AS146" i="27"/>
  <c r="AS95" i="27"/>
  <c r="AU95" i="27" s="1"/>
  <c r="AH94" i="27"/>
  <c r="AH96" i="27" s="1"/>
  <c r="AM173" i="27"/>
  <c r="BB91" i="27"/>
  <c r="BD91" i="27" s="1"/>
  <c r="AJ223" i="27"/>
  <c r="AM223" i="27"/>
  <c r="AZ37" i="27"/>
  <c r="BF247" i="27"/>
  <c r="AH78" i="27"/>
  <c r="AH80" i="27" s="1"/>
  <c r="AQ206" i="27"/>
  <c r="AQ208" i="27" s="1"/>
  <c r="AG94" i="27"/>
  <c r="BF67" i="27"/>
  <c r="BF65" i="27" s="1"/>
  <c r="AQ235" i="27"/>
  <c r="AQ233" i="27" s="1"/>
  <c r="BE205" i="27"/>
  <c r="BG205" i="27" s="1"/>
  <c r="AE55" i="27"/>
  <c r="AE53" i="27" s="1"/>
  <c r="AN153" i="27"/>
  <c r="AQ90" i="27"/>
  <c r="AQ92" i="27" s="1"/>
  <c r="AD55" i="27"/>
  <c r="AD35" i="27"/>
  <c r="AF35" i="27" s="1"/>
  <c r="AY249" i="27"/>
  <c r="BA249" i="27" s="1"/>
  <c r="AS193" i="27"/>
  <c r="AU193" i="27" s="1"/>
  <c r="BC202" i="27"/>
  <c r="BC204" i="27" s="1"/>
  <c r="BF167" i="27"/>
  <c r="BF165" i="27" s="1"/>
  <c r="AJ90" i="27"/>
  <c r="AT94" i="27"/>
  <c r="AT96" i="27" s="1"/>
  <c r="AM179" i="27"/>
  <c r="AQ117" i="27"/>
  <c r="AQ115" i="27" s="1"/>
  <c r="AY179" i="27"/>
  <c r="AD34" i="27"/>
  <c r="AG150" i="27"/>
  <c r="AG79" i="27"/>
  <c r="AI79" i="27" s="1"/>
  <c r="BF246" i="27"/>
  <c r="BF248" i="27" s="1"/>
  <c r="AW161" i="27"/>
  <c r="AW159" i="27" s="1"/>
  <c r="AG134" i="27"/>
  <c r="AE39" i="27"/>
  <c r="AT35" i="27"/>
  <c r="AP78" i="27"/>
  <c r="AM81" i="27"/>
  <c r="AO81" i="27" s="1"/>
  <c r="AE134" i="27"/>
  <c r="AZ94" i="27"/>
  <c r="AZ96" i="27" s="1"/>
  <c r="AM38" i="27"/>
  <c r="AM207" i="27"/>
  <c r="AO207" i="27" s="1"/>
  <c r="AW153" i="27"/>
  <c r="BC150" i="27"/>
  <c r="BC152" i="27" s="1"/>
  <c r="AG179" i="27"/>
  <c r="AT61" i="27"/>
  <c r="AT59" i="27" s="1"/>
  <c r="BC34" i="27"/>
  <c r="BC36" i="27" s="1"/>
  <c r="AQ35" i="27"/>
  <c r="AM146" i="27"/>
  <c r="AM91" i="27"/>
  <c r="AO91" i="27" s="1"/>
  <c r="AP105" i="27"/>
  <c r="AN193" i="27"/>
  <c r="AT153" i="27"/>
  <c r="AG144" i="26"/>
  <c r="AQ167" i="27"/>
  <c r="AQ165" i="27" s="1"/>
  <c r="AE173" i="27"/>
  <c r="AE171" i="27" s="1"/>
  <c r="AK246" i="27"/>
  <c r="AK248" i="27" s="1"/>
  <c r="AS38" i="27"/>
  <c r="AY134" i="27"/>
  <c r="AW41" i="27"/>
  <c r="AG91" i="26"/>
  <c r="AN209" i="27"/>
  <c r="AP81" i="27"/>
  <c r="AR81" i="27" s="1"/>
  <c r="AG249" i="27"/>
  <c r="AI249" i="27" s="1"/>
  <c r="AH134" i="27"/>
  <c r="AQ217" i="27"/>
  <c r="AQ215" i="27" s="1"/>
  <c r="AM93" i="27"/>
  <c r="AO93" i="27" s="1"/>
  <c r="AT207" i="27"/>
  <c r="AH173" i="27"/>
  <c r="AH171" i="27" s="1"/>
  <c r="AY41" i="27"/>
  <c r="BA41" i="27" s="1"/>
  <c r="AQ78" i="27"/>
  <c r="AQ80" i="27" s="1"/>
  <c r="AS79" i="27"/>
  <c r="AU79" i="27" s="1"/>
  <c r="BB223" i="27"/>
  <c r="AD111" i="27"/>
  <c r="AV55" i="27"/>
  <c r="AE209" i="27"/>
  <c r="AE95" i="27"/>
  <c r="BE146" i="27"/>
  <c r="AD78" i="27"/>
  <c r="AG95" i="27"/>
  <c r="AI95" i="27" s="1"/>
  <c r="AS78" i="27"/>
  <c r="BB67" i="27"/>
  <c r="AK95" i="27"/>
  <c r="AJ135" i="27"/>
  <c r="AL135" i="27" s="1"/>
  <c r="AP173" i="27"/>
  <c r="AS39" i="27"/>
  <c r="AU39" i="27" s="1"/>
  <c r="AK41" i="27"/>
  <c r="BC37" i="27"/>
  <c r="BF123" i="27"/>
  <c r="BF121" i="27" s="1"/>
  <c r="AG49" i="26"/>
  <c r="BB93" i="27"/>
  <c r="BD93" i="27" s="1"/>
  <c r="AY151" i="27"/>
  <c r="BA151" i="27" s="1"/>
  <c r="AK167" i="27"/>
  <c r="AK165" i="27" s="1"/>
  <c r="BF153" i="27"/>
  <c r="AT95" i="27"/>
  <c r="BF207" i="27"/>
  <c r="AS81" i="27"/>
  <c r="AU81" i="27" s="1"/>
  <c r="AP203" i="27"/>
  <c r="AR203" i="27" s="1"/>
  <c r="AN94" i="27"/>
  <c r="AN96" i="27" s="1"/>
  <c r="AV67" i="27"/>
  <c r="AW146" i="27"/>
  <c r="AW148" i="27" s="1"/>
  <c r="AH153" i="27"/>
  <c r="AS209" i="27"/>
  <c r="AU209" i="27" s="1"/>
  <c r="AN146" i="27"/>
  <c r="AN148" i="27" s="1"/>
  <c r="AG139" i="26"/>
  <c r="AH34" i="27"/>
  <c r="AH36" i="27" s="1"/>
  <c r="AG135" i="27"/>
  <c r="AI135" i="27" s="1"/>
  <c r="AV97" i="27"/>
  <c r="AX97" i="27" s="1"/>
  <c r="AV61" i="27"/>
  <c r="AJ34" i="27"/>
  <c r="AY217" i="27"/>
  <c r="AV173" i="27"/>
  <c r="AE249" i="27"/>
  <c r="BE229" i="27"/>
  <c r="AG246" i="27"/>
  <c r="AZ205" i="27"/>
  <c r="BE39" i="27"/>
  <c r="BG39" i="27" s="1"/>
  <c r="BE55" i="27"/>
  <c r="AH206" i="27"/>
  <c r="AH208" i="27" s="1"/>
  <c r="AQ41" i="27"/>
  <c r="AS97" i="27"/>
  <c r="AU97" i="27" s="1"/>
  <c r="AD137" i="27"/>
  <c r="AF137" i="27" s="1"/>
  <c r="AT117" i="27"/>
  <c r="AT115" i="27" s="1"/>
  <c r="BF34" i="27"/>
  <c r="BF36" i="27" s="1"/>
  <c r="BF209" i="27"/>
  <c r="BC111" i="27"/>
  <c r="BC109" i="27" s="1"/>
  <c r="AV78" i="27"/>
  <c r="AW207" i="27"/>
  <c r="AK193" i="27"/>
  <c r="AQ205" i="27"/>
  <c r="AE91" i="27"/>
  <c r="AN78" i="27"/>
  <c r="AN80" i="27" s="1"/>
  <c r="AM167" i="27"/>
  <c r="AD203" i="27"/>
  <c r="AP37" i="27"/>
  <c r="AR37" i="27" s="1"/>
  <c r="AE223" i="27"/>
  <c r="AE221" i="27" s="1"/>
  <c r="AH55" i="27"/>
  <c r="AH53" i="27" s="1"/>
  <c r="AS207" i="27"/>
  <c r="AU207" i="27" s="1"/>
  <c r="BF161" i="27"/>
  <c r="BF159" i="27" s="1"/>
  <c r="AQ147" i="27"/>
  <c r="BF55" i="27"/>
  <c r="BF53" i="27" s="1"/>
  <c r="AH111" i="27"/>
  <c r="AH109" i="27" s="1"/>
  <c r="AQ95" i="27"/>
  <c r="AD173" i="27"/>
  <c r="BE173" i="27"/>
  <c r="AH117" i="27"/>
  <c r="AH115" i="27" s="1"/>
  <c r="AM34" i="27"/>
  <c r="AN235" i="27"/>
  <c r="AN233" i="27" s="1"/>
  <c r="BF79" i="27"/>
  <c r="AK202" i="27"/>
  <c r="AK204" i="27" s="1"/>
  <c r="AG217" i="27"/>
  <c r="BE34" i="27"/>
  <c r="AS151" i="27"/>
  <c r="AU151" i="27" s="1"/>
  <c r="AD38" i="27"/>
  <c r="AK173" i="27"/>
  <c r="AK171" i="27" s="1"/>
  <c r="AZ117" i="27"/>
  <c r="AZ115" i="27" s="1"/>
  <c r="BB167" i="27"/>
  <c r="AT41" i="27"/>
  <c r="BC135" i="27"/>
  <c r="BF137" i="27"/>
  <c r="AW81" i="27"/>
  <c r="AN206" i="27"/>
  <c r="AN208" i="27" s="1"/>
  <c r="AN95" i="27"/>
  <c r="AY167" i="27"/>
  <c r="BE203" i="27"/>
  <c r="BG203" i="27" s="1"/>
  <c r="AS37" i="27"/>
  <c r="AU37" i="27" s="1"/>
  <c r="AD94" i="27"/>
  <c r="AZ223" i="27"/>
  <c r="AZ221" i="27" s="1"/>
  <c r="AT235" i="27"/>
  <c r="AT233" i="27" s="1"/>
  <c r="AT150" i="27"/>
  <c r="AT152" i="27" s="1"/>
  <c r="AH151" i="27"/>
  <c r="AQ39" i="27"/>
  <c r="BF203" i="27"/>
  <c r="AH209" i="27"/>
  <c r="AS206" i="27"/>
  <c r="BB135" i="27"/>
  <c r="BD135" i="27" s="1"/>
  <c r="BB90" i="27"/>
  <c r="BB206" i="27"/>
  <c r="BB94" i="27"/>
  <c r="AN34" i="27"/>
  <c r="AN36" i="27" s="1"/>
  <c r="AK67" i="27"/>
  <c r="AK65" i="27" s="1"/>
  <c r="AJ123" i="27"/>
  <c r="BE91" i="27"/>
  <c r="BG91" i="27" s="1"/>
  <c r="AE147" i="27"/>
  <c r="AM151" i="27"/>
  <c r="AO151" i="27" s="1"/>
  <c r="AG42" i="26"/>
  <c r="AZ111" i="27"/>
  <c r="AZ109" i="27" s="1"/>
  <c r="BF206" i="27"/>
  <c r="BF208" i="27" s="1"/>
  <c r="AV34" i="27"/>
  <c r="AP95" i="27"/>
  <c r="AR95" i="27" s="1"/>
  <c r="BB207" i="27"/>
  <c r="BD207" i="27" s="1"/>
  <c r="AH135" i="27"/>
  <c r="AQ111" i="27"/>
  <c r="AQ109" i="27" s="1"/>
  <c r="AP207" i="27"/>
  <c r="AR207" i="27" s="1"/>
  <c r="AS147" i="27"/>
  <c r="AU147" i="27" s="1"/>
  <c r="BC149" i="27"/>
  <c r="AT190" i="27"/>
  <c r="AT192" i="27" s="1"/>
  <c r="BC246" i="27"/>
  <c r="BC248" i="27" s="1"/>
  <c r="AG191" i="26"/>
  <c r="AK179" i="27"/>
  <c r="AK177" i="27" s="1"/>
  <c r="BE161" i="27"/>
  <c r="AN97" i="27"/>
  <c r="AE153" i="27"/>
  <c r="AW223" i="27"/>
  <c r="AW221" i="27" s="1"/>
  <c r="BB149" i="27"/>
  <c r="BD149" i="27" s="1"/>
  <c r="AM137" i="27"/>
  <c r="AO137" i="27" s="1"/>
  <c r="AD149" i="27"/>
  <c r="BC209" i="27"/>
  <c r="AZ235" i="27"/>
  <c r="AZ233" i="27" s="1"/>
  <c r="AG140" i="26"/>
  <c r="AN105" i="27"/>
  <c r="AN103" i="27" s="1"/>
  <c r="BF95" i="27"/>
  <c r="AP229" i="27"/>
  <c r="AQ34" i="27"/>
  <c r="AQ36" i="27" s="1"/>
  <c r="BB151" i="27"/>
  <c r="BD151" i="27" s="1"/>
  <c r="BF149" i="27"/>
  <c r="BB209" i="27"/>
  <c r="BD209" i="27" s="1"/>
  <c r="AS203" i="27"/>
  <c r="AU203" i="27" s="1"/>
  <c r="AJ147" i="27"/>
  <c r="AL147" i="27" s="1"/>
  <c r="AK161" i="27"/>
  <c r="AK159" i="27" s="1"/>
  <c r="BC97" i="27"/>
  <c r="AN246" i="27"/>
  <c r="AN248" i="27" s="1"/>
  <c r="BB193" i="27"/>
  <c r="BD193" i="27" s="1"/>
  <c r="AP190" i="27"/>
  <c r="BE67" i="27"/>
  <c r="AS246" i="27"/>
  <c r="AS153" i="27"/>
  <c r="AU153" i="27" s="1"/>
  <c r="AK153" i="27"/>
  <c r="AZ149" i="27"/>
  <c r="AS223" i="27"/>
  <c r="AV37" i="27"/>
  <c r="AX37" i="27" s="1"/>
  <c r="BB235" i="27"/>
  <c r="AH203" i="27"/>
  <c r="AN37" i="27"/>
  <c r="AM37" i="27"/>
  <c r="AO37" i="27" s="1"/>
  <c r="BF205" i="27"/>
  <c r="AE97" i="27"/>
  <c r="AJ149" i="27"/>
  <c r="AL149" i="27" s="1"/>
  <c r="AQ151" i="27"/>
  <c r="AE246" i="27"/>
  <c r="AZ247" i="27"/>
  <c r="AD246" i="27"/>
  <c r="BF191" i="27"/>
  <c r="AS173" i="27"/>
  <c r="AG142" i="26"/>
  <c r="AT206" i="27"/>
  <c r="AT208" i="27" s="1"/>
  <c r="BE105" i="27"/>
  <c r="AD223" i="27"/>
  <c r="AN93" i="27"/>
  <c r="AE149" i="27"/>
  <c r="AN55" i="27"/>
  <c r="AN53" i="27" s="1"/>
  <c r="AN117" i="27"/>
  <c r="AN115" i="27" s="1"/>
  <c r="AZ91" i="27"/>
  <c r="AG207" i="27"/>
  <c r="AI207" i="27" s="1"/>
  <c r="AY135" i="27"/>
  <c r="BA135" i="27" s="1"/>
  <c r="AW206" i="27"/>
  <c r="AW208" i="27" s="1"/>
  <c r="BC67" i="27"/>
  <c r="BC65" i="27" s="1"/>
  <c r="BC179" i="27"/>
  <c r="BC177" i="27" s="1"/>
  <c r="AE150" i="27"/>
  <c r="AE152" i="27" s="1"/>
  <c r="AK209" i="27"/>
  <c r="AG173" i="27"/>
  <c r="AD217" i="27"/>
  <c r="AP191" i="27"/>
  <c r="AR191" i="27" s="1"/>
  <c r="BC247" i="27"/>
  <c r="AP134" i="27"/>
  <c r="AG151" i="27"/>
  <c r="AI151" i="27" s="1"/>
  <c r="AY90" i="27"/>
  <c r="AT209" i="27"/>
  <c r="AT37" i="27"/>
  <c r="AK34" i="27"/>
  <c r="AK36" i="27" s="1"/>
  <c r="BB61" i="27"/>
  <c r="AG205" i="27"/>
  <c r="AI205" i="27" s="1"/>
  <c r="AH79" i="27"/>
  <c r="AW134" i="27"/>
  <c r="AW136" i="27" s="1"/>
  <c r="AT79" i="27"/>
  <c r="AD190" i="27"/>
  <c r="AQ55" i="27"/>
  <c r="AQ53" i="27" s="1"/>
  <c r="AY105" i="27"/>
  <c r="AT149" i="27"/>
  <c r="AK203" i="27"/>
  <c r="AP93" i="27"/>
  <c r="AR93" i="27" s="1"/>
  <c r="AK137" i="27"/>
  <c r="BF93" i="27"/>
  <c r="AZ39" i="27"/>
  <c r="AN61" i="27"/>
  <c r="AN59" i="27" s="1"/>
  <c r="BE217" i="27"/>
  <c r="AZ191" i="27"/>
  <c r="AN190" i="27"/>
  <c r="AN192" i="27" s="1"/>
  <c r="AQ38" i="27"/>
  <c r="AQ40" i="27" s="1"/>
  <c r="AJ229" i="27"/>
  <c r="AS61" i="27"/>
  <c r="AD146" i="27"/>
  <c r="BB35" i="27"/>
  <c r="BD35" i="27" s="1"/>
  <c r="AJ205" i="27"/>
  <c r="AL205" i="27" s="1"/>
  <c r="AS91" i="27"/>
  <c r="AU91" i="27" s="1"/>
  <c r="AZ150" i="27"/>
  <c r="AZ152" i="27" s="1"/>
  <c r="AM55" i="27"/>
  <c r="BF90" i="27"/>
  <c r="BF92" i="27" s="1"/>
  <c r="BF111" i="27"/>
  <c r="BF109" i="27" s="1"/>
  <c r="AK90" i="27"/>
  <c r="AK92" i="27" s="1"/>
  <c r="BB247" i="27"/>
  <c r="BD247" i="27" s="1"/>
  <c r="AY207" i="27"/>
  <c r="BA207" i="27" s="1"/>
  <c r="AE179" i="27"/>
  <c r="AE177" i="27" s="1"/>
  <c r="AV179" i="27"/>
  <c r="AS247" i="27"/>
  <c r="AU247" i="27" s="1"/>
  <c r="AV35" i="27"/>
  <c r="AX35" i="27" s="1"/>
  <c r="AP111" i="27"/>
  <c r="AW246" i="27"/>
  <c r="AW248" i="27" s="1"/>
  <c r="AD179" i="27"/>
  <c r="AH149" i="27"/>
  <c r="AG149" i="27"/>
  <c r="AI149" i="27" s="1"/>
  <c r="AZ79" i="27"/>
  <c r="AE78" i="27"/>
  <c r="AE80" i="27" s="1"/>
  <c r="AZ206" i="27"/>
  <c r="AZ208" i="27" s="1"/>
  <c r="AG93" i="27"/>
  <c r="AI93" i="27" s="1"/>
  <c r="BC55" i="27"/>
  <c r="BC53" i="27" s="1"/>
  <c r="AE37" i="27"/>
  <c r="AG92" i="26"/>
  <c r="AQ193" i="27"/>
  <c r="AD151" i="27"/>
  <c r="AF151" i="27" s="1"/>
  <c r="AZ179" i="27"/>
  <c r="AZ177" i="27" s="1"/>
  <c r="BE247" i="27"/>
  <c r="BG247" i="27" s="1"/>
  <c r="AY137" i="27"/>
  <c r="BA137" i="27" s="1"/>
  <c r="AG229" i="27"/>
  <c r="AE61" i="27"/>
  <c r="AE59" i="27" s="1"/>
  <c r="AY203" i="27"/>
  <c r="BA203" i="27" s="1"/>
  <c r="AS90" i="27"/>
  <c r="BF150" i="27"/>
  <c r="BF152" i="27" s="1"/>
  <c r="BC91" i="27"/>
  <c r="AY229" i="27"/>
  <c r="AT173" i="27"/>
  <c r="AT171" i="27" s="1"/>
  <c r="AS93" i="27"/>
  <c r="AU93" i="27" s="1"/>
  <c r="AE105" i="27"/>
  <c r="AE103" i="27" s="1"/>
  <c r="BC190" i="27"/>
  <c r="BC192" i="27" s="1"/>
  <c r="AM67" i="27"/>
  <c r="AY78" i="27"/>
  <c r="AW167" i="27"/>
  <c r="AW165" i="27" s="1"/>
  <c r="AM95" i="27"/>
  <c r="AO95" i="27" s="1"/>
  <c r="AS134" i="27"/>
  <c r="BC79" i="27"/>
  <c r="AG117" i="27"/>
  <c r="AE229" i="27"/>
  <c r="AE227" i="27" s="1"/>
  <c r="AS150" i="27"/>
  <c r="AM217" i="27"/>
  <c r="BF94" i="27"/>
  <c r="BF96" i="27" s="1"/>
  <c r="AN135" i="27"/>
  <c r="AV90" i="27"/>
  <c r="AK55" i="27"/>
  <c r="AK53" i="27" s="1"/>
  <c r="AV150" i="27"/>
  <c r="AT134" i="27"/>
  <c r="AT136" i="27" s="1"/>
  <c r="AD229" i="27"/>
  <c r="AQ202" i="27"/>
  <c r="AQ204" i="27" s="1"/>
  <c r="AH191" i="27"/>
  <c r="AV93" i="27"/>
  <c r="AX93" i="27" s="1"/>
  <c r="AG247" i="27"/>
  <c r="AI247" i="27" s="1"/>
  <c r="AY247" i="27"/>
  <c r="BA247" i="27" s="1"/>
  <c r="AD93" i="27"/>
  <c r="AH67" i="27"/>
  <c r="AH65" i="27" s="1"/>
  <c r="BE94" i="27"/>
  <c r="AW79" i="27"/>
  <c r="AT247" i="27"/>
  <c r="AE94" i="27"/>
  <c r="AE96" i="27" s="1"/>
  <c r="AP67" i="27"/>
  <c r="AM246" i="27"/>
  <c r="AG190" i="27"/>
  <c r="AV229" i="27"/>
  <c r="AW150" i="27"/>
  <c r="AW152" i="27" s="1"/>
  <c r="BC93" i="27"/>
  <c r="AY37" i="27"/>
  <c r="BA37" i="27" s="1"/>
  <c r="AP193" i="27"/>
  <c r="AR193" i="27" s="1"/>
  <c r="AQ249" i="27"/>
  <c r="AY150" i="27"/>
  <c r="BC134" i="27"/>
  <c r="BC136" i="27" s="1"/>
  <c r="AD147" i="27"/>
  <c r="AW135" i="27"/>
  <c r="AK146" i="27"/>
  <c r="AK148" i="27" s="1"/>
  <c r="AW117" i="27"/>
  <c r="AW115" i="27" s="1"/>
  <c r="AJ117" i="27"/>
  <c r="AT93" i="27"/>
  <c r="AS55" i="27"/>
  <c r="AG167" i="27"/>
  <c r="BF91" i="27"/>
  <c r="BF223" i="27"/>
  <c r="BF221" i="27" s="1"/>
  <c r="AY91" i="27"/>
  <c r="BA91" i="27" s="1"/>
  <c r="BE134" i="27"/>
  <c r="BB137" i="27"/>
  <c r="BD137" i="27" s="1"/>
  <c r="AE191" i="27"/>
  <c r="BE97" i="27"/>
  <c r="BG97" i="27" s="1"/>
  <c r="AJ93" i="27"/>
  <c r="AL93" i="27" s="1"/>
  <c r="AW193" i="27"/>
  <c r="AM79" i="27"/>
  <c r="AO79" i="27" s="1"/>
  <c r="AZ146" i="27"/>
  <c r="AZ148" i="27" s="1"/>
  <c r="AJ203" i="27"/>
  <c r="AL203" i="27" s="1"/>
  <c r="AE151" i="27"/>
  <c r="AT217" i="27"/>
  <c r="AT215" i="27" s="1"/>
  <c r="AM111" i="27"/>
  <c r="AG81" i="27"/>
  <c r="AI81" i="27" s="1"/>
  <c r="AH190" i="27"/>
  <c r="BC123" i="27"/>
  <c r="BC121" i="27" s="1"/>
  <c r="AG111" i="27"/>
  <c r="AD81" i="27"/>
  <c r="AF81" i="27" s="1"/>
  <c r="AG191" i="27"/>
  <c r="AI191" i="27" s="1"/>
  <c r="AG223" i="27"/>
  <c r="AY94" i="27"/>
  <c r="BC203" i="27"/>
  <c r="AW179" i="27"/>
  <c r="AW177" i="27" s="1"/>
  <c r="AP179" i="27"/>
  <c r="AY191" i="27"/>
  <c r="BA191" i="27" s="1"/>
  <c r="AN223" i="27"/>
  <c r="AN221" i="27" s="1"/>
  <c r="AH95" i="27"/>
  <c r="AK147" i="27"/>
  <c r="AM105" i="27"/>
  <c r="AE146" i="27"/>
  <c r="AT111" i="27"/>
  <c r="AT109" i="27" s="1"/>
  <c r="AP61" i="27"/>
  <c r="AK105" i="27"/>
  <c r="AK103" i="27" s="1"/>
  <c r="BC205" i="27"/>
  <c r="AT223" i="27"/>
  <c r="AT221" i="27" s="1"/>
  <c r="AN38" i="27"/>
  <c r="AN40" i="27" s="1"/>
  <c r="AH217" i="27"/>
  <c r="AH215" i="27" s="1"/>
  <c r="AQ123" i="27"/>
  <c r="AQ121" i="27" s="1"/>
  <c r="AK61" i="27"/>
  <c r="AK59" i="27" s="1"/>
  <c r="AJ134" i="27"/>
  <c r="BB147" i="27"/>
  <c r="BD147" i="27" s="1"/>
  <c r="AG89" i="26"/>
  <c r="AZ123" i="27"/>
  <c r="AZ121" i="27" s="1"/>
  <c r="BE38" i="27"/>
  <c r="AQ203" i="27"/>
  <c r="AT229" i="27"/>
  <c r="AT227" i="27" s="1"/>
  <c r="AY61" i="27"/>
  <c r="AM134" i="27"/>
  <c r="BF193" i="27"/>
  <c r="AT193" i="27"/>
  <c r="AS67" i="27"/>
  <c r="BB179" i="27"/>
  <c r="AN161" i="27"/>
  <c r="AN159" i="27" s="1"/>
  <c r="AV111" i="27"/>
  <c r="AM190" i="27"/>
  <c r="AJ78" i="27"/>
  <c r="AK38" i="27"/>
  <c r="AK40" i="27" s="1"/>
  <c r="AV207" i="27"/>
  <c r="AX207" i="27" s="1"/>
  <c r="AZ161" i="27"/>
  <c r="AZ159" i="27" s="1"/>
  <c r="AE161" i="27"/>
  <c r="AE159" i="27" s="1"/>
  <c r="AS205" i="27"/>
  <c r="AU205" i="27" s="1"/>
  <c r="AZ249" i="27"/>
  <c r="AN173" i="27"/>
  <c r="AN171" i="27" s="1"/>
  <c r="AD161" i="27"/>
  <c r="AN202" i="27"/>
  <c r="AN204" i="27" s="1"/>
  <c r="AM202" i="27"/>
  <c r="AP149" i="27"/>
  <c r="AR149" i="27" s="1"/>
  <c r="AD207" i="27"/>
  <c r="AF207" i="27" s="1"/>
  <c r="AP137" i="27"/>
  <c r="AR137" i="27" s="1"/>
  <c r="AV167" i="27"/>
  <c r="BB117" i="27"/>
  <c r="AS35" i="27"/>
  <c r="AU35" i="27" s="1"/>
  <c r="AV94" i="27"/>
  <c r="AJ179" i="27"/>
  <c r="AM135" i="27"/>
  <c r="AO135" i="27" s="1"/>
  <c r="AJ111" i="27"/>
  <c r="AW190" i="27"/>
  <c r="AW192" i="27" s="1"/>
  <c r="AV81" i="27"/>
  <c r="AX81" i="27" s="1"/>
  <c r="AS202" i="27"/>
  <c r="BE150" i="27"/>
  <c r="BE153" i="27"/>
  <c r="BG153" i="27" s="1"/>
  <c r="AQ149" i="27"/>
  <c r="BE117" i="27"/>
  <c r="AT147" i="27"/>
  <c r="AE38" i="27"/>
  <c r="AE40" i="27" s="1"/>
  <c r="BB249" i="27"/>
  <c r="BD249" i="27" s="1"/>
  <c r="AG137" i="27"/>
  <c r="AI137" i="27" s="1"/>
  <c r="AJ249" i="27"/>
  <c r="AL249" i="27" s="1"/>
  <c r="AJ61" i="27"/>
  <c r="BC90" i="27"/>
  <c r="BC92" i="27" s="1"/>
  <c r="AH202" i="27"/>
  <c r="AH204" i="27" s="1"/>
  <c r="AM39" i="27"/>
  <c r="AO39" i="27" s="1"/>
  <c r="BC173" i="27"/>
  <c r="BC171" i="27" s="1"/>
  <c r="AV95" i="27"/>
  <c r="AX95" i="27" s="1"/>
  <c r="AW38" i="27"/>
  <c r="AW40" i="27" s="1"/>
  <c r="AE93" i="27"/>
  <c r="AT151" i="27"/>
  <c r="AS235" i="27"/>
  <c r="AD117" i="27"/>
  <c r="BC137" i="27"/>
  <c r="BE207" i="27"/>
  <c r="BG207" i="27" s="1"/>
  <c r="AM147" i="27"/>
  <c r="AO147" i="27" s="1"/>
  <c r="BE135" i="27"/>
  <c r="BG135" i="27" s="1"/>
  <c r="BF38" i="27"/>
  <c r="BF40" i="27" s="1"/>
  <c r="AM61" i="27"/>
  <c r="BC146" i="27"/>
  <c r="BC148" i="27" s="1"/>
  <c r="BB38" i="27"/>
  <c r="AP150" i="27"/>
  <c r="AG196" i="26"/>
  <c r="AP235" i="27"/>
  <c r="AZ153" i="27"/>
  <c r="AZ38" i="27"/>
  <c r="AZ40" i="27" s="1"/>
  <c r="BB202" i="27"/>
  <c r="AW93" i="27"/>
  <c r="AH123" i="27"/>
  <c r="AH121" i="27" s="1"/>
  <c r="AH91" i="27"/>
  <c r="BF39" i="27"/>
  <c r="AP39" i="27"/>
  <c r="AR39" i="27" s="1"/>
  <c r="AT246" i="27"/>
  <c r="AT248" i="27" s="1"/>
  <c r="AZ209" i="27"/>
  <c r="AG123" i="27"/>
  <c r="AQ209" i="27"/>
  <c r="AH93" i="27"/>
  <c r="AN67" i="27"/>
  <c r="AN65" i="27" s="1"/>
  <c r="AM123" i="27"/>
  <c r="AY173" i="27"/>
  <c r="AK206" i="27"/>
  <c r="AK208" i="27" s="1"/>
  <c r="AP151" i="27"/>
  <c r="AR151" i="27" s="1"/>
  <c r="BB161" i="27"/>
  <c r="AW149" i="27"/>
  <c r="AS167" i="27"/>
  <c r="AY67" i="27"/>
  <c r="AV161" i="27"/>
  <c r="AE217" i="27"/>
  <c r="AE215" i="27" s="1"/>
  <c r="AG161" i="27"/>
  <c r="AH247" i="27"/>
  <c r="AQ246" i="27"/>
  <c r="AQ248" i="27" s="1"/>
  <c r="AK91" i="27"/>
  <c r="AJ206" i="27"/>
  <c r="AJ105" i="27"/>
  <c r="BC153" i="27"/>
  <c r="BE202" i="27"/>
  <c r="AJ137" i="27"/>
  <c r="AL137" i="27" s="1"/>
  <c r="BF249" i="27"/>
  <c r="AV203" i="27"/>
  <c r="AX203" i="27" s="1"/>
  <c r="BE81" i="27"/>
  <c r="BG81" i="27" s="1"/>
  <c r="AG94" i="26"/>
  <c r="AH137" i="27"/>
  <c r="AH35" i="27"/>
  <c r="BC39" i="27"/>
  <c r="AE111" i="27"/>
  <c r="AE109" i="27" s="1"/>
  <c r="AK150" i="27"/>
  <c r="AK152" i="27" s="1"/>
  <c r="AW90" i="27"/>
  <c r="AW92" i="27" s="1"/>
  <c r="AY34" i="27"/>
  <c r="AN217" i="27"/>
  <c r="AN215" i="27" s="1"/>
  <c r="AV223" i="27"/>
  <c r="AV117" i="27"/>
  <c r="AH97" i="27"/>
  <c r="AT49" i="27"/>
  <c r="AT47" i="27" s="1"/>
  <c r="AT202" i="27"/>
  <c r="AT204" i="27" s="1"/>
  <c r="BC95" i="27"/>
  <c r="AK97" i="27"/>
  <c r="AJ235" i="27"/>
  <c r="AD105" i="27"/>
  <c r="AV217" i="27"/>
  <c r="AY147" i="27"/>
  <c r="BA147" i="27" s="1"/>
  <c r="AY206" i="27"/>
  <c r="AG209" i="27"/>
  <c r="AI209" i="27" s="1"/>
  <c r="AW39" i="27"/>
  <c r="BE167" i="27"/>
  <c r="AE79" i="27"/>
  <c r="AG141" i="26"/>
  <c r="AN134" i="27"/>
  <c r="AN136" i="27" s="1"/>
  <c r="AN49" i="27"/>
  <c r="AN47" i="27" s="1"/>
  <c r="AG39" i="27"/>
  <c r="AI39" i="27" s="1"/>
  <c r="AG40" i="26"/>
  <c r="AV190" i="27"/>
  <c r="BB123" i="27"/>
  <c r="AJ153" i="27"/>
  <c r="AL153" i="27" s="1"/>
  <c r="AD97" i="27"/>
  <c r="AF97" i="27" s="1"/>
  <c r="BF35" i="27"/>
  <c r="BF61" i="27"/>
  <c r="BF59" i="27" s="1"/>
  <c r="AP246" i="27"/>
  <c r="BB78" i="27"/>
  <c r="AS123" i="27"/>
  <c r="AQ94" i="27"/>
  <c r="AQ96" i="27" s="1"/>
  <c r="AG147" i="27"/>
  <c r="AI147" i="27" s="1"/>
  <c r="AN247" i="27"/>
  <c r="AE193" i="27"/>
  <c r="AW173" i="27"/>
  <c r="AW171" i="27" s="1"/>
  <c r="AE167" i="27"/>
  <c r="AE165" i="27" s="1"/>
  <c r="AY117" i="27"/>
  <c r="AD79" i="27"/>
  <c r="AF79" i="27" s="1"/>
  <c r="AK111" i="27"/>
  <c r="AK109" i="27" s="1"/>
  <c r="AD91" i="27"/>
  <c r="AF91" i="27" s="1"/>
  <c r="BE79" i="27"/>
  <c r="BG79" i="27" s="1"/>
  <c r="AG38" i="26"/>
  <c r="AV79" i="27"/>
  <c r="AX79" i="27" s="1"/>
  <c r="BE193" i="27"/>
  <c r="BG193" i="27" s="1"/>
  <c r="AD95" i="27"/>
  <c r="AF95" i="27" s="1"/>
  <c r="BF146" i="27"/>
  <c r="BF148" i="27" s="1"/>
  <c r="AS117" i="27"/>
  <c r="BE49" i="27"/>
  <c r="AW247" i="27"/>
  <c r="AG105" i="27"/>
  <c r="AW95" i="27"/>
  <c r="AV235" i="27"/>
  <c r="AH193" i="27"/>
  <c r="AZ97" i="27"/>
  <c r="AN203" i="27"/>
  <c r="AZ229" i="27"/>
  <c r="AZ227" i="27" s="1"/>
  <c r="BB191" i="27"/>
  <c r="BD191" i="27" s="1"/>
  <c r="AT78" i="27"/>
  <c r="AT80" i="27" s="1"/>
  <c r="BE61" i="27"/>
  <c r="BC167" i="27"/>
  <c r="BC165" i="27" s="1"/>
  <c r="AZ135" i="27"/>
  <c r="AE247" i="27"/>
  <c r="BC191" i="27"/>
  <c r="BF235" i="27"/>
  <c r="BF233" i="27" s="1"/>
  <c r="AZ95" i="27"/>
  <c r="BC49" i="27"/>
  <c r="BC47" i="27" s="1"/>
  <c r="AY193" i="27"/>
  <c r="BA193" i="27" s="1"/>
  <c r="AQ135" i="27"/>
  <c r="AJ151" i="27"/>
  <c r="AL151" i="27" s="1"/>
  <c r="AZ90" i="27"/>
  <c r="AZ92" i="27" s="1"/>
  <c r="BC151" i="27"/>
  <c r="AE90" i="27"/>
  <c r="AE92" i="27" s="1"/>
  <c r="AD90" i="27"/>
  <c r="AM205" i="27"/>
  <c r="AO205" i="27" s="1"/>
  <c r="AK191" i="27"/>
  <c r="AV135" i="27"/>
  <c r="AX135" i="27" s="1"/>
  <c r="AJ193" i="27"/>
  <c r="AL193" i="27" s="1"/>
  <c r="AP34" i="27"/>
  <c r="AG43" i="26"/>
  <c r="AY35" i="27"/>
  <c r="BA35" i="27" s="1"/>
  <c r="AK223" i="27"/>
  <c r="AK221" i="27" s="1"/>
  <c r="AV205" i="27"/>
  <c r="AX205" i="27" s="1"/>
  <c r="AN91" i="27"/>
  <c r="AP94" i="27"/>
  <c r="AM90" i="27"/>
  <c r="AG193" i="27"/>
  <c r="AI193" i="27" s="1"/>
  <c r="AV151" i="27"/>
  <c r="AX151" i="27" s="1"/>
  <c r="AZ61" i="27"/>
  <c r="AZ59" i="27" s="1"/>
  <c r="AJ79" i="27"/>
  <c r="AL79" i="27" s="1"/>
  <c r="AT203" i="27"/>
  <c r="AP55" i="27"/>
  <c r="AK217" i="27"/>
  <c r="AK215" i="27" s="1"/>
  <c r="AH205" i="27"/>
  <c r="AG195" i="26"/>
  <c r="AW105" i="27"/>
  <c r="AW103" i="27" s="1"/>
  <c r="AT55" i="27"/>
  <c r="AT53" i="27" s="1"/>
  <c r="AT105" i="27"/>
  <c r="AT103" i="27" s="1"/>
  <c r="AG37" i="26"/>
  <c r="AZ217" i="27"/>
  <c r="AZ215" i="27" s="1"/>
  <c r="AG153" i="27"/>
  <c r="AI153" i="27" s="1"/>
  <c r="AD235" i="27"/>
  <c r="AH39" i="27"/>
  <c r="AV123" i="27"/>
  <c r="AM78" i="27"/>
  <c r="AM229" i="27"/>
  <c r="AS161" i="27"/>
  <c r="AQ81" i="27"/>
  <c r="AP206" i="27"/>
  <c r="AS137" i="27"/>
  <c r="AU137" i="27" s="1"/>
  <c r="AD167" i="27"/>
  <c r="AN191" i="27"/>
  <c r="BC38" i="27"/>
  <c r="BC40" i="27" s="1"/>
  <c r="AH179" i="27"/>
  <c r="AH177" i="27" s="1"/>
  <c r="AD61" i="27"/>
  <c r="AP247" i="27"/>
  <c r="AR247" i="27" s="1"/>
  <c r="AN39" i="27"/>
  <c r="AW123" i="27"/>
  <c r="AW121" i="27" s="1"/>
  <c r="AG78" i="27"/>
  <c r="BE90" i="27"/>
  <c r="BB39" i="27"/>
  <c r="BD39" i="27" s="1"/>
  <c r="AN90" i="27"/>
  <c r="AN92" i="27" s="1"/>
  <c r="AM35" i="27"/>
  <c r="AO35" i="27" s="1"/>
  <c r="AY161" i="27"/>
  <c r="AH223" i="27"/>
  <c r="AH221" i="27" s="1"/>
  <c r="AW97" i="27"/>
  <c r="AW67" i="27"/>
  <c r="AW65" i="27" s="1"/>
  <c r="AV153" i="27"/>
  <c r="AX153" i="27" s="1"/>
  <c r="BB55" i="27"/>
  <c r="AS94" i="27"/>
  <c r="BE35" i="27"/>
  <c r="BG35" i="27" s="1"/>
  <c r="AZ246" i="27"/>
  <c r="AZ248" i="27" s="1"/>
  <c r="AJ246" i="27"/>
  <c r="AW111" i="27"/>
  <c r="AW109" i="27" s="1"/>
  <c r="AE206" i="27"/>
  <c r="AE208" i="27" s="1"/>
  <c r="BF97" i="27"/>
  <c r="AP249" i="27"/>
  <c r="AR249" i="27" s="1"/>
  <c r="AG143" i="26"/>
  <c r="AJ55" i="27"/>
  <c r="AK205" i="27"/>
  <c r="AP35" i="27"/>
  <c r="AR35" i="27" s="1"/>
  <c r="AV137" i="27"/>
  <c r="AX137" i="27" s="1"/>
  <c r="AG138" i="26"/>
  <c r="AN149" i="27"/>
  <c r="AV147" i="27"/>
  <c r="AX147" i="27" s="1"/>
  <c r="AK123" i="27"/>
  <c r="AK121" i="27" s="1"/>
  <c r="BB95" i="27"/>
  <c r="BD95" i="27" s="1"/>
  <c r="AG48" i="26"/>
  <c r="AW55" i="27"/>
  <c r="AW53" i="27" s="1"/>
  <c r="AG67" i="27"/>
  <c r="BF147" i="27"/>
  <c r="AP97" i="27"/>
  <c r="AR97" i="27" s="1"/>
  <c r="AE34" i="27"/>
  <c r="AE36" i="27" s="1"/>
  <c r="AG37" i="27"/>
  <c r="AI37" i="27" s="1"/>
  <c r="AV247" i="27"/>
  <c r="AX247" i="27" s="1"/>
  <c r="BE249" i="27"/>
  <c r="BG249" i="27" s="1"/>
  <c r="AW209" i="27"/>
  <c r="AS179" i="27"/>
  <c r="AD206" i="27"/>
  <c r="AD153" i="27"/>
  <c r="AF153" i="27" s="1"/>
  <c r="AZ67" i="27"/>
  <c r="AZ65" i="27" s="1"/>
  <c r="BE149" i="27"/>
  <c r="BG149" i="27" s="1"/>
  <c r="BE235" i="27"/>
  <c r="AH37" i="27"/>
  <c r="AZ35" i="27"/>
  <c r="AD123" i="27"/>
  <c r="AN207" i="27"/>
  <c r="AV209" i="27"/>
  <c r="AX209" i="27" s="1"/>
  <c r="AD67" i="27"/>
  <c r="AP123" i="27"/>
  <c r="AW137" i="27"/>
  <c r="AE67" i="27"/>
  <c r="AE65" i="27" s="1"/>
  <c r="AM203" i="27"/>
  <c r="AO203" i="27" s="1"/>
  <c r="AG202" i="26"/>
  <c r="AK35" i="27"/>
  <c r="AW217" i="27"/>
  <c r="AW215" i="27" s="1"/>
  <c r="AQ179" i="27"/>
  <c r="AQ177" i="27" s="1"/>
  <c r="AH61" i="27"/>
  <c r="AH59" i="27" s="1"/>
  <c r="AM235" i="27"/>
  <c r="AN123" i="27"/>
  <c r="AN121" i="27" s="1"/>
  <c r="AQ49" i="27"/>
  <c r="AQ47" i="27" s="1"/>
  <c r="AP161" i="27"/>
  <c r="BE78" i="27"/>
  <c r="BE137" i="27"/>
  <c r="BG137" i="27" s="1"/>
  <c r="AG93" i="26"/>
  <c r="AQ173" i="27"/>
  <c r="AQ171" i="27" s="1"/>
  <c r="BC207" i="27"/>
  <c r="AJ247" i="27"/>
  <c r="AL247" i="27" s="1"/>
  <c r="AV246" i="27"/>
  <c r="AK93" i="27"/>
  <c r="AG61" i="27"/>
  <c r="AP153" i="27"/>
  <c r="AR153" i="27" s="1"/>
  <c r="AD202" i="27"/>
  <c r="AQ93" i="27"/>
  <c r="BC94" i="27"/>
  <c r="BC96" i="27" s="1"/>
  <c r="BE206" i="27"/>
  <c r="AG55" i="27"/>
  <c r="AD209" i="27"/>
  <c r="AF209" i="27" s="1"/>
  <c r="AG50" i="26"/>
  <c r="AG235" i="27"/>
  <c r="BF190" i="27"/>
  <c r="BF192" i="27" s="1"/>
  <c r="AP209" i="27"/>
  <c r="AR209" i="27" s="1"/>
  <c r="AP117" i="27"/>
  <c r="BE147" i="27"/>
  <c r="BG147" i="27" s="1"/>
  <c r="AD247" i="27"/>
  <c r="AD150" i="27"/>
  <c r="AN249" i="27"/>
  <c r="AV91" i="27"/>
  <c r="AX91" i="27" s="1"/>
  <c r="AE203" i="27"/>
  <c r="AT146" i="27"/>
  <c r="AT148" i="27" s="1"/>
  <c r="AG36" i="26"/>
  <c r="AK235" i="27"/>
  <c r="AK233" i="27" s="1"/>
  <c r="AT137" i="27"/>
  <c r="AD37" i="27"/>
  <c r="AF37" i="27" s="1"/>
  <c r="AV193" i="27"/>
  <c r="AX193" i="27" s="1"/>
  <c r="AY235" i="27"/>
  <c r="AP79" i="27"/>
  <c r="AR79" i="27" s="1"/>
  <c r="AJ35" i="27"/>
  <c r="AL35" i="27" s="1"/>
  <c r="BB111" i="27"/>
  <c r="AP205" i="27"/>
  <c r="AR205" i="27" s="1"/>
  <c r="AJ95" i="27"/>
  <c r="AL95" i="27" s="1"/>
  <c r="BC61" i="27"/>
  <c r="BC59" i="27" s="1"/>
  <c r="AJ94" i="27"/>
  <c r="AY49" i="27"/>
  <c r="AK149" i="27"/>
  <c r="BF179" i="27"/>
  <c r="BF177" i="27" s="1"/>
  <c r="AP38" i="27"/>
  <c r="AP90" i="27"/>
  <c r="AQ207" i="27"/>
  <c r="AZ190" i="27"/>
  <c r="AZ192" i="27" s="1"/>
  <c r="AH235" i="27"/>
  <c r="AH233" i="27" s="1"/>
  <c r="AM149" i="27"/>
  <c r="AO149" i="27" s="1"/>
  <c r="BC161" i="27"/>
  <c r="BC159" i="27" s="1"/>
  <c r="AZ193" i="27"/>
  <c r="AT67" i="27"/>
  <c r="AT65" i="27" s="1"/>
  <c r="AY149" i="27"/>
  <c r="BA149" i="27" s="1"/>
  <c r="AP223" i="27"/>
  <c r="AE202" i="27"/>
  <c r="AP147" i="27"/>
  <c r="AR147" i="27" s="1"/>
  <c r="AK37" i="27"/>
  <c r="AV149" i="27"/>
  <c r="AX149" i="27" s="1"/>
  <c r="AT123" i="27"/>
  <c r="AT121" i="27" s="1"/>
  <c r="AG35" i="27"/>
  <c r="AI35" i="27" s="1"/>
  <c r="AH146" i="27"/>
  <c r="AH148" i="27" s="1"/>
  <c r="BF135" i="27"/>
  <c r="AJ190" i="27"/>
  <c r="AW147" i="27"/>
  <c r="AT167" i="27"/>
  <c r="AT165" i="27" s="1"/>
  <c r="AW91" i="27"/>
  <c r="AQ153" i="27"/>
  <c r="AQ91" i="27"/>
  <c r="AZ55" i="27"/>
  <c r="AZ53" i="27" s="1"/>
  <c r="AJ39" i="27"/>
  <c r="AL39" i="27" s="1"/>
  <c r="AT91" i="27"/>
  <c r="BF173" i="27"/>
  <c r="BF171" i="27" s="1"/>
  <c r="BB134" i="27"/>
  <c r="AJ191" i="27"/>
  <c r="AL191" i="27" s="1"/>
  <c r="AT249" i="27"/>
  <c r="AN205" i="27"/>
  <c r="AM94" i="27"/>
  <c r="AW235" i="27"/>
  <c r="AW233" i="27" s="1"/>
  <c r="BC235" i="27"/>
  <c r="BC233" i="27" s="1"/>
  <c r="AG203" i="26"/>
  <c r="BC206" i="27"/>
  <c r="BC208" i="27" s="1"/>
  <c r="AG97" i="27"/>
  <c r="AI97" i="27" s="1"/>
  <c r="AQ134" i="27"/>
  <c r="AQ136" i="27" s="1"/>
  <c r="AM97" i="27"/>
  <c r="AO97" i="27" s="1"/>
  <c r="AQ79" i="27"/>
  <c r="BE191" i="27"/>
  <c r="BG191" i="27" s="1"/>
  <c r="AM249" i="27"/>
  <c r="AO249" i="27" s="1"/>
  <c r="AM206" i="27"/>
  <c r="AP135" i="27"/>
  <c r="AR135" i="27" s="1"/>
  <c r="AW35" i="27"/>
  <c r="AE135" i="27"/>
  <c r="AM150" i="27"/>
  <c r="AD135" i="27"/>
  <c r="BC117" i="27"/>
  <c r="BC115" i="27" s="1"/>
  <c r="BF202" i="27"/>
  <c r="BF204" i="27" s="1"/>
  <c r="AT135" i="27"/>
  <c r="BC249" i="27"/>
  <c r="AH246" i="27"/>
  <c r="AZ203" i="27"/>
  <c r="AN79" i="27"/>
  <c r="AM49" i="27"/>
  <c r="BE93" i="27"/>
  <c r="BG93" i="27" s="1"/>
  <c r="AK135" i="27"/>
  <c r="AS191" i="27"/>
  <c r="AU191" i="27" s="1"/>
  <c r="AQ61" i="27"/>
  <c r="AQ59" i="27" s="1"/>
  <c r="AV105" i="27"/>
  <c r="AN147" i="27"/>
  <c r="AH150" i="27"/>
  <c r="AH152" i="27" s="1"/>
  <c r="AG146" i="27"/>
  <c r="AZ81" i="27"/>
  <c r="AJ202" i="27"/>
  <c r="BC35" i="27"/>
  <c r="AT34" i="27"/>
  <c r="AT36" i="27" s="1"/>
  <c r="BC193" i="27"/>
  <c r="AN179" i="27"/>
  <c r="AN177" i="27" s="1"/>
  <c r="AM209" i="27"/>
  <c r="AO209" i="27" s="1"/>
  <c r="AH167" i="27"/>
  <c r="AH165" i="27" s="1"/>
  <c r="AE207" i="27"/>
  <c r="BB105" i="27"/>
  <c r="AK134" i="27"/>
  <c r="AK136" i="27" s="1"/>
  <c r="AG193" i="26"/>
  <c r="AS190" i="27"/>
  <c r="AS111" i="27"/>
  <c r="AS135" i="27"/>
  <c r="AU135" i="27" s="1"/>
  <c r="AW191" i="27"/>
  <c r="AT179" i="27"/>
  <c r="AT177" i="27" s="1"/>
  <c r="AY223" i="27"/>
  <c r="AY95" i="27"/>
  <c r="BA95" i="27" s="1"/>
  <c r="AN150" i="27"/>
  <c r="AN152" i="27" s="1"/>
  <c r="AG206" i="27"/>
  <c r="AY153" i="27"/>
  <c r="BA153" i="27" s="1"/>
  <c r="AV146" i="27"/>
  <c r="AT161" i="27"/>
  <c r="AT159" i="27" s="1"/>
  <c r="AQ146" i="27"/>
  <c r="AQ148" i="27" s="1"/>
  <c r="AK190" i="27"/>
  <c r="AK192" i="27" s="1"/>
  <c r="AK247" i="27"/>
  <c r="AH249" i="27"/>
  <c r="BB217" i="27"/>
  <c r="AW202" i="27"/>
  <c r="AW204" i="27" s="1"/>
  <c r="AP91" i="27"/>
  <c r="AR91" i="27" s="1"/>
  <c r="AQ229" i="27"/>
  <c r="AQ227" i="27" s="1"/>
  <c r="AG101" i="26"/>
  <c r="AE35" i="27"/>
  <c r="AJ146" i="27"/>
  <c r="AG41" i="26"/>
  <c r="AV39" i="27"/>
  <c r="AX39" i="27" s="1"/>
  <c r="AG100" i="26"/>
  <c r="AN111" i="27"/>
  <c r="AN109" i="27" s="1"/>
  <c r="AQ67" i="27"/>
  <c r="AQ65" i="27" s="1"/>
  <c r="AG145" i="26"/>
  <c r="AZ207" i="27"/>
  <c r="BE246" i="27"/>
  <c r="BE223" i="27"/>
  <c r="AM191" i="27"/>
  <c r="AO191" i="27" s="1"/>
  <c r="AD193" i="27"/>
  <c r="AZ167" i="27"/>
  <c r="AZ165" i="27" s="1"/>
  <c r="AV202" i="27"/>
  <c r="AW151" i="27"/>
  <c r="BF229" i="27"/>
  <c r="BF227" i="27" s="1"/>
  <c r="AT97" i="27"/>
  <c r="AH81" i="27"/>
  <c r="AV38" i="27"/>
  <c r="AK207" i="27"/>
  <c r="BB146" i="27"/>
  <c r="AP167" i="27"/>
  <c r="AG192" i="26"/>
  <c r="BF134" i="27"/>
  <c r="BF136" i="27" s="1"/>
  <c r="AD39" i="27"/>
  <c r="AF39" i="27" s="1"/>
  <c r="AH161" i="27"/>
  <c r="AH159" i="27" s="1"/>
  <c r="AG203" i="27"/>
  <c r="AI203" i="27" s="1"/>
  <c r="BB37" i="27"/>
  <c r="BD37" i="27" s="1"/>
  <c r="AK79" i="27"/>
  <c r="BE190" i="27"/>
  <c r="AW205" i="27"/>
  <c r="BB246" i="27"/>
  <c r="AT205" i="27"/>
  <c r="AZ134" i="27"/>
  <c r="AZ136" i="27" s="1"/>
  <c r="AJ91" i="27"/>
  <c r="AL91" i="27" s="1"/>
  <c r="AQ223" i="27"/>
  <c r="AQ221" i="27" s="1"/>
  <c r="AY93" i="27"/>
  <c r="BA93" i="27" s="1"/>
  <c r="AQ105" i="27"/>
  <c r="AQ103" i="27" s="1"/>
  <c r="AS149" i="27"/>
  <c r="AU149" i="27" s="1"/>
  <c r="AY55" i="27"/>
  <c r="AK229" i="27"/>
  <c r="AK227" i="27" s="1"/>
  <c r="AW203" i="27"/>
  <c r="AG91" i="27"/>
  <c r="AI91" i="27" s="1"/>
  <c r="AQ191" i="27"/>
  <c r="AM193" i="27"/>
  <c r="AO193" i="27" s="1"/>
  <c r="BF151" i="27"/>
  <c r="AZ147" i="27"/>
  <c r="AJ207" i="27"/>
  <c r="AL207" i="27" s="1"/>
  <c r="AH229" i="27"/>
  <c r="AH227" i="27" s="1"/>
  <c r="AY146" i="27"/>
  <c r="AM247" i="27"/>
  <c r="AO247" i="27" s="1"/>
  <c r="AQ97" i="27"/>
  <c r="AM153" i="27"/>
  <c r="AO153" i="27" s="1"/>
  <c r="AY123" i="27"/>
  <c r="BB81" i="27"/>
  <c r="BD81" i="27" s="1"/>
  <c r="AK249" i="27"/>
  <c r="AK39" i="27"/>
  <c r="AH38" i="27"/>
  <c r="AH40" i="27" s="1"/>
  <c r="BC217" i="27"/>
  <c r="BC215" i="27" s="1"/>
  <c r="AG151" i="26"/>
  <c r="BF41" i="27"/>
  <c r="AZ41" i="27"/>
  <c r="AG41" i="27"/>
  <c r="AI41" i="27" s="1"/>
  <c r="BE41" i="27"/>
  <c r="BG41" i="27" s="1"/>
  <c r="AE41" i="27"/>
  <c r="AH166" i="30"/>
  <c r="AV41" i="27"/>
  <c r="AX41" i="27" s="1"/>
  <c r="AD41" i="27"/>
  <c r="AF41" i="27" s="1"/>
  <c r="AE148" i="27" l="1"/>
  <c r="AF193" i="27"/>
  <c r="AH248" i="27"/>
  <c r="AF247" i="27"/>
  <c r="AH192" i="27"/>
  <c r="AF147" i="27"/>
  <c r="AF205" i="27"/>
  <c r="AH161" i="30"/>
  <c r="AS192" i="27"/>
  <c r="AU190" i="27"/>
  <c r="BD38" i="27"/>
  <c r="BB40" i="27"/>
  <c r="AF117" i="27"/>
  <c r="AD115" i="27"/>
  <c r="AF115" i="27" s="1"/>
  <c r="BG117" i="27"/>
  <c r="BE115" i="27"/>
  <c r="BG115" i="27" s="1"/>
  <c r="AS204" i="27"/>
  <c r="AU202" i="27"/>
  <c r="BD117" i="27"/>
  <c r="BB115" i="27"/>
  <c r="BD115" i="27" s="1"/>
  <c r="AO190" i="27"/>
  <c r="AM192" i="27"/>
  <c r="AU67" i="27"/>
  <c r="AS65" i="27"/>
  <c r="AU65" i="27" s="1"/>
  <c r="BA61" i="27"/>
  <c r="AY59" i="27"/>
  <c r="BA59" i="27" s="1"/>
  <c r="AL117" i="27"/>
  <c r="AJ115" i="27"/>
  <c r="AL115" i="27" s="1"/>
  <c r="AX229" i="27"/>
  <c r="AV227" i="27"/>
  <c r="AX227" i="27" s="1"/>
  <c r="BA229" i="27"/>
  <c r="AY227" i="27"/>
  <c r="BA227" i="27" s="1"/>
  <c r="AL229" i="27"/>
  <c r="AJ227" i="27"/>
  <c r="AL227" i="27" s="1"/>
  <c r="BG217" i="27"/>
  <c r="BE215" i="27"/>
  <c r="BG215" i="27" s="1"/>
  <c r="BA105" i="27"/>
  <c r="AY103" i="27"/>
  <c r="BA103" i="27" s="1"/>
  <c r="AF217" i="27"/>
  <c r="AD215" i="27"/>
  <c r="AF215" i="27" s="1"/>
  <c r="AD248" i="27"/>
  <c r="AF246" i="27"/>
  <c r="AU223" i="27"/>
  <c r="AS221" i="27"/>
  <c r="AU221" i="27" s="1"/>
  <c r="AS248" i="27"/>
  <c r="AU246" i="27"/>
  <c r="AL123" i="27"/>
  <c r="AJ121" i="27"/>
  <c r="AL121" i="27" s="1"/>
  <c r="BD206" i="27"/>
  <c r="BB208" i="27"/>
  <c r="AF38" i="27"/>
  <c r="AD40" i="27"/>
  <c r="AF203" i="27"/>
  <c r="BG55" i="27"/>
  <c r="BE53" i="27"/>
  <c r="BG53" i="27" s="1"/>
  <c r="BG229" i="27"/>
  <c r="BE227" i="27"/>
  <c r="BG227" i="27" s="1"/>
  <c r="AJ36" i="27"/>
  <c r="AL34" i="27"/>
  <c r="BD67" i="27"/>
  <c r="BB65" i="27"/>
  <c r="BD65" i="27" s="1"/>
  <c r="BE148" i="27"/>
  <c r="BG146" i="27"/>
  <c r="AF111" i="27"/>
  <c r="AD109" i="27"/>
  <c r="AF109" i="27" s="1"/>
  <c r="AS40" i="27"/>
  <c r="AU38" i="27"/>
  <c r="AG136" i="27"/>
  <c r="AI134" i="27"/>
  <c r="AI150" i="27"/>
  <c r="AG152" i="27"/>
  <c r="AO179" i="27"/>
  <c r="AM177" i="27"/>
  <c r="AO177" i="27" s="1"/>
  <c r="AF55" i="27"/>
  <c r="AD53" i="27"/>
  <c r="AF53" i="27" s="1"/>
  <c r="AO223" i="27"/>
  <c r="AM221" i="27"/>
  <c r="AO221" i="27" s="1"/>
  <c r="BD173" i="27"/>
  <c r="BB171" i="27"/>
  <c r="BD171" i="27" s="1"/>
  <c r="BD229" i="27"/>
  <c r="BB227" i="27"/>
  <c r="BD227" i="27" s="1"/>
  <c r="AE192" i="27"/>
  <c r="BB36" i="27"/>
  <c r="BD34" i="27"/>
  <c r="AU34" i="27"/>
  <c r="AS36" i="27"/>
  <c r="AO161" i="27"/>
  <c r="AM159" i="27"/>
  <c r="AO159" i="27" s="1"/>
  <c r="BG123" i="27"/>
  <c r="BE121" i="27"/>
  <c r="BG121" i="27" s="1"/>
  <c r="AG40" i="27"/>
  <c r="AI38" i="27"/>
  <c r="AL49" i="27"/>
  <c r="AJ47" i="27"/>
  <c r="AL47" i="27" s="1"/>
  <c r="AR49" i="27"/>
  <c r="AP47" i="27"/>
  <c r="AR47" i="27" s="1"/>
  <c r="AF49" i="27"/>
  <c r="AD47" i="27"/>
  <c r="AF47" i="27" s="1"/>
  <c r="AV40" i="27"/>
  <c r="AX38" i="27"/>
  <c r="AV248" i="27"/>
  <c r="AX246" i="27"/>
  <c r="BD55" i="27"/>
  <c r="BB53" i="27"/>
  <c r="BD53" i="27" s="1"/>
  <c r="AR206" i="27"/>
  <c r="AP208" i="27"/>
  <c r="AX235" i="27"/>
  <c r="AV233" i="27"/>
  <c r="AX233" i="27" s="1"/>
  <c r="AY208" i="27"/>
  <c r="BA206" i="27"/>
  <c r="AI161" i="27"/>
  <c r="AG159" i="27"/>
  <c r="AI159" i="27" s="1"/>
  <c r="BA123" i="27"/>
  <c r="AY121" i="27"/>
  <c r="BA121" i="27" s="1"/>
  <c r="BA146" i="27"/>
  <c r="AY148" i="27"/>
  <c r="BE192" i="27"/>
  <c r="BG190" i="27"/>
  <c r="AR167" i="27"/>
  <c r="AP165" i="27"/>
  <c r="AR165" i="27" s="1"/>
  <c r="AV204" i="27"/>
  <c r="AX202" i="27"/>
  <c r="BG223" i="27"/>
  <c r="BE221" i="27"/>
  <c r="BG221" i="27" s="1"/>
  <c r="AG148" i="27"/>
  <c r="AI146" i="27"/>
  <c r="AO49" i="27"/>
  <c r="AM47" i="27"/>
  <c r="AO47" i="27" s="1"/>
  <c r="AF135" i="27"/>
  <c r="AO94" i="27"/>
  <c r="AM96" i="27"/>
  <c r="BD134" i="27"/>
  <c r="BB136" i="27"/>
  <c r="AR90" i="27"/>
  <c r="AP92" i="27"/>
  <c r="BA49" i="27"/>
  <c r="AY47" i="27"/>
  <c r="BA47" i="27" s="1"/>
  <c r="BA235" i="27"/>
  <c r="AY233" i="27"/>
  <c r="BA233" i="27" s="1"/>
  <c r="AI235" i="27"/>
  <c r="AG233" i="27"/>
  <c r="AI233" i="27" s="1"/>
  <c r="BE208" i="27"/>
  <c r="BG206" i="27"/>
  <c r="BA161" i="27"/>
  <c r="AY159" i="27"/>
  <c r="BA159" i="27" s="1"/>
  <c r="BE92" i="27"/>
  <c r="BG90" i="27"/>
  <c r="AX123" i="27"/>
  <c r="AV121" i="27"/>
  <c r="AX121" i="27" s="1"/>
  <c r="AR55" i="27"/>
  <c r="AP53" i="27"/>
  <c r="AR53" i="27" s="1"/>
  <c r="BG61" i="27"/>
  <c r="BE59" i="27"/>
  <c r="BG59" i="27" s="1"/>
  <c r="AU117" i="27"/>
  <c r="AS115" i="27"/>
  <c r="AU115" i="27" s="1"/>
  <c r="BD123" i="27"/>
  <c r="BB121" i="27"/>
  <c r="BD121" i="27" s="1"/>
  <c r="BG167" i="27"/>
  <c r="BE165" i="27"/>
  <c r="BG165" i="27" s="1"/>
  <c r="AY36" i="27"/>
  <c r="BA34" i="27"/>
  <c r="BE204" i="27"/>
  <c r="BG202" i="27"/>
  <c r="BA173" i="27"/>
  <c r="AY171" i="27"/>
  <c r="BA171" i="27" s="1"/>
  <c r="AR235" i="27"/>
  <c r="AP233" i="27"/>
  <c r="AR233" i="27" s="1"/>
  <c r="AU235" i="27"/>
  <c r="AS233" i="27"/>
  <c r="AU233" i="27" s="1"/>
  <c r="AL179" i="27"/>
  <c r="AJ177" i="27"/>
  <c r="AL177" i="27" s="1"/>
  <c r="AX167" i="27"/>
  <c r="AV165" i="27"/>
  <c r="AX165" i="27" s="1"/>
  <c r="AO202" i="27"/>
  <c r="AM204" i="27"/>
  <c r="AX111" i="27"/>
  <c r="AV109" i="27"/>
  <c r="AX109" i="27" s="1"/>
  <c r="BE136" i="27"/>
  <c r="BG134" i="27"/>
  <c r="AI167" i="27"/>
  <c r="AG165" i="27"/>
  <c r="AI165" i="27" s="1"/>
  <c r="AG192" i="27"/>
  <c r="AI190" i="27"/>
  <c r="AF93" i="27"/>
  <c r="AV152" i="27"/>
  <c r="AX150" i="27"/>
  <c r="AI117" i="27"/>
  <c r="AG115" i="27"/>
  <c r="AI115" i="27" s="1"/>
  <c r="AF179" i="27"/>
  <c r="AD177" i="27"/>
  <c r="AF177" i="27" s="1"/>
  <c r="AO55" i="27"/>
  <c r="AM53" i="27"/>
  <c r="AO53" i="27" s="1"/>
  <c r="AR134" i="27"/>
  <c r="AP136" i="27"/>
  <c r="AI173" i="27"/>
  <c r="AG171" i="27"/>
  <c r="AI171" i="27" s="1"/>
  <c r="BG67" i="27"/>
  <c r="BE65" i="27"/>
  <c r="BG65" i="27" s="1"/>
  <c r="AR229" i="27"/>
  <c r="AP227" i="27"/>
  <c r="AR227" i="27" s="1"/>
  <c r="BG161" i="27"/>
  <c r="BE159" i="27"/>
  <c r="BG159" i="27" s="1"/>
  <c r="AV36" i="27"/>
  <c r="AX34" i="27"/>
  <c r="BD90" i="27"/>
  <c r="BB92" i="27"/>
  <c r="BD167" i="27"/>
  <c r="BB165" i="27"/>
  <c r="BD165" i="27" s="1"/>
  <c r="BG173" i="27"/>
  <c r="BE171" i="27"/>
  <c r="BG171" i="27" s="1"/>
  <c r="AO167" i="27"/>
  <c r="AM165" i="27"/>
  <c r="AO165" i="27" s="1"/>
  <c r="AX61" i="27"/>
  <c r="AV59" i="27"/>
  <c r="AX59" i="27" s="1"/>
  <c r="AR173" i="27"/>
  <c r="AP171" i="27"/>
  <c r="AR171" i="27" s="1"/>
  <c r="AU78" i="27"/>
  <c r="AS80" i="27"/>
  <c r="BD223" i="27"/>
  <c r="BB221" i="27"/>
  <c r="BD221" i="27" s="1"/>
  <c r="AH136" i="27"/>
  <c r="AO146" i="27"/>
  <c r="AM148" i="27"/>
  <c r="AI179" i="27"/>
  <c r="AG177" i="27"/>
  <c r="AI177" i="27" s="1"/>
  <c r="AO38" i="27"/>
  <c r="AM40" i="27"/>
  <c r="AP80" i="27"/>
  <c r="AR78" i="27"/>
  <c r="AD36" i="27"/>
  <c r="AF34" i="27"/>
  <c r="AL223" i="27"/>
  <c r="AJ221" i="27"/>
  <c r="AL221" i="27" s="1"/>
  <c r="BA246" i="27"/>
  <c r="AY248" i="27"/>
  <c r="AJ40" i="27"/>
  <c r="AL38" i="27"/>
  <c r="AU105" i="27"/>
  <c r="AS103" i="27"/>
  <c r="AU103" i="27" s="1"/>
  <c r="AU217" i="27"/>
  <c r="AS215" i="27"/>
  <c r="AU215" i="27" s="1"/>
  <c r="BB152" i="27"/>
  <c r="BD150" i="27"/>
  <c r="AL173" i="27"/>
  <c r="AJ171" i="27"/>
  <c r="AL171" i="27" s="1"/>
  <c r="AO117" i="27"/>
  <c r="AM115" i="27"/>
  <c r="AO115" i="27" s="1"/>
  <c r="AL167" i="27"/>
  <c r="AJ165" i="27"/>
  <c r="AL165" i="27" s="1"/>
  <c r="BA190" i="27"/>
  <c r="AY192" i="27"/>
  <c r="BA38" i="27"/>
  <c r="AY40" i="27"/>
  <c r="AG204" i="27"/>
  <c r="AI202" i="27"/>
  <c r="AJ152" i="27"/>
  <c r="AL150" i="27"/>
  <c r="BD49" i="27"/>
  <c r="BB47" i="27"/>
  <c r="BD47" i="27" s="1"/>
  <c r="AU49" i="27"/>
  <c r="AS47" i="27"/>
  <c r="AU47" i="27" s="1"/>
  <c r="AG208" i="27"/>
  <c r="AI206" i="27"/>
  <c r="AI55" i="27"/>
  <c r="AG53" i="27"/>
  <c r="AI53" i="27" s="1"/>
  <c r="AO78" i="27"/>
  <c r="AM80" i="27"/>
  <c r="AP96" i="27"/>
  <c r="AR94" i="27"/>
  <c r="BG49" i="27"/>
  <c r="BE47" i="27"/>
  <c r="BG47" i="27" s="1"/>
  <c r="AL235" i="27"/>
  <c r="AJ233" i="27"/>
  <c r="AL233" i="27" s="1"/>
  <c r="AJ208" i="27"/>
  <c r="AL206" i="27"/>
  <c r="AU167" i="27"/>
  <c r="AS165" i="27"/>
  <c r="AU165" i="27" s="1"/>
  <c r="BD146" i="27"/>
  <c r="BB148" i="27"/>
  <c r="BE248" i="27"/>
  <c r="BG246" i="27"/>
  <c r="AJ148" i="27"/>
  <c r="AL146" i="27"/>
  <c r="AV148" i="27"/>
  <c r="AX146" i="27"/>
  <c r="AO150" i="27"/>
  <c r="AM152" i="27"/>
  <c r="AM208" i="27"/>
  <c r="AO206" i="27"/>
  <c r="AR38" i="27"/>
  <c r="AP40" i="27"/>
  <c r="AJ96" i="27"/>
  <c r="AL94" i="27"/>
  <c r="BD111" i="27"/>
  <c r="BB109" i="27"/>
  <c r="BD109" i="27" s="1"/>
  <c r="AG32" i="26"/>
  <c r="AG30" i="26" s="1"/>
  <c r="AG28" i="26" s="1"/>
  <c r="AR117" i="27"/>
  <c r="AP115" i="27"/>
  <c r="AR115" i="27" s="1"/>
  <c r="AI61" i="27"/>
  <c r="AG59" i="27"/>
  <c r="AI59" i="27" s="1"/>
  <c r="BG78" i="27"/>
  <c r="BE80" i="27"/>
  <c r="AO235" i="27"/>
  <c r="AM233" i="27"/>
  <c r="AO233" i="27" s="1"/>
  <c r="BG235" i="27"/>
  <c r="BE233" i="27"/>
  <c r="BG233" i="27" s="1"/>
  <c r="AF206" i="27"/>
  <c r="AD208" i="27"/>
  <c r="AG134" i="26"/>
  <c r="AG132" i="26" s="1"/>
  <c r="AG130" i="26" s="1"/>
  <c r="AG179" i="26" s="1"/>
  <c r="AL55" i="27"/>
  <c r="AJ53" i="27"/>
  <c r="AL53" i="27" s="1"/>
  <c r="AI78" i="27"/>
  <c r="AG80" i="27"/>
  <c r="AF61" i="27"/>
  <c r="AD59" i="27"/>
  <c r="AF59" i="27" s="1"/>
  <c r="AF167" i="27"/>
  <c r="AD165" i="27"/>
  <c r="AF165" i="27" s="1"/>
  <c r="AU161" i="27"/>
  <c r="AS159" i="27"/>
  <c r="AU159" i="27" s="1"/>
  <c r="AP36" i="27"/>
  <c r="AR34" i="27"/>
  <c r="AI105" i="27"/>
  <c r="AG103" i="27"/>
  <c r="AI103" i="27" s="1"/>
  <c r="AU123" i="27"/>
  <c r="AS121" i="27"/>
  <c r="AU121" i="27" s="1"/>
  <c r="AV192" i="27"/>
  <c r="AX190" i="27"/>
  <c r="AX217" i="27"/>
  <c r="AV215" i="27"/>
  <c r="AX215" i="27" s="1"/>
  <c r="AX117" i="27"/>
  <c r="AV115" i="27"/>
  <c r="AX115" i="27" s="1"/>
  <c r="AX161" i="27"/>
  <c r="AV159" i="27"/>
  <c r="AX159" i="27" s="1"/>
  <c r="BD161" i="27"/>
  <c r="BB159" i="27"/>
  <c r="BD159" i="27" s="1"/>
  <c r="AO123" i="27"/>
  <c r="AM121" i="27"/>
  <c r="AO121" i="27" s="1"/>
  <c r="AI123" i="27"/>
  <c r="AG121" i="27"/>
  <c r="AI121" i="27" s="1"/>
  <c r="BB204" i="27"/>
  <c r="BD202" i="27"/>
  <c r="AO61" i="27"/>
  <c r="AM59" i="27"/>
  <c r="AO59" i="27" s="1"/>
  <c r="AL61" i="27"/>
  <c r="AJ59" i="27"/>
  <c r="AL59" i="27" s="1"/>
  <c r="AV96" i="27"/>
  <c r="AX94" i="27"/>
  <c r="AO105" i="27"/>
  <c r="AM103" i="27"/>
  <c r="AO103" i="27" s="1"/>
  <c r="BA94" i="27"/>
  <c r="AY96" i="27"/>
  <c r="AI111" i="27"/>
  <c r="AG109" i="27"/>
  <c r="AI109" i="27" s="1"/>
  <c r="AO111" i="27"/>
  <c r="AM109" i="27"/>
  <c r="AO109" i="27" s="1"/>
  <c r="AU55" i="27"/>
  <c r="AS53" i="27"/>
  <c r="AU53" i="27" s="1"/>
  <c r="BA150" i="27"/>
  <c r="AY152" i="27"/>
  <c r="AO246" i="27"/>
  <c r="AM248" i="27"/>
  <c r="AO217" i="27"/>
  <c r="AM215" i="27"/>
  <c r="AO215" i="27" s="1"/>
  <c r="BA78" i="27"/>
  <c r="AY80" i="27"/>
  <c r="AI229" i="27"/>
  <c r="AG227" i="27"/>
  <c r="AI227" i="27" s="1"/>
  <c r="AX179" i="27"/>
  <c r="AV177" i="27"/>
  <c r="AX177" i="27" s="1"/>
  <c r="AF146" i="27"/>
  <c r="AD148" i="27"/>
  <c r="AF190" i="27"/>
  <c r="AD192" i="27"/>
  <c r="AF223" i="27"/>
  <c r="AD221" i="27"/>
  <c r="AF221" i="27" s="1"/>
  <c r="AU173" i="27"/>
  <c r="AS171" i="27"/>
  <c r="AU171" i="27" s="1"/>
  <c r="AE248" i="27"/>
  <c r="BD235" i="27"/>
  <c r="BB233" i="27"/>
  <c r="BD233" i="27" s="1"/>
  <c r="AR190" i="27"/>
  <c r="AP192" i="27"/>
  <c r="BA167" i="27"/>
  <c r="AY165" i="27"/>
  <c r="BA165" i="27" s="1"/>
  <c r="BG34" i="27"/>
  <c r="BE36" i="27"/>
  <c r="AF173" i="27"/>
  <c r="AD171" i="27"/>
  <c r="AF171" i="27" s="1"/>
  <c r="AX173" i="27"/>
  <c r="AV171" i="27"/>
  <c r="AX171" i="27" s="1"/>
  <c r="AX67" i="27"/>
  <c r="AV65" i="27"/>
  <c r="AX65" i="27" s="1"/>
  <c r="BA179" i="27"/>
  <c r="AY177" i="27"/>
  <c r="BA177" i="27" s="1"/>
  <c r="AJ92" i="27"/>
  <c r="AL90" i="27"/>
  <c r="AS148" i="27"/>
  <c r="AU146" i="27"/>
  <c r="BD190" i="27"/>
  <c r="BB192" i="27"/>
  <c r="AL161" i="27"/>
  <c r="AJ159" i="27"/>
  <c r="AL159" i="27" s="1"/>
  <c r="AG92" i="27"/>
  <c r="AI90" i="27"/>
  <c r="AG83" i="26"/>
  <c r="AG81" i="26" s="1"/>
  <c r="AG79" i="26" s="1"/>
  <c r="AG128" i="26" s="1"/>
  <c r="BG111" i="27"/>
  <c r="BE109" i="27"/>
  <c r="BG109" i="27" s="1"/>
  <c r="AH92" i="27"/>
  <c r="BA111" i="27"/>
  <c r="AY109" i="27"/>
  <c r="BA109" i="27" s="1"/>
  <c r="AU229" i="27"/>
  <c r="AS227" i="27"/>
  <c r="AU227" i="27" s="1"/>
  <c r="AR146" i="27"/>
  <c r="AP148" i="27"/>
  <c r="AF249" i="27"/>
  <c r="AI49" i="27"/>
  <c r="AG47" i="27"/>
  <c r="AI47" i="27" s="1"/>
  <c r="BD217" i="27"/>
  <c r="BB215" i="27"/>
  <c r="BD215" i="27" s="1"/>
  <c r="AX105" i="27"/>
  <c r="AV103" i="27"/>
  <c r="AX103" i="27" s="1"/>
  <c r="AR223" i="27"/>
  <c r="AP221" i="27"/>
  <c r="AR221" i="27" s="1"/>
  <c r="AD204" i="27"/>
  <c r="AF202" i="27"/>
  <c r="AF67" i="27"/>
  <c r="AD65" i="27"/>
  <c r="AF65" i="27" s="1"/>
  <c r="AJ248" i="27"/>
  <c r="AL246" i="27"/>
  <c r="AP248" i="27"/>
  <c r="AR246" i="27"/>
  <c r="BA55" i="27"/>
  <c r="AY53" i="27"/>
  <c r="BA53" i="27" s="1"/>
  <c r="BB248" i="27"/>
  <c r="BD246" i="27"/>
  <c r="BA223" i="27"/>
  <c r="AY221" i="27"/>
  <c r="BA221" i="27" s="1"/>
  <c r="AU111" i="27"/>
  <c r="AS109" i="27"/>
  <c r="AU109" i="27" s="1"/>
  <c r="BD105" i="27"/>
  <c r="BB103" i="27"/>
  <c r="BD103" i="27" s="1"/>
  <c r="AJ204" i="27"/>
  <c r="AL202" i="27"/>
  <c r="AJ192" i="27"/>
  <c r="AL190" i="27"/>
  <c r="AE204" i="27"/>
  <c r="AD152" i="27"/>
  <c r="AF150" i="27"/>
  <c r="AR161" i="27"/>
  <c r="AP159" i="27"/>
  <c r="AR159" i="27" s="1"/>
  <c r="AR123" i="27"/>
  <c r="AP121" i="27"/>
  <c r="AR121" i="27" s="1"/>
  <c r="AF123" i="27"/>
  <c r="AD121" i="27"/>
  <c r="AF121" i="27" s="1"/>
  <c r="AU179" i="27"/>
  <c r="AS177" i="27"/>
  <c r="AU177" i="27" s="1"/>
  <c r="AI67" i="27"/>
  <c r="AG65" i="27"/>
  <c r="AI65" i="27" s="1"/>
  <c r="AS96" i="27"/>
  <c r="AU94" i="27"/>
  <c r="AO229" i="27"/>
  <c r="AM227" i="27"/>
  <c r="AO227" i="27" s="1"/>
  <c r="AF235" i="27"/>
  <c r="AD233" i="27"/>
  <c r="AF233" i="27" s="1"/>
  <c r="AM92" i="27"/>
  <c r="AO90" i="27"/>
  <c r="AF90" i="27"/>
  <c r="AD92" i="27"/>
  <c r="BA117" i="27"/>
  <c r="AY115" i="27"/>
  <c r="BA115" i="27" s="1"/>
  <c r="BB80" i="27"/>
  <c r="BD78" i="27"/>
  <c r="AF105" i="27"/>
  <c r="AD103" i="27"/>
  <c r="AF103" i="27" s="1"/>
  <c r="AX223" i="27"/>
  <c r="AV221" i="27"/>
  <c r="AX221" i="27" s="1"/>
  <c r="AL105" i="27"/>
  <c r="AJ103" i="27"/>
  <c r="AL103" i="27" s="1"/>
  <c r="BA67" i="27"/>
  <c r="AY65" i="27"/>
  <c r="BA65" i="27" s="1"/>
  <c r="AP152" i="27"/>
  <c r="AR150" i="27"/>
  <c r="BG150" i="27"/>
  <c r="BE152" i="27"/>
  <c r="AL111" i="27"/>
  <c r="AJ109" i="27"/>
  <c r="AL109" i="27" s="1"/>
  <c r="AF161" i="27"/>
  <c r="AD159" i="27"/>
  <c r="AF159" i="27" s="1"/>
  <c r="AJ80" i="27"/>
  <c r="AL78" i="27"/>
  <c r="BD179" i="27"/>
  <c r="BB177" i="27"/>
  <c r="BD177" i="27" s="1"/>
  <c r="AM136" i="27"/>
  <c r="AO134" i="27"/>
  <c r="BE40" i="27"/>
  <c r="BG38" i="27"/>
  <c r="AJ136" i="27"/>
  <c r="AL134" i="27"/>
  <c r="AR61" i="27"/>
  <c r="AP59" i="27"/>
  <c r="AR59" i="27" s="1"/>
  <c r="AR179" i="27"/>
  <c r="AP177" i="27"/>
  <c r="AR177" i="27" s="1"/>
  <c r="AI223" i="27"/>
  <c r="AG221" i="27"/>
  <c r="AI221" i="27" s="1"/>
  <c r="AR67" i="27"/>
  <c r="AP65" i="27"/>
  <c r="AR65" i="27" s="1"/>
  <c r="BE96" i="27"/>
  <c r="BG94" i="27"/>
  <c r="AF229" i="27"/>
  <c r="AD227" i="27"/>
  <c r="AF227" i="27" s="1"/>
  <c r="AV92" i="27"/>
  <c r="AX90" i="27"/>
  <c r="AU150" i="27"/>
  <c r="AS152" i="27"/>
  <c r="AS136" i="27"/>
  <c r="AU134" i="27"/>
  <c r="AO67" i="27"/>
  <c r="AM65" i="27"/>
  <c r="AO65" i="27" s="1"/>
  <c r="AS92" i="27"/>
  <c r="AU90" i="27"/>
  <c r="AR111" i="27"/>
  <c r="AP109" i="27"/>
  <c r="AR109" i="27" s="1"/>
  <c r="AU61" i="27"/>
  <c r="AS59" i="27"/>
  <c r="AU59" i="27" s="1"/>
  <c r="BD61" i="27"/>
  <c r="BB59" i="27"/>
  <c r="BD59" i="27" s="1"/>
  <c r="AY92" i="27"/>
  <c r="BA90" i="27"/>
  <c r="BG105" i="27"/>
  <c r="BE103" i="27"/>
  <c r="BG103" i="27" s="1"/>
  <c r="AF149" i="27"/>
  <c r="BB96" i="27"/>
  <c r="BD94" i="27"/>
  <c r="AS208" i="27"/>
  <c r="AU206" i="27"/>
  <c r="AD96" i="27"/>
  <c r="AF94" i="27"/>
  <c r="AI217" i="27"/>
  <c r="AG215" i="27"/>
  <c r="AI215" i="27" s="1"/>
  <c r="AM36" i="27"/>
  <c r="AO34" i="27"/>
  <c r="AV80" i="27"/>
  <c r="AX78" i="27"/>
  <c r="AG248" i="27"/>
  <c r="AI246" i="27"/>
  <c r="BA217" i="27"/>
  <c r="AY215" i="27"/>
  <c r="BA215" i="27" s="1"/>
  <c r="AD80" i="27"/>
  <c r="AF78" i="27"/>
  <c r="AX55" i="27"/>
  <c r="AV53" i="27"/>
  <c r="AX53" i="27" s="1"/>
  <c r="AY136" i="27"/>
  <c r="BA134" i="27"/>
  <c r="AR105" i="27"/>
  <c r="AP103" i="27"/>
  <c r="AR103" i="27" s="1"/>
  <c r="AE136" i="27"/>
  <c r="AG96" i="27"/>
  <c r="AI94" i="27"/>
  <c r="AO173" i="27"/>
  <c r="AM171" i="27"/>
  <c r="AO171" i="27" s="1"/>
  <c r="AP204" i="27"/>
  <c r="AR202" i="27"/>
  <c r="AF134" i="27"/>
  <c r="AD136" i="27"/>
  <c r="BG179" i="27"/>
  <c r="BE177" i="27"/>
  <c r="BG177" i="27" s="1"/>
  <c r="AV136" i="27"/>
  <c r="AX134" i="27"/>
  <c r="AL217" i="27"/>
  <c r="AJ215" i="27"/>
  <c r="AL215" i="27" s="1"/>
  <c r="BA202" i="27"/>
  <c r="AY204" i="27"/>
  <c r="AR217" i="27"/>
  <c r="AP215" i="27"/>
  <c r="AR215" i="27" s="1"/>
  <c r="AI34" i="27"/>
  <c r="AG36" i="27"/>
  <c r="AF191" i="27"/>
  <c r="AV208" i="27"/>
  <c r="AX206" i="27"/>
  <c r="AL67" i="27"/>
  <c r="AJ65" i="27"/>
  <c r="AL65" i="27" s="1"/>
  <c r="AG185" i="26"/>
  <c r="AG183" i="26" s="1"/>
  <c r="AG181" i="26" s="1"/>
  <c r="AG230" i="26" s="1"/>
  <c r="AX49" i="27"/>
  <c r="AV47" i="27"/>
  <c r="AX47" i="27" s="1"/>
  <c r="AG77" i="26" l="1"/>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<sst xmlns="http://schemas.openxmlformats.org/spreadsheetml/2006/main" count="28446" uniqueCount="4648">
  <si>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</si>
  <si>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</si>
  <si>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</si>
  <si>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</si>
  <si>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</si>
  <si>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</si>
  <si>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</si>
  <si>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</si>
  <si>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</si>
  <si>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</si>
  <si>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</si>
  <si>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</si>
  <si>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</si>
  <si>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</si>
  <si>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</si>
  <si>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</si>
  <si>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</si>
  <si>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</si>
  <si>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</si>
  <si>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</si>
  <si>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</si>
  <si>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</si>
  <si>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</si>
  <si>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</si>
  <si>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</si>
  <si>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</si>
  <si>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</si>
  <si>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</si>
  <si>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</si>
  <si>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</si>
  <si>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</si>
  <si>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</si>
  <si>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</si>
  <si>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</si>
  <si>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</si>
  <si>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</si>
  <si>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</si>
  <si>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</si>
  <si>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</si>
  <si>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</si>
  <si>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</si>
  <si>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</si>
  <si>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</si>
  <si>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</si>
  <si>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</si>
  <si>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</si>
  <si>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</si>
  <si>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</si>
  <si>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</si>
  <si>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</si>
  <si>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</si>
  <si>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</si>
  <si>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</si>
  <si>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</si>
  <si>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</si>
  <si>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</si>
  <si>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</si>
  <si>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</si>
  <si>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</si>
  <si>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</si>
  <si>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</si>
  <si>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</si>
  <si>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</si>
  <si>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</si>
  <si>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</si>
  <si>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</si>
  <si>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</si>
  <si>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</si>
  <si>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</si>
  <si>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</si>
  <si>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</si>
  <si>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</si>
  <si>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</si>
  <si>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</si>
  <si>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</si>
  <si>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</si>
  <si>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</si>
  <si>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</si>
  <si>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</si>
  <si>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</si>
  <si>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</si>
  <si>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</si>
  <si>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</si>
  <si>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</si>
  <si>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</si>
  <si>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</si>
  <si>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</si>
  <si>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</si>
  <si>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</si>
  <si>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</si>
  <si>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</si>
  <si>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</si>
  <si>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</si>
  <si>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</si>
  <si>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</si>
  <si>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</si>
  <si>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</si>
  <si>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</si>
  <si>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</si>
  <si>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</si>
  <si>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</si>
  <si>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</si>
  <si>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</si>
  <si>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</si>
  <si>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</si>
  <si>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</si>
  <si>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</si>
  <si>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</si>
  <si>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</si>
  <si>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</si>
  <si>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</si>
  <si>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КАО "Азот"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</si>
  <si>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</si>
  <si>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</si>
  <si>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КЕМЕРОВСКОЕ АКЦИОНЕРНОЕ ОБЩЕСТВО " АЗОТ "</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</si>
  <si>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</si>
  <si>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</si>
  <si>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</si>
  <si>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1024200705077</t>
  </si>
  <si>
    <t>ИНН</t>
  </si>
  <si>
    <t>4205000908</t>
  </si>
  <si>
    <t>КПП</t>
  </si>
  <si>
    <t>997550001</t>
  </si>
  <si>
    <t>Код по ОКПО</t>
  </si>
  <si>
    <t>05761637</t>
  </si>
  <si>
    <t>L2_7</t>
  </si>
  <si>
    <t>Организационно-правовая форма</t>
  </si>
  <si>
    <t>1 22 67 | Непубличные акционерные общества</t>
  </si>
  <si>
    <t>L2_8</t>
  </si>
  <si>
    <t>Юридический адрес</t>
  </si>
  <si>
    <t>РОССИЯ, 650021, Кемеровская область, г. Кемерово, ул. Грузовая, стр. 1</t>
  </si>
  <si>
    <t>L2_9</t>
  </si>
  <si>
    <t>Фактический адрес</t>
  </si>
  <si>
    <t>L2_10</t>
  </si>
  <si>
    <t>Телефон организации</t>
  </si>
  <si>
    <t>8 (3842) 571-577</t>
  </si>
  <si>
    <t>L2_11</t>
  </si>
  <si>
    <t>e-mail</t>
  </si>
  <si>
    <t>info@azot.kuzbass.net</t>
  </si>
  <si>
    <t>L2_12</t>
  </si>
  <si>
    <t>ФИО руководителя</t>
  </si>
  <si>
    <t>Вишневский Андрей Николаевич</t>
  </si>
  <si>
    <t>L2_13</t>
  </si>
  <si>
    <t>Должность руководителя</t>
  </si>
  <si>
    <t>Генеральный директор</t>
  </si>
  <si>
    <t>L2_14</t>
  </si>
  <si>
    <t>Официальный сайт регулируемой организации в сети "Интернет"</t>
  </si>
  <si>
    <t>www.sds-azot.ru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</si>
  <si>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</si>
  <si>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</si>
  <si>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</si>
  <si>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</si>
  <si>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</si>
  <si>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</si>
  <si>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</si>
  <si>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</si>
  <si>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</si>
  <si>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</si>
  <si>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</si>
  <si>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</si>
  <si>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</si>
  <si>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</si>
  <si>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</si>
  <si>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</si>
  <si>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</si>
  <si>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</si>
  <si>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</si>
  <si>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</si>
  <si>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</si>
  <si>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</si>
  <si>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</si>
  <si>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</si>
  <si>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</si>
  <si>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</si>
  <si>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</si>
  <si>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</si>
  <si>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</si>
  <si>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</si>
  <si>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</si>
  <si>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</si>
  <si>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</si>
  <si>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</si>
  <si>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</si>
  <si>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</si>
  <si>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</si>
  <si>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</si>
  <si>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</si>
  <si>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</si>
  <si>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</si>
  <si>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</si>
  <si>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</si>
  <si>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</si>
  <si>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</si>
  <si>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</si>
  <si>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</si>
  <si>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</si>
  <si>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</si>
  <si>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</si>
  <si>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</si>
  <si>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</si>
  <si>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</si>
  <si>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актуализированных схем водоснабжения и водоотведения города Кемерово с расчетными сроками на 2022-2032 годы»</t>
  </si>
  <si>
    <t>постановление</t>
  </si>
  <si>
    <t>207</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</si>
  <si>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</si>
  <si>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</si>
  <si>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</si>
  <si>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</si>
  <si>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</si>
  <si>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 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</si>
  <si>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</si>
  <si>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</si>
  <si>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</si>
  <si>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</si>
  <si>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</si>
  <si>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</si>
  <si>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</si>
  <si>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</si>
  <si>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</si>
  <si>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</si>
  <si>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</si>
  <si>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</si>
  <si>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</si>
  <si>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</si>
  <si>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</si>
  <si>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</si>
  <si>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</si>
  <si>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</si>
  <si>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Богашова Марина Викторовна</t>
  </si>
  <si>
    <t>L5_1</t>
  </si>
  <si>
    <t>Должность исполнителя</t>
  </si>
  <si>
    <t>Экономист</t>
  </si>
  <si>
    <t>L5_2</t>
  </si>
  <si>
    <t>Контактный телефон исполнителя</t>
  </si>
  <si>
    <t>8 (384-2) 78-14-55</t>
  </si>
  <si>
    <t>L5_3</t>
  </si>
  <si>
    <t>e-mail исполнителя</t>
  </si>
  <si>
    <t>bmv@azot.kuzbass.net</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</si>
  <si>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</si>
  <si>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</si>
  <si>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</si>
  <si>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</si>
  <si>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</si>
  <si>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</si>
  <si>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</si>
  <si>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</si>
  <si>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</si>
  <si>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</si>
  <si>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</si>
  <si>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</si>
  <si>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</si>
  <si>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</si>
  <si>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</si>
  <si>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</si>
  <si>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</si>
  <si>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</si>
  <si>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</si>
  <si>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</si>
  <si>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218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</si>
  <si>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</si>
  <si>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</si>
  <si>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</si>
  <si>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</si>
  <si>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</si>
  <si>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</si>
  <si>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</si>
  <si>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</si>
  <si>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</si>
  <si>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</si>
  <si>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</si>
  <si>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</si>
  <si>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</si>
  <si>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</si>
  <si>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</si>
  <si>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</si>
  <si>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</si>
  <si>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</si>
  <si>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ХВС.42.26322867.0003</t>
  </si>
  <si>
    <t>тариф на техническую воду</t>
  </si>
  <si>
    <t>одноставочный</t>
  </si>
  <si>
    <t>Производство (подъём / добыча) воды :: Транспортировка воды :: Сбыт (распределение) воды</t>
  </si>
  <si>
    <t>техническая вода</t>
  </si>
  <si>
    <t>2342</t>
  </si>
  <si>
    <t>2025-04-22</t>
  </si>
  <si>
    <t>Тарифное решение на 2026 год было принято Постановлением РЭК Кузбасса от 31.07.2025 № 226;  на основании Постановления Правительства РФ от 20.11.2025 N 1834 внесены изменения в Приложения № 1 и № 2 указанного постановления в части календарной разбивки  объемов реализации, необходимой валовой выручки и тарифов.</t>
  </si>
  <si>
    <t>2</t>
  </si>
  <si>
    <t>Водоотведение</t>
  </si>
  <si>
    <t>ВО.42.26322867.0003</t>
  </si>
  <si>
    <t>тариф на водоотведение</t>
  </si>
  <si>
    <t>Приём сточных вод :: Очистка сточных вод :: Транспортировка сточных вод</t>
  </si>
  <si>
    <t>хозяйственно-бытовые сточные воды</t>
  </si>
  <si>
    <t>3</t>
  </si>
  <si>
    <t>ВО.42.26322867.0004</t>
  </si>
  <si>
    <t>тариф на транспортировку сточных вод</t>
  </si>
  <si>
    <t>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</si>
  <si>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</si>
  <si>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</si>
  <si>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</si>
  <si>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</si>
  <si>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</si>
  <si>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</si>
  <si>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17-ВСиВО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</si>
  <si>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</si>
  <si>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</si>
  <si>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</si>
  <si>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</si>
  <si>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</si>
  <si>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</si>
  <si>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</si>
  <si>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</si>
  <si>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</si>
  <si>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</si>
  <si>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</si>
  <si>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</si>
  <si>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</si>
  <si>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</si>
  <si>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</si>
  <si>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</si>
  <si>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</si>
  <si>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</si>
  <si>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</si>
  <si>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</si>
  <si>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</si>
  <si>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</si>
  <si>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</si>
  <si>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</si>
  <si>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</si>
  <si>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</si>
  <si>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</si>
  <si>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</si>
  <si>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</si>
  <si>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</si>
  <si>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</si>
  <si>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</si>
  <si>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</si>
  <si>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</si>
  <si>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</si>
  <si>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</si>
  <si>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</si>
  <si>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</si>
  <si>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</si>
  <si>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</si>
  <si>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</si>
  <si>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</si>
  <si>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</si>
  <si>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</si>
  <si>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</si>
  <si>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</si>
  <si>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</si>
  <si>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</si>
  <si>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</si>
  <si>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</si>
  <si>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</si>
  <si>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</si>
  <si>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</si>
  <si>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</si>
  <si>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</si>
  <si>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</si>
  <si>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</si>
  <si>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</si>
  <si>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</si>
  <si>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</si>
  <si>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</si>
  <si>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</si>
  <si>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</si>
  <si>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</si>
  <si>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</si>
  <si>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</si>
  <si>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</si>
  <si>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</si>
  <si>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</si>
  <si>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</si>
  <si>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</si>
  <si>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</si>
  <si>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</si>
  <si>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</si>
  <si>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</si>
  <si>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</si>
  <si>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</si>
  <si>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</si>
  <si>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</si>
  <si>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</si>
  <si>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</si>
  <si>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</si>
  <si>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</si>
  <si>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</si>
  <si>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</si>
  <si>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</si>
  <si>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</si>
  <si>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</si>
  <si>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</si>
  <si>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</si>
  <si>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</si>
  <si>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</si>
  <si>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</si>
  <si>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</si>
  <si>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</si>
  <si>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</si>
  <si>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</si>
  <si>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</si>
  <si>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См.  «Инструкцию по эксплуатации головных сооружений цеха водоснабжения" Аз Иэ 3009-003</t>
  </si>
  <si>
    <t>Насосная станция 2-го подъема, Станция осветления, Насосная станция 2-го подъема г. Топки</t>
  </si>
  <si>
    <t>КАО «Азот» производит забор поверхностных вод из реки Томь для производственных (технологических) целей и для отпуска абонентам в соответствии с лимитами водопользования.                                                                                                                                                                                                                              Характеристика головных сооружений (РЕЧНОЙ ВОДОЗАБОР): - комплекс головных сооружений введен в эксплуатацию в 1970г. - проектная мощность комплекса – 312000 м3/сут.  речной воды. - режим работы - непрерывный, число часов работы в год - 8760.   (см. Продолжение ниже).</t>
  </si>
  <si>
    <t xml:space="preserve"> АНС  Опытно-промышленной установки (корп. 399а) </t>
  </si>
  <si>
    <t>На КАО «Азот» предусмотрена следующая система раздельной канализации и очистки сточных вод:  - хозфекальная канализация  для сбора и отвода хозяйственных и фекальных сточных вод (ФК); - производств. канализация с минеральными загрязнениями для сбора и отвода сточных вод, содержащих продукты нейтрализации минеральных кислот и щелочей (КМЗ); - производств. канализация для сбора и отвода сточных вод, содержащих в основном азотосодержащие неорганические продукты, а также соединения неорганического характера: кисло-грязные стоки (КГС); - производств. канализация для сбора и отвода органические сточные воды шламонакопителя цеха НОПСВ (ОС); - промливневая канализация для сбора и отвода сточных вод из систем водяного охлаждения технологического оборудования и отведения дренажных и поверхностных вод (ПЛК). (См. Продолжение ниже).</t>
  </si>
  <si>
    <t>Станция УФ-обеззараживания (УФО) КАО "Азот"</t>
  </si>
  <si>
    <t>Производственные сточные воды абонентов, совместно со сточными водами предприятия подвергаются очистке. Промышленно-ливневые сточные воды (ПЛК) считаются нормативно-чистыми, дополнительной очистке не подвергаются. Сточные воды с территории предприятия и от абонентов по двум железобетонным самотечным коллекторам поступают: - с 1-ой очереди - в Пруд-усреднитель промливневых сточных вод цеха НОПСВ, из которого далее на биологическую очистку цеха (БОС) в качестве разбавляющего стока, и частично стоки возвращаются на территорию предприятия для повторного использования (для подпитки водооборотных циклов - ВОЦ); - со 2-ой очереди – в Буферный пруд цеха НОПСВ и далее через Станцию УФО в реку Томь.</t>
  </si>
  <si>
    <t>{                  _x000D_
         funcDyn: 'msg1',_x000D_
         blok: 'blok_1',_x000D_
         wsCross: 'Список объектов',_x000D_
         linkFormula: 'AB-AC',_x000D_
         levelDyn: ''_x000D_
}</t>
  </si>
  <si>
    <t>Комментарии и обоснования к разделу</t>
  </si>
  <si>
    <t>ТАРИФ 1 - ТЕХНИЧЕСКАЯ ВОДА  - СОСТАВ ОБЪЕКТОВ (Продолжение):  В комплекс головных сооружений входит: - насосная станция 1-го подъема (водозабор) на реке Томь (корп. 303); - главные водоводы № 3, 4, 5; - реагентное хозяйство станции осветления (корпуса 305, 306, 309); - насосная станция 2-го подъема станции осветления (корп. 307).</t>
  </si>
  <si>
    <t>В состав насосной станции - 1-го подъема (водозабор) входят следующие сооружения и оборудование: - водоприёмный ковш; - береговой водоприемный колодец; - четыре водоприемные камеры; - четыре водоочистные машины; - три камеры всаса; - насосное оборудование; - коллектор для распределения воды по главным водоводам; - наружные водоводы с камерами и арматурой.</t>
  </si>
  <si>
    <t>Перед сороудерживающими решетками установлено комбинированное двухконтурное рыбо-защитное устройство (КДРУ).  Подающаяся под давлением вода формирует турбулентные возмущения, вызывающие у рыб оборонительную реакцию, что способствует отводу рыб из зоны действия водозабора.     Водоочистные машины поз. №21-24 (типа ТН-2000) предназначены для механической очистки воды. В результате понижения горизонта уровня воды, создаваемого насосами в камере всаса, вода проходит через сита, оставляя на их наружной поверхности мелкий мусор, илистые отложения и водоросли.</t>
  </si>
  <si>
    <t>Неочищенная речная вода перед подачей потребителям предварительно проходит очистку в отстойниках Станции осветления отделения водоснабжения и канализования, после очистки с помощью насосов 2-го подъема вода по двум трубопроводам диаметром 1000 мм и одному диаметром 800 мм подается в кольцевую систему предприятия и сторонним потребителям.   Речная вода с водозабора проходит по 3-м водоводам с диаметрами 1200-1400 мм. В паводковый период вода проходит очистку на Станции осветления с помощью реагентов: коагулянта - сернокислого алюминия и, в случае понижения щелочности до 0,7 мг/л, производится дозирование кальцинированной соды.</t>
  </si>
  <si>
    <t>ТАРИФ 2 - ЦЕХ НОПСВ - СОСТАВ ОБЪЕКТОВ  (Продолжение):   Хозфекальные стоки КАО «Азот» и сторонних организаций по двум самотечным коллекторам Dу 400 мм каждый, поступают на опытно-промышленную установку (далее ОПУ) цеха НОПСВ  (Цех нейтрализации и очистки промышленных сточных вод)  и далее по напорному коллектору Dу 300 мм перекачиваются на Биологические очистные сооружения (БОС) цеха НОПСВ .         Предусмотрена возможность подачи хозфекального стока в приемный резервуар автоматической насосной станции (далее АНС) опытно-промышленной установки для разбавления органического стока до определенной концентрации, с последующей выдачей на очистные сооружения ОАО «КемВод». С 2014 года данная схема законсервирована.</t>
  </si>
  <si>
    <t>В насосной станции 2-го подъема смонтирована дополнительная группа высоконапорных насосов для подачи воды абоненту – ООО «Коммунальщик» г. Топки. Для сокращения объема забора речной воды из р. Томь для подпитки водооборотных циклов предприятия используется промливневый сток из цеха нейтрализации и очистки промышленных сточных вод (далее – НОПСВ), в количестве до 30% от общей подпитки водооборотных циклов.</t>
  </si>
  <si>
    <t>Сточные воды подвергаются следующей очистке:  -сточные воды КГС подвергаются местной очистке посредством нейтрализации и усреднения непосредственно в цехах, и далее по самотечному коллектору,   изготовленному из керамических и чугунных труб, поступают на АНС  (корп. 399а), откуда по двум коллекторам, насосом, выдаются в пруд-усреднитель цеха НОПСВ, в аварийных случаях, предусмотрена их выдача через коллектор промливневой канализации 1-ой очереди; - сточные воды КМЗ, содержащие органические и азотосодержащие загрязняющие вещества от производств капролактама,  от цехов аммиак-1 и карбамида по воздушным коллекторам посту-пают в корпус 950 производства капролактама, где частично усредняются и по трем раздель-ным трубопроводам направляются в цех НОПСВ для биологической очистки, в качестве резерва имеется подземный коллектор dy-200мм;</t>
  </si>
  <si>
    <t>- сточные воды, содержащие органические вещества от ЦГС, УЖТ поступают по самотечным коллекторам кисло-грязной канализации в автоматическую насосную станцию корп. 399а и перекачиваются в цех НОПСВ; - биологически очищенные сточные воды цеха НОПСВ по самотечному коллектору направляются в Буферный пруд и из него через установку ультрафиолетового обеззараживания по рассеивающему выпуску в реку Томь;  -органические сточные воды со шламонакопителя (цех НОВСВ) выдаются на   БОС цеха НОПСВ;</t>
  </si>
  <si>
    <t>- промливневые сточные воды по двум железобетонным самотечным коллекторам по-ступают с 1-ой очереди в пруд-усреднитель промливневых сточных вод цеха НОПСВ, из кото-рого часть поступает  на биологическую очистку цеха и частично стоки возвращаются на территорию предприятия для подпитки водооборотных циклов; со 2-ой очереди – в буферный пруд цеха НОПСВ и далее через установку ультрафиолетового обеззараживания по рассеивающему выпуску в реку Томь; -сточные воды минерального коллектора направляются в буферный пруд цеха НОПСВ и из него через установку ультрафиолетового обеззараживания по рассеивающему выпуску в реку Томь.</t>
  </si>
  <si>
    <t>В материалах дела имеется  Блок-схема биологических очистных сооружений Цеха НОПСВ, а также "Схема формирования стоков КАО "Азот" и "Балансовая схема водопотребления и водооведения КАо "Азот" и абонентов" (см. Пояснительную записку). Согласно представленной Блок-схеме Цеха НОПСВ, в составБиологических очистных сооружений имеются: камеры смешения;  аэротенки;  радиальные отстойники; иловые карты ; пруды 2х-суточного отстоя; установка УНИ.</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</si>
  <si>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</si>
  <si>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</si>
  <si>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</si>
  <si>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</si>
  <si>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</si>
  <si>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</si>
  <si>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</si>
  <si>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</si>
  <si>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</si>
  <si>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</si>
  <si>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</si>
  <si>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</si>
  <si>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</si>
  <si>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</si>
  <si>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</si>
  <si>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</si>
  <si>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</si>
  <si>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</si>
  <si>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</si>
  <si>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</si>
  <si>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Водозабор КАО "Азот"</t>
  </si>
  <si>
    <t>г Кемерово, г. Кемерово, Центральный район</t>
  </si>
  <si>
    <t>собственность</t>
  </si>
  <si>
    <t>свидетельство</t>
  </si>
  <si>
    <t>42 АВ 069624</t>
  </si>
  <si>
    <t>28.03.2005</t>
  </si>
  <si>
    <t>бессрочно</t>
  </si>
  <si>
    <t>насосная станция 2-го подъема КАО "Азот"</t>
  </si>
  <si>
    <t>г Кемерово, ул. Грузовая, д. 1а</t>
  </si>
  <si>
    <t>42 АВ 576944</t>
  </si>
  <si>
    <t>04.07.2007</t>
  </si>
  <si>
    <t>станция осветления   КАО "Азот"</t>
  </si>
  <si>
    <t>42 АВ 608141       42 АВ 576961             42 АВ 576962</t>
  </si>
  <si>
    <t>сеть водоснабжения (речная техническая вода) КАО "Азот"</t>
  </si>
  <si>
    <t>г Кемерово, ул. Грузовая, стр. 1</t>
  </si>
  <si>
    <t>4</t>
  </si>
  <si>
    <t>решение</t>
  </si>
  <si>
    <t>67</t>
  </si>
  <si>
    <t>18.03.1993</t>
  </si>
  <si>
    <t>бессрочно;  передан   Решением КУГИ Кемеровской области в частную собственность в составе единого имущественного комплекса</t>
  </si>
  <si>
    <t>г Топки, г. Топки, 0</t>
  </si>
  <si>
    <t>5</t>
  </si>
  <si>
    <t>очистные сооружения  КАО "Азот"</t>
  </si>
  <si>
    <t>г Кемерово, ул. Кирзавод 3-бис, д. 23</t>
  </si>
  <si>
    <t>42 АВ 855184               42 АВ 855182             42АВ 844379</t>
  </si>
  <si>
    <t>21.10.2008</t>
  </si>
  <si>
    <t>канализационная сеть КАО "Азот"</t>
  </si>
  <si>
    <t>42 АЕ 060243</t>
  </si>
  <si>
    <t>17.06.2015</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</si>
  <si>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</si>
  <si>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</si>
  <si>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</si>
  <si>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</si>
  <si>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</si>
  <si>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</si>
  <si>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</si>
  <si>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</si>
  <si>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</si>
  <si>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"Пункт 3 Статьи 164  ""Налогового кодекса Российской Федерации (часть вторая)"" от 05.08.2000 N 117-Ф (в ред. Федерального закона от 03.08.2018 N 303-ФЗ).
"</t>
  </si>
  <si>
    <t>Пункт 3 Статьи 164  "Налогового кодекса Российской Федерации (часть вторая)" от 05.08.2000 N 117-ФЗ (в редакции Федерального закона от 28.11.2025 N 425-ФЗ).</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</si>
  <si>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</si>
  <si>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</si>
  <si>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</si>
  <si>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</si>
  <si>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</si>
  <si>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</si>
  <si>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</si>
  <si>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</si>
  <si>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</si>
  <si>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</si>
  <si>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</si>
  <si>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</si>
  <si>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</si>
  <si>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</si>
  <si>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</si>
  <si>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</si>
  <si>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</si>
  <si>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</si>
  <si>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</si>
  <si>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</si>
  <si>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</si>
  <si>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</si>
  <si>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</si>
  <si>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</si>
  <si>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</si>
  <si>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</si>
  <si>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</si>
  <si>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</si>
  <si>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</si>
  <si>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</si>
  <si>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</si>
  <si>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</si>
  <si>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</si>
  <si>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</si>
  <si>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</si>
  <si>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</si>
  <si>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</si>
  <si>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</si>
  <si>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</si>
  <si>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</si>
  <si>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</si>
  <si>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</si>
  <si>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</si>
  <si>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</si>
  <si>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</si>
  <si>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</si>
  <si>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</si>
  <si>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</si>
  <si>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</si>
  <si>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</si>
  <si>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</si>
  <si>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</si>
  <si>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</si>
  <si>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</si>
  <si>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</si>
  <si>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</si>
  <si>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</si>
  <si>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6</t>
  </si>
  <si>
    <t>Доля общепроизводственных расходов</t>
  </si>
  <si>
    <t>P_PROD_EXP</t>
  </si>
  <si>
    <t>Постановление РЭК Кузбасса от 26.10.2023 № 215 "Об установлении долгосрочных параметров регулирования тарифов в сфере холодного водоснабжения, водоотведения КАО «Азот» (Кемеровский городской округ)".</t>
  </si>
  <si>
    <t>согласно  "Прогнозу соц.-экономического развития РФ на 2025 г. и на плановый период 2026 и 2027 гг." от 30.09.2024</t>
  </si>
  <si>
    <t>В соответствии с величиной, заложенной при утверждении Базового уровня Операционных расходов на 2024 год</t>
  </si>
  <si>
    <t>Ставка 270,00 руб./тыс. м3 с коэффициентом 4,05,  - в соответствии с  Постановлением Правительства РФ от 26.12.2014 N 1509   (ред. от 24.03.2022)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t>
  </si>
  <si>
    <t>Ставка 270,00 руб./тыс. м3 с коэффициентом 4,84,  - в соответствии с Постановлением Правительства РФ от 21.12.2024 N 1847 "О внесении изменения в постановление Правительства Российской Федерации от 26 декабря 2014 г. N 1509", с учетом  ИПЦ Минэкономразвития России  104,3% на 2026 год  (согласно  "Прогнозу соц.-экономического развития РФ на 2025 г. и на плановый период 2026 и 2027 гг." от 30.09.2024).</t>
  </si>
  <si>
    <t>Глава 30  "НАЛОГ НА ИМУЩЕСТВО ОРГАНИЗАЦИЙ" "Налогового кодекса Российской Федерации"  (часть вторая) от 05.08.2000 N 117-ФЗ (ред. от 28.12.2024);  Закон Кемеровской области - Кузбасса от 26.11.2003 N 60-ОЗ (от 30.06.2025 N 79-ОЗ) "О налоге на имущество организаций"</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</si>
  <si>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</si>
  <si>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</si>
  <si>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</si>
  <si>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</si>
  <si>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</si>
  <si>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</si>
  <si>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</si>
  <si>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</si>
  <si>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</si>
  <si>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</si>
  <si>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</si>
  <si>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</si>
  <si>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</si>
  <si>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</si>
  <si>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</si>
  <si>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</si>
  <si>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</si>
  <si>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</si>
  <si>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</si>
  <si>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</si>
  <si>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</si>
  <si>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</si>
  <si>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</si>
  <si>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</si>
  <si>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</si>
  <si>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</si>
  <si>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</si>
  <si>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</si>
  <si>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</si>
  <si>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</si>
  <si>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</si>
  <si>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</si>
  <si>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</si>
  <si>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</si>
  <si>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</si>
  <si>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</si>
  <si>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</si>
  <si>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</si>
  <si>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</si>
  <si>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</si>
  <si>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</si>
  <si>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</si>
  <si>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</si>
  <si>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</si>
  <si>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</si>
  <si>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</si>
  <si>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</si>
  <si>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</si>
  <si>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</si>
  <si>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</si>
  <si>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</si>
  <si>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</si>
  <si>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</si>
  <si>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</si>
  <si>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</si>
  <si>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</si>
  <si>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</si>
  <si>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</si>
  <si>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</si>
  <si>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</si>
  <si>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</si>
  <si>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</si>
  <si>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</si>
  <si>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</si>
  <si>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</si>
  <si>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</si>
  <si>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</si>
  <si>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</si>
  <si>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</si>
  <si>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</si>
  <si>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</si>
  <si>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</si>
  <si>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</si>
  <si>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</si>
  <si>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</si>
  <si>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</si>
  <si>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</si>
  <si>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</si>
  <si>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</si>
  <si>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</si>
  <si>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</si>
  <si>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</si>
  <si>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</si>
  <si>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</si>
  <si>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</si>
  <si>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</si>
  <si>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</si>
  <si>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</si>
  <si>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</si>
  <si>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</si>
  <si>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</si>
  <si>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</si>
  <si>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</si>
  <si>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</si>
  <si>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</si>
  <si>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</si>
  <si>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</si>
  <si>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</si>
  <si>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</si>
  <si>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</si>
  <si>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</si>
  <si>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</si>
  <si>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</si>
  <si>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</si>
  <si>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</si>
  <si>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</si>
  <si>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</si>
  <si>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</si>
  <si>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</si>
  <si>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</si>
  <si>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</si>
  <si>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</si>
  <si>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</si>
  <si>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</si>
  <si>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</si>
  <si>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</si>
  <si>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</si>
  <si>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</si>
  <si>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</si>
  <si>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</si>
  <si>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</si>
  <si>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</si>
  <si>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</si>
  <si>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</si>
  <si>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</si>
  <si>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</si>
  <si>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</si>
  <si>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</si>
  <si>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</si>
  <si>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</si>
  <si>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</si>
  <si>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</si>
  <si>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</si>
  <si>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</si>
  <si>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</si>
  <si>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</si>
  <si>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</si>
  <si>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</si>
  <si>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</si>
  <si>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</si>
  <si>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</si>
  <si>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</si>
  <si>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</si>
  <si>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</si>
  <si>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</si>
  <si>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</si>
  <si>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</si>
  <si>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</si>
  <si>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</si>
  <si>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</si>
  <si>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</si>
  <si>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</si>
  <si>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</si>
  <si>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</si>
  <si>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</si>
  <si>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</si>
  <si>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</si>
  <si>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</si>
  <si>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</si>
  <si>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</si>
  <si>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</si>
  <si>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</si>
  <si>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</si>
  <si>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</si>
  <si>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</si>
  <si>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</si>
  <si>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</si>
  <si>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</si>
  <si>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</si>
  <si>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</si>
  <si>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</si>
  <si>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</si>
  <si>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</si>
  <si>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</si>
  <si>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</si>
  <si>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</si>
  <si>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</si>
  <si>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</si>
  <si>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</si>
  <si>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</si>
  <si>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</si>
  <si>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</si>
  <si>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</si>
  <si>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</si>
  <si>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</si>
  <si>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</si>
  <si>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</si>
  <si>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</si>
  <si>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</si>
  <si>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</si>
  <si>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</si>
  <si>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</si>
  <si>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</si>
  <si>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</si>
  <si>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</si>
  <si>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</si>
  <si>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</si>
  <si>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</si>
  <si>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</si>
  <si>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</si>
  <si>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</si>
  <si>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</si>
  <si>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</si>
  <si>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</si>
  <si>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</si>
  <si>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</si>
  <si>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</si>
  <si>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</si>
  <si>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</si>
  <si>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</si>
  <si>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</si>
  <si>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</si>
  <si>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</si>
  <si>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</si>
  <si>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</si>
  <si>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</si>
  <si>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</si>
  <si>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</si>
  <si>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</si>
  <si>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</si>
  <si>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</si>
  <si>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</si>
  <si>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</si>
  <si>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</si>
  <si>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</si>
  <si>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</si>
  <si>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</si>
  <si>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</si>
  <si>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</si>
  <si>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</si>
  <si>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</si>
  <si>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</si>
  <si>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</si>
  <si>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</si>
  <si>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</si>
  <si>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</si>
  <si>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</si>
  <si>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</si>
  <si>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</si>
  <si>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</si>
  <si>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</si>
  <si>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</si>
  <si>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</si>
  <si>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</si>
  <si>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</si>
  <si>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</si>
  <si>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</si>
  <si>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</si>
  <si>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</si>
  <si>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</si>
  <si>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</si>
  <si>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</si>
  <si>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 xml:space="preserve">П. 5 "Методических указаний..." (приказ ФСТ № 1746-э от 27.12.2013). </t>
  </si>
  <si>
    <t>Постановление РЭК Кузбасса от 12.10.2023 N 168 "Об установлении нормативов потерь питьевой, технической воды в централизованных системах водоснабжения при ее производстве и транспортировке на 2024 - 2028 годы".</t>
  </si>
  <si>
    <t>Рассчитано на основании данных о динамике объемов реализации по данной категории потребителей за 2021-2024 гг. (с учетом подключаемых и выбывающих абонентов).</t>
  </si>
  <si>
    <t xml:space="preserve">П. 5, п. 8 "Методических указаний..." (приказ ФСТ № 1746-э от 27.12.2013). </t>
  </si>
  <si>
    <t>П. 8  "Методических указаний по расчету регулируемых тарифов в сфере водоснабжения и водоотведения" (утв. Прикаом ФСТ от 27.12.2013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</si>
  <si>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</si>
  <si>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</si>
  <si>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</si>
  <si>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</si>
  <si>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</si>
  <si>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</si>
  <si>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</si>
  <si>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</si>
  <si>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</si>
  <si>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</si>
  <si>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</si>
  <si>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</si>
  <si>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</si>
  <si>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</si>
  <si>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</si>
  <si>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</si>
  <si>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</si>
  <si>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</si>
  <si>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</si>
  <si>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</si>
  <si>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</si>
  <si>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</si>
  <si>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</si>
  <si>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</si>
  <si>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</si>
  <si>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</si>
  <si>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</si>
  <si>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</si>
  <si>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</si>
  <si>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</si>
  <si>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</si>
  <si>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 49 (10), п. 16, п. 19 Методических указаний ФСТ № 1746-э.</t>
  </si>
  <si>
    <t>Оксихлорид алюминия 20% по активной части</t>
  </si>
  <si>
    <t>Алюминия полиоксихлорид</t>
  </si>
  <si>
    <t>1) П. 49 (10), п. 16, п. 19 Методических указаний ФСТ № 1746-э. 2) Статья 35, Часть вторая Статьи 55 "Водного кодекса Российской Федерации" от 03.06.2006 N 74-ФЗ (ред. от 08.08.2024). 3) Приказ Минсельхоза России от 13.12.2016 N 552 (ред. от 13.06.2024) "Об утверждении нормативов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4) Решение Министерства природных ресурсов и экологии Кузбасса от 08.08.2023 № 1390/РРТ/Сс-08.2023 о предоставлении водного объекта в пользование (сброс сточных вод). 5) Разрешение  на сброс загрязняющих веществ в водные объекты № 3/1вода/Кем (на основании Приказа Южно-Сибирского межрегионального управления Росприроднадзора от 14.05.2020 № 544-рд).</t>
  </si>
  <si>
    <t>Кислота ортофосфорная термическая 75% пищевая</t>
  </si>
  <si>
    <t>Натрий углекислый</t>
  </si>
  <si>
    <t>Спирт изопропиловый абсолютированный ГОСТ 9805-84</t>
  </si>
  <si>
    <t>Решение Заводского районного суда г. Кемерово от 06.08.2020 по делу №2-2071/2020 о возложении обязанности по устранению нарушений природоохранного законодательства путем модернизации системы водоочистки (строительство либо реконструкция очистных сооружений);  Определение Заводского районного суда г. Кемерово об отсрочке исполнения решения суда от 06.08.2020 до 30.11.2025.</t>
  </si>
  <si>
    <t>{                  _x000D_
         funcDyn: 'msg1',_x000D_
         blok: 'blok_1',_x000D_
         wsCross: 'ЭЭ',_x000D_
         linkFormula: 'AB-AB',_x000D_
         levelDyn: ''_x000D_
}</t>
  </si>
  <si>
    <t>Фактический расход реагентов В НАТУРАЛЬНОМ ВЫРАЖЕНИИ за отчетный период составил:  Алюминия оксихлорид - 37,223 т;  Алюминя полиоксихлорид марки MetaPAC - 24,382 т;  Кислота ортофосфорная - 213,97 кг;  Натрий углекислый - 136,00 т;  СПИРТ ИЗОПРОПИЛОВЫЙ - 139 187,74 л. Указанные данные подтверждены копиями Актов на списание материальных ценностей в производство за 2024 год.</t>
  </si>
  <si>
    <t>ФАКТИЧЕСКАЯ СРЕДНЕВЗВЕШЕННАЯ ЦЕНА  2024 г.  на АЛЮМИНИЯ ОКСИХЛОРИД (с учетом транспортно-заготовительных расходов) составила 31121,45 руб./т; на АЛЮМИНИЯ ПОЛИОКСИХЛОРИД марки MetaPAC - 34085,00 руб./т. В обоснование цен представлены:  копия договора № Аз 50330  от 06.03.2024 с ООО  "МЕТАХИМ" (г. Москва); спецификация  № 2 от 19.03.2024 к договору  № Аз 50330; дополнительное соглашение № 1 от 16.04.2024 к Спецификации № 2; копии универсальных передаточных документов за 2024 год; конкурентный лист № 9089-ОЗПЗ на право заключения договора на поставку алюминия оксихлорида ОХА 20%. Представлен также Аналитический отчет за период с 01/01/0224 по 31/12/2024 по сч. 23-05, (по Участку речной воды).</t>
  </si>
  <si>
    <t>Фактическая   средневзвешенная цена 2024 г.   на  ОРТОФОСФОРНУЮ КИСЛОТУ (с учетом транспортно-заготовительных расходов)  составила 166,60 руб./кг. В обоснование  фактических затрат  представлены:  копия договора  поставки продукции от 13.04.2018 № Аз  30041 с ООО  "Химия Сибири" (г. Новокузнецк); спецификация (к  указанному договору) от 24.03.2022 № 10; конкурентный лист  № 6561-ОЗПЗ на право заключения договора по поставке ортофорсфорной кислоты; копии универсальных передаточных документов от 17.02.2022 (цена - 95,63 руб./ кг без учета НДС) и от 05.04.2022 (цена - 163,77 руб./кг без учета НДС). (На территории Кузбасса  другими организациями водопроводно-канализационного хозяйства данный реагент в отчетном периоде не применялся.)</t>
  </si>
  <si>
    <t>ФАКТИЧЕСКАЯ СРЕДНЕВЗВЕШЕННАЯ ЦЕНА  2024 г.  на ИЗОПРОПИЛОВЫЙ СПИРТ (с учетом транспортно-заготовительных расходов) составила 98,40 руб./л. В обоснование цен представлены:  копия договора № ОК/589  от 08.11.2023, заключенного с  АО "ОМСКИЙ КАУЧУК" (г. Омск); приложение  № 16 от 19.12.2024 к договору  № ОК/589; копии универсальных передаточных документов за 2024 год; конкурентный лист № ОЗПЗ-10130 от 28.11.2024 на право заключения договора на поставку спирта изопропилового; ПОЯСНИТЕЛЬНАЯ ЗАПИСКА по применению спирта изопропилового.</t>
  </si>
  <si>
    <t>Организацией  представлен также Аналитический отчет за период с 01/01/0224 по 31/12/2024 по сч. 23-05 по  Цеху нейтрализации и очистки промышленных сточных вод (НОПСВ).</t>
  </si>
  <si>
    <t>В связи с тем, что организацией не проедоставляются технологические регламенты и иные нормативные документы, обосновывающие расход регантов в расчете на единицу объема воды / сточных вод,  специалистом РЭК Кузбасса  ПЛАНОВЫЙ РАСХОД РЕАГЕНТОВ В НАТУРАЛЬНОМ ВЫРАЖЕНИИ  принимается,  исходя из  ФАКТИЧЕСКОГО СРЕДНЕГОДОВОГО УДЕЛЬНОГО РАСХОДА РЕАГЕНТОВ за 2022-2024 годы:  Алюминия оксихлорид (в том числе алюминия полиоксихлорид марки MetaPAC): (28,85 т  / 17 123,113 тыс. м3 + 51,578 т /18 950,842 тыс. м3 + (37,223 т + 24,382 т ) / 3 =  (0,00168 + 0,00272 + 0,00343 ) т/тыс. м3 / 3 = 0,00261 т/ тыс. м3.</t>
  </si>
  <si>
    <t xml:space="preserve">НАТРИЙ УГЛЕКИСЛЫЙ  является продуктом собственного производства КАО "Азот". Учетная цена  2024 г.  на данный реагент, согласно представленному Прайс-листу "Цена готовой продукции 2024  год", составила - 700,00 руб/т. </t>
  </si>
  <si>
    <t>ОРГАНИЗАЦИЕЙ ПЛАНОВЫЕ ЗАТРАТЫ НА РЕАГЕНТЫ НА 2026 ГОД  заявлены, исходя из  следующих объемов и цен:   алюминия оксихлорид - 68,96 т по 37221,67 руб./т ;  алюминия полиоксихлорид марки MetaPAC - 9,39 т по 37221,67 руб./т;  кислота ортофосфорная -308,48 кг по 192,25 руб. /кг, натрий углекислый - 322 т по 764,42 руб./т. ;  Спирт изопропиловый  - 174 493,00 л по 127,22 руб./л.</t>
  </si>
  <si>
    <t>В связи с тем, что организацией НЕ ПРЕДОСТАВЛЯЮТСЯ технологические регламенты и иные нормативные документы, обосновывающие расход реагентов в расчете на единицу объема воды / сточных вод,  специалистом РЭК Кузбасса  ПЛАНОВЫЙ РАСХОД РЕАГЕНТОВ В НАТУРАЛЬНОМ ВЫРАЖЕНИИ  на 2026 год принимается,  исходя из  ФАКТИЧЕСКОГО СРЕДНЕГОДОВОГО УДЕЛЬНОГО РАСХОДА  за 2022-2024 годы:  Алюминия оксихлорид (в том числе алюминия полиоксихлорид марки MetaPAC): (28,85 т  / 17 123,113 тыс. м3 + 51,578 т /18 950,842 тыс. м3 + (37,223 т + 24,382 т ) / 3 =  (0,00168 + 0,00272 + 0,00343 ) т/тыс. м3 / 3 = 0,00261 т/ тыс. м3.</t>
  </si>
  <si>
    <t>Кислота ортофосфорная:   (183,17 кг  / 286,17 тыс. м3 + 194,4149 кг / 299,730815 тыс. м3 + 213,97 кг / 337,075 тыс. м3 ) / 3 =  (0,640073 + 0,6486317 + 0,634785 ) / 3 = 0,64116  кг/ тыс. м3.</t>
  </si>
  <si>
    <t>Натрий углекислый:  ( 168,00 т  / 286,17 тыс. м3 + 186,146 т / 299,730815 + 136,0 т / 337,075 тыс. м3) / 3 =  ( 0,58706 + 0,621044 + 0,40347) / 3 = 0,53719  т/ тыс. м3.</t>
  </si>
  <si>
    <t>Плановые объемы расхода реагентов на 2026 год  в натуральном выражении  рассчитаны  экспертом РЭК, исходя из   принятых плановых объемов забора речной воды из водного объекта / объемов пропуска сточных  вод через БОС (биологические очистные сооружения), и рассчитанных значений фактического среднегодового удельного расхода.</t>
  </si>
  <si>
    <t>РАСХОД РЕАГЕНТОВ  на 2026 г.:  Алюминия оксихлорид (ВСЕГО) :  0,00261 т/ тыс. м3 * 19250,848 тыс. м3 = 50,245 т /год , в том числе алюминия полиоксихлорид - в размере, заявленном организацией (9,39 т).</t>
  </si>
  <si>
    <t>Кислота ортофосфорная:   0,64116  кг/ тыс. м3 * 348,84325 тыс. м3 = 223,67 кг / год .</t>
  </si>
  <si>
    <t>Натрий углекислый:   0,53719  т/ тыс. м3 * 348,84325 тыс. м3/ год = 187,40 т /год.</t>
  </si>
  <si>
    <t xml:space="preserve">ПЛАНОВЫЕ ЦЕНЫ на реагенты на 2026 год приняты  от фактических средневзвешенных цен 2024 г. с  учетом ИЦП производителей химической  продукции Минэкономразвития России  104,4% на 2025  и 104,0% на 2026 год (согласно базовому варианту "ПРОГНОЗА СОЦИАЛЬНО-ЭКОНОМИЧЕСКОГО РАЗВИТИЯ РОССИЙСКОЙ ФЕДЕРАЦИИ НА 2025 ГОД  И НА ПЛАНОВЫЙ ПЕРИОД 2026 И 2027 ГОДОВ", опубликованному на сайте Минэкономразвития России 30.09.2024)  :    алюминия оксихлорид - 33790,43 руб./т ; алюминия оксихлорид марки MetaPAC - 37008,13 руб./т; кислота ортофосфорная - 180,89 руб. /кг, натрий углекислый - 187,40 руб./т. </t>
  </si>
  <si>
    <t xml:space="preserve">В процессе закупок товарно-материальных ценностей и услуг  КАО "Азот" применяет  Инструкцию "ПОРЯДОК ВЫБОРА КОНТРАГЕНТА" Аз И 0151-001, утвержденную Генеральным директором 20.02.2022. В соответствии с  пунктом (1) Части 2.1. Статьи 1 Федерального закона от 18.07.2011 N 223-ФЗ (ред. от 08.08.2024) "О закупках товаров, работ, услуг отдельными видами юридических лиц" (с изм. и доп., вступ. в силу с 01.01.2025), действие данного закона  не распространяется на юридические лица, в уставном капитале которых доля участия Российской Федерации, субъекта Российской Федерации, муниципального образования в совокупности не превышает 50%, а именно - на субъекты естественных монополий, организации, осуществляющие регулируемые виды деятельности в сфере водоснабжения, водоотведения, очистки сточных вод, </t>
  </si>
  <si>
    <t xml:space="preserve">если общая выручка соответственно таких организаций от указанных видов деятельности составляет не более чем 10% общей суммы выручки соответственно от всех видов осуществляемой ими деятельности за предшествующий календарный год (информация об объеме которой размещена в единой информационной системе в сфере закупок товаров, работ, услуг для обеспечения государств. и муниципальных нужд). За отчетный 2024 год доли регулируемых видов деятельности (реализованных на сторону) КАО "Азот" в общем объеме полученной выручки (78 984 666,00 тыс. руб.) составили: ТЕХНИЧЕСКАЯ ВОДА - 0,08% (64 740,02 тыс. руб.), ВОДООТВЕДЕНИЕ ХОЗ.-БЫТОВЫХ СТОЧНЫХ ВОД - 0,02% (14 563,00 тыс. руб.), ТРАНСПОРТИРОВКА СТОЧНЫХ ВОД - 0,03% (23 640,192 тыс. руб.). </t>
  </si>
  <si>
    <t>ПОЯСНЕНИЕ ПО ИЗОПРОПИЛОВОМУ СПИРТУ. Данный реагент начал применяться организацией в  качестве реагента, НАЧИНАЯ с ОКТЯБРЯ 2023 ГОДА, в связи с  МОДЕРНИЗАЦИЕЙ  ПРОИЗВОДСТВА И ВНЕДРЕНИЕМ НОВОЙ ТЕХНОЛОГИИ ГЛУБОКОЙ ОЧИСТКИ СТОЧНЫХ ВОД МЕТОДОМ НИТРИ-ДЕНИТРИФИКАЦИИ. По поводу  данного обстоятельства специалист РЭК Кузбасса считает необходимым пояснить следующее.</t>
  </si>
  <si>
    <t xml:space="preserve">Частью 2 Статьи 55 Водного кодекса российской Федерации, а также пунктами 4.1, 4.5 Решения Министерства природных ресурсов и экологии Кузбасса от 08.08.2023 № 1390-РРТ-Сс-08.2023 о предоставлении водного объекта в пользование (в целях сброса сточных вод)  установлена обязанность физических и юридических лиц при использовании водных объектов осуществлять ВОДОХОЗЯЙСТВЕННЫЕ МЕРОПРИЯТИЯ в соответствии с настоящим Кодексом и другими федеральными законами, а также правилами охраны поверхностных водных объектов, утвержденными Правительством Российской Федерации. </t>
  </si>
  <si>
    <t>В частности, требования к КАЧЕСТВУ сточных вод, сбрасываемых организацией в водный объект, установлены Приказом Минсельхоза России от 13.12.2016 N 552 (ред. от 13.06.2024) "Об утверждении нормативов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t>
  </si>
  <si>
    <t xml:space="preserve">В результате проверок исполнения КАО «Азот» требований водного законодательства при осуществлении сброса сточных вод в р. Томь, проведенных Кемеровской межрайонной природоохранной прокуратурой в 2016 г. и в 2020 г., а также Сибирским межрегиональным управлением Росприроднадзора в 2018 г., было установлено, что в ходе осуществления производственной деятельности в 2015-2020 годах указанная организация осуществляла сброс загрязняющих веществ в водный объект (по выпуску № 1) С ПРЕВЫШЕНИЕМ НОРМАТИВОВ ДОПУСТИМОГО СБРОСА (НДС), утвержденных Отделом водных ресурсов по Кемеровской области Верхне-Обского бассейнового водного управления Федерального агентства водных ресурсов на период с 18.03.2014 по 01.04.2019 (№КЕМ_23/1_2677_14 от 20.03.2014) и  на период с 14.01.2019 по 14.01.2024 (рег. № 1401194, приказ от 14.01.2019 № 4-пр). </t>
  </si>
  <si>
    <t>Указанные нормативы нарушались в части удельного веса следующих загрязняющих веществ: аммоний-ион, нитрат-ион, нитрит-ион, фосфат-ион.</t>
  </si>
  <si>
    <t>РЕШЕНИЕМ ЗАВОДСКОГО РАЙОННОГО СУДА Г. КЕМЕРОВО ОТ 06.08.2020г. по Делу № 2-2071/2020, возбужденному на основании иска Кемеровского межрайонного природоохранного прокурора к КАО «Азот» в связи с нарушением водного законодательства, на указанную организацию была возложена обязанность обеспечить достижение установленных нормативов допустимого сброса загрязняющих веществ (по перечисленным выше веществам) через Выпуск № 1 в р. Томь, ПУТЕМ МОДЕРНИЗАЦИИ СИСТЕМЫ ВОДООЧИСТКИ (СТРОИТЕЛЬСТВО ЛИБО РЕКОНСТРУКЦИЯ ОЧИСТНЫХ СООРУЖЕНИЙ) в срок до 01.07.2023 г.</t>
  </si>
  <si>
    <t>По результатам проверки, проведенной в 2016 г., в связи с направлением в адрес организации Представления № 7-9-2016 об устранении нарушений требований законодательства в сфере водопользования, КАО «Азот» совместно с ОАО «СКЭК» был разработан и согласован с Управлением Росприроднадзора по Кемеровской области «ПЛАН СНИЖЕНИЯ СБРОСОВ НА ПЕРИОД С 2016 по 2023 г.» (копия имеется в материалах настоящего тарифного дела).</t>
  </si>
  <si>
    <t>План включает в себя ряд мероприятий по техническому перевооружению, реконструкции, ремонту зданий, сооружений и оборудования, а также строительству новых зданий и сооружений в соответствии с наилучшими  и доступными технологиями, на общую сумму 736054,00 тыс. руб.  В целях разработки проекта модернизации системы водоотведения было выбрано АО «МАЙ ПРОЕКТ».</t>
  </si>
  <si>
    <t xml:space="preserve">ОПРЕДЕЛЕНИЕМ ЗАВОДСКОГО РАЙОННОГО СУДА Г. КЕМЕРОВО ОТ  30.06.2023г. по Делу № 13-722/2023 (2-2071/2020) КАО «Азот» предоставлена отсрочка исполнения вышеуказанного судебного решения [об устранении нарушений природоохранного законодательства] до 30.11.2025, в связи с возникновением неустранимых препятствующих обстоятельств. </t>
  </si>
  <si>
    <t>В результате частичного исполнения мероприятий программы модернизации производства  в Цехе НОПСВ  КАО «Азот» ВНЕДРЕНА  ТЕХНОЛОГИЯ ГЛУБОКОГО УДАЛЕНИЯ АЗОТА МЕТОДОМ НИТРИ-ДЕНИТРИФИКАЦИИ. Данная технологическая схема обеспечивает очистку сточных вод (в том числе хозяйственно-бытовых) от соединений аммонийных солей, нитратов и нитритов. Для этого в сточных водах предусматривается достаточный источник легкоокисляемого органического углерода в соответствии с проектной документацией АО «МАЙ ПРОЕКТ». В качестве дополнительной легкоокисляемой органики выступает ИЗОПРОПИЛОВЫЙ АБСОЛЮТИРОВАННЫЙ СПИРТ 99,7%.</t>
  </si>
  <si>
    <t>В качестве обоснования ОБЪЕМНОГО РАСХОДА ИЗОПРОПИЛОВОГО СПИРТА АБСОЛЮТИРОВАННОГО организацией представлено письмо АО «МАЙ ПРОЕКТ», в котором рассматриваются варианты использования альтернативных реагентов (глицерин, уксусная кислота, изопропиловый спирт технический), а также Пояснительная записка. Рекомендуемый проектной организацией среднесуточный расход реагента - 9808,5 кг/сут, или 12575,0 л/сут (в расчете на годовой объем  сточных вод 10620,77 тыс. м3), соответствует норме расхода 432,0 л/тыс. м3.</t>
  </si>
  <si>
    <t xml:space="preserve">В процессе выбора ПОСТАВЩИКА указанного реагента на 2025 г. специалистами КАО «Азот» был размещен Запрос предложений на электронной площадке B2B-Center № 3872664 от 28.11.2024, а также на сайте КАО «Азот» № 10130-ОЗПЗ, в результате чего было получено 3 коммерческих предложения. Кроме того, организацией проведен анализ рынка производителей «дополнительной органики» (ООО «Синтез-Ацетон» г. Дзержинск, ООО «Хлорен Хима» г. Щелково, ООО «ВитаХим Сибирь» г. Новосибирск, «Глицерин.ру» г. Тамбов, АО «Омский каучук» г. Омск, ООО «Синтезспирт» г. Орск, ООО «РусХимТрейд» г. Орск), проведено сопоставление предлагаемых цен с учетом расходов на доставку.   </t>
  </si>
  <si>
    <t>В пояснительной записке КАО «Азот» также отмечается, что НА ТЕРРИТОРИИ КЕМЕРОВСКОЙ ОБЛАСТИ – КУЗБАССА ПРОИЗВОДИТЕЛИ СПИРТА ИЗОПРОПИЛОВОГО ОТСУТСТВУЮТ.</t>
  </si>
  <si>
    <t>Дополнительно следует отметить следующее.</t>
  </si>
  <si>
    <t xml:space="preserve">Несмотря на имевшееся превышение установленных нормативов допустимого сброса (НДС) по ряду загрязняющих веществ (ЗВ), в рамках процедур тарифного регулирования  КАО «Азот» регулярно отчитывается (в Справках-расчетах к Разделу 8 Производственной программы по водоснабжению и водоотведению) о соответствии 100% проб сточных вод установленным нормативам.  В связи с наличием Плана снижения сбросов и программы модернизации биологических очистных сооружений, на основании приказа Южно-Сибирского межрегионального управления Росприроднадзора от 14.05.2020 № 544-рд КАО «Азот» было выдано РАЗРЕШЕНИЕ НА СБРОС ЗАГРЯЗНЯЮЩИХ ВЕЩЕСТВ В ВОДНЫЕ ОБЪЕКТЫ № 3/1вода/Кем (на период с 14.05.2020 по 13.05.2021), которым устанавливаются БОЛЕЕ ВЫСОКИЕ ЗНАЧЕНИЯ ДОПУСТИМЫХ КОНЦЕНТРАЦИЙ ЗВ (аммоний-ион – 1,706 мг/дм3, нитрат-анион – 69,635 мг/дм3, нитрит-анион – 0,495  мг/дм3, фосфаты (по фосфору) – 1,403 мг/дм3).  </t>
  </si>
  <si>
    <t>Таким образом, соответствующие фактические показатели, отражаемые в  протоколах сертифицированной Санитарной лаборатории КАО «Азот» и указанные в Пояснительной записке организации, НЕ ПРЕВЫШАЮТ указанных предельных значений.</t>
  </si>
  <si>
    <t xml:space="preserve">Учитывая все вышеизложенное, но принимая во внимание тот факт, что ПРОГРАММА МОДЕРНИЗАЦИИ ПРОИЗВОДСТВА НЕ СОГЛАСОВЫВАЛАСЬ С РЕГУЛИРУЮЩИМ ОРГАНОМ в части ожидаемого  значительного увеличения текущих расходов,  специалистом РЭК Кузбасса расходы на  спирт изопропиловый ПРИНЯТЫ В СОСТАВ НЕОБХОДИМОЙ ВАЛОВОЙ ВЫРУЧКИ  ЧАСТИЧНО - в сумме 8953,14 тыс. руб., исходя из  объема  83800,47 л и плановой цены 106,84 руб./л (рассчитана от средневзвешенной фактической цены отчетного периода 98,40 руб./л с учетом индексов производителей химической продукции 104,4% на 2025 г. и 104,0% на 2026 г.).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</si>
  <si>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</si>
  <si>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</si>
  <si>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</si>
  <si>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</si>
  <si>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</si>
  <si>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</si>
  <si>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</si>
  <si>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</si>
  <si>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</si>
  <si>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</si>
  <si>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</si>
  <si>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</si>
  <si>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</si>
  <si>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</si>
  <si>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</si>
  <si>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</si>
  <si>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</si>
  <si>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</si>
  <si>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</si>
  <si>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</si>
  <si>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</si>
  <si>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</si>
  <si>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</si>
  <si>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</si>
  <si>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</si>
  <si>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</si>
  <si>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</si>
  <si>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</si>
  <si>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</si>
  <si>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</si>
  <si>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</si>
  <si>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</si>
  <si>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</si>
  <si>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</si>
  <si>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</si>
  <si>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</si>
  <si>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</si>
  <si>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</si>
  <si>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</si>
  <si>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</si>
  <si>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</si>
  <si>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</si>
  <si>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</si>
  <si>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</si>
  <si>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 16 (в), 91,95 Методических указаний ФСТ № 1746-э.</t>
  </si>
  <si>
    <t>Часть 8 Статьи 25 Федерального закона  от 23.11.2009 № 261-ФЗ (ред. от 13.06.2023) "Об энергосбережении и о повышении энергетической эффективности ..."</t>
  </si>
  <si>
    <t>СН2</t>
  </si>
  <si>
    <t>П. 16 (в), 91,95 Методических указаний ФСТ № 1746-э (Формулы 39.1, 39.2, 39.3)</t>
  </si>
  <si>
    <t>"Прогноз социально-экономического развития Российской Федерации  на 2025 г. и на плановый период 2026 и 2027 гг." от 30.09.2024.</t>
  </si>
  <si>
    <t>Рассчитано, исходя из принятого планового объема забора воды из реки Томь (в доле реализации услуги на сторону 0,406) (19250,85 тыс. м3) и  утвержденного  удельного расхода эл. энергии  0,31 кВт*ч/м3</t>
  </si>
  <si>
    <t>Рассчитано, исходя из принятого объема пропуска сточных вод (реализация услуги на сторону) (348,843 тыс. м3) и  утвержденного  удельного расхода эл. энергии  0,79 кВт*ч/м3</t>
  </si>
  <si>
    <t>Рассчитано, исходя из принятого объема пропуска сточных вод (реализация услуги на сторону) (46750,76 тыс. м3) и  утвержденного  удельного расхода эл. Энергии  0,02 кВт*ч/м3</t>
  </si>
  <si>
    <t>{                  _x000D_
         funcDyn: 'msg1',_x000D_
         blok: 'blok_1',_x000D_
         wsCross: 'Амортизация',_x000D_
         linkFormula: 'AB-AB',_x000D_
         levelDyn: ''_x000D_
}</t>
  </si>
  <si>
    <t>Фактические объемы потребления электроэнергии за отчетный 2024 г. подтверждены Справкой главного энергетика (на производство относятся за вычетом объемов, потребляемых на санитарно-технические нужды). В подтверждение  фактической средневзвешенной цены 2024 г. представлена копия  Договора энергоснабжения № 2-Э/ПК от 17.10.2012, заключенного с ООО "Энергосбытовая компания Кузбасса", и копии универсальных передаточных документов за январь-декабрь 2024 г., а также расчет средневзвешенной цены.</t>
  </si>
  <si>
    <t>Плановые объемы потребления электроэнергии  по  всем видам регулируемой деятельности  рассчитаны как произведение принятых  плановых показателей удельного расхода энергии (в соответствии с долгосрочными параметрами регулирования тарифов, утвержденными Постановлением РЭК Кузбасса от 26.10.2023 № 215) на плановые показатели  объемов забора воды из водного объекта / объемов пропуска сточных вод.</t>
  </si>
  <si>
    <t>Плановые цены на  покупную электрическую энергию на 2026 г.  приняты, исходя из фактических средневзвешенных  цен  2024 г. с учетом ИЦП производителей электроэнергии  109,8% на 2025 г. и 104,0% на 2026 г.  согласно  базовому варианту  "Прогноза социально-экономического развития Российской Федерации на 2025 г. и на плановый период 2026 и 2027 гг.", опубликованного  Минэкономразвития России  30.09.2024.</t>
  </si>
  <si>
    <t>Организацией представлен ОТЧЕТ ПО "ПРОГРАММЕ ПОВЫШЕНИЯ ЭНЕРГЕТИЧЕСКОЙ ЭФФЕКТИВНОСТИ" КАО "АЗОТ" ЗА 2024 год , а также "ПРОГРАММА ПОВЫШЕНИЯ ЭНЕРГЕТИЧЕСКОЙ ЭФФЕКТИВНОСТИ И ЭНЕРГОСБЕРЕЖЕНИЯ на 2025 ГОД.</t>
  </si>
  <si>
    <t>Однако, в представленно Отчете за 2024 год ОТСУТСТВУЮТ мероприятия, относящиеся к  производственным участкам, осуществляющим регулируемую деятельность, В СВЯЗИ С ЧЕМ  при  расчете  сумм корректировке необходимой валовой выручки 2024 г.  ОБРАЗОВАВШИЕСЯ СУММЫ ЭКОНОМИИ ЗАТРАТ НА ПОКУПНУЮ ЭЛЕКТРОЭНЕРГИЮ (по отношению к затратам, рассчитанным исходя из планового удельного расхода) НЕ СОХРАНЕНЫ.  (См.  Часть 8 Статьи 25 Федерального закона  от 23.11.2009 № 261-ФЗ (ред. от 13.06.2023) "Об энергосбережении и о повышении энергетической эффективности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</si>
  <si>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</si>
  <si>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</si>
  <si>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</si>
  <si>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</si>
  <si>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</si>
  <si>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</si>
  <si>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</si>
  <si>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</si>
  <si>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</si>
  <si>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</si>
  <si>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</si>
  <si>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</si>
  <si>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</si>
  <si>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</si>
  <si>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</si>
  <si>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</si>
  <si>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</si>
  <si>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</si>
  <si>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</si>
  <si>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</si>
  <si>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</si>
  <si>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</si>
  <si>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</si>
  <si>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</si>
  <si>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</si>
  <si>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</si>
  <si>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</si>
  <si>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</si>
  <si>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</si>
  <si>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</si>
  <si>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</si>
  <si>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</si>
  <si>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</si>
  <si>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</si>
  <si>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</si>
  <si>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</si>
  <si>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</si>
  <si>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</si>
  <si>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</si>
  <si>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</si>
  <si>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</si>
  <si>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</si>
  <si>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</si>
  <si>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</si>
  <si>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</si>
  <si>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</si>
  <si>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</si>
  <si>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</si>
  <si>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</si>
  <si>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</si>
  <si>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</si>
  <si>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</si>
  <si>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</si>
  <si>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</si>
  <si>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</si>
  <si>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</si>
  <si>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</si>
  <si>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</si>
  <si>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</si>
  <si>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</si>
  <si>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</si>
  <si>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</si>
  <si>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</si>
  <si>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</si>
  <si>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</si>
  <si>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</si>
  <si>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</si>
  <si>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</si>
  <si>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</si>
  <si>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</si>
  <si>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</si>
  <si>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</si>
  <si>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</si>
  <si>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</si>
  <si>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</si>
  <si>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</si>
  <si>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</si>
  <si>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</si>
  <si>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</si>
  <si>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</si>
  <si>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</si>
  <si>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</si>
  <si>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</si>
  <si>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</si>
  <si>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</si>
  <si>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</si>
  <si>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</si>
  <si>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</si>
  <si>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</si>
  <si>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</si>
  <si>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</si>
  <si>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</si>
  <si>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</si>
  <si>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</si>
  <si>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</si>
  <si>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</si>
  <si>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</si>
  <si>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</si>
  <si>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</si>
  <si>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 89, 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t>
  </si>
  <si>
    <t>Принято без учета стоимости объектов общецехового назначения</t>
  </si>
  <si>
    <t>Принято без учета стоимости объектов общецехового назначения и стоимости МОДЕРНИЗАЦИИ объектов (инвентарные № 591897, № 56996)</t>
  </si>
  <si>
    <t>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t>
  </si>
  <si>
    <t>Принято без учета стоимости объектов общецехового назначения (включаются в состав Операционных расходов).</t>
  </si>
  <si>
    <t>Принято без учета стоимости объектов общецехового назначения и стоимости МОДЕРНИЗАЦИИ объектов (инвентарные № 591897, № 56996), в доле реализации на сторону  0,40636.</t>
  </si>
  <si>
    <t>Принято без учета стоимости объектов общецехового назначения, с учетом стоимости поступивших и  выбывших основных средств; с пересчетом амортизации  по объектам с инв. номерами 625010, 625422, 627697, 627698, 623943, исходя из максимальных нормативных сроков полезного использования (15 лет); в доле реализации на сторону  0,40636.</t>
  </si>
  <si>
    <t>Принято без учета стоимости объектов общецехового назначения, с учетом стоимости поступивших и  выбывших основных средств, в доле реализации на сторону  0,40636.</t>
  </si>
  <si>
    <t>Принято без учета стоимости объектов общецехового назначения и стоимости  модернизации объектов</t>
  </si>
  <si>
    <t>Относятся к основным средствам общецехового назначения</t>
  </si>
  <si>
    <t>П. 28 Методических указаний ФСТ № 1746-э.</t>
  </si>
  <si>
    <t>Исключена стоимость МОДЕРНИЗАЦИИ сооружений, так как инвестиционная программа не утверждалась РЭК Кузбасса (п. 28 Методических указаний).</t>
  </si>
  <si>
    <t>Исключена стоимость покупки нового оборудования, так как затраты на модернизацию производства не утверждались РЭК Кузбасса (п. 28 Методических указаний). (Оборудование связи относится к основным средствам общецехового назначения).</t>
  </si>
  <si>
    <t>Принято без учета помещений общецехового назначения (740,97 тыс. руб.), в доле реализации на сторону 0,13.</t>
  </si>
  <si>
    <t>Принято без учета стоимости объектов общецехового назначения и стоимости модернизации объектов, с учетом амортизации вновь поступивших и выбывших объектов, с корректировкой отчислений  исходя из максимального нормативного срока полезного использования по объектам с инвентарными номерами 599901, 599902 (итого 2453,18 тыс. руб.), в доле реализации на сторону 0,13.</t>
  </si>
  <si>
    <t>Принято без учета стоимости объектов общецехового назначения и стоимости модернизации объектов, с учетом амортизации вновь поступивших объектов (итого 561,44 тыс. руб.), в доле реализации на сторону 0,13.</t>
  </si>
  <si>
    <t>Принято без учета стоимости объектов общецехового назначения и стоимости модернизации объектов (318,77 тыс. руб.), в доле реализации на сторону 0,13.</t>
  </si>
  <si>
    <t>Стоимость МОДЕРНИЗАЦИИ сооружений ИСКЛЮЧЕНА, так как инвестиционная программа не утверждалась РЭК Кузбасса (п. 28 Методических указаний).</t>
  </si>
  <si>
    <t>Принято без учета стоимости объектов общецехового назначения и стоимости МОДЕРНИЗАЦИИ объектов (инв. № 58397, 58398), так как инвестиционная программа не утверждалась РЭК Кузбасса (п. 28 Методических указаний).</t>
  </si>
  <si>
    <t>Стоимость МОДЕРНИЗАЦИИ объектов (инв. № 58147) к учету не принята, так как инвестиционная программа не утверждалась РЭК Кузбасса (п. 28 Методических указаний).</t>
  </si>
  <si>
    <t>Принято без учета стоимости объектов общецехового назначения и стоимости МОДЕРНИЗАЦИИ объектов (инв. № 58397, 58398, № 58147), так как инвестиционная программа не утверждалась РЭК Кузбасса (п. 28 Методических указаний).</t>
  </si>
  <si>
    <t>Принято без учета стоимости объектов общецехового назначения и стоимости  и стоимости МОДЕРНИЗАЦИИ объектов (инв. № 58397, 58398, 58147), так как инвестиционная программа не утверждалась РЭК Кузбасса (п. 28 Методических указаний); в доле реализации на сторону 0,679.</t>
  </si>
  <si>
    <t>Принято без учета стоимости объектов общецехового назначения, в доле реализации на сторону 0,679.</t>
  </si>
  <si>
    <t>Принято без учета стоимости объектов общецехового назначения (включаюстя в состав Операционных расходов).</t>
  </si>
  <si>
    <t>{                  _x000D_
         funcDyn: 'msg1',_x000D_
         blok: 'blok_1',_x000D_
         wsCross: 'Амортизация (аналог)',_x000D_
         linkFormula: 'AB-AB',_x000D_
         levelDyn: ''_x000D_
}</t>
  </si>
  <si>
    <t>В качестве обоснования фактических расходов отчетного периода (2024 г.) организацией представлены регистры бухгалтерского учета  по Участку речной воды (РВ), Участку канализования и Участку по ультрафиолетовому обеззараживанию очищенных стоков (УФО), по Цеху нейтрализации и очистки промышленных сточных вод (НОПСВ):  Аналитические отчеты за период  с 01/01/2024 по 31/12/2024 по счету 23 "Вспомогательные производства";  Ведомости износа основных средств (по состоянию на 31.12.2024); копии инвентарных карточек учета основных средств; а также Аналитические отчеты за период  с 01/01/2024 по 31/12/2024 по счетам  01 "Основные средства" и 02 "Амортизация основных средств" (в формате файлов EXCEL).</t>
  </si>
  <si>
    <t>Фактические расходы 2024 года и плановые расходы на 2026 г. на амортизационные отчисления  отражены в  соответствии с  фактическими долями  реализации регулируемых услуг на сторону в 2024 г. :  ТЕХНИЧЕСКАЯ ВОДА  - 0,40636; ВОДООТВЕДЕНИЕ ХОЗ.-БЫТОВЫХ СТОЧНЫХ ВОД - 0,13;   ТРАНСПОРТИРОВКА СТОЧНЫХ ВОД - 0,679.</t>
  </si>
  <si>
    <t>При формировании  плановых величин амортизации основных средств на 2026 год специалист РЭК Кузбасса исходил  из соответствующих фактических отчислений за 2024 год.  При этом ИСКЛЮЧЕНЫ:  1) отчисления в части стоимости объектов ОБЩЕПРОИЗВОДСТВЕННОГО НАЗНАЧЕНИЯ (учитываются в цеховых расходах, в составе Операционных расходов и не подлежат отдельной корректировке);  2)  отчисления в части стоимости МОДЕРНИЗАЦИИ основных средств (проведенной как в 2024 году, так и в предыдущие периоды), так как ПРОГРАММА МОДЕРНИЗАЦИИ ПРОИЗВОДСТВА НЕ СОГЛАСОВЫВАЛАСЬ С  РЭК КУЗБАССА (Инвестиционные программы в сфере водоснабжения и водоотведения в порядке, предусмотренном отраслевым законодательством, не утверждались).</t>
  </si>
  <si>
    <t>Плановые показатели на 2026 год сформированы также с учетом  фактического  выбытия и поступления основных средств за отчетный период.</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</si>
  <si>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</si>
  <si>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</si>
  <si>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</si>
  <si>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</si>
  <si>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</si>
  <si>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</si>
  <si>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</si>
  <si>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</si>
  <si>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</si>
  <si>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</si>
  <si>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</si>
  <si>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</si>
  <si>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</si>
  <si>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</si>
  <si>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</si>
  <si>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</si>
  <si>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</si>
  <si>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</si>
  <si>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</si>
  <si>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</si>
  <si>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</si>
  <si>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</si>
  <si>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</si>
  <si>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</si>
  <si>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</si>
  <si>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</si>
  <si>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</si>
  <si>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</si>
  <si>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</si>
  <si>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</si>
  <si>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49(3), п. 29 Методических указаний ФСТ № 1746-э.</t>
  </si>
  <si>
    <t>{                  _x000D_
         funcDyn: 'msg1',_x000D_
         blok: 'blok_1',_x000D_
         wsCross: 'Покупка',_x000D_
         linkFormula: 'AB-AB',_x000D_
         levelDyn: ''_x000D_
}</t>
  </si>
  <si>
    <t>Расходы по Договору аренды земельного участка (предоставленного под  Буферный пруд) № 05-0010  от 01.03.2005, заключенного с Комитетом по муниципальному имуществу г. Кемерово, приняты в размере 0,7% от кадастровой стоимости земельного участка  (1210339,339 тыс. руб. согласно представленной Выписке из ЕГРН от 03.09.2024), с учетом доли реализации на сторону 0,679.</t>
  </si>
  <si>
    <t>ОСНОВАНИЕ:  1) П. 4  Статьи 39.7 и п. 2 Статьи 49 "Земельного кодекса Российской Федерации" от 25.10.2001 N 136-ФЗ (ред. от 04.08.2023) ; 2) Постановление Правительства Российской Федерации от 16 июля 2009 г. № 582  Постановление Правительства РФ от 16.07.2009 N 582 (ред. от 10.02.2023) "Об основных принципах определения арендной платы при аренде земельных участков, находящихся в государственной или муниципальной собственности, и о Правилах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(п. 5  "Правил определения размера арендной платы");</t>
  </si>
  <si>
    <t>3) Приказ  Минэкономразвития РФ от 23 апреля 2013 г.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</si>
  <si>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</si>
  <si>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</si>
  <si>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</si>
  <si>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</si>
  <si>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</si>
  <si>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</si>
  <si>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</si>
  <si>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</si>
  <si>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</si>
  <si>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</si>
  <si>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</si>
  <si>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</si>
  <si>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</si>
  <si>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</si>
  <si>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</si>
  <si>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</si>
  <si>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</si>
  <si>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</si>
  <si>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</si>
  <si>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</si>
  <si>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</si>
  <si>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</si>
  <si>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</si>
  <si>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</si>
  <si>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</si>
  <si>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</si>
  <si>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</si>
  <si>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</si>
  <si>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</si>
  <si>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</si>
  <si>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</si>
  <si>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</si>
  <si>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</si>
  <si>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</si>
  <si>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</si>
  <si>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</si>
  <si>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</si>
  <si>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</si>
  <si>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</si>
  <si>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</si>
  <si>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</si>
  <si>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</si>
  <si>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</si>
  <si>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</si>
  <si>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</si>
  <si>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</si>
  <si>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</si>
  <si>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</si>
  <si>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</si>
  <si>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</si>
  <si>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</si>
  <si>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</si>
  <si>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</si>
  <si>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</si>
  <si>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</si>
  <si>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</si>
  <si>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</si>
  <si>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</si>
  <si>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КАО "Азот" :: 4205000908 :: 997550001</t>
  </si>
  <si>
    <t>Внутрихозяйственный оборот (услуги транспортировки сточных вод, отводимых от  участка НОПСВ)</t>
  </si>
  <si>
    <t>Принятый плановый объем реализации услуги (на сторону)</t>
  </si>
  <si>
    <t>ПАР  (услуги  аффилированной организации АО "Новокемеровская ТЭЦ").  Специалистом РЭК Кузбасса расходы  на 2024-2028 гг. учтены в составе Операционных расходов (п. 2.1.1), как это было принято в предыдущем долгосрочном периоде.</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</si>
  <si>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</si>
  <si>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</si>
  <si>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</si>
  <si>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</si>
  <si>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</si>
  <si>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</si>
  <si>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</si>
  <si>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</si>
  <si>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</si>
  <si>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</si>
  <si>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</si>
  <si>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</si>
  <si>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</si>
  <si>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</si>
  <si>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</si>
  <si>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</si>
  <si>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</si>
  <si>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</si>
  <si>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</si>
  <si>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</si>
  <si>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</si>
  <si>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</si>
  <si>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</si>
  <si>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</si>
  <si>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</si>
  <si>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</si>
  <si>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</si>
  <si>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</si>
  <si>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</si>
  <si>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</si>
  <si>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</si>
  <si>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</si>
  <si>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</si>
  <si>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</si>
  <si>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</si>
  <si>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</si>
  <si>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</si>
  <si>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</si>
  <si>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</si>
  <si>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</si>
  <si>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</si>
  <si>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</si>
  <si>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</si>
  <si>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</si>
  <si>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</si>
  <si>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</si>
  <si>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</si>
  <si>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</si>
  <si>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</si>
  <si>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</si>
  <si>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</si>
  <si>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</si>
  <si>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</si>
  <si>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</si>
  <si>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</si>
  <si>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</si>
  <si>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</si>
  <si>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</si>
  <si>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</si>
  <si>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</si>
  <si>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</si>
  <si>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</si>
  <si>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</si>
  <si>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</si>
  <si>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</si>
  <si>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</si>
  <si>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</si>
  <si>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</si>
  <si>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</si>
  <si>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</si>
  <si>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</si>
  <si>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</si>
  <si>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</si>
  <si>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</si>
  <si>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</si>
  <si>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</si>
  <si>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</si>
  <si>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</si>
  <si>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</si>
  <si>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</si>
  <si>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</si>
  <si>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</si>
  <si>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</si>
  <si>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</si>
  <si>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</si>
  <si>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</si>
  <si>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</si>
  <si>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</si>
  <si>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</si>
  <si>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</si>
  <si>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</si>
  <si>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</si>
  <si>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</si>
  <si>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</si>
  <si>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</si>
  <si>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</si>
  <si>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</si>
  <si>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</si>
  <si>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</si>
  <si>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</si>
  <si>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</si>
  <si>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</si>
  <si>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</si>
  <si>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</si>
  <si>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</si>
  <si>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</si>
  <si>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</si>
  <si>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</si>
  <si>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</si>
  <si>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</si>
  <si>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</si>
  <si>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</si>
  <si>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</si>
  <si>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</si>
  <si>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</si>
  <si>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</si>
  <si>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</si>
  <si>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</si>
  <si>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</si>
  <si>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</si>
  <si>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</si>
  <si>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</si>
  <si>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</si>
  <si>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</si>
  <si>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</si>
  <si>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</si>
  <si>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</si>
  <si>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</si>
  <si>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</si>
  <si>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</si>
  <si>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</si>
  <si>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</si>
  <si>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</si>
  <si>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</si>
  <si>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</si>
  <si>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</si>
  <si>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</si>
  <si>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</si>
  <si>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</si>
  <si>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t>
  </si>
  <si>
    <t>Рассчитано, исходя из принятого планового объема забора воды из р. Томь  (в целях реализации на сторону) и ставки  270,00 руб./тыс. м3 согласно Постановлению Правительства РФ от 30.12.2006 г. № 876 "О СТАВКАХ ПЛАТЫ ЗА ПОЛЬЗОВАНИЕ ВОДНЫМИ ОБЪЕКТАМИ, НАХОДЯЩИМИСЯ В ФЕДЕРАЛЬНОЙ СОБСТВЕННОСТИ", с учетом коэффициента  4,84, установленного Постановлением Правительства РФ от  от 21.12.2024 N 1847, с учетом  ИПЦ Минэкономразвития России  104,3% на 2026 год.</t>
  </si>
  <si>
    <t>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отчислений по ДВИЖИМОМУ ИМУЩЕСТВУ):  остаточная стоимость на 31.12.2024  - 47923,75 тыс. руб, на 31.12.2025 - 36311,12 тыс. руб., на 31.12.2026 - 24698,48  тыс. руб.), ставка налога - 2,2%, сумма налога ВСЕГО - 671,10554 тыс. руб. Принято в доле реализации на сторону 0,40636.</t>
  </si>
  <si>
    <t>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отчисл-й по ДВИЖИМОМУ ИМУЩЕСТВУ):  остаточная стоимость на 31.12.2024  - 224642,73 тыс. руб, на 31.12.2025 - 194036,804 тыс. руб., на 31.12.2026 - 163430,878 тыс. руб., ставка налога - 2,2%, сумма налога ВСЕГО - 3932,144 тыс. руб. Принято в доле реализации на сторону 0,13.</t>
  </si>
  <si>
    <t>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отчисл-й по ДВИЖИМОМУ ИМУЩЕСТВУ):  остаточная стоимость на 31.12.2024  - (12728,68+7415,09) тыс. руб, на 31.12.2025 - (11327,84 + 3707,544) тыс. руб., на 31.12.2026 - ( 9927,01 + 0,02) тыс. руб., ставка налога - 2,2%, сумма налога ВСЕГО - 3932,144 тыс. руб. Принято в доле реализации на сторону 0,679.</t>
  </si>
  <si>
    <t>{                  _x000D_
         funcDyn: 'msg1',_x000D_
         blok: 'blok_1',_x000D_
         wsCross: 'ИП + источники',_x000D_
         linkFormula: 'AB-AB',_x000D_
         levelDyn: ''_x000D_
}</t>
  </si>
  <si>
    <t>1. ПЛАТА ЗА ПОЛЬЗОВАНИЕ ВОДНЫМ ОБЪЕКТОМ (р. Томь)  в целях забора воды для производственных ихозяйственно-бытовых нужд производится в соответствии с представленныи Договором водопользования от 14.11.2016 (действует до 30.09.2026).   Организацией представлены также копии платежных поручений  на перечисление платы за водопользование (за 2024 год).</t>
  </si>
  <si>
    <t>2. НАЛОГ НА ИМУЩЕСТВО. В качестве документов, подтверждающих фактические расходы отчетного периода, представлены "Ведомости износа основных средств (по состоянию на 31.12.2024)" (по каждому подразделению)";   2) копия Налоговой декларации по налогу на имущество организаций за 2024 год; 3) по-объектные расчеты  сумм налога на имущество (в формате EXCEL).</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</si>
  <si>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</si>
  <si>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</si>
  <si>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</si>
  <si>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</si>
  <si>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</si>
  <si>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</si>
  <si>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</si>
  <si>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</si>
  <si>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</si>
  <si>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</si>
  <si>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</si>
  <si>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</si>
  <si>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</si>
  <si>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</si>
  <si>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</si>
  <si>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</si>
  <si>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</si>
  <si>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</si>
  <si>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</si>
  <si>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</si>
  <si>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</si>
  <si>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</si>
  <si>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</si>
  <si>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</si>
  <si>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</si>
  <si>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</si>
  <si>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</si>
  <si>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</si>
  <si>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</si>
  <si>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</si>
  <si>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</si>
  <si>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</si>
  <si>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</si>
  <si>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</si>
  <si>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</si>
  <si>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</si>
  <si>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</si>
  <si>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</si>
  <si>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</si>
  <si>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</si>
  <si>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</si>
  <si>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</si>
  <si>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</si>
  <si>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</si>
  <si>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</si>
  <si>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</si>
  <si>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</si>
  <si>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</si>
  <si>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</si>
  <si>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</si>
  <si>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</si>
  <si>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</si>
  <si>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</si>
  <si>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</si>
  <si>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</si>
  <si>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</si>
  <si>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</si>
  <si>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</si>
  <si>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</si>
  <si>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</si>
  <si>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</si>
  <si>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</si>
  <si>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</si>
  <si>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</si>
  <si>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</si>
  <si>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</si>
  <si>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</si>
  <si>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</si>
  <si>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</si>
  <si>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</si>
  <si>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</si>
  <si>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</si>
  <si>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</si>
  <si>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</si>
  <si>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</si>
  <si>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</si>
  <si>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</si>
  <si>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</si>
  <si>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</si>
  <si>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</si>
  <si>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</si>
  <si>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</si>
  <si>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</si>
  <si>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</si>
  <si>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</si>
  <si>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</si>
  <si>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</si>
  <si>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</si>
  <si>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</si>
  <si>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</si>
  <si>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</si>
  <si>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</si>
  <si>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</si>
  <si>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</si>
  <si>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</si>
  <si>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</si>
  <si>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</si>
  <si>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</si>
  <si>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</si>
  <si>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</si>
  <si>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</si>
  <si>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</si>
  <si>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</si>
  <si>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</si>
  <si>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</si>
  <si>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</si>
  <si>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</si>
  <si>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</si>
  <si>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</si>
  <si>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</si>
  <si>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</si>
  <si>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</si>
  <si>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</si>
  <si>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</si>
  <si>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</si>
  <si>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</si>
  <si>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</si>
  <si>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</si>
  <si>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</si>
  <si>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</si>
  <si>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</si>
  <si>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</si>
  <si>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</si>
  <si>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</si>
  <si>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</si>
  <si>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</si>
  <si>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</si>
  <si>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</si>
  <si>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</si>
  <si>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</si>
  <si>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</si>
  <si>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</si>
  <si>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</si>
  <si>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</si>
  <si>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</si>
  <si>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</si>
  <si>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</si>
  <si>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</si>
  <si>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</si>
  <si>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</si>
  <si>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</si>
  <si>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</si>
  <si>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</si>
  <si>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</si>
  <si>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</si>
  <si>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</si>
  <si>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</si>
  <si>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</si>
  <si>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</si>
  <si>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</si>
  <si>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</si>
  <si>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</si>
  <si>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</si>
  <si>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</si>
  <si>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</si>
  <si>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</si>
  <si>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</si>
  <si>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</si>
  <si>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</si>
  <si>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</si>
  <si>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</si>
  <si>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</si>
  <si>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</si>
  <si>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</si>
  <si>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</si>
  <si>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</si>
  <si>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</si>
  <si>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</si>
  <si>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</si>
  <si>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</si>
  <si>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</si>
  <si>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</si>
  <si>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</si>
  <si>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</si>
  <si>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</si>
  <si>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</si>
  <si>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</si>
  <si>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</si>
  <si>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</si>
  <si>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</si>
  <si>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</si>
  <si>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</si>
  <si>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</si>
  <si>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</si>
  <si>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</si>
  <si>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</si>
  <si>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</si>
  <si>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</si>
  <si>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</si>
  <si>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</si>
  <si>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</si>
  <si>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</si>
  <si>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</si>
  <si>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</si>
  <si>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</si>
  <si>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</si>
  <si>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</si>
  <si>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</si>
  <si>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</si>
  <si>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</si>
  <si>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</si>
  <si>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</si>
  <si>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</si>
  <si>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</si>
  <si>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</si>
  <si>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</si>
  <si>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</si>
  <si>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</si>
  <si>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</si>
  <si>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</si>
  <si>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</si>
  <si>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</si>
  <si>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</si>
  <si>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</si>
  <si>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</si>
  <si>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</si>
  <si>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</si>
  <si>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</si>
  <si>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</si>
  <si>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</si>
  <si>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</si>
  <si>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</si>
  <si>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</si>
  <si>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</si>
  <si>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</si>
  <si>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</si>
  <si>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</si>
  <si>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</si>
  <si>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</si>
  <si>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</si>
  <si>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</si>
  <si>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</si>
  <si>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</si>
  <si>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</si>
  <si>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</si>
  <si>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</si>
  <si>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</si>
  <si>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</si>
  <si>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</si>
  <si>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</si>
  <si>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</si>
  <si>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</si>
  <si>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</si>
  <si>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</si>
  <si>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</si>
  <si>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</si>
  <si>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</si>
  <si>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</si>
  <si>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</si>
  <si>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</si>
  <si>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</si>
  <si>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</si>
  <si>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</si>
  <si>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</si>
  <si>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</si>
  <si>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</si>
  <si>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</si>
  <si>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</si>
  <si>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</si>
  <si>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</si>
  <si>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</si>
  <si>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</si>
  <si>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</si>
  <si>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</si>
  <si>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</si>
  <si>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</si>
  <si>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</si>
  <si>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</si>
  <si>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</si>
  <si>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</si>
  <si>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</si>
  <si>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</si>
  <si>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</si>
  <si>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</si>
  <si>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</si>
  <si>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</si>
  <si>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</si>
  <si>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</si>
  <si>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</si>
  <si>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</si>
  <si>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</si>
  <si>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</si>
  <si>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</si>
  <si>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</si>
  <si>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</si>
  <si>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</si>
  <si>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</si>
  <si>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</si>
  <si>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</si>
  <si>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</si>
  <si>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</si>
  <si>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</si>
  <si>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</si>
  <si>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 91 Методических указаний ФСТ № 1746-э (Формула 33).</t>
  </si>
  <si>
    <t>П. 91 Методических указаний ФСТ № 1746-э (произведение фактического показателя объемов реализации на установленный средний тариф).</t>
  </si>
  <si>
    <t>П. 95 Методических указаний ФСТ № 1746-э (Формула 38).</t>
  </si>
  <si>
    <t>Скорректированная величина операционных расходов 1-го года долгосрочного периода = Базовый уровень Операционных расходов 2024 г.  (Формула 40 Методических указаний, ИКА = 0).</t>
  </si>
  <si>
    <t>Подтверждено.</t>
  </si>
  <si>
    <t>1) Пдата за пользование водным объектом - 19632,33 тыс. руб. (подтверждено платежными поручениями и данными Аналитического отчета по участку РВ); 2) налог на имущество -480,68 тыс. руб. (подтверждено Ведомстью износа на 31.12.2024 ипо-объектным расчетом налога, дополнительно представленном бухгалтерской службой организации).</t>
  </si>
  <si>
    <t>Принято на уровне фактических затрат. Фактическая экономия удельного расхода электроэнергии  не сохранена, так как  НЕ СВЯЗАНА с выполнением мероприятий по энергосбережению на данном производственном участке (РВ) См. "Отчет о выполнении Программы энергосбережения").  ОСНОВАНИЕ: Часть 8 Статьи 25 Федерального закона  от 23.11.2009 № 261-ФЗ (ред. от 13.06.2023) ""Об энергосбережении и о повышении энергетической эффективности и о внесении изменений в отдельные законодательные акты Российской Федерации".</t>
  </si>
  <si>
    <t>Подтверждено счетами-фактурами</t>
  </si>
  <si>
    <t>Принято на основании данных представленных Аналитических отчетов по сч. 01 и 02 и инвентарных карт,  исходя из фактических отчислений за 2024 г.,  без учета стоимости  МОДЕРНИЗАЦИИ (п. 28 Методических указаний ФСТ № 1746-э) и начислений по объектам ОБШЕПРОИЗВОДСТВЕННОГО назначения (учитываются в составе Операционных расходов).  Итого по  Участку РВ - 8692,373 тыс.руб., отнесено  на  реализацию сторонним в доле  0,40636.</t>
  </si>
  <si>
    <t>По плану, утвержденному ранее на 2024 год (9691,40 тыс. руб. - часть недополученного дохода за 2022 г.; Суммарная экономия по фактической себестоимости 2022 г. - (-5068,34) тыс. руб. 3) Избыток средств, образовавшийся  в связи с  недовыполнением Производственной программы в части КАПИТАЛЬНОГО РЕМОНТА основных средств за 2022 г., - (-1905,19) тыс. руб. .</t>
  </si>
  <si>
    <t>П. 91 Методических указаний ФСТ № 1746-э. Организацией указано значение выручки согласно "Реестру операций по продаже материальных ценностей в разрезе номенклатурных номеров за период отгрузки: с 01/01/2024 по 31/12/2024". Специалистом РЭК Кузбасса исправлено на основании представленных счетов-фактур (в реестре не прошли счета по ООО "Кемеровский ДСК").</t>
  </si>
  <si>
    <t>Скорректированная величина операционных расходов 1-го года долгосрочного периода  = Базовый уровень Операционных расходов 2024 г.  (Формула 40 Методических указаний, ИКА = 0).</t>
  </si>
  <si>
    <t>Объем сточных вод, принятых от абонентов, очищенных в Цехе НОПСВ и отправленных на доочистку в Цех УФО, подтвержден производственным отчетом.</t>
  </si>
  <si>
    <t>ИСКЛЮЧЕНЫ РАСХОДЫ НА использование СПИРТА ИЗОПРОПИЛОВОГО, так как ПРОГРАММА МОДЕРНИЗАЦИИ ПРОИЗВОДСТВА, предполагающая применение данного реагента, НЕ УТВЕРЖДАЛАСЬ И НЕ СОГЛАСОВЫВАЛАСЬ РЭК КУЗБАССА в порядке, определенном Постановлением Правительства РФ от 29.07.2013 N 641 (ред. от 27.05.2025) "Об инвестиционных и производственных программах организаций, осуществляющих деятельность в сфере водоснабжения и водоотведения".</t>
  </si>
  <si>
    <t>Налог на имущество. Сумма подтверждена по-объектным расчетом налога, дополнительно представленным бухгалтерской службой организации.</t>
  </si>
  <si>
    <t>Объем потребления электроэнергии (266,29 тыс. кВт*ч) рассчитан на основании данных об объеме пропуска сточных вод (реализация услуги на сторону)  и  утвержденного  удельного расхода эл. Энергии. (Формула 40.2)</t>
  </si>
  <si>
    <t>Принято в соответствии с утвержденными долгосрочными параметрами регулирования тарифов (Постановление РЭК Кузбасса от 26.10.2023 № 215).</t>
  </si>
  <si>
    <t>Рассчитано на основании данных об объеме пропуска сточных вод (реализация услуги на сторону) (299,73 тыс. м3) и  утвержденного  удельного расхода эл. энергии  0,79 кВт*ч/м3</t>
  </si>
  <si>
    <t>Средневзешенная  цена 2024 г. подтверждена счетами-фактурами.</t>
  </si>
  <si>
    <t>Принято на основании данных представленных Аналитических отчетов по сч. 01 и 02 и инвентарных карт,  исходя из фактических отчислений за 2024 г.,  без учета стоимости  МОДЕРНИЗАЦИИ (п. 28 Методических указаний) и отчислений в части основных средств ОБЩЕПРОИЗВОДСТВЕННОГО назначения (учитываются в составе Операционных расходов), с учетом корректировки в части нормативного срока полезного использования.  Итого по  Цеху НОПСВ - 4150,323 тыс.руб., отнесено  на  реализацию сторонним в доле  0,13.</t>
  </si>
  <si>
    <t>Размер корректировки Плановой необходимой валовой выручки (НВВ) 2022 года (недополученные доходы) учтен в соответствии с принятым ранее планом 2024 г.</t>
  </si>
  <si>
    <t>Сумма налога на имущество подтверждена Ведомостью износа основныз средств (по состоянию на 31.12.2024) и по-объектными расчетами сумм налога.</t>
  </si>
  <si>
    <t>Принято в размере 0,7% от кадастровой стоимости земельного участка  (1210339,339 тыс. руб. согласно Выписке из ЕГРН от 03.09.2024), с учетом фактической доли реализации 0,679 на сторону (П. 4  Статьи 39.7 и п. 2 Статьи 49 Земельного кодекса РФ; Постановление Правительства Российской Федерации от 16 июля 2009 г. № 582  (п. 5 Правил определения размера арендной платы);  Приказ  Минэкономразвития РФ от 23 апреля 2013 г. № 217 )</t>
  </si>
  <si>
    <t>Объем потребления электроэнергии (978,5 тыс. кВт*ч) рассчитан на основании данных об общем объеме пропуска сточных вод  (на сторону) и  утвержденного  удельного расхода эл. Энергии.</t>
  </si>
  <si>
    <t>В соответствии с утвержденными долгосрочными параметрами регулирования тарифов</t>
  </si>
  <si>
    <t>Подтверждено счетами-фактурами на транспортировку стоков (48588,087  тыс. м3), с учетом услуг, оказываемых Цеху НОПСВ, - 337,054 тыс. м3.</t>
  </si>
  <si>
    <t>Принято на основании данных представленных Аналитических отчетов по сч. 01 и 02 и инвентарных карт,  исходя из фактических отчислений за 2024 г.,  без учета стоимости  МОДЕРНИЗАЦИИ (п. 28 Методических указаний) и отчислений в части основных средств ОБЩЕПРОИЗВОДСТВЕННОГО назначения (учитываются в составе Операционных расходов).  Итого по  участкам Канализования и УФО - 680,102 + 3707,544 = 4387,646 тыс.руб., отнесено  на  реализацию сторонним в доле  0,679.</t>
  </si>
  <si>
    <t>По плану 2024 г. (Недополученные доходы 2022 г.)</t>
  </si>
  <si>
    <t>По плану 2024 г.</t>
  </si>
  <si>
    <t>{                  _x000D_
         funcDyn: 'msg1',_x000D_
         blok: 'blok_1',_x000D_
         wsCross: 'ТМ',_x000D_
         linkFormula: 'AD-AB',_x000D_
         levelDyn: ''_x000D_
}</t>
  </si>
  <si>
    <t>ДОПОЛНИТЕЛЬНОЕ ПОЯСНЕНИЕ К ПУНКТУ 2.3 "ЭЛЕКТРИЧЕСКАЯ ЭНЕГИЯ" в ТАРИФЕ 3 ("ВОДОСНАБЖЕНИЕ - Тариф на техническую воду"):  Часть 8 Статьи 25 Федерального закона  от 23.11.2009 № 261-ФЗ (ред. от 13.06.2023) "Об энергосбережении и о повышении энергетической эффективности и о внесении изменений в отдельные законодательные акты Российской Федерации" определяет, что "При осуществлении государственного регулирования цен (тарифов) на товары, услуги организаций, осуществляющих регулируемые виды деятельности, должно предусматриваться СОХРАНЕНИЕ за такими организациями ЭКОНОМИИ,</t>
  </si>
  <si>
    <t>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 (в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(за исключением услуг по передаче электрической энергии и (или) сбытовых надбавок гарантирующих поставщиков), не финансировались и не будут финансироваться за счет бюджетных средств."</t>
  </si>
  <si>
    <t>Так как организацией НЕ ПРОВОДИЛИСЬ  мероприятия по энергосбережению на Участке речной воды (РВ) (ТЕХНИЧЕСКАЯ ВОДА),  регулирующий орган не считает необходимым сохранять в распоряжении организации сумму возникшей экономии по статье "Покупная электроэнергия".</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</si>
  <si>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</si>
  <si>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</si>
  <si>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</si>
  <si>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</si>
  <si>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</si>
  <si>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</si>
  <si>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</si>
  <si>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</si>
  <si>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</si>
  <si>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</si>
  <si>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</si>
  <si>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</si>
  <si>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</si>
  <si>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</si>
  <si>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</si>
  <si>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</si>
  <si>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</si>
  <si>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</si>
  <si>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</si>
  <si>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</si>
  <si>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</si>
  <si>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</si>
  <si>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</si>
  <si>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</si>
  <si>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</si>
  <si>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</si>
  <si>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</si>
  <si>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</si>
  <si>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</si>
  <si>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</si>
  <si>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</si>
  <si>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</si>
  <si>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</si>
  <si>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</si>
  <si>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</si>
  <si>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</si>
  <si>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</si>
  <si>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</si>
  <si>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</si>
  <si>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</si>
  <si>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</si>
  <si>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</si>
  <si>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</si>
  <si>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</si>
  <si>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</si>
  <si>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</si>
  <si>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</si>
  <si>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</si>
  <si>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</si>
  <si>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</si>
  <si>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</si>
  <si>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</si>
  <si>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</si>
  <si>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</si>
  <si>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</si>
  <si>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</si>
  <si>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</si>
  <si>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</si>
  <si>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</si>
  <si>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</si>
  <si>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</si>
  <si>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</si>
  <si>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</si>
  <si>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</si>
  <si>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</si>
  <si>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</si>
  <si>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</si>
  <si>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</si>
  <si>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</si>
  <si>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</si>
  <si>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</si>
  <si>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</si>
  <si>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</si>
  <si>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</si>
  <si>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</si>
  <si>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</si>
  <si>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</si>
  <si>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</si>
  <si>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</si>
  <si>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</si>
  <si>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</si>
  <si>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</si>
  <si>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</si>
  <si>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</si>
  <si>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</si>
  <si>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</si>
  <si>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</si>
  <si>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</si>
  <si>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</si>
  <si>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</si>
  <si>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</si>
  <si>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</si>
  <si>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</si>
  <si>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</si>
  <si>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</si>
  <si>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</si>
  <si>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</si>
  <si>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Тарифное решение на 2026 год  первоначально было принято Постановлением РЭК Кузбасса от 31.07.2025 № 226;  на основании Постановления Правительства РФ от 20.11.2025 N 1834 внесены изменения в Приложения № 1 и № 2 указанного постановления в части календарной разбивки  объемов реализации, необходимой валовой выручки и тарифов.</t>
  </si>
  <si>
    <t>Пунктом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 установлено, что  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</si>
  <si>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</si>
  <si>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</si>
  <si>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</si>
  <si>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</si>
  <si>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</si>
  <si>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</si>
  <si>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</si>
  <si>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</si>
  <si>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</si>
  <si>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</si>
  <si>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</si>
  <si>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</si>
  <si>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</si>
  <si>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</si>
  <si>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</si>
  <si>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</si>
  <si>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</si>
  <si>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</si>
  <si>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</si>
  <si>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</si>
  <si>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</si>
  <si>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</si>
  <si>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</si>
  <si>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</si>
  <si>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</si>
  <si>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</si>
  <si>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</si>
  <si>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</si>
  <si>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</si>
  <si>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</si>
  <si>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</si>
  <si>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</si>
  <si>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</si>
  <si>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</si>
  <si>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</si>
  <si>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</si>
  <si>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</si>
  <si>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</si>
  <si>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</si>
  <si>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</si>
  <si>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</si>
  <si>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</si>
  <si>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</si>
  <si>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</si>
  <si>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</si>
  <si>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</si>
  <si>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</si>
  <si>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</si>
  <si>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</si>
  <si>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</si>
  <si>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</si>
  <si>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</si>
  <si>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</si>
  <si>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</si>
  <si>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</si>
  <si>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</si>
  <si>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</si>
  <si>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</si>
  <si>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</si>
  <si>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</si>
  <si>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</si>
  <si>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</si>
  <si>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</si>
  <si>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</si>
  <si>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</si>
  <si>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</si>
  <si>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</si>
  <si>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</si>
  <si>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</si>
  <si>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</si>
  <si>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</si>
  <si>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</si>
  <si>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</si>
  <si>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</si>
  <si>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</si>
  <si>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</si>
  <si>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</si>
  <si>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</si>
  <si>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</si>
  <si>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</si>
  <si>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</si>
  <si>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</si>
  <si>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</si>
  <si>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</si>
  <si>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</si>
  <si>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</si>
  <si>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</si>
  <si>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</si>
  <si>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</si>
  <si>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</si>
  <si>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</si>
  <si>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</si>
  <si>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</si>
  <si>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</si>
  <si>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</si>
  <si>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</si>
  <si>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</si>
  <si>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</si>
  <si>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</si>
  <si>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</si>
  <si>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</si>
  <si>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</si>
  <si>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</si>
  <si>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</si>
  <si>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</si>
  <si>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</si>
  <si>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</si>
  <si>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</si>
  <si>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</si>
  <si>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</si>
  <si>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</si>
  <si>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</si>
  <si>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</si>
  <si>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</si>
  <si>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</si>
  <si>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</si>
  <si>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</si>
  <si>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</si>
  <si>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</si>
  <si>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</si>
  <si>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</si>
  <si>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</si>
  <si>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</si>
  <si>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</si>
  <si>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</si>
  <si>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</si>
  <si>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</si>
  <si>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</si>
  <si>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</si>
  <si>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</si>
  <si>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</si>
  <si>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</si>
  <si>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</si>
  <si>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</si>
  <si>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</si>
  <si>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</si>
  <si>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</si>
  <si>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</si>
  <si>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</si>
  <si>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</si>
  <si>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</si>
  <si>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</si>
  <si>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</si>
  <si>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</si>
  <si>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</si>
  <si>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</si>
  <si>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</si>
  <si>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</si>
  <si>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</si>
  <si>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</si>
  <si>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</si>
  <si>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</si>
  <si>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</si>
  <si>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</si>
  <si>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</si>
  <si>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</si>
  <si>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</si>
  <si>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</si>
  <si>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</si>
  <si>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</si>
  <si>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</si>
  <si>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</si>
  <si>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</si>
  <si>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</si>
  <si>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</si>
  <si>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</si>
  <si>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</si>
  <si>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</si>
  <si>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</si>
  <si>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</si>
  <si>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</si>
  <si>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</si>
  <si>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</si>
  <si>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</si>
  <si>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</si>
  <si>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</si>
  <si>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</si>
  <si>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</si>
  <si>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</si>
  <si>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</si>
  <si>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</si>
  <si>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</si>
  <si>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</si>
  <si>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</si>
  <si>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</si>
  <si>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</si>
  <si>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</si>
  <si>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</si>
  <si>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</si>
  <si>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</si>
  <si>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</si>
  <si>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</si>
  <si>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</si>
  <si>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</si>
  <si>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</si>
  <si>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</si>
  <si>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</si>
  <si>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</si>
  <si>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</si>
  <si>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</si>
  <si>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</si>
  <si>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</si>
  <si>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</si>
  <si>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</si>
  <si>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</si>
  <si>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</si>
  <si>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</si>
  <si>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</si>
  <si>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</si>
  <si>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</si>
  <si>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</si>
  <si>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</si>
  <si>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</si>
  <si>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</si>
  <si>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</si>
  <si>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</si>
  <si>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</si>
  <si>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</si>
  <si>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</si>
  <si>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</si>
  <si>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</si>
  <si>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</si>
  <si>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</si>
  <si>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</si>
  <si>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</si>
  <si>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</si>
  <si>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</si>
  <si>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</si>
  <si>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</si>
  <si>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</si>
  <si>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</si>
  <si>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</si>
  <si>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</si>
  <si>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</si>
  <si>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</si>
  <si>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</si>
  <si>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</si>
  <si>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</si>
  <si>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</si>
  <si>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</si>
  <si>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</si>
  <si>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</si>
  <si>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</si>
  <si>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</si>
  <si>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</si>
  <si>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</si>
  <si>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</si>
  <si>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</si>
  <si>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</si>
  <si>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</si>
  <si>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</si>
  <si>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</si>
  <si>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</si>
  <si>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</si>
  <si>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</si>
  <si>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</si>
  <si>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</si>
  <si>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</si>
  <si>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</si>
  <si>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</si>
  <si>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</si>
  <si>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</si>
  <si>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</si>
  <si>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</si>
  <si>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</si>
  <si>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</si>
  <si>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</si>
  <si>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</si>
  <si>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</si>
  <si>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</si>
  <si>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</si>
  <si>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</si>
  <si>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</si>
  <si>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</si>
  <si>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</si>
  <si>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</si>
  <si>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</si>
  <si>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</si>
  <si>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</si>
  <si>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</si>
  <si>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</si>
  <si>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</si>
  <si>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</si>
  <si>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</si>
  <si>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</si>
  <si>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</si>
  <si>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</si>
  <si>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</si>
  <si>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</si>
  <si>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</si>
  <si>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</si>
  <si>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</si>
  <si>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</si>
  <si>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</si>
  <si>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</si>
  <si>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</si>
  <si>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</si>
  <si>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</si>
  <si>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</si>
  <si>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</si>
  <si>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</si>
  <si>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</si>
  <si>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</si>
  <si>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</si>
  <si>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</si>
  <si>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</si>
  <si>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</si>
  <si>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</si>
  <si>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</si>
  <si>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</si>
  <si>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</si>
  <si>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</si>
  <si>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</si>
  <si>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</si>
  <si>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</si>
  <si>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</si>
  <si>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</si>
  <si>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</si>
  <si>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</si>
  <si>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</si>
  <si>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</si>
  <si>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</si>
  <si>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</si>
  <si>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</si>
  <si>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</si>
  <si>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</si>
  <si>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</si>
  <si>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</si>
  <si>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</si>
  <si>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</si>
  <si>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</si>
  <si>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</si>
  <si>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</si>
  <si>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</si>
  <si>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</si>
  <si>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</si>
  <si>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</si>
  <si>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</si>
  <si>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</si>
  <si>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</si>
  <si>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</si>
  <si>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</si>
  <si>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</si>
  <si>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</si>
  <si>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</si>
  <si>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</si>
  <si>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</si>
  <si>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</si>
  <si>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</si>
  <si>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</si>
  <si>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</si>
  <si>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</si>
  <si>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</si>
  <si>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</si>
  <si>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</si>
  <si>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</si>
  <si>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</si>
  <si>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</si>
  <si>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</si>
  <si>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</si>
  <si>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</si>
  <si>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</si>
  <si>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</si>
  <si>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</si>
  <si>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</si>
  <si>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</si>
  <si>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</si>
  <si>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</si>
  <si>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</si>
  <si>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</si>
  <si>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</si>
  <si>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</si>
  <si>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</si>
  <si>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</si>
  <si>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</si>
  <si>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</si>
  <si>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</si>
  <si>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</si>
  <si>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</si>
  <si>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</si>
  <si>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</si>
  <si>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</si>
  <si>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</si>
  <si>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</si>
  <si>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</si>
  <si>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</si>
  <si>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</si>
  <si>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</si>
  <si>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</si>
  <si>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</si>
  <si>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</si>
  <si>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</si>
  <si>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</si>
  <si>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</si>
  <si>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</si>
  <si>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</si>
  <si>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</si>
  <si>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</si>
  <si>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</si>
  <si>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</si>
  <si>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</si>
  <si>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</si>
  <si>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</si>
  <si>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</si>
  <si>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</si>
  <si>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</si>
  <si>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</si>
  <si>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</si>
  <si>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</si>
  <si>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</si>
  <si>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</si>
  <si>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</si>
  <si>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</si>
  <si>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</si>
  <si>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</si>
  <si>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</si>
  <si>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</si>
  <si>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</si>
  <si>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</si>
  <si>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</si>
  <si>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</si>
  <si>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</si>
  <si>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</si>
  <si>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</si>
  <si>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</si>
  <si>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</si>
  <si>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</si>
  <si>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</si>
  <si>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</si>
  <si>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</si>
  <si>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</si>
  <si>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</si>
  <si>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</si>
  <si>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</si>
  <si>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</si>
  <si>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</si>
  <si>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</si>
  <si>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</si>
  <si>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</si>
  <si>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</si>
  <si>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</si>
  <si>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</si>
  <si>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</si>
  <si>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</si>
  <si>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</si>
  <si>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</si>
  <si>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</si>
  <si>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</si>
  <si>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</si>
  <si>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</si>
  <si>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</si>
  <si>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</si>
  <si>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</si>
  <si>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</si>
  <si>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</si>
  <si>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</si>
  <si>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</si>
  <si>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</si>
  <si>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</si>
  <si>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</si>
  <si>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</si>
  <si>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</si>
  <si>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</si>
  <si>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</si>
  <si>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</si>
  <si>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</si>
  <si>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</si>
  <si>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</si>
  <si>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</si>
  <si>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</si>
  <si>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</si>
  <si>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</si>
  <si>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</si>
  <si>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</si>
  <si>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</si>
  <si>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</si>
  <si>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</si>
  <si>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</si>
  <si>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</si>
  <si>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</si>
  <si>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</si>
  <si>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</si>
  <si>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</si>
  <si>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</si>
  <si>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</si>
  <si>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</si>
  <si>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</si>
  <si>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</si>
  <si>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</si>
  <si>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</si>
  <si>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</si>
  <si>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</si>
  <si>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</si>
  <si>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</si>
  <si>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</si>
  <si>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https://portal.eias.ru/Portal/DownloadPage.aspx?type=12&amp;guid=76d378db-1597-4fed-bb7e-1ae24efad3ef;     https://portal.eias.ru/Portal/DownloadPage.aspx?type=12&amp;guid=537323dc-b3d6-408d-8121-bd43298dbf3e;    https://portal.eias.ru/Portal/DownloadPage.aspx?type=12&amp;guid=46ec05f7-cdb8-4a25-a7f6-732e68841eec;    https://portal.eias.ru/Portal/DownloadPage.aspx?type=12&amp;guid=27583ad5-4451-4a26-9d41-d6bbb8e97236;   https://portal.eias.ru/Portal/DownloadPage.aspx?type=12&amp;guid=d7ddce56-8b9f-4b98-bdcd-72b2dea914ac;   https://portal.eias.ru/Portal/DownloadPage.aspx?type=12&amp;guid=5c9eddcd-9b1c-4e88-be4a-a26263e25bd4</t>
  </si>
  <si>
    <t>1) П. 90, Формула (39) (п. 95) Методических указаний ФСТ № 1746-э. 2) Постановление РЭК Кузбасса от 26.10.2023 № 215 "Об установлении долгосрочных параметров регулирования тарифов в сфере холодного водоснабжения, водоотведения КАО «Азот» (Кемеровский городской округ)". 3) Прогноз соц.-экономического развития Российской Федерации на 2025 г. и на плановый период 2026 и 2027 гг. от 30.09.2024.</t>
  </si>
  <si>
    <t>Скорректированная величина операционных расходов 3-го года долгосрочного периода = Базовый уровень Операционных расходов 2024 г. (14876,25 тыс. руб.) с учетом Индекса потребительских цен (ИПЦ) Минэкономразвития России на 2025 г.  105,8% , на 2026 г. 104,3%. Индекс изменения количества активов (ИКА) = 0, индекс эффективности Операционных расходов  = 1%.</t>
  </si>
  <si>
    <t>https://portal.eias.ru/Portal/DownloadPage.aspx?type=12&amp;guid=5951061f-2328-4644-9f3d-132977d69e3c</t>
  </si>
  <si>
    <t>https://portal.eias.ru/Portal/DownloadPage.aspx?type=12&amp;guid=76d378db-1597-4fed-bb7e-1ae24efad3ef;    https://portal.eias.ru/Portal/DownloadPage.aspx?type=12&amp;guid=be5c1590-c61e-45d6-9452-b314fef59e6b;      Договор № Аз28298 от 04.08.2017 с ВОСТОК-СЕРВИС-КУЗБАСС Спецодежда ; https://portal.eias.ru/Portal/DownloadPage.aspx?type=12&amp;guid=6eb5ac2a-f2e7-4897-93e0-c4bd7c146d61 ;  https://portal.eias.ru/Portal/DownloadPage.aspx?type=12&amp;guid=0e92251c-4da0-40fd-82a6-ca80de16a8fe ; https://portal.eias.ru/Portal/DownloadPage.aspx?type=12&amp;guid=712cdb98-5dc9-4215-80a7-a758de7e1765 ;    https://portal.eias.ru/Portal/DownloadPage.aspx?type=12&amp;guid=c7af3ed3-895f-4708-8346-8966fbf7585c ;</t>
  </si>
  <si>
    <t>https://portal.eias.ru/Portal/DownloadPage.aspx?type=12&amp;guid=3a3e7d1f-c5be-4565-aaed-e2bb15e02354 ;  https://portal.eias.ru/Portal/DownloadPage.aspx?type=12&amp;guid=fe41a254-011b-4e5f-80f4-29a705509e0b ;  https://portal.eias.ru/Portal/DownloadPage.aspx?type=12&amp;guid=f4d09975-85cd-4083-b020-1905d9dbf080 ;       https://portal.eias.ru/Portal/DownloadPage.aspx?type=12&amp;guid=5e514564-726d-4690-87cb-06006ec7381f  ;  https://portal.eias.ru/Portal/DownloadPage.aspx?type=12&amp;guid=059687a9-c6d6-46f9-a8f3-8fa97010be6e ;       https://portal.eias.ru/Portal/DownloadPage.aspx?type=12&amp;guid=2de95a06-f36d-4c33-8efb-3537603a029e ;https://portal.eias.ru/Portal/DownloadPage.aspx?type=12&amp;guid=5de31318-7991-476c-ae47-e2df32cbd394</t>
  </si>
  <si>
    <t>https://portal.eias.ru/Portal/DownloadPage.aspx?type=12&amp;guid=1fc5dc89-23a0-4fb8-bea4-d873aa0e777f ;  https://portal.eias.ru/Portal/DownloadPage.aspx?type=12&amp;guid=e42b23f1-12e8-4748-a26c-5e59021cbdbe ;   https://portal.eias.ru/Portal/DownloadPage.aspx?type=12&amp;guid=d2ae8e07-b8e7-49a2-be60-c55666240104:   https://portal.eias.ru/Portal/DownloadPage.aspx?type=12&amp;guid=a2687652-8095-4682-bf1d-5b569aafc020 ;</t>
  </si>
  <si>
    <t>https://portal.eias.ru/Portal/DownloadPage.aspx?type=12&amp;guid=51a6f080-5012-411d-8d67-3068c417e0f0;  https://portal.eias.ru/Portal/DownloadPage.aspx?type=12&amp;guid=cc585afa-f0db-4938-95d6-95e02a800a92;      https://portal.eias.ru/Portal/DownloadPage.aspx?type=12&amp;guid=76d378db-1597-4fed-bb7e-1ae24efad3ef;    https://portal.eias.ru/Portal/DownloadPage.aspx?type=12&amp;guid=1fea455e-a147-4721-b1c3-582ea708b0ed</t>
  </si>
  <si>
    <t>https://portal.eias.ru/Portal/DownloadPage.aspx?type=12&amp;guid=4ed8aec8-2a8e-4974-97a0-38c40e8136b5;    https://portal.eias.ru/Portal/DownloadPage.aspx?type=12&amp;guid=37cab975-4715-4caa-9106-922af43d221d</t>
  </si>
  <si>
    <t>https://portal.eias.ru/Portal/DownloadPage.aspx?type=12&amp;guid=7d123718-5827-4682-ae03-868bb98b83e0</t>
  </si>
  <si>
    <t>https://portal.eias.ru/Portal/DownloadPage.aspx?type=12&amp;guid=f8212ea0-2e40-41d9-9449-686f3ee480ad;    https://portal.eias.ru/Portal/DownloadPage.aspx?type=12&amp;guid=76d378db-1597-4fed-bb7e-1ae24efad3ef;  https://portal.eias.ru/Portal/DownloadPage.aspx?type=12&amp;guid=8f79516f-3626-49fe-9a9f-f77ab79c79d8;  https://portal.eias.ru/Portal/DownloadPage.aspx?type=12&amp;guid=fffc1fab-da4b-41dd-8681-0733192c33ca;  https://portal.eias.ru/Portal/DownloadPage.aspx?type=12&amp;guid=3799fead-43aa-46d0-93e7-4ad884001a42; https://portal.eias.ru/Portal/DownloadPage.aspx?type=12&amp;guid=537323dc-b3d6-408d-8121-bd43298dbf3e  ; https://portal.eias.ru/Portal/DownloadPage.aspx?type=12&amp;guid=08a31e3f-6f23-4eb7-beb2-a133e0a6ce28 ; https://portal.eias.ru/Portal/DownloadPage.aspx?type=12&amp;guid=d1a1e56b-531f-4bc8-895f-7426efdfa1a3</t>
  </si>
  <si>
    <t>https://portal.eias.ru/Portal/DownloadPage.aspx?type=12&amp;guid=37b86236-bee1-4bf1-8616-09108b96faf7</t>
  </si>
  <si>
    <t>https://portal.eias.ru/Portal/DownloadPage.aspx?type=12&amp;guid=76d378db-1597-4fed-bb7e-1ae24efad3ef;    https://portal.eias.ru/Portal/DownloadPage.aspx?type=12&amp;guid=be5c1590-c61e-45d6-9452-b314fef59e6b</t>
  </si>
  <si>
    <t>https://portal.eias.ru/Portal/DownloadPage.aspx?type=12&amp;guid=37b86236-bee1-4bf1-8616-09108b96faf7;  https://portal.eias.ru/Portal/DownloadPage.aspx?type=12&amp;guid=7d123718-5827-4682-ae03-868bb98b83e0  ;   https://portal.eias.ru/Portal/DownloadPage.aspx?type=12&amp;guid=7b720a27-d0d9-41db-8e8e-7b70fdfc17ea;   https://portal.eias.ru/Portal/DownloadPage.aspx?type=12&amp;guid=0dce1896-71e2-41cb-ab84-b1deff9d2b7c</t>
  </si>
  <si>
    <t>П. 49 (10)  (введен Приказом ФАС России от 08.10.2020 N 976/20).</t>
  </si>
  <si>
    <t>П. 49 Методических указаний ФСТ № 1746-э .</t>
  </si>
  <si>
    <t>https://portal.eias.ru/Portal/DownloadPage.aspx?type=12&amp;guid=20b43dca-2ffc-4f3f-a57a-b3b4c1081ca7;    https://portal.eias.ru/Portal/DownloadPage.aspx?type=12&amp;guid=7c481fa1-d10c-4b76-a22b-4bb0a8a5a764;   https://portal.eias.ru/Portal/DownloadPage.aspx?type=12&amp;guid=5f1a6946-bebd-4fc9-94b7-49399966601c   ; https://portal.eias.ru/Portal/DownloadPage.aspx?type=12&amp;guid=b961450b-6ad1-49e6-aa8b-5867459922c8;  https://portal.eias.ru/Portal/DownloadPage.aspx?type=12&amp;guid=ce0ba358-f4e8-4721-a672-18b3413ce25c   ;  https://portal.eias.ru/Portal/DownloadPage.aspx?type=12&amp;guid=2006f788-bb57-4ff4-bf6c-46f7eaf8581f;</t>
  </si>
  <si>
    <t>См. Лист "Реагенты".</t>
  </si>
  <si>
    <t>П. 49 (2) Методических указаний ФСТ № 1746-э.</t>
  </si>
  <si>
    <t>https://portal.eias.ru/Portal/DownloadPage.aspx?type=12&amp;guid=90e02aec-474f-4f8c-90e3-1181710e9cba;              https://portal.eias.ru/Portal/DownloadPage.aspx?type=12&amp;guid=28727f1b-23e1-4352-a60d-7657669fc7d4 ;  https://portal.eias.ru/Portal/DownloadPage.aspx?type=12&amp;guid=7d123718-5827-4682-ae03-868bb98b83e0</t>
  </si>
  <si>
    <t>1) Глава 30  "Налог на имущество организаций" "Налогового кодекса Российской Федерации (часть вторая)" от 05.08.2000 N 117-ФЗ (ред. от 08.08.2024) (с изм. и доп., вступ. в силу с 08.09.2024) от 31.07.1998 N 146-ФЗ;  2) Закон Кемеровской области - Кузбасса от 26.11.2003 N 60-ОЗ (ред. от 23.04.2024) "О налоге на имущество организаций".</t>
  </si>
  <si>
    <t>См. Лист "Налоги".</t>
  </si>
  <si>
    <t>https://portal.eias.ru/Portal/DownloadPage.aspx?type=12&amp;guid=d17147e3-61b6-445a-86bc-14b3dabe766d ;      https://portal.eias.ru/Portal/DownloadPage.aspx?type=12&amp;guid=58f983cb-d819-4a49-b908-bbd433202657;   https://portal.eias.ru/Portal/DownloadPage.aspx?type=12&amp;guid=76d378db-1597-4fed-bb7e-1ae24efad3ef;   https://portal.eias.ru/Portal/DownloadPage.aspx?type=12&amp;guid=68261915-d58c-4cc8-a5c0-146b4ae8c103</t>
  </si>
  <si>
    <t>Постановление Правительства РФ от 26 декабря 2014 г. № 1509 (ред. от 24.03.2022)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  редакции Постановления Правительства РФ от 30.12.2006 г. № 876 "О СТАВКАХ ПЛАТЫ ЗА ПОЛЬЗОВАНИЕ ВОДНЫМИ ОБЪЕКТАМИ, НАХОДЯЩИМИСЯ В ФЕДЕРАЛЬНОЙ СОБСТВЕННОСТИ", с учетом коэффициента  4,84, установленного Постановлением Правительства РФ от  от 21.12.2024 N 1847.</t>
  </si>
  <si>
    <t>https://portal.eias.ru/Portal/DownloadPage.aspx?type=12&amp;guid=a64e85dd-615a-4cd4-874b-c840ab469dea ;  https://portal.eias.ru/Portal/DownloadPage.aspx?type=12&amp;guid=76d378db-1597-4fed-bb7e-1ae24efad3ef;   https://portal.eias.ru/Portal/DownloadPage.aspx?type=12&amp;guid=90c6b4d1-24b8-4937-b1c0-2fa094c98375;  https://portal.eias.ru/Portal/DownloadPage.aspx?type=12&amp;guid=2aa9bf5c-1aad-48af-817b-a902ba237cbc;   https://portal.eias.ru/Portal/DownloadPage.aspx?type=12&amp;guid=d5471d30-d687-41f8-8ac9-4ef67383358e</t>
  </si>
  <si>
    <t>П. 90, п. 95 (Формулы 39.1, 39.2, 39.3) Методических указаний ФСТ № 1746-э. 3) Постановление РЭК Кузбасса от 26.10.2023 № 215 "Об установлении долгосрочных параметров регулирования тарифов в сфере холодного водоснабжения, водоотведения КАО «Азот» (Кемеровский городской округ)". 4) Часть 8 Статьи 25 Федерального закона  от 23.11.2009 № 261-ФЗ (ред. от 13.06.2023) "Об энергосбережении и о повышении энергетической эффективности ...".</t>
  </si>
  <si>
    <t>См. Лист "ЭЭ".</t>
  </si>
  <si>
    <t>https://portal.eias.ru/Portal/DownloadPage.aspx?type=12&amp;guid=76d378db-1597-4fed-bb7e-1ae24efad3ef;  https://portal.eias.ru/Portal/DownloadPage.aspx?type=12&amp;guid=7d123718-5827-4682-ae03-868bb98b83e0;      https://portal.eias.ru/Portal/DownloadPage.aspx?type=12&amp;guid=29555dd2-bb72-43e9-b266-d32bfccdb601;</t>
  </si>
  <si>
    <t>П. 28 Методических указаний ФСТ № 1746-э ;  Постановление Правительства РФ от 01.01.2002 N 1 (ред. от 18.11.2022) "О Классификации основных средств, включаемых в амортизационные группы".</t>
  </si>
  <si>
    <t>См. Лист "Амортизация".</t>
  </si>
  <si>
    <t>П. 86 Методических указаний ФСТ № 1746-э (Формула 30.1 ).</t>
  </si>
  <si>
    <t>https://data-platform.ru/lk/files/Files/imenod/73939a38-ff42-48ae-af47-425ae5d33a5b</t>
  </si>
  <si>
    <t>1) Пункты 90, 93 Методических указаний ФСТ № 1746-э. 2) Постановление РЭК Кузбасса от 26.10.2023 № 216 "Об утверждении производственной программы в сфере холодного водоснабжения, водоотведения и об установлении тарифов на техническую воду, водоотведение хозяйственно-бытовых сточных вод, транспортировку сточных вод КАО «Азот»". 
(Кемеровский городской округ)</t>
  </si>
  <si>
    <t>Агрегированный показатель (А) надежности и качества объектов централизованных систем водоснабжения составил 1,00; процент корректировки  плановой НВВ 2023 года  (П кор.2023) - 0%  (ИПЦ Минэкономразвития России 105,8% на 2025 г.,  104,3% на 2026 г.).</t>
  </si>
  <si>
    <t>П. 91 и 95 Методических указаний ФСТ № 1746-э (Формулы 33 и 38).</t>
  </si>
  <si>
    <t>См. Лист "Корректировка НВВ".</t>
  </si>
  <si>
    <t>П. 42 Методических указаний ФСТ № 1746-э.</t>
  </si>
  <si>
    <t>Суммарная величина корректировок будет сведена к нулю до 2028 года.</t>
  </si>
  <si>
    <t>https://data-platform.ru/lk/files/Files/imenod/54a4b20b-c1ab-4e5f-84bb-bc7127f0b4dd;  https://data-platform.ru/lk/files/Files/imenod/4557b299-cef2-40c4-abe8-b186138aae38</t>
  </si>
  <si>
    <t>П. 9 "Основ ценообразования в сфере водоснабжения и водоотведения" (утв. Постановлением Правительства РФ от 13.05.2013 № 406)</t>
  </si>
  <si>
    <t>https://data-platform.ru/lk/files/Files/imenod/e520dae8-e76b-480b-8fcc-acf09a7e8601</t>
  </si>
  <si>
    <t>Расчетная величина заявленного тарифа не совпадает с величиной 5,06 руб./м3, указанной в заявлении КАО "Азот" от 22.04.2025 № 2342.</t>
  </si>
  <si>
    <t>https://portal.eias.ru/Portal/DownloadPage.aspx?type=12&amp;guid=9e6564ac-c650-4f15-9fe0-c22ef0539968 ;    https://portal.eias.ru/Portal/DownloadPage.aspx?type=12&amp;guid=dddfd734-8ec4-43f5-8282-3cb11880c9b0 ;          https://portal.eias.ru/Portal/DownloadPage.aspx?type=12&amp;guid=7c6d48c7-6339-477a-a241-3eff2342e175</t>
  </si>
  <si>
    <t>https://portal.eias.ru/Portal/DownloadPage.aspx?type=12&amp;guid=5951061f-2328-4644-9f3d-132977d69e3c;                       https://portal.eias.ru/Portal/DownloadPage.aspx?type=12&amp;guid=38213028-b2c9-4adc-806d-6174cb7a7891    ; https://portal.eias.ru/Portal/DownloadPage.aspx?type=12&amp;guid=9e6564ac-c650-4f15-9fe0-c22ef0539968</t>
  </si>
  <si>
    <t>https://portal.eias.ru/Portal/DownloadPage.aspx?type=12&amp;guid=5e5f4db6-e74e-4006-a183-21e8a5afb56c;     https://portal.eias.ru/Portal/DownloadPage.aspx?type=12&amp;guid=70d52f38-85fc-4a76-88b4-6152faeadb91;         https://portal.eias.ru/Portal/DownloadPage.aspx?type=12&amp;guid=82ead870-2084-45bc-8ba8-f7308003fb4e;          https://portal.eias.ru/Portal/DownloadPage.aspx?type=12&amp;guid=46ec05f7-cdb8-4a25-a7f6-732e68841eec;         https://portal.eias.ru/Portal/DownloadPage.aspx?type=12&amp;guid=27583ad5-4451-4a26-9d41-d6bbb8e97236;     https://portal.eias.ru/Portal/DownloadPage.aspx?type=12&amp;guid=d7ddce56-8b9f-4b98-bdcd-72b2dea914ac;      https://portal.eias.ru/Portal/DownloadPage.aspx?type=12&amp;guid=39f4bb19-24e2-4458-9867-78db2a4f84ed;      https://portal.eias.ru/Portal/DownloadPage.aspx?type=12&amp;guid=57256c7a-08a8-4469-a87a-d505d62279cd;</t>
  </si>
  <si>
    <t>https://portal.eias.ru/Portal/DownloadPage.aspx?type=12&amp;guid=728a2c39-20d5-476c-8f97-75495297f70a ;      https://portal.eias.ru/Portal/DownloadPage.aspx?type=12&amp;guid=5cb8e707-b98a-4faf-bd4c-07dc45bde7cb;     https://portal.eias.ru/Portal/DownloadPage.aspx?type=12&amp;guid=d18fe5c9-d2ac-4eaf-9e17-ea7382e17167;     https://portal.eias.ru/Portal/DownloadPage.aspx?type=12&amp;guid=6f4d9700-aceb-4c71-a5f4-b8b3a3bb034d;    https://portal.eias.ru/Portal/DownloadPage.aspx?type=12&amp;guid=9e6564ac-c650-4f15-9fe0-c22ef0539968 ;  https://portal.eias.ru/Portal/DownloadPage.aspx?type=12&amp;guid=bc821e7d-61c9-4559-acb0-66b4e916309d</t>
  </si>
  <si>
    <t>https://portal.eias.ru/Portal/DownloadPage.aspx?type=12&amp;guid=23d75e08-2ec7-4811-99b8-9993c3170b26 ;        https://portal.eias.ru/Portal/DownloadPage.aspx?type=12&amp;guid=51a6f080-5012-411d-8d67-3068c417e0f0;       https://portal.eias.ru/Portal/DownloadPage.aspx?type=12&amp;guid=9e6564ac-c650-4f15-9fe0-c22ef0539968;         https://portal.eias.ru/Portal/DownloadPage.aspx?type=12&amp;guid=1f98bd1c-aeaf-4410-a386-69f6ef50f897</t>
  </si>
  <si>
    <t>https://portal.eias.ru/Portal/DownloadPage.aspx?type=12&amp;guid=cc585afa-f0db-4938-95d6-95e02a800a92;        https://portal.eias.ru/Portal/DownloadPage.aspx?type=12&amp;guid=1fea455e-a147-4721-b1c3-582ea708b0ed</t>
  </si>
  <si>
    <t>https://portal.eias.ru/Portal/DownloadPage.aspx?type=12&amp;guid=4ed8aec8-2a8e-4974-97a0-38c40e8136b5;        https://portal.eias.ru/Portal/DownloadPage.aspx?type=12&amp;guid=37cab975-4715-4caa-9106-922af43d221d</t>
  </si>
  <si>
    <t>https://portal.eias.ru/Portal/DownloadPage.aspx?type=12&amp;guid=6f03975d-f13c-4302-9c75-3e52f9f32023 ;  https://portal.eias.ru/Portal/DownloadPage.aspx?type=12&amp;guid=9e6564ac-c650-4f15-9fe0-c22ef0539968</t>
  </si>
  <si>
    <t>https://portal.eias.ru/Portal/DownloadPage.aspx?type=12&amp;guid=7ef8d6ce-5fb0-4891-8c5a-0c46af178805;                      https://portal.eias.ru/Portal/DownloadPage.aspx?type=12&amp;guid=16740f24-bccf-4a73-9588-5a9e09504e3b;                                     https://portal.eias.ru/Portal/DownloadPage.aspx?type=12&amp;guid=d83e64df-0370-4f97-9581-22c5cbedaeed;                  https://portal.eias.ru/Portal/DownloadPage.aspx?type=12&amp;guid=bddcfae5-0cd1-4068-b55b-75f1dacc946a;                 https://portal.eias.ru/Portal/DownloadPage.aspx?type=12&amp;guid=3799fead-43aa-46d0-93e7-4ad884001a42;                    https://portal.eias.ru/Portal/DownloadPage.aspx?type=12&amp;guid=7efc90d2-d108-4be0-a649-345b45c9bb8b</t>
  </si>
  <si>
    <t>https://portal.eias.ru/Portal/DownloadPage.aspx?type=12&amp;guid=9e6564ac-c650-4f15-9fe0-c22ef0539968;                                 https://portal.eias.ru/Portal/DownloadPage.aspx?type=12&amp;guid=52a34178-f70f-4c48-90bf-b63406349341</t>
  </si>
  <si>
    <t>https://portal.eias.ru/Portal/DownloadPage.aspx?type=12&amp;guid=37b86236-bee1-4bf1-8616-09108b96faf7;   https://portal.eias.ru/Portal/DownloadPage.aspx?type=12&amp;guid=8f608c81-38b0-44c1-9f58-6c9add4ee5c9;     https://portal.eias.ru/Portal/DownloadPage.aspx?type=12&amp;guid=385cfeb0-97f4-4a96-bfc8-5f3745e93254;    https://portal.eias.ru/Portal/DownloadPage.aspx?type=12&amp;guid=40ce4441-7e8b-4483-884f-c4d8a7607238;  https://portal.eias.ru/Portal/DownloadPage.aspx?type=12&amp;guid=7b720a27-d0d9-41db-8e8e-7b70fdfc17ea  ;   https://portal.eias.ru/Portal/DownloadPage.aspx?type=12&amp;guid=f647a958-3574-4290-9507-be82b1873238</t>
  </si>
  <si>
    <t>П. 49 (1) Методических указаний ФСТ № 1746-э.  Учтена стоимость услуг  Участка канализования (ТСВ)  КАО "Азот" по транспортировке сточных вод, отводимых от Биологических очистных сооружений Цеха НОПСВ (внутрихозяйственный оборот).</t>
  </si>
  <si>
    <t>Объем транспортирвуемых сточных вод = объем очищаемых сточных вод.  Тариф - согласно проекту тарифного решения по услуге транспортировки сточных вод. См. Лист "ПОКУПКА".</t>
  </si>
  <si>
    <t>https://portal.eias.ru/Portal/DownloadPage.aspx?type=12&amp;guid=6e3ee591-cabe-4009-8e34-0fe215451dea ;  https://portal.eias.ru/Portal/DownloadPage.aspx?type=12&amp;guid=3ebcaaa7-eb2e-4d28-b86a-f61676551968 ;  https://portal.eias.ru/Portal/DownloadPage.aspx?type=12&amp;guid=60e17411-cc83-4a81-85cc-8d7d4ee57d89 ;       https://portal.eias.ru/Portal/DownloadPage.aspx?type=12&amp;guid=4deda897-a9a6-479a-97b7-3955c55e8fbe ;      https://portal.eias.ru/Portal/DownloadPage.aspx?type=12&amp;guid=9e6564ac-c650-4f15-9fe0-c22ef0539968;       https://portal.eias.ru/Portal/DownloadPage.aspx?type=12&amp;guid=192a0c77-7fdb-417e-a91f-d2f09ba873a3;        https://portal.eias.ru/Portal/DownloadPage.aspx?type=12&amp;guid=8f79516f-3626-49fe-9a9f-f77ab79c79d8;        https://portal.eias.ru/Portal/DownloadPage.aspx?type=12&amp;guid=2542e57d-78ed-4aa8-87a0-17b74a0fcf6f</t>
  </si>
  <si>
    <t>6) Решение Заводского районного суда г. Кемерово от 06.08.2020 по делу №2-2071/2020 о возложении обязанности по устранению нарушений природоохранного законодательства путем модернизации системы водоочистки (строительство либо реконструкция очистных сооружений);  Определение Заводского районного суда г. Кемерово об отсрочке исполнения решения суда от 06.08.2020 до 30.11.2025.  См. Лист "Реагенты".</t>
  </si>
  <si>
    <t>https://portal.eias.ru/Portal/DownloadPage.aspx?type=12&amp;guid=90e02aec-474f-4f8c-90e3-1181710e9cba;                  https://portal.eias.ru/Portal/DownloadPage.aspx?type=12&amp;guid=28727f1b-23e1-4352-a60d-7657669fc7d4</t>
  </si>
  <si>
    <t>https://portal.eias.ru/Portal/DownloadPage.aspx?type=12&amp;guid=a64e85dd-615a-4cd4-874b-c840ab469dea  ;        https://portal.eias.ru/Portal/DownloadPage.aspx?type=12&amp;guid=90c6b4d1-24b8-4937-b1c0-2fa094c98375;      https://portal.eias.ru/Portal/DownloadPage.aspx?type=12&amp;guid=2aa9bf5c-1aad-48af-817b-a902ba237cbc;           https://portal.eias.ru/Portal/DownloadPage.aspx?type=12&amp;guid=9e6564ac-c650-4f15-9fe0-c22ef0539968;             https://portal.eias.ru/Portal/DownloadPage.aspx?type=12&amp;guid=29597885-eaf3-4c94-88ad-7d631ae36bc6</t>
  </si>
  <si>
    <t>https://portal.eias.ru/Portal/DownloadPage.aspx?type=12&amp;guid=6f03975d-f13c-4302-9c75-3e52f9f32023;            https://portal.eias.ru/Portal/DownloadPage.aspx?type=12&amp;guid=9e6564ac-c650-4f15-9fe0-c22ef0539968;                     https://portal.eias.ru/Portal/DownloadPage.aspx?type=12&amp;guid=d5cbf671-19ea-40e0-8f49-d2868018eb97            ;  https://portal.eias.ru/Portal/DownloadPage.aspx?type=12&amp;guid=150a5fd7-e9c8-4e26-b0f9-9a996066c7d4</t>
  </si>
  <si>
    <t>Рассчитано в соответствии с Формулой (36) Методических указаний ФСТ № 1746-э. Агрегированный показатель (А) надежности и качества объектов централизованных систем водоотведения составил 0,9 (в связи с отклонением показателя "Доля сточных вод, не подвергающихся очистке, в общем объеме сточных вод, сбрасываемых в централизованные общесплавные или бытовые системы водоотведения"); процент корректировки  плановой НВВ 2024 года  (П кор.2024) - 3,0%, с учетом ИПЦ Минэкономразвития России 105,8% на 2025 г. и 104,3% на 2026 г.</t>
  </si>
  <si>
    <t>См. расчет на Листе "Корректировка НВВ".</t>
  </si>
  <si>
    <t>П. 12 Методических указаний ФСТ № 1746-э.</t>
  </si>
  <si>
    <t>Организацией заявлен остаток недополученных доходов за отчетный 2022 год, специалистом РЭК заявленная сумма принята в полном объеме (из  общей суммы  3274,19 тыс. руб.).</t>
  </si>
  <si>
    <t>П. 12 Методических указаний ФСТ № 1746-э;  2) Постановление РЭК Кузбасса от 26.10.2023 № 216 "Об утверждении производственной программы в сфере холодного водоснабжения, водоотведения и об установлении тарифов на техническую воду, водоотведение хозяйственно-бытовых сточных вод, транспортировку сточных вод КАО «Азот»". 3) Экспертное заключение АО "Агентство энергетических экспертиз".</t>
  </si>
  <si>
    <t>Учтена сумма недоосвоения средств, заложенных в  плановой НВВ  2024 года на выполнение мероприятий по КАПИТАЛЬНОМУ РЕМОНТУ. Предусмотрено Производственной программой, утвержденной на 2024 год: 4223,42 тыс. руб.,  выполнено мероприятий (согласно Экспертному заключению АО "АЭЭ") - 1249,10 тыс. руб. (исключена стоимость работ, относящихся к текущему ремонту и к Программе модернизации).</t>
  </si>
  <si>
    <t>https://data-platform.ru/lk/files/Files/imenod/90823c3e-dc9b-458c-82b7-4e5a6af27e28 ; https://data-platform.ru/lk/files/Files/imenod/374858d4-cebf-4e78-ab16-efc21537ee64</t>
  </si>
  <si>
    <t>П. 9 "Основ ценообразования в сфере водоснабжения и водоотведения" (утв. Постановлением Правительства РФ от 13.05.2013 № 406).</t>
  </si>
  <si>
    <t>Расчетная величина заявленного тарифа не совпадает с величиной 156,51 руб./м3, указанной в заявлении КАО "Азот" от 22.04.2025 № 2342.</t>
  </si>
  <si>
    <t>https://portal.eias.ru/Portal/DownloadPage.aspx?type=12&amp;guid=c52ed9d2-4185-46a1-86e9-5d43a0da077f ;     https://portal.eias.ru/Portal/DownloadPage.aspx?type=12&amp;guid=e689b07e-8ac8-42cd-9a0a-b8a21f4af8b5 ;   https://portal.eias.ru/Portal/DownloadPage.aspx?type=12&amp;guid=febe8588-7d9d-4248-9679-d64ed9ab1f94  ;   https://portal.eias.ru/Portal/DownloadPage.aspx?type=12&amp;guid=f6c1c879-114c-4e5e-9906-c762d40ca695</t>
  </si>
  <si>
    <t>https://portal.eias.ru/Portal/DownloadPage.aspx?type=12&amp;guid=5951061f-2328-4644-9f3d-132977d69e3c;               https://portal.eias.ru/Portal/DownloadPage.aspx?type=12&amp;guid=27a6874f-621a-4573-b774-8896f3343ef2;           https://portal.eias.ru/Portal/DownloadPage.aspx?type=12&amp;guid=46ec05f7-cdb8-4a25-a7f6-732e68841eec;               https://portal.eias.ru/Portal/DownloadPage.aspx?type=12&amp;guid=27583ad5-4451-4a26-9d41-d6bbb8e97236</t>
  </si>
  <si>
    <t>https://portal.eias.ru/Portal/DownloadPage.aspx?type=12&amp;guid=0b815380-db52-45bf-baf5-bcbebc2ca844 ; https://portal.eias.ru/Portal/DownloadPage.aspx?type=12&amp;guid=0e92251c-4da0-40fd-82a6-ca80de16a8fe ;  https://portal.eias.ru/Portal/DownloadPage.aspx?type=12&amp;guid=2e9acbb3-8967-4a1a-bdf8-fb37d9969eeb ;   https://portal.eias.ru/Portal/DownloadPage.aspx?type=12&amp;guid=38711c2f-b5e8-4e0a-a298-46d92d92a8da ;  https://portal.eias.ru/Portal/DownloadPage.aspx?type=12&amp;guid=5e5f4db6-e74e-4006-a183-21e8a5afb56c ;   https://portal.eias.ru/Portal/DownloadPage.aspx?type=12&amp;guid=b8c4b5c6-da66-4d3b-a048-b7f0a34e5bee; https://portal.eias.ru/Portal/DownloadPage.aspx?type=12&amp;guid=d7ddce56-8b9f-4b98-bdcd-72b2dea914ac ;  https://portal.eias.ru/Portal/DownloadPage.aspx?type=12&amp;guid=0209ef7a-83a5-4250-b2bd-a3bd0ef7a53e</t>
  </si>
  <si>
    <t>https://portal.eias.ru/Portal/DownloadPage.aspx?type=12&amp;guid=c14cb2c5-87aa-403a-a30e-08ef3940722a;       https://portal.eias.ru/Portal/DownloadPage.aspx?type=12&amp;guid=9db059e0-a5e0-42ba-a19c-0cdeea2e747b;                              https://portal.eias.ru/Portal/DownloadPage.aspx?type=12&amp;guid=d20922b8-2877-496b-ac31-b92f75833381;      https://portal.eias.ru/Portal/DownloadPage.aspx?type=12&amp;guid=6a5df94b-7da9-454e-99eb-baeb303f1a0c;         https://portal.eias.ru/Portal/DownloadPage.aspx?type=12&amp;guid=443ddec0-7ec3-411d-b5e5-36f18499447a;      https://portal.eias.ru/Portal/DownloadPage.aspx?type=12&amp;guid=537c7ae1-e16f-446a-8488-d82cc037e880;     https://portal.eias.ru/Portal/DownloadPage.aspx?type=12&amp;guid=ab384b18-149f-441f-81f7-774ed6784bad;    https://portal.eias.ru/Portal/DownloadPage.aspx?type=12&amp;guid=eadb7843-4cae-4d90-a2a7-87876e548655</t>
  </si>
  <si>
    <t>https://portal.eias.ru/Portal/DownloadPage.aspx?type=12&amp;guid=1f98bd1c-aeaf-4410-a386-69f6ef50f897 ;   https://portal.eias.ru/Portal/DownloadPage.aspx?type=12&amp;guid=51a6f080-5012-411d-8d67-3068c417e0f0;                  https://portal.eias.ru/Portal/DownloadPage.aspx?type=12&amp;guid=1fea455e-a147-4721-b1c3-582ea708b0ed;     https://portal.eias.ru/Portal/DownloadPage.aspx?type=12&amp;guid=cc585afa-f0db-4938-95d6-95e02a800a92</t>
  </si>
  <si>
    <t>https://portal.eias.ru/Portal/DownloadPage.aspx?type=12&amp;guid=8ac423d9-0b44-4119-a330-2c5f64d2e526  ;           https://portal.eias.ru/Portal/DownloadPage.aspx?type=12&amp;guid=b3a81f6e-36b2-48ad-9e68-2058a9a4d3f4;                   https://portal.eias.ru/Portal/DownloadPage.aspx?type=12&amp;guid=b8ac7890-6105-4512-8219-843cfeac6632</t>
  </si>
  <si>
    <t>https://portal.eias.ru/Portal/DownloadPage.aspx?type=12&amp;guid=4ed8aec8-2a8e-4974-97a0-38c40e8136b5 ;   https://portal.eias.ru/Portal/DownloadPage.aspx?type=12&amp;guid=37cab975-4715-4caa-9106-922af43d221d</t>
  </si>
  <si>
    <t>https://portal.eias.ru/Portal/DownloadPage.aspx?type=12&amp;guid=7ce2c60b-5ab8-485c-8543-746acc839438;  https://portal.eias.ru/Portal/DownloadPage.aspx?type=12&amp;guid=0efce5d7-3184-4ff5-b0df-c0ce9f13ff9f ; https://portal.eias.ru/Portal/DownloadPage.aspx?type=12&amp;guid=8e02f0eb-7724-4df7-8a4d-c425c8a367d9</t>
  </si>
  <si>
    <t>https://portal.eias.ru/Portal/DownloadPage.aspx?type=12&amp;guid=8e02f0eb-7724-4df7-8a4d-c425c8a367d9; https://portal.eias.ru/Portal/DownloadPage.aspx?type=12&amp;guid=0efce5d7-3184-4ff5-b0df-c0ce9f13ff9f ; https://portal.eias.ru/Portal/DownloadPage.aspx?type=12&amp;guid=331660f2-e0ab-4a04-8eba-7869450c0361; https://portal.eias.ru/Portal/DownloadPage.aspx?type=12&amp;guid=eb926653-6f0a-44e5-999c-4b3246b95402 ;  https://portal.eias.ru/Portal/DownloadPage.aspx?type=12&amp;guid=24096fdc-983c-488f-a650-4d62274c7ebc ;  https://portal.eias.ru/Portal/DownloadPage.aspx?type=12&amp;guid=592b93a2-1ebf-41cd-be2c-6b4e2a359402 ;  https://portal.eias.ru/Portal/DownloadPage.aspx?type=12&amp;guid=93d41371-ded5-4209-87be-e112e8fd0bc8 ; https://portal.eias.ru/Portal/DownloadPage.aspx?type=12&amp;guid=3f5307d5-cdf1-4698-abff-d43887f0767c ;  https://portal.eias.ru/Portal/DownloadPage.aspx?type=12&amp;guid=3b94c169-8413-47cd-8622-bcefa234732b</t>
  </si>
  <si>
    <t>https://portal.eias.ru/Portal/DownloadPage.aspx?type=12&amp;guid=0efce5d7-3184-4ff5-b0df-c0ce9f13ff9f ; https://portal.eias.ru/Portal/DownloadPage.aspx?type=12&amp;guid=8e02f0eb-7724-4df7-8a4d-c425c8a367d9;     https://portal.eias.ru/Portal/DownloadPage.aspx?type=12&amp;guid=fffc1fab-da4b-41dd-8681-0733192c33ca</t>
  </si>
  <si>
    <t>https://portal.eias.ru/Portal/DownloadPage.aspx?type=12&amp;guid=0efce5d7-3184-4ff5-b0df-c0ce9f13ff9f https://portal.eias.ru/Portal/DownloadPage.aspx?type=12&amp;guid=8e02f0eb-7724-4df7-8a4d-c425c8a367d9;     https://portal.eias.ru/Portal/DownloadPage.aspx?type=12&amp;guid=63b4ac7c-2cc0-4d82-85e5-1faf304f8df9;       https://portal.eias.ru/Portal/DownloadPage.aspx?type=12&amp;guid=5951061f-2328-4644-9f3d-132977d69e3c</t>
  </si>
  <si>
    <t>https://portal.eias.ru/Portal/DownloadPage.aspx?type=12&amp;guid=37b86236-bee1-4bf1-8616-09108b96faf7;              https://portal.eias.ru/Portal/DownloadPage.aspx?type=12&amp;guid=863d7213-f624-4123-a82f-22782f1e3a6b;         https://portal.eias.ru/Portal/DownloadPage.aspx?type=12&amp;guid=7b720a27-d0d9-41db-8e8e-7b70fdfc17ea;      https://portal.eias.ru/Portal/DownloadPage.aspx?type=12&amp;guid=a2c04cd3-9415-4c30-b563-c9e7fbd30361</t>
  </si>
  <si>
    <t>https://portal.eias.ru/Portal/DownloadPage.aspx?type=12&amp;guid=7ce2c60b-5ab8-485c-8543-746acc839438 ;  https://portal.eias.ru/Portal/DownloadPage.aspx?type=12&amp;guid=90e02aec-474f-4f8c-90e3-1181710e9cba  ; https://portal.eias.ru/Portal/DownloadPage.aspx?type=12&amp;guid=28727f1b-23e1-4352-a60d-7657669fc7d4</t>
  </si>
  <si>
    <t>https://portal.eias.ru/Portal/DownloadPage.aspx?type=12&amp;guid=676d8c15-3b54-48c9-8a6c-e80f47599738  ;         https://portal.eias.ru/Portal/DownloadPage.aspx?type=12&amp;guid=6462c68f-1ee4-458e-b8fb-90b400eac14e</t>
  </si>
  <si>
    <t>П. 29 Методических указаний ФСТ № 1746-э. А также: 1) П. 4  Статьи 39.7 и п. 2 Статьи 49 "Земельного кодекса Российской Федерации" от 25.10.2001 N 136-ФЗ ; 2) Постановление Правительства Российской Федерации от 16.07. 2009 № 582  (ред. от 10.02.2023) "Об основных принципах определения арендной платы при аренде земельных участков, находящихся в гос. или муниципальной собственности, и о Правилах определения размера арендной платы...";  3) Приказ  Минэкономразвития РФ от 23 апреля 2013 г. № 217  "Об утверждении ставки арендной платы в отношении земельных участков, находящихся в собственности Р.Ф. и предоставленных (занятых) для размещения трубопроводов и иных объектов, используемых в сфере тепло-, водоснабжения, водоотведения и очистки сточных вод".</t>
  </si>
  <si>
    <t>Расходы по Договору аренды земельного участка (предоставленного под  Буферный пруд) № 05-0010  от 01.03.2005, заключенного с  КУМИ г. Кемерово. Принято в размере 0,7% от кадастровой стоимости земельного участка -  1210339,339 тыс. руб. согласно представленной Выписке из ЕГРН от 03.09.2024, с учетом доли реализации на сторону 0,679.</t>
  </si>
  <si>
    <t>https://portal.eias.ru/Portal/DownloadPage.aspx?type=12&amp;guid=a64e85dd-615a-4cd4-874b-c840ab469dea ;                        https://portal.eias.ru/Portal/DownloadPage.aspx?type=12&amp;guid=90c6b4d1-24b8-4937-b1c0-2fa094c98375;                https://portal.eias.ru/Portal/DownloadPage.aspx?type=12&amp;guid=2aa9bf5c-1aad-48af-817b-a902ba237cbc;         https://portal.eias.ru/Portal/DownloadPage.aspx?type=12&amp;guid=29597885-eaf3-4c94-88ad-7d631ae36bc6;   https://portal.eias.ru/Portal/DownloadPage.aspx?type=12&amp;guid=febe8588-7d9d-4248-9679-d64ed9ab1f94 ;    https://portal.eias.ru/Portal/DownloadPage.aspx?type=12&amp;guid=e689b07e-8ac8-42cd-9a0a-b8a21f4af8b5</t>
  </si>
  <si>
    <t>https://portal.eias.ru/Portal/DownloadPage.aspx?type=12&amp;guid=8e02f0eb-7724-4df7-8a4d-c425c8a367d9;  https://portal.eias.ru/Portal/DownloadPage.aspx?type=12&amp;guid=0efce5d7-3184-4ff5-b0df-c0ce9f13ff9f;    https://portal.eias.ru/Portal/DownloadPage.aspx?type=12&amp;guid=7ce2c60b-5ab8-485c-8543-746acc839438;       https://portal.eias.ru/Portal/DownloadPage.aspx?type=12&amp;guid=0463d50c-c1b0-40b1-ad35-38fcc0e74e7f ;</t>
  </si>
  <si>
    <t>https://data-platform.ru/lk/files/Files/imenod/73939a38-ff42-48ae-af47-425ae5d33a5b ; https://data-platform.ru/lk/files/Files/imenod/e9e03711-4b1b-46c4-b489-e37e4016862d</t>
  </si>
  <si>
    <t>Рассчитано в соответствии с Формулой (36) Методических указаний ФСТ № 1746-э. Агрегированный показатель (А) надежности и качества объектов централизованных систем водоотведения составил 0,649; процент корректировки  плановой НВВ 2024 года  (П кор.2024) - 3,0%, с учетом ИПЦ Минэкономразвития России 105,8% на 2025 г. и 104,3% на 2026 г.</t>
  </si>
  <si>
    <t>Организацией данная корректировка не заявлена. Расчет регулирующего органа см. на Листе "Корректировка НВВ".</t>
  </si>
  <si>
    <t>https://portal.eias.ru/Portal/DownloadPage.aspx?type=12&amp;guid=bc10d487-c6f4-4d1d-9e16-8f63c1e5cec2 ;  https://portal.eias.ru/Portal/DownloadPage.aspx?type=12&amp;guid=ca168238-ae5e-4c8f-ab80-57a79f701a66</t>
  </si>
  <si>
    <t>Организацией заявлена часть недополученных доходов за отчетный 2022 год (из общей суммы 807,6 тыс. руб.). Специалистом РЭК остаток недополученного дохода за 2022 год учтен в полном объеме.</t>
  </si>
  <si>
    <t>Учтена сумма недоосвоения средств, заложенных в  плановой НВВ  2024 года на выполнение мероприятий по КАПИТАЛЬНОМУ РЕМОНТУ. Предусмотрено Производственной программой, утвержденной на 2024 год: 2272,28 тыс. руб.,  выполнено мероприятий (согласно Экспертному заключению АО "АЭЭ") - 168,51 тыс. руб. (исключена стоимость работ, относящихся к текущему ремонту и к Программе модернизации).</t>
  </si>
  <si>
    <t>Сведена к нулю суммарная величина корректировок за 2024-2025 гг. (Положительная корректировка принята в размере, не превышающем 12,0% от рассчитанной регулятором плановой НВВ на 2026 год.)</t>
  </si>
  <si>
    <t>https://data-platform.ru/lk/files/Files/imenod/148bf540-0adf-487f-aff1-d15e63a54355 ;  https://data-platform.ru/lk/files/Files/imenod/c0defaaa-4407-40cf-9c09-f1cd46e10aaa</t>
  </si>
  <si>
    <t>Расчетная величина заявленного тарифа не совпадает с величиной 0,99 руб./м3, указанной в заявлении КАО "Азот" от 22.04.2025 № 2342.</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</si>
  <si>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</si>
  <si>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</si>
  <si>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</si>
  <si>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</si>
  <si>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</si>
  <si>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_x000D_
         funcDyn: 'msg1',_x000D_
         blok: 'blok_1',_x000D_
         wsCross: 'ДПР',_x000D_
         linkFormula: 'AB-AB',_x000D_
         levelDyn: ''_x000D_
}</t>
  </si>
  <si>
    <t>Корректировка необходимой валовой выручки, установленной на 2026 год (по всем видам деятельности),  произведена специалистом РЭК Кузбасса в соответствии с положениями Главы VII  "Методических указаний по расчету регулируемых тарифов в сфере водоснабжения и водоотведения", утвержденных Приказом ФСТ России от 27.12.2013 № 1746-э (ред. от 27.05.2024).</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</si>
  <si>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</si>
  <si>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</si>
  <si>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</si>
  <si>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</si>
  <si>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</si>
  <si>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</si>
  <si>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</si>
  <si>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</si>
  <si>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</si>
  <si>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</si>
  <si>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</si>
  <si>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</si>
  <si>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</si>
  <si>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</si>
  <si>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</si>
  <si>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</si>
  <si>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</si>
  <si>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</si>
  <si>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</si>
  <si>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</si>
  <si>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</si>
  <si>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</si>
  <si>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</si>
  <si>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</si>
  <si>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</si>
  <si>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</si>
  <si>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</si>
  <si>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</si>
  <si>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</si>
  <si>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</si>
  <si>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</si>
  <si>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</si>
  <si>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</si>
  <si>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</si>
  <si>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</si>
  <si>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</si>
  <si>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</si>
  <si>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</si>
  <si>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</si>
  <si>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</si>
  <si>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</si>
  <si>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</si>
  <si>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</si>
  <si>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</si>
  <si>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</si>
  <si>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</si>
  <si>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</si>
  <si>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</si>
  <si>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</si>
  <si>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</si>
  <si>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</si>
  <si>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</si>
  <si>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</si>
  <si>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</si>
  <si>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</si>
  <si>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</si>
  <si>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</si>
  <si>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</si>
  <si>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</si>
  <si>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</si>
  <si>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</si>
  <si>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</si>
  <si>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</si>
  <si>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</si>
  <si>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</si>
  <si>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</si>
  <si>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</si>
  <si>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</si>
  <si>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</si>
  <si>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</si>
  <si>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</si>
  <si>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</si>
  <si>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</si>
  <si>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</si>
  <si>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</si>
  <si>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</si>
  <si>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</si>
  <si>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</si>
  <si>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</si>
  <si>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</si>
  <si>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</si>
  <si>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</si>
  <si>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</si>
  <si>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</si>
  <si>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</si>
  <si>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</si>
  <si>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</si>
  <si>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</si>
  <si>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</si>
  <si>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</si>
  <si>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</si>
  <si>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</si>
  <si>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</si>
  <si>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</si>
  <si>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</si>
  <si>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</si>
  <si>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</si>
  <si>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</si>
  <si>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</si>
  <si>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</si>
  <si>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</si>
  <si>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</si>
  <si>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</si>
  <si>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</si>
  <si>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</si>
  <si>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</si>
  <si>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</si>
  <si>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</si>
  <si>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</si>
  <si>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</si>
  <si>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</si>
  <si>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</si>
  <si>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</si>
  <si>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</si>
  <si>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</si>
  <si>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</si>
  <si>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</si>
  <si>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</si>
  <si>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</si>
  <si>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</si>
  <si>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</si>
  <si>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</si>
  <si>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</si>
  <si>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</si>
  <si>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</si>
  <si>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</si>
  <si>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</si>
  <si>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</si>
  <si>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</si>
  <si>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</si>
  <si>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</si>
  <si>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</si>
  <si>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</si>
  <si>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</si>
  <si>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</si>
  <si>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</si>
  <si>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</si>
  <si>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</si>
  <si>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</si>
  <si>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</si>
  <si>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</si>
  <si>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</si>
  <si>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</si>
  <si>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</si>
  <si>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</si>
  <si>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</si>
  <si>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</si>
  <si>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</si>
  <si>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</si>
  <si>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</si>
  <si>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</si>
  <si>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</si>
  <si>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</si>
  <si>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</si>
  <si>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</si>
  <si>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</si>
  <si>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</si>
  <si>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</si>
  <si>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</si>
  <si>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</si>
  <si>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</si>
  <si>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</si>
  <si>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</si>
  <si>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</si>
  <si>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</si>
  <si>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</si>
  <si>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</si>
  <si>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</si>
  <si>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</si>
  <si>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</si>
  <si>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</si>
  <si>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</si>
  <si>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</si>
  <si>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</si>
  <si>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</si>
  <si>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</si>
  <si>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</si>
  <si>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</si>
  <si>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</si>
  <si>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</si>
  <si>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</si>
  <si>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</si>
  <si>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</si>
  <si>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</si>
  <si>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</si>
  <si>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</si>
  <si>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</si>
  <si>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</si>
  <si>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</si>
  <si>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</si>
  <si>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</si>
  <si>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</si>
  <si>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</si>
  <si>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</si>
  <si>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</si>
  <si>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</si>
  <si>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</si>
  <si>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</si>
  <si>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</si>
  <si>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</si>
  <si>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</si>
  <si>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</si>
  <si>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</si>
  <si>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</si>
  <si>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</si>
  <si>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</si>
  <si>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</si>
  <si>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</si>
  <si>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</si>
  <si>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</si>
  <si>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</si>
  <si>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</si>
  <si>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</si>
  <si>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</si>
  <si>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</si>
  <si>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</si>
  <si>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</si>
  <si>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</si>
  <si>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</si>
  <si>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</si>
  <si>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</si>
  <si>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</si>
  <si>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</si>
  <si>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</si>
  <si>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</si>
  <si>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</si>
  <si>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</si>
  <si>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</si>
  <si>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</si>
  <si>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</si>
  <si>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</si>
  <si>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</si>
  <si>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</si>
  <si>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</si>
  <si>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</si>
  <si>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</si>
  <si>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</si>
  <si>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</si>
  <si>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</si>
  <si>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</si>
  <si>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</si>
  <si>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</si>
  <si>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</si>
  <si>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</si>
  <si>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</si>
  <si>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</si>
  <si>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</si>
  <si>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</si>
  <si>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</si>
  <si>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</si>
  <si>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</si>
  <si>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</si>
  <si>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</si>
  <si>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</si>
  <si>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</si>
  <si>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</si>
  <si>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</si>
  <si>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</si>
  <si>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</si>
  <si>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</si>
  <si>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</si>
  <si>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</si>
  <si>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</si>
  <si>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</si>
  <si>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</si>
  <si>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</si>
  <si>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</si>
  <si>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</si>
  <si>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</si>
  <si>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</si>
  <si>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</si>
  <si>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</si>
  <si>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</si>
  <si>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</si>
  <si>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</si>
  <si>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</si>
  <si>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</si>
  <si>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</si>
  <si>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</si>
  <si>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</si>
  <si>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</si>
  <si>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</si>
  <si>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</si>
  <si>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</si>
  <si>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</si>
  <si>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</si>
  <si>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</si>
  <si>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</si>
  <si>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</si>
  <si>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</si>
  <si>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</si>
  <si>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</si>
  <si>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</si>
  <si>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</si>
  <si>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</si>
  <si>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</si>
  <si>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</si>
  <si>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</si>
  <si>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</si>
  <si>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</si>
  <si>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</si>
  <si>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</si>
  <si>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</si>
  <si>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</si>
  <si>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</si>
  <si>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</si>
  <si>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</si>
  <si>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</si>
  <si>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</si>
  <si>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</si>
  <si>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</si>
  <si>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</si>
  <si>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</si>
  <si>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</si>
  <si>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</si>
  <si>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</si>
  <si>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</si>
  <si>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</si>
  <si>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</si>
  <si>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</si>
  <si>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</si>
  <si>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</si>
  <si>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</si>
  <si>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</si>
  <si>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</si>
  <si>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</si>
  <si>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</si>
  <si>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</si>
  <si>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</si>
  <si>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</si>
  <si>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</si>
  <si>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</si>
  <si>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</si>
  <si>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</si>
  <si>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</si>
  <si>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</si>
  <si>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</si>
  <si>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</si>
  <si>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</si>
  <si>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</si>
  <si>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</si>
  <si>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</si>
  <si>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</si>
  <si>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</si>
  <si>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</si>
  <si>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</si>
  <si>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</si>
  <si>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</si>
  <si>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</si>
  <si>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</si>
  <si>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</si>
  <si>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</si>
  <si>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</si>
  <si>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</si>
  <si>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</si>
  <si>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</si>
  <si>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</si>
  <si>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</si>
  <si>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</si>
  <si>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</si>
  <si>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</si>
  <si>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</si>
  <si>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</si>
  <si>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</si>
  <si>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</si>
  <si>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</si>
  <si>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</si>
  <si>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</si>
  <si>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</si>
  <si>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</si>
  <si>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</si>
  <si>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</si>
  <si>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</si>
  <si>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</si>
  <si>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</si>
  <si>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</si>
  <si>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</si>
  <si>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</si>
  <si>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</si>
  <si>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</si>
  <si>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</si>
  <si>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</si>
  <si>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</si>
  <si>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</si>
  <si>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</si>
  <si>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</si>
  <si>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</si>
  <si>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</si>
  <si>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</si>
  <si>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</si>
  <si>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</si>
  <si>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</si>
  <si>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</si>
  <si>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</si>
  <si>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</si>
  <si>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</si>
  <si>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</si>
  <si>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</si>
  <si>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</si>
  <si>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</si>
  <si>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</si>
  <si>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</si>
  <si>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</si>
  <si>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</si>
  <si>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</si>
  <si>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</si>
  <si>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</si>
  <si>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</si>
  <si>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</si>
  <si>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</si>
  <si>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</si>
  <si>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</si>
  <si>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</si>
  <si>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</si>
  <si>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</si>
  <si>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</si>
  <si>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</si>
  <si>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</si>
  <si>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</si>
  <si>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</si>
  <si>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</si>
  <si>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</si>
  <si>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</si>
  <si>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</si>
  <si>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</si>
  <si>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</si>
  <si>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</si>
  <si>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</si>
  <si>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</si>
  <si>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</si>
  <si>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</si>
  <si>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</si>
  <si>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</si>
  <si>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</si>
  <si>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</si>
  <si>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</si>
  <si>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</si>
  <si>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</si>
  <si>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</si>
  <si>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</si>
  <si>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</si>
  <si>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</si>
  <si>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</si>
  <si>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</si>
  <si>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</si>
  <si>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</si>
  <si>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</si>
  <si>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</si>
  <si>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</si>
  <si>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</si>
  <si>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</si>
  <si>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</si>
  <si>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</si>
  <si>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</si>
  <si>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</si>
  <si>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</si>
  <si>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</si>
  <si>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</si>
  <si>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</si>
  <si>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</si>
  <si>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</si>
  <si>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</si>
  <si>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</si>
  <si>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</si>
  <si>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</si>
  <si>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</si>
  <si>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</si>
  <si>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</si>
  <si>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</si>
  <si>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</si>
  <si>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</si>
  <si>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</si>
  <si>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</si>
  <si>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</si>
  <si>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</si>
  <si>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</si>
  <si>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</si>
  <si>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</si>
  <si>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</si>
  <si>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</si>
  <si>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</si>
  <si>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</si>
  <si>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</si>
  <si>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</si>
  <si>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</si>
  <si>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</si>
  <si>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</si>
  <si>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</si>
  <si>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</si>
  <si>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</si>
  <si>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</si>
  <si>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</si>
  <si>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</si>
  <si>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</si>
  <si>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</si>
  <si>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</si>
  <si>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</si>
  <si>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</si>
  <si>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</si>
  <si>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</si>
  <si>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</si>
  <si>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</si>
  <si>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</si>
  <si>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</si>
  <si>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</si>
  <si>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</si>
  <si>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</si>
  <si>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</si>
  <si>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</si>
  <si>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</si>
  <si>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</si>
  <si>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</si>
  <si>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</si>
  <si>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</si>
  <si>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</si>
  <si>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</si>
  <si>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</si>
  <si>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</si>
  <si>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</si>
  <si>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</si>
  <si>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</si>
  <si>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</si>
  <si>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</si>
  <si>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</si>
  <si>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</si>
  <si>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</si>
  <si>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</si>
  <si>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</si>
  <si>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</si>
  <si>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</si>
  <si>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</si>
  <si>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</si>
  <si>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</si>
  <si>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</si>
  <si>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</si>
  <si>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</si>
  <si>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</si>
  <si>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</si>
  <si>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</si>
  <si>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</si>
  <si>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</si>
  <si>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</si>
  <si>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</si>
  <si>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</si>
  <si>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</si>
  <si>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</si>
  <si>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</si>
  <si>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</si>
  <si>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</si>
  <si>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</si>
  <si>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</si>
  <si>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</si>
  <si>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</si>
  <si>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</si>
  <si>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</si>
  <si>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</si>
  <si>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</si>
  <si>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</si>
  <si>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</si>
  <si>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</si>
  <si>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</si>
  <si>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</si>
  <si>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</si>
  <si>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</si>
  <si>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</si>
  <si>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</si>
  <si>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</si>
  <si>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</si>
  <si>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</si>
  <si>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</si>
  <si>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</si>
  <si>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</si>
  <si>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</si>
  <si>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</si>
  <si>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</si>
  <si>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</si>
  <si>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</si>
  <si>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</si>
  <si>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</si>
  <si>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</si>
  <si>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</si>
  <si>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</si>
  <si>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</si>
  <si>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</si>
  <si>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</si>
  <si>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</si>
  <si>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</si>
  <si>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</si>
  <si>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</si>
  <si>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</si>
  <si>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</si>
  <si>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</si>
  <si>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</si>
  <si>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</si>
  <si>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</si>
  <si>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</si>
  <si>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</si>
  <si>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</si>
  <si>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</si>
  <si>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</si>
  <si>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</si>
  <si>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</si>
  <si>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</si>
  <si>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</si>
  <si>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</si>
  <si>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</si>
  <si>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</si>
  <si>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</si>
  <si>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</si>
  <si>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</si>
  <si>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</si>
  <si>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</si>
  <si>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</si>
  <si>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</si>
  <si>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</si>
  <si>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</si>
  <si>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</si>
  <si>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</si>
  <si>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</si>
  <si>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</si>
  <si>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</si>
  <si>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</si>
  <si>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</si>
  <si>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</si>
  <si>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</si>
  <si>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</si>
  <si>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</si>
  <si>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</si>
  <si>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</si>
  <si>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</si>
  <si>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</si>
  <si>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</si>
  <si>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</si>
  <si>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</si>
  <si>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</si>
  <si>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</si>
  <si>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</si>
  <si>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</si>
  <si>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</si>
  <si>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</si>
  <si>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</si>
  <si>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</si>
  <si>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</si>
  <si>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</si>
  <si>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</si>
  <si>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</si>
  <si>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</si>
  <si>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</si>
  <si>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</si>
  <si>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</si>
  <si>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</si>
  <si>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</si>
  <si>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</si>
  <si>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</si>
  <si>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</si>
  <si>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</si>
  <si>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</si>
  <si>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</si>
  <si>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</si>
  <si>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</si>
  <si>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</si>
  <si>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</si>
  <si>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</si>
  <si>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</si>
  <si>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</si>
  <si>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</si>
  <si>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</si>
  <si>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</si>
  <si>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</si>
  <si>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</si>
  <si>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</si>
  <si>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</si>
  <si>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</si>
  <si>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</si>
  <si>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</si>
  <si>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</si>
  <si>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</si>
  <si>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</si>
  <si>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</si>
  <si>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</si>
  <si>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</si>
  <si>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</si>
  <si>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</si>
  <si>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</si>
  <si>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</si>
  <si>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</si>
  <si>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</si>
  <si>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</si>
  <si>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</si>
  <si>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</si>
  <si>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</si>
  <si>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</si>
  <si>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</si>
  <si>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</si>
  <si>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</si>
  <si>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</si>
  <si>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</si>
  <si>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</si>
  <si>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</si>
  <si>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</si>
  <si>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</si>
  <si>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</si>
  <si>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</si>
  <si>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</si>
  <si>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</si>
  <si>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</si>
  <si>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</si>
  <si>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</si>
  <si>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</si>
  <si>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</si>
  <si>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</si>
  <si>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</si>
  <si>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</si>
  <si>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</si>
  <si>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</si>
  <si>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</si>
  <si>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</si>
  <si>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</si>
  <si>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</si>
  <si>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</si>
  <si>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</si>
  <si>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</si>
  <si>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</si>
  <si>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</si>
  <si>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</si>
  <si>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</si>
  <si>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</si>
  <si>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</si>
  <si>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</si>
  <si>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</si>
  <si>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</si>
  <si>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</si>
  <si>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</si>
  <si>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</si>
  <si>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</si>
  <si>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</si>
  <si>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</si>
  <si>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</si>
  <si>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</si>
  <si>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</si>
  <si>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</si>
  <si>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</si>
  <si>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</si>
  <si>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</si>
  <si>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</si>
  <si>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</si>
  <si>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</si>
  <si>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</si>
  <si>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</si>
  <si>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</si>
  <si>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</si>
  <si>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</si>
  <si>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</si>
  <si>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</si>
  <si>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</si>
  <si>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</si>
  <si>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</si>
  <si>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</si>
  <si>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</si>
  <si>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</si>
  <si>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</si>
  <si>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</si>
  <si>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</si>
  <si>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</si>
  <si>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</si>
  <si>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</si>
  <si>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</si>
  <si>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</si>
  <si>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</si>
  <si>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</si>
  <si>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</si>
  <si>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</si>
  <si>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</si>
  <si>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</si>
  <si>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</si>
  <si>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</si>
  <si>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</si>
  <si>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</si>
  <si>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</si>
  <si>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</si>
  <si>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</si>
  <si>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</si>
  <si>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</si>
  <si>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</si>
  <si>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</si>
  <si>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</si>
  <si>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</si>
  <si>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</si>
  <si>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</si>
  <si>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</si>
  <si>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</si>
  <si>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</si>
  <si>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</si>
  <si>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</si>
  <si>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</si>
  <si>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</si>
  <si>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</si>
  <si>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</si>
  <si>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</si>
  <si>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</si>
  <si>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</si>
  <si>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(3842) 571-577, 570-669/ 570-091, 571-924, 255-947</t>
  </si>
  <si>
    <t>Безух Игорь Геннадьевич</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</si>
  <si>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</si>
  <si>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</si>
  <si>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</si>
  <si>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</si>
  <si>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</si>
  <si>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</si>
  <si>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</si>
  <si>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</si>
  <si>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</si>
  <si>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</si>
  <si>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</si>
  <si>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</si>
  <si>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</si>
  <si>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</si>
  <si>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</si>
  <si>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</si>
  <si>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</si>
  <si>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</si>
  <si>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</si>
  <si>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</si>
  <si>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</si>
  <si>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</si>
  <si>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</si>
  <si>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</si>
  <si>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</si>
  <si>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</si>
  <si>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</si>
  <si>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</si>
  <si>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</si>
  <si>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</si>
  <si>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</si>
  <si>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</si>
  <si>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</si>
  <si>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</si>
  <si>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</si>
  <si>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</si>
  <si>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</si>
  <si>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</si>
  <si>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</si>
  <si>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</si>
  <si>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</si>
  <si>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</si>
  <si>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</si>
  <si>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</si>
  <si>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</si>
  <si>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</si>
  <si>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</si>
  <si>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</si>
  <si>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</si>
  <si>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</si>
  <si>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</si>
  <si>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</si>
  <si>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</si>
  <si>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</si>
  <si>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</si>
  <si>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</si>
  <si>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</si>
  <si>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</si>
  <si>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</si>
  <si>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</si>
  <si>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</si>
  <si>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</si>
  <si>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</si>
  <si>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</si>
  <si>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</si>
  <si>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</si>
  <si>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</si>
  <si>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</si>
  <si>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</si>
  <si>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</si>
  <si>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</si>
  <si>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</si>
  <si>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</si>
  <si>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</si>
  <si>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</si>
  <si>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</si>
  <si>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</si>
  <si>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</si>
  <si>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</si>
  <si>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</si>
  <si>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</si>
  <si>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</si>
  <si>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</si>
  <si>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</si>
  <si>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</si>
  <si>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</si>
  <si>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</si>
  <si>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</si>
  <si>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</si>
  <si>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</si>
  <si>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</si>
  <si>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</si>
  <si>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</si>
  <si>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</si>
  <si>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</si>
  <si>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</si>
  <si>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</si>
  <si>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</si>
  <si>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</si>
  <si>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</si>
  <si>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</si>
  <si>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</si>
  <si>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</si>
  <si>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</si>
  <si>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</si>
  <si>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</si>
  <si>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</si>
  <si>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</si>
  <si>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</si>
  <si>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</si>
  <si>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</si>
  <si>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</si>
  <si>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</si>
  <si>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</si>
  <si>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</si>
  <si>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</si>
  <si>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</si>
  <si>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</si>
  <si>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</si>
  <si>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</si>
  <si>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</si>
  <si>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</si>
  <si>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</si>
  <si>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</si>
  <si>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</si>
  <si>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</si>
  <si>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</si>
  <si>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</si>
  <si>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</si>
  <si>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</si>
  <si>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</si>
  <si>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</si>
  <si>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</si>
  <si>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</si>
  <si>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</si>
  <si>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</si>
  <si>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</si>
  <si>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</si>
  <si>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</si>
  <si>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</si>
  <si>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</si>
  <si>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</si>
  <si>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</si>
  <si>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</si>
  <si>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</si>
  <si>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</si>
  <si>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</si>
  <si>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</si>
  <si>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</si>
  <si>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</si>
  <si>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</si>
  <si>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</si>
  <si>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</si>
  <si>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</si>
  <si>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</si>
  <si>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</si>
  <si>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</si>
  <si>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</si>
  <si>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</si>
  <si>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</si>
  <si>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</si>
  <si>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</si>
  <si>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</si>
  <si>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</si>
  <si>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</si>
  <si>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</si>
  <si>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</si>
  <si>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</si>
  <si>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</si>
  <si>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</si>
  <si>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</si>
  <si>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</si>
  <si>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</si>
  <si>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</si>
  <si>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</si>
  <si>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</si>
  <si>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</si>
  <si>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</si>
  <si>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</si>
  <si>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</si>
  <si>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</si>
  <si>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</si>
  <si>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</si>
  <si>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</si>
  <si>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</si>
  <si>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</si>
  <si>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</si>
  <si>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</si>
  <si>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</si>
  <si>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</si>
  <si>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</si>
  <si>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</si>
  <si>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</si>
  <si>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</si>
  <si>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</si>
  <si>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</si>
  <si>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</si>
  <si>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</si>
  <si>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</si>
  <si>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</si>
  <si>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</si>
  <si>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</si>
  <si>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</si>
  <si>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</si>
  <si>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</si>
  <si>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</si>
  <si>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</si>
  <si>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</si>
  <si>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</si>
  <si>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</si>
  <si>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</si>
  <si>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</si>
  <si>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</si>
  <si>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</si>
  <si>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</si>
  <si>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</si>
  <si>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</si>
  <si>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</si>
  <si>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</si>
  <si>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</si>
  <si>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</si>
  <si>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</si>
  <si>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</si>
  <si>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</si>
  <si>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</si>
  <si>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</si>
  <si>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</si>
  <si>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</si>
  <si>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</si>
  <si>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</si>
  <si>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</si>
  <si>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</si>
  <si>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</si>
  <si>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</si>
  <si>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</si>
  <si>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</si>
  <si>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</si>
  <si>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</si>
  <si>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</si>
  <si>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</si>
  <si>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</si>
  <si>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</si>
  <si>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</si>
  <si>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</si>
  <si>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</si>
  <si>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</si>
  <si>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</si>
  <si>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</si>
  <si>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</si>
  <si>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</si>
  <si>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</si>
  <si>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</si>
  <si>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</si>
  <si>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</si>
  <si>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</si>
  <si>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</si>
  <si>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</si>
  <si>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</si>
  <si>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</si>
  <si>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</si>
  <si>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</si>
  <si>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</si>
  <si>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</si>
  <si>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</si>
  <si>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</si>
  <si>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</si>
  <si>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</si>
  <si>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</si>
  <si>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</si>
  <si>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</si>
  <si>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</si>
  <si>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</si>
  <si>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</si>
  <si>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</si>
  <si>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</si>
  <si>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</si>
  <si>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</si>
  <si>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</si>
  <si>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</si>
  <si>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</si>
  <si>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</si>
  <si>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</si>
  <si>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</si>
  <si>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</si>
  <si>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</si>
  <si>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</si>
  <si>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</si>
  <si>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</si>
  <si>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</si>
  <si>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</si>
  <si>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</si>
  <si>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</si>
  <si>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</si>
  <si>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</si>
  <si>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</si>
  <si>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</si>
  <si>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</si>
  <si>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</si>
  <si>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</si>
  <si>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</si>
  <si>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</si>
  <si>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</si>
  <si>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</si>
  <si>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</si>
  <si>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</si>
  <si>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</si>
  <si>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</si>
  <si>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</si>
  <si>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</si>
  <si>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</si>
  <si>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</si>
  <si>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</si>
  <si>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</si>
  <si>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</si>
  <si>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</si>
  <si>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</si>
  <si>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</si>
  <si>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</si>
  <si>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</si>
  <si>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</si>
  <si>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</si>
  <si>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</si>
  <si>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</si>
  <si>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</si>
  <si>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</si>
  <si>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</si>
  <si>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</si>
  <si>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</si>
  <si>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</si>
  <si>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</si>
  <si>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</si>
  <si>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</si>
  <si>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</si>
  <si>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</si>
  <si>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</si>
  <si>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</si>
  <si>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</si>
  <si>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</si>
  <si>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</si>
  <si>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</si>
  <si>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</si>
  <si>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</si>
  <si>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</si>
  <si>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</si>
  <si>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</si>
  <si>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</si>
  <si>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</si>
  <si>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</si>
  <si>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</si>
  <si>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</si>
  <si>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</si>
  <si>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</si>
  <si>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</si>
  <si>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</si>
  <si>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</si>
  <si>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</si>
  <si>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</si>
  <si>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</si>
  <si>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</si>
  <si>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</si>
  <si>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</si>
  <si>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</si>
  <si>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</si>
  <si>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</si>
  <si>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</si>
  <si>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</si>
  <si>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</si>
  <si>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</si>
  <si>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</si>
  <si>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</si>
  <si>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</si>
  <si>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</si>
  <si>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</si>
  <si>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</si>
  <si>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</si>
  <si>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</si>
  <si>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</si>
  <si>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</si>
  <si>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</si>
  <si>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</si>
  <si>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</si>
  <si>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</si>
  <si>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</si>
  <si>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</si>
  <si>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</si>
  <si>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</si>
  <si>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</si>
  <si>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</si>
  <si>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</si>
  <si>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</si>
  <si>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</si>
  <si>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</si>
  <si>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</si>
  <si>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</si>
  <si>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</si>
  <si>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</si>
  <si>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</si>
  <si>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</si>
  <si>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</si>
  <si>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</si>
  <si>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</si>
  <si>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</si>
  <si>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</si>
  <si>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</si>
  <si>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</si>
  <si>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</si>
  <si>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</si>
  <si>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</si>
  <si>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</si>
  <si>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</si>
  <si>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</si>
  <si>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</si>
  <si>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</si>
  <si>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</si>
  <si>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</si>
  <si>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</si>
  <si>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</si>
  <si>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</si>
  <si>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</si>
  <si>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</si>
  <si>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</si>
  <si>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</si>
  <si>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</si>
  <si>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</si>
  <si>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</si>
  <si>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</si>
  <si>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</si>
  <si>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</si>
  <si>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</si>
  <si>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</si>
  <si>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</si>
  <si>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</si>
  <si>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</si>
  <si>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</si>
  <si>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</si>
  <si>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</si>
  <si>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</si>
  <si>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</si>
  <si>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</si>
  <si>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</si>
  <si>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</si>
  <si>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</si>
  <si>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</si>
  <si>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</si>
  <si>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</si>
  <si>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</si>
  <si>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</si>
  <si>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</si>
  <si>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</si>
  <si>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</si>
  <si>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</si>
  <si>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</si>
  <si>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</si>
  <si>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</si>
  <si>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</si>
  <si>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</si>
  <si>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</si>
  <si>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</si>
  <si>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</si>
  <si>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</si>
  <si>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</si>
  <si>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</si>
  <si>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</si>
  <si>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</si>
  <si>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</si>
  <si>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</si>
  <si>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</si>
  <si>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</si>
  <si>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</si>
  <si>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</si>
  <si>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</si>
  <si>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</si>
  <si>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</si>
  <si>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</si>
  <si>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</si>
  <si>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</si>
  <si>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</si>
  <si>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</si>
  <si>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</si>
  <si>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</si>
  <si>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</si>
  <si>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</si>
  <si>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</si>
  <si>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</si>
  <si>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</si>
  <si>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</si>
  <si>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</si>
  <si>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</si>
  <si>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</si>
  <si>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</si>
  <si>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</si>
  <si>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</si>
  <si>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</si>
  <si>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</si>
  <si>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</si>
  <si>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</si>
  <si>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</si>
  <si>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</si>
  <si>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</si>
  <si>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</si>
  <si>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</si>
  <si>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</si>
  <si>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</si>
  <si>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</si>
  <si>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</si>
  <si>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</si>
  <si>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</si>
  <si>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</si>
  <si>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</si>
  <si>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</si>
  <si>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</si>
  <si>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</si>
  <si>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</si>
  <si>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</si>
  <si>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</si>
  <si>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</si>
  <si>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</si>
  <si>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</si>
  <si>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</si>
  <si>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</si>
  <si>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</si>
  <si>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</si>
  <si>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</si>
  <si>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</si>
  <si>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</si>
  <si>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</si>
  <si>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</si>
  <si>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</si>
  <si>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</si>
  <si>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</si>
  <si>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</si>
  <si>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</si>
  <si>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</si>
  <si>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</si>
  <si>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</si>
  <si>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</si>
  <si>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</si>
  <si>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</si>
  <si>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</si>
  <si>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</si>
  <si>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</si>
  <si>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</si>
  <si>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</si>
  <si>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</si>
  <si>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</si>
  <si>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</si>
  <si>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</si>
  <si>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</si>
  <si>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</si>
  <si>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</si>
  <si>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</si>
  <si>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</si>
  <si>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</si>
  <si>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</si>
  <si>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</si>
  <si>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</si>
  <si>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</si>
  <si>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</si>
  <si>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</si>
  <si>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</si>
  <si>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</si>
  <si>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</si>
  <si>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</si>
  <si>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</si>
  <si>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</si>
  <si>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</si>
  <si>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</si>
  <si>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</si>
  <si>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</si>
  <si>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</si>
  <si>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</si>
  <si>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</si>
  <si>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</si>
  <si>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</si>
  <si>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</si>
  <si>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</si>
  <si>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</si>
  <si>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</si>
  <si>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</si>
  <si>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</si>
  <si>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</si>
  <si>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</si>
  <si>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</si>
  <si>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</si>
  <si>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</si>
  <si>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</si>
  <si>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</si>
  <si>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</si>
  <si>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</si>
  <si>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</si>
  <si>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</si>
  <si>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</si>
  <si>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</si>
  <si>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</si>
  <si>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</si>
  <si>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</si>
  <si>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</si>
  <si>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</si>
  <si>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</si>
  <si>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</si>
  <si>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</si>
  <si>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</si>
  <si>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</si>
  <si>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</si>
  <si>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</si>
  <si>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</si>
  <si>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</si>
  <si>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</si>
  <si>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</si>
  <si>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</si>
  <si>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</si>
  <si>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</si>
  <si>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</si>
  <si>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</si>
  <si>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</si>
  <si>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</si>
  <si>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</si>
  <si>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</si>
  <si>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</si>
  <si>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</si>
  <si>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</si>
  <si>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</si>
  <si>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</si>
  <si>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</si>
  <si>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</si>
  <si>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</si>
  <si>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</si>
  <si>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</si>
  <si>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</si>
  <si>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</si>
  <si>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</si>
  <si>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</si>
  <si>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</si>
  <si>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</si>
  <si>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</si>
  <si>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</si>
  <si>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</si>
  <si>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</si>
  <si>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</si>
  <si>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</si>
  <si>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</si>
  <si>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</si>
  <si>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</si>
  <si>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</si>
  <si>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</si>
  <si>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</si>
  <si>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</si>
  <si>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</si>
  <si>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</si>
  <si>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</si>
  <si>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</si>
  <si>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</si>
  <si>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</si>
  <si>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</si>
  <si>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</si>
  <si>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</si>
  <si>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</si>
  <si>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</si>
  <si>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</si>
  <si>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</si>
  <si>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</si>
  <si>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</si>
  <si>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</si>
  <si>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</si>
  <si>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</si>
  <si>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</si>
  <si>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</si>
  <si>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</si>
  <si>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</si>
  <si>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</si>
  <si>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</si>
  <si>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</si>
  <si>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Корп.377 Насосная I подъема водоп-да питьевой воды Пригородный</t>
  </si>
  <si>
    <t>НС</t>
  </si>
  <si>
    <t>п Пригородный</t>
  </si>
  <si>
    <t>32507000346</t>
  </si>
  <si>
    <t>п. Пригородный</t>
  </si>
  <si>
    <t>20.0000000000</t>
  </si>
  <si>
    <t>19.7000000000</t>
  </si>
  <si>
    <t>1 подъёма</t>
  </si>
  <si>
    <t>питьевая</t>
  </si>
  <si>
    <t>92.5039411754</t>
  </si>
  <si>
    <t>01.01.1991</t>
  </si>
  <si>
    <t>эксплуатируется</t>
  </si>
  <si>
    <t>частная собственность</t>
  </si>
  <si>
    <t>собственное имущество</t>
  </si>
  <si>
    <t>https://portal.eias.ru/Portal/DownloadPage.aspx?type=12&amp;guid=8a4b5ee3-0760-42ba-8d89-4e77ef646d01</t>
  </si>
  <si>
    <t>п Пригородный, п. Пригородный, 0</t>
  </si>
  <si>
    <t>сеть водоснабжения (питьевая вода) КАО "Азот"</t>
  </si>
  <si>
    <t>сеть</t>
  </si>
  <si>
    <t>г Кемерово</t>
  </si>
  <si>
    <t>32701000001</t>
  </si>
  <si>
    <t>ул. Грузовая</t>
  </si>
  <si>
    <t>стр. 1</t>
  </si>
  <si>
    <t>300.0000000000</t>
  </si>
  <si>
    <t>200.0000000000</t>
  </si>
  <si>
    <t>4205000908.0</t>
  </si>
  <si>
    <t>насосная станция 3-го подъема</t>
  </si>
  <si>
    <t>32701000.0</t>
  </si>
  <si>
    <t>32701000001.0</t>
  </si>
  <si>
    <t>магистральная и разводящая</t>
  </si>
  <si>
    <t>73.0300000000</t>
  </si>
  <si>
    <t>59.0170000000</t>
  </si>
  <si>
    <t>0.1200000000</t>
  </si>
  <si>
    <t>10.0390000000</t>
  </si>
  <si>
    <t>3.8540000000</t>
  </si>
  <si>
    <t>0.0000000000</t>
  </si>
  <si>
    <t>96.8000000000</t>
  </si>
  <si>
    <t>г. Кемерово</t>
  </si>
  <si>
    <t>Центральный район</t>
  </si>
  <si>
    <t>13000.0000000000</t>
  </si>
  <si>
    <t>6500.0000000000</t>
  </si>
  <si>
    <t>водозабор</t>
  </si>
  <si>
    <t>техническая</t>
  </si>
  <si>
    <t>92.5000000000</t>
  </si>
  <si>
    <t>01.12.1978</t>
  </si>
  <si>
    <t>https://portal.eias.ru/Portal/DownloadPage.aspx?type=12&amp;guid=2e69b60c-eea9-45de-ad09-669baec84f52</t>
  </si>
  <si>
    <t>д. 1а</t>
  </si>
  <si>
    <t>7500.0000000000</t>
  </si>
  <si>
    <t>2 подъёма</t>
  </si>
  <si>
    <t>80.0000000000</t>
  </si>
  <si>
    <t>01.03.1968</t>
  </si>
  <si>
    <t>https://portal.eias.ru/Portal/DownloadPage.aspx?type=12&amp;guid=325ef6f7-e070-4894-bf4a-7467b3e7607c</t>
  </si>
  <si>
    <t>ОС</t>
  </si>
  <si>
    <t>90.0000000000</t>
  </si>
  <si>
    <t>https://portal.eias.ru/Portal/DownloadPage.aspx?type=12&amp;guid=96b30384-7f04-4b0f-9fbc-a210e7a79fdb</t>
  </si>
  <si>
    <t>Водозабор КАО "Азот", насосная станция 2-го подъема КАО "Азот"</t>
  </si>
  <si>
    <t>66.1730000000</t>
  </si>
  <si>
    <t>1.3500000000</t>
  </si>
  <si>
    <t>4.2880000000</t>
  </si>
  <si>
    <t>15.2730000000</t>
  </si>
  <si>
    <t>13.2050000000</t>
  </si>
  <si>
    <t>32.0570000000</t>
  </si>
  <si>
    <t>97.0000000000</t>
  </si>
  <si>
    <t>Корп.377 Насосная I подъема водоп-да питьевой воды Пригородн</t>
  </si>
  <si>
    <t>1.5010000000</t>
  </si>
  <si>
    <t>90.6015051363</t>
  </si>
  <si>
    <t>г Топки</t>
  </si>
  <si>
    <t>32531000001</t>
  </si>
  <si>
    <t>г. Топки</t>
  </si>
  <si>
    <t>sce:REESTR.VOTV.SOURCE.2025</t>
  </si>
  <si>
    <t>ул. Кирзавод 3-бис</t>
  </si>
  <si>
    <t>д. 23</t>
  </si>
  <si>
    <t>1579.0000000000</t>
  </si>
  <si>
    <t>97.8000000000</t>
  </si>
  <si>
    <t>https://portal.eias.ru/Portal/DownloadPage.aspx?type=12&amp;guid=b554c8d8-1ba8-4ec3-ade2-28599015b91a</t>
  </si>
  <si>
    <t>9628.0000000000</t>
  </si>
  <si>
    <t>94.7000000000</t>
  </si>
  <si>
    <t>https://portal.eias.ru/Portal/DownloadPage.aspx?type=12&amp;guid=d4894ef6-6321-41d7-a65b-2c7310107c25</t>
  </si>
  <si>
    <t>100.0000000000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</si>
  <si>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</si>
  <si>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</si>
  <si>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</si>
  <si>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</si>
  <si>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</si>
  <si>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</si>
  <si>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</si>
  <si>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</si>
  <si>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</si>
  <si>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</si>
  <si>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</si>
  <si>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</si>
  <si>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</si>
  <si>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</si>
  <si>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</si>
  <si>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</si>
  <si>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</si>
  <si>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</si>
  <si>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</si>
  <si>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</si>
  <si>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</si>
  <si>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</si>
  <si>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ХВС.42.26322867.0004</t>
  </si>
  <si>
    <t>2026</t>
  </si>
  <si>
    <t>тариф на транспортировку воды</t>
  </si>
  <si>
    <t>Транспортировка воды</t>
  </si>
  <si>
    <t>питьевая вода</t>
  </si>
  <si>
    <t>2341</t>
  </si>
  <si>
    <t>Метод сравнения аналогов</t>
  </si>
  <si>
    <t>Принят</t>
  </si>
  <si>
    <t>3.77</t>
  </si>
  <si>
    <t>4.07</t>
  </si>
  <si>
    <t>0.52</t>
  </si>
  <si>
    <t>49.66</t>
  </si>
  <si>
    <t>54.65</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</si>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</sst>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scheme val="minor"/>
    </font>
    <font>
      <b/>
      <sz val="11"/>
      <color rgb="FF000000"/>
      <name val="Calibri"/>
      <family val="2"/>
      <charset val="204"/>
      <scheme val="minor"/>
    </font>
    <font>
      <b/>
      <sz val="9"/>
      <color rgb="FFFFFFFF"/>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00">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3" fillId="26" borderId="2" xfId="0" applyNumberFormat="1" applyFont="1" applyFill="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50" xfId="0" applyNumberFormat="1" applyFont="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0" fillId="27" borderId="0" xfId="0" applyNumberFormat="1" applyFill="1" applyAlignment="1">
      <alignment horizontal="center" vertical="center"/>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66"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7"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0"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8" borderId="21"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E9291-B32B-8408-671E-B6BB7214DFBF}">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6" t="s">
        <v>0</v>
      </c>
      <c r="B1" s="646" t="s">
        <v>1</v>
      </c>
      <c r="C1" s="64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0AB18-84B8-D9B4-4D38-3112106CD67D}">
  <sheetPr>
    <tabColor rgb="FF8DB4E2"/>
    <outlinePr summaryBelow="0" summaryRight="0"/>
    <pageSetUpPr fitToPage="1"/>
  </sheetPr>
  <dimension ref="A1:BN47"/>
  <sheetViews>
    <sheetView showGridLines="0" zoomScale="130" workbookViewId="0">
      <pane xSplit="30" ySplit="25" topLeftCell="AE38" activePane="bottomRight" state="frozen"/>
      <selection pane="topRight" activeCell="AE1" sqref="AE1"/>
      <selection pane="bottomLeft" activeCell="A26" sqref="A26"/>
      <selection pane="bottomRight" activeCell="AR47" sqref="AR47"/>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839"/>
      <c r="B1" s="840"/>
      <c r="C1" s="840"/>
      <c r="D1" s="840"/>
      <c r="E1" s="38"/>
      <c r="F1" s="275" t="s">
        <v>320</v>
      </c>
      <c r="G1" s="840"/>
      <c r="H1" s="840"/>
      <c r="I1" s="840"/>
      <c r="J1" s="840"/>
      <c r="K1" s="840"/>
      <c r="L1" s="840"/>
      <c r="M1" s="840"/>
      <c r="N1" s="840"/>
      <c r="O1" s="840"/>
      <c r="P1" s="840"/>
      <c r="Q1" s="840"/>
      <c r="R1" s="840"/>
      <c r="S1" s="840"/>
      <c r="T1" s="840"/>
      <c r="U1" s="840"/>
      <c r="V1" s="353" t="s">
        <v>92</v>
      </c>
      <c r="W1" s="353" t="s">
        <v>97</v>
      </c>
      <c r="X1" s="353" t="s">
        <v>93</v>
      </c>
      <c r="Y1" s="353" t="s">
        <v>95</v>
      </c>
      <c r="Z1" s="353" t="s">
        <v>99</v>
      </c>
      <c r="AA1" s="839"/>
      <c r="AB1" s="839"/>
      <c r="AC1" s="839"/>
      <c r="AD1" s="840"/>
      <c r="AE1" s="840"/>
      <c r="AF1" s="840"/>
      <c r="AG1" s="840"/>
      <c r="AH1" s="840"/>
      <c r="AI1" s="321"/>
      <c r="AJ1" s="321"/>
      <c r="AK1" s="321"/>
      <c r="AL1" s="321"/>
      <c r="AM1" s="321"/>
      <c r="AN1" s="321"/>
      <c r="AO1" s="321"/>
      <c r="AP1" s="321"/>
      <c r="AQ1" s="321"/>
      <c r="AR1" s="840"/>
      <c r="AS1" s="321"/>
      <c r="AT1" s="321"/>
      <c r="AU1" s="321"/>
      <c r="AV1" s="321"/>
      <c r="AW1" s="321"/>
      <c r="AX1" s="321"/>
      <c r="AY1" s="321"/>
      <c r="AZ1" s="321"/>
      <c r="BA1" s="321"/>
      <c r="BB1" s="321"/>
      <c r="BC1" s="656" t="s">
        <v>323</v>
      </c>
      <c r="BD1" s="321"/>
      <c r="BE1" s="321"/>
      <c r="BF1" s="321"/>
      <c r="BG1" s="321"/>
      <c r="BH1" s="321"/>
      <c r="BI1" s="321"/>
      <c r="BJ1" s="321"/>
      <c r="BK1" s="321"/>
      <c r="BL1" s="321"/>
      <c r="BM1" s="321"/>
      <c r="BN1" s="321"/>
    </row>
    <row r="2" spans="1:66" ht="11.25" hidden="1" customHeight="1" x14ac:dyDescent="0.25">
      <c r="A2" s="840"/>
      <c r="B2" s="342" t="s">
        <v>18</v>
      </c>
      <c r="C2" s="840"/>
      <c r="D2" s="840"/>
      <c r="E2" s="840"/>
      <c r="F2" s="535"/>
      <c r="G2" s="840"/>
      <c r="H2" s="840"/>
      <c r="I2" s="840"/>
      <c r="J2" s="840"/>
      <c r="K2" s="840"/>
      <c r="L2" s="840"/>
      <c r="M2" s="840"/>
      <c r="N2" s="840"/>
      <c r="O2" s="840"/>
      <c r="P2" s="840"/>
      <c r="Q2" s="840"/>
      <c r="R2" s="840"/>
      <c r="S2" s="840"/>
      <c r="T2" s="840"/>
      <c r="U2" s="840"/>
      <c r="V2" s="840"/>
      <c r="W2" s="840"/>
      <c r="X2" s="840"/>
      <c r="Y2" s="840"/>
      <c r="Z2" s="840"/>
      <c r="AA2" s="840"/>
      <c r="AB2" s="840"/>
      <c r="AC2" s="339"/>
      <c r="AD2" s="840"/>
      <c r="AE2" s="840"/>
      <c r="AF2" s="840"/>
      <c r="AG2" s="840"/>
      <c r="AH2" s="840"/>
      <c r="AI2" s="342" t="b">
        <f t="shared" ref="AI2:AQ2" si="0">AI6&lt;last_year_vis</f>
        <v>0</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840"/>
      <c r="AS2" s="342" t="b">
        <f t="shared" ref="AS2:BA2" si="1">AS6&lt;last_year_vis</f>
        <v>0</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65"/>
      <c r="BD2" s="278"/>
      <c r="BE2" s="278"/>
      <c r="BF2" s="278"/>
      <c r="BG2" s="278"/>
      <c r="BH2" s="278"/>
      <c r="BI2" s="321"/>
      <c r="BJ2" s="321"/>
      <c r="BK2" s="321"/>
      <c r="BL2" s="321"/>
      <c r="BM2" s="321"/>
      <c r="BN2" s="321"/>
    </row>
    <row r="3" spans="1:66" ht="11.25" hidden="1" customHeight="1" x14ac:dyDescent="0.2">
      <c r="A3" s="840"/>
      <c r="B3" s="840"/>
      <c r="C3" s="840"/>
      <c r="D3" s="840"/>
      <c r="E3" s="38"/>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321"/>
      <c r="AJ3" s="321"/>
      <c r="AK3" s="321"/>
      <c r="AL3" s="321"/>
      <c r="AM3" s="321"/>
      <c r="AN3" s="321"/>
      <c r="AO3" s="321"/>
      <c r="AP3" s="321"/>
      <c r="AQ3" s="321"/>
      <c r="AR3" s="840"/>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x14ac:dyDescent="0.2">
      <c r="A4" s="840"/>
      <c r="B4" s="840"/>
      <c r="C4" s="840"/>
      <c r="D4" s="840"/>
      <c r="E4" s="38"/>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321"/>
      <c r="AJ4" s="321"/>
      <c r="AK4" s="321"/>
      <c r="AL4" s="321"/>
      <c r="AM4" s="321"/>
      <c r="AN4" s="321"/>
      <c r="AO4" s="321"/>
      <c r="AP4" s="321"/>
      <c r="AQ4" s="321"/>
      <c r="AR4" s="840"/>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x14ac:dyDescent="0.25">
      <c r="A5" s="38"/>
      <c r="B5" s="43"/>
      <c r="C5" s="38"/>
      <c r="D5" s="38"/>
      <c r="E5" s="448" t="s">
        <v>19</v>
      </c>
      <c r="F5" s="536"/>
      <c r="G5" s="840"/>
      <c r="H5" s="840"/>
      <c r="I5" s="840"/>
      <c r="J5" s="840"/>
      <c r="K5" s="840"/>
      <c r="L5" s="840"/>
      <c r="M5" s="840"/>
      <c r="N5" s="840"/>
      <c r="O5" s="840"/>
      <c r="P5" s="840"/>
      <c r="Q5" s="840"/>
      <c r="R5" s="840"/>
      <c r="S5" s="840"/>
      <c r="T5" s="840"/>
      <c r="U5" s="840"/>
      <c r="V5" s="840"/>
      <c r="W5" s="840"/>
      <c r="X5" s="840"/>
      <c r="Y5" s="840"/>
      <c r="Z5" s="840"/>
      <c r="AA5" s="448">
        <v>3</v>
      </c>
      <c r="AB5" s="449">
        <v>11</v>
      </c>
      <c r="AC5" s="460">
        <v>40</v>
      </c>
      <c r="AD5" s="448">
        <v>15</v>
      </c>
      <c r="AE5" s="448">
        <v>15</v>
      </c>
      <c r="AF5" s="448">
        <v>15</v>
      </c>
      <c r="AG5" s="448">
        <v>15</v>
      </c>
      <c r="AH5" s="448">
        <v>15</v>
      </c>
      <c r="AI5" s="448">
        <v>15</v>
      </c>
      <c r="AJ5" s="448">
        <v>15</v>
      </c>
      <c r="AK5" s="448">
        <v>15</v>
      </c>
      <c r="AL5" s="448">
        <v>15</v>
      </c>
      <c r="AM5" s="448">
        <v>15</v>
      </c>
      <c r="AN5" s="448">
        <v>15</v>
      </c>
      <c r="AO5" s="448">
        <v>15</v>
      </c>
      <c r="AP5" s="448">
        <v>15</v>
      </c>
      <c r="AQ5" s="448">
        <v>15</v>
      </c>
      <c r="AR5" s="448">
        <v>15</v>
      </c>
      <c r="AS5" s="448">
        <v>15</v>
      </c>
      <c r="AT5" s="448">
        <v>15</v>
      </c>
      <c r="AU5" s="448">
        <v>15</v>
      </c>
      <c r="AV5" s="448">
        <v>15</v>
      </c>
      <c r="AW5" s="448">
        <v>15</v>
      </c>
      <c r="AX5" s="448">
        <v>15</v>
      </c>
      <c r="AY5" s="448">
        <v>15</v>
      </c>
      <c r="AZ5" s="448">
        <v>15</v>
      </c>
      <c r="BA5" s="448">
        <v>15</v>
      </c>
      <c r="BB5" s="321"/>
      <c r="BC5" s="656"/>
      <c r="BD5" s="278"/>
      <c r="BE5" s="278"/>
      <c r="BF5" s="278"/>
      <c r="BG5" s="278"/>
      <c r="BH5" s="278"/>
      <c r="BI5" s="321"/>
      <c r="BJ5" s="321"/>
      <c r="BK5" s="321"/>
      <c r="BL5" s="321"/>
      <c r="BM5" s="321"/>
      <c r="BN5" s="321"/>
    </row>
    <row r="6" spans="1:66" ht="11.25" hidden="1" customHeight="1" x14ac:dyDescent="0.2">
      <c r="A6" s="840"/>
      <c r="B6" s="840"/>
      <c r="C6" s="840"/>
      <c r="D6" s="840"/>
      <c r="E6" s="840"/>
      <c r="F6" s="840"/>
      <c r="G6" s="840"/>
      <c r="H6" s="840"/>
      <c r="I6" s="840"/>
      <c r="J6" s="840"/>
      <c r="K6" s="840"/>
      <c r="L6" s="840"/>
      <c r="M6" s="840"/>
      <c r="N6" s="840"/>
      <c r="O6" s="840"/>
      <c r="P6" s="840"/>
      <c r="Q6" s="840"/>
      <c r="R6" s="840"/>
      <c r="S6" s="840"/>
      <c r="T6" s="840"/>
      <c r="U6" s="840"/>
      <c r="V6" s="840"/>
      <c r="W6" s="840"/>
      <c r="X6" s="840"/>
      <c r="Y6" s="840"/>
      <c r="Z6" s="840"/>
      <c r="AA6" s="840"/>
      <c r="AB6" s="840"/>
      <c r="AC6" s="840"/>
      <c r="AD6" s="840"/>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x14ac:dyDescent="0.2">
      <c r="A7" s="840"/>
      <c r="B7" s="840"/>
      <c r="C7" s="840"/>
      <c r="D7" s="840"/>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x14ac:dyDescent="0.2">
      <c r="A8" s="840"/>
      <c r="B8" s="840"/>
      <c r="C8" s="840"/>
      <c r="D8" s="840"/>
      <c r="E8" s="840"/>
      <c r="F8" s="840"/>
      <c r="G8" s="840"/>
      <c r="H8" s="840"/>
      <c r="I8" s="840"/>
      <c r="J8" s="840"/>
      <c r="K8" s="840"/>
      <c r="L8" s="840"/>
      <c r="M8" s="840"/>
      <c r="N8" s="840"/>
      <c r="O8" s="840"/>
      <c r="P8" s="840"/>
      <c r="Q8" s="840"/>
      <c r="R8" s="840"/>
      <c r="S8" s="840"/>
      <c r="T8" s="840"/>
      <c r="U8" s="840"/>
      <c r="V8" s="840"/>
      <c r="W8" s="840"/>
      <c r="X8" s="840"/>
      <c r="Y8" s="840"/>
      <c r="Z8" s="840"/>
      <c r="AA8" s="840"/>
      <c r="AB8" s="840"/>
      <c r="AC8" s="840"/>
      <c r="AD8" s="840"/>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x14ac:dyDescent="0.25">
      <c r="A9" s="656" t="s">
        <v>363</v>
      </c>
      <c r="B9" s="665"/>
      <c r="C9" s="840"/>
      <c r="D9" s="840"/>
      <c r="E9" s="840"/>
      <c r="F9" s="666"/>
      <c r="G9" s="840"/>
      <c r="H9" s="840"/>
      <c r="I9" s="840"/>
      <c r="J9" s="840"/>
      <c r="K9" s="840"/>
      <c r="L9" s="840"/>
      <c r="M9" s="840"/>
      <c r="N9" s="840"/>
      <c r="O9" s="840"/>
      <c r="P9" s="840"/>
      <c r="Q9" s="840"/>
      <c r="R9" s="840"/>
      <c r="S9" s="840"/>
      <c r="T9" s="840"/>
      <c r="U9" s="840"/>
      <c r="V9" s="840"/>
      <c r="W9" s="840"/>
      <c r="X9" s="840"/>
      <c r="Y9" s="840"/>
      <c r="Z9" s="840"/>
      <c r="AA9" s="840"/>
      <c r="AB9" s="658"/>
      <c r="AC9" s="667"/>
      <c r="AD9" s="840"/>
      <c r="AE9" s="656" cm="1">
        <f t="array" ref="AE9">AE6</f>
        <v>2024</v>
      </c>
      <c r="AF9" s="656" cm="1">
        <f t="array" ref="AF9">AF6</f>
        <v>2024</v>
      </c>
      <c r="AG9" s="656" cm="1">
        <f t="array" ref="AG9">AG6</f>
        <v>2025</v>
      </c>
      <c r="AH9" s="656" cm="1">
        <f t="array" ref="AH9">AH6</f>
        <v>2026</v>
      </c>
      <c r="AI9" s="656" cm="1">
        <f t="array" ref="AI9">AI6</f>
        <v>2027</v>
      </c>
      <c r="AJ9" s="656" cm="1">
        <f t="array" ref="AJ9">AJ6</f>
        <v>2028</v>
      </c>
      <c r="AK9" s="656" cm="1">
        <f t="array" ref="AK9">AK6</f>
        <v>2029</v>
      </c>
      <c r="AL9" s="656" cm="1">
        <f t="array" ref="AL9">AL6</f>
        <v>2030</v>
      </c>
      <c r="AM9" s="656" cm="1">
        <f t="array" ref="AM9">AM6</f>
        <v>2031</v>
      </c>
      <c r="AN9" s="656" cm="1">
        <f t="array" ref="AN9">AN6</f>
        <v>2032</v>
      </c>
      <c r="AO9" s="656" cm="1">
        <f t="array" ref="AO9">AO6</f>
        <v>2033</v>
      </c>
      <c r="AP9" s="656" cm="1">
        <f t="array" ref="AP9">AP6</f>
        <v>2034</v>
      </c>
      <c r="AQ9" s="656" cm="1">
        <f t="array" ref="AQ9">AQ6</f>
        <v>2035</v>
      </c>
      <c r="AR9" s="656" cm="1">
        <f t="array" ref="AR9">AR6</f>
        <v>2026</v>
      </c>
      <c r="AS9" s="656" cm="1">
        <f t="array" ref="AS9">AS6</f>
        <v>2027</v>
      </c>
      <c r="AT9" s="656" cm="1">
        <f t="array" ref="AT9">AT6</f>
        <v>2028</v>
      </c>
      <c r="AU9" s="656" cm="1">
        <f t="array" ref="AU9">AU6</f>
        <v>2029</v>
      </c>
      <c r="AV9" s="656" cm="1">
        <f t="array" ref="AV9">AV6</f>
        <v>2030</v>
      </c>
      <c r="AW9" s="656" cm="1">
        <f t="array" ref="AW9">AW6</f>
        <v>2031</v>
      </c>
      <c r="AX9" s="656" cm="1">
        <f t="array" ref="AX9">AX6</f>
        <v>2032</v>
      </c>
      <c r="AY9" s="656" cm="1">
        <f t="array" ref="AY9">AY6</f>
        <v>2033</v>
      </c>
      <c r="AZ9" s="656" cm="1">
        <f t="array" ref="AZ9">AZ6</f>
        <v>2034</v>
      </c>
      <c r="BA9" s="656" cm="1">
        <f t="array" ref="BA9">BA6</f>
        <v>2035</v>
      </c>
      <c r="BB9" s="321"/>
      <c r="BC9" s="321"/>
      <c r="BD9" s="278"/>
      <c r="BE9" s="278"/>
      <c r="BF9" s="278"/>
      <c r="BG9" s="278"/>
      <c r="BH9" s="278"/>
      <c r="BI9" s="321"/>
      <c r="BJ9" s="321"/>
      <c r="BK9" s="321"/>
      <c r="BL9" s="321"/>
      <c r="BM9" s="321"/>
      <c r="BN9" s="321"/>
    </row>
    <row r="10" spans="1:66" ht="11.25" hidden="1" customHeight="1" x14ac:dyDescent="0.25">
      <c r="A10" s="656" t="s">
        <v>364</v>
      </c>
      <c r="B10" s="665"/>
      <c r="C10" s="840"/>
      <c r="D10" s="840"/>
      <c r="E10" s="840"/>
      <c r="F10" s="666"/>
      <c r="G10" s="840"/>
      <c r="H10" s="840"/>
      <c r="I10" s="840"/>
      <c r="J10" s="840"/>
      <c r="K10" s="840"/>
      <c r="L10" s="840"/>
      <c r="M10" s="840"/>
      <c r="N10" s="840"/>
      <c r="O10" s="840"/>
      <c r="P10" s="840"/>
      <c r="Q10" s="840"/>
      <c r="R10" s="840"/>
      <c r="S10" s="840"/>
      <c r="T10" s="840"/>
      <c r="U10" s="840"/>
      <c r="V10" s="840"/>
      <c r="W10" s="840"/>
      <c r="X10" s="840"/>
      <c r="Y10" s="840"/>
      <c r="Z10" s="840"/>
      <c r="AA10" s="840"/>
      <c r="AB10" s="658"/>
      <c r="AC10" s="667"/>
      <c r="AD10" s="840"/>
      <c r="AE10" s="656" t="str" cm="1">
        <f t="array" ref="AE10">AE25</f>
        <v>Принято органом регулирования</v>
      </c>
      <c r="AF10" s="656" t="str" cm="1">
        <f t="array" ref="AF10">AF25</f>
        <v>Факт по данным организации</v>
      </c>
      <c r="AG10" s="656" t="str" cm="1">
        <f t="array" ref="AG10">AG25</f>
        <v>Принято органом регулирования</v>
      </c>
      <c r="AH10" s="656" t="str" cm="1">
        <f t="array" ref="AH10">AH25</f>
        <v>Предложение организации</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321"/>
      <c r="BC10" s="321"/>
      <c r="BD10" s="278"/>
      <c r="BE10" s="278"/>
      <c r="BF10" s="278"/>
      <c r="BG10" s="278"/>
      <c r="BH10" s="278"/>
      <c r="BI10" s="321"/>
      <c r="BJ10" s="321"/>
      <c r="BK10" s="321"/>
      <c r="BL10" s="321"/>
      <c r="BM10" s="321"/>
      <c r="BN10" s="321"/>
    </row>
    <row r="11" spans="1:66" ht="11.25" hidden="1" customHeight="1" x14ac:dyDescent="0.2">
      <c r="A11" s="840"/>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c r="AC11" s="840"/>
      <c r="AD11" s="840"/>
      <c r="AE11" s="840"/>
      <c r="AF11" s="840"/>
      <c r="AG11" s="840"/>
      <c r="AH11" s="840"/>
      <c r="AI11" s="321"/>
      <c r="AJ11" s="321"/>
      <c r="AK11" s="321"/>
      <c r="AL11" s="321"/>
      <c r="AM11" s="321"/>
      <c r="AN11" s="321"/>
      <c r="AO11" s="321"/>
      <c r="AP11" s="321"/>
      <c r="AQ11" s="321"/>
      <c r="AR11" s="840"/>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x14ac:dyDescent="0.2">
      <c r="A12" s="840"/>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40"/>
      <c r="AC12" s="840"/>
      <c r="AD12" s="840"/>
      <c r="AE12" s="840"/>
      <c r="AF12" s="840"/>
      <c r="AG12" s="840"/>
      <c r="AH12" s="840"/>
      <c r="AI12" s="321"/>
      <c r="AJ12" s="321"/>
      <c r="AK12" s="321"/>
      <c r="AL12" s="321"/>
      <c r="AM12" s="321"/>
      <c r="AN12" s="321"/>
      <c r="AO12" s="321"/>
      <c r="AP12" s="321"/>
      <c r="AQ12" s="321"/>
      <c r="AR12" s="840"/>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x14ac:dyDescent="0.2">
      <c r="A13" s="840"/>
      <c r="B13" s="840"/>
      <c r="C13" s="840"/>
      <c r="D13" s="840"/>
      <c r="E13" s="840"/>
      <c r="F13" s="840"/>
      <c r="G13" s="840"/>
      <c r="H13" s="840"/>
      <c r="I13" s="840"/>
      <c r="J13" s="840"/>
      <c r="K13" s="840"/>
      <c r="L13" s="840"/>
      <c r="M13" s="840"/>
      <c r="N13" s="840"/>
      <c r="O13" s="840"/>
      <c r="P13" s="840"/>
      <c r="Q13" s="840"/>
      <c r="R13" s="840"/>
      <c r="S13" s="840"/>
      <c r="T13" s="840"/>
      <c r="U13" s="840"/>
      <c r="V13" s="840"/>
      <c r="W13" s="840"/>
      <c r="X13" s="840"/>
      <c r="Y13" s="840"/>
      <c r="Z13" s="840"/>
      <c r="AA13" s="840"/>
      <c r="AB13" s="840"/>
      <c r="AC13" s="840"/>
      <c r="AD13" s="840"/>
      <c r="AE13" s="840"/>
      <c r="AF13" s="840"/>
      <c r="AG13" s="840"/>
      <c r="AH13" s="840"/>
      <c r="AI13" s="321"/>
      <c r="AJ13" s="321"/>
      <c r="AK13" s="321"/>
      <c r="AL13" s="321"/>
      <c r="AM13" s="321"/>
      <c r="AN13" s="321"/>
      <c r="AO13" s="321"/>
      <c r="AP13" s="321"/>
      <c r="AQ13" s="321"/>
      <c r="AR13" s="840"/>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x14ac:dyDescent="0.2">
      <c r="A14" s="840"/>
      <c r="B14" s="840"/>
      <c r="C14" s="840"/>
      <c r="D14" s="840"/>
      <c r="E14" s="840"/>
      <c r="F14" s="840"/>
      <c r="G14" s="840"/>
      <c r="H14" s="840"/>
      <c r="I14" s="840"/>
      <c r="J14" s="840"/>
      <c r="K14" s="840"/>
      <c r="L14" s="840"/>
      <c r="M14" s="840"/>
      <c r="N14" s="840"/>
      <c r="O14" s="840"/>
      <c r="P14" s="840"/>
      <c r="Q14" s="840"/>
      <c r="R14" s="840"/>
      <c r="S14" s="840"/>
      <c r="T14" s="840"/>
      <c r="U14" s="840"/>
      <c r="V14" s="840"/>
      <c r="W14" s="840"/>
      <c r="X14" s="840"/>
      <c r="Y14" s="840"/>
      <c r="Z14" s="840"/>
      <c r="AA14" s="840"/>
      <c r="AB14" s="840"/>
      <c r="AC14" s="840"/>
      <c r="AD14" s="840"/>
      <c r="AE14" s="840"/>
      <c r="AF14" s="840"/>
      <c r="AG14" s="840"/>
      <c r="AH14" s="840"/>
      <c r="AI14" s="321"/>
      <c r="AJ14" s="321"/>
      <c r="AK14" s="321"/>
      <c r="AL14" s="321"/>
      <c r="AM14" s="321"/>
      <c r="AN14" s="321"/>
      <c r="AO14" s="321"/>
      <c r="AP14" s="321"/>
      <c r="AQ14" s="321"/>
      <c r="AR14" s="840"/>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x14ac:dyDescent="0.2">
      <c r="A15" s="840"/>
      <c r="B15" s="840"/>
      <c r="C15" s="840"/>
      <c r="D15" s="840"/>
      <c r="E15" s="840"/>
      <c r="F15" s="840"/>
      <c r="G15" s="840"/>
      <c r="H15" s="840"/>
      <c r="I15" s="840"/>
      <c r="J15" s="840"/>
      <c r="K15" s="840"/>
      <c r="L15" s="840"/>
      <c r="M15" s="840"/>
      <c r="N15" s="840"/>
      <c r="O15" s="840"/>
      <c r="P15" s="840"/>
      <c r="Q15" s="840"/>
      <c r="R15" s="840"/>
      <c r="S15" s="840"/>
      <c r="T15" s="840"/>
      <c r="U15" s="840"/>
      <c r="V15" s="840"/>
      <c r="W15" s="840"/>
      <c r="X15" s="840"/>
      <c r="Y15" s="840"/>
      <c r="Z15" s="840"/>
      <c r="AA15" s="840"/>
      <c r="AB15" s="840"/>
      <c r="AC15" s="840"/>
      <c r="AD15" s="840"/>
      <c r="AE15" s="840"/>
      <c r="AF15" s="840"/>
      <c r="AG15" s="840"/>
      <c r="AH15" s="840"/>
      <c r="AI15" s="321"/>
      <c r="AJ15" s="321"/>
      <c r="AK15" s="321"/>
      <c r="AL15" s="321"/>
      <c r="AM15" s="321"/>
      <c r="AN15" s="321"/>
      <c r="AO15" s="321"/>
      <c r="AP15" s="321"/>
      <c r="AQ15" s="321"/>
      <c r="AR15" s="840"/>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x14ac:dyDescent="0.2">
      <c r="A16" s="840"/>
      <c r="B16" s="840"/>
      <c r="C16" s="840"/>
      <c r="D16" s="840"/>
      <c r="E16" s="840"/>
      <c r="F16" s="840"/>
      <c r="G16" s="840"/>
      <c r="H16" s="840"/>
      <c r="I16" s="840"/>
      <c r="J16" s="840"/>
      <c r="K16" s="840"/>
      <c r="L16" s="84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321"/>
      <c r="AJ16" s="321"/>
      <c r="AK16" s="321"/>
      <c r="AL16" s="321"/>
      <c r="AM16" s="321"/>
      <c r="AN16" s="321"/>
      <c r="AO16" s="321"/>
      <c r="AP16" s="321"/>
      <c r="AQ16" s="321"/>
      <c r="AR16" s="840"/>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x14ac:dyDescent="0.2">
      <c r="A17" s="840"/>
      <c r="B17" s="840"/>
      <c r="C17" s="840"/>
      <c r="D17" s="840"/>
      <c r="E17" s="840"/>
      <c r="F17" s="840"/>
      <c r="G17" s="840"/>
      <c r="H17" s="840"/>
      <c r="I17" s="840"/>
      <c r="J17" s="840"/>
      <c r="K17" s="840"/>
      <c r="L17" s="840"/>
      <c r="M17" s="840"/>
      <c r="N17" s="840"/>
      <c r="O17" s="840"/>
      <c r="P17" s="840"/>
      <c r="Q17" s="840"/>
      <c r="R17" s="840"/>
      <c r="S17" s="840"/>
      <c r="T17" s="840"/>
      <c r="U17" s="840"/>
      <c r="V17" s="840"/>
      <c r="W17" s="840"/>
      <c r="X17" s="840"/>
      <c r="Y17" s="840"/>
      <c r="Z17" s="840"/>
      <c r="AA17" s="840"/>
      <c r="AB17" s="840"/>
      <c r="AC17" s="840"/>
      <c r="AD17" s="840"/>
      <c r="AE17" s="840"/>
      <c r="AF17" s="840"/>
      <c r="AG17" s="840"/>
      <c r="AH17" s="840"/>
      <c r="AI17" s="321"/>
      <c r="AJ17" s="321"/>
      <c r="AK17" s="321"/>
      <c r="AL17" s="321"/>
      <c r="AM17" s="321"/>
      <c r="AN17" s="321"/>
      <c r="AO17" s="321"/>
      <c r="AP17" s="321"/>
      <c r="AQ17" s="321"/>
      <c r="AR17" s="840"/>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x14ac:dyDescent="0.2">
      <c r="A18" s="840"/>
      <c r="B18" s="840"/>
      <c r="C18" s="840"/>
      <c r="D18" s="840"/>
      <c r="E18" s="840"/>
      <c r="F18" s="840"/>
      <c r="G18" s="840"/>
      <c r="H18" s="840"/>
      <c r="I18" s="840"/>
      <c r="J18" s="840"/>
      <c r="K18" s="840"/>
      <c r="L18" s="840"/>
      <c r="M18" s="840"/>
      <c r="N18" s="840"/>
      <c r="O18" s="840"/>
      <c r="P18" s="840"/>
      <c r="Q18" s="840"/>
      <c r="R18" s="840"/>
      <c r="S18" s="840"/>
      <c r="T18" s="840"/>
      <c r="U18" s="840"/>
      <c r="V18" s="840"/>
      <c r="W18" s="840"/>
      <c r="X18" s="840"/>
      <c r="Y18" s="840"/>
      <c r="Z18" s="840"/>
      <c r="AA18" s="840"/>
      <c r="AB18" s="840"/>
      <c r="AC18" s="840"/>
      <c r="AD18" s="840"/>
      <c r="AE18" s="840"/>
      <c r="AF18" s="840"/>
      <c r="AG18" s="840"/>
      <c r="AH18" s="840"/>
      <c r="AI18" s="321"/>
      <c r="AJ18" s="321"/>
      <c r="AK18" s="321"/>
      <c r="AL18" s="321"/>
      <c r="AM18" s="321"/>
      <c r="AN18" s="321"/>
      <c r="AO18" s="321"/>
      <c r="AP18" s="321"/>
      <c r="AQ18" s="321"/>
      <c r="AR18" s="840"/>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x14ac:dyDescent="0.2">
      <c r="A19" s="840"/>
      <c r="B19" s="840"/>
      <c r="C19" s="840"/>
      <c r="D19" s="840"/>
      <c r="E19" s="840"/>
      <c r="F19" s="840"/>
      <c r="G19" s="840"/>
      <c r="H19" s="840"/>
      <c r="I19" s="840"/>
      <c r="J19" s="840"/>
      <c r="K19" s="840"/>
      <c r="L19" s="840"/>
      <c r="M19" s="840"/>
      <c r="N19" s="840"/>
      <c r="O19" s="840"/>
      <c r="P19" s="840"/>
      <c r="Q19" s="840"/>
      <c r="R19" s="840"/>
      <c r="S19" s="840"/>
      <c r="T19" s="840"/>
      <c r="U19" s="840"/>
      <c r="V19" s="840"/>
      <c r="W19" s="840"/>
      <c r="X19" s="840"/>
      <c r="Y19" s="840"/>
      <c r="Z19" s="840"/>
      <c r="AA19" s="840"/>
      <c r="AB19" s="840"/>
      <c r="AC19" s="840"/>
      <c r="AD19" s="840"/>
      <c r="AE19" s="840"/>
      <c r="AF19" s="840"/>
      <c r="AG19" s="840"/>
      <c r="AH19" s="840"/>
      <c r="AI19" s="321"/>
      <c r="AJ19" s="321"/>
      <c r="AK19" s="321"/>
      <c r="AL19" s="321"/>
      <c r="AM19" s="321"/>
      <c r="AN19" s="321"/>
      <c r="AO19" s="321"/>
      <c r="AP19" s="321"/>
      <c r="AQ19" s="321"/>
      <c r="AR19" s="840"/>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x14ac:dyDescent="0.2">
      <c r="A20" s="840"/>
      <c r="B20" s="840"/>
      <c r="C20" s="840"/>
      <c r="D20" s="840"/>
      <c r="E20" s="840"/>
      <c r="F20" s="840"/>
      <c r="G20" s="840"/>
      <c r="H20" s="840"/>
      <c r="I20" s="840"/>
      <c r="J20" s="840"/>
      <c r="K20" s="840"/>
      <c r="L20" s="84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321"/>
      <c r="AJ20" s="321"/>
      <c r="AK20" s="321"/>
      <c r="AL20" s="321"/>
      <c r="AM20" s="321"/>
      <c r="AN20" s="321"/>
      <c r="AO20" s="321"/>
      <c r="AP20" s="321"/>
      <c r="AQ20" s="321"/>
      <c r="AR20" s="840"/>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x14ac:dyDescent="0.2">
      <c r="A21" s="840"/>
      <c r="B21" s="840"/>
      <c r="C21" s="840"/>
      <c r="D21" s="840"/>
      <c r="E21" s="448">
        <v>15</v>
      </c>
      <c r="F21" s="840"/>
      <c r="G21" s="840"/>
      <c r="H21" s="840"/>
      <c r="I21" s="840"/>
      <c r="J21" s="840"/>
      <c r="K21" s="840"/>
      <c r="L21" s="840"/>
      <c r="M21" s="840"/>
      <c r="N21" s="840"/>
      <c r="O21" s="840"/>
      <c r="P21" s="840"/>
      <c r="Q21" s="840"/>
      <c r="R21" s="840"/>
      <c r="S21" s="840"/>
      <c r="T21" s="840"/>
      <c r="U21" s="840"/>
      <c r="V21" s="840"/>
      <c r="W21" s="840"/>
      <c r="X21" s="840"/>
      <c r="Y21" s="840"/>
      <c r="Z21" s="840"/>
      <c r="AA21" s="59"/>
      <c r="AB21" s="840"/>
      <c r="AC21" s="267" t="str" cm="1">
        <f t="array" ref="AC21">tpl_title</f>
        <v>Кемеровская область / 2026 / КАО "Азот" (ИНН:4205000908, КПП:997550001) / ДПР: 2024-2028</v>
      </c>
      <c r="AD21" s="41"/>
      <c r="AE21" s="42"/>
      <c r="AF21" s="840"/>
      <c r="AG21" s="840"/>
      <c r="AH21" s="840"/>
      <c r="AI21" s="321"/>
      <c r="AJ21" s="321"/>
      <c r="AK21" s="321"/>
      <c r="AL21" s="321"/>
      <c r="AM21" s="321"/>
      <c r="AN21" s="321"/>
      <c r="AO21" s="321"/>
      <c r="AP21" s="321"/>
      <c r="AQ21" s="321"/>
      <c r="AR21" s="840"/>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x14ac:dyDescent="0.2">
      <c r="A22" s="840"/>
      <c r="B22" s="840"/>
      <c r="C22" s="840"/>
      <c r="D22" s="840"/>
      <c r="E22" s="448">
        <v>22.5</v>
      </c>
      <c r="F22" s="840"/>
      <c r="G22" s="840"/>
      <c r="H22" s="840"/>
      <c r="I22" s="840"/>
      <c r="J22" s="840"/>
      <c r="K22" s="840"/>
      <c r="L22" s="840"/>
      <c r="M22" s="840"/>
      <c r="N22" s="840"/>
      <c r="O22" s="840"/>
      <c r="P22" s="840"/>
      <c r="Q22" s="840"/>
      <c r="R22" s="840"/>
      <c r="S22" s="840"/>
      <c r="T22" s="840"/>
      <c r="U22" s="840"/>
      <c r="V22" s="840"/>
      <c r="W22" s="840"/>
      <c r="X22" s="840"/>
      <c r="Y22" s="840"/>
      <c r="Z22" s="840"/>
      <c r="AA22" s="840"/>
      <c r="AB22" s="798" t="s">
        <v>494</v>
      </c>
      <c r="AC22" s="799"/>
      <c r="AD22" s="799"/>
      <c r="AE22" s="799"/>
      <c r="AF22" s="799"/>
      <c r="AG22" s="800"/>
      <c r="AH22" s="800"/>
      <c r="AI22" s="800"/>
      <c r="AJ22" s="800"/>
      <c r="AK22" s="800"/>
      <c r="AL22" s="800"/>
      <c r="AM22" s="800"/>
      <c r="AN22" s="800"/>
      <c r="AO22" s="800"/>
      <c r="AP22" s="800"/>
      <c r="AQ22" s="800"/>
      <c r="AR22" s="800"/>
      <c r="AS22" s="800"/>
      <c r="AT22" s="800"/>
      <c r="AU22" s="800"/>
      <c r="AV22" s="800"/>
      <c r="AW22" s="800"/>
      <c r="AX22" s="800"/>
      <c r="AY22" s="800"/>
      <c r="AZ22" s="800"/>
      <c r="BA22" s="800"/>
      <c r="BB22" s="321"/>
      <c r="BC22" s="321"/>
      <c r="BD22" s="321"/>
      <c r="BE22" s="321"/>
      <c r="BF22" s="321"/>
      <c r="BG22" s="321"/>
      <c r="BH22" s="321"/>
      <c r="BI22" s="321"/>
      <c r="BJ22" s="321"/>
      <c r="BK22" s="321"/>
      <c r="BL22" s="321"/>
      <c r="BM22" s="321"/>
      <c r="BN22" s="321"/>
    </row>
    <row r="23" spans="1:66" ht="14.65" customHeight="1" x14ac:dyDescent="0.25">
      <c r="A23" s="840"/>
      <c r="B23" s="43"/>
      <c r="C23" s="840"/>
      <c r="D23" s="840"/>
      <c r="E23" s="458">
        <v>15</v>
      </c>
      <c r="F23" s="275"/>
      <c r="G23" s="840"/>
      <c r="H23" s="840"/>
      <c r="I23" s="840"/>
      <c r="J23" s="840"/>
      <c r="K23" s="840"/>
      <c r="L23" s="840"/>
      <c r="M23" s="840"/>
      <c r="N23" s="840"/>
      <c r="O23" s="840"/>
      <c r="P23" s="840"/>
      <c r="Q23" s="840"/>
      <c r="R23" s="840"/>
      <c r="S23" s="840"/>
      <c r="T23" s="840"/>
      <c r="U23" s="840"/>
      <c r="V23" s="840"/>
      <c r="W23" s="840"/>
      <c r="X23" s="840"/>
      <c r="Y23" s="840"/>
      <c r="Z23" s="840"/>
      <c r="AA23" s="43"/>
      <c r="AB23" s="44"/>
      <c r="AC23" s="45"/>
      <c r="AD23" s="46"/>
      <c r="AE23" s="47"/>
      <c r="AF23" s="840"/>
      <c r="AG23" s="840"/>
      <c r="AH23" s="840"/>
      <c r="AI23" s="321"/>
      <c r="AJ23" s="321"/>
      <c r="AK23" s="321"/>
      <c r="AL23" s="321"/>
      <c r="AM23" s="321"/>
      <c r="AN23" s="321"/>
      <c r="AO23" s="321"/>
      <c r="AP23" s="321"/>
      <c r="AQ23" s="321"/>
      <c r="AR23" s="840"/>
      <c r="AS23" s="321"/>
      <c r="AT23" s="321"/>
      <c r="AU23" s="321"/>
      <c r="AV23" s="321"/>
      <c r="AW23" s="321"/>
      <c r="AX23" s="321"/>
      <c r="AY23" s="321"/>
      <c r="AZ23" s="321"/>
      <c r="BA23" s="321"/>
      <c r="BB23" s="321"/>
      <c r="BC23" s="668"/>
      <c r="BD23" s="278"/>
      <c r="BE23" s="278"/>
      <c r="BF23" s="278"/>
      <c r="BG23" s="278"/>
      <c r="BH23" s="278"/>
      <c r="BI23" s="321"/>
      <c r="BJ23" s="321"/>
      <c r="BK23" s="321"/>
      <c r="BL23" s="321"/>
      <c r="BM23" s="321"/>
      <c r="BN23" s="321"/>
    </row>
    <row r="24" spans="1:66" ht="17.100000000000001" customHeight="1" x14ac:dyDescent="0.2">
      <c r="A24" s="840"/>
      <c r="B24" s="840"/>
      <c r="C24" s="840"/>
      <c r="D24" s="840"/>
      <c r="E24" s="448">
        <v>15</v>
      </c>
      <c r="F24" s="840"/>
      <c r="G24" s="840"/>
      <c r="H24" s="840"/>
      <c r="I24" s="840"/>
      <c r="J24" s="840"/>
      <c r="K24" s="840"/>
      <c r="L24" s="840"/>
      <c r="M24" s="840"/>
      <c r="N24" s="840"/>
      <c r="O24" s="840"/>
      <c r="P24" s="840"/>
      <c r="Q24" s="840"/>
      <c r="R24" s="840"/>
      <c r="S24" s="840"/>
      <c r="T24" s="840"/>
      <c r="U24" s="840"/>
      <c r="V24" s="840"/>
      <c r="W24" s="840"/>
      <c r="X24" s="840"/>
      <c r="Y24" s="840"/>
      <c r="Z24" s="840"/>
      <c r="AA24" s="840"/>
      <c r="AB24" s="991" t="s">
        <v>21</v>
      </c>
      <c r="AC24" s="991" t="s">
        <v>469</v>
      </c>
      <c r="AD24" s="991" t="s">
        <v>368</v>
      </c>
      <c r="AE24" s="12" t="str">
        <f>god-2&amp;" год"</f>
        <v>2024 год</v>
      </c>
      <c r="AF24" s="801" t="str">
        <f>god-2&amp;" год"</f>
        <v>2024 год</v>
      </c>
      <c r="AG24" s="12" t="str">
        <f>god-1&amp;" год"</f>
        <v>2025 год</v>
      </c>
      <c r="AH24" s="801" t="str">
        <f>god&amp;" год"</f>
        <v>2026 год</v>
      </c>
      <c r="AI24" s="801" t="str">
        <f>god+1&amp;" год"</f>
        <v>2027 год</v>
      </c>
      <c r="AJ24" s="801" t="str">
        <f>god+2&amp;" год"</f>
        <v>2028 год</v>
      </c>
      <c r="AK24" s="801" t="str">
        <f>god+3&amp;" год"</f>
        <v>2029 год</v>
      </c>
      <c r="AL24" s="801" t="str">
        <f>god+4&amp;" год"</f>
        <v>2030 год</v>
      </c>
      <c r="AM24" s="801" t="str">
        <f>god+5&amp;" год"</f>
        <v>2031 год</v>
      </c>
      <c r="AN24" s="801" t="str">
        <f>god+6&amp;" год"</f>
        <v>2032 год</v>
      </c>
      <c r="AO24" s="801" t="str">
        <f>god+7&amp;" год"</f>
        <v>2033 год</v>
      </c>
      <c r="AP24" s="801" t="str">
        <f>god+8&amp;" год"</f>
        <v>2034 год</v>
      </c>
      <c r="AQ24" s="801"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x14ac:dyDescent="0.2">
      <c r="A25" s="840"/>
      <c r="B25" s="840"/>
      <c r="C25" s="840"/>
      <c r="D25" s="840"/>
      <c r="E25" s="448">
        <v>69</v>
      </c>
      <c r="F25" s="840"/>
      <c r="G25" s="840"/>
      <c r="H25" s="840"/>
      <c r="I25" s="840"/>
      <c r="J25" s="840"/>
      <c r="K25" s="840"/>
      <c r="L25" s="840"/>
      <c r="M25" s="840"/>
      <c r="N25" s="840"/>
      <c r="O25" s="840"/>
      <c r="P25" s="840"/>
      <c r="Q25" s="840"/>
      <c r="R25" s="840"/>
      <c r="S25" s="840"/>
      <c r="T25" s="840"/>
      <c r="U25" s="840"/>
      <c r="V25" s="840"/>
      <c r="W25" s="840"/>
      <c r="X25" s="840"/>
      <c r="Y25" s="840"/>
      <c r="Z25" s="840"/>
      <c r="AA25" s="840"/>
      <c r="AB25" s="991"/>
      <c r="AC25" s="991"/>
      <c r="AD25" s="991"/>
      <c r="AE25" s="11" t="s">
        <v>360</v>
      </c>
      <c r="AF25" s="802" t="s">
        <v>470</v>
      </c>
      <c r="AG25" s="12" t="s">
        <v>360</v>
      </c>
      <c r="AH25" s="802" t="s">
        <v>361</v>
      </c>
      <c r="AI25" s="802" t="s">
        <v>361</v>
      </c>
      <c r="AJ25" s="802" t="s">
        <v>361</v>
      </c>
      <c r="AK25" s="802" t="s">
        <v>361</v>
      </c>
      <c r="AL25" s="802" t="s">
        <v>361</v>
      </c>
      <c r="AM25" s="802" t="s">
        <v>361</v>
      </c>
      <c r="AN25" s="802" t="s">
        <v>361</v>
      </c>
      <c r="AO25" s="802" t="s">
        <v>361</v>
      </c>
      <c r="AP25" s="802" t="s">
        <v>361</v>
      </c>
      <c r="AQ25" s="802" t="s">
        <v>361</v>
      </c>
      <c r="AR25" s="12" t="s">
        <v>360</v>
      </c>
      <c r="AS25" s="12" t="s">
        <v>360</v>
      </c>
      <c r="AT25" s="12" t="s">
        <v>360</v>
      </c>
      <c r="AU25" s="12" t="s">
        <v>360</v>
      </c>
      <c r="AV25" s="12" t="s">
        <v>360</v>
      </c>
      <c r="AW25" s="12" t="s">
        <v>360</v>
      </c>
      <c r="AX25" s="12" t="s">
        <v>360</v>
      </c>
      <c r="AY25" s="12" t="s">
        <v>360</v>
      </c>
      <c r="AZ25" s="12" t="s">
        <v>360</v>
      </c>
      <c r="BA25" s="12" t="s">
        <v>360</v>
      </c>
      <c r="BB25" s="321"/>
      <c r="BC25" s="321"/>
      <c r="BD25" s="321"/>
      <c r="BE25" s="321"/>
      <c r="BF25" s="321"/>
      <c r="BG25" s="321"/>
      <c r="BH25" s="321"/>
      <c r="BI25" s="321"/>
      <c r="BJ25" s="321"/>
      <c r="BK25" s="321"/>
      <c r="BL25" s="321"/>
      <c r="BM25" s="321"/>
      <c r="BN25" s="321"/>
    </row>
    <row r="26" spans="1:66" s="12" customFormat="1" ht="11.25" hidden="1" customHeight="1" x14ac:dyDescent="0.25">
      <c r="A26" s="315"/>
      <c r="B26" s="479"/>
      <c r="C26" s="315"/>
      <c r="D26" s="315"/>
      <c r="E26" s="480">
        <v>0</v>
      </c>
      <c r="F26" s="839"/>
      <c r="G26" s="315"/>
      <c r="H26" s="315"/>
      <c r="I26" s="315"/>
      <c r="J26" s="315"/>
      <c r="K26" s="315"/>
      <c r="L26" s="315"/>
      <c r="M26" s="315"/>
      <c r="N26" s="315"/>
      <c r="O26" s="315"/>
      <c r="P26" s="315"/>
      <c r="Q26" s="315"/>
      <c r="R26" s="315"/>
      <c r="S26" s="315"/>
      <c r="T26" s="315"/>
      <c r="U26" s="315"/>
      <c r="V26" s="315"/>
      <c r="W26" s="315"/>
      <c r="X26" s="315"/>
      <c r="Y26" s="315"/>
      <c r="Z26" s="315"/>
      <c r="AA26" s="840"/>
      <c r="AB26" s="803"/>
      <c r="AC26" s="60"/>
      <c r="AD26" s="42"/>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321"/>
      <c r="BC26" s="661"/>
      <c r="BD26" s="278"/>
      <c r="BE26" s="278"/>
      <c r="BF26" s="278"/>
      <c r="BG26" s="278"/>
      <c r="BH26" s="278"/>
      <c r="BI26" s="321"/>
      <c r="BJ26" s="321"/>
      <c r="BK26" s="321"/>
      <c r="BL26" s="321"/>
      <c r="BM26" s="321"/>
      <c r="BN26" s="321"/>
    </row>
    <row r="27" spans="1:66" s="16" customFormat="1" ht="14.65" hidden="1" customHeight="1" x14ac:dyDescent="0.25">
      <c r="A27" s="321"/>
      <c r="B27" s="326"/>
      <c r="C27" s="321"/>
      <c r="D27" s="321"/>
      <c r="E27" s="459">
        <v>15</v>
      </c>
      <c r="F27" s="275" cm="1">
        <f t="array" ref="F27">Y27</f>
        <v>0</v>
      </c>
      <c r="G27" s="321"/>
      <c r="H27" s="321"/>
      <c r="I27" s="321"/>
      <c r="J27" s="321"/>
      <c r="K27" s="321"/>
      <c r="L27" s="321"/>
      <c r="M27" s="321"/>
      <c r="N27" s="321"/>
      <c r="O27" s="321"/>
      <c r="P27" s="321"/>
      <c r="Q27" s="321"/>
      <c r="R27" s="321"/>
      <c r="S27" s="321"/>
      <c r="T27" s="321"/>
      <c r="U27" s="321"/>
      <c r="V27" s="353" t="b">
        <f>Y27&gt;0</f>
        <v>0</v>
      </c>
      <c r="W27" s="321"/>
      <c r="X27" s="60" t="s">
        <v>264</v>
      </c>
      <c r="Y27" s="964">
        <v>0</v>
      </c>
      <c r="Z27" s="992"/>
      <c r="AA27" s="321"/>
      <c r="AB27" s="804" t="str" cm="1">
        <f t="array" ref="AB27">INDEX('Общие сведения'!$AG$179:$AG$236,MATCH($Y27,'Общие сведения'!$Z$179:$Z$236,0))</f>
        <v xml:space="preserve">Тариф 0 () - </v>
      </c>
      <c r="AC27" s="805"/>
      <c r="AD27" s="806"/>
      <c r="AE27" s="806"/>
      <c r="AF27" s="806"/>
      <c r="AG27" s="806"/>
      <c r="AH27" s="806"/>
      <c r="AI27" s="806"/>
      <c r="AJ27" s="806"/>
      <c r="AK27" s="806"/>
      <c r="AL27" s="806"/>
      <c r="AM27" s="806"/>
      <c r="AN27" s="806"/>
      <c r="AO27" s="806"/>
      <c r="AP27" s="806"/>
      <c r="AQ27" s="806"/>
      <c r="AR27" s="806"/>
      <c r="AS27" s="806"/>
      <c r="AT27" s="806"/>
      <c r="AU27" s="806"/>
      <c r="AV27" s="806"/>
      <c r="AW27" s="806"/>
      <c r="AX27" s="806"/>
      <c r="AY27" s="806"/>
      <c r="AZ27" s="806"/>
      <c r="BA27" s="806"/>
      <c r="BB27" s="321"/>
      <c r="BC27" s="669"/>
      <c r="BD27" s="278"/>
      <c r="BE27" s="278"/>
      <c r="BF27" s="278"/>
      <c r="BG27" s="278"/>
      <c r="BH27" s="278"/>
      <c r="BI27" s="321"/>
      <c r="BJ27" s="321"/>
      <c r="BK27" s="321"/>
      <c r="BL27" s="321"/>
      <c r="BM27" s="321"/>
      <c r="BN27" s="321"/>
    </row>
    <row r="28" spans="1:66" ht="21.95" hidden="1" customHeight="1" x14ac:dyDescent="0.25">
      <c r="A28" s="321"/>
      <c r="B28" s="278"/>
      <c r="C28" s="321"/>
      <c r="D28" s="321"/>
      <c r="E28" s="448">
        <v>22.5</v>
      </c>
      <c r="F28" s="267" cm="1">
        <f t="array" aca="1" ref="F28" ca="1">OFFSET(E28,-1,1)</f>
        <v>0</v>
      </c>
      <c r="G28" s="321"/>
      <c r="H28" s="321"/>
      <c r="I28" s="321"/>
      <c r="J28" s="321"/>
      <c r="K28" s="321"/>
      <c r="L28" s="321"/>
      <c r="M28" s="321"/>
      <c r="N28" s="321"/>
      <c r="O28" s="321"/>
      <c r="P28" s="321"/>
      <c r="Q28" s="321"/>
      <c r="R28" s="321"/>
      <c r="S28" s="321"/>
      <c r="T28" s="321"/>
      <c r="U28" s="321"/>
      <c r="V28" s="353" t="b" cm="1">
        <f t="array" ref="V28">V27</f>
        <v>0</v>
      </c>
      <c r="W28" s="321"/>
      <c r="X28" s="321"/>
      <c r="Y28" s="964"/>
      <c r="Z28" s="992"/>
      <c r="AA28" s="321"/>
      <c r="AB28" s="49">
        <v>1</v>
      </c>
      <c r="AC28" s="51" t="s">
        <v>494</v>
      </c>
      <c r="AD28" s="52"/>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321"/>
      <c r="BC28" s="656" t="s">
        <v>546</v>
      </c>
      <c r="BD28" s="321"/>
      <c r="BE28" s="321"/>
      <c r="BF28" s="321"/>
      <c r="BG28" s="321"/>
      <c r="BH28" s="321"/>
      <c r="BI28" s="321"/>
      <c r="BJ28" s="321"/>
      <c r="BK28" s="321"/>
      <c r="BL28" s="321"/>
      <c r="BM28" s="321"/>
      <c r="BN28" s="321"/>
    </row>
    <row r="29" spans="1:66" ht="23.45" hidden="1" customHeight="1" x14ac:dyDescent="0.2">
      <c r="A29" s="321"/>
      <c r="B29" s="321"/>
      <c r="C29" s="321"/>
      <c r="D29" s="321"/>
      <c r="E29" s="448">
        <v>24</v>
      </c>
      <c r="F29" s="267" cm="1">
        <f t="array" aca="1" ref="F29" ca="1">OFFSET(E29,-1,1)</f>
        <v>0</v>
      </c>
      <c r="G29" s="321"/>
      <c r="H29" s="321"/>
      <c r="I29" s="321"/>
      <c r="J29" s="321"/>
      <c r="K29" s="321"/>
      <c r="L29" s="321"/>
      <c r="M29" s="321"/>
      <c r="N29" s="321"/>
      <c r="O29" s="321"/>
      <c r="P29" s="321"/>
      <c r="Q29" s="321"/>
      <c r="R29" s="321"/>
      <c r="S29" s="321"/>
      <c r="T29" s="321"/>
      <c r="U29" s="321"/>
      <c r="V29" s="353" t="b" cm="1">
        <f t="array" ref="V29">V28</f>
        <v>0</v>
      </c>
      <c r="W29" s="321"/>
      <c r="X29" s="321"/>
      <c r="Y29" s="964"/>
      <c r="Z29" s="992"/>
      <c r="AA29" s="321"/>
      <c r="AB29" s="49">
        <v>2</v>
      </c>
      <c r="AC29" s="51" t="s">
        <v>547</v>
      </c>
      <c r="AD29" s="52" t="s">
        <v>476</v>
      </c>
      <c r="AE29" s="825"/>
      <c r="AF29" s="825"/>
      <c r="AG29" s="825"/>
      <c r="AH29" s="825"/>
      <c r="AI29" s="825"/>
      <c r="AJ29" s="825"/>
      <c r="AK29" s="825"/>
      <c r="AL29" s="825"/>
      <c r="AM29" s="825"/>
      <c r="AN29" s="825"/>
      <c r="AO29" s="825"/>
      <c r="AP29" s="825"/>
      <c r="AQ29" s="825"/>
      <c r="AR29" s="825"/>
      <c r="AS29" s="825"/>
      <c r="AT29" s="825"/>
      <c r="AU29" s="825"/>
      <c r="AV29" s="825"/>
      <c r="AW29" s="825"/>
      <c r="AX29" s="825"/>
      <c r="AY29" s="825"/>
      <c r="AZ29" s="825"/>
      <c r="BA29" s="825"/>
      <c r="BB29" s="321"/>
      <c r="BC29" s="656" t="s">
        <v>548</v>
      </c>
      <c r="BD29" s="321"/>
      <c r="BE29" s="321"/>
      <c r="BF29" s="321"/>
      <c r="BG29" s="321"/>
      <c r="BH29" s="321"/>
      <c r="BI29" s="321"/>
      <c r="BJ29" s="321"/>
      <c r="BK29" s="321"/>
      <c r="BL29" s="321"/>
      <c r="BM29" s="321"/>
      <c r="BN29" s="321"/>
    </row>
    <row r="30" spans="1:66" ht="69.400000000000006" hidden="1" customHeight="1" x14ac:dyDescent="0.2">
      <c r="A30" s="321"/>
      <c r="B30" s="321"/>
      <c r="C30" s="321"/>
      <c r="D30" s="321"/>
      <c r="E30" s="448">
        <v>71.25</v>
      </c>
      <c r="F30" s="267" cm="1">
        <f t="array" aca="1" ref="F30" ca="1">OFFSET(E30,-1,1)</f>
        <v>0</v>
      </c>
      <c r="G30" s="321"/>
      <c r="H30" s="321"/>
      <c r="I30" s="321"/>
      <c r="J30" s="321"/>
      <c r="K30" s="321"/>
      <c r="L30" s="321"/>
      <c r="M30" s="321"/>
      <c r="N30" s="321"/>
      <c r="O30" s="321"/>
      <c r="P30" s="321"/>
      <c r="Q30" s="321"/>
      <c r="R30" s="321"/>
      <c r="S30" s="321"/>
      <c r="T30" s="321"/>
      <c r="U30" s="321"/>
      <c r="V30" s="353" t="b" cm="1">
        <f t="array" ref="V30">V29</f>
        <v>0</v>
      </c>
      <c r="W30" s="321"/>
      <c r="X30" s="321"/>
      <c r="Y30" s="964"/>
      <c r="Z30" s="992"/>
      <c r="AA30" s="321"/>
      <c r="AB30" s="49">
        <v>3</v>
      </c>
      <c r="AC30" s="53" t="s">
        <v>549</v>
      </c>
      <c r="AD30" s="52" t="s">
        <v>476</v>
      </c>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321"/>
      <c r="BC30" s="656" t="s">
        <v>550</v>
      </c>
      <c r="BD30" s="321"/>
      <c r="BE30" s="321"/>
      <c r="BF30" s="321"/>
      <c r="BG30" s="321"/>
      <c r="BH30" s="321"/>
      <c r="BI30" s="321"/>
      <c r="BJ30" s="321"/>
      <c r="BK30" s="321"/>
      <c r="BL30" s="321"/>
      <c r="BM30" s="321"/>
      <c r="BN30" s="321"/>
    </row>
    <row r="31" spans="1:66" ht="24.2" hidden="1" customHeight="1" x14ac:dyDescent="0.25">
      <c r="A31" s="321"/>
      <c r="B31" s="278"/>
      <c r="C31" s="321"/>
      <c r="D31" s="321"/>
      <c r="E31" s="448">
        <v>24.75</v>
      </c>
      <c r="F31" s="267" cm="1">
        <f t="array" aca="1" ref="F31" ca="1">OFFSET(E31,-1,1)</f>
        <v>0</v>
      </c>
      <c r="G31" s="321"/>
      <c r="H31" s="321"/>
      <c r="I31" s="321"/>
      <c r="J31" s="321"/>
      <c r="K31" s="321"/>
      <c r="L31" s="321"/>
      <c r="M31" s="321"/>
      <c r="N31" s="321"/>
      <c r="O31" s="321"/>
      <c r="P31" s="321"/>
      <c r="Q31" s="321"/>
      <c r="R31" s="321"/>
      <c r="S31" s="321"/>
      <c r="T31" s="321"/>
      <c r="U31" s="321"/>
      <c r="V31" s="353" t="b" cm="1">
        <f t="array" ref="V31">V30</f>
        <v>0</v>
      </c>
      <c r="W31" s="321"/>
      <c r="X31" s="321"/>
      <c r="Y31" s="964"/>
      <c r="Z31" s="992"/>
      <c r="AA31" s="321"/>
      <c r="AB31" s="49">
        <v>4</v>
      </c>
      <c r="AC31" s="51" t="s">
        <v>483</v>
      </c>
      <c r="AD31" s="52"/>
      <c r="AE31" s="825"/>
      <c r="AF31" s="825"/>
      <c r="AG31" s="825"/>
      <c r="AH31" s="825"/>
      <c r="AI31" s="825"/>
      <c r="AJ31" s="825"/>
      <c r="AK31" s="825"/>
      <c r="AL31" s="825"/>
      <c r="AM31" s="825"/>
      <c r="AN31" s="825"/>
      <c r="AO31" s="825"/>
      <c r="AP31" s="825"/>
      <c r="AQ31" s="825"/>
      <c r="AR31" s="825"/>
      <c r="AS31" s="825"/>
      <c r="AT31" s="825"/>
      <c r="AU31" s="825"/>
      <c r="AV31" s="825"/>
      <c r="AW31" s="825"/>
      <c r="AX31" s="825"/>
      <c r="AY31" s="825"/>
      <c r="AZ31" s="825"/>
      <c r="BA31" s="825"/>
      <c r="BB31" s="321"/>
      <c r="BC31" s="656" t="s">
        <v>551</v>
      </c>
      <c r="BD31" s="321"/>
      <c r="BE31" s="321"/>
      <c r="BF31" s="321"/>
      <c r="BG31" s="321"/>
      <c r="BH31" s="321"/>
      <c r="BI31" s="321"/>
      <c r="BJ31" s="321"/>
      <c r="BK31" s="321"/>
      <c r="BL31" s="321"/>
      <c r="BM31" s="321"/>
      <c r="BN31" s="321"/>
    </row>
    <row r="32" spans="1:66" s="841" customFormat="1" ht="20.100000000000001" customHeight="1" x14ac:dyDescent="0.25">
      <c r="A32" s="321"/>
      <c r="B32" s="326"/>
      <c r="C32" s="321"/>
      <c r="D32" s="321"/>
      <c r="E32" s="459">
        <v>15</v>
      </c>
      <c r="F32" s="275" t="str" cm="1">
        <f t="array" ref="F32">Y32</f>
        <v>1</v>
      </c>
      <c r="G32" s="321"/>
      <c r="H32" s="321"/>
      <c r="I32" s="321"/>
      <c r="J32" s="321"/>
      <c r="K32" s="321"/>
      <c r="L32" s="321"/>
      <c r="M32" s="321"/>
      <c r="N32" s="321"/>
      <c r="O32" s="321"/>
      <c r="P32" s="321"/>
      <c r="Q32" s="321"/>
      <c r="R32" s="321"/>
      <c r="S32" s="321"/>
      <c r="T32" s="321"/>
      <c r="U32" s="321"/>
      <c r="V32" s="353" t="b">
        <f>Y32&gt;0</f>
        <v>1</v>
      </c>
      <c r="W32" s="321"/>
      <c r="X32" s="60" t="str" cm="1">
        <f t="array" ref="X32">Сценарии!$AB$55</f>
        <v>Тариф 1 (Водоснабжение) - тариф на техническую воду</v>
      </c>
      <c r="Y32" s="964" t="s">
        <v>275</v>
      </c>
      <c r="Z32" s="992"/>
      <c r="AA32" s="321"/>
      <c r="AB32" s="804" t="str" cm="1">
        <f t="array" ref="AB32">Сценарии!$AB$55</f>
        <v>Тариф 1 (Водоснабжение) - тариф на техническую воду</v>
      </c>
      <c r="AC32" s="805"/>
      <c r="AD32" s="806"/>
      <c r="AE32" s="806"/>
      <c r="AF32" s="806"/>
      <c r="AG32" s="806"/>
      <c r="AH32" s="806"/>
      <c r="AI32" s="806"/>
      <c r="AJ32" s="806"/>
      <c r="AK32" s="806"/>
      <c r="AL32" s="806"/>
      <c r="AM32" s="806"/>
      <c r="AN32" s="806"/>
      <c r="AO32" s="806"/>
      <c r="AP32" s="806"/>
      <c r="AQ32" s="806"/>
      <c r="AR32" s="806"/>
      <c r="AS32" s="806"/>
      <c r="AT32" s="806"/>
      <c r="AU32" s="806"/>
      <c r="AV32" s="806"/>
      <c r="AW32" s="806"/>
      <c r="AX32" s="806"/>
      <c r="AY32" s="806"/>
      <c r="AZ32" s="806"/>
      <c r="BA32" s="806"/>
      <c r="BB32" s="321"/>
      <c r="BC32" s="669"/>
      <c r="BD32" s="278"/>
      <c r="BE32" s="278"/>
      <c r="BF32" s="278"/>
      <c r="BG32" s="278"/>
      <c r="BH32" s="278"/>
      <c r="BI32" s="321"/>
      <c r="BJ32" s="321"/>
      <c r="BK32" s="321"/>
      <c r="BL32" s="321"/>
      <c r="BM32" s="321"/>
      <c r="BN32" s="321"/>
    </row>
    <row r="33" spans="1:66" ht="21.75" customHeight="1" x14ac:dyDescent="0.25">
      <c r="A33" s="321"/>
      <c r="B33" s="278"/>
      <c r="C33" s="321"/>
      <c r="D33" s="321"/>
      <c r="E33" s="448">
        <v>22.5</v>
      </c>
      <c r="F33" s="267" t="str" cm="1">
        <f t="array" aca="1" ref="F33" ca="1">OFFSET(E33,-1,1)</f>
        <v>1</v>
      </c>
      <c r="G33" s="321"/>
      <c r="H33" s="321"/>
      <c r="I33" s="321"/>
      <c r="J33" s="321"/>
      <c r="K33" s="321"/>
      <c r="L33" s="321"/>
      <c r="M33" s="321"/>
      <c r="N33" s="321"/>
      <c r="O33" s="321"/>
      <c r="P33" s="321"/>
      <c r="Q33" s="321"/>
      <c r="R33" s="321"/>
      <c r="S33" s="321"/>
      <c r="T33" s="321"/>
      <c r="U33" s="321"/>
      <c r="V33" s="353" t="b" cm="1">
        <f t="array" ref="V33">V32</f>
        <v>1</v>
      </c>
      <c r="W33" s="321"/>
      <c r="X33" s="321"/>
      <c r="Y33" s="964"/>
      <c r="Z33" s="992"/>
      <c r="AA33" s="321"/>
      <c r="AB33" s="49">
        <v>1</v>
      </c>
      <c r="AC33" s="51" t="s">
        <v>494</v>
      </c>
      <c r="AD33" s="52"/>
      <c r="AE33" s="188">
        <v>0</v>
      </c>
      <c r="AF33" s="188">
        <v>0</v>
      </c>
      <c r="AG33" s="188">
        <v>0</v>
      </c>
      <c r="AH33" s="188">
        <v>0</v>
      </c>
      <c r="AI33" s="825"/>
      <c r="AJ33" s="188"/>
      <c r="AK33" s="188"/>
      <c r="AL33" s="188"/>
      <c r="AM33" s="188"/>
      <c r="AN33" s="188"/>
      <c r="AO33" s="188"/>
      <c r="AP33" s="188"/>
      <c r="AQ33" s="188"/>
      <c r="AR33" s="188">
        <v>0</v>
      </c>
      <c r="AS33" s="825"/>
      <c r="AT33" s="188"/>
      <c r="AU33" s="188"/>
      <c r="AV33" s="188"/>
      <c r="AW33" s="188"/>
      <c r="AX33" s="188"/>
      <c r="AY33" s="188"/>
      <c r="AZ33" s="188"/>
      <c r="BA33" s="188"/>
      <c r="BB33" s="321"/>
      <c r="BC33" s="656" t="s">
        <v>546</v>
      </c>
      <c r="BD33" s="321"/>
      <c r="BE33" s="321"/>
      <c r="BF33" s="321"/>
      <c r="BG33" s="321"/>
      <c r="BH33" s="321"/>
      <c r="BI33" s="321"/>
      <c r="BJ33" s="321"/>
      <c r="BK33" s="321"/>
      <c r="BL33" s="321"/>
      <c r="BM33" s="321"/>
      <c r="BN33" s="321"/>
    </row>
    <row r="34" spans="1:66" ht="23.25" customHeight="1" x14ac:dyDescent="0.2">
      <c r="A34" s="321"/>
      <c r="B34" s="321"/>
      <c r="C34" s="321"/>
      <c r="D34" s="321"/>
      <c r="E34" s="448">
        <v>24</v>
      </c>
      <c r="F34" s="267" t="str" cm="1">
        <f t="array" aca="1" ref="F34" ca="1">OFFSET(E34,-1,1)</f>
        <v>1</v>
      </c>
      <c r="G34" s="321"/>
      <c r="H34" s="321"/>
      <c r="I34" s="321"/>
      <c r="J34" s="321"/>
      <c r="K34" s="321"/>
      <c r="L34" s="321"/>
      <c r="M34" s="321"/>
      <c r="N34" s="321"/>
      <c r="O34" s="321"/>
      <c r="P34" s="321"/>
      <c r="Q34" s="321"/>
      <c r="R34" s="321"/>
      <c r="S34" s="321"/>
      <c r="T34" s="321"/>
      <c r="U34" s="321"/>
      <c r="V34" s="353" t="b" cm="1">
        <f t="array" ref="V34">V33</f>
        <v>1</v>
      </c>
      <c r="W34" s="321"/>
      <c r="X34" s="321"/>
      <c r="Y34" s="964"/>
      <c r="Z34" s="992"/>
      <c r="AA34" s="321"/>
      <c r="AB34" s="49">
        <v>2</v>
      </c>
      <c r="AC34" s="51" t="s">
        <v>547</v>
      </c>
      <c r="AD34" s="52" t="s">
        <v>476</v>
      </c>
      <c r="AE34" s="188">
        <v>0</v>
      </c>
      <c r="AF34" s="188">
        <v>0</v>
      </c>
      <c r="AG34" s="188">
        <v>0</v>
      </c>
      <c r="AH34" s="188">
        <v>0</v>
      </c>
      <c r="AI34" s="825"/>
      <c r="AJ34" s="188"/>
      <c r="AK34" s="188"/>
      <c r="AL34" s="188"/>
      <c r="AM34" s="188"/>
      <c r="AN34" s="188"/>
      <c r="AO34" s="188"/>
      <c r="AP34" s="188"/>
      <c r="AQ34" s="188"/>
      <c r="AR34" s="188">
        <v>0</v>
      </c>
      <c r="AS34" s="825"/>
      <c r="AT34" s="188"/>
      <c r="AU34" s="188"/>
      <c r="AV34" s="188"/>
      <c r="AW34" s="188"/>
      <c r="AX34" s="188"/>
      <c r="AY34" s="188"/>
      <c r="AZ34" s="188"/>
      <c r="BA34" s="188"/>
      <c r="BB34" s="321"/>
      <c r="BC34" s="656" t="s">
        <v>548</v>
      </c>
      <c r="BD34" s="321"/>
      <c r="BE34" s="321"/>
      <c r="BF34" s="321"/>
      <c r="BG34" s="321"/>
      <c r="BH34" s="321"/>
      <c r="BI34" s="321"/>
      <c r="BJ34" s="321"/>
      <c r="BK34" s="321"/>
      <c r="BL34" s="321"/>
      <c r="BM34" s="321"/>
      <c r="BN34" s="321"/>
    </row>
    <row r="35" spans="1:66" ht="69" customHeight="1" x14ac:dyDescent="0.2">
      <c r="A35" s="321"/>
      <c r="B35" s="321"/>
      <c r="C35" s="321"/>
      <c r="D35" s="321"/>
      <c r="E35" s="448">
        <v>71.25</v>
      </c>
      <c r="F35" s="267" t="str" cm="1">
        <f t="array" aca="1" ref="F35" ca="1">OFFSET(E35,-1,1)</f>
        <v>1</v>
      </c>
      <c r="G35" s="321"/>
      <c r="H35" s="321"/>
      <c r="I35" s="321"/>
      <c r="J35" s="321"/>
      <c r="K35" s="321"/>
      <c r="L35" s="321"/>
      <c r="M35" s="321"/>
      <c r="N35" s="321"/>
      <c r="O35" s="321"/>
      <c r="P35" s="321"/>
      <c r="Q35" s="321"/>
      <c r="R35" s="321"/>
      <c r="S35" s="321"/>
      <c r="T35" s="321"/>
      <c r="U35" s="321"/>
      <c r="V35" s="353" t="b" cm="1">
        <f t="array" ref="V35">V34</f>
        <v>1</v>
      </c>
      <c r="W35" s="321"/>
      <c r="X35" s="321"/>
      <c r="Y35" s="964"/>
      <c r="Z35" s="992"/>
      <c r="AA35" s="321"/>
      <c r="AB35" s="49">
        <v>3</v>
      </c>
      <c r="AC35" s="53" t="s">
        <v>549</v>
      </c>
      <c r="AD35" s="52" t="s">
        <v>476</v>
      </c>
      <c r="AE35" s="188">
        <v>0</v>
      </c>
      <c r="AF35" s="188">
        <v>0</v>
      </c>
      <c r="AG35" s="188">
        <v>0</v>
      </c>
      <c r="AH35" s="188">
        <v>0</v>
      </c>
      <c r="AI35" s="825"/>
      <c r="AJ35" s="188"/>
      <c r="AK35" s="188"/>
      <c r="AL35" s="188"/>
      <c r="AM35" s="188"/>
      <c r="AN35" s="188"/>
      <c r="AO35" s="188"/>
      <c r="AP35" s="188"/>
      <c r="AQ35" s="188"/>
      <c r="AR35" s="188">
        <v>0</v>
      </c>
      <c r="AS35" s="825"/>
      <c r="AT35" s="188"/>
      <c r="AU35" s="188"/>
      <c r="AV35" s="188"/>
      <c r="AW35" s="188"/>
      <c r="AX35" s="188"/>
      <c r="AY35" s="188"/>
      <c r="AZ35" s="188"/>
      <c r="BA35" s="188"/>
      <c r="BB35" s="321"/>
      <c r="BC35" s="656" t="s">
        <v>550</v>
      </c>
      <c r="BD35" s="321"/>
      <c r="BE35" s="321"/>
      <c r="BF35" s="321"/>
      <c r="BG35" s="321"/>
      <c r="BH35" s="321"/>
      <c r="BI35" s="321"/>
      <c r="BJ35" s="321"/>
      <c r="BK35" s="321"/>
      <c r="BL35" s="321"/>
      <c r="BM35" s="321"/>
      <c r="BN35" s="321"/>
    </row>
    <row r="36" spans="1:66" ht="24" customHeight="1" x14ac:dyDescent="0.25">
      <c r="A36" s="321"/>
      <c r="B36" s="278"/>
      <c r="C36" s="321"/>
      <c r="D36" s="321"/>
      <c r="E36" s="448">
        <v>24.75</v>
      </c>
      <c r="F36" s="267" t="str" cm="1">
        <f t="array" aca="1" ref="F36" ca="1">OFFSET(E36,-1,1)</f>
        <v>1</v>
      </c>
      <c r="G36" s="321"/>
      <c r="H36" s="321"/>
      <c r="I36" s="321"/>
      <c r="J36" s="321"/>
      <c r="K36" s="321"/>
      <c r="L36" s="321"/>
      <c r="M36" s="321"/>
      <c r="N36" s="321"/>
      <c r="O36" s="321"/>
      <c r="P36" s="321"/>
      <c r="Q36" s="321"/>
      <c r="R36" s="321"/>
      <c r="S36" s="321"/>
      <c r="T36" s="321"/>
      <c r="U36" s="321"/>
      <c r="V36" s="353" t="b" cm="1">
        <f t="array" ref="V36">V35</f>
        <v>1</v>
      </c>
      <c r="W36" s="321"/>
      <c r="X36" s="321"/>
      <c r="Y36" s="964"/>
      <c r="Z36" s="992"/>
      <c r="AA36" s="321"/>
      <c r="AB36" s="49">
        <v>4</v>
      </c>
      <c r="AC36" s="51" t="s">
        <v>483</v>
      </c>
      <c r="AD36" s="52"/>
      <c r="AE36" s="188"/>
      <c r="AF36" s="188"/>
      <c r="AG36" s="188">
        <v>1</v>
      </c>
      <c r="AH36" s="188"/>
      <c r="AI36" s="825"/>
      <c r="AJ36" s="188"/>
      <c r="AK36" s="188"/>
      <c r="AL36" s="188"/>
      <c r="AM36" s="188"/>
      <c r="AN36" s="188"/>
      <c r="AO36" s="188"/>
      <c r="AP36" s="188"/>
      <c r="AQ36" s="188"/>
      <c r="AR36" s="188">
        <v>1</v>
      </c>
      <c r="AS36" s="825"/>
      <c r="AT36" s="188"/>
      <c r="AU36" s="188"/>
      <c r="AV36" s="188"/>
      <c r="AW36" s="188"/>
      <c r="AX36" s="188"/>
      <c r="AY36" s="188"/>
      <c r="AZ36" s="188"/>
      <c r="BA36" s="188"/>
      <c r="BB36" s="321"/>
      <c r="BC36" s="656" t="s">
        <v>551</v>
      </c>
      <c r="BD36" s="321"/>
      <c r="BE36" s="321"/>
      <c r="BF36" s="321"/>
      <c r="BG36" s="321"/>
      <c r="BH36" s="321"/>
      <c r="BI36" s="321"/>
      <c r="BJ36" s="321"/>
      <c r="BK36" s="321"/>
      <c r="BL36" s="321"/>
      <c r="BM36" s="321"/>
      <c r="BN36" s="321"/>
    </row>
    <row r="37" spans="1:66" s="841" customFormat="1" ht="20.100000000000001" customHeight="1" x14ac:dyDescent="0.25">
      <c r="A37" s="321"/>
      <c r="B37" s="326"/>
      <c r="C37" s="321"/>
      <c r="D37" s="321"/>
      <c r="E37" s="459">
        <v>15</v>
      </c>
      <c r="F37" s="275" t="str" cm="1">
        <f t="array" ref="F37">Y37</f>
        <v>2</v>
      </c>
      <c r="G37" s="321"/>
      <c r="H37" s="321"/>
      <c r="I37" s="321"/>
      <c r="J37" s="321"/>
      <c r="K37" s="321"/>
      <c r="L37" s="321"/>
      <c r="M37" s="321"/>
      <c r="N37" s="321"/>
      <c r="O37" s="321"/>
      <c r="P37" s="321"/>
      <c r="Q37" s="321"/>
      <c r="R37" s="321"/>
      <c r="S37" s="321"/>
      <c r="T37" s="321"/>
      <c r="U37" s="321"/>
      <c r="V37" s="353" t="b">
        <f>Y37&gt;0</f>
        <v>1</v>
      </c>
      <c r="W37" s="321"/>
      <c r="X37" s="60" t="str" cm="1">
        <f t="array" ref="X37">Сценарии!$AB$82</f>
        <v>Тариф 2 (Водоотведение) - тариф на водоотведение</v>
      </c>
      <c r="Y37" s="964" t="s">
        <v>285</v>
      </c>
      <c r="Z37" s="992"/>
      <c r="AA37" s="321"/>
      <c r="AB37" s="804" t="str" cm="1">
        <f t="array" ref="AB37">Сценарии!$AB$82</f>
        <v>Тариф 2 (Водоотведение) - тариф на водоотведение</v>
      </c>
      <c r="AC37" s="805"/>
      <c r="AD37" s="806"/>
      <c r="AE37" s="806"/>
      <c r="AF37" s="806"/>
      <c r="AG37" s="806"/>
      <c r="AH37" s="806"/>
      <c r="AI37" s="806"/>
      <c r="AJ37" s="806"/>
      <c r="AK37" s="806"/>
      <c r="AL37" s="806"/>
      <c r="AM37" s="806"/>
      <c r="AN37" s="806"/>
      <c r="AO37" s="806"/>
      <c r="AP37" s="806"/>
      <c r="AQ37" s="806"/>
      <c r="AR37" s="806"/>
      <c r="AS37" s="806"/>
      <c r="AT37" s="806"/>
      <c r="AU37" s="806"/>
      <c r="AV37" s="806"/>
      <c r="AW37" s="806"/>
      <c r="AX37" s="806"/>
      <c r="AY37" s="806"/>
      <c r="AZ37" s="806"/>
      <c r="BA37" s="806"/>
      <c r="BB37" s="321"/>
      <c r="BC37" s="669"/>
      <c r="BD37" s="278"/>
      <c r="BE37" s="278"/>
      <c r="BF37" s="278"/>
      <c r="BG37" s="278"/>
      <c r="BH37" s="278"/>
      <c r="BI37" s="321"/>
      <c r="BJ37" s="321"/>
      <c r="BK37" s="321"/>
      <c r="BL37" s="321"/>
      <c r="BM37" s="321"/>
      <c r="BN37" s="321"/>
    </row>
    <row r="38" spans="1:66" ht="21.75" customHeight="1" x14ac:dyDescent="0.25">
      <c r="A38" s="321"/>
      <c r="B38" s="278"/>
      <c r="C38" s="321"/>
      <c r="D38" s="321"/>
      <c r="E38" s="448">
        <v>22.5</v>
      </c>
      <c r="F38" s="267" t="str" cm="1">
        <f t="array" aca="1" ref="F38" ca="1">OFFSET(E38,-1,1)</f>
        <v>2</v>
      </c>
      <c r="G38" s="321"/>
      <c r="H38" s="321"/>
      <c r="I38" s="321"/>
      <c r="J38" s="321"/>
      <c r="K38" s="321"/>
      <c r="L38" s="321"/>
      <c r="M38" s="321"/>
      <c r="N38" s="321"/>
      <c r="O38" s="321"/>
      <c r="P38" s="321"/>
      <c r="Q38" s="321"/>
      <c r="R38" s="321"/>
      <c r="S38" s="321"/>
      <c r="T38" s="321"/>
      <c r="U38" s="321"/>
      <c r="V38" s="353" t="b" cm="1">
        <f t="array" ref="V38">V37</f>
        <v>1</v>
      </c>
      <c r="W38" s="321"/>
      <c r="X38" s="321"/>
      <c r="Y38" s="964"/>
      <c r="Z38" s="992"/>
      <c r="AA38" s="321"/>
      <c r="AB38" s="49">
        <v>1</v>
      </c>
      <c r="AC38" s="51" t="s">
        <v>494</v>
      </c>
      <c r="AD38" s="52"/>
      <c r="AE38" s="188">
        <v>0</v>
      </c>
      <c r="AF38" s="188">
        <v>0</v>
      </c>
      <c r="AG38" s="188">
        <v>0</v>
      </c>
      <c r="AH38" s="188">
        <v>0</v>
      </c>
      <c r="AI38" s="825"/>
      <c r="AJ38" s="188"/>
      <c r="AK38" s="188"/>
      <c r="AL38" s="188"/>
      <c r="AM38" s="188"/>
      <c r="AN38" s="188"/>
      <c r="AO38" s="188"/>
      <c r="AP38" s="188"/>
      <c r="AQ38" s="188"/>
      <c r="AR38" s="188">
        <v>0</v>
      </c>
      <c r="AS38" s="825"/>
      <c r="AT38" s="188"/>
      <c r="AU38" s="188"/>
      <c r="AV38" s="188"/>
      <c r="AW38" s="188"/>
      <c r="AX38" s="188"/>
      <c r="AY38" s="188"/>
      <c r="AZ38" s="188"/>
      <c r="BA38" s="188"/>
      <c r="BB38" s="321"/>
      <c r="BC38" s="656" t="s">
        <v>546</v>
      </c>
      <c r="BD38" s="321"/>
      <c r="BE38" s="321"/>
      <c r="BF38" s="321"/>
      <c r="BG38" s="321"/>
      <c r="BH38" s="321"/>
      <c r="BI38" s="321"/>
      <c r="BJ38" s="321"/>
      <c r="BK38" s="321"/>
      <c r="BL38" s="321"/>
      <c r="BM38" s="321"/>
      <c r="BN38" s="321"/>
    </row>
    <row r="39" spans="1:66" ht="23.25" customHeight="1" x14ac:dyDescent="0.2">
      <c r="A39" s="321"/>
      <c r="B39" s="321"/>
      <c r="C39" s="321"/>
      <c r="D39" s="321"/>
      <c r="E39" s="448">
        <v>24</v>
      </c>
      <c r="F39" s="267" t="str" cm="1">
        <f t="array" aca="1" ref="F39" ca="1">OFFSET(E39,-1,1)</f>
        <v>2</v>
      </c>
      <c r="G39" s="321"/>
      <c r="H39" s="321"/>
      <c r="I39" s="321"/>
      <c r="J39" s="321"/>
      <c r="K39" s="321"/>
      <c r="L39" s="321"/>
      <c r="M39" s="321"/>
      <c r="N39" s="321"/>
      <c r="O39" s="321"/>
      <c r="P39" s="321"/>
      <c r="Q39" s="321"/>
      <c r="R39" s="321"/>
      <c r="S39" s="321"/>
      <c r="T39" s="321"/>
      <c r="U39" s="321"/>
      <c r="V39" s="353" t="b" cm="1">
        <f t="array" ref="V39">V38</f>
        <v>1</v>
      </c>
      <c r="W39" s="321"/>
      <c r="X39" s="321"/>
      <c r="Y39" s="964"/>
      <c r="Z39" s="992"/>
      <c r="AA39" s="321"/>
      <c r="AB39" s="49">
        <v>2</v>
      </c>
      <c r="AC39" s="51" t="s">
        <v>547</v>
      </c>
      <c r="AD39" s="52" t="s">
        <v>476</v>
      </c>
      <c r="AE39" s="188">
        <v>0</v>
      </c>
      <c r="AF39" s="188">
        <v>0</v>
      </c>
      <c r="AG39" s="188">
        <v>0</v>
      </c>
      <c r="AH39" s="188">
        <v>0</v>
      </c>
      <c r="AI39" s="825"/>
      <c r="AJ39" s="188"/>
      <c r="AK39" s="188"/>
      <c r="AL39" s="188"/>
      <c r="AM39" s="188"/>
      <c r="AN39" s="188"/>
      <c r="AO39" s="188"/>
      <c r="AP39" s="188"/>
      <c r="AQ39" s="188"/>
      <c r="AR39" s="188">
        <v>0</v>
      </c>
      <c r="AS39" s="825"/>
      <c r="AT39" s="188"/>
      <c r="AU39" s="188"/>
      <c r="AV39" s="188"/>
      <c r="AW39" s="188"/>
      <c r="AX39" s="188"/>
      <c r="AY39" s="188"/>
      <c r="AZ39" s="188"/>
      <c r="BA39" s="188"/>
      <c r="BB39" s="321"/>
      <c r="BC39" s="656" t="s">
        <v>548</v>
      </c>
      <c r="BD39" s="321"/>
      <c r="BE39" s="321"/>
      <c r="BF39" s="321"/>
      <c r="BG39" s="321"/>
      <c r="BH39" s="321"/>
      <c r="BI39" s="321"/>
      <c r="BJ39" s="321"/>
      <c r="BK39" s="321"/>
      <c r="BL39" s="321"/>
      <c r="BM39" s="321"/>
      <c r="BN39" s="321"/>
    </row>
    <row r="40" spans="1:66" ht="69" customHeight="1" x14ac:dyDescent="0.2">
      <c r="A40" s="321"/>
      <c r="B40" s="321"/>
      <c r="C40" s="321"/>
      <c r="D40" s="321"/>
      <c r="E40" s="448">
        <v>71.25</v>
      </c>
      <c r="F40" s="267" t="str" cm="1">
        <f t="array" aca="1" ref="F40" ca="1">OFFSET(E40,-1,1)</f>
        <v>2</v>
      </c>
      <c r="G40" s="321"/>
      <c r="H40" s="321"/>
      <c r="I40" s="321"/>
      <c r="J40" s="321"/>
      <c r="K40" s="321"/>
      <c r="L40" s="321"/>
      <c r="M40" s="321"/>
      <c r="N40" s="321"/>
      <c r="O40" s="321"/>
      <c r="P40" s="321"/>
      <c r="Q40" s="321"/>
      <c r="R40" s="321"/>
      <c r="S40" s="321"/>
      <c r="T40" s="321"/>
      <c r="U40" s="321"/>
      <c r="V40" s="353" t="b" cm="1">
        <f t="array" ref="V40">V39</f>
        <v>1</v>
      </c>
      <c r="W40" s="321"/>
      <c r="X40" s="321"/>
      <c r="Y40" s="964"/>
      <c r="Z40" s="992"/>
      <c r="AA40" s="321"/>
      <c r="AB40" s="49">
        <v>3</v>
      </c>
      <c r="AC40" s="53" t="s">
        <v>549</v>
      </c>
      <c r="AD40" s="52" t="s">
        <v>476</v>
      </c>
      <c r="AE40" s="188">
        <v>0</v>
      </c>
      <c r="AF40" s="188">
        <v>0</v>
      </c>
      <c r="AG40" s="188">
        <v>0</v>
      </c>
      <c r="AH40" s="188">
        <v>0</v>
      </c>
      <c r="AI40" s="825"/>
      <c r="AJ40" s="188"/>
      <c r="AK40" s="188"/>
      <c r="AL40" s="188"/>
      <c r="AM40" s="188"/>
      <c r="AN40" s="188"/>
      <c r="AO40" s="188"/>
      <c r="AP40" s="188"/>
      <c r="AQ40" s="188"/>
      <c r="AR40" s="188">
        <v>0</v>
      </c>
      <c r="AS40" s="825"/>
      <c r="AT40" s="188"/>
      <c r="AU40" s="188"/>
      <c r="AV40" s="188"/>
      <c r="AW40" s="188"/>
      <c r="AX40" s="188"/>
      <c r="AY40" s="188"/>
      <c r="AZ40" s="188"/>
      <c r="BA40" s="188"/>
      <c r="BB40" s="321"/>
      <c r="BC40" s="656" t="s">
        <v>550</v>
      </c>
      <c r="BD40" s="321"/>
      <c r="BE40" s="321"/>
      <c r="BF40" s="321"/>
      <c r="BG40" s="321"/>
      <c r="BH40" s="321"/>
      <c r="BI40" s="321"/>
      <c r="BJ40" s="321"/>
      <c r="BK40" s="321"/>
      <c r="BL40" s="321"/>
      <c r="BM40" s="321"/>
      <c r="BN40" s="321"/>
    </row>
    <row r="41" spans="1:66" ht="24" customHeight="1" x14ac:dyDescent="0.25">
      <c r="A41" s="321"/>
      <c r="B41" s="278"/>
      <c r="C41" s="321"/>
      <c r="D41" s="321"/>
      <c r="E41" s="448">
        <v>24.75</v>
      </c>
      <c r="F41" s="267" t="str" cm="1">
        <f t="array" aca="1" ref="F41" ca="1">OFFSET(E41,-1,1)</f>
        <v>2</v>
      </c>
      <c r="G41" s="321"/>
      <c r="H41" s="321"/>
      <c r="I41" s="321"/>
      <c r="J41" s="321"/>
      <c r="K41" s="321"/>
      <c r="L41" s="321"/>
      <c r="M41" s="321"/>
      <c r="N41" s="321"/>
      <c r="O41" s="321"/>
      <c r="P41" s="321"/>
      <c r="Q41" s="321"/>
      <c r="R41" s="321"/>
      <c r="S41" s="321"/>
      <c r="T41" s="321"/>
      <c r="U41" s="321"/>
      <c r="V41" s="353" t="b" cm="1">
        <f t="array" ref="V41">V40</f>
        <v>1</v>
      </c>
      <c r="W41" s="321"/>
      <c r="X41" s="321"/>
      <c r="Y41" s="964"/>
      <c r="Z41" s="992"/>
      <c r="AA41" s="321"/>
      <c r="AB41" s="49">
        <v>4</v>
      </c>
      <c r="AC41" s="51" t="s">
        <v>483</v>
      </c>
      <c r="AD41" s="52"/>
      <c r="AE41" s="188"/>
      <c r="AF41" s="188"/>
      <c r="AG41" s="188">
        <v>1</v>
      </c>
      <c r="AH41" s="188"/>
      <c r="AI41" s="825"/>
      <c r="AJ41" s="188"/>
      <c r="AK41" s="188"/>
      <c r="AL41" s="188"/>
      <c r="AM41" s="188"/>
      <c r="AN41" s="188"/>
      <c r="AO41" s="188"/>
      <c r="AP41" s="188"/>
      <c r="AQ41" s="188"/>
      <c r="AR41" s="188">
        <v>1</v>
      </c>
      <c r="AS41" s="825"/>
      <c r="AT41" s="188"/>
      <c r="AU41" s="188"/>
      <c r="AV41" s="188"/>
      <c r="AW41" s="188"/>
      <c r="AX41" s="188"/>
      <c r="AY41" s="188"/>
      <c r="AZ41" s="188"/>
      <c r="BA41" s="188"/>
      <c r="BB41" s="321"/>
      <c r="BC41" s="656" t="s">
        <v>551</v>
      </c>
      <c r="BD41" s="321"/>
      <c r="BE41" s="321"/>
      <c r="BF41" s="321"/>
      <c r="BG41" s="321"/>
      <c r="BH41" s="321"/>
      <c r="BI41" s="321"/>
      <c r="BJ41" s="321"/>
      <c r="BK41" s="321"/>
      <c r="BL41" s="321"/>
      <c r="BM41" s="321"/>
      <c r="BN41" s="321"/>
    </row>
    <row r="42" spans="1:66" s="841" customFormat="1" ht="20.100000000000001" customHeight="1" x14ac:dyDescent="0.25">
      <c r="A42" s="321"/>
      <c r="B42" s="326"/>
      <c r="C42" s="321"/>
      <c r="D42" s="321"/>
      <c r="E42" s="459">
        <v>15</v>
      </c>
      <c r="F42" s="275" t="str" cm="1">
        <f t="array" ref="F42">Y42</f>
        <v>3</v>
      </c>
      <c r="G42" s="321"/>
      <c r="H42" s="321"/>
      <c r="I42" s="321"/>
      <c r="J42" s="321"/>
      <c r="K42" s="321"/>
      <c r="L42" s="321"/>
      <c r="M42" s="321"/>
      <c r="N42" s="321"/>
      <c r="O42" s="321"/>
      <c r="P42" s="321"/>
      <c r="Q42" s="321"/>
      <c r="R42" s="321"/>
      <c r="S42" s="321"/>
      <c r="T42" s="321"/>
      <c r="U42" s="321"/>
      <c r="V42" s="353" t="b">
        <f>Y42&gt;0</f>
        <v>1</v>
      </c>
      <c r="W42" s="321"/>
      <c r="X42" s="60" t="str" cm="1">
        <f t="array" ref="X42">Сценарии!$AB$109</f>
        <v>Тариф 3 (Водоотведение) - тариф на транспортировку сточных вод</v>
      </c>
      <c r="Y42" s="964" t="s">
        <v>291</v>
      </c>
      <c r="Z42" s="992"/>
      <c r="AA42" s="321"/>
      <c r="AB42" s="804" t="str" cm="1">
        <f t="array" ref="AB42">Сценарии!$AB$109</f>
        <v>Тариф 3 (Водоотведение) - тариф на транспортировку сточных вод</v>
      </c>
      <c r="AC42" s="805"/>
      <c r="AD42" s="806"/>
      <c r="AE42" s="806"/>
      <c r="AF42" s="806"/>
      <c r="AG42" s="806"/>
      <c r="AH42" s="806"/>
      <c r="AI42" s="806"/>
      <c r="AJ42" s="806"/>
      <c r="AK42" s="806"/>
      <c r="AL42" s="806"/>
      <c r="AM42" s="806"/>
      <c r="AN42" s="806"/>
      <c r="AO42" s="806"/>
      <c r="AP42" s="806"/>
      <c r="AQ42" s="806"/>
      <c r="AR42" s="806"/>
      <c r="AS42" s="806"/>
      <c r="AT42" s="806"/>
      <c r="AU42" s="806"/>
      <c r="AV42" s="806"/>
      <c r="AW42" s="806"/>
      <c r="AX42" s="806"/>
      <c r="AY42" s="806"/>
      <c r="AZ42" s="806"/>
      <c r="BA42" s="806"/>
      <c r="BB42" s="321"/>
      <c r="BC42" s="669"/>
      <c r="BD42" s="278"/>
      <c r="BE42" s="278"/>
      <c r="BF42" s="278"/>
      <c r="BG42" s="278"/>
      <c r="BH42" s="278"/>
      <c r="BI42" s="321"/>
      <c r="BJ42" s="321"/>
      <c r="BK42" s="321"/>
      <c r="BL42" s="321"/>
      <c r="BM42" s="321"/>
      <c r="BN42" s="321"/>
    </row>
    <row r="43" spans="1:66" ht="21.75" customHeight="1" x14ac:dyDescent="0.25">
      <c r="A43" s="321"/>
      <c r="B43" s="278"/>
      <c r="C43" s="321"/>
      <c r="D43" s="321"/>
      <c r="E43" s="448">
        <v>22.5</v>
      </c>
      <c r="F43" s="267" t="str" cm="1">
        <f t="array" aca="1" ref="F43" ca="1">OFFSET(E43,-1,1)</f>
        <v>3</v>
      </c>
      <c r="G43" s="321"/>
      <c r="H43" s="321"/>
      <c r="I43" s="321"/>
      <c r="J43" s="321"/>
      <c r="K43" s="321"/>
      <c r="L43" s="321"/>
      <c r="M43" s="321"/>
      <c r="N43" s="321"/>
      <c r="O43" s="321"/>
      <c r="P43" s="321"/>
      <c r="Q43" s="321"/>
      <c r="R43" s="321"/>
      <c r="S43" s="321"/>
      <c r="T43" s="321"/>
      <c r="U43" s="321"/>
      <c r="V43" s="353" t="b" cm="1">
        <f t="array" ref="V43">V42</f>
        <v>1</v>
      </c>
      <c r="W43" s="321"/>
      <c r="X43" s="321"/>
      <c r="Y43" s="964"/>
      <c r="Z43" s="992"/>
      <c r="AA43" s="321"/>
      <c r="AB43" s="49">
        <v>1</v>
      </c>
      <c r="AC43" s="51" t="s">
        <v>494</v>
      </c>
      <c r="AD43" s="52"/>
      <c r="AE43" s="188">
        <v>0</v>
      </c>
      <c r="AF43" s="188">
        <v>0</v>
      </c>
      <c r="AG43" s="188">
        <v>0</v>
      </c>
      <c r="AH43" s="188">
        <v>0</v>
      </c>
      <c r="AI43" s="825"/>
      <c r="AJ43" s="188"/>
      <c r="AK43" s="188"/>
      <c r="AL43" s="188"/>
      <c r="AM43" s="188"/>
      <c r="AN43" s="188"/>
      <c r="AO43" s="188"/>
      <c r="AP43" s="188"/>
      <c r="AQ43" s="188"/>
      <c r="AR43" s="188">
        <v>0</v>
      </c>
      <c r="AS43" s="825"/>
      <c r="AT43" s="188"/>
      <c r="AU43" s="188"/>
      <c r="AV43" s="188"/>
      <c r="AW43" s="188"/>
      <c r="AX43" s="188"/>
      <c r="AY43" s="188"/>
      <c r="AZ43" s="188"/>
      <c r="BA43" s="188"/>
      <c r="BB43" s="321"/>
      <c r="BC43" s="656" t="s">
        <v>546</v>
      </c>
      <c r="BD43" s="321"/>
      <c r="BE43" s="321"/>
      <c r="BF43" s="321"/>
      <c r="BG43" s="321"/>
      <c r="BH43" s="321"/>
      <c r="BI43" s="321"/>
      <c r="BJ43" s="321"/>
      <c r="BK43" s="321"/>
      <c r="BL43" s="321"/>
      <c r="BM43" s="321"/>
      <c r="BN43" s="321"/>
    </row>
    <row r="44" spans="1:66" ht="23.25" customHeight="1" x14ac:dyDescent="0.2">
      <c r="A44" s="321"/>
      <c r="B44" s="321"/>
      <c r="C44" s="321"/>
      <c r="D44" s="321"/>
      <c r="E44" s="448">
        <v>24</v>
      </c>
      <c r="F44" s="267" t="str" cm="1">
        <f t="array" aca="1" ref="F44" ca="1">OFFSET(E44,-1,1)</f>
        <v>3</v>
      </c>
      <c r="G44" s="321"/>
      <c r="H44" s="321"/>
      <c r="I44" s="321"/>
      <c r="J44" s="321"/>
      <c r="K44" s="321"/>
      <c r="L44" s="321"/>
      <c r="M44" s="321"/>
      <c r="N44" s="321"/>
      <c r="O44" s="321"/>
      <c r="P44" s="321"/>
      <c r="Q44" s="321"/>
      <c r="R44" s="321"/>
      <c r="S44" s="321"/>
      <c r="T44" s="321"/>
      <c r="U44" s="321"/>
      <c r="V44" s="353" t="b" cm="1">
        <f t="array" ref="V44">V43</f>
        <v>1</v>
      </c>
      <c r="W44" s="321"/>
      <c r="X44" s="321"/>
      <c r="Y44" s="964"/>
      <c r="Z44" s="992"/>
      <c r="AA44" s="321"/>
      <c r="AB44" s="49">
        <v>2</v>
      </c>
      <c r="AC44" s="51" t="s">
        <v>547</v>
      </c>
      <c r="AD44" s="52" t="s">
        <v>476</v>
      </c>
      <c r="AE44" s="188">
        <v>0</v>
      </c>
      <c r="AF44" s="188">
        <v>0</v>
      </c>
      <c r="AG44" s="188">
        <v>0</v>
      </c>
      <c r="AH44" s="188">
        <v>0</v>
      </c>
      <c r="AI44" s="825"/>
      <c r="AJ44" s="188"/>
      <c r="AK44" s="188"/>
      <c r="AL44" s="188"/>
      <c r="AM44" s="188"/>
      <c r="AN44" s="188"/>
      <c r="AO44" s="188"/>
      <c r="AP44" s="188"/>
      <c r="AQ44" s="188"/>
      <c r="AR44" s="188">
        <v>0</v>
      </c>
      <c r="AS44" s="825"/>
      <c r="AT44" s="188"/>
      <c r="AU44" s="188"/>
      <c r="AV44" s="188"/>
      <c r="AW44" s="188"/>
      <c r="AX44" s="188"/>
      <c r="AY44" s="188"/>
      <c r="AZ44" s="188"/>
      <c r="BA44" s="188"/>
      <c r="BB44" s="321"/>
      <c r="BC44" s="656" t="s">
        <v>548</v>
      </c>
      <c r="BD44" s="321"/>
      <c r="BE44" s="321"/>
      <c r="BF44" s="321"/>
      <c r="BG44" s="321"/>
      <c r="BH44" s="321"/>
      <c r="BI44" s="321"/>
      <c r="BJ44" s="321"/>
      <c r="BK44" s="321"/>
      <c r="BL44" s="321"/>
      <c r="BM44" s="321"/>
      <c r="BN44" s="321"/>
    </row>
    <row r="45" spans="1:66" ht="69" customHeight="1" x14ac:dyDescent="0.2">
      <c r="A45" s="321"/>
      <c r="B45" s="321"/>
      <c r="C45" s="321"/>
      <c r="D45" s="321"/>
      <c r="E45" s="448">
        <v>71.25</v>
      </c>
      <c r="F45" s="267" t="str" cm="1">
        <f t="array" aca="1" ref="F45" ca="1">OFFSET(E45,-1,1)</f>
        <v>3</v>
      </c>
      <c r="G45" s="321"/>
      <c r="H45" s="321"/>
      <c r="I45" s="321"/>
      <c r="J45" s="321"/>
      <c r="K45" s="321"/>
      <c r="L45" s="321"/>
      <c r="M45" s="321"/>
      <c r="N45" s="321"/>
      <c r="O45" s="321"/>
      <c r="P45" s="321"/>
      <c r="Q45" s="321"/>
      <c r="R45" s="321"/>
      <c r="S45" s="321"/>
      <c r="T45" s="321"/>
      <c r="U45" s="321"/>
      <c r="V45" s="353" t="b" cm="1">
        <f t="array" ref="V45">V44</f>
        <v>1</v>
      </c>
      <c r="W45" s="321"/>
      <c r="X45" s="321"/>
      <c r="Y45" s="964"/>
      <c r="Z45" s="992"/>
      <c r="AA45" s="321"/>
      <c r="AB45" s="49">
        <v>3</v>
      </c>
      <c r="AC45" s="53" t="s">
        <v>549</v>
      </c>
      <c r="AD45" s="52" t="s">
        <v>476</v>
      </c>
      <c r="AE45" s="188">
        <v>0</v>
      </c>
      <c r="AF45" s="188">
        <v>0</v>
      </c>
      <c r="AG45" s="188">
        <v>0</v>
      </c>
      <c r="AH45" s="188">
        <v>0</v>
      </c>
      <c r="AI45" s="825"/>
      <c r="AJ45" s="188"/>
      <c r="AK45" s="188"/>
      <c r="AL45" s="188"/>
      <c r="AM45" s="188"/>
      <c r="AN45" s="188"/>
      <c r="AO45" s="188"/>
      <c r="AP45" s="188"/>
      <c r="AQ45" s="188"/>
      <c r="AR45" s="188">
        <v>0</v>
      </c>
      <c r="AS45" s="825"/>
      <c r="AT45" s="188"/>
      <c r="AU45" s="188"/>
      <c r="AV45" s="188"/>
      <c r="AW45" s="188"/>
      <c r="AX45" s="188"/>
      <c r="AY45" s="188"/>
      <c r="AZ45" s="188"/>
      <c r="BA45" s="188"/>
      <c r="BB45" s="321"/>
      <c r="BC45" s="656" t="s">
        <v>550</v>
      </c>
      <c r="BD45" s="321"/>
      <c r="BE45" s="321"/>
      <c r="BF45" s="321"/>
      <c r="BG45" s="321"/>
      <c r="BH45" s="321"/>
      <c r="BI45" s="321"/>
      <c r="BJ45" s="321"/>
      <c r="BK45" s="321"/>
      <c r="BL45" s="321"/>
      <c r="BM45" s="321"/>
      <c r="BN45" s="321"/>
    </row>
    <row r="46" spans="1:66" ht="24" customHeight="1" x14ac:dyDescent="0.25">
      <c r="A46" s="321"/>
      <c r="B46" s="278"/>
      <c r="C46" s="321"/>
      <c r="D46" s="321"/>
      <c r="E46" s="448">
        <v>24.75</v>
      </c>
      <c r="F46" s="267" t="str" cm="1">
        <f t="array" aca="1" ref="F46" ca="1">OFFSET(E46,-1,1)</f>
        <v>3</v>
      </c>
      <c r="G46" s="321"/>
      <c r="H46" s="321"/>
      <c r="I46" s="321"/>
      <c r="J46" s="321"/>
      <c r="K46" s="321"/>
      <c r="L46" s="321"/>
      <c r="M46" s="321"/>
      <c r="N46" s="321"/>
      <c r="O46" s="321"/>
      <c r="P46" s="321"/>
      <c r="Q46" s="321"/>
      <c r="R46" s="321"/>
      <c r="S46" s="321"/>
      <c r="T46" s="321"/>
      <c r="U46" s="321"/>
      <c r="V46" s="353" t="b" cm="1">
        <f t="array" ref="V46">V45</f>
        <v>1</v>
      </c>
      <c r="W46" s="321"/>
      <c r="X46" s="321"/>
      <c r="Y46" s="964"/>
      <c r="Z46" s="992"/>
      <c r="AA46" s="321"/>
      <c r="AB46" s="49">
        <v>4</v>
      </c>
      <c r="AC46" s="51" t="s">
        <v>483</v>
      </c>
      <c r="AD46" s="52"/>
      <c r="AE46" s="188"/>
      <c r="AF46" s="188"/>
      <c r="AG46" s="188">
        <v>1</v>
      </c>
      <c r="AH46" s="188"/>
      <c r="AI46" s="825"/>
      <c r="AJ46" s="188"/>
      <c r="AK46" s="188"/>
      <c r="AL46" s="188"/>
      <c r="AM46" s="188"/>
      <c r="AN46" s="188"/>
      <c r="AO46" s="188"/>
      <c r="AP46" s="188"/>
      <c r="AQ46" s="188"/>
      <c r="AR46" s="188">
        <v>1</v>
      </c>
      <c r="AS46" s="825"/>
      <c r="AT46" s="188"/>
      <c r="AU46" s="188"/>
      <c r="AV46" s="188"/>
      <c r="AW46" s="188"/>
      <c r="AX46" s="188"/>
      <c r="AY46" s="188"/>
      <c r="AZ46" s="188"/>
      <c r="BA46" s="188"/>
      <c r="BB46" s="321"/>
      <c r="BC46" s="656" t="s">
        <v>551</v>
      </c>
      <c r="BD46" s="321"/>
      <c r="BE46" s="321"/>
      <c r="BF46" s="321"/>
      <c r="BG46" s="321"/>
      <c r="BH46" s="321"/>
      <c r="BI46" s="321"/>
      <c r="BJ46" s="321"/>
      <c r="BK46" s="321"/>
      <c r="BL46" s="321"/>
      <c r="BM46" s="321"/>
      <c r="BN46" s="321"/>
    </row>
    <row r="47" spans="1:66" ht="10.7" customHeight="1" x14ac:dyDescent="0.25">
      <c r="A47" s="38"/>
      <c r="B47" s="43"/>
      <c r="C47" s="38"/>
      <c r="D47" s="38"/>
      <c r="E47" s="448">
        <v>11</v>
      </c>
      <c r="F47" s="275" t="str" cm="1">
        <f t="array" aca="1" ref="F47" ca="1">OFFSET(E47,-1,1)</f>
        <v>3</v>
      </c>
      <c r="G47" s="38"/>
      <c r="H47" s="38"/>
      <c r="I47" s="38"/>
      <c r="J47" s="38"/>
      <c r="K47" s="38"/>
      <c r="L47" s="38"/>
      <c r="M47" s="38"/>
      <c r="N47" s="38"/>
      <c r="O47" s="38"/>
      <c r="P47" s="38"/>
      <c r="Q47" s="38"/>
      <c r="R47" s="38"/>
      <c r="S47" s="38"/>
      <c r="T47" s="38"/>
      <c r="U47" s="38"/>
      <c r="V47" s="38"/>
      <c r="W47" s="56" t="s">
        <v>176</v>
      </c>
      <c r="X47" s="842" t="s">
        <v>552</v>
      </c>
      <c r="Y47" s="38"/>
      <c r="Z47" s="38"/>
      <c r="AA47" s="38"/>
      <c r="AB47" s="22"/>
      <c r="AC47" s="56"/>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656"/>
      <c r="BD47" s="278"/>
      <c r="BE47" s="278"/>
      <c r="BF47" s="278"/>
      <c r="BG47" s="278"/>
      <c r="BH47" s="278"/>
      <c r="BI47" s="38"/>
      <c r="BJ47" s="38"/>
      <c r="BK47" s="38"/>
      <c r="BL47" s="38"/>
      <c r="BM47" s="38"/>
      <c r="BN47" s="38"/>
    </row>
  </sheetData>
  <sheetProtection formatColumns="0" formatRows="0" insertRows="0" deleteColumns="0" deleteRows="0" sort="0" autoFilter="0"/>
  <mergeCells count="11">
    <mergeCell ref="Y32:Y36"/>
    <mergeCell ref="Z32:Z36"/>
    <mergeCell ref="Y37:Y41"/>
    <mergeCell ref="Z37:Z41"/>
    <mergeCell ref="Y42:Y46"/>
    <mergeCell ref="Z42:Z4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9:BA31 BA34:BA36 BA39:BA41 BA44:BA46 AZ29:AZ31 AZ34:AZ36 AZ39:AZ41 AZ44:AZ46 AY29:AY31 AY34:AY36 AY39:AY41 AY44:AY46 AX29:AX31 AX34:AX36 AX39:AX41 AX44:AX46 AW29:AW31 AW34:AW36 AW39:AW41 AW44:AW46 AV29:AV31 AV34:AV36 AV39:AV41 AV44:AV46 AU29:AU31 AU34:AU36 AU39:AU41 AU44:AU46 AT29:AT31 AT34:AT36 AT39:AT41 AT44:AT46 AS29:AS31 AS34:AS36 AS39:AS41 AS44:AS46 AR29:AR31 AR34:AR36 AR39:AR41 AR44:AR46 AQ29:AQ31 AQ34:AQ36 AQ39:AQ41 AQ44:AQ46 AP29:AP31 AP34:AP36 AP39:AP41 AP44:AP46 AO29:AO31 AO34:AO36 AO39:AO41 AO44:AO46 AN29:AN31 AN34:AN36 AN39:AN41 AN44:AN46 AM29:AM31 AM34:AM36 AM39:AM41 AM44:AM46 AL29:AL31 AL34:AL36 AL39:AL41 AL44:AL46 AK29:AK31 AK34:AK36 AK39:AK41 AK44:AK46 AJ29:AJ31 AJ34:AJ36 AJ39:AJ41 AJ44:AJ46 AI29:AI31 AI34:AI36 AI39:AI41 AI44:AI46 AH29:AH31 AH34:AH36 AH39:AH41 AH44:AH46 AG29:AG31 AG34:AG36 AG39:AG41 AG44:AG46 AF29:AF31 AF34:AF36 AF39:AF41 AF44:AF46 AE29:AE31 AE34:AE36 AE39:AE41 AE44:AE4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47C28-BA08-7408-8308-D3B5C3FBE99F}">
  <sheetPr>
    <tabColor theme="6" tint="0.39997558519241921"/>
    <outlinePr summaryBelow="0" summaryRight="0"/>
    <pageSetUpPr fitToPage="1"/>
  </sheetPr>
  <dimension ref="A1:BF396"/>
  <sheetViews>
    <sheetView showGridLines="0" zoomScale="130" workbookViewId="0">
      <pane xSplit="30" ySplit="25" topLeftCell="AE300" activePane="bottomRight" state="frozen"/>
      <selection pane="topRight" activeCell="AE1" sqref="AE1"/>
      <selection pane="bottomLeft" activeCell="A26" sqref="A26"/>
      <selection pane="bottomRight" activeCell="BC384" sqref="BC384"/>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1"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52.28515625" style="60" customWidth="1"/>
    <col min="30" max="30" width="11.85546875" style="60" customWidth="1"/>
    <col min="31" max="33" width="13" style="17" customWidth="1"/>
    <col min="34" max="34" width="14.85546875" style="17" customWidth="1"/>
    <col min="35" max="35" width="13.42578125" style="17" customWidth="1"/>
    <col min="36" max="44" width="13" style="17" hidden="1" customWidth="1"/>
    <col min="45" max="45" width="13" style="17" customWidth="1"/>
    <col min="46" max="54" width="13" style="17" hidden="1" customWidth="1"/>
    <col min="55" max="55" width="57.85546875" style="60" customWidth="1"/>
    <col min="56" max="56" width="3" style="17" customWidth="1"/>
    <col min="57" max="57" width="9.140625" style="17" hidden="1"/>
    <col min="58" max="58" width="9.140625" style="671" hidden="1"/>
  </cols>
  <sheetData>
    <row r="1" spans="1:58" ht="11.25" hidden="1" customHeight="1" x14ac:dyDescent="0.15">
      <c r="E1" s="17"/>
      <c r="F1" s="253" t="s">
        <v>320</v>
      </c>
      <c r="H1" s="17" t="s">
        <v>330</v>
      </c>
      <c r="T1" s="353" t="s">
        <v>92</v>
      </c>
      <c r="U1" s="353" t="s">
        <v>97</v>
      </c>
      <c r="V1" s="353" t="s">
        <v>93</v>
      </c>
      <c r="W1" s="353" t="s">
        <v>94</v>
      </c>
      <c r="X1" s="353" t="s">
        <v>95</v>
      </c>
      <c r="Y1" s="353" t="s">
        <v>99</v>
      </c>
      <c r="Z1" s="353" t="s">
        <v>322</v>
      </c>
      <c r="AA1" s="353" t="s">
        <v>96</v>
      </c>
      <c r="AC1" s="353" t="s">
        <v>98</v>
      </c>
      <c r="BF1" s="671" t="s">
        <v>323</v>
      </c>
    </row>
    <row r="2" spans="1:58" s="46" customFormat="1" ht="11.25" hidden="1" customHeight="1" x14ac:dyDescent="0.15">
      <c r="B2" s="341" t="s">
        <v>18</v>
      </c>
      <c r="F2" s="41"/>
      <c r="P2" s="479"/>
      <c r="Q2" s="479"/>
      <c r="R2" s="479"/>
      <c r="S2" s="479"/>
      <c r="T2" s="479"/>
      <c r="U2" s="479"/>
      <c r="W2" s="479"/>
      <c r="AB2" s="326"/>
      <c r="AC2" s="326"/>
      <c r="AD2" s="32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26"/>
      <c r="BF2" s="672"/>
    </row>
    <row r="3" spans="1:58" ht="11.25" hidden="1" customHeight="1" x14ac:dyDescent="0.15">
      <c r="E3" s="17"/>
    </row>
    <row r="4" spans="1:58" ht="11.25" hidden="1" customHeight="1" x14ac:dyDescent="0.15">
      <c r="E4" s="17"/>
    </row>
    <row r="5" spans="1:58" s="461" customFormat="1" ht="11.25" hidden="1" customHeight="1" x14ac:dyDescent="0.15">
      <c r="A5" s="17"/>
      <c r="B5" s="46"/>
      <c r="C5" s="17"/>
      <c r="D5" s="17"/>
      <c r="E5" s="461" t="s">
        <v>19</v>
      </c>
      <c r="F5" s="447"/>
      <c r="P5" s="480"/>
      <c r="Q5" s="480"/>
      <c r="R5" s="480"/>
      <c r="S5" s="480"/>
      <c r="T5" s="480"/>
      <c r="U5" s="480"/>
      <c r="W5" s="480"/>
      <c r="AA5" s="461">
        <v>3</v>
      </c>
      <c r="AB5" s="459">
        <v>11</v>
      </c>
      <c r="AC5" s="459">
        <v>50</v>
      </c>
      <c r="AD5" s="459">
        <v>10.29</v>
      </c>
      <c r="AE5" s="461">
        <v>13</v>
      </c>
      <c r="AF5" s="461">
        <v>13</v>
      </c>
      <c r="AG5" s="461">
        <v>13</v>
      </c>
      <c r="AH5" s="461">
        <v>13</v>
      </c>
      <c r="AI5" s="461">
        <v>13</v>
      </c>
      <c r="AJ5" s="461">
        <v>13</v>
      </c>
      <c r="AK5" s="461">
        <v>13</v>
      </c>
      <c r="AL5" s="461">
        <v>13</v>
      </c>
      <c r="AM5" s="461">
        <v>13</v>
      </c>
      <c r="AN5" s="461">
        <v>13</v>
      </c>
      <c r="AO5" s="461">
        <v>13</v>
      </c>
      <c r="AP5" s="461">
        <v>13</v>
      </c>
      <c r="AQ5" s="461">
        <v>13</v>
      </c>
      <c r="AR5" s="461">
        <v>13</v>
      </c>
      <c r="AS5" s="461">
        <v>13</v>
      </c>
      <c r="AT5" s="461">
        <v>13</v>
      </c>
      <c r="AU5" s="461">
        <v>13</v>
      </c>
      <c r="AV5" s="461">
        <v>13</v>
      </c>
      <c r="AW5" s="461">
        <v>13</v>
      </c>
      <c r="AX5" s="461">
        <v>13</v>
      </c>
      <c r="AY5" s="461">
        <v>13</v>
      </c>
      <c r="AZ5" s="461">
        <v>13</v>
      </c>
      <c r="BA5" s="461">
        <v>13</v>
      </c>
      <c r="BB5" s="461">
        <v>13</v>
      </c>
      <c r="BC5" s="459">
        <v>20</v>
      </c>
      <c r="BD5" s="461">
        <v>3</v>
      </c>
      <c r="BF5" s="671"/>
    </row>
    <row r="6" spans="1:58" ht="11.25" hidden="1" customHeight="1" x14ac:dyDescent="0.15">
      <c r="A6" s="17" t="s">
        <v>358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1" customFormat="1" ht="11.25" hidden="1" customHeight="1" x14ac:dyDescent="0.15">
      <c r="A9" s="671" t="s">
        <v>363</v>
      </c>
      <c r="B9" s="672"/>
      <c r="F9" s="673"/>
      <c r="P9" s="655"/>
      <c r="Q9" s="655"/>
      <c r="R9" s="655"/>
      <c r="S9" s="655"/>
      <c r="T9" s="655"/>
      <c r="U9" s="655"/>
      <c r="W9" s="655"/>
      <c r="AB9" s="669"/>
      <c r="AC9" s="669"/>
      <c r="AD9" s="66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C9" s="669"/>
    </row>
    <row r="10" spans="1:58" s="671" customFormat="1" ht="11.25" hidden="1" customHeight="1" x14ac:dyDescent="0.15">
      <c r="A10" s="671" t="s">
        <v>364</v>
      </c>
      <c r="B10" s="672"/>
      <c r="F10" s="673"/>
      <c r="P10" s="655"/>
      <c r="Q10" s="655"/>
      <c r="R10" s="655"/>
      <c r="S10" s="655"/>
      <c r="T10" s="655"/>
      <c r="U10" s="655"/>
      <c r="W10" s="655"/>
      <c r="AB10" s="669"/>
      <c r="AC10" s="669"/>
      <c r="AD10" s="66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69"/>
    </row>
    <row r="11" spans="1:58" s="671" customFormat="1" ht="11.25" hidden="1" customHeight="1" x14ac:dyDescent="0.15">
      <c r="A11" s="671" t="s">
        <v>365</v>
      </c>
      <c r="B11" s="672"/>
      <c r="F11" s="673"/>
      <c r="P11" s="655"/>
      <c r="Q11" s="655"/>
      <c r="R11" s="655"/>
      <c r="S11" s="655"/>
      <c r="T11" s="655"/>
      <c r="U11" s="655"/>
      <c r="W11" s="655"/>
      <c r="AB11" s="669"/>
      <c r="AC11" s="669"/>
      <c r="AD11" s="669"/>
      <c r="BC11" s="669"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1">
        <v>15</v>
      </c>
      <c r="AA21" s="59"/>
      <c r="AC21" s="3" t="str" cm="1">
        <f t="array" ref="AC21">tpl_title</f>
        <v>Кемеровская область / 2026 / КАО "Азот" (ИНН:4205000908, КПП:997550001) / ДПР: 2024-2028</v>
      </c>
    </row>
    <row r="22" spans="1:58" s="59" customFormat="1" ht="19.5" customHeight="1" x14ac:dyDescent="0.15">
      <c r="B22" s="46"/>
      <c r="E22" s="462">
        <v>20</v>
      </c>
      <c r="F22" s="3"/>
      <c r="AB22" s="225"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4"/>
    </row>
    <row r="23" spans="1:58" ht="5.45" customHeight="1" x14ac:dyDescent="0.15">
      <c r="E23" s="461">
        <v>11.25</v>
      </c>
    </row>
    <row r="24" spans="1:58" s="60" customFormat="1" ht="14.65" customHeight="1" x14ac:dyDescent="0.15">
      <c r="B24" s="46"/>
      <c r="E24" s="459">
        <v>15</v>
      </c>
      <c r="F24" s="120"/>
      <c r="AB24" s="995" t="s">
        <v>21</v>
      </c>
      <c r="AC24" s="996" t="s">
        <v>367</v>
      </c>
      <c r="AD24" s="993" t="s">
        <v>368</v>
      </c>
      <c r="AE24" s="420"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94" t="s">
        <v>553</v>
      </c>
      <c r="BF24" s="669"/>
    </row>
    <row r="25" spans="1:58" s="60" customFormat="1" ht="49.7" customHeight="1" x14ac:dyDescent="0.15">
      <c r="B25" s="46"/>
      <c r="E25" s="459">
        <v>70.25</v>
      </c>
      <c r="F25" s="120"/>
      <c r="AB25" s="995"/>
      <c r="AC25" s="996"/>
      <c r="AD25" s="993"/>
      <c r="AE25" s="42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994"/>
      <c r="BF25" s="669"/>
    </row>
    <row r="26" spans="1:58" ht="15" hidden="1" customHeight="1" x14ac:dyDescent="0.15">
      <c r="A26" s="315"/>
      <c r="B26" s="479"/>
      <c r="C26" s="315"/>
      <c r="D26" s="315"/>
      <c r="E26" s="480">
        <v>0</v>
      </c>
      <c r="F26" s="534"/>
      <c r="G26" s="315"/>
      <c r="H26" s="315"/>
      <c r="I26" s="315"/>
      <c r="J26" s="315"/>
      <c r="K26" s="315"/>
      <c r="L26" s="315"/>
      <c r="M26" s="315"/>
      <c r="N26" s="315"/>
      <c r="O26" s="315"/>
      <c r="R26" s="483" t="s">
        <v>263</v>
      </c>
      <c r="S26" s="483" t="s">
        <v>554</v>
      </c>
      <c r="T26" s="353"/>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x14ac:dyDescent="0.15">
      <c r="E27" s="461">
        <v>15</v>
      </c>
      <c r="F27" s="253" cm="1">
        <f t="array" ref="F27">X27</f>
        <v>0</v>
      </c>
      <c r="T27" s="353" t="b">
        <f>X27&gt;0</f>
        <v>0</v>
      </c>
      <c r="V27" s="17" t="s">
        <v>264</v>
      </c>
      <c r="X27" s="990">
        <v>0</v>
      </c>
      <c r="Y27" s="966"/>
      <c r="AB27" s="94" t="str" cm="1">
        <f t="array" ref="AB27">INDEX('Общие сведения'!$AG$179:$AG$236,MATCH($X27,'Общие сведения'!$Z$179:$Z$236,0))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x14ac:dyDescent="0.15">
      <c r="E28" s="461">
        <v>15</v>
      </c>
      <c r="F28" s="3" cm="1">
        <f t="array" aca="1" ref="F28" ca="1">OFFSET(E28,-1,1)</f>
        <v>0</v>
      </c>
      <c r="R28" s="315" t="b" cm="1">
        <f t="array" ref="R28">INDEX('Общие сведения'!$AN$179:$AN$236,MATCH($X27,'Общие сведения'!$Z$179:$Z$236,0))</f>
        <v>0</v>
      </c>
      <c r="S28" s="315" t="b">
        <f>IF(ISERROR(SEARCH("Водоснабжение",AB27)),FALSE,TRUE)</f>
        <v>0</v>
      </c>
      <c r="T28" s="353" t="b">
        <f>AND(X27&gt;0,S28,NOT(R28))</f>
        <v>0</v>
      </c>
      <c r="X28" s="990"/>
      <c r="Y28" s="966"/>
      <c r="AB28" s="153" t="s">
        <v>275</v>
      </c>
      <c r="AC28" s="235" t="s">
        <v>555</v>
      </c>
      <c r="AD28" s="11"/>
      <c r="AE28" s="415" cm="1">
        <f t="array" ref="AE28">INDEX('Общие сведения'!$AH$179:$AH$236,MATCH($X27,'Общие сведения'!$Z$179:$Z$236,0))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26"/>
      <c r="BF28" s="671" t="s">
        <v>556</v>
      </c>
    </row>
    <row r="29" spans="1:58" ht="14.65" hidden="1" customHeight="1" x14ac:dyDescent="0.15">
      <c r="E29" s="461">
        <v>15</v>
      </c>
      <c r="F29" s="3" cm="1">
        <f t="array" aca="1" ref="F29" ca="1">OFFSET(E29,-1,1)</f>
        <v>0</v>
      </c>
      <c r="H29" s="17" t="s">
        <v>335</v>
      </c>
      <c r="T29" s="353" t="b" cm="1">
        <f t="array" ref="T29">T28</f>
        <v>0</v>
      </c>
      <c r="X29" s="990"/>
      <c r="Y29" s="966"/>
      <c r="AB29" s="153" t="s">
        <v>285</v>
      </c>
      <c r="AC29" s="55" t="s">
        <v>557</v>
      </c>
      <c r="AD29" s="12" t="s">
        <v>558</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6"/>
      <c r="BF29" s="671" t="s">
        <v>559</v>
      </c>
    </row>
    <row r="30" spans="1:58" ht="14.65" hidden="1" customHeight="1" x14ac:dyDescent="0.15">
      <c r="E30" s="461">
        <v>15</v>
      </c>
      <c r="F30" s="3" cm="1">
        <f t="array" aca="1" ref="F30" ca="1">OFFSET(E30,-1,1)</f>
        <v>0</v>
      </c>
      <c r="H30" s="17" t="s">
        <v>560</v>
      </c>
      <c r="T30" s="353" t="b" cm="1">
        <f t="array" ref="T30">T29</f>
        <v>0</v>
      </c>
      <c r="X30" s="990"/>
      <c r="Y30" s="966"/>
      <c r="AB30" s="153" t="s">
        <v>561</v>
      </c>
      <c r="AC30" s="105" t="s">
        <v>562</v>
      </c>
      <c r="AD30" s="12" t="s">
        <v>558</v>
      </c>
      <c r="AE30" s="836"/>
      <c r="AF30" s="836"/>
      <c r="AG30" s="836"/>
      <c r="AH30" s="836"/>
      <c r="AI30" s="191"/>
      <c r="AJ30" s="836"/>
      <c r="AK30" s="836"/>
      <c r="AL30" s="836"/>
      <c r="AM30" s="836"/>
      <c r="AN30" s="836"/>
      <c r="AO30" s="836"/>
      <c r="AP30" s="836"/>
      <c r="AQ30" s="836"/>
      <c r="AR30" s="836"/>
      <c r="AS30" s="191"/>
      <c r="AT30" s="836"/>
      <c r="AU30" s="836"/>
      <c r="AV30" s="836"/>
      <c r="AW30" s="836"/>
      <c r="AX30" s="836"/>
      <c r="AY30" s="836"/>
      <c r="AZ30" s="836"/>
      <c r="BA30" s="836"/>
      <c r="BB30" s="836"/>
      <c r="BC30" s="775"/>
      <c r="BF30" s="671" t="s">
        <v>563</v>
      </c>
    </row>
    <row r="31" spans="1:58" ht="14.65" hidden="1" customHeight="1" x14ac:dyDescent="0.15">
      <c r="E31" s="461">
        <v>15</v>
      </c>
      <c r="F31" s="3" cm="1">
        <f t="array" aca="1" ref="F31" ca="1">OFFSET(E31,-1,1)</f>
        <v>0</v>
      </c>
      <c r="H31" s="17" t="s">
        <v>564</v>
      </c>
      <c r="T31" s="353" t="b" cm="1">
        <f t="array" ref="T31">T30</f>
        <v>0</v>
      </c>
      <c r="X31" s="990"/>
      <c r="Y31" s="966"/>
      <c r="AB31" s="153" t="s">
        <v>565</v>
      </c>
      <c r="AC31" s="105" t="s">
        <v>566</v>
      </c>
      <c r="AD31" s="12" t="s">
        <v>558</v>
      </c>
      <c r="AE31" s="836"/>
      <c r="AF31" s="836"/>
      <c r="AG31" s="836"/>
      <c r="AH31" s="836"/>
      <c r="AI31" s="191"/>
      <c r="AJ31" s="836"/>
      <c r="AK31" s="836"/>
      <c r="AL31" s="836"/>
      <c r="AM31" s="836"/>
      <c r="AN31" s="836"/>
      <c r="AO31" s="836"/>
      <c r="AP31" s="836"/>
      <c r="AQ31" s="836"/>
      <c r="AR31" s="836"/>
      <c r="AS31" s="191"/>
      <c r="AT31" s="836"/>
      <c r="AU31" s="836"/>
      <c r="AV31" s="836"/>
      <c r="AW31" s="836"/>
      <c r="AX31" s="836"/>
      <c r="AY31" s="836"/>
      <c r="AZ31" s="836"/>
      <c r="BA31" s="836"/>
      <c r="BB31" s="836"/>
      <c r="BC31" s="775"/>
      <c r="BF31" s="671" t="s">
        <v>567</v>
      </c>
    </row>
    <row r="32" spans="1:58" ht="21.95" hidden="1" customHeight="1" x14ac:dyDescent="0.15">
      <c r="E32" s="461">
        <v>22.5</v>
      </c>
      <c r="F32" s="3" cm="1">
        <f t="array" aca="1" ref="F32" ca="1">OFFSET(E32,-1,1)</f>
        <v>0</v>
      </c>
      <c r="H32" s="17" t="s">
        <v>568</v>
      </c>
      <c r="T32" s="353" t="b" cm="1">
        <f t="array" ref="T32">T31</f>
        <v>0</v>
      </c>
      <c r="X32" s="990"/>
      <c r="Y32" s="966"/>
      <c r="AB32" s="153" t="s">
        <v>569</v>
      </c>
      <c r="AC32" s="55" t="s">
        <v>570</v>
      </c>
      <c r="AD32" s="12" t="s">
        <v>558</v>
      </c>
      <c r="AE32" s="836"/>
      <c r="AF32" s="836"/>
      <c r="AG32" s="836"/>
      <c r="AH32" s="836"/>
      <c r="AI32" s="191"/>
      <c r="AJ32" s="836"/>
      <c r="AK32" s="836"/>
      <c r="AL32" s="836"/>
      <c r="AM32" s="836"/>
      <c r="AN32" s="836"/>
      <c r="AO32" s="836"/>
      <c r="AP32" s="836"/>
      <c r="AQ32" s="836"/>
      <c r="AR32" s="836"/>
      <c r="AS32" s="191"/>
      <c r="AT32" s="836"/>
      <c r="AU32" s="836"/>
      <c r="AV32" s="836"/>
      <c r="AW32" s="836"/>
      <c r="AX32" s="836"/>
      <c r="AY32" s="836"/>
      <c r="AZ32" s="836"/>
      <c r="BA32" s="836"/>
      <c r="BB32" s="836"/>
      <c r="BC32" s="775"/>
      <c r="BF32" s="671" t="s">
        <v>571</v>
      </c>
    </row>
    <row r="33" spans="5:58" ht="14.65" hidden="1" customHeight="1" x14ac:dyDescent="0.15">
      <c r="E33" s="461">
        <v>15</v>
      </c>
      <c r="F33" s="3" cm="1">
        <f t="array" aca="1" ref="F33" ca="1">OFFSET(E33,-1,1)</f>
        <v>0</v>
      </c>
      <c r="H33" s="17" t="s">
        <v>334</v>
      </c>
      <c r="T33" s="353" t="b" cm="1">
        <f t="array" ref="T33">T32</f>
        <v>0</v>
      </c>
      <c r="X33" s="990"/>
      <c r="Y33" s="966"/>
      <c r="AB33" s="153" t="s">
        <v>291</v>
      </c>
      <c r="AC33" s="55" t="s">
        <v>572</v>
      </c>
      <c r="AD33" s="12" t="s">
        <v>558</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75"/>
      <c r="BF33" s="671" t="s">
        <v>573</v>
      </c>
    </row>
    <row r="34" spans="5:58" ht="14.65" hidden="1" customHeight="1" x14ac:dyDescent="0.15">
      <c r="E34" s="461">
        <v>15</v>
      </c>
      <c r="F34" s="3" cm="1">
        <f t="array" aca="1" ref="F34" ca="1">OFFSET(E34,-1,1)</f>
        <v>0</v>
      </c>
      <c r="H34" s="17" t="s">
        <v>574</v>
      </c>
      <c r="T34" s="353" t="b" cm="1">
        <f t="array" ref="T34">T33</f>
        <v>0</v>
      </c>
      <c r="X34" s="990"/>
      <c r="Y34" s="966"/>
      <c r="AB34" s="153" t="s">
        <v>575</v>
      </c>
      <c r="AC34" s="105" t="s">
        <v>576</v>
      </c>
      <c r="AD34" s="12" t="s">
        <v>558</v>
      </c>
      <c r="AE34" s="836"/>
      <c r="AF34" s="836"/>
      <c r="AG34" s="836"/>
      <c r="AH34" s="836"/>
      <c r="AI34" s="191"/>
      <c r="AJ34" s="836"/>
      <c r="AK34" s="836"/>
      <c r="AL34" s="836"/>
      <c r="AM34" s="836"/>
      <c r="AN34" s="836"/>
      <c r="AO34" s="836"/>
      <c r="AP34" s="836"/>
      <c r="AQ34" s="836"/>
      <c r="AR34" s="836"/>
      <c r="AS34" s="191"/>
      <c r="AT34" s="836"/>
      <c r="AU34" s="836"/>
      <c r="AV34" s="836"/>
      <c r="AW34" s="836"/>
      <c r="AX34" s="836"/>
      <c r="AY34" s="836"/>
      <c r="AZ34" s="836"/>
      <c r="BA34" s="836"/>
      <c r="BB34" s="836"/>
      <c r="BC34" s="775"/>
      <c r="BF34" s="671" t="s">
        <v>577</v>
      </c>
    </row>
    <row r="35" spans="5:58" ht="14.65" hidden="1" customHeight="1" x14ac:dyDescent="0.15">
      <c r="E35" s="461">
        <v>15</v>
      </c>
      <c r="F35" s="3" cm="1">
        <f t="array" aca="1" ref="F35" ca="1">OFFSET(E35,-1,1)</f>
        <v>0</v>
      </c>
      <c r="H35" s="17" t="s">
        <v>578</v>
      </c>
      <c r="T35" s="353" t="b" cm="1">
        <f t="array" ref="T35">T34</f>
        <v>0</v>
      </c>
      <c r="X35" s="990"/>
      <c r="Y35" s="966"/>
      <c r="AB35" s="153" t="s">
        <v>579</v>
      </c>
      <c r="AC35" s="105" t="s">
        <v>580</v>
      </c>
      <c r="AD35" s="12" t="s">
        <v>558</v>
      </c>
      <c r="AE35" s="836"/>
      <c r="AF35" s="836"/>
      <c r="AG35" s="836"/>
      <c r="AH35" s="836"/>
      <c r="AI35" s="191"/>
      <c r="AJ35" s="836"/>
      <c r="AK35" s="836"/>
      <c r="AL35" s="836"/>
      <c r="AM35" s="836"/>
      <c r="AN35" s="836"/>
      <c r="AO35" s="836"/>
      <c r="AP35" s="836"/>
      <c r="AQ35" s="836"/>
      <c r="AR35" s="836"/>
      <c r="AS35" s="191"/>
      <c r="AT35" s="836"/>
      <c r="AU35" s="836"/>
      <c r="AV35" s="836"/>
      <c r="AW35" s="836"/>
      <c r="AX35" s="836"/>
      <c r="AY35" s="836"/>
      <c r="AZ35" s="836"/>
      <c r="BA35" s="836"/>
      <c r="BB35" s="836"/>
      <c r="BC35" s="775"/>
      <c r="BF35" s="671" t="s">
        <v>581</v>
      </c>
    </row>
    <row r="36" spans="5:58" ht="14.65" hidden="1" customHeight="1" x14ac:dyDescent="0.15">
      <c r="E36" s="461">
        <v>15</v>
      </c>
      <c r="F36" s="3" cm="1">
        <f t="array" aca="1" ref="F36" ca="1">OFFSET(E36,-1,1)</f>
        <v>0</v>
      </c>
      <c r="H36" s="17" t="s">
        <v>532</v>
      </c>
      <c r="T36" s="353" t="b" cm="1">
        <f t="array" ref="T36">T35</f>
        <v>0</v>
      </c>
      <c r="X36" s="990"/>
      <c r="Y36" s="966"/>
      <c r="AB36" s="153" t="s">
        <v>454</v>
      </c>
      <c r="AC36" s="235" t="s">
        <v>582</v>
      </c>
      <c r="AD36" s="12" t="s">
        <v>558</v>
      </c>
      <c r="AE36" s="825"/>
      <c r="AF36" s="825"/>
      <c r="AG36" s="825"/>
      <c r="AH36" s="825"/>
      <c r="AI36" s="188"/>
      <c r="AJ36" s="825"/>
      <c r="AK36" s="825"/>
      <c r="AL36" s="825"/>
      <c r="AM36" s="825"/>
      <c r="AN36" s="825"/>
      <c r="AO36" s="825"/>
      <c r="AP36" s="825"/>
      <c r="AQ36" s="825"/>
      <c r="AR36" s="825"/>
      <c r="AS36" s="188"/>
      <c r="AT36" s="825"/>
      <c r="AU36" s="825"/>
      <c r="AV36" s="825"/>
      <c r="AW36" s="825"/>
      <c r="AX36" s="825"/>
      <c r="AY36" s="825"/>
      <c r="AZ36" s="825"/>
      <c r="BA36" s="825"/>
      <c r="BB36" s="825"/>
      <c r="BC36" s="775"/>
      <c r="BF36" s="671" t="s">
        <v>583</v>
      </c>
    </row>
    <row r="37" spans="5:58" ht="14.65" hidden="1" customHeight="1" x14ac:dyDescent="0.15">
      <c r="E37" s="461">
        <v>15</v>
      </c>
      <c r="F37" s="3" cm="1">
        <f t="array" aca="1" ref="F37" ca="1">OFFSET(E37,-1,1)</f>
        <v>0</v>
      </c>
      <c r="H37" s="17" t="s">
        <v>535</v>
      </c>
      <c r="T37" s="353" t="b" cm="1">
        <f t="array" ref="T37">T36</f>
        <v>0</v>
      </c>
      <c r="X37" s="990"/>
      <c r="Y37" s="966"/>
      <c r="AB37" s="153" t="s">
        <v>460</v>
      </c>
      <c r="AC37" s="235" t="s">
        <v>584</v>
      </c>
      <c r="AD37" s="12" t="s">
        <v>558</v>
      </c>
      <c r="AE37" s="836"/>
      <c r="AF37" s="836"/>
      <c r="AG37" s="836"/>
      <c r="AH37" s="836"/>
      <c r="AI37" s="191"/>
      <c r="AJ37" s="836"/>
      <c r="AK37" s="836"/>
      <c r="AL37" s="836"/>
      <c r="AM37" s="836"/>
      <c r="AN37" s="836"/>
      <c r="AO37" s="836"/>
      <c r="AP37" s="836"/>
      <c r="AQ37" s="836"/>
      <c r="AR37" s="836"/>
      <c r="AS37" s="191"/>
      <c r="AT37" s="836"/>
      <c r="AU37" s="836"/>
      <c r="AV37" s="836"/>
      <c r="AW37" s="836"/>
      <c r="AX37" s="836"/>
      <c r="AY37" s="836"/>
      <c r="AZ37" s="836"/>
      <c r="BA37" s="836"/>
      <c r="BB37" s="836"/>
      <c r="BC37" s="775"/>
      <c r="BF37" s="671" t="s">
        <v>585</v>
      </c>
    </row>
    <row r="38" spans="5:58" ht="14.65" hidden="1" customHeight="1" x14ac:dyDescent="0.15">
      <c r="E38" s="461">
        <v>15</v>
      </c>
      <c r="F38" s="3" cm="1">
        <f t="array" aca="1" ref="F38" ca="1">OFFSET(E38,-1,1)</f>
        <v>0</v>
      </c>
      <c r="H38" s="17" t="s">
        <v>586</v>
      </c>
      <c r="T38" s="353" t="b" cm="1">
        <f t="array" ref="T38">T37</f>
        <v>0</v>
      </c>
      <c r="X38" s="990"/>
      <c r="Y38" s="966"/>
      <c r="AB38" s="153" t="s">
        <v>536</v>
      </c>
      <c r="AC38" s="55" t="s">
        <v>587</v>
      </c>
      <c r="AD38" s="12" t="s">
        <v>558</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75"/>
      <c r="BF38" s="671" t="s">
        <v>588</v>
      </c>
    </row>
    <row r="39" spans="5:58" ht="21.95" hidden="1" customHeight="1" x14ac:dyDescent="0.15">
      <c r="E39" s="461">
        <v>22.5</v>
      </c>
      <c r="F39" s="3" cm="1">
        <f t="array" aca="1" ref="F39" ca="1">OFFSET(E39,-1,1)</f>
        <v>0</v>
      </c>
      <c r="H39" s="17" t="s">
        <v>589</v>
      </c>
      <c r="T39" s="353" t="b" cm="1">
        <f t="array" ref="T39">T38</f>
        <v>0</v>
      </c>
      <c r="X39" s="990"/>
      <c r="Y39" s="966"/>
      <c r="AB39" s="153" t="s">
        <v>590</v>
      </c>
      <c r="AC39" s="105" t="s">
        <v>591</v>
      </c>
      <c r="AD39" s="12" t="s">
        <v>558</v>
      </c>
      <c r="AE39" s="836"/>
      <c r="AF39" s="836"/>
      <c r="AG39" s="836"/>
      <c r="AH39" s="836"/>
      <c r="AI39" s="191"/>
      <c r="AJ39" s="836"/>
      <c r="AK39" s="836"/>
      <c r="AL39" s="836"/>
      <c r="AM39" s="836"/>
      <c r="AN39" s="836"/>
      <c r="AO39" s="836"/>
      <c r="AP39" s="836"/>
      <c r="AQ39" s="836"/>
      <c r="AR39" s="836"/>
      <c r="AS39" s="191"/>
      <c r="AT39" s="836"/>
      <c r="AU39" s="836"/>
      <c r="AV39" s="836"/>
      <c r="AW39" s="836"/>
      <c r="AX39" s="836"/>
      <c r="AY39" s="836"/>
      <c r="AZ39" s="836"/>
      <c r="BA39" s="836"/>
      <c r="BB39" s="836"/>
      <c r="BC39" s="775"/>
      <c r="BF39" s="671" t="s">
        <v>592</v>
      </c>
    </row>
    <row r="40" spans="5:58" ht="14.65" hidden="1" customHeight="1" x14ac:dyDescent="0.15">
      <c r="E40" s="461">
        <v>15</v>
      </c>
      <c r="F40" s="3" cm="1">
        <f t="array" aca="1" ref="F40" ca="1">OFFSET(E40,-1,1)</f>
        <v>0</v>
      </c>
      <c r="H40" s="17" t="s">
        <v>593</v>
      </c>
      <c r="T40" s="353" t="b" cm="1">
        <f t="array" ref="T40">T39</f>
        <v>0</v>
      </c>
      <c r="X40" s="990"/>
      <c r="Y40" s="966"/>
      <c r="AB40" s="153" t="s">
        <v>594</v>
      </c>
      <c r="AC40" s="105" t="s">
        <v>595</v>
      </c>
      <c r="AD40" s="12" t="s">
        <v>558</v>
      </c>
      <c r="AE40" s="836"/>
      <c r="AF40" s="836"/>
      <c r="AG40" s="836"/>
      <c r="AH40" s="836"/>
      <c r="AI40" s="191"/>
      <c r="AJ40" s="836"/>
      <c r="AK40" s="836"/>
      <c r="AL40" s="836"/>
      <c r="AM40" s="836"/>
      <c r="AN40" s="836"/>
      <c r="AO40" s="836"/>
      <c r="AP40" s="836"/>
      <c r="AQ40" s="836"/>
      <c r="AR40" s="836"/>
      <c r="AS40" s="191"/>
      <c r="AT40" s="836"/>
      <c r="AU40" s="836"/>
      <c r="AV40" s="836"/>
      <c r="AW40" s="836"/>
      <c r="AX40" s="836"/>
      <c r="AY40" s="836"/>
      <c r="AZ40" s="836"/>
      <c r="BA40" s="836"/>
      <c r="BB40" s="836"/>
      <c r="BC40" s="775"/>
      <c r="BF40" s="671" t="s">
        <v>596</v>
      </c>
    </row>
    <row r="41" spans="5:58" ht="21.95" hidden="1" customHeight="1" x14ac:dyDescent="0.15">
      <c r="E41" s="461">
        <v>22.5</v>
      </c>
      <c r="F41" s="3" cm="1">
        <f t="array" aca="1" ref="F41" ca="1">OFFSET(E41,-1,1)</f>
        <v>0</v>
      </c>
      <c r="H41" s="17" t="s">
        <v>597</v>
      </c>
      <c r="T41" s="353" t="b" cm="1">
        <f t="array" ref="T41">T40</f>
        <v>0</v>
      </c>
      <c r="X41" s="990"/>
      <c r="Y41" s="966"/>
      <c r="AB41" s="153" t="s">
        <v>598</v>
      </c>
      <c r="AC41" s="105" t="s">
        <v>599</v>
      </c>
      <c r="AD41" s="12" t="s">
        <v>558</v>
      </c>
      <c r="AE41" s="836"/>
      <c r="AF41" s="836"/>
      <c r="AG41" s="836"/>
      <c r="AH41" s="836"/>
      <c r="AI41" s="191"/>
      <c r="AJ41" s="836"/>
      <c r="AK41" s="836"/>
      <c r="AL41" s="836"/>
      <c r="AM41" s="836"/>
      <c r="AN41" s="836"/>
      <c r="AO41" s="836"/>
      <c r="AP41" s="836"/>
      <c r="AQ41" s="836"/>
      <c r="AR41" s="836"/>
      <c r="AS41" s="191"/>
      <c r="AT41" s="836"/>
      <c r="AU41" s="836"/>
      <c r="AV41" s="836"/>
      <c r="AW41" s="836"/>
      <c r="AX41" s="836"/>
      <c r="AY41" s="836"/>
      <c r="AZ41" s="836"/>
      <c r="BA41" s="836"/>
      <c r="BB41" s="836"/>
      <c r="BC41" s="775"/>
      <c r="BF41" s="671" t="s">
        <v>600</v>
      </c>
    </row>
    <row r="42" spans="5:58" ht="14.65" hidden="1" customHeight="1" x14ac:dyDescent="0.15">
      <c r="E42" s="461">
        <v>15</v>
      </c>
      <c r="F42" s="3" cm="1">
        <f t="array" aca="1" ref="F42" ca="1">OFFSET(E42,-1,1)</f>
        <v>0</v>
      </c>
      <c r="H42" s="17" t="s">
        <v>601</v>
      </c>
      <c r="T42" s="353" t="b" cm="1">
        <f t="array" ref="T42">T41</f>
        <v>0</v>
      </c>
      <c r="X42" s="990"/>
      <c r="Y42" s="966"/>
      <c r="AB42" s="153" t="s">
        <v>602</v>
      </c>
      <c r="AC42" s="235" t="s">
        <v>603</v>
      </c>
      <c r="AD42" s="12" t="s">
        <v>558</v>
      </c>
      <c r="AE42" s="836"/>
      <c r="AF42" s="836"/>
      <c r="AG42" s="836"/>
      <c r="AH42" s="836"/>
      <c r="AI42" s="191"/>
      <c r="AJ42" s="836"/>
      <c r="AK42" s="836"/>
      <c r="AL42" s="836"/>
      <c r="AM42" s="836"/>
      <c r="AN42" s="836"/>
      <c r="AO42" s="836"/>
      <c r="AP42" s="836"/>
      <c r="AQ42" s="836"/>
      <c r="AR42" s="836"/>
      <c r="AS42" s="191"/>
      <c r="AT42" s="836"/>
      <c r="AU42" s="836"/>
      <c r="AV42" s="836"/>
      <c r="AW42" s="836"/>
      <c r="AX42" s="836"/>
      <c r="AY42" s="836"/>
      <c r="AZ42" s="836"/>
      <c r="BA42" s="836"/>
      <c r="BB42" s="836"/>
      <c r="BC42" s="775"/>
      <c r="BF42" s="671" t="s">
        <v>604</v>
      </c>
    </row>
    <row r="43" spans="5:58" ht="14.65" hidden="1" customHeight="1" x14ac:dyDescent="0.15">
      <c r="E43" s="461">
        <v>15</v>
      </c>
      <c r="F43" s="3" cm="1">
        <f t="array" aca="1" ref="F43" ca="1">OFFSET(E43,-1,1)</f>
        <v>0</v>
      </c>
      <c r="H43" s="17" t="s">
        <v>605</v>
      </c>
      <c r="T43" s="353" t="b" cm="1">
        <f t="array" ref="T43">T42</f>
        <v>0</v>
      </c>
      <c r="X43" s="990"/>
      <c r="Y43" s="966"/>
      <c r="AB43" s="153" t="s">
        <v>606</v>
      </c>
      <c r="AC43" s="236" t="s">
        <v>607</v>
      </c>
      <c r="AD43" s="12" t="s">
        <v>476</v>
      </c>
      <c r="AE43" s="820">
        <f t="shared" ref="AE43:BB43" si="5">IF(AE38=0,0,AE42/AE38*100)</f>
        <v>0</v>
      </c>
      <c r="AF43" s="820">
        <f t="shared" si="5"/>
        <v>0</v>
      </c>
      <c r="AG43" s="820">
        <f t="shared" si="5"/>
        <v>0</v>
      </c>
      <c r="AH43" s="820">
        <f t="shared" si="5"/>
        <v>0</v>
      </c>
      <c r="AI43" s="57">
        <f t="shared" si="5"/>
        <v>0</v>
      </c>
      <c r="AJ43" s="820">
        <f t="shared" si="5"/>
        <v>0</v>
      </c>
      <c r="AK43" s="820">
        <f t="shared" si="5"/>
        <v>0</v>
      </c>
      <c r="AL43" s="820">
        <f t="shared" si="5"/>
        <v>0</v>
      </c>
      <c r="AM43" s="820">
        <f t="shared" si="5"/>
        <v>0</v>
      </c>
      <c r="AN43" s="820">
        <f t="shared" si="5"/>
        <v>0</v>
      </c>
      <c r="AO43" s="820">
        <f t="shared" si="5"/>
        <v>0</v>
      </c>
      <c r="AP43" s="820">
        <f t="shared" si="5"/>
        <v>0</v>
      </c>
      <c r="AQ43" s="820">
        <f t="shared" si="5"/>
        <v>0</v>
      </c>
      <c r="AR43" s="820">
        <f t="shared" si="5"/>
        <v>0</v>
      </c>
      <c r="AS43" s="57">
        <f t="shared" si="5"/>
        <v>0</v>
      </c>
      <c r="AT43" s="820">
        <f t="shared" si="5"/>
        <v>0</v>
      </c>
      <c r="AU43" s="820">
        <f t="shared" si="5"/>
        <v>0</v>
      </c>
      <c r="AV43" s="820">
        <f t="shared" si="5"/>
        <v>0</v>
      </c>
      <c r="AW43" s="820">
        <f t="shared" si="5"/>
        <v>0</v>
      </c>
      <c r="AX43" s="820">
        <f t="shared" si="5"/>
        <v>0</v>
      </c>
      <c r="AY43" s="820">
        <f t="shared" si="5"/>
        <v>0</v>
      </c>
      <c r="AZ43" s="820">
        <f t="shared" si="5"/>
        <v>0</v>
      </c>
      <c r="BA43" s="820">
        <f t="shared" si="5"/>
        <v>0</v>
      </c>
      <c r="BB43" s="820">
        <f t="shared" si="5"/>
        <v>0</v>
      </c>
      <c r="BC43" s="775"/>
      <c r="BF43" s="671" t="s">
        <v>608</v>
      </c>
    </row>
    <row r="44" spans="5:58" ht="14.65" hidden="1" customHeight="1" x14ac:dyDescent="0.15">
      <c r="E44" s="461">
        <v>15</v>
      </c>
      <c r="F44" s="3" cm="1">
        <f t="array" aca="1" ref="F44" ca="1">OFFSET(E44,-1,1)</f>
        <v>0</v>
      </c>
      <c r="H44" s="17" t="s">
        <v>609</v>
      </c>
      <c r="T44" s="353" t="b" cm="1">
        <f t="array" ref="T44">T43</f>
        <v>0</v>
      </c>
      <c r="X44" s="990"/>
      <c r="Y44" s="966"/>
      <c r="AB44" s="153" t="s">
        <v>610</v>
      </c>
      <c r="AC44" s="235" t="s">
        <v>611</v>
      </c>
      <c r="AD44" s="12" t="s">
        <v>558</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75"/>
      <c r="BF44" s="671" t="s">
        <v>612</v>
      </c>
    </row>
    <row r="45" spans="5:58" ht="14.65" hidden="1" customHeight="1" x14ac:dyDescent="0.15">
      <c r="E45" s="461">
        <v>15</v>
      </c>
      <c r="F45" s="3" cm="1">
        <f t="array" aca="1" ref="F45" ca="1">OFFSET(E45,-1,1)</f>
        <v>0</v>
      </c>
      <c r="G45" s="17" t="str">
        <f>IF(OwnNeedsInPO="да","ПО","")</f>
        <v/>
      </c>
      <c r="H45" s="17" t="s">
        <v>613</v>
      </c>
      <c r="T45" s="353" t="b" cm="1">
        <f t="array" ref="T45">T44</f>
        <v>0</v>
      </c>
      <c r="X45" s="990"/>
      <c r="Y45" s="966"/>
      <c r="AB45" s="153" t="s">
        <v>614</v>
      </c>
      <c r="AC45" s="105" t="s">
        <v>615</v>
      </c>
      <c r="AD45" s="12" t="s">
        <v>558</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75"/>
      <c r="BF45" s="671" t="s">
        <v>616</v>
      </c>
    </row>
    <row r="46" spans="5:58" ht="14.65" hidden="1" customHeight="1" x14ac:dyDescent="0.15">
      <c r="E46" s="461">
        <v>15</v>
      </c>
      <c r="F46" s="3" cm="1">
        <f t="array" aca="1" ref="F46" ca="1">OFFSET(E46,-1,1)</f>
        <v>0</v>
      </c>
      <c r="H46" s="17" t="s">
        <v>617</v>
      </c>
      <c r="T46" s="353" t="b" cm="1">
        <f t="array" ref="T46">T45</f>
        <v>0</v>
      </c>
      <c r="X46" s="990"/>
      <c r="Y46" s="966"/>
      <c r="AB46" s="153" t="s">
        <v>618</v>
      </c>
      <c r="AC46" s="237" t="s">
        <v>619</v>
      </c>
      <c r="AD46" s="12" t="s">
        <v>558</v>
      </c>
      <c r="AE46" s="836"/>
      <c r="AF46" s="836"/>
      <c r="AG46" s="836"/>
      <c r="AH46" s="836"/>
      <c r="AI46" s="191"/>
      <c r="AJ46" s="836"/>
      <c r="AK46" s="836"/>
      <c r="AL46" s="836"/>
      <c r="AM46" s="836"/>
      <c r="AN46" s="836"/>
      <c r="AO46" s="836"/>
      <c r="AP46" s="836"/>
      <c r="AQ46" s="836"/>
      <c r="AR46" s="836"/>
      <c r="AS46" s="191"/>
      <c r="AT46" s="836"/>
      <c r="AU46" s="836"/>
      <c r="AV46" s="836"/>
      <c r="AW46" s="836"/>
      <c r="AX46" s="836"/>
      <c r="AY46" s="836"/>
      <c r="AZ46" s="836"/>
      <c r="BA46" s="836"/>
      <c r="BB46" s="836"/>
      <c r="BC46" s="775"/>
      <c r="BF46" s="671" t="s">
        <v>620</v>
      </c>
    </row>
    <row r="47" spans="5:58" ht="14.65" hidden="1" customHeight="1" x14ac:dyDescent="0.15">
      <c r="E47" s="461">
        <v>15</v>
      </c>
      <c r="F47" s="3" cm="1">
        <f t="array" aca="1" ref="F47" ca="1">OFFSET(E47,-1,1)</f>
        <v>0</v>
      </c>
      <c r="H47" s="17" t="s">
        <v>621</v>
      </c>
      <c r="T47" s="353" t="b" cm="1">
        <f t="array" ref="T47">T46</f>
        <v>0</v>
      </c>
      <c r="X47" s="990"/>
      <c r="Y47" s="966"/>
      <c r="AB47" s="153" t="s">
        <v>622</v>
      </c>
      <c r="AC47" s="237" t="s">
        <v>623</v>
      </c>
      <c r="AD47" s="12" t="s">
        <v>558</v>
      </c>
      <c r="AE47" s="836"/>
      <c r="AF47" s="836"/>
      <c r="AG47" s="836"/>
      <c r="AH47" s="836"/>
      <c r="AI47" s="191"/>
      <c r="AJ47" s="836"/>
      <c r="AK47" s="836"/>
      <c r="AL47" s="836"/>
      <c r="AM47" s="836"/>
      <c r="AN47" s="836"/>
      <c r="AO47" s="836"/>
      <c r="AP47" s="836"/>
      <c r="AQ47" s="836"/>
      <c r="AR47" s="836"/>
      <c r="AS47" s="191"/>
      <c r="AT47" s="836"/>
      <c r="AU47" s="836"/>
      <c r="AV47" s="836"/>
      <c r="AW47" s="836"/>
      <c r="AX47" s="836"/>
      <c r="AY47" s="836"/>
      <c r="AZ47" s="836"/>
      <c r="BA47" s="836"/>
      <c r="BB47" s="836"/>
      <c r="BC47" s="775"/>
      <c r="BF47" s="671" t="s">
        <v>624</v>
      </c>
    </row>
    <row r="48" spans="5:58" ht="14.65" hidden="1" customHeight="1" x14ac:dyDescent="0.15">
      <c r="E48" s="461">
        <v>15</v>
      </c>
      <c r="F48" s="3" cm="1">
        <f t="array" aca="1" ref="F48" ca="1">OFFSET(E48,-1,1)</f>
        <v>0</v>
      </c>
      <c r="H48" s="17" t="s">
        <v>625</v>
      </c>
      <c r="T48" s="353" t="b" cm="1">
        <f t="array" ref="T48">T47</f>
        <v>0</v>
      </c>
      <c r="X48" s="990"/>
      <c r="Y48" s="966"/>
      <c r="AB48" s="153" t="s">
        <v>626</v>
      </c>
      <c r="AC48" s="237" t="s">
        <v>627</v>
      </c>
      <c r="AD48" s="12" t="s">
        <v>558</v>
      </c>
      <c r="AE48" s="836"/>
      <c r="AF48" s="836"/>
      <c r="AG48" s="836"/>
      <c r="AH48" s="836"/>
      <c r="AI48" s="191"/>
      <c r="AJ48" s="836"/>
      <c r="AK48" s="836"/>
      <c r="AL48" s="836"/>
      <c r="AM48" s="836"/>
      <c r="AN48" s="836"/>
      <c r="AO48" s="836"/>
      <c r="AP48" s="836"/>
      <c r="AQ48" s="836"/>
      <c r="AR48" s="836"/>
      <c r="AS48" s="191"/>
      <c r="AT48" s="836"/>
      <c r="AU48" s="836"/>
      <c r="AV48" s="836"/>
      <c r="AW48" s="836"/>
      <c r="AX48" s="836"/>
      <c r="AY48" s="836"/>
      <c r="AZ48" s="836"/>
      <c r="BA48" s="836"/>
      <c r="BB48" s="836"/>
      <c r="BC48" s="775"/>
      <c r="BF48" s="671" t="s">
        <v>628</v>
      </c>
    </row>
    <row r="49" spans="1:58" ht="14.65" hidden="1" customHeight="1" x14ac:dyDescent="0.15">
      <c r="E49" s="461">
        <v>15</v>
      </c>
      <c r="F49" s="3" cm="1">
        <f t="array" aca="1" ref="F49" ca="1">OFFSET(E49,-1,1)</f>
        <v>0</v>
      </c>
      <c r="G49" s="17" t="s">
        <v>629</v>
      </c>
      <c r="H49" s="17" t="s">
        <v>630</v>
      </c>
      <c r="T49" s="353" t="b" cm="1">
        <f t="array" ref="T49">T48</f>
        <v>0</v>
      </c>
      <c r="X49" s="990"/>
      <c r="Y49" s="966"/>
      <c r="AB49" s="153" t="s">
        <v>631</v>
      </c>
      <c r="AC49" s="105" t="s">
        <v>632</v>
      </c>
      <c r="AD49" s="12" t="s">
        <v>558</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75"/>
      <c r="BF49" s="671" t="s">
        <v>633</v>
      </c>
    </row>
    <row r="50" spans="1:58" ht="14.65" hidden="1" customHeight="1" x14ac:dyDescent="0.15">
      <c r="E50" s="461">
        <v>15</v>
      </c>
      <c r="F50" s="3" cm="1">
        <f t="array" aca="1" ref="F50" ca="1">OFFSET(E50,-1,1)</f>
        <v>0</v>
      </c>
      <c r="H50" s="17" t="s">
        <v>634</v>
      </c>
      <c r="T50" s="353" t="b" cm="1">
        <f t="array" ref="T50">T49</f>
        <v>0</v>
      </c>
      <c r="X50" s="990"/>
      <c r="Y50" s="966"/>
      <c r="AB50" s="153" t="s">
        <v>635</v>
      </c>
      <c r="AC50" s="237" t="s">
        <v>636</v>
      </c>
      <c r="AD50" s="12" t="s">
        <v>558</v>
      </c>
      <c r="AE50" s="836"/>
      <c r="AF50" s="836"/>
      <c r="AG50" s="836"/>
      <c r="AH50" s="836"/>
      <c r="AI50" s="191"/>
      <c r="AJ50" s="836"/>
      <c r="AK50" s="836"/>
      <c r="AL50" s="836"/>
      <c r="AM50" s="836"/>
      <c r="AN50" s="836"/>
      <c r="AO50" s="836"/>
      <c r="AP50" s="836"/>
      <c r="AQ50" s="836"/>
      <c r="AR50" s="836"/>
      <c r="AS50" s="191"/>
      <c r="AT50" s="836"/>
      <c r="AU50" s="836"/>
      <c r="AV50" s="836"/>
      <c r="AW50" s="836"/>
      <c r="AX50" s="836"/>
      <c r="AY50" s="836"/>
      <c r="AZ50" s="836"/>
      <c r="BA50" s="836"/>
      <c r="BB50" s="836"/>
      <c r="BC50" s="775"/>
      <c r="BF50" s="671" t="s">
        <v>637</v>
      </c>
    </row>
    <row r="51" spans="1:58" ht="14.65" hidden="1" customHeight="1" x14ac:dyDescent="0.15">
      <c r="E51" s="461">
        <v>15</v>
      </c>
      <c r="F51" s="3" cm="1">
        <f t="array" aca="1" ref="F51" ca="1">OFFSET(E51,-1,1)</f>
        <v>0</v>
      </c>
      <c r="H51" s="17" t="s">
        <v>638</v>
      </c>
      <c r="T51" s="353" t="b" cm="1">
        <f t="array" ref="T51">T50</f>
        <v>0</v>
      </c>
      <c r="X51" s="990"/>
      <c r="Y51" s="966"/>
      <c r="AB51" s="153" t="s">
        <v>639</v>
      </c>
      <c r="AC51" s="237" t="s">
        <v>640</v>
      </c>
      <c r="AD51" s="12" t="s">
        <v>558</v>
      </c>
      <c r="AE51" s="836"/>
      <c r="AF51" s="836"/>
      <c r="AG51" s="836"/>
      <c r="AH51" s="836"/>
      <c r="AI51" s="191"/>
      <c r="AJ51" s="836"/>
      <c r="AK51" s="836"/>
      <c r="AL51" s="836"/>
      <c r="AM51" s="836"/>
      <c r="AN51" s="836"/>
      <c r="AO51" s="836"/>
      <c r="AP51" s="836"/>
      <c r="AQ51" s="836"/>
      <c r="AR51" s="836"/>
      <c r="AS51" s="191"/>
      <c r="AT51" s="836"/>
      <c r="AU51" s="836"/>
      <c r="AV51" s="836"/>
      <c r="AW51" s="836"/>
      <c r="AX51" s="836"/>
      <c r="AY51" s="836"/>
      <c r="AZ51" s="836"/>
      <c r="BA51" s="836"/>
      <c r="BB51" s="836"/>
      <c r="BC51" s="775"/>
      <c r="BF51" s="671" t="s">
        <v>641</v>
      </c>
    </row>
    <row r="52" spans="1:58" ht="14.65" hidden="1" customHeight="1" x14ac:dyDescent="0.15">
      <c r="E52" s="461">
        <v>15</v>
      </c>
      <c r="F52" s="3" cm="1">
        <f t="array" aca="1" ref="F52" ca="1">OFFSET(E52,-1,1)</f>
        <v>0</v>
      </c>
      <c r="G52" s="17" t="s">
        <v>629</v>
      </c>
      <c r="H52" s="17" t="s">
        <v>642</v>
      </c>
      <c r="T52" s="353" t="b" cm="1">
        <f t="array" ref="T52">T51</f>
        <v>0</v>
      </c>
      <c r="X52" s="990"/>
      <c r="Y52" s="966"/>
      <c r="AB52" s="153" t="s">
        <v>643</v>
      </c>
      <c r="AC52" s="105" t="s">
        <v>644</v>
      </c>
      <c r="AD52" s="12" t="s">
        <v>558</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75"/>
      <c r="BF52" s="671" t="s">
        <v>645</v>
      </c>
    </row>
    <row r="53" spans="1:58" ht="14.65" hidden="1" customHeight="1" x14ac:dyDescent="0.15">
      <c r="E53" s="461">
        <v>15</v>
      </c>
      <c r="F53" s="3" cm="1">
        <f t="array" aca="1" ref="F53" ca="1">OFFSET(E53,-1,1)</f>
        <v>0</v>
      </c>
      <c r="H53" s="17" t="s">
        <v>646</v>
      </c>
      <c r="T53" s="353" t="b" cm="1">
        <f t="array" ref="T53">T52</f>
        <v>0</v>
      </c>
      <c r="X53" s="990"/>
      <c r="Y53" s="966"/>
      <c r="AB53" s="153" t="s">
        <v>647</v>
      </c>
      <c r="AC53" s="237" t="s">
        <v>648</v>
      </c>
      <c r="AD53" s="12" t="s">
        <v>558</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75"/>
      <c r="BF53" s="671" t="s">
        <v>649</v>
      </c>
    </row>
    <row r="54" spans="1:58" ht="14.65" hidden="1" customHeight="1" x14ac:dyDescent="0.15">
      <c r="E54" s="461">
        <v>15</v>
      </c>
      <c r="F54" s="3" cm="1">
        <f t="array" aca="1" ref="F54" ca="1">OFFSET(E54,-1,1)</f>
        <v>0</v>
      </c>
      <c r="H54" s="17" t="s">
        <v>650</v>
      </c>
      <c r="T54" s="353" t="b" cm="1">
        <f t="array" ref="T54">T53</f>
        <v>0</v>
      </c>
      <c r="X54" s="990"/>
      <c r="Y54" s="966"/>
      <c r="AB54" s="153" t="s">
        <v>651</v>
      </c>
      <c r="AC54" s="238" t="s">
        <v>636</v>
      </c>
      <c r="AD54" s="12" t="s">
        <v>558</v>
      </c>
      <c r="AE54" s="836"/>
      <c r="AF54" s="836"/>
      <c r="AG54" s="836"/>
      <c r="AH54" s="836"/>
      <c r="AI54" s="191"/>
      <c r="AJ54" s="836"/>
      <c r="AK54" s="836"/>
      <c r="AL54" s="836"/>
      <c r="AM54" s="836"/>
      <c r="AN54" s="836"/>
      <c r="AO54" s="836"/>
      <c r="AP54" s="836"/>
      <c r="AQ54" s="836"/>
      <c r="AR54" s="836"/>
      <c r="AS54" s="191"/>
      <c r="AT54" s="836"/>
      <c r="AU54" s="836"/>
      <c r="AV54" s="836"/>
      <c r="AW54" s="836"/>
      <c r="AX54" s="836"/>
      <c r="AY54" s="836"/>
      <c r="AZ54" s="836"/>
      <c r="BA54" s="836"/>
      <c r="BB54" s="836"/>
      <c r="BC54" s="775"/>
      <c r="BF54" s="671" t="s">
        <v>652</v>
      </c>
    </row>
    <row r="55" spans="1:58" ht="14.65" hidden="1" customHeight="1" x14ac:dyDescent="0.15">
      <c r="E55" s="461">
        <v>15</v>
      </c>
      <c r="F55" s="3" cm="1">
        <f t="array" aca="1" ref="F55" ca="1">OFFSET(E55,-1,1)</f>
        <v>0</v>
      </c>
      <c r="H55" s="17" t="s">
        <v>653</v>
      </c>
      <c r="T55" s="353" t="b" cm="1">
        <f t="array" ref="T55">T54</f>
        <v>0</v>
      </c>
      <c r="X55" s="990"/>
      <c r="Y55" s="966"/>
      <c r="AB55" s="153" t="s">
        <v>654</v>
      </c>
      <c r="AC55" s="238" t="s">
        <v>640</v>
      </c>
      <c r="AD55" s="12" t="s">
        <v>558</v>
      </c>
      <c r="AE55" s="836"/>
      <c r="AF55" s="836"/>
      <c r="AG55" s="836"/>
      <c r="AH55" s="836"/>
      <c r="AI55" s="191"/>
      <c r="AJ55" s="836"/>
      <c r="AK55" s="836"/>
      <c r="AL55" s="836"/>
      <c r="AM55" s="836"/>
      <c r="AN55" s="836"/>
      <c r="AO55" s="836"/>
      <c r="AP55" s="836"/>
      <c r="AQ55" s="836"/>
      <c r="AR55" s="836"/>
      <c r="AS55" s="191"/>
      <c r="AT55" s="836"/>
      <c r="AU55" s="836"/>
      <c r="AV55" s="836"/>
      <c r="AW55" s="836"/>
      <c r="AX55" s="836"/>
      <c r="AY55" s="836"/>
      <c r="AZ55" s="836"/>
      <c r="BA55" s="836"/>
      <c r="BB55" s="836"/>
      <c r="BC55" s="775"/>
      <c r="BF55" s="671" t="s">
        <v>655</v>
      </c>
    </row>
    <row r="56" spans="1:58" ht="14.65" hidden="1" customHeight="1" x14ac:dyDescent="0.15">
      <c r="E56" s="461">
        <v>15</v>
      </c>
      <c r="F56" s="3" cm="1">
        <f t="array" aca="1" ref="F56" ca="1">OFFSET(E56,-1,1)</f>
        <v>0</v>
      </c>
      <c r="G56" s="17" t="s">
        <v>656</v>
      </c>
      <c r="H56" s="17" t="s">
        <v>657</v>
      </c>
      <c r="T56" s="353" t="b" cm="1">
        <f t="array" ref="T56">T55</f>
        <v>0</v>
      </c>
      <c r="X56" s="990"/>
      <c r="Y56" s="966"/>
      <c r="AB56" s="153" t="s">
        <v>658</v>
      </c>
      <c r="AC56" s="237" t="s">
        <v>659</v>
      </c>
      <c r="AD56" s="12" t="s">
        <v>558</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75"/>
      <c r="BF56" s="671" t="s">
        <v>660</v>
      </c>
    </row>
    <row r="57" spans="1:58" ht="14.65" hidden="1" customHeight="1" x14ac:dyDescent="0.15">
      <c r="E57" s="461">
        <v>15</v>
      </c>
      <c r="F57" s="3" cm="1">
        <f t="array" aca="1" ref="F57" ca="1">OFFSET(E57,-1,1)</f>
        <v>0</v>
      </c>
      <c r="H57" s="17" t="s">
        <v>661</v>
      </c>
      <c r="T57" s="353" t="b" cm="1">
        <f t="array" ref="T57">T56</f>
        <v>0</v>
      </c>
      <c r="X57" s="990"/>
      <c r="Y57" s="966"/>
      <c r="AB57" s="153" t="s">
        <v>662</v>
      </c>
      <c r="AC57" s="238" t="s">
        <v>636</v>
      </c>
      <c r="AD57" s="12" t="s">
        <v>558</v>
      </c>
      <c r="AE57" s="836"/>
      <c r="AF57" s="836"/>
      <c r="AG57" s="836"/>
      <c r="AH57" s="836"/>
      <c r="AI57" s="191"/>
      <c r="AJ57" s="836"/>
      <c r="AK57" s="836"/>
      <c r="AL57" s="836"/>
      <c r="AM57" s="836"/>
      <c r="AN57" s="836"/>
      <c r="AO57" s="836"/>
      <c r="AP57" s="836"/>
      <c r="AQ57" s="836"/>
      <c r="AR57" s="836"/>
      <c r="AS57" s="191"/>
      <c r="AT57" s="836"/>
      <c r="AU57" s="836"/>
      <c r="AV57" s="836"/>
      <c r="AW57" s="836"/>
      <c r="AX57" s="836"/>
      <c r="AY57" s="836"/>
      <c r="AZ57" s="836"/>
      <c r="BA57" s="836"/>
      <c r="BB57" s="836"/>
      <c r="BC57" s="775"/>
      <c r="BF57" s="671" t="s">
        <v>663</v>
      </c>
    </row>
    <row r="58" spans="1:58" ht="14.65" hidden="1" customHeight="1" x14ac:dyDescent="0.15">
      <c r="E58" s="461">
        <v>15</v>
      </c>
      <c r="F58" s="3" cm="1">
        <f t="array" aca="1" ref="F58" ca="1">OFFSET(E58,-1,1)</f>
        <v>0</v>
      </c>
      <c r="H58" s="17" t="s">
        <v>664</v>
      </c>
      <c r="T58" s="353" t="b" cm="1">
        <f t="array" ref="T58">T57</f>
        <v>0</v>
      </c>
      <c r="X58" s="990"/>
      <c r="Y58" s="966"/>
      <c r="AB58" s="153" t="s">
        <v>665</v>
      </c>
      <c r="AC58" s="238" t="s">
        <v>640</v>
      </c>
      <c r="AD58" s="12" t="s">
        <v>558</v>
      </c>
      <c r="AE58" s="836"/>
      <c r="AF58" s="836"/>
      <c r="AG58" s="836"/>
      <c r="AH58" s="836"/>
      <c r="AI58" s="191"/>
      <c r="AJ58" s="836"/>
      <c r="AK58" s="836"/>
      <c r="AL58" s="836"/>
      <c r="AM58" s="836"/>
      <c r="AN58" s="836"/>
      <c r="AO58" s="836"/>
      <c r="AP58" s="836"/>
      <c r="AQ58" s="836"/>
      <c r="AR58" s="836"/>
      <c r="AS58" s="191"/>
      <c r="AT58" s="836"/>
      <c r="AU58" s="836"/>
      <c r="AV58" s="836"/>
      <c r="AW58" s="836"/>
      <c r="AX58" s="836"/>
      <c r="AY58" s="836"/>
      <c r="AZ58" s="836"/>
      <c r="BA58" s="836"/>
      <c r="BB58" s="836"/>
      <c r="BC58" s="775"/>
      <c r="BF58" s="671" t="s">
        <v>666</v>
      </c>
    </row>
    <row r="59" spans="1:58" ht="14.65" hidden="1" customHeight="1" x14ac:dyDescent="0.15">
      <c r="E59" s="461">
        <v>15</v>
      </c>
      <c r="F59" s="3" cm="1">
        <f t="array" aca="1" ref="F59" ca="1">OFFSET(E59,-1,1)</f>
        <v>0</v>
      </c>
      <c r="H59" s="17" t="s">
        <v>667</v>
      </c>
      <c r="T59" s="353" t="b" cm="1">
        <f t="array" ref="T59">T58</f>
        <v>0</v>
      </c>
      <c r="X59" s="990"/>
      <c r="Y59" s="966"/>
      <c r="AB59" s="153" t="s">
        <v>668</v>
      </c>
      <c r="AC59" s="237" t="s">
        <v>669</v>
      </c>
      <c r="AD59" s="12" t="s">
        <v>558</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75"/>
      <c r="BF59" s="671" t="s">
        <v>670</v>
      </c>
    </row>
    <row r="60" spans="1:58" ht="14.65" hidden="1" customHeight="1" x14ac:dyDescent="0.15">
      <c r="E60" s="461">
        <v>15</v>
      </c>
      <c r="F60" s="3" cm="1">
        <f t="array" aca="1" ref="F60" ca="1">OFFSET(E60,-1,1)</f>
        <v>0</v>
      </c>
      <c r="H60" s="17" t="s">
        <v>671</v>
      </c>
      <c r="T60" s="353" t="b" cm="1">
        <f t="array" ref="T60">T59</f>
        <v>0</v>
      </c>
      <c r="X60" s="990"/>
      <c r="Y60" s="966"/>
      <c r="AB60" s="153" t="s">
        <v>672</v>
      </c>
      <c r="AC60" s="238" t="s">
        <v>636</v>
      </c>
      <c r="AD60" s="12" t="s">
        <v>558</v>
      </c>
      <c r="AE60" s="836"/>
      <c r="AF60" s="836"/>
      <c r="AG60" s="836"/>
      <c r="AH60" s="836"/>
      <c r="AI60" s="191"/>
      <c r="AJ60" s="836"/>
      <c r="AK60" s="836"/>
      <c r="AL60" s="836"/>
      <c r="AM60" s="836"/>
      <c r="AN60" s="836"/>
      <c r="AO60" s="836"/>
      <c r="AP60" s="836"/>
      <c r="AQ60" s="836"/>
      <c r="AR60" s="836"/>
      <c r="AS60" s="191"/>
      <c r="AT60" s="836"/>
      <c r="AU60" s="836"/>
      <c r="AV60" s="836"/>
      <c r="AW60" s="836"/>
      <c r="AX60" s="836"/>
      <c r="AY60" s="836"/>
      <c r="AZ60" s="836"/>
      <c r="BA60" s="836"/>
      <c r="BB60" s="836"/>
      <c r="BC60" s="775"/>
      <c r="BF60" s="671" t="s">
        <v>673</v>
      </c>
    </row>
    <row r="61" spans="1:58" ht="14.65" hidden="1" customHeight="1" x14ac:dyDescent="0.15">
      <c r="E61" s="461">
        <v>15</v>
      </c>
      <c r="F61" s="3" cm="1">
        <f t="array" aca="1" ref="F61" ca="1">OFFSET(E61,-1,1)</f>
        <v>0</v>
      </c>
      <c r="H61" s="17" t="s">
        <v>674</v>
      </c>
      <c r="T61" s="353" t="b" cm="1">
        <f t="array" ref="T61">T60</f>
        <v>0</v>
      </c>
      <c r="X61" s="990"/>
      <c r="Y61" s="966"/>
      <c r="AB61" s="153" t="s">
        <v>675</v>
      </c>
      <c r="AC61" s="238" t="s">
        <v>640</v>
      </c>
      <c r="AD61" s="12" t="s">
        <v>558</v>
      </c>
      <c r="AE61" s="836"/>
      <c r="AF61" s="836"/>
      <c r="AG61" s="836"/>
      <c r="AH61" s="836"/>
      <c r="AI61" s="191"/>
      <c r="AJ61" s="836"/>
      <c r="AK61" s="836"/>
      <c r="AL61" s="836"/>
      <c r="AM61" s="836"/>
      <c r="AN61" s="836"/>
      <c r="AO61" s="836"/>
      <c r="AP61" s="836"/>
      <c r="AQ61" s="836"/>
      <c r="AR61" s="836"/>
      <c r="AS61" s="191"/>
      <c r="AT61" s="836"/>
      <c r="AU61" s="836"/>
      <c r="AV61" s="836"/>
      <c r="AW61" s="836"/>
      <c r="AX61" s="836"/>
      <c r="AY61" s="836"/>
      <c r="AZ61" s="836"/>
      <c r="BA61" s="836"/>
      <c r="BB61" s="836"/>
      <c r="BC61" s="826"/>
      <c r="BF61" s="671" t="s">
        <v>676</v>
      </c>
    </row>
    <row r="62" spans="1:58" ht="21.95" hidden="1" customHeight="1" x14ac:dyDescent="0.15">
      <c r="E62" s="461">
        <v>22.5</v>
      </c>
      <c r="F62" s="3" cm="1">
        <f t="array" aca="1" ref="F62" ca="1">OFFSET(E62,-1,1)</f>
        <v>0</v>
      </c>
      <c r="H62" s="17" t="s">
        <v>677</v>
      </c>
      <c r="I62" s="315"/>
      <c r="J62" s="315"/>
      <c r="T62" s="353" t="b" cm="1">
        <f t="array" ref="T62">T61</f>
        <v>0</v>
      </c>
      <c r="X62" s="990"/>
      <c r="Y62" s="966"/>
      <c r="AB62" s="153" t="s">
        <v>678</v>
      </c>
      <c r="AC62" s="239" t="s">
        <v>679</v>
      </c>
      <c r="AD62" s="12" t="s">
        <v>558</v>
      </c>
      <c r="AE62" s="825"/>
      <c r="AF62" s="825"/>
      <c r="AG62" s="825"/>
      <c r="AH62" s="825"/>
      <c r="AI62" s="188"/>
      <c r="AJ62" s="825"/>
      <c r="AK62" s="825"/>
      <c r="AL62" s="825"/>
      <c r="AM62" s="825"/>
      <c r="AN62" s="825"/>
      <c r="AO62" s="825"/>
      <c r="AP62" s="825"/>
      <c r="AQ62" s="825"/>
      <c r="AR62" s="825"/>
      <c r="AS62" s="188"/>
      <c r="AT62" s="825"/>
      <c r="AU62" s="825"/>
      <c r="AV62" s="825"/>
      <c r="AW62" s="825"/>
      <c r="AX62" s="825"/>
      <c r="AY62" s="825"/>
      <c r="AZ62" s="825"/>
      <c r="BA62" s="825"/>
      <c r="BB62" s="825"/>
      <c r="BC62" s="826"/>
      <c r="BF62" s="671" t="s">
        <v>680</v>
      </c>
    </row>
    <row r="63" spans="1:58" ht="14.65" hidden="1" customHeight="1" x14ac:dyDescent="0.15">
      <c r="E63" s="461">
        <v>15</v>
      </c>
      <c r="F63" s="253" cm="1">
        <f t="array" aca="1" ref="F63" ca="1">OFFSET(E63,-1,1)</f>
        <v>0</v>
      </c>
      <c r="T63" s="353" t="b" cm="1">
        <f t="array" ref="T63">T62</f>
        <v>0</v>
      </c>
      <c r="X63" s="990"/>
      <c r="Y63" s="966"/>
      <c r="AB63" s="153" t="s">
        <v>681</v>
      </c>
      <c r="AC63" s="239" t="s">
        <v>682</v>
      </c>
      <c r="AD63" s="12" t="s">
        <v>558</v>
      </c>
      <c r="AE63" s="825"/>
      <c r="AF63" s="825"/>
      <c r="AG63" s="825"/>
      <c r="AH63" s="825"/>
      <c r="AI63" s="188"/>
      <c r="AJ63" s="825"/>
      <c r="AK63" s="825"/>
      <c r="AL63" s="825"/>
      <c r="AM63" s="825"/>
      <c r="AN63" s="825"/>
      <c r="AO63" s="825"/>
      <c r="AP63" s="825"/>
      <c r="AQ63" s="825"/>
      <c r="AR63" s="825"/>
      <c r="AS63" s="188"/>
      <c r="AT63" s="825"/>
      <c r="AU63" s="825"/>
      <c r="AV63" s="825"/>
      <c r="AW63" s="825"/>
      <c r="AX63" s="825"/>
      <c r="AY63" s="825"/>
      <c r="AZ63" s="825"/>
      <c r="BA63" s="825"/>
      <c r="BB63" s="825"/>
      <c r="BC63" s="826"/>
      <c r="BF63" s="671" t="s">
        <v>683</v>
      </c>
    </row>
    <row r="64" spans="1:58" ht="11.25" hidden="1" customHeight="1" x14ac:dyDescent="0.15">
      <c r="A64" s="315"/>
      <c r="B64" s="479"/>
      <c r="C64" s="315"/>
      <c r="D64" s="315"/>
      <c r="E64" s="480" t="s">
        <v>371</v>
      </c>
      <c r="F64" s="765" cm="1">
        <f t="array" aca="1" ref="F64" ca="1">OFFSET(E64,-1,1)</f>
        <v>0</v>
      </c>
      <c r="G64" s="315"/>
      <c r="H64" s="315"/>
      <c r="I64"/>
      <c r="J64"/>
      <c r="L64" s="315"/>
      <c r="M64" s="315"/>
      <c r="N64" s="315"/>
      <c r="O64" s="315"/>
      <c r="T64" s="353" t="b">
        <v>0</v>
      </c>
      <c r="V64" s="315"/>
      <c r="X64" s="990"/>
      <c r="Y64" s="966"/>
      <c r="Z64" s="315"/>
      <c r="AA64" s="315"/>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1"/>
    </row>
    <row r="65" spans="1:58" ht="14.65" hidden="1" customHeight="1" x14ac:dyDescent="0.15">
      <c r="E65" s="461">
        <v>15</v>
      </c>
      <c r="F65" s="3" cm="1">
        <f t="array" aca="1" ref="F65" ca="1">OFFSET(E65,-1,1)</f>
        <v>0</v>
      </c>
      <c r="R65" s="315" t="b" cm="1">
        <f t="array" ref="R65">INDEX('Общие сведения'!$AN$179:$AN$236,MATCH($X27,'Общие сведения'!$Z$179:$Z$236,0))</f>
        <v>0</v>
      </c>
      <c r="S65" s="315" t="b">
        <f>IF(ISERROR(SEARCH("Водоснабжение",AB27)),FALSE,TRUE)</f>
        <v>0</v>
      </c>
      <c r="T65" s="353" t="b">
        <f>AND(X27&gt;0,S65,R65)</f>
        <v>0</v>
      </c>
      <c r="X65" s="990"/>
      <c r="Y65" s="966"/>
      <c r="AB65" s="153" t="s">
        <v>275</v>
      </c>
      <c r="AC65" s="234" t="s">
        <v>555</v>
      </c>
      <c r="AD65" s="111"/>
      <c r="AE65" s="415" cm="1">
        <f t="array" ref="AE65">INDEX('Общие сведения'!$AH$179:$AH$236,MATCH($X27,'Общие сведения'!$Z$179:$Z$236,0))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26"/>
      <c r="BF65" s="671" t="s">
        <v>684</v>
      </c>
    </row>
    <row r="66" spans="1:58" ht="14.65" hidden="1" customHeight="1" x14ac:dyDescent="0.15">
      <c r="E66" s="461">
        <v>15</v>
      </c>
      <c r="F66" s="3" cm="1">
        <f t="array" aca="1" ref="F66" ca="1">OFFSET(E66,-1,1)</f>
        <v>0</v>
      </c>
      <c r="H66" s="17" t="s">
        <v>335</v>
      </c>
      <c r="T66" s="353" t="b" cm="1">
        <f t="array" ref="T66">T65</f>
        <v>0</v>
      </c>
      <c r="X66" s="990"/>
      <c r="Y66" s="966"/>
      <c r="AB66" s="153" t="s">
        <v>285</v>
      </c>
      <c r="AC66" s="240" t="s">
        <v>685</v>
      </c>
      <c r="AD66" s="12" t="s">
        <v>558</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26"/>
      <c r="BF66" s="671" t="s">
        <v>686</v>
      </c>
    </row>
    <row r="67" spans="1:58" ht="14.65" hidden="1" customHeight="1" x14ac:dyDescent="0.15">
      <c r="E67" s="461">
        <v>15</v>
      </c>
      <c r="F67" s="3" cm="1">
        <f t="array" aca="1" ref="F67" ca="1">OFFSET(E67,-1,1)</f>
        <v>0</v>
      </c>
      <c r="H67" s="17" t="s">
        <v>560</v>
      </c>
      <c r="T67" s="353" t="b" cm="1">
        <f t="array" ref="T67">T66</f>
        <v>0</v>
      </c>
      <c r="X67" s="990"/>
      <c r="Y67" s="966"/>
      <c r="AB67" s="153" t="s">
        <v>561</v>
      </c>
      <c r="AC67" s="241" t="s">
        <v>687</v>
      </c>
      <c r="AD67" s="12" t="s">
        <v>558</v>
      </c>
      <c r="AE67" s="825"/>
      <c r="AF67" s="825"/>
      <c r="AG67" s="825"/>
      <c r="AH67" s="825"/>
      <c r="AI67" s="188"/>
      <c r="AJ67" s="825"/>
      <c r="AK67" s="825"/>
      <c r="AL67" s="825"/>
      <c r="AM67" s="825"/>
      <c r="AN67" s="825"/>
      <c r="AO67" s="825"/>
      <c r="AP67" s="825"/>
      <c r="AQ67" s="825"/>
      <c r="AR67" s="825"/>
      <c r="AS67" s="188"/>
      <c r="AT67" s="825"/>
      <c r="AU67" s="825"/>
      <c r="AV67" s="825"/>
      <c r="AW67" s="825"/>
      <c r="AX67" s="825"/>
      <c r="AY67" s="825"/>
      <c r="AZ67" s="825"/>
      <c r="BA67" s="825"/>
      <c r="BB67" s="825"/>
      <c r="BC67" s="826"/>
      <c r="BF67" s="671" t="s">
        <v>688</v>
      </c>
    </row>
    <row r="68" spans="1:58" ht="14.65" hidden="1" customHeight="1" x14ac:dyDescent="0.15">
      <c r="E68" s="461">
        <v>15</v>
      </c>
      <c r="F68" s="3" cm="1">
        <f t="array" aca="1" ref="F68" ca="1">OFFSET(E68,-1,1)</f>
        <v>0</v>
      </c>
      <c r="H68" s="17" t="s">
        <v>564</v>
      </c>
      <c r="T68" s="353" t="b" cm="1">
        <f t="array" ref="T68">T67</f>
        <v>0</v>
      </c>
      <c r="X68" s="990"/>
      <c r="Y68" s="966"/>
      <c r="AB68" s="153" t="s">
        <v>565</v>
      </c>
      <c r="AC68" s="241" t="s">
        <v>689</v>
      </c>
      <c r="AD68" s="12" t="s">
        <v>558</v>
      </c>
      <c r="AE68" s="825"/>
      <c r="AF68" s="825"/>
      <c r="AG68" s="825"/>
      <c r="AH68" s="825"/>
      <c r="AI68" s="188"/>
      <c r="AJ68" s="825"/>
      <c r="AK68" s="825"/>
      <c r="AL68" s="825"/>
      <c r="AM68" s="825"/>
      <c r="AN68" s="825"/>
      <c r="AO68" s="825"/>
      <c r="AP68" s="825"/>
      <c r="AQ68" s="825"/>
      <c r="AR68" s="825"/>
      <c r="AS68" s="188"/>
      <c r="AT68" s="825"/>
      <c r="AU68" s="825"/>
      <c r="AV68" s="825"/>
      <c r="AW68" s="825"/>
      <c r="AX68" s="825"/>
      <c r="AY68" s="825"/>
      <c r="AZ68" s="825"/>
      <c r="BA68" s="825"/>
      <c r="BB68" s="825"/>
      <c r="BC68" s="826"/>
      <c r="BF68" s="671" t="s">
        <v>690</v>
      </c>
    </row>
    <row r="69" spans="1:58" ht="21.95" hidden="1" customHeight="1" x14ac:dyDescent="0.15">
      <c r="E69" s="461">
        <v>22.5</v>
      </c>
      <c r="F69" s="3" cm="1">
        <f t="array" aca="1" ref="F69" ca="1">OFFSET(E69,-1,1)</f>
        <v>0</v>
      </c>
      <c r="H69" s="17" t="s">
        <v>568</v>
      </c>
      <c r="T69" s="353" t="b" cm="1">
        <f t="array" ref="T69">T68</f>
        <v>0</v>
      </c>
      <c r="X69" s="990"/>
      <c r="Y69" s="966"/>
      <c r="AB69" s="153" t="s">
        <v>569</v>
      </c>
      <c r="AC69" s="241" t="s">
        <v>691</v>
      </c>
      <c r="AD69" s="12" t="s">
        <v>558</v>
      </c>
      <c r="AE69" s="825"/>
      <c r="AF69" s="825"/>
      <c r="AG69" s="825"/>
      <c r="AH69" s="825"/>
      <c r="AI69" s="188"/>
      <c r="AJ69" s="825"/>
      <c r="AK69" s="825"/>
      <c r="AL69" s="825"/>
      <c r="AM69" s="825"/>
      <c r="AN69" s="825"/>
      <c r="AO69" s="825"/>
      <c r="AP69" s="825"/>
      <c r="AQ69" s="825"/>
      <c r="AR69" s="825"/>
      <c r="AS69" s="188"/>
      <c r="AT69" s="825"/>
      <c r="AU69" s="825"/>
      <c r="AV69" s="825"/>
      <c r="AW69" s="825"/>
      <c r="AX69" s="825"/>
      <c r="AY69" s="825"/>
      <c r="AZ69" s="825"/>
      <c r="BA69" s="825"/>
      <c r="BB69" s="825"/>
      <c r="BC69" s="826"/>
      <c r="BF69" s="671" t="s">
        <v>692</v>
      </c>
    </row>
    <row r="70" spans="1:58" ht="14.65" hidden="1" customHeight="1" x14ac:dyDescent="0.15">
      <c r="E70" s="461">
        <v>15</v>
      </c>
      <c r="F70" s="3" cm="1">
        <f t="array" aca="1" ref="F70" ca="1">OFFSET(E70,-1,1)</f>
        <v>0</v>
      </c>
      <c r="H70" s="17" t="s">
        <v>334</v>
      </c>
      <c r="T70" s="353" t="b" cm="1">
        <f t="array" ref="T70">T69</f>
        <v>0</v>
      </c>
      <c r="X70" s="990"/>
      <c r="Y70" s="966"/>
      <c r="AB70" s="153" t="s">
        <v>291</v>
      </c>
      <c r="AC70" s="234" t="s">
        <v>603</v>
      </c>
      <c r="AD70" s="12" t="s">
        <v>558</v>
      </c>
      <c r="AE70" s="825"/>
      <c r="AF70" s="825"/>
      <c r="AG70" s="825"/>
      <c r="AH70" s="825"/>
      <c r="AI70" s="188"/>
      <c r="AJ70" s="825"/>
      <c r="AK70" s="825"/>
      <c r="AL70" s="825"/>
      <c r="AM70" s="825"/>
      <c r="AN70" s="825"/>
      <c r="AO70" s="825"/>
      <c r="AP70" s="825"/>
      <c r="AQ70" s="825"/>
      <c r="AR70" s="825"/>
      <c r="AS70" s="188"/>
      <c r="AT70" s="825"/>
      <c r="AU70" s="825"/>
      <c r="AV70" s="825"/>
      <c r="AW70" s="825"/>
      <c r="AX70" s="825"/>
      <c r="AY70" s="825"/>
      <c r="AZ70" s="825"/>
      <c r="BA70" s="825"/>
      <c r="BB70" s="825"/>
      <c r="BC70" s="826"/>
      <c r="BF70" s="671" t="s">
        <v>693</v>
      </c>
    </row>
    <row r="71" spans="1:58" ht="14.65" hidden="1" customHeight="1" x14ac:dyDescent="0.15">
      <c r="E71" s="461">
        <v>15</v>
      </c>
      <c r="F71" s="3" cm="1">
        <f t="array" aca="1" ref="F71" ca="1">OFFSET(E71,-1,1)</f>
        <v>0</v>
      </c>
      <c r="H71" s="17" t="s">
        <v>574</v>
      </c>
      <c r="T71" s="353" t="b" cm="1">
        <f t="array" ref="T71">T70</f>
        <v>0</v>
      </c>
      <c r="X71" s="990"/>
      <c r="Y71" s="966"/>
      <c r="AB71" s="153" t="s">
        <v>575</v>
      </c>
      <c r="AC71" s="236" t="s">
        <v>607</v>
      </c>
      <c r="AD71" s="12" t="s">
        <v>476</v>
      </c>
      <c r="AE71" s="820">
        <f t="shared" ref="AE71:BB71" si="14">IF(AE66=0,0,AE70/AE66*100)</f>
        <v>0</v>
      </c>
      <c r="AF71" s="820">
        <f t="shared" si="14"/>
        <v>0</v>
      </c>
      <c r="AG71" s="820">
        <f t="shared" si="14"/>
        <v>0</v>
      </c>
      <c r="AH71" s="820">
        <f t="shared" si="14"/>
        <v>0</v>
      </c>
      <c r="AI71" s="57">
        <f t="shared" si="14"/>
        <v>0</v>
      </c>
      <c r="AJ71" s="820">
        <f t="shared" si="14"/>
        <v>0</v>
      </c>
      <c r="AK71" s="820">
        <f t="shared" si="14"/>
        <v>0</v>
      </c>
      <c r="AL71" s="820">
        <f t="shared" si="14"/>
        <v>0</v>
      </c>
      <c r="AM71" s="820">
        <f t="shared" si="14"/>
        <v>0</v>
      </c>
      <c r="AN71" s="820">
        <f t="shared" si="14"/>
        <v>0</v>
      </c>
      <c r="AO71" s="820">
        <f t="shared" si="14"/>
        <v>0</v>
      </c>
      <c r="AP71" s="820">
        <f t="shared" si="14"/>
        <v>0</v>
      </c>
      <c r="AQ71" s="820">
        <f t="shared" si="14"/>
        <v>0</v>
      </c>
      <c r="AR71" s="820">
        <f t="shared" si="14"/>
        <v>0</v>
      </c>
      <c r="AS71" s="57">
        <f t="shared" si="14"/>
        <v>0</v>
      </c>
      <c r="AT71" s="820">
        <f t="shared" si="14"/>
        <v>0</v>
      </c>
      <c r="AU71" s="820">
        <f t="shared" si="14"/>
        <v>0</v>
      </c>
      <c r="AV71" s="820">
        <f t="shared" si="14"/>
        <v>0</v>
      </c>
      <c r="AW71" s="820">
        <f t="shared" si="14"/>
        <v>0</v>
      </c>
      <c r="AX71" s="820">
        <f t="shared" si="14"/>
        <v>0</v>
      </c>
      <c r="AY71" s="820">
        <f t="shared" si="14"/>
        <v>0</v>
      </c>
      <c r="AZ71" s="820">
        <f t="shared" si="14"/>
        <v>0</v>
      </c>
      <c r="BA71" s="820">
        <f t="shared" si="14"/>
        <v>0</v>
      </c>
      <c r="BB71" s="820">
        <f t="shared" si="14"/>
        <v>0</v>
      </c>
      <c r="BC71" s="775"/>
      <c r="BF71" s="671" t="s">
        <v>694</v>
      </c>
    </row>
    <row r="72" spans="1:58" ht="14.65" hidden="1" customHeight="1" x14ac:dyDescent="0.15">
      <c r="E72" s="461">
        <v>15</v>
      </c>
      <c r="F72" s="3" cm="1">
        <f t="array" aca="1" ref="F72" ca="1">OFFSET(E72,-1,1)</f>
        <v>0</v>
      </c>
      <c r="G72" s="17" t="str">
        <f>IF(OwnNeedsInPO="да","ПО","")</f>
        <v/>
      </c>
      <c r="H72" s="17" t="s">
        <v>532</v>
      </c>
      <c r="T72" s="353" t="b" cm="1">
        <f t="array" ref="T72">T71</f>
        <v>0</v>
      </c>
      <c r="X72" s="990"/>
      <c r="Y72" s="966"/>
      <c r="AB72" s="153" t="s">
        <v>454</v>
      </c>
      <c r="AC72" s="240" t="s">
        <v>615</v>
      </c>
      <c r="AD72" s="12" t="s">
        <v>558</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26"/>
      <c r="BF72" s="671" t="s">
        <v>695</v>
      </c>
    </row>
    <row r="73" spans="1:58" ht="14.65" hidden="1" customHeight="1" x14ac:dyDescent="0.15">
      <c r="E73" s="461">
        <v>15</v>
      </c>
      <c r="F73" s="3" cm="1">
        <f t="array" aca="1" ref="F73" ca="1">OFFSET(E73,-1,1)</f>
        <v>0</v>
      </c>
      <c r="H73" s="17" t="s">
        <v>696</v>
      </c>
      <c r="T73" s="353" t="b" cm="1">
        <f t="array" ref="T73">T72</f>
        <v>0</v>
      </c>
      <c r="X73" s="990"/>
      <c r="Y73" s="966"/>
      <c r="AB73" s="153" t="s">
        <v>697</v>
      </c>
      <c r="AC73" s="241" t="s">
        <v>619</v>
      </c>
      <c r="AD73" s="12" t="s">
        <v>558</v>
      </c>
      <c r="AE73" s="825"/>
      <c r="AF73" s="825"/>
      <c r="AG73" s="825"/>
      <c r="AH73" s="825"/>
      <c r="AI73" s="188"/>
      <c r="AJ73" s="825"/>
      <c r="AK73" s="825"/>
      <c r="AL73" s="825"/>
      <c r="AM73" s="825"/>
      <c r="AN73" s="825"/>
      <c r="AO73" s="825"/>
      <c r="AP73" s="825"/>
      <c r="AQ73" s="825"/>
      <c r="AR73" s="825"/>
      <c r="AS73" s="188"/>
      <c r="AT73" s="825"/>
      <c r="AU73" s="825"/>
      <c r="AV73" s="825"/>
      <c r="AW73" s="825"/>
      <c r="AX73" s="825"/>
      <c r="AY73" s="825"/>
      <c r="AZ73" s="825"/>
      <c r="BA73" s="825"/>
      <c r="BB73" s="825"/>
      <c r="BC73" s="826"/>
      <c r="BF73" s="671" t="s">
        <v>698</v>
      </c>
    </row>
    <row r="74" spans="1:58" ht="14.65" hidden="1" customHeight="1" x14ac:dyDescent="0.15">
      <c r="E74" s="461">
        <v>15</v>
      </c>
      <c r="F74" s="3" cm="1">
        <f t="array" aca="1" ref="F74" ca="1">OFFSET(E74,-1,1)</f>
        <v>0</v>
      </c>
      <c r="H74" s="17" t="s">
        <v>699</v>
      </c>
      <c r="T74" s="353" t="b" cm="1">
        <f t="array" ref="T74">T73</f>
        <v>0</v>
      </c>
      <c r="X74" s="990"/>
      <c r="Y74" s="966"/>
      <c r="AB74" s="153" t="s">
        <v>700</v>
      </c>
      <c r="AC74" s="241" t="s">
        <v>623</v>
      </c>
      <c r="AD74" s="12" t="s">
        <v>558</v>
      </c>
      <c r="AE74" s="825"/>
      <c r="AF74" s="825"/>
      <c r="AG74" s="825"/>
      <c r="AH74" s="825"/>
      <c r="AI74" s="188"/>
      <c r="AJ74" s="825"/>
      <c r="AK74" s="825"/>
      <c r="AL74" s="825"/>
      <c r="AM74" s="825"/>
      <c r="AN74" s="825"/>
      <c r="AO74" s="825"/>
      <c r="AP74" s="825"/>
      <c r="AQ74" s="825"/>
      <c r="AR74" s="825"/>
      <c r="AS74" s="188"/>
      <c r="AT74" s="825"/>
      <c r="AU74" s="825"/>
      <c r="AV74" s="825"/>
      <c r="AW74" s="825"/>
      <c r="AX74" s="825"/>
      <c r="AY74" s="825"/>
      <c r="AZ74" s="825"/>
      <c r="BA74" s="825"/>
      <c r="BB74" s="825"/>
      <c r="BC74" s="826"/>
      <c r="BF74" s="671" t="s">
        <v>701</v>
      </c>
    </row>
    <row r="75" spans="1:58" ht="14.65" hidden="1" customHeight="1" x14ac:dyDescent="0.15">
      <c r="E75" s="461">
        <v>15</v>
      </c>
      <c r="F75" s="3" cm="1">
        <f t="array" aca="1" ref="F75" ca="1">OFFSET(E75,-1,1)</f>
        <v>0</v>
      </c>
      <c r="G75" s="17" t="s">
        <v>629</v>
      </c>
      <c r="H75" s="17" t="s">
        <v>535</v>
      </c>
      <c r="T75" s="353" t="b" cm="1">
        <f t="array" ref="T75">T74</f>
        <v>0</v>
      </c>
      <c r="X75" s="990"/>
      <c r="Y75" s="966"/>
      <c r="AB75" s="153" t="s">
        <v>460</v>
      </c>
      <c r="AC75" s="240" t="s">
        <v>632</v>
      </c>
      <c r="AD75" s="12" t="s">
        <v>558</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26"/>
      <c r="BF75" s="671" t="s">
        <v>702</v>
      </c>
    </row>
    <row r="76" spans="1:58" ht="14.65" hidden="1" customHeight="1" x14ac:dyDescent="0.15">
      <c r="E76" s="461">
        <v>15</v>
      </c>
      <c r="F76" s="3" cm="1">
        <f t="array" aca="1" ref="F76" ca="1">OFFSET(E76,-1,1)</f>
        <v>0</v>
      </c>
      <c r="H76" s="17" t="s">
        <v>703</v>
      </c>
      <c r="T76" s="353" t="b" cm="1">
        <f t="array" ref="T76">T75</f>
        <v>0</v>
      </c>
      <c r="X76" s="990"/>
      <c r="Y76" s="966"/>
      <c r="AB76" s="153" t="s">
        <v>704</v>
      </c>
      <c r="AC76" s="241" t="s">
        <v>636</v>
      </c>
      <c r="AD76" s="12" t="s">
        <v>558</v>
      </c>
      <c r="AE76" s="825"/>
      <c r="AF76" s="825"/>
      <c r="AG76" s="825"/>
      <c r="AH76" s="825"/>
      <c r="AI76" s="188"/>
      <c r="AJ76" s="825"/>
      <c r="AK76" s="825"/>
      <c r="AL76" s="825"/>
      <c r="AM76" s="825"/>
      <c r="AN76" s="825"/>
      <c r="AO76" s="825"/>
      <c r="AP76" s="825"/>
      <c r="AQ76" s="825"/>
      <c r="AR76" s="825"/>
      <c r="AS76" s="188"/>
      <c r="AT76" s="825"/>
      <c r="AU76" s="825"/>
      <c r="AV76" s="825"/>
      <c r="AW76" s="825"/>
      <c r="AX76" s="825"/>
      <c r="AY76" s="825"/>
      <c r="AZ76" s="825"/>
      <c r="BA76" s="825"/>
      <c r="BB76" s="825"/>
      <c r="BC76" s="826"/>
      <c r="BF76" s="671" t="s">
        <v>705</v>
      </c>
    </row>
    <row r="77" spans="1:58" ht="14.65" hidden="1" customHeight="1" x14ac:dyDescent="0.15">
      <c r="E77" s="461">
        <v>15</v>
      </c>
      <c r="F77" s="3" cm="1">
        <f t="array" aca="1" ref="F77" ca="1">OFFSET(E77,-1,1)</f>
        <v>0</v>
      </c>
      <c r="H77" s="17" t="s">
        <v>706</v>
      </c>
      <c r="T77" s="353" t="b" cm="1">
        <f t="array" ref="T77">T76</f>
        <v>0</v>
      </c>
      <c r="X77" s="990"/>
      <c r="Y77" s="966"/>
      <c r="AB77" s="153" t="s">
        <v>707</v>
      </c>
      <c r="AC77" s="241" t="s">
        <v>640</v>
      </c>
      <c r="AD77" s="12" t="s">
        <v>558</v>
      </c>
      <c r="AE77" s="825"/>
      <c r="AF77" s="825"/>
      <c r="AG77" s="825"/>
      <c r="AH77" s="825"/>
      <c r="AI77" s="188"/>
      <c r="AJ77" s="825"/>
      <c r="AK77" s="825"/>
      <c r="AL77" s="825"/>
      <c r="AM77" s="825"/>
      <c r="AN77" s="825"/>
      <c r="AO77" s="825"/>
      <c r="AP77" s="825"/>
      <c r="AQ77" s="825"/>
      <c r="AR77" s="825"/>
      <c r="AS77" s="188"/>
      <c r="AT77" s="825"/>
      <c r="AU77" s="825"/>
      <c r="AV77" s="825"/>
      <c r="AW77" s="825"/>
      <c r="AX77" s="825"/>
      <c r="AY77" s="825"/>
      <c r="AZ77" s="825"/>
      <c r="BA77" s="825"/>
      <c r="BB77" s="825"/>
      <c r="BC77" s="826"/>
      <c r="BF77" s="671" t="s">
        <v>708</v>
      </c>
    </row>
    <row r="78" spans="1:58" ht="21.95" hidden="1" customHeight="1" x14ac:dyDescent="0.15">
      <c r="E78" s="461">
        <v>22.5</v>
      </c>
      <c r="F78" s="3" cm="1">
        <f t="array" aca="1" ref="F78" ca="1">OFFSET(E78,-1,1)</f>
        <v>0</v>
      </c>
      <c r="H78" s="17" t="s">
        <v>586</v>
      </c>
      <c r="I78" s="315"/>
      <c r="J78" s="315"/>
      <c r="T78" s="353" t="b" cm="1">
        <f t="array" ref="T78">T77</f>
        <v>0</v>
      </c>
      <c r="X78" s="990"/>
      <c r="Y78" s="966"/>
      <c r="AB78" s="153" t="s">
        <v>536</v>
      </c>
      <c r="AC78" s="242" t="s">
        <v>679</v>
      </c>
      <c r="AD78" s="12" t="s">
        <v>558</v>
      </c>
      <c r="AE78" s="825"/>
      <c r="AF78" s="825"/>
      <c r="AG78" s="825"/>
      <c r="AH78" s="825"/>
      <c r="AI78" s="188"/>
      <c r="AJ78" s="825"/>
      <c r="AK78" s="825"/>
      <c r="AL78" s="825"/>
      <c r="AM78" s="825"/>
      <c r="AN78" s="825"/>
      <c r="AO78" s="825"/>
      <c r="AP78" s="825"/>
      <c r="AQ78" s="825"/>
      <c r="AR78" s="825"/>
      <c r="AS78" s="188"/>
      <c r="AT78" s="825"/>
      <c r="AU78" s="825"/>
      <c r="AV78" s="825"/>
      <c r="AW78" s="825"/>
      <c r="AX78" s="825"/>
      <c r="AY78" s="825"/>
      <c r="AZ78" s="825"/>
      <c r="BA78" s="825"/>
      <c r="BB78" s="825"/>
      <c r="BC78" s="826"/>
      <c r="BF78" s="671" t="s">
        <v>709</v>
      </c>
    </row>
    <row r="79" spans="1:58" ht="14.65" hidden="1" customHeight="1" x14ac:dyDescent="0.15">
      <c r="E79" s="461">
        <v>15</v>
      </c>
      <c r="F79" s="253" cm="1">
        <f t="array" aca="1" ref="F79" ca="1">OFFSET(E79,-1,1)</f>
        <v>0</v>
      </c>
      <c r="T79" s="353" t="b" cm="1">
        <f t="array" ref="T79">T78</f>
        <v>0</v>
      </c>
      <c r="X79" s="990"/>
      <c r="Y79" s="966"/>
      <c r="AB79" s="153" t="s">
        <v>681</v>
      </c>
      <c r="AC79" s="239" t="s">
        <v>682</v>
      </c>
      <c r="AD79" s="12" t="s">
        <v>558</v>
      </c>
      <c r="AE79" s="825"/>
      <c r="AF79" s="825"/>
      <c r="AG79" s="825"/>
      <c r="AH79" s="825"/>
      <c r="AI79" s="188"/>
      <c r="AJ79" s="825"/>
      <c r="AK79" s="825"/>
      <c r="AL79" s="825"/>
      <c r="AM79" s="825"/>
      <c r="AN79" s="825"/>
      <c r="AO79" s="825"/>
      <c r="AP79" s="825"/>
      <c r="AQ79" s="825"/>
      <c r="AR79" s="825"/>
      <c r="AS79" s="188"/>
      <c r="AT79" s="825"/>
      <c r="AU79" s="825"/>
      <c r="AV79" s="825"/>
      <c r="AW79" s="825"/>
      <c r="AX79" s="825"/>
      <c r="AY79" s="825"/>
      <c r="AZ79" s="825"/>
      <c r="BA79" s="825"/>
      <c r="BB79" s="825"/>
      <c r="BC79" s="826"/>
      <c r="BF79" s="671" t="s">
        <v>710</v>
      </c>
    </row>
    <row r="80" spans="1:58" ht="11.25" hidden="1" customHeight="1" x14ac:dyDescent="0.15">
      <c r="A80" s="315"/>
      <c r="B80" s="479"/>
      <c r="C80" s="315"/>
      <c r="D80" s="315"/>
      <c r="E80" s="480" t="s">
        <v>371</v>
      </c>
      <c r="F80" s="765" cm="1">
        <f t="array" aca="1" ref="F80" ca="1">OFFSET(E80,-1,1)</f>
        <v>0</v>
      </c>
      <c r="G80" s="315"/>
      <c r="H80" s="315"/>
      <c r="I80"/>
      <c r="J80"/>
      <c r="L80" s="315"/>
      <c r="M80" s="315"/>
      <c r="N80" s="315"/>
      <c r="O80" s="315"/>
      <c r="T80" s="353" t="b">
        <v>0</v>
      </c>
      <c r="V80" s="315"/>
      <c r="X80" s="990"/>
      <c r="Y80" s="966"/>
      <c r="Z80" s="315"/>
      <c r="AA80" s="315"/>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1"/>
    </row>
    <row r="81" spans="5:58" ht="14.65" hidden="1" customHeight="1" x14ac:dyDescent="0.15">
      <c r="E81" s="461">
        <v>15</v>
      </c>
      <c r="F81" s="3" cm="1">
        <f t="array" aca="1" ref="F81" ca="1">OFFSET(E81,-1,1)</f>
        <v>0</v>
      </c>
      <c r="R81" s="315" t="b" cm="1">
        <f t="array" ref="R81">INDEX('Общие сведения'!$AN$179:$AN$236,MATCH($X27,'Общие сведения'!$Z$179:$Z$236,0))</f>
        <v>0</v>
      </c>
      <c r="S81" s="315" t="b">
        <f>IF(ISERROR(SEARCH("Водоотведение",AB27)),FALSE,TRUE)</f>
        <v>0</v>
      </c>
      <c r="T81" s="353" t="b">
        <f>AND(X27&gt;0,S81,NOT(R81))</f>
        <v>0</v>
      </c>
      <c r="X81" s="990"/>
      <c r="Y81" s="966"/>
      <c r="AB81" s="153" t="s">
        <v>275</v>
      </c>
      <c r="AC81" s="53" t="s">
        <v>711</v>
      </c>
      <c r="AD81" s="110"/>
      <c r="AE81" s="415" cm="1">
        <f t="array" ref="AE81">INDEX('Общие сведения'!$AH$179:$AH$236,MATCH($X27,'Общие сведения'!$Z$179:$Z$236,0))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26"/>
      <c r="BF81" s="671" t="s">
        <v>712</v>
      </c>
    </row>
    <row r="82" spans="5:58" ht="14.65" hidden="1" customHeight="1" x14ac:dyDescent="0.15">
      <c r="E82" s="461">
        <v>15</v>
      </c>
      <c r="F82" s="3" cm="1">
        <f t="array" aca="1" ref="F82" ca="1">OFFSET(E82,-1,1)</f>
        <v>0</v>
      </c>
      <c r="H82" s="17" t="s">
        <v>335</v>
      </c>
      <c r="T82" s="353" t="b" cm="1">
        <f t="array" ref="T82">T81</f>
        <v>0</v>
      </c>
      <c r="X82" s="990"/>
      <c r="Y82" s="966"/>
      <c r="AB82" s="153" t="s">
        <v>285</v>
      </c>
      <c r="AC82" s="53" t="s">
        <v>713</v>
      </c>
      <c r="AD82" s="12" t="s">
        <v>558</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26"/>
      <c r="BF82" s="671" t="s">
        <v>714</v>
      </c>
    </row>
    <row r="83" spans="5:58" ht="14.65" hidden="1" customHeight="1" x14ac:dyDescent="0.15">
      <c r="E83" s="461">
        <v>15</v>
      </c>
      <c r="F83" s="3" cm="1">
        <f t="array" aca="1" ref="F83" ca="1">OFFSET(E83,-1,1)</f>
        <v>0</v>
      </c>
      <c r="G83" s="17" t="str">
        <f>IF(OwnNeedsInPO="да","ПО","")</f>
        <v/>
      </c>
      <c r="H83" s="17" t="s">
        <v>334</v>
      </c>
      <c r="T83" s="353" t="b" cm="1">
        <f t="array" ref="T83">T82</f>
        <v>0</v>
      </c>
      <c r="X83" s="990"/>
      <c r="Y83" s="966"/>
      <c r="AB83" s="153" t="s">
        <v>291</v>
      </c>
      <c r="AC83" s="53" t="s">
        <v>715</v>
      </c>
      <c r="AD83" s="12" t="s">
        <v>558</v>
      </c>
      <c r="AE83" s="825"/>
      <c r="AF83" s="825"/>
      <c r="AG83" s="825"/>
      <c r="AH83" s="825"/>
      <c r="AI83" s="188"/>
      <c r="AJ83" s="825"/>
      <c r="AK83" s="825"/>
      <c r="AL83" s="825"/>
      <c r="AM83" s="825"/>
      <c r="AN83" s="825"/>
      <c r="AO83" s="825"/>
      <c r="AP83" s="825"/>
      <c r="AQ83" s="825"/>
      <c r="AR83" s="825"/>
      <c r="AS83" s="188"/>
      <c r="AT83" s="825"/>
      <c r="AU83" s="825"/>
      <c r="AV83" s="825"/>
      <c r="AW83" s="825"/>
      <c r="AX83" s="825"/>
      <c r="AY83" s="825"/>
      <c r="AZ83" s="825"/>
      <c r="BA83" s="825"/>
      <c r="BB83" s="825"/>
      <c r="BC83" s="826"/>
      <c r="BF83" s="671" t="s">
        <v>716</v>
      </c>
    </row>
    <row r="84" spans="5:58" ht="14.65" hidden="1" customHeight="1" x14ac:dyDescent="0.15">
      <c r="E84" s="461">
        <v>15</v>
      </c>
      <c r="F84" s="3" cm="1">
        <f t="array" aca="1" ref="F84" ca="1">OFFSET(E84,-1,1)</f>
        <v>0</v>
      </c>
      <c r="G84" s="17" t="s">
        <v>629</v>
      </c>
      <c r="H84" s="17" t="s">
        <v>532</v>
      </c>
      <c r="T84" s="353" t="b" cm="1">
        <f t="array" ref="T84">T83</f>
        <v>0</v>
      </c>
      <c r="X84" s="990"/>
      <c r="Y84" s="966"/>
      <c r="AB84" s="153" t="s">
        <v>454</v>
      </c>
      <c r="AC84" s="54" t="s">
        <v>717</v>
      </c>
      <c r="AD84" s="12" t="s">
        <v>558</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26"/>
      <c r="BF84" s="671" t="s">
        <v>718</v>
      </c>
    </row>
    <row r="85" spans="5:58" ht="14.65" hidden="1" customHeight="1" x14ac:dyDescent="0.15">
      <c r="E85" s="461">
        <v>15</v>
      </c>
      <c r="F85" s="3" cm="1">
        <f t="array" aca="1" ref="F85" ca="1">OFFSET(E85,-1,1)</f>
        <v>0</v>
      </c>
      <c r="H85" s="17" t="s">
        <v>696</v>
      </c>
      <c r="T85" s="353" t="b" cm="1">
        <f t="array" ref="T85">T84</f>
        <v>0</v>
      </c>
      <c r="X85" s="990"/>
      <c r="Y85" s="966"/>
      <c r="AB85" s="153" t="s">
        <v>697</v>
      </c>
      <c r="AC85" s="105" t="s">
        <v>648</v>
      </c>
      <c r="AD85" s="12" t="s">
        <v>558</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26"/>
      <c r="BF85" s="671" t="s">
        <v>719</v>
      </c>
    </row>
    <row r="86" spans="5:58" ht="14.65" hidden="1" customHeight="1" x14ac:dyDescent="0.15">
      <c r="E86" s="461">
        <v>15</v>
      </c>
      <c r="F86" s="3" cm="1">
        <f t="array" aca="1" ref="F86" ca="1">OFFSET(E86,-1,1)</f>
        <v>0</v>
      </c>
      <c r="H86" s="17" t="s">
        <v>720</v>
      </c>
      <c r="T86" s="353" t="b" cm="1">
        <f t="array" ref="T86">T85</f>
        <v>0</v>
      </c>
      <c r="X86" s="990"/>
      <c r="Y86" s="966"/>
      <c r="AB86" s="153" t="s">
        <v>721</v>
      </c>
      <c r="AC86" s="243" t="s">
        <v>636</v>
      </c>
      <c r="AD86" s="12" t="s">
        <v>558</v>
      </c>
      <c r="AE86" s="825"/>
      <c r="AF86" s="825"/>
      <c r="AG86" s="825"/>
      <c r="AH86" s="825"/>
      <c r="AI86" s="188"/>
      <c r="AJ86" s="825"/>
      <c r="AK86" s="825"/>
      <c r="AL86" s="825"/>
      <c r="AM86" s="825"/>
      <c r="AN86" s="825"/>
      <c r="AO86" s="825"/>
      <c r="AP86" s="825"/>
      <c r="AQ86" s="825"/>
      <c r="AR86" s="825"/>
      <c r="AS86" s="188"/>
      <c r="AT86" s="825"/>
      <c r="AU86" s="825"/>
      <c r="AV86" s="825"/>
      <c r="AW86" s="825"/>
      <c r="AX86" s="825"/>
      <c r="AY86" s="825"/>
      <c r="AZ86" s="825"/>
      <c r="BA86" s="825"/>
      <c r="BB86" s="825"/>
      <c r="BC86" s="826"/>
      <c r="BF86" s="671" t="s">
        <v>722</v>
      </c>
    </row>
    <row r="87" spans="5:58" ht="14.65" hidden="1" customHeight="1" x14ac:dyDescent="0.15">
      <c r="E87" s="461">
        <v>15</v>
      </c>
      <c r="F87" s="3" cm="1">
        <f t="array" aca="1" ref="F87" ca="1">OFFSET(E87,-1,1)</f>
        <v>0</v>
      </c>
      <c r="H87" s="17" t="s">
        <v>723</v>
      </c>
      <c r="T87" s="353" t="b" cm="1">
        <f t="array" ref="T87">T86</f>
        <v>0</v>
      </c>
      <c r="X87" s="990"/>
      <c r="Y87" s="966"/>
      <c r="AB87" s="153" t="s">
        <v>724</v>
      </c>
      <c r="AC87" s="243" t="s">
        <v>640</v>
      </c>
      <c r="AD87" s="12" t="s">
        <v>558</v>
      </c>
      <c r="AE87" s="825"/>
      <c r="AF87" s="825"/>
      <c r="AG87" s="825"/>
      <c r="AH87" s="825"/>
      <c r="AI87" s="188"/>
      <c r="AJ87" s="825"/>
      <c r="AK87" s="825"/>
      <c r="AL87" s="825"/>
      <c r="AM87" s="825"/>
      <c r="AN87" s="825"/>
      <c r="AO87" s="825"/>
      <c r="AP87" s="825"/>
      <c r="AQ87" s="825"/>
      <c r="AR87" s="825"/>
      <c r="AS87" s="188"/>
      <c r="AT87" s="825"/>
      <c r="AU87" s="825"/>
      <c r="AV87" s="825"/>
      <c r="AW87" s="825"/>
      <c r="AX87" s="825"/>
      <c r="AY87" s="825"/>
      <c r="AZ87" s="825"/>
      <c r="BA87" s="825"/>
      <c r="BB87" s="825"/>
      <c r="BC87" s="826"/>
      <c r="BF87" s="671" t="s">
        <v>725</v>
      </c>
    </row>
    <row r="88" spans="5:58" ht="14.65" hidden="1" customHeight="1" x14ac:dyDescent="0.15">
      <c r="E88" s="461">
        <v>15</v>
      </c>
      <c r="F88" s="3" cm="1">
        <f t="array" aca="1" ref="F88" ca="1">OFFSET(E88,-1,1)</f>
        <v>0</v>
      </c>
      <c r="G88" s="17" t="s">
        <v>656</v>
      </c>
      <c r="H88" s="17" t="s">
        <v>699</v>
      </c>
      <c r="T88" s="353" t="b" cm="1">
        <f t="array" ref="T88">T87</f>
        <v>0</v>
      </c>
      <c r="X88" s="990"/>
      <c r="Y88" s="966"/>
      <c r="AB88" s="153" t="s">
        <v>700</v>
      </c>
      <c r="AC88" s="105" t="s">
        <v>659</v>
      </c>
      <c r="AD88" s="12" t="s">
        <v>558</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26"/>
      <c r="BF88" s="671" t="s">
        <v>726</v>
      </c>
    </row>
    <row r="89" spans="5:58" ht="14.65" hidden="1" customHeight="1" x14ac:dyDescent="0.15">
      <c r="E89" s="461">
        <v>15</v>
      </c>
      <c r="F89" s="3" cm="1">
        <f t="array" aca="1" ref="F89" ca="1">OFFSET(E89,-1,1)</f>
        <v>0</v>
      </c>
      <c r="H89" s="17" t="s">
        <v>727</v>
      </c>
      <c r="T89" s="353" t="b" cm="1">
        <f t="array" ref="T89">T88</f>
        <v>0</v>
      </c>
      <c r="X89" s="990"/>
      <c r="Y89" s="966"/>
      <c r="AB89" s="153" t="s">
        <v>728</v>
      </c>
      <c r="AC89" s="243" t="s">
        <v>636</v>
      </c>
      <c r="AD89" s="12" t="s">
        <v>558</v>
      </c>
      <c r="AE89" s="825"/>
      <c r="AF89" s="825"/>
      <c r="AG89" s="825"/>
      <c r="AH89" s="825"/>
      <c r="AI89" s="188"/>
      <c r="AJ89" s="825"/>
      <c r="AK89" s="825"/>
      <c r="AL89" s="825"/>
      <c r="AM89" s="825"/>
      <c r="AN89" s="825"/>
      <c r="AO89" s="825"/>
      <c r="AP89" s="825"/>
      <c r="AQ89" s="825"/>
      <c r="AR89" s="825"/>
      <c r="AS89" s="188"/>
      <c r="AT89" s="825"/>
      <c r="AU89" s="825"/>
      <c r="AV89" s="825"/>
      <c r="AW89" s="825"/>
      <c r="AX89" s="825"/>
      <c r="AY89" s="825"/>
      <c r="AZ89" s="825"/>
      <c r="BA89" s="825"/>
      <c r="BB89" s="825"/>
      <c r="BC89" s="826"/>
      <c r="BF89" s="671" t="s">
        <v>729</v>
      </c>
    </row>
    <row r="90" spans="5:58" ht="14.65" hidden="1" customHeight="1" x14ac:dyDescent="0.15">
      <c r="E90" s="461">
        <v>15</v>
      </c>
      <c r="F90" s="3" cm="1">
        <f t="array" aca="1" ref="F90" ca="1">OFFSET(E90,-1,1)</f>
        <v>0</v>
      </c>
      <c r="H90" s="17" t="s">
        <v>730</v>
      </c>
      <c r="T90" s="353" t="b" cm="1">
        <f t="array" ref="T90">T89</f>
        <v>0</v>
      </c>
      <c r="X90" s="990"/>
      <c r="Y90" s="966"/>
      <c r="AB90" s="153" t="s">
        <v>731</v>
      </c>
      <c r="AC90" s="243" t="s">
        <v>640</v>
      </c>
      <c r="AD90" s="12" t="s">
        <v>558</v>
      </c>
      <c r="AE90" s="825"/>
      <c r="AF90" s="825"/>
      <c r="AG90" s="825"/>
      <c r="AH90" s="825"/>
      <c r="AI90" s="188"/>
      <c r="AJ90" s="825"/>
      <c r="AK90" s="825"/>
      <c r="AL90" s="825"/>
      <c r="AM90" s="825"/>
      <c r="AN90" s="825"/>
      <c r="AO90" s="825"/>
      <c r="AP90" s="825"/>
      <c r="AQ90" s="825"/>
      <c r="AR90" s="825"/>
      <c r="AS90" s="188"/>
      <c r="AT90" s="825"/>
      <c r="AU90" s="825"/>
      <c r="AV90" s="825"/>
      <c r="AW90" s="825"/>
      <c r="AX90" s="825"/>
      <c r="AY90" s="825"/>
      <c r="AZ90" s="825"/>
      <c r="BA90" s="825"/>
      <c r="BB90" s="825"/>
      <c r="BC90" s="826"/>
      <c r="BF90" s="671" t="s">
        <v>732</v>
      </c>
    </row>
    <row r="91" spans="5:58" ht="14.65" hidden="1" customHeight="1" x14ac:dyDescent="0.15">
      <c r="E91" s="461">
        <v>15</v>
      </c>
      <c r="F91" s="3" cm="1">
        <f t="array" aca="1" ref="F91" ca="1">OFFSET(E91,-1,1)</f>
        <v>0</v>
      </c>
      <c r="H91" s="17" t="s">
        <v>733</v>
      </c>
      <c r="T91" s="353" t="b" cm="1">
        <f t="array" ref="T91">T90</f>
        <v>0</v>
      </c>
      <c r="X91" s="990"/>
      <c r="Y91" s="966"/>
      <c r="AB91" s="153" t="s">
        <v>734</v>
      </c>
      <c r="AC91" s="105" t="s">
        <v>669</v>
      </c>
      <c r="AD91" s="12" t="s">
        <v>558</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26"/>
      <c r="BF91" s="671" t="s">
        <v>735</v>
      </c>
    </row>
    <row r="92" spans="5:58" ht="14.65" hidden="1" customHeight="1" x14ac:dyDescent="0.15">
      <c r="E92" s="461">
        <v>15</v>
      </c>
      <c r="F92" s="3" cm="1">
        <f t="array" aca="1" ref="F92" ca="1">OFFSET(E92,-1,1)</f>
        <v>0</v>
      </c>
      <c r="H92" s="17" t="s">
        <v>736</v>
      </c>
      <c r="T92" s="353" t="b" cm="1">
        <f t="array" ref="T92">T91</f>
        <v>0</v>
      </c>
      <c r="X92" s="990"/>
      <c r="Y92" s="966"/>
      <c r="AB92" s="153" t="s">
        <v>737</v>
      </c>
      <c r="AC92" s="243" t="s">
        <v>636</v>
      </c>
      <c r="AD92" s="12" t="s">
        <v>558</v>
      </c>
      <c r="AE92" s="825"/>
      <c r="AF92" s="825"/>
      <c r="AG92" s="825"/>
      <c r="AH92" s="825"/>
      <c r="AI92" s="188"/>
      <c r="AJ92" s="825"/>
      <c r="AK92" s="825"/>
      <c r="AL92" s="825"/>
      <c r="AM92" s="825"/>
      <c r="AN92" s="825"/>
      <c r="AO92" s="825"/>
      <c r="AP92" s="825"/>
      <c r="AQ92" s="825"/>
      <c r="AR92" s="825"/>
      <c r="AS92" s="188"/>
      <c r="AT92" s="825"/>
      <c r="AU92" s="825"/>
      <c r="AV92" s="825"/>
      <c r="AW92" s="825"/>
      <c r="AX92" s="825"/>
      <c r="AY92" s="825"/>
      <c r="AZ92" s="825"/>
      <c r="BA92" s="825"/>
      <c r="BB92" s="825"/>
      <c r="BC92" s="826"/>
      <c r="BF92" s="671" t="s">
        <v>738</v>
      </c>
    </row>
    <row r="93" spans="5:58" ht="14.65" hidden="1" customHeight="1" x14ac:dyDescent="0.15">
      <c r="E93" s="461">
        <v>15</v>
      </c>
      <c r="F93" s="3" cm="1">
        <f t="array" aca="1" ref="F93" ca="1">OFFSET(E93,-1,1)</f>
        <v>0</v>
      </c>
      <c r="H93" s="17" t="s">
        <v>739</v>
      </c>
      <c r="T93" s="353" t="b" cm="1">
        <f t="array" ref="T93">T92</f>
        <v>0</v>
      </c>
      <c r="X93" s="990"/>
      <c r="Y93" s="966"/>
      <c r="AB93" s="153" t="s">
        <v>740</v>
      </c>
      <c r="AC93" s="243" t="s">
        <v>640</v>
      </c>
      <c r="AD93" s="12" t="s">
        <v>558</v>
      </c>
      <c r="AE93" s="825"/>
      <c r="AF93" s="825"/>
      <c r="AG93" s="825"/>
      <c r="AH93" s="825"/>
      <c r="AI93" s="188"/>
      <c r="AJ93" s="825"/>
      <c r="AK93" s="825"/>
      <c r="AL93" s="825"/>
      <c r="AM93" s="825"/>
      <c r="AN93" s="825"/>
      <c r="AO93" s="825"/>
      <c r="AP93" s="825"/>
      <c r="AQ93" s="825"/>
      <c r="AR93" s="825"/>
      <c r="AS93" s="188"/>
      <c r="AT93" s="825"/>
      <c r="AU93" s="825"/>
      <c r="AV93" s="825"/>
      <c r="AW93" s="825"/>
      <c r="AX93" s="825"/>
      <c r="AY93" s="825"/>
      <c r="AZ93" s="825"/>
      <c r="BA93" s="825"/>
      <c r="BB93" s="825"/>
      <c r="BC93" s="826"/>
      <c r="BF93" s="671" t="s">
        <v>741</v>
      </c>
    </row>
    <row r="94" spans="5:58" ht="14.65" hidden="1" customHeight="1" x14ac:dyDescent="0.15">
      <c r="E94" s="461">
        <v>15</v>
      </c>
      <c r="F94" s="3" cm="1">
        <f t="array" aca="1" ref="F94" ca="1">OFFSET(E94,-1,1)</f>
        <v>0</v>
      </c>
      <c r="H94" s="17" t="s">
        <v>742</v>
      </c>
      <c r="T94" s="353" t="b" cm="1">
        <f t="array" ref="T94">T93</f>
        <v>0</v>
      </c>
      <c r="X94" s="990"/>
      <c r="Y94" s="966"/>
      <c r="AB94" s="153" t="s">
        <v>743</v>
      </c>
      <c r="AC94" s="105" t="s">
        <v>744</v>
      </c>
      <c r="AD94" s="12" t="s">
        <v>558</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26"/>
      <c r="BF94" s="671" t="s">
        <v>745</v>
      </c>
    </row>
    <row r="95" spans="5:58" ht="14.65" hidden="1" customHeight="1" x14ac:dyDescent="0.15">
      <c r="E95" s="461">
        <v>15</v>
      </c>
      <c r="F95" s="3" cm="1">
        <f t="array" aca="1" ref="F95" ca="1">OFFSET(E95,-1,1)</f>
        <v>0</v>
      </c>
      <c r="H95" s="17" t="s">
        <v>746</v>
      </c>
      <c r="T95" s="353" t="b" cm="1">
        <f t="array" ref="T95">T94</f>
        <v>0</v>
      </c>
      <c r="X95" s="990"/>
      <c r="Y95" s="966"/>
      <c r="AB95" s="153" t="s">
        <v>747</v>
      </c>
      <c r="AC95" s="237" t="s">
        <v>636</v>
      </c>
      <c r="AD95" s="12" t="s">
        <v>558</v>
      </c>
      <c r="AE95" s="825"/>
      <c r="AF95" s="825"/>
      <c r="AG95" s="825"/>
      <c r="AH95" s="825"/>
      <c r="AI95" s="188"/>
      <c r="AJ95" s="825"/>
      <c r="AK95" s="825"/>
      <c r="AL95" s="825"/>
      <c r="AM95" s="825"/>
      <c r="AN95" s="825"/>
      <c r="AO95" s="825"/>
      <c r="AP95" s="825"/>
      <c r="AQ95" s="825"/>
      <c r="AR95" s="825"/>
      <c r="AS95" s="188"/>
      <c r="AT95" s="825"/>
      <c r="AU95" s="825"/>
      <c r="AV95" s="825"/>
      <c r="AW95" s="825"/>
      <c r="AX95" s="825"/>
      <c r="AY95" s="825"/>
      <c r="AZ95" s="825"/>
      <c r="BA95" s="825"/>
      <c r="BB95" s="825"/>
      <c r="BC95" s="826"/>
      <c r="BF95" s="671" t="s">
        <v>748</v>
      </c>
    </row>
    <row r="96" spans="5:58" ht="14.65" hidden="1" customHeight="1" x14ac:dyDescent="0.15">
      <c r="E96" s="461">
        <v>15</v>
      </c>
      <c r="F96" s="3" cm="1">
        <f t="array" aca="1" ref="F96" ca="1">OFFSET(E96,-1,1)</f>
        <v>0</v>
      </c>
      <c r="H96" s="17" t="s">
        <v>749</v>
      </c>
      <c r="T96" s="353" t="b" cm="1">
        <f t="array" ref="T96">T95</f>
        <v>0</v>
      </c>
      <c r="X96" s="990"/>
      <c r="Y96" s="966"/>
      <c r="AB96" s="153" t="s">
        <v>750</v>
      </c>
      <c r="AC96" s="237" t="s">
        <v>640</v>
      </c>
      <c r="AD96" s="12" t="s">
        <v>558</v>
      </c>
      <c r="AE96" s="825"/>
      <c r="AF96" s="825"/>
      <c r="AG96" s="825"/>
      <c r="AH96" s="825"/>
      <c r="AI96" s="188"/>
      <c r="AJ96" s="825"/>
      <c r="AK96" s="825"/>
      <c r="AL96" s="825"/>
      <c r="AM96" s="825"/>
      <c r="AN96" s="825"/>
      <c r="AO96" s="825"/>
      <c r="AP96" s="825"/>
      <c r="AQ96" s="825"/>
      <c r="AR96" s="825"/>
      <c r="AS96" s="188"/>
      <c r="AT96" s="825"/>
      <c r="AU96" s="825"/>
      <c r="AV96" s="825"/>
      <c r="AW96" s="825"/>
      <c r="AX96" s="825"/>
      <c r="AY96" s="825"/>
      <c r="AZ96" s="825"/>
      <c r="BA96" s="825"/>
      <c r="BB96" s="825"/>
      <c r="BC96" s="826"/>
      <c r="BF96" s="671" t="s">
        <v>751</v>
      </c>
    </row>
    <row r="97" spans="1:58" ht="21.95" hidden="1" customHeight="1" x14ac:dyDescent="0.15">
      <c r="E97" s="461">
        <v>22.5</v>
      </c>
      <c r="F97" s="3" cm="1">
        <f t="array" aca="1" ref="F97" ca="1">OFFSET(E97,-1,1)</f>
        <v>0</v>
      </c>
      <c r="H97" s="17" t="s">
        <v>752</v>
      </c>
      <c r="T97" s="353" t="b" cm="1">
        <f t="array" ref="T97">T96</f>
        <v>0</v>
      </c>
      <c r="X97" s="990"/>
      <c r="Y97" s="966"/>
      <c r="AB97" s="153" t="s">
        <v>753</v>
      </c>
      <c r="AC97" s="244" t="s">
        <v>599</v>
      </c>
      <c r="AD97" s="12" t="s">
        <v>558</v>
      </c>
      <c r="AE97" s="825"/>
      <c r="AF97" s="825"/>
      <c r="AG97" s="825"/>
      <c r="AH97" s="825"/>
      <c r="AI97" s="188"/>
      <c r="AJ97" s="825"/>
      <c r="AK97" s="825"/>
      <c r="AL97" s="825"/>
      <c r="AM97" s="825"/>
      <c r="AN97" s="825"/>
      <c r="AO97" s="825"/>
      <c r="AP97" s="825"/>
      <c r="AQ97" s="825"/>
      <c r="AR97" s="825"/>
      <c r="AS97" s="188"/>
      <c r="AT97" s="825"/>
      <c r="AU97" s="825"/>
      <c r="AV97" s="825"/>
      <c r="AW97" s="825"/>
      <c r="AX97" s="825"/>
      <c r="AY97" s="825"/>
      <c r="AZ97" s="825"/>
      <c r="BA97" s="825"/>
      <c r="BB97" s="825"/>
      <c r="BC97" s="826"/>
      <c r="BF97" s="671" t="s">
        <v>754</v>
      </c>
    </row>
    <row r="98" spans="1:58" ht="14.65" hidden="1" customHeight="1" x14ac:dyDescent="0.15">
      <c r="E98" s="461">
        <v>15</v>
      </c>
      <c r="F98" s="3" cm="1">
        <f t="array" aca="1" ref="F98" ca="1">OFFSET(E98,-1,1)</f>
        <v>0</v>
      </c>
      <c r="H98" s="17" t="s">
        <v>535</v>
      </c>
      <c r="T98" s="353" t="b" cm="1">
        <f t="array" ref="T98">T97</f>
        <v>0</v>
      </c>
      <c r="X98" s="990"/>
      <c r="Y98" s="966"/>
      <c r="AB98" s="153" t="s">
        <v>460</v>
      </c>
      <c r="AC98" s="53" t="s">
        <v>755</v>
      </c>
      <c r="AD98" s="12" t="s">
        <v>558</v>
      </c>
      <c r="AE98" s="825"/>
      <c r="AF98" s="825"/>
      <c r="AG98" s="825"/>
      <c r="AH98" s="825"/>
      <c r="AI98" s="188"/>
      <c r="AJ98" s="825"/>
      <c r="AK98" s="825"/>
      <c r="AL98" s="825"/>
      <c r="AM98" s="825"/>
      <c r="AN98" s="825"/>
      <c r="AO98" s="825"/>
      <c r="AP98" s="825"/>
      <c r="AQ98" s="825"/>
      <c r="AR98" s="825"/>
      <c r="AS98" s="188"/>
      <c r="AT98" s="825"/>
      <c r="AU98" s="825"/>
      <c r="AV98" s="825"/>
      <c r="AW98" s="825"/>
      <c r="AX98" s="825"/>
      <c r="AY98" s="825"/>
      <c r="AZ98" s="825"/>
      <c r="BA98" s="825"/>
      <c r="BB98" s="825"/>
      <c r="BC98" s="826"/>
      <c r="BF98" s="671" t="s">
        <v>756</v>
      </c>
    </row>
    <row r="99" spans="1:58" ht="14.65" hidden="1" customHeight="1" x14ac:dyDescent="0.15">
      <c r="E99" s="461">
        <v>15</v>
      </c>
      <c r="F99" s="3" cm="1">
        <f t="array" aca="1" ref="F99" ca="1">OFFSET(E99,-1,1)</f>
        <v>0</v>
      </c>
      <c r="H99" s="17" t="s">
        <v>586</v>
      </c>
      <c r="T99" s="353" t="b" cm="1">
        <f t="array" ref="T99">T98</f>
        <v>0</v>
      </c>
      <c r="X99" s="990"/>
      <c r="Y99" s="966"/>
      <c r="AB99" s="153" t="s">
        <v>536</v>
      </c>
      <c r="AC99" s="53" t="s">
        <v>757</v>
      </c>
      <c r="AD99" s="12" t="s">
        <v>558</v>
      </c>
      <c r="AE99" s="825"/>
      <c r="AF99" s="825"/>
      <c r="AG99" s="825"/>
      <c r="AH99" s="825"/>
      <c r="AI99" s="188"/>
      <c r="AJ99" s="825"/>
      <c r="AK99" s="825"/>
      <c r="AL99" s="825"/>
      <c r="AM99" s="825"/>
      <c r="AN99" s="825"/>
      <c r="AO99" s="825"/>
      <c r="AP99" s="825"/>
      <c r="AQ99" s="825"/>
      <c r="AR99" s="825"/>
      <c r="AS99" s="188"/>
      <c r="AT99" s="825"/>
      <c r="AU99" s="825"/>
      <c r="AV99" s="825"/>
      <c r="AW99" s="825"/>
      <c r="AX99" s="825"/>
      <c r="AY99" s="825"/>
      <c r="AZ99" s="825"/>
      <c r="BA99" s="825"/>
      <c r="BB99" s="825"/>
      <c r="BC99" s="826"/>
      <c r="BF99" s="671" t="s">
        <v>758</v>
      </c>
    </row>
    <row r="100" spans="1:58" ht="14.65" hidden="1" customHeight="1" x14ac:dyDescent="0.15">
      <c r="E100" s="461">
        <v>15</v>
      </c>
      <c r="F100" s="3" cm="1">
        <f t="array" aca="1" ref="F100" ca="1">OFFSET(E100,-1,1)</f>
        <v>0</v>
      </c>
      <c r="H100" s="17" t="s">
        <v>601</v>
      </c>
      <c r="T100" s="353" t="b" cm="1">
        <f t="array" ref="T100">T99</f>
        <v>0</v>
      </c>
      <c r="X100" s="990"/>
      <c r="Y100" s="966"/>
      <c r="AB100" s="153" t="s">
        <v>602</v>
      </c>
      <c r="AC100" s="53" t="s">
        <v>759</v>
      </c>
      <c r="AD100" s="12" t="s">
        <v>558</v>
      </c>
      <c r="AE100" s="825"/>
      <c r="AF100" s="825"/>
      <c r="AG100" s="825"/>
      <c r="AH100" s="825"/>
      <c r="AI100" s="188"/>
      <c r="AJ100" s="825"/>
      <c r="AK100" s="825"/>
      <c r="AL100" s="825"/>
      <c r="AM100" s="825"/>
      <c r="AN100" s="825"/>
      <c r="AO100" s="825"/>
      <c r="AP100" s="825"/>
      <c r="AQ100" s="825"/>
      <c r="AR100" s="825"/>
      <c r="AS100" s="188"/>
      <c r="AT100" s="825"/>
      <c r="AU100" s="825"/>
      <c r="AV100" s="825"/>
      <c r="AW100" s="825"/>
      <c r="AX100" s="825"/>
      <c r="AY100" s="825"/>
      <c r="AZ100" s="825"/>
      <c r="BA100" s="825"/>
      <c r="BB100" s="825"/>
      <c r="BC100" s="826"/>
      <c r="BF100" s="671" t="s">
        <v>760</v>
      </c>
    </row>
    <row r="101" spans="1:58" ht="14.65" hidden="1" customHeight="1" x14ac:dyDescent="0.15">
      <c r="E101" s="461">
        <v>15</v>
      </c>
      <c r="F101" s="3" cm="1">
        <f t="array" aca="1" ref="F101" ca="1">OFFSET(E101,-1,1)</f>
        <v>0</v>
      </c>
      <c r="H101" s="17" t="s">
        <v>609</v>
      </c>
      <c r="T101" s="353" t="b" cm="1">
        <f t="array" ref="T101">T100</f>
        <v>0</v>
      </c>
      <c r="X101" s="990"/>
      <c r="Y101" s="966"/>
      <c r="AB101" s="153" t="s">
        <v>610</v>
      </c>
      <c r="AC101" s="54" t="s">
        <v>761</v>
      </c>
      <c r="AD101" s="12" t="s">
        <v>558</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26"/>
      <c r="BF101" s="671" t="s">
        <v>762</v>
      </c>
    </row>
    <row r="102" spans="1:58" ht="14.65" hidden="1" customHeight="1" x14ac:dyDescent="0.15">
      <c r="E102" s="461">
        <v>15</v>
      </c>
      <c r="F102" s="3" cm="1">
        <f t="array" aca="1" ref="F102" ca="1">OFFSET(E102,-1,1)</f>
        <v>0</v>
      </c>
      <c r="H102" s="17" t="s">
        <v>613</v>
      </c>
      <c r="T102" s="353" t="b" cm="1">
        <f t="array" ref="T102">T101</f>
        <v>0</v>
      </c>
      <c r="X102" s="990"/>
      <c r="Y102" s="966"/>
      <c r="AB102" s="153" t="s">
        <v>614</v>
      </c>
      <c r="AC102" s="105" t="s">
        <v>763</v>
      </c>
      <c r="AD102" s="12" t="s">
        <v>558</v>
      </c>
      <c r="AE102" s="825"/>
      <c r="AF102" s="825"/>
      <c r="AG102" s="825"/>
      <c r="AH102" s="825"/>
      <c r="AI102" s="188"/>
      <c r="AJ102" s="825"/>
      <c r="AK102" s="825"/>
      <c r="AL102" s="825"/>
      <c r="AM102" s="825"/>
      <c r="AN102" s="825"/>
      <c r="AO102" s="825"/>
      <c r="AP102" s="825"/>
      <c r="AQ102" s="825"/>
      <c r="AR102" s="825"/>
      <c r="AS102" s="188"/>
      <c r="AT102" s="825"/>
      <c r="AU102" s="825"/>
      <c r="AV102" s="825"/>
      <c r="AW102" s="825"/>
      <c r="AX102" s="825"/>
      <c r="AY102" s="825"/>
      <c r="AZ102" s="825"/>
      <c r="BA102" s="825"/>
      <c r="BB102" s="825"/>
      <c r="BC102" s="826"/>
      <c r="BF102" s="671" t="s">
        <v>764</v>
      </c>
    </row>
    <row r="103" spans="1:58" ht="14.65" hidden="1" customHeight="1" x14ac:dyDescent="0.15">
      <c r="E103" s="461">
        <v>15</v>
      </c>
      <c r="F103" s="3" cm="1">
        <f t="array" aca="1" ref="F103" ca="1">OFFSET(E103,-1,1)</f>
        <v>0</v>
      </c>
      <c r="H103" s="17" t="s">
        <v>630</v>
      </c>
      <c r="T103" s="353" t="b" cm="1">
        <f t="array" ref="T103">T102</f>
        <v>0</v>
      </c>
      <c r="X103" s="990"/>
      <c r="Y103" s="966"/>
      <c r="AB103" s="153" t="s">
        <v>631</v>
      </c>
      <c r="AC103" s="105" t="s">
        <v>765</v>
      </c>
      <c r="AD103" s="12" t="s">
        <v>558</v>
      </c>
      <c r="AE103" s="825"/>
      <c r="AF103" s="825"/>
      <c r="AG103" s="825"/>
      <c r="AH103" s="825"/>
      <c r="AI103" s="188"/>
      <c r="AJ103" s="825"/>
      <c r="AK103" s="825"/>
      <c r="AL103" s="825"/>
      <c r="AM103" s="825"/>
      <c r="AN103" s="825"/>
      <c r="AO103" s="825"/>
      <c r="AP103" s="825"/>
      <c r="AQ103" s="825"/>
      <c r="AR103" s="825"/>
      <c r="AS103" s="188"/>
      <c r="AT103" s="825"/>
      <c r="AU103" s="825"/>
      <c r="AV103" s="825"/>
      <c r="AW103" s="825"/>
      <c r="AX103" s="825"/>
      <c r="AY103" s="825"/>
      <c r="AZ103" s="825"/>
      <c r="BA103" s="825"/>
      <c r="BB103" s="825"/>
      <c r="BC103" s="826"/>
      <c r="BF103" s="671" t="s">
        <v>766</v>
      </c>
    </row>
    <row r="104" spans="1:58" ht="21.95" hidden="1" customHeight="1" x14ac:dyDescent="0.15">
      <c r="E104" s="461">
        <v>22.5</v>
      </c>
      <c r="F104" s="3" cm="1">
        <f t="array" aca="1" ref="F104" ca="1">OFFSET(E104,-1,1)</f>
        <v>0</v>
      </c>
      <c r="H104" s="17" t="s">
        <v>767</v>
      </c>
      <c r="T104" s="353" t="b" cm="1">
        <f t="array" ref="T104">T103</f>
        <v>0</v>
      </c>
      <c r="X104" s="990"/>
      <c r="Y104" s="966"/>
      <c r="AB104" s="153" t="s">
        <v>768</v>
      </c>
      <c r="AC104" s="245" t="s">
        <v>679</v>
      </c>
      <c r="AD104" s="12" t="s">
        <v>558</v>
      </c>
      <c r="AE104" s="825"/>
      <c r="AF104" s="825"/>
      <c r="AG104" s="825"/>
      <c r="AH104" s="825"/>
      <c r="AI104" s="188"/>
      <c r="AJ104" s="825"/>
      <c r="AK104" s="825"/>
      <c r="AL104" s="825"/>
      <c r="AM104" s="825"/>
      <c r="AN104" s="825"/>
      <c r="AO104" s="825"/>
      <c r="AP104" s="825"/>
      <c r="AQ104" s="825"/>
      <c r="AR104" s="825"/>
      <c r="AS104" s="188"/>
      <c r="AT104" s="825"/>
      <c r="AU104" s="825"/>
      <c r="AV104" s="825"/>
      <c r="AW104" s="825"/>
      <c r="AX104" s="825"/>
      <c r="AY104" s="825"/>
      <c r="AZ104" s="825"/>
      <c r="BA104" s="825"/>
      <c r="BB104" s="825"/>
      <c r="BC104" s="826"/>
      <c r="BF104" s="671" t="s">
        <v>769</v>
      </c>
    </row>
    <row r="105" spans="1:58" ht="14.65" hidden="1" customHeight="1" x14ac:dyDescent="0.15">
      <c r="E105" s="461">
        <v>15</v>
      </c>
      <c r="F105" s="3" cm="1">
        <f t="array" aca="1" ref="F105" ca="1">OFFSET(E105,-1,1)</f>
        <v>0</v>
      </c>
      <c r="H105" s="17" t="s">
        <v>770</v>
      </c>
      <c r="T105" s="353" t="b" cm="1">
        <f t="array" ref="T105">T104</f>
        <v>0</v>
      </c>
      <c r="X105" s="990"/>
      <c r="Y105" s="966"/>
      <c r="AB105" s="153" t="s">
        <v>771</v>
      </c>
      <c r="AC105" s="53" t="s">
        <v>772</v>
      </c>
      <c r="AD105" s="12" t="s">
        <v>558</v>
      </c>
      <c r="AE105" s="825"/>
      <c r="AF105" s="825"/>
      <c r="AG105" s="825"/>
      <c r="AH105" s="825"/>
      <c r="AI105" s="188"/>
      <c r="AJ105" s="825"/>
      <c r="AK105" s="825"/>
      <c r="AL105" s="825"/>
      <c r="AM105" s="825"/>
      <c r="AN105" s="825"/>
      <c r="AO105" s="825"/>
      <c r="AP105" s="825"/>
      <c r="AQ105" s="825"/>
      <c r="AR105" s="825"/>
      <c r="AS105" s="188"/>
      <c r="AT105" s="825"/>
      <c r="AU105" s="825"/>
      <c r="AV105" s="825"/>
      <c r="AW105" s="825"/>
      <c r="AX105" s="825"/>
      <c r="AY105" s="825"/>
      <c r="AZ105" s="825"/>
      <c r="BA105" s="825"/>
      <c r="BB105" s="825"/>
      <c r="BC105" s="826"/>
      <c r="BF105" s="671" t="s">
        <v>773</v>
      </c>
    </row>
    <row r="106" spans="1:58" ht="11.25" hidden="1" customHeight="1" x14ac:dyDescent="0.15">
      <c r="A106" s="315"/>
      <c r="B106" s="479"/>
      <c r="C106" s="315"/>
      <c r="D106" s="315"/>
      <c r="E106" s="480" t="s">
        <v>371</v>
      </c>
      <c r="F106" s="765" cm="1">
        <f t="array" aca="1" ref="F106" ca="1">OFFSET(E106,-1,1)</f>
        <v>0</v>
      </c>
      <c r="G106" s="315"/>
      <c r="H106" s="315"/>
      <c r="I106" s="315"/>
      <c r="J106" s="315"/>
      <c r="L106" s="315"/>
      <c r="M106" s="315"/>
      <c r="N106" s="315"/>
      <c r="O106" s="315"/>
      <c r="T106" s="353" t="b">
        <v>0</v>
      </c>
      <c r="V106" s="315"/>
      <c r="X106" s="990"/>
      <c r="Y106" s="966"/>
      <c r="Z106" s="315"/>
      <c r="AA106" s="315"/>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1"/>
    </row>
    <row r="107" spans="1:58" ht="14.65" hidden="1" customHeight="1" x14ac:dyDescent="0.15">
      <c r="E107" s="461">
        <v>15</v>
      </c>
      <c r="F107" s="3" cm="1">
        <f t="array" aca="1" ref="F107" ca="1">OFFSET(E107,-1,1)</f>
        <v>0</v>
      </c>
      <c r="R107" s="315" t="b" cm="1">
        <f t="array" ref="R107">INDEX('Общие сведения'!$AN$179:$AN$236,MATCH($X27,'Общие сведения'!$Z$179:$Z$236,0))</f>
        <v>0</v>
      </c>
      <c r="S107" s="315" t="b">
        <f>IF(ISERROR(SEARCH("Водоотведение",AB27)),FALSE,TRUE)</f>
        <v>0</v>
      </c>
      <c r="T107" s="353" t="b">
        <f>AND(X27&gt;0,S107,R107)</f>
        <v>0</v>
      </c>
      <c r="X107" s="990"/>
      <c r="Y107" s="966"/>
      <c r="AB107" s="153" t="s">
        <v>275</v>
      </c>
      <c r="AC107" s="6" t="s">
        <v>711</v>
      </c>
      <c r="AD107" s="110"/>
      <c r="AE107" s="415" cm="1">
        <f t="array" ref="AE107">INDEX('Общие сведения'!$AH$179:$AH$236,MATCH($X27,'Общие сведения'!$Z$179:$Z$236,0))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26"/>
      <c r="BF107" s="671" t="s">
        <v>774</v>
      </c>
    </row>
    <row r="108" spans="1:58" ht="14.65" hidden="1" customHeight="1" x14ac:dyDescent="0.15">
      <c r="E108" s="461">
        <v>15</v>
      </c>
      <c r="F108" s="3" cm="1">
        <f t="array" aca="1" ref="F108" ca="1">OFFSET(E108,-1,1)</f>
        <v>0</v>
      </c>
      <c r="H108" s="17" t="s">
        <v>335</v>
      </c>
      <c r="T108" s="353" t="b" cm="1">
        <f t="array" ref="T108">T107</f>
        <v>0</v>
      </c>
      <c r="X108" s="990"/>
      <c r="Y108" s="966"/>
      <c r="AB108" s="153" t="s">
        <v>285</v>
      </c>
      <c r="AC108" s="246" t="s">
        <v>775</v>
      </c>
      <c r="AD108" s="12" t="s">
        <v>558</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26"/>
      <c r="BF108" s="671" t="s">
        <v>776</v>
      </c>
    </row>
    <row r="109" spans="1:58" ht="14.65" hidden="1" customHeight="1" x14ac:dyDescent="0.15">
      <c r="E109" s="461">
        <v>15</v>
      </c>
      <c r="F109" s="3" cm="1">
        <f t="array" aca="1" ref="F109" ca="1">OFFSET(E109,-1,1)</f>
        <v>0</v>
      </c>
      <c r="H109" s="17" t="s">
        <v>560</v>
      </c>
      <c r="T109" s="353" t="b" cm="1">
        <f t="array" ref="T109">T108</f>
        <v>0</v>
      </c>
      <c r="X109" s="990"/>
      <c r="Y109" s="966"/>
      <c r="AB109" s="153" t="s">
        <v>561</v>
      </c>
      <c r="AC109" s="127" t="s">
        <v>777</v>
      </c>
      <c r="AD109" s="12" t="s">
        <v>558</v>
      </c>
      <c r="AE109" s="836"/>
      <c r="AF109" s="836"/>
      <c r="AG109" s="836"/>
      <c r="AH109" s="836"/>
      <c r="AI109" s="191"/>
      <c r="AJ109" s="836"/>
      <c r="AK109" s="836"/>
      <c r="AL109" s="836"/>
      <c r="AM109" s="836"/>
      <c r="AN109" s="836"/>
      <c r="AO109" s="836"/>
      <c r="AP109" s="836"/>
      <c r="AQ109" s="836"/>
      <c r="AR109" s="836"/>
      <c r="AS109" s="191"/>
      <c r="AT109" s="836"/>
      <c r="AU109" s="836"/>
      <c r="AV109" s="836"/>
      <c r="AW109" s="836"/>
      <c r="AX109" s="836"/>
      <c r="AY109" s="836"/>
      <c r="AZ109" s="836"/>
      <c r="BA109" s="836"/>
      <c r="BB109" s="836"/>
      <c r="BC109" s="826"/>
      <c r="BF109" s="671" t="s">
        <v>778</v>
      </c>
    </row>
    <row r="110" spans="1:58" ht="14.65" hidden="1" customHeight="1" x14ac:dyDescent="0.15">
      <c r="E110" s="461">
        <v>15</v>
      </c>
      <c r="F110" s="3" cm="1">
        <f t="array" aca="1" ref="F110" ca="1">OFFSET(E110,-1,1)</f>
        <v>0</v>
      </c>
      <c r="H110" s="17" t="s">
        <v>564</v>
      </c>
      <c r="T110" s="353" t="b" cm="1">
        <f t="array" ref="T110">T109</f>
        <v>0</v>
      </c>
      <c r="X110" s="990"/>
      <c r="Y110" s="966"/>
      <c r="AB110" s="153" t="s">
        <v>565</v>
      </c>
      <c r="AC110" s="127" t="s">
        <v>779</v>
      </c>
      <c r="AD110" s="12" t="s">
        <v>558</v>
      </c>
      <c r="AE110" s="836"/>
      <c r="AF110" s="836"/>
      <c r="AG110" s="836"/>
      <c r="AH110" s="836"/>
      <c r="AI110" s="191"/>
      <c r="AJ110" s="836"/>
      <c r="AK110" s="836"/>
      <c r="AL110" s="836"/>
      <c r="AM110" s="836"/>
      <c r="AN110" s="836"/>
      <c r="AO110" s="836"/>
      <c r="AP110" s="836"/>
      <c r="AQ110" s="836"/>
      <c r="AR110" s="836"/>
      <c r="AS110" s="191"/>
      <c r="AT110" s="836"/>
      <c r="AU110" s="836"/>
      <c r="AV110" s="836"/>
      <c r="AW110" s="836"/>
      <c r="AX110" s="836"/>
      <c r="AY110" s="836"/>
      <c r="AZ110" s="836"/>
      <c r="BA110" s="836"/>
      <c r="BB110" s="836"/>
      <c r="BC110" s="826"/>
      <c r="BF110" s="671" t="s">
        <v>780</v>
      </c>
    </row>
    <row r="111" spans="1:58" ht="21.95" hidden="1" customHeight="1" x14ac:dyDescent="0.15">
      <c r="E111" s="461">
        <v>22.5</v>
      </c>
      <c r="F111" s="3" cm="1">
        <f t="array" aca="1" ref="F111" ca="1">OFFSET(E111,-1,1)</f>
        <v>0</v>
      </c>
      <c r="H111" s="17" t="s">
        <v>568</v>
      </c>
      <c r="T111" s="353" t="b" cm="1">
        <f t="array" ref="T111">T110</f>
        <v>0</v>
      </c>
      <c r="X111" s="990"/>
      <c r="Y111" s="966"/>
      <c r="AB111" s="153" t="s">
        <v>569</v>
      </c>
      <c r="AC111" s="127" t="s">
        <v>679</v>
      </c>
      <c r="AD111" s="12" t="s">
        <v>558</v>
      </c>
      <c r="AE111" s="836"/>
      <c r="AF111" s="836"/>
      <c r="AG111" s="836"/>
      <c r="AH111" s="836"/>
      <c r="AI111" s="191"/>
      <c r="AJ111" s="836"/>
      <c r="AK111" s="836"/>
      <c r="AL111" s="836"/>
      <c r="AM111" s="836"/>
      <c r="AN111" s="836"/>
      <c r="AO111" s="836"/>
      <c r="AP111" s="836"/>
      <c r="AQ111" s="836"/>
      <c r="AR111" s="836"/>
      <c r="AS111" s="191"/>
      <c r="AT111" s="836"/>
      <c r="AU111" s="836"/>
      <c r="AV111" s="836"/>
      <c r="AW111" s="836"/>
      <c r="AX111" s="836"/>
      <c r="AY111" s="836"/>
      <c r="AZ111" s="836"/>
      <c r="BA111" s="836"/>
      <c r="BB111" s="836"/>
      <c r="BC111" s="826"/>
      <c r="BF111" s="671" t="s">
        <v>781</v>
      </c>
    </row>
    <row r="112" spans="1:58" ht="21.95" hidden="1" customHeight="1" x14ac:dyDescent="0.15">
      <c r="E112" s="461">
        <v>22.5</v>
      </c>
      <c r="F112" s="3" cm="1">
        <f t="array" aca="1" ref="F112" ca="1">OFFSET(E112,-1,1)</f>
        <v>0</v>
      </c>
      <c r="G112" s="17" t="s">
        <v>629</v>
      </c>
      <c r="H112" s="17" t="s">
        <v>334</v>
      </c>
      <c r="T112" s="353" t="b" cm="1">
        <f t="array" ref="T112">T111</f>
        <v>0</v>
      </c>
      <c r="X112" s="990"/>
      <c r="Y112" s="966"/>
      <c r="AB112" s="153" t="s">
        <v>291</v>
      </c>
      <c r="AC112" s="246" t="s">
        <v>782</v>
      </c>
      <c r="AD112" s="12" t="s">
        <v>558</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26"/>
      <c r="BF112" s="671" t="s">
        <v>783</v>
      </c>
    </row>
    <row r="113" spans="5:58" ht="14.65" hidden="1" customHeight="1" x14ac:dyDescent="0.15">
      <c r="E113" s="461">
        <v>15</v>
      </c>
      <c r="F113" s="3" cm="1">
        <f t="array" aca="1" ref="F113" ca="1">OFFSET(E113,-1,1)</f>
        <v>0</v>
      </c>
      <c r="H113" s="17" t="s">
        <v>574</v>
      </c>
      <c r="T113" s="353" t="b" cm="1">
        <f t="array" ref="T113">T112</f>
        <v>0</v>
      </c>
      <c r="X113" s="990"/>
      <c r="Y113" s="966"/>
      <c r="AB113" s="153" t="s">
        <v>575</v>
      </c>
      <c r="AC113" s="127" t="s">
        <v>784</v>
      </c>
      <c r="AD113" s="12" t="s">
        <v>558</v>
      </c>
      <c r="AE113" s="836"/>
      <c r="AF113" s="836"/>
      <c r="AG113" s="836"/>
      <c r="AH113" s="836"/>
      <c r="AI113" s="191"/>
      <c r="AJ113" s="836"/>
      <c r="AK113" s="836"/>
      <c r="AL113" s="836"/>
      <c r="AM113" s="836"/>
      <c r="AN113" s="836"/>
      <c r="AO113" s="836"/>
      <c r="AP113" s="836"/>
      <c r="AQ113" s="836"/>
      <c r="AR113" s="836"/>
      <c r="AS113" s="191"/>
      <c r="AT113" s="836"/>
      <c r="AU113" s="836"/>
      <c r="AV113" s="836"/>
      <c r="AW113" s="836"/>
      <c r="AX113" s="836"/>
      <c r="AY113" s="836"/>
      <c r="AZ113" s="836"/>
      <c r="BA113" s="836"/>
      <c r="BB113" s="836"/>
      <c r="BC113" s="826"/>
      <c r="BF113" s="671" t="s">
        <v>785</v>
      </c>
    </row>
    <row r="114" spans="5:58" ht="14.65" hidden="1" customHeight="1" x14ac:dyDescent="0.15">
      <c r="E114" s="461">
        <v>15</v>
      </c>
      <c r="F114" s="3" cm="1">
        <f t="array" aca="1" ref="F114" ca="1">OFFSET(E114,-1,1)</f>
        <v>0</v>
      </c>
      <c r="H114" s="17" t="s">
        <v>578</v>
      </c>
      <c r="T114" s="353" t="b" cm="1">
        <f t="array" ref="T114">T113</f>
        <v>0</v>
      </c>
      <c r="X114" s="990"/>
      <c r="Y114" s="966"/>
      <c r="AB114" s="153" t="s">
        <v>579</v>
      </c>
      <c r="AC114" s="247" t="s">
        <v>786</v>
      </c>
      <c r="AD114" s="12" t="s">
        <v>558</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26"/>
      <c r="BF114" s="671" t="s">
        <v>787</v>
      </c>
    </row>
    <row r="115" spans="5:58" ht="14.65" hidden="1" customHeight="1" x14ac:dyDescent="0.15">
      <c r="E115" s="461">
        <v>15</v>
      </c>
      <c r="F115" s="3" cm="1">
        <f t="array" aca="1" ref="F115" ca="1">OFFSET(E115,-1,1)</f>
        <v>0</v>
      </c>
      <c r="H115" s="17" t="s">
        <v>788</v>
      </c>
      <c r="T115" s="353" t="b" cm="1">
        <f t="array" ref="T115">T114</f>
        <v>0</v>
      </c>
      <c r="X115" s="990"/>
      <c r="Y115" s="966"/>
      <c r="AB115" s="153" t="s">
        <v>789</v>
      </c>
      <c r="AC115" s="248" t="s">
        <v>636</v>
      </c>
      <c r="AD115" s="12" t="s">
        <v>558</v>
      </c>
      <c r="AE115" s="836"/>
      <c r="AF115" s="836"/>
      <c r="AG115" s="836"/>
      <c r="AH115" s="836"/>
      <c r="AI115" s="191"/>
      <c r="AJ115" s="836"/>
      <c r="AK115" s="836"/>
      <c r="AL115" s="836"/>
      <c r="AM115" s="836"/>
      <c r="AN115" s="836"/>
      <c r="AO115" s="836"/>
      <c r="AP115" s="836"/>
      <c r="AQ115" s="836"/>
      <c r="AR115" s="836"/>
      <c r="AS115" s="191"/>
      <c r="AT115" s="836"/>
      <c r="AU115" s="836"/>
      <c r="AV115" s="836"/>
      <c r="AW115" s="836"/>
      <c r="AX115" s="836"/>
      <c r="AY115" s="836"/>
      <c r="AZ115" s="836"/>
      <c r="BA115" s="836"/>
      <c r="BB115" s="836"/>
      <c r="BC115" s="826"/>
      <c r="BF115" s="671" t="s">
        <v>790</v>
      </c>
    </row>
    <row r="116" spans="5:58" ht="14.65" hidden="1" customHeight="1" x14ac:dyDescent="0.15">
      <c r="E116" s="461">
        <v>15</v>
      </c>
      <c r="F116" s="3" cm="1">
        <f t="array" aca="1" ref="F116" ca="1">OFFSET(E116,-1,1)</f>
        <v>0</v>
      </c>
      <c r="H116" s="17" t="s">
        <v>791</v>
      </c>
      <c r="T116" s="353" t="b" cm="1">
        <f t="array" ref="T116">T115</f>
        <v>0</v>
      </c>
      <c r="X116" s="990"/>
      <c r="Y116" s="966"/>
      <c r="AB116" s="153" t="s">
        <v>792</v>
      </c>
      <c r="AC116" s="248" t="s">
        <v>640</v>
      </c>
      <c r="AD116" s="12" t="s">
        <v>558</v>
      </c>
      <c r="AE116" s="836"/>
      <c r="AF116" s="836"/>
      <c r="AG116" s="836"/>
      <c r="AH116" s="836"/>
      <c r="AI116" s="191"/>
      <c r="AJ116" s="836"/>
      <c r="AK116" s="836"/>
      <c r="AL116" s="836"/>
      <c r="AM116" s="836"/>
      <c r="AN116" s="836"/>
      <c r="AO116" s="836"/>
      <c r="AP116" s="836"/>
      <c r="AQ116" s="836"/>
      <c r="AR116" s="836"/>
      <c r="AS116" s="191"/>
      <c r="AT116" s="836"/>
      <c r="AU116" s="836"/>
      <c r="AV116" s="836"/>
      <c r="AW116" s="836"/>
      <c r="AX116" s="836"/>
      <c r="AY116" s="836"/>
      <c r="AZ116" s="836"/>
      <c r="BA116" s="836"/>
      <c r="BB116" s="836"/>
      <c r="BC116" s="826"/>
      <c r="BF116" s="671" t="s">
        <v>793</v>
      </c>
    </row>
    <row r="117" spans="5:58" ht="21.95" hidden="1" customHeight="1" x14ac:dyDescent="0.15">
      <c r="E117" s="461">
        <v>22.5</v>
      </c>
      <c r="F117" s="3" cm="1">
        <f t="array" aca="1" ref="F117" ca="1">OFFSET(E117,-1,1)</f>
        <v>0</v>
      </c>
      <c r="H117" s="17" t="s">
        <v>794</v>
      </c>
      <c r="T117" s="353" t="b" cm="1">
        <f t="array" ref="T117">T116</f>
        <v>0</v>
      </c>
      <c r="X117" s="990"/>
      <c r="Y117" s="966"/>
      <c r="AB117" s="153" t="s">
        <v>795</v>
      </c>
      <c r="AC117" s="242" t="s">
        <v>599</v>
      </c>
      <c r="AD117" s="12" t="s">
        <v>558</v>
      </c>
      <c r="AE117" s="825"/>
      <c r="AF117" s="825"/>
      <c r="AG117" s="825"/>
      <c r="AH117" s="825"/>
      <c r="AI117" s="188"/>
      <c r="AJ117" s="825"/>
      <c r="AK117" s="825"/>
      <c r="AL117" s="825"/>
      <c r="AM117" s="825"/>
      <c r="AN117" s="825"/>
      <c r="AO117" s="825"/>
      <c r="AP117" s="825"/>
      <c r="AQ117" s="825"/>
      <c r="AR117" s="825"/>
      <c r="AS117" s="188"/>
      <c r="AT117" s="825"/>
      <c r="AU117" s="825"/>
      <c r="AV117" s="825"/>
      <c r="AW117" s="825"/>
      <c r="AX117" s="825"/>
      <c r="AY117" s="825"/>
      <c r="AZ117" s="825"/>
      <c r="BA117" s="825"/>
      <c r="BB117" s="825"/>
      <c r="BC117" s="826"/>
      <c r="BF117" s="671" t="s">
        <v>796</v>
      </c>
    </row>
    <row r="118" spans="5:58" ht="22.9" customHeight="1" x14ac:dyDescent="0.15">
      <c r="E118" s="461">
        <v>15</v>
      </c>
      <c r="F118" s="253" t="str" cm="1">
        <f t="array" ref="F118">X118</f>
        <v>1</v>
      </c>
      <c r="T118" s="353" t="b">
        <f>X118&gt;0</f>
        <v>1</v>
      </c>
      <c r="V118" s="17" t="str" cm="1">
        <f t="array" ref="V118">ИИКА!$AB$32</f>
        <v>Тариф 1 (Водоснабжение) - тариф на техническую воду</v>
      </c>
      <c r="X118" s="990" t="s">
        <v>275</v>
      </c>
      <c r="Y118" s="966"/>
      <c r="AB118" s="94" t="str" cm="1">
        <f t="array" ref="AB118">ИИКА!$AB$32</f>
        <v>Тариф 1 (Водоснабжение) - тариф на техническую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20.45" customHeight="1" x14ac:dyDescent="0.15">
      <c r="E119" s="461">
        <v>15</v>
      </c>
      <c r="F119" s="3" t="str" cm="1">
        <f t="array" aca="1" ref="F119" ca="1">OFFSET(E119,-1,1)</f>
        <v>1</v>
      </c>
      <c r="R119" s="315" t="b" cm="1">
        <f t="array" ref="R119">INDEX('Общие сведения'!$AN$179:$AN$236,MATCH($X118,'Общие сведения'!$Z$179:$Z$236,0))</f>
        <v>0</v>
      </c>
      <c r="S119" s="315" t="b">
        <f>IF(ISERROR(SEARCH("Водоснабжение",AB118)),FALSE,TRUE)</f>
        <v>1</v>
      </c>
      <c r="T119" s="353" t="b">
        <f>AND(X118&gt;0,S119,NOT(R119))</f>
        <v>1</v>
      </c>
      <c r="X119" s="990"/>
      <c r="Y119" s="966"/>
      <c r="AB119" s="153" t="s">
        <v>275</v>
      </c>
      <c r="AC119" s="235" t="s">
        <v>555</v>
      </c>
      <c r="AD119" s="11"/>
      <c r="AE119" s="415" t="str" cm="1">
        <f t="array" ref="AE119">INDEX('Общие сведения'!$AH$179:$AH$236,MATCH($X118,'Общие сведения'!$Z$179:$Z$236,0))</f>
        <v>техническая вода</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113" t="s">
        <v>797</v>
      </c>
      <c r="BF119" s="671" t="s">
        <v>556</v>
      </c>
    </row>
    <row r="120" spans="5:58" ht="19.350000000000001" customHeight="1" x14ac:dyDescent="0.15">
      <c r="E120" s="461">
        <v>15</v>
      </c>
      <c r="F120" s="3" t="str" cm="1">
        <f t="array" aca="1" ref="F120" ca="1">OFFSET(E120,-1,1)</f>
        <v>1</v>
      </c>
      <c r="H120" s="17" t="s">
        <v>335</v>
      </c>
      <c r="T120" s="353" t="b" cm="1">
        <f t="array" ref="T120">T119</f>
        <v>1</v>
      </c>
      <c r="X120" s="990"/>
      <c r="Y120" s="966"/>
      <c r="AB120" s="153" t="s">
        <v>285</v>
      </c>
      <c r="AC120" s="55" t="s">
        <v>557</v>
      </c>
      <c r="AD120" s="12" t="s">
        <v>558</v>
      </c>
      <c r="AE120" s="223">
        <f t="shared" ref="AE120:BB120" si="27">AE129+AE124-AE127</f>
        <v>17161.565999999999</v>
      </c>
      <c r="AF120" s="223">
        <f t="shared" si="27"/>
        <v>17945.460999999999</v>
      </c>
      <c r="AG120" s="223">
        <f t="shared" si="27"/>
        <v>17945.460999999999</v>
      </c>
      <c r="AH120" s="223">
        <f t="shared" si="27"/>
        <v>20279.261910000001</v>
      </c>
      <c r="AI120" s="223">
        <f t="shared" si="27"/>
        <v>22004.04</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19250.848000000002</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113"/>
      <c r="BF120" s="671" t="s">
        <v>559</v>
      </c>
    </row>
    <row r="121" spans="5:58" ht="19.350000000000001" customHeight="1" x14ac:dyDescent="0.15">
      <c r="E121" s="461">
        <v>15</v>
      </c>
      <c r="F121" s="3" t="str" cm="1">
        <f t="array" aca="1" ref="F121" ca="1">OFFSET(E121,-1,1)</f>
        <v>1</v>
      </c>
      <c r="H121" s="17" t="s">
        <v>560</v>
      </c>
      <c r="T121" s="353" t="b" cm="1">
        <f t="array" ref="T121">T120</f>
        <v>1</v>
      </c>
      <c r="X121" s="990"/>
      <c r="Y121" s="966"/>
      <c r="AB121" s="153" t="s">
        <v>561</v>
      </c>
      <c r="AC121" s="105" t="s">
        <v>562</v>
      </c>
      <c r="AD121" s="12" t="s">
        <v>558</v>
      </c>
      <c r="AE121" s="191">
        <v>17161.565999999999</v>
      </c>
      <c r="AF121" s="191">
        <v>17945.460999999999</v>
      </c>
      <c r="AG121" s="191">
        <v>17945.460999999999</v>
      </c>
      <c r="AH121" s="191">
        <v>20279.261910000001</v>
      </c>
      <c r="AI121" s="191">
        <v>22004.04</v>
      </c>
      <c r="AJ121" s="836"/>
      <c r="AK121" s="836"/>
      <c r="AL121" s="191"/>
      <c r="AM121" s="191"/>
      <c r="AN121" s="191"/>
      <c r="AO121" s="191"/>
      <c r="AP121" s="191"/>
      <c r="AQ121" s="191"/>
      <c r="AR121" s="191"/>
      <c r="AS121" s="191">
        <v>19250.848000000002</v>
      </c>
      <c r="AT121" s="836"/>
      <c r="AU121" s="836"/>
      <c r="AV121" s="191"/>
      <c r="AW121" s="191"/>
      <c r="AX121" s="191"/>
      <c r="AY121" s="191"/>
      <c r="AZ121" s="191"/>
      <c r="BA121" s="191"/>
      <c r="BB121" s="191"/>
      <c r="BC121" s="196"/>
      <c r="BF121" s="671" t="s">
        <v>563</v>
      </c>
    </row>
    <row r="122" spans="5:58" ht="14.25" customHeight="1" x14ac:dyDescent="0.15">
      <c r="E122" s="461">
        <v>15</v>
      </c>
      <c r="F122" s="3" t="str" cm="1">
        <f t="array" aca="1" ref="F122" ca="1">OFFSET(E122,-1,1)</f>
        <v>1</v>
      </c>
      <c r="H122" s="17" t="s">
        <v>564</v>
      </c>
      <c r="T122" s="353" t="b" cm="1">
        <f t="array" ref="T122">T121</f>
        <v>1</v>
      </c>
      <c r="X122" s="990"/>
      <c r="Y122" s="966"/>
      <c r="AB122" s="153" t="s">
        <v>565</v>
      </c>
      <c r="AC122" s="105" t="s">
        <v>566</v>
      </c>
      <c r="AD122" s="12" t="s">
        <v>558</v>
      </c>
      <c r="AE122" s="191"/>
      <c r="AF122" s="191"/>
      <c r="AG122" s="191"/>
      <c r="AH122" s="191"/>
      <c r="AI122" s="191"/>
      <c r="AJ122" s="836"/>
      <c r="AK122" s="836"/>
      <c r="AL122" s="191"/>
      <c r="AM122" s="191"/>
      <c r="AN122" s="191"/>
      <c r="AO122" s="191"/>
      <c r="AP122" s="191"/>
      <c r="AQ122" s="191"/>
      <c r="AR122" s="191"/>
      <c r="AS122" s="191"/>
      <c r="AT122" s="836"/>
      <c r="AU122" s="836"/>
      <c r="AV122" s="191"/>
      <c r="AW122" s="191"/>
      <c r="AX122" s="191"/>
      <c r="AY122" s="191"/>
      <c r="AZ122" s="191"/>
      <c r="BA122" s="191"/>
      <c r="BB122" s="191"/>
      <c r="BC122" s="196"/>
      <c r="BF122" s="671" t="s">
        <v>567</v>
      </c>
    </row>
    <row r="123" spans="5:58" ht="21.75" customHeight="1" x14ac:dyDescent="0.15">
      <c r="E123" s="461">
        <v>22.5</v>
      </c>
      <c r="F123" s="3" t="str" cm="1">
        <f t="array" aca="1" ref="F123" ca="1">OFFSET(E123,-1,1)</f>
        <v>1</v>
      </c>
      <c r="H123" s="17" t="s">
        <v>568</v>
      </c>
      <c r="T123" s="353" t="b" cm="1">
        <f t="array" ref="T123">T122</f>
        <v>1</v>
      </c>
      <c r="X123" s="990"/>
      <c r="Y123" s="966"/>
      <c r="AB123" s="153" t="s">
        <v>569</v>
      </c>
      <c r="AC123" s="55" t="s">
        <v>570</v>
      </c>
      <c r="AD123" s="12" t="s">
        <v>558</v>
      </c>
      <c r="AE123" s="191"/>
      <c r="AF123" s="191"/>
      <c r="AG123" s="191"/>
      <c r="AH123" s="191"/>
      <c r="AI123" s="191"/>
      <c r="AJ123" s="836"/>
      <c r="AK123" s="836"/>
      <c r="AL123" s="191"/>
      <c r="AM123" s="191"/>
      <c r="AN123" s="191"/>
      <c r="AO123" s="191"/>
      <c r="AP123" s="191"/>
      <c r="AQ123" s="191"/>
      <c r="AR123" s="191"/>
      <c r="AS123" s="191"/>
      <c r="AT123" s="836"/>
      <c r="AU123" s="836"/>
      <c r="AV123" s="191"/>
      <c r="AW123" s="191"/>
      <c r="AX123" s="191"/>
      <c r="AY123" s="191"/>
      <c r="AZ123" s="191"/>
      <c r="BA123" s="191"/>
      <c r="BB123" s="191"/>
      <c r="BC123" s="196"/>
      <c r="BF123" s="671" t="s">
        <v>571</v>
      </c>
    </row>
    <row r="124" spans="5:58" ht="14.25" customHeight="1" x14ac:dyDescent="0.15">
      <c r="E124" s="461">
        <v>15</v>
      </c>
      <c r="F124" s="3" t="str" cm="1">
        <f t="array" aca="1" ref="F124" ca="1">OFFSET(E124,-1,1)</f>
        <v>1</v>
      </c>
      <c r="H124" s="17" t="s">
        <v>334</v>
      </c>
      <c r="T124" s="353" t="b" cm="1">
        <f t="array" ref="T124">T123</f>
        <v>1</v>
      </c>
      <c r="X124" s="990"/>
      <c r="Y124" s="966"/>
      <c r="AB124" s="153" t="s">
        <v>291</v>
      </c>
      <c r="AC124" s="55" t="s">
        <v>572</v>
      </c>
      <c r="AD124" s="12" t="s">
        <v>558</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196"/>
      <c r="BF124" s="671" t="s">
        <v>573</v>
      </c>
    </row>
    <row r="125" spans="5:58" ht="14.25" customHeight="1" x14ac:dyDescent="0.15">
      <c r="E125" s="461">
        <v>15</v>
      </c>
      <c r="F125" s="3" t="str" cm="1">
        <f t="array" aca="1" ref="F125" ca="1">OFFSET(E125,-1,1)</f>
        <v>1</v>
      </c>
      <c r="H125" s="17" t="s">
        <v>574</v>
      </c>
      <c r="T125" s="353" t="b" cm="1">
        <f t="array" ref="T125">T124</f>
        <v>1</v>
      </c>
      <c r="X125" s="990"/>
      <c r="Y125" s="966"/>
      <c r="AB125" s="153" t="s">
        <v>575</v>
      </c>
      <c r="AC125" s="105" t="s">
        <v>576</v>
      </c>
      <c r="AD125" s="12" t="s">
        <v>558</v>
      </c>
      <c r="AE125" s="191"/>
      <c r="AF125" s="191"/>
      <c r="AG125" s="191"/>
      <c r="AH125" s="191"/>
      <c r="AI125" s="191"/>
      <c r="AJ125" s="836"/>
      <c r="AK125" s="836"/>
      <c r="AL125" s="191"/>
      <c r="AM125" s="191"/>
      <c r="AN125" s="191"/>
      <c r="AO125" s="191"/>
      <c r="AP125" s="191"/>
      <c r="AQ125" s="191"/>
      <c r="AR125" s="191"/>
      <c r="AS125" s="191"/>
      <c r="AT125" s="836"/>
      <c r="AU125" s="836"/>
      <c r="AV125" s="191"/>
      <c r="AW125" s="191"/>
      <c r="AX125" s="191"/>
      <c r="AY125" s="191"/>
      <c r="AZ125" s="191"/>
      <c r="BA125" s="191"/>
      <c r="BB125" s="191"/>
      <c r="BC125" s="196"/>
      <c r="BF125" s="671" t="s">
        <v>577</v>
      </c>
    </row>
    <row r="126" spans="5:58" ht="14.25" customHeight="1" x14ac:dyDescent="0.15">
      <c r="E126" s="461">
        <v>15</v>
      </c>
      <c r="F126" s="3" t="str" cm="1">
        <f t="array" aca="1" ref="F126" ca="1">OFFSET(E126,-1,1)</f>
        <v>1</v>
      </c>
      <c r="H126" s="17" t="s">
        <v>578</v>
      </c>
      <c r="T126" s="353" t="b" cm="1">
        <f t="array" ref="T126">T125</f>
        <v>1</v>
      </c>
      <c r="X126" s="990"/>
      <c r="Y126" s="966"/>
      <c r="AB126" s="153" t="s">
        <v>579</v>
      </c>
      <c r="AC126" s="105" t="s">
        <v>580</v>
      </c>
      <c r="AD126" s="12" t="s">
        <v>558</v>
      </c>
      <c r="AE126" s="191"/>
      <c r="AF126" s="191"/>
      <c r="AG126" s="191"/>
      <c r="AH126" s="191"/>
      <c r="AI126" s="191"/>
      <c r="AJ126" s="836"/>
      <c r="AK126" s="836"/>
      <c r="AL126" s="191"/>
      <c r="AM126" s="191"/>
      <c r="AN126" s="191"/>
      <c r="AO126" s="191"/>
      <c r="AP126" s="191"/>
      <c r="AQ126" s="191"/>
      <c r="AR126" s="191"/>
      <c r="AS126" s="191"/>
      <c r="AT126" s="836"/>
      <c r="AU126" s="836"/>
      <c r="AV126" s="191"/>
      <c r="AW126" s="191"/>
      <c r="AX126" s="191"/>
      <c r="AY126" s="191"/>
      <c r="AZ126" s="191"/>
      <c r="BA126" s="191"/>
      <c r="BB126" s="191"/>
      <c r="BC126" s="196"/>
      <c r="BF126" s="671" t="s">
        <v>581</v>
      </c>
    </row>
    <row r="127" spans="5:58" ht="14.25" customHeight="1" x14ac:dyDescent="0.15">
      <c r="E127" s="461">
        <v>15</v>
      </c>
      <c r="F127" s="3" t="str" cm="1">
        <f t="array" aca="1" ref="F127" ca="1">OFFSET(E127,-1,1)</f>
        <v>1</v>
      </c>
      <c r="H127" s="17" t="s">
        <v>532</v>
      </c>
      <c r="T127" s="353" t="b" cm="1">
        <f t="array" ref="T127">T126</f>
        <v>1</v>
      </c>
      <c r="X127" s="990"/>
      <c r="Y127" s="966"/>
      <c r="AB127" s="153" t="s">
        <v>454</v>
      </c>
      <c r="AC127" s="235" t="s">
        <v>582</v>
      </c>
      <c r="AD127" s="12" t="s">
        <v>558</v>
      </c>
      <c r="AE127" s="188"/>
      <c r="AF127" s="188"/>
      <c r="AG127" s="188"/>
      <c r="AH127" s="188"/>
      <c r="AI127" s="188"/>
      <c r="AJ127" s="825"/>
      <c r="AK127" s="825"/>
      <c r="AL127" s="188"/>
      <c r="AM127" s="188"/>
      <c r="AN127" s="188"/>
      <c r="AO127" s="188"/>
      <c r="AP127" s="188"/>
      <c r="AQ127" s="188"/>
      <c r="AR127" s="188"/>
      <c r="AS127" s="188"/>
      <c r="AT127" s="825"/>
      <c r="AU127" s="825"/>
      <c r="AV127" s="188"/>
      <c r="AW127" s="188"/>
      <c r="AX127" s="188"/>
      <c r="AY127" s="188"/>
      <c r="AZ127" s="188"/>
      <c r="BA127" s="188"/>
      <c r="BB127" s="188"/>
      <c r="BC127" s="196"/>
      <c r="BF127" s="671" t="s">
        <v>583</v>
      </c>
    </row>
    <row r="128" spans="5:58" ht="14.25" customHeight="1" x14ac:dyDescent="0.15">
      <c r="E128" s="461">
        <v>15</v>
      </c>
      <c r="F128" s="3" t="str" cm="1">
        <f t="array" aca="1" ref="F128" ca="1">OFFSET(E128,-1,1)</f>
        <v>1</v>
      </c>
      <c r="H128" s="17" t="s">
        <v>535</v>
      </c>
      <c r="T128" s="353" t="b" cm="1">
        <f t="array" ref="T128">T127</f>
        <v>1</v>
      </c>
      <c r="X128" s="990"/>
      <c r="Y128" s="966"/>
      <c r="AB128" s="153" t="s">
        <v>460</v>
      </c>
      <c r="AC128" s="235" t="s">
        <v>584</v>
      </c>
      <c r="AD128" s="12" t="s">
        <v>558</v>
      </c>
      <c r="AE128" s="191"/>
      <c r="AF128" s="191"/>
      <c r="AG128" s="191"/>
      <c r="AH128" s="191"/>
      <c r="AI128" s="191"/>
      <c r="AJ128" s="836"/>
      <c r="AK128" s="836"/>
      <c r="AL128" s="191"/>
      <c r="AM128" s="191"/>
      <c r="AN128" s="191"/>
      <c r="AO128" s="191"/>
      <c r="AP128" s="191"/>
      <c r="AQ128" s="191"/>
      <c r="AR128" s="191"/>
      <c r="AS128" s="191"/>
      <c r="AT128" s="836"/>
      <c r="AU128" s="836"/>
      <c r="AV128" s="191"/>
      <c r="AW128" s="191"/>
      <c r="AX128" s="191"/>
      <c r="AY128" s="191"/>
      <c r="AZ128" s="191"/>
      <c r="BA128" s="191"/>
      <c r="BB128" s="191"/>
      <c r="BC128" s="196"/>
      <c r="BF128" s="671" t="s">
        <v>585</v>
      </c>
    </row>
    <row r="129" spans="5:58" ht="14.25" customHeight="1" x14ac:dyDescent="0.15">
      <c r="E129" s="461">
        <v>15</v>
      </c>
      <c r="F129" s="3" t="str" cm="1">
        <f t="array" aca="1" ref="F129" ca="1">OFFSET(E129,-1,1)</f>
        <v>1</v>
      </c>
      <c r="H129" s="17" t="s">
        <v>586</v>
      </c>
      <c r="T129" s="353" t="b" cm="1">
        <f t="array" ref="T129">T128</f>
        <v>1</v>
      </c>
      <c r="X129" s="990"/>
      <c r="Y129" s="966"/>
      <c r="AB129" s="153" t="s">
        <v>536</v>
      </c>
      <c r="AC129" s="55" t="s">
        <v>587</v>
      </c>
      <c r="AD129" s="12" t="s">
        <v>558</v>
      </c>
      <c r="AE129" s="223">
        <f t="shared" ref="AE129:BB129" si="29">AE135+AE133</f>
        <v>17161.565999999999</v>
      </c>
      <c r="AF129" s="223">
        <f t="shared" si="29"/>
        <v>17945.460999999999</v>
      </c>
      <c r="AG129" s="223">
        <f t="shared" si="29"/>
        <v>17945.460999999999</v>
      </c>
      <c r="AH129" s="223">
        <f t="shared" si="29"/>
        <v>20279.261910000001</v>
      </c>
      <c r="AI129" s="223">
        <f t="shared" si="29"/>
        <v>22004.04</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19250.848000000002</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196"/>
      <c r="BF129" s="671" t="s">
        <v>588</v>
      </c>
    </row>
    <row r="130" spans="5:58" ht="21.95" customHeight="1" x14ac:dyDescent="0.15">
      <c r="E130" s="461">
        <v>22.5</v>
      </c>
      <c r="F130" s="3" t="str" cm="1">
        <f t="array" aca="1" ref="F130" ca="1">OFFSET(E130,-1,1)</f>
        <v>1</v>
      </c>
      <c r="H130" s="17" t="s">
        <v>589</v>
      </c>
      <c r="T130" s="353" t="b" cm="1">
        <f t="array" ref="T130">T129</f>
        <v>1</v>
      </c>
      <c r="X130" s="990"/>
      <c r="Y130" s="966"/>
      <c r="AB130" s="153" t="s">
        <v>590</v>
      </c>
      <c r="AC130" s="105" t="s">
        <v>591</v>
      </c>
      <c r="AD130" s="12" t="s">
        <v>558</v>
      </c>
      <c r="AE130" s="191">
        <v>17161.565999999999</v>
      </c>
      <c r="AF130" s="191">
        <v>17945.460999999999</v>
      </c>
      <c r="AG130" s="191">
        <v>17945.460999999999</v>
      </c>
      <c r="AH130" s="191">
        <v>20279.261910000001</v>
      </c>
      <c r="AI130" s="191">
        <v>22004.04</v>
      </c>
      <c r="AJ130" s="836"/>
      <c r="AK130" s="836"/>
      <c r="AL130" s="191"/>
      <c r="AM130" s="191"/>
      <c r="AN130" s="191"/>
      <c r="AO130" s="191"/>
      <c r="AP130" s="191"/>
      <c r="AQ130" s="191"/>
      <c r="AR130" s="191"/>
      <c r="AS130" s="191">
        <v>19250.848000000002</v>
      </c>
      <c r="AT130" s="836"/>
      <c r="AU130" s="836"/>
      <c r="AV130" s="191"/>
      <c r="AW130" s="191"/>
      <c r="AX130" s="191"/>
      <c r="AY130" s="191"/>
      <c r="AZ130" s="191"/>
      <c r="BA130" s="191"/>
      <c r="BB130" s="191"/>
      <c r="BC130" s="196"/>
      <c r="BF130" s="671" t="s">
        <v>592</v>
      </c>
    </row>
    <row r="131" spans="5:58" ht="14.25" customHeight="1" x14ac:dyDescent="0.15">
      <c r="E131" s="461">
        <v>15</v>
      </c>
      <c r="F131" s="3" t="str" cm="1">
        <f t="array" aca="1" ref="F131" ca="1">OFFSET(E131,-1,1)</f>
        <v>1</v>
      </c>
      <c r="H131" s="17" t="s">
        <v>593</v>
      </c>
      <c r="T131" s="353" t="b" cm="1">
        <f t="array" ref="T131">T130</f>
        <v>1</v>
      </c>
      <c r="X131" s="990"/>
      <c r="Y131" s="966"/>
      <c r="AB131" s="153" t="s">
        <v>594</v>
      </c>
      <c r="AC131" s="105" t="s">
        <v>595</v>
      </c>
      <c r="AD131" s="12" t="s">
        <v>558</v>
      </c>
      <c r="AE131" s="191"/>
      <c r="AF131" s="191"/>
      <c r="AG131" s="191"/>
      <c r="AH131" s="191"/>
      <c r="AI131" s="191"/>
      <c r="AJ131" s="836"/>
      <c r="AK131" s="836"/>
      <c r="AL131" s="191"/>
      <c r="AM131" s="191"/>
      <c r="AN131" s="191"/>
      <c r="AO131" s="191"/>
      <c r="AP131" s="191"/>
      <c r="AQ131" s="191"/>
      <c r="AR131" s="191"/>
      <c r="AS131" s="191"/>
      <c r="AT131" s="836"/>
      <c r="AU131" s="836"/>
      <c r="AV131" s="191"/>
      <c r="AW131" s="191"/>
      <c r="AX131" s="191"/>
      <c r="AY131" s="191"/>
      <c r="AZ131" s="191"/>
      <c r="BA131" s="191"/>
      <c r="BB131" s="191"/>
      <c r="BC131" s="196"/>
      <c r="BF131" s="671" t="s">
        <v>596</v>
      </c>
    </row>
    <row r="132" spans="5:58" ht="21.75" customHeight="1" x14ac:dyDescent="0.15">
      <c r="E132" s="461">
        <v>22.5</v>
      </c>
      <c r="F132" s="3" t="str" cm="1">
        <f t="array" aca="1" ref="F132" ca="1">OFFSET(E132,-1,1)</f>
        <v>1</v>
      </c>
      <c r="H132" s="17" t="s">
        <v>597</v>
      </c>
      <c r="T132" s="353" t="b" cm="1">
        <f t="array" ref="T132">T131</f>
        <v>1</v>
      </c>
      <c r="X132" s="990"/>
      <c r="Y132" s="966"/>
      <c r="AB132" s="153" t="s">
        <v>598</v>
      </c>
      <c r="AC132" s="105" t="s">
        <v>599</v>
      </c>
      <c r="AD132" s="12" t="s">
        <v>558</v>
      </c>
      <c r="AE132" s="191"/>
      <c r="AF132" s="191"/>
      <c r="AG132" s="191"/>
      <c r="AH132" s="191"/>
      <c r="AI132" s="191"/>
      <c r="AJ132" s="836"/>
      <c r="AK132" s="836"/>
      <c r="AL132" s="191"/>
      <c r="AM132" s="191"/>
      <c r="AN132" s="191"/>
      <c r="AO132" s="191"/>
      <c r="AP132" s="191"/>
      <c r="AQ132" s="191"/>
      <c r="AR132" s="191"/>
      <c r="AS132" s="191"/>
      <c r="AT132" s="836"/>
      <c r="AU132" s="836"/>
      <c r="AV132" s="191"/>
      <c r="AW132" s="191"/>
      <c r="AX132" s="191"/>
      <c r="AY132" s="191"/>
      <c r="AZ132" s="191"/>
      <c r="BA132" s="191"/>
      <c r="BB132" s="191"/>
      <c r="BC132" s="196"/>
      <c r="BF132" s="671" t="s">
        <v>600</v>
      </c>
    </row>
    <row r="133" spans="5:58" ht="20.65" customHeight="1" x14ac:dyDescent="0.15">
      <c r="E133" s="461">
        <v>15</v>
      </c>
      <c r="F133" s="3" t="str" cm="1">
        <f t="array" aca="1" ref="F133" ca="1">OFFSET(E133,-1,1)</f>
        <v>1</v>
      </c>
      <c r="H133" s="17" t="s">
        <v>601</v>
      </c>
      <c r="T133" s="353" t="b" cm="1">
        <f t="array" ref="T133">T132</f>
        <v>1</v>
      </c>
      <c r="X133" s="990"/>
      <c r="Y133" s="966"/>
      <c r="AB133" s="153" t="s">
        <v>602</v>
      </c>
      <c r="AC133" s="235" t="s">
        <v>603</v>
      </c>
      <c r="AD133" s="12" t="s">
        <v>558</v>
      </c>
      <c r="AE133" s="191">
        <v>0</v>
      </c>
      <c r="AF133" s="191">
        <v>0</v>
      </c>
      <c r="AG133" s="191">
        <v>0</v>
      </c>
      <c r="AH133" s="191">
        <v>0</v>
      </c>
      <c r="AI133" s="191">
        <v>0</v>
      </c>
      <c r="AJ133" s="836"/>
      <c r="AK133" s="836"/>
      <c r="AL133" s="191"/>
      <c r="AM133" s="191"/>
      <c r="AN133" s="191"/>
      <c r="AO133" s="191"/>
      <c r="AP133" s="191"/>
      <c r="AQ133" s="191"/>
      <c r="AR133" s="191"/>
      <c r="AS133" s="191">
        <v>0</v>
      </c>
      <c r="AT133" s="836"/>
      <c r="AU133" s="836"/>
      <c r="AV133" s="191"/>
      <c r="AW133" s="191"/>
      <c r="AX133" s="191"/>
      <c r="AY133" s="191"/>
      <c r="AZ133" s="191"/>
      <c r="BA133" s="191"/>
      <c r="BB133" s="191"/>
      <c r="BC133" s="196"/>
      <c r="BF133" s="671" t="s">
        <v>604</v>
      </c>
    </row>
    <row r="134" spans="5:58" ht="59.25" customHeight="1" x14ac:dyDescent="0.15">
      <c r="E134" s="461">
        <v>15</v>
      </c>
      <c r="F134" s="3" t="str" cm="1">
        <f t="array" aca="1" ref="F134" ca="1">OFFSET(E134,-1,1)</f>
        <v>1</v>
      </c>
      <c r="H134" s="17" t="s">
        <v>605</v>
      </c>
      <c r="T134" s="353" t="b" cm="1">
        <f t="array" ref="T134">T133</f>
        <v>1</v>
      </c>
      <c r="X134" s="990"/>
      <c r="Y134" s="966"/>
      <c r="AB134" s="153" t="s">
        <v>606</v>
      </c>
      <c r="AC134" s="236" t="s">
        <v>607</v>
      </c>
      <c r="AD134" s="12" t="s">
        <v>476</v>
      </c>
      <c r="AE134" s="57">
        <f t="shared" ref="AE134:BB134" si="30">IF(AE129=0,0,AE133/AE129*100)</f>
        <v>0</v>
      </c>
      <c r="AF134" s="57">
        <f t="shared" si="30"/>
        <v>0</v>
      </c>
      <c r="AG134" s="57">
        <f t="shared" si="30"/>
        <v>0</v>
      </c>
      <c r="AH134" s="57">
        <f t="shared" si="30"/>
        <v>0</v>
      </c>
      <c r="AI134" s="57">
        <f t="shared" si="30"/>
        <v>0</v>
      </c>
      <c r="AJ134" s="820">
        <f t="shared" si="30"/>
        <v>0</v>
      </c>
      <c r="AK134" s="820">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0</v>
      </c>
      <c r="AT134" s="820">
        <f t="shared" si="30"/>
        <v>0</v>
      </c>
      <c r="AU134" s="820">
        <f t="shared" si="30"/>
        <v>0</v>
      </c>
      <c r="AV134" s="57">
        <f t="shared" si="30"/>
        <v>0</v>
      </c>
      <c r="AW134" s="57">
        <f t="shared" si="30"/>
        <v>0</v>
      </c>
      <c r="AX134" s="57">
        <f t="shared" si="30"/>
        <v>0</v>
      </c>
      <c r="AY134" s="57">
        <f t="shared" si="30"/>
        <v>0</v>
      </c>
      <c r="AZ134" s="57">
        <f t="shared" si="30"/>
        <v>0</v>
      </c>
      <c r="BA134" s="57">
        <f t="shared" si="30"/>
        <v>0</v>
      </c>
      <c r="BB134" s="57">
        <f t="shared" si="30"/>
        <v>0</v>
      </c>
      <c r="BC134" s="196" t="s">
        <v>798</v>
      </c>
      <c r="BF134" s="671" t="s">
        <v>608</v>
      </c>
    </row>
    <row r="135" spans="5:58" ht="32.65" customHeight="1" x14ac:dyDescent="0.15">
      <c r="E135" s="461">
        <v>15</v>
      </c>
      <c r="F135" s="3" t="str" cm="1">
        <f t="array" aca="1" ref="F135" ca="1">OFFSET(E135,-1,1)</f>
        <v>1</v>
      </c>
      <c r="H135" s="17" t="s">
        <v>609</v>
      </c>
      <c r="T135" s="353" t="b" cm="1">
        <f t="array" ref="T135">T134</f>
        <v>1</v>
      </c>
      <c r="X135" s="990"/>
      <c r="Y135" s="966"/>
      <c r="AB135" s="153" t="s">
        <v>610</v>
      </c>
      <c r="AC135" s="235" t="s">
        <v>611</v>
      </c>
      <c r="AD135" s="12" t="s">
        <v>558</v>
      </c>
      <c r="AE135" s="223">
        <f t="shared" ref="AE135:BB135" si="31">AE136+AE140+AE143+AE153</f>
        <v>17161.565999999999</v>
      </c>
      <c r="AF135" s="223">
        <f t="shared" si="31"/>
        <v>17945.460999999999</v>
      </c>
      <c r="AG135" s="223">
        <f t="shared" si="31"/>
        <v>17945.460999999999</v>
      </c>
      <c r="AH135" s="223">
        <f t="shared" si="31"/>
        <v>20279.261910000001</v>
      </c>
      <c r="AI135" s="223">
        <f t="shared" si="31"/>
        <v>22004.04</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19250.848000000002</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196"/>
      <c r="BF135" s="671" t="s">
        <v>612</v>
      </c>
    </row>
    <row r="136" spans="5:58" ht="21.2" customHeight="1" x14ac:dyDescent="0.15">
      <c r="E136" s="461">
        <v>15</v>
      </c>
      <c r="F136" s="3" t="str" cm="1">
        <f t="array" aca="1" ref="F136" ca="1">OFFSET(E136,-1,1)</f>
        <v>1</v>
      </c>
      <c r="G136" s="17" t="str">
        <f>IF(OwnNeedsInPO="да","ПО","")</f>
        <v/>
      </c>
      <c r="H136" s="17" t="s">
        <v>613</v>
      </c>
      <c r="T136" s="353" t="b" cm="1">
        <f t="array" ref="T136">T135</f>
        <v>1</v>
      </c>
      <c r="X136" s="990"/>
      <c r="Y136" s="966"/>
      <c r="AB136" s="153" t="s">
        <v>614</v>
      </c>
      <c r="AC136" s="105" t="s">
        <v>615</v>
      </c>
      <c r="AD136" s="12" t="s">
        <v>558</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196"/>
      <c r="BF136" s="671" t="s">
        <v>616</v>
      </c>
    </row>
    <row r="137" spans="5:58" ht="14.25" customHeight="1" x14ac:dyDescent="0.15">
      <c r="E137" s="461">
        <v>15</v>
      </c>
      <c r="F137" s="3" t="str" cm="1">
        <f t="array" aca="1" ref="F137" ca="1">OFFSET(E137,-1,1)</f>
        <v>1</v>
      </c>
      <c r="H137" s="17" t="s">
        <v>617</v>
      </c>
      <c r="T137" s="353" t="b" cm="1">
        <f t="array" ref="T137">T136</f>
        <v>1</v>
      </c>
      <c r="X137" s="990"/>
      <c r="Y137" s="966"/>
      <c r="AB137" s="153" t="s">
        <v>618</v>
      </c>
      <c r="AC137" s="237" t="s">
        <v>619</v>
      </c>
      <c r="AD137" s="12" t="s">
        <v>558</v>
      </c>
      <c r="AE137" s="191"/>
      <c r="AF137" s="191"/>
      <c r="AG137" s="191"/>
      <c r="AH137" s="191"/>
      <c r="AI137" s="191"/>
      <c r="AJ137" s="836"/>
      <c r="AK137" s="836"/>
      <c r="AL137" s="191"/>
      <c r="AM137" s="191"/>
      <c r="AN137" s="191"/>
      <c r="AO137" s="191"/>
      <c r="AP137" s="191"/>
      <c r="AQ137" s="191"/>
      <c r="AR137" s="191"/>
      <c r="AS137" s="191"/>
      <c r="AT137" s="836"/>
      <c r="AU137" s="836"/>
      <c r="AV137" s="191"/>
      <c r="AW137" s="191"/>
      <c r="AX137" s="191"/>
      <c r="AY137" s="191"/>
      <c r="AZ137" s="191"/>
      <c r="BA137" s="191"/>
      <c r="BB137" s="191"/>
      <c r="BC137" s="196"/>
      <c r="BF137" s="671" t="s">
        <v>620</v>
      </c>
    </row>
    <row r="138" spans="5:58" ht="14.25" customHeight="1" x14ac:dyDescent="0.15">
      <c r="E138" s="461">
        <v>15</v>
      </c>
      <c r="F138" s="3" t="str" cm="1">
        <f t="array" aca="1" ref="F138" ca="1">OFFSET(E138,-1,1)</f>
        <v>1</v>
      </c>
      <c r="H138" s="17" t="s">
        <v>621</v>
      </c>
      <c r="T138" s="353" t="b" cm="1">
        <f t="array" ref="T138">T137</f>
        <v>1</v>
      </c>
      <c r="X138" s="990"/>
      <c r="Y138" s="966"/>
      <c r="AB138" s="153" t="s">
        <v>622</v>
      </c>
      <c r="AC138" s="237" t="s">
        <v>623</v>
      </c>
      <c r="AD138" s="12" t="s">
        <v>558</v>
      </c>
      <c r="AE138" s="191"/>
      <c r="AF138" s="191"/>
      <c r="AG138" s="191"/>
      <c r="AH138" s="191"/>
      <c r="AI138" s="191"/>
      <c r="AJ138" s="836"/>
      <c r="AK138" s="836"/>
      <c r="AL138" s="191"/>
      <c r="AM138" s="191"/>
      <c r="AN138" s="191"/>
      <c r="AO138" s="191"/>
      <c r="AP138" s="191"/>
      <c r="AQ138" s="191"/>
      <c r="AR138" s="191"/>
      <c r="AS138" s="191"/>
      <c r="AT138" s="836"/>
      <c r="AU138" s="836"/>
      <c r="AV138" s="191"/>
      <c r="AW138" s="191"/>
      <c r="AX138" s="191"/>
      <c r="AY138" s="191"/>
      <c r="AZ138" s="191"/>
      <c r="BA138" s="191"/>
      <c r="BB138" s="191"/>
      <c r="BC138" s="196"/>
      <c r="BF138" s="671" t="s">
        <v>624</v>
      </c>
    </row>
    <row r="139" spans="5:58" ht="14.25" customHeight="1" x14ac:dyDescent="0.15">
      <c r="E139" s="461">
        <v>15</v>
      </c>
      <c r="F139" s="3" t="str" cm="1">
        <f t="array" aca="1" ref="F139" ca="1">OFFSET(E139,-1,1)</f>
        <v>1</v>
      </c>
      <c r="H139" s="17" t="s">
        <v>625</v>
      </c>
      <c r="T139" s="353" t="b" cm="1">
        <f t="array" ref="T139">T138</f>
        <v>1</v>
      </c>
      <c r="X139" s="990"/>
      <c r="Y139" s="966"/>
      <c r="AB139" s="153" t="s">
        <v>626</v>
      </c>
      <c r="AC139" s="237" t="s">
        <v>627</v>
      </c>
      <c r="AD139" s="12" t="s">
        <v>558</v>
      </c>
      <c r="AE139" s="191"/>
      <c r="AF139" s="191"/>
      <c r="AG139" s="191"/>
      <c r="AH139" s="191"/>
      <c r="AI139" s="191"/>
      <c r="AJ139" s="836"/>
      <c r="AK139" s="836"/>
      <c r="AL139" s="191"/>
      <c r="AM139" s="191"/>
      <c r="AN139" s="191"/>
      <c r="AO139" s="191"/>
      <c r="AP139" s="191"/>
      <c r="AQ139" s="191"/>
      <c r="AR139" s="191"/>
      <c r="AS139" s="191"/>
      <c r="AT139" s="836"/>
      <c r="AU139" s="836"/>
      <c r="AV139" s="191"/>
      <c r="AW139" s="191"/>
      <c r="AX139" s="191"/>
      <c r="AY139" s="191"/>
      <c r="AZ139" s="191"/>
      <c r="BA139" s="191"/>
      <c r="BB139" s="191"/>
      <c r="BC139" s="196"/>
      <c r="BF139" s="671" t="s">
        <v>628</v>
      </c>
    </row>
    <row r="140" spans="5:58" ht="14.25" customHeight="1" x14ac:dyDescent="0.15">
      <c r="E140" s="461">
        <v>15</v>
      </c>
      <c r="F140" s="3" t="str" cm="1">
        <f t="array" aca="1" ref="F140" ca="1">OFFSET(E140,-1,1)</f>
        <v>1</v>
      </c>
      <c r="G140" s="17" t="s">
        <v>629</v>
      </c>
      <c r="H140" s="17" t="s">
        <v>630</v>
      </c>
      <c r="T140" s="353" t="b" cm="1">
        <f t="array" ref="T140">T139</f>
        <v>1</v>
      </c>
      <c r="X140" s="990"/>
      <c r="Y140" s="966"/>
      <c r="AB140" s="153" t="s">
        <v>631</v>
      </c>
      <c r="AC140" s="105" t="s">
        <v>632</v>
      </c>
      <c r="AD140" s="12" t="s">
        <v>558</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196"/>
      <c r="BF140" s="671" t="s">
        <v>633</v>
      </c>
    </row>
    <row r="141" spans="5:58" ht="14.25" customHeight="1" x14ac:dyDescent="0.15">
      <c r="E141" s="461">
        <v>15</v>
      </c>
      <c r="F141" s="3" t="str" cm="1">
        <f t="array" aca="1" ref="F141" ca="1">OFFSET(E141,-1,1)</f>
        <v>1</v>
      </c>
      <c r="H141" s="17" t="s">
        <v>634</v>
      </c>
      <c r="T141" s="353" t="b" cm="1">
        <f t="array" ref="T141">T140</f>
        <v>1</v>
      </c>
      <c r="X141" s="990"/>
      <c r="Y141" s="966"/>
      <c r="AB141" s="153" t="s">
        <v>635</v>
      </c>
      <c r="AC141" s="237" t="s">
        <v>636</v>
      </c>
      <c r="AD141" s="12" t="s">
        <v>558</v>
      </c>
      <c r="AE141" s="191"/>
      <c r="AF141" s="191"/>
      <c r="AG141" s="191"/>
      <c r="AH141" s="191"/>
      <c r="AI141" s="191"/>
      <c r="AJ141" s="836"/>
      <c r="AK141" s="836"/>
      <c r="AL141" s="191"/>
      <c r="AM141" s="191"/>
      <c r="AN141" s="191"/>
      <c r="AO141" s="191"/>
      <c r="AP141" s="191"/>
      <c r="AQ141" s="191"/>
      <c r="AR141" s="191"/>
      <c r="AS141" s="191"/>
      <c r="AT141" s="836"/>
      <c r="AU141" s="836"/>
      <c r="AV141" s="191"/>
      <c r="AW141" s="191"/>
      <c r="AX141" s="191"/>
      <c r="AY141" s="191"/>
      <c r="AZ141" s="191"/>
      <c r="BA141" s="191"/>
      <c r="BB141" s="191"/>
      <c r="BC141" s="196"/>
      <c r="BF141" s="671" t="s">
        <v>637</v>
      </c>
    </row>
    <row r="142" spans="5:58" ht="14.25" customHeight="1" x14ac:dyDescent="0.15">
      <c r="E142" s="461">
        <v>15</v>
      </c>
      <c r="F142" s="3" t="str" cm="1">
        <f t="array" aca="1" ref="F142" ca="1">OFFSET(E142,-1,1)</f>
        <v>1</v>
      </c>
      <c r="H142" s="17" t="s">
        <v>638</v>
      </c>
      <c r="T142" s="353" t="b" cm="1">
        <f t="array" ref="T142">T141</f>
        <v>1</v>
      </c>
      <c r="X142" s="990"/>
      <c r="Y142" s="966"/>
      <c r="AB142" s="153" t="s">
        <v>639</v>
      </c>
      <c r="AC142" s="237" t="s">
        <v>640</v>
      </c>
      <c r="AD142" s="12" t="s">
        <v>558</v>
      </c>
      <c r="AE142" s="191"/>
      <c r="AF142" s="191"/>
      <c r="AG142" s="191"/>
      <c r="AH142" s="191"/>
      <c r="AI142" s="191"/>
      <c r="AJ142" s="836"/>
      <c r="AK142" s="836"/>
      <c r="AL142" s="191"/>
      <c r="AM142" s="191"/>
      <c r="AN142" s="191"/>
      <c r="AO142" s="191"/>
      <c r="AP142" s="191"/>
      <c r="AQ142" s="191"/>
      <c r="AR142" s="191"/>
      <c r="AS142" s="191"/>
      <c r="AT142" s="836"/>
      <c r="AU142" s="836"/>
      <c r="AV142" s="191"/>
      <c r="AW142" s="191"/>
      <c r="AX142" s="191"/>
      <c r="AY142" s="191"/>
      <c r="AZ142" s="191"/>
      <c r="BA142" s="191"/>
      <c r="BB142" s="191"/>
      <c r="BC142" s="196"/>
      <c r="BF142" s="671" t="s">
        <v>641</v>
      </c>
    </row>
    <row r="143" spans="5:58" ht="24" customHeight="1" x14ac:dyDescent="0.15">
      <c r="E143" s="461">
        <v>15</v>
      </c>
      <c r="F143" s="3" t="str" cm="1">
        <f t="array" aca="1" ref="F143" ca="1">OFFSET(E143,-1,1)</f>
        <v>1</v>
      </c>
      <c r="G143" s="17" t="s">
        <v>629</v>
      </c>
      <c r="H143" s="17" t="s">
        <v>642</v>
      </c>
      <c r="T143" s="353" t="b" cm="1">
        <f t="array" ref="T143">T142</f>
        <v>1</v>
      </c>
      <c r="X143" s="990"/>
      <c r="Y143" s="966"/>
      <c r="AB143" s="153" t="s">
        <v>643</v>
      </c>
      <c r="AC143" s="105" t="s">
        <v>644</v>
      </c>
      <c r="AD143" s="12" t="s">
        <v>558</v>
      </c>
      <c r="AE143" s="223">
        <f t="shared" ref="AE143:BB143" si="34">AE144+AE147+AE150</f>
        <v>17161.565999999999</v>
      </c>
      <c r="AF143" s="223">
        <f t="shared" si="34"/>
        <v>17945.460999999999</v>
      </c>
      <c r="AG143" s="223">
        <f t="shared" si="34"/>
        <v>17945.460999999999</v>
      </c>
      <c r="AH143" s="223">
        <f t="shared" si="34"/>
        <v>20279.261910000001</v>
      </c>
      <c r="AI143" s="223">
        <f t="shared" si="34"/>
        <v>22004.04</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19250.848000000002</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196"/>
      <c r="BF143" s="671" t="s">
        <v>645</v>
      </c>
    </row>
    <row r="144" spans="5:58" ht="14.25" customHeight="1" x14ac:dyDescent="0.15">
      <c r="E144" s="461">
        <v>15</v>
      </c>
      <c r="F144" s="3" t="str" cm="1">
        <f t="array" aca="1" ref="F144" ca="1">OFFSET(E144,-1,1)</f>
        <v>1</v>
      </c>
      <c r="H144" s="17" t="s">
        <v>646</v>
      </c>
      <c r="T144" s="353" t="b" cm="1">
        <f t="array" ref="T144">T143</f>
        <v>1</v>
      </c>
      <c r="X144" s="990"/>
      <c r="Y144" s="966"/>
      <c r="AB144" s="153" t="s">
        <v>647</v>
      </c>
      <c r="AC144" s="237" t="s">
        <v>648</v>
      </c>
      <c r="AD144" s="12" t="s">
        <v>558</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196"/>
      <c r="BF144" s="671" t="s">
        <v>649</v>
      </c>
    </row>
    <row r="145" spans="1:58" ht="14.25" customHeight="1" x14ac:dyDescent="0.15">
      <c r="E145" s="461">
        <v>15</v>
      </c>
      <c r="F145" s="3" t="str" cm="1">
        <f t="array" aca="1" ref="F145" ca="1">OFFSET(E145,-1,1)</f>
        <v>1</v>
      </c>
      <c r="H145" s="17" t="s">
        <v>650</v>
      </c>
      <c r="T145" s="353" t="b" cm="1">
        <f t="array" ref="T145">T144</f>
        <v>1</v>
      </c>
      <c r="X145" s="990"/>
      <c r="Y145" s="966"/>
      <c r="AB145" s="153" t="s">
        <v>651</v>
      </c>
      <c r="AC145" s="238" t="s">
        <v>636</v>
      </c>
      <c r="AD145" s="12" t="s">
        <v>558</v>
      </c>
      <c r="AE145" s="191"/>
      <c r="AF145" s="191"/>
      <c r="AG145" s="191"/>
      <c r="AH145" s="191"/>
      <c r="AI145" s="191"/>
      <c r="AJ145" s="836"/>
      <c r="AK145" s="836"/>
      <c r="AL145" s="191"/>
      <c r="AM145" s="191"/>
      <c r="AN145" s="191"/>
      <c r="AO145" s="191"/>
      <c r="AP145" s="191"/>
      <c r="AQ145" s="191"/>
      <c r="AR145" s="191"/>
      <c r="AS145" s="191"/>
      <c r="AT145" s="836"/>
      <c r="AU145" s="836"/>
      <c r="AV145" s="191"/>
      <c r="AW145" s="191"/>
      <c r="AX145" s="191"/>
      <c r="AY145" s="191"/>
      <c r="AZ145" s="191"/>
      <c r="BA145" s="191"/>
      <c r="BB145" s="191"/>
      <c r="BC145" s="196"/>
      <c r="BF145" s="671" t="s">
        <v>652</v>
      </c>
    </row>
    <row r="146" spans="1:58" ht="14.25" customHeight="1" x14ac:dyDescent="0.15">
      <c r="E146" s="461">
        <v>15</v>
      </c>
      <c r="F146" s="3" t="str" cm="1">
        <f t="array" aca="1" ref="F146" ca="1">OFFSET(E146,-1,1)</f>
        <v>1</v>
      </c>
      <c r="H146" s="17" t="s">
        <v>653</v>
      </c>
      <c r="T146" s="353" t="b" cm="1">
        <f t="array" ref="T146">T145</f>
        <v>1</v>
      </c>
      <c r="X146" s="990"/>
      <c r="Y146" s="966"/>
      <c r="AB146" s="153" t="s">
        <v>654</v>
      </c>
      <c r="AC146" s="238" t="s">
        <v>640</v>
      </c>
      <c r="AD146" s="12" t="s">
        <v>558</v>
      </c>
      <c r="AE146" s="191"/>
      <c r="AF146" s="191"/>
      <c r="AG146" s="191"/>
      <c r="AH146" s="191"/>
      <c r="AI146" s="191"/>
      <c r="AJ146" s="836"/>
      <c r="AK146" s="836"/>
      <c r="AL146" s="191"/>
      <c r="AM146" s="191"/>
      <c r="AN146" s="191"/>
      <c r="AO146" s="191"/>
      <c r="AP146" s="191"/>
      <c r="AQ146" s="191"/>
      <c r="AR146" s="191"/>
      <c r="AS146" s="191"/>
      <c r="AT146" s="836"/>
      <c r="AU146" s="836"/>
      <c r="AV146" s="191"/>
      <c r="AW146" s="191"/>
      <c r="AX146" s="191"/>
      <c r="AY146" s="191"/>
      <c r="AZ146" s="191"/>
      <c r="BA146" s="191"/>
      <c r="BB146" s="191"/>
      <c r="BC146" s="196"/>
      <c r="BF146" s="671" t="s">
        <v>655</v>
      </c>
    </row>
    <row r="147" spans="1:58" ht="14.25" customHeight="1" x14ac:dyDescent="0.15">
      <c r="E147" s="461">
        <v>15</v>
      </c>
      <c r="F147" s="3" t="str" cm="1">
        <f t="array" aca="1" ref="F147" ca="1">OFFSET(E147,-1,1)</f>
        <v>1</v>
      </c>
      <c r="G147" s="17" t="s">
        <v>656</v>
      </c>
      <c r="H147" s="17" t="s">
        <v>657</v>
      </c>
      <c r="T147" s="353" t="b" cm="1">
        <f t="array" ref="T147">T146</f>
        <v>1</v>
      </c>
      <c r="X147" s="990"/>
      <c r="Y147" s="966"/>
      <c r="AB147" s="153" t="s">
        <v>658</v>
      </c>
      <c r="AC147" s="237" t="s">
        <v>659</v>
      </c>
      <c r="AD147" s="12" t="s">
        <v>558</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196"/>
      <c r="BF147" s="671" t="s">
        <v>660</v>
      </c>
    </row>
    <row r="148" spans="1:58" ht="14.25" customHeight="1" x14ac:dyDescent="0.15">
      <c r="E148" s="461">
        <v>15</v>
      </c>
      <c r="F148" s="3" t="str" cm="1">
        <f t="array" aca="1" ref="F148" ca="1">OFFSET(E148,-1,1)</f>
        <v>1</v>
      </c>
      <c r="H148" s="17" t="s">
        <v>661</v>
      </c>
      <c r="T148" s="353" t="b" cm="1">
        <f t="array" ref="T148">T147</f>
        <v>1</v>
      </c>
      <c r="X148" s="990"/>
      <c r="Y148" s="966"/>
      <c r="AB148" s="153" t="s">
        <v>662</v>
      </c>
      <c r="AC148" s="238" t="s">
        <v>636</v>
      </c>
      <c r="AD148" s="12" t="s">
        <v>558</v>
      </c>
      <c r="AE148" s="191"/>
      <c r="AF148" s="191"/>
      <c r="AG148" s="191"/>
      <c r="AH148" s="191"/>
      <c r="AI148" s="191"/>
      <c r="AJ148" s="836"/>
      <c r="AK148" s="836"/>
      <c r="AL148" s="191"/>
      <c r="AM148" s="191"/>
      <c r="AN148" s="191"/>
      <c r="AO148" s="191"/>
      <c r="AP148" s="191"/>
      <c r="AQ148" s="191"/>
      <c r="AR148" s="191"/>
      <c r="AS148" s="191"/>
      <c r="AT148" s="836"/>
      <c r="AU148" s="836"/>
      <c r="AV148" s="191"/>
      <c r="AW148" s="191"/>
      <c r="AX148" s="191"/>
      <c r="AY148" s="191"/>
      <c r="AZ148" s="191"/>
      <c r="BA148" s="191"/>
      <c r="BB148" s="191"/>
      <c r="BC148" s="196"/>
      <c r="BF148" s="671" t="s">
        <v>663</v>
      </c>
    </row>
    <row r="149" spans="1:58" ht="14.25" customHeight="1" x14ac:dyDescent="0.15">
      <c r="E149" s="461">
        <v>15</v>
      </c>
      <c r="F149" s="3" t="str" cm="1">
        <f t="array" aca="1" ref="F149" ca="1">OFFSET(E149,-1,1)</f>
        <v>1</v>
      </c>
      <c r="H149" s="17" t="s">
        <v>664</v>
      </c>
      <c r="T149" s="353" t="b" cm="1">
        <f t="array" ref="T149">T148</f>
        <v>1</v>
      </c>
      <c r="X149" s="990"/>
      <c r="Y149" s="966"/>
      <c r="AB149" s="153" t="s">
        <v>665</v>
      </c>
      <c r="AC149" s="238" t="s">
        <v>640</v>
      </c>
      <c r="AD149" s="12" t="s">
        <v>558</v>
      </c>
      <c r="AE149" s="191"/>
      <c r="AF149" s="191"/>
      <c r="AG149" s="191"/>
      <c r="AH149" s="191"/>
      <c r="AI149" s="191"/>
      <c r="AJ149" s="836"/>
      <c r="AK149" s="836"/>
      <c r="AL149" s="191"/>
      <c r="AM149" s="191"/>
      <c r="AN149" s="191"/>
      <c r="AO149" s="191"/>
      <c r="AP149" s="191"/>
      <c r="AQ149" s="191"/>
      <c r="AR149" s="191"/>
      <c r="AS149" s="191"/>
      <c r="AT149" s="836"/>
      <c r="AU149" s="836"/>
      <c r="AV149" s="191"/>
      <c r="AW149" s="191"/>
      <c r="AX149" s="191"/>
      <c r="AY149" s="191"/>
      <c r="AZ149" s="191"/>
      <c r="BA149" s="191"/>
      <c r="BB149" s="191"/>
      <c r="BC149" s="196"/>
      <c r="BF149" s="671" t="s">
        <v>666</v>
      </c>
    </row>
    <row r="150" spans="1:58" ht="14.25" customHeight="1" x14ac:dyDescent="0.15">
      <c r="E150" s="461">
        <v>15</v>
      </c>
      <c r="F150" s="3" t="str" cm="1">
        <f t="array" aca="1" ref="F150" ca="1">OFFSET(E150,-1,1)</f>
        <v>1</v>
      </c>
      <c r="H150" s="17" t="s">
        <v>667</v>
      </c>
      <c r="T150" s="353" t="b" cm="1">
        <f t="array" ref="T150">T149</f>
        <v>1</v>
      </c>
      <c r="X150" s="990"/>
      <c r="Y150" s="966"/>
      <c r="AB150" s="153" t="s">
        <v>668</v>
      </c>
      <c r="AC150" s="237" t="s">
        <v>669</v>
      </c>
      <c r="AD150" s="12" t="s">
        <v>558</v>
      </c>
      <c r="AE150" s="223">
        <f t="shared" ref="AE150:BB150" si="37">SUM(AE151:AE152)</f>
        <v>17161.565999999999</v>
      </c>
      <c r="AF150" s="223">
        <f t="shared" si="37"/>
        <v>17945.460999999999</v>
      </c>
      <c r="AG150" s="223">
        <f t="shared" si="37"/>
        <v>17945.460999999999</v>
      </c>
      <c r="AH150" s="223">
        <f t="shared" si="37"/>
        <v>20279.261910000001</v>
      </c>
      <c r="AI150" s="223">
        <f t="shared" si="37"/>
        <v>22004.04</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19250.848000000002</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196"/>
      <c r="BF150" s="671" t="s">
        <v>670</v>
      </c>
    </row>
    <row r="151" spans="1:58" ht="47.65" customHeight="1" x14ac:dyDescent="0.15">
      <c r="E151" s="461">
        <v>15</v>
      </c>
      <c r="F151" s="3" t="str" cm="1">
        <f t="array" aca="1" ref="F151" ca="1">OFFSET(E151,-1,1)</f>
        <v>1</v>
      </c>
      <c r="H151" s="17" t="s">
        <v>671</v>
      </c>
      <c r="T151" s="353" t="b" cm="1">
        <f t="array" ref="T151">T150</f>
        <v>1</v>
      </c>
      <c r="X151" s="990"/>
      <c r="Y151" s="966"/>
      <c r="AB151" s="153" t="s">
        <v>672</v>
      </c>
      <c r="AC151" s="238" t="s">
        <v>636</v>
      </c>
      <c r="AD151" s="12" t="s">
        <v>558</v>
      </c>
      <c r="AE151" s="191">
        <v>17161.565999999999</v>
      </c>
      <c r="AF151" s="191">
        <v>17945.460999999999</v>
      </c>
      <c r="AG151" s="191">
        <v>17945.460999999999</v>
      </c>
      <c r="AH151" s="191">
        <v>20279.261910000001</v>
      </c>
      <c r="AI151" s="191">
        <v>22004.04</v>
      </c>
      <c r="AJ151" s="836"/>
      <c r="AK151" s="836"/>
      <c r="AL151" s="191"/>
      <c r="AM151" s="191"/>
      <c r="AN151" s="191"/>
      <c r="AO151" s="191"/>
      <c r="AP151" s="191"/>
      <c r="AQ151" s="191"/>
      <c r="AR151" s="191"/>
      <c r="AS151" s="191">
        <v>19250.848000000002</v>
      </c>
      <c r="AT151" s="836"/>
      <c r="AU151" s="836"/>
      <c r="AV151" s="191"/>
      <c r="AW151" s="191"/>
      <c r="AX151" s="191"/>
      <c r="AY151" s="191"/>
      <c r="AZ151" s="191"/>
      <c r="BA151" s="191"/>
      <c r="BB151" s="191"/>
      <c r="BC151" s="196" t="s">
        <v>799</v>
      </c>
      <c r="BF151" s="671" t="s">
        <v>673</v>
      </c>
    </row>
    <row r="152" spans="1:58" ht="14.25" customHeight="1" x14ac:dyDescent="0.15">
      <c r="E152" s="461">
        <v>15</v>
      </c>
      <c r="F152" s="3" t="str" cm="1">
        <f t="array" aca="1" ref="F152" ca="1">OFFSET(E152,-1,1)</f>
        <v>1</v>
      </c>
      <c r="H152" s="17" t="s">
        <v>674</v>
      </c>
      <c r="T152" s="353" t="b" cm="1">
        <f t="array" ref="T152">T151</f>
        <v>1</v>
      </c>
      <c r="X152" s="990"/>
      <c r="Y152" s="966"/>
      <c r="AB152" s="153" t="s">
        <v>675</v>
      </c>
      <c r="AC152" s="238" t="s">
        <v>640</v>
      </c>
      <c r="AD152" s="12" t="s">
        <v>558</v>
      </c>
      <c r="AE152" s="191"/>
      <c r="AF152" s="191"/>
      <c r="AG152" s="191"/>
      <c r="AH152" s="191"/>
      <c r="AI152" s="191"/>
      <c r="AJ152" s="836"/>
      <c r="AK152" s="836"/>
      <c r="AL152" s="191"/>
      <c r="AM152" s="191"/>
      <c r="AN152" s="191"/>
      <c r="AO152" s="191"/>
      <c r="AP152" s="191"/>
      <c r="AQ152" s="191"/>
      <c r="AR152" s="191"/>
      <c r="AS152" s="191"/>
      <c r="AT152" s="836"/>
      <c r="AU152" s="836"/>
      <c r="AV152" s="191"/>
      <c r="AW152" s="191"/>
      <c r="AX152" s="191"/>
      <c r="AY152" s="191"/>
      <c r="AZ152" s="191"/>
      <c r="BA152" s="191"/>
      <c r="BB152" s="191"/>
      <c r="BC152" s="113"/>
      <c r="BF152" s="671" t="s">
        <v>676</v>
      </c>
    </row>
    <row r="153" spans="1:58" ht="21.75" customHeight="1" x14ac:dyDescent="0.15">
      <c r="E153" s="461">
        <v>22.5</v>
      </c>
      <c r="F153" s="3" t="str" cm="1">
        <f t="array" aca="1" ref="F153" ca="1">OFFSET(E153,-1,1)</f>
        <v>1</v>
      </c>
      <c r="H153" s="17" t="s">
        <v>677</v>
      </c>
      <c r="I153" s="315"/>
      <c r="J153" s="315"/>
      <c r="T153" s="353" t="b" cm="1">
        <f t="array" ref="T153">T152</f>
        <v>1</v>
      </c>
      <c r="X153" s="990"/>
      <c r="Y153" s="966"/>
      <c r="AB153" s="153" t="s">
        <v>678</v>
      </c>
      <c r="AC153" s="239" t="s">
        <v>679</v>
      </c>
      <c r="AD153" s="12" t="s">
        <v>558</v>
      </c>
      <c r="AE153" s="188"/>
      <c r="AF153" s="188"/>
      <c r="AG153" s="188"/>
      <c r="AH153" s="188"/>
      <c r="AI153" s="188"/>
      <c r="AJ153" s="825"/>
      <c r="AK153" s="825"/>
      <c r="AL153" s="188"/>
      <c r="AM153" s="188"/>
      <c r="AN153" s="188"/>
      <c r="AO153" s="188"/>
      <c r="AP153" s="188"/>
      <c r="AQ153" s="188"/>
      <c r="AR153" s="188"/>
      <c r="AS153" s="188"/>
      <c r="AT153" s="825"/>
      <c r="AU153" s="825"/>
      <c r="AV153" s="188"/>
      <c r="AW153" s="188"/>
      <c r="AX153" s="188"/>
      <c r="AY153" s="188"/>
      <c r="AZ153" s="188"/>
      <c r="BA153" s="188"/>
      <c r="BB153" s="188"/>
      <c r="BC153" s="113"/>
      <c r="BF153" s="671" t="s">
        <v>680</v>
      </c>
    </row>
    <row r="154" spans="1:58" ht="14.25" customHeight="1" x14ac:dyDescent="0.15">
      <c r="E154" s="461">
        <v>15</v>
      </c>
      <c r="F154" s="253" t="str" cm="1">
        <f t="array" aca="1" ref="F154" ca="1">OFFSET(E154,-1,1)</f>
        <v>1</v>
      </c>
      <c r="T154" s="353" t="b" cm="1">
        <f t="array" ref="T154">T153</f>
        <v>1</v>
      </c>
      <c r="X154" s="990"/>
      <c r="Y154" s="966"/>
      <c r="AB154" s="153" t="s">
        <v>681</v>
      </c>
      <c r="AC154" s="239" t="s">
        <v>682</v>
      </c>
      <c r="AD154" s="12" t="s">
        <v>558</v>
      </c>
      <c r="AE154" s="188"/>
      <c r="AF154" s="188"/>
      <c r="AG154" s="188"/>
      <c r="AH154" s="188"/>
      <c r="AI154" s="188"/>
      <c r="AJ154" s="825"/>
      <c r="AK154" s="825"/>
      <c r="AL154" s="188"/>
      <c r="AM154" s="188"/>
      <c r="AN154" s="188"/>
      <c r="AO154" s="188"/>
      <c r="AP154" s="188"/>
      <c r="AQ154" s="188"/>
      <c r="AR154" s="188"/>
      <c r="AS154" s="188"/>
      <c r="AT154" s="825"/>
      <c r="AU154" s="825"/>
      <c r="AV154" s="188"/>
      <c r="AW154" s="188"/>
      <c r="AX154" s="188"/>
      <c r="AY154" s="188"/>
      <c r="AZ154" s="188"/>
      <c r="BA154" s="188"/>
      <c r="BB154" s="188"/>
      <c r="BC154" s="113"/>
      <c r="BF154" s="671" t="s">
        <v>683</v>
      </c>
    </row>
    <row r="155" spans="1:58" ht="11.25" hidden="1" customHeight="1" x14ac:dyDescent="0.15">
      <c r="A155" s="315"/>
      <c r="B155" s="479"/>
      <c r="C155" s="315"/>
      <c r="D155" s="315"/>
      <c r="E155" s="480" t="s">
        <v>371</v>
      </c>
      <c r="F155" s="765" t="str" cm="1">
        <f t="array" aca="1" ref="F155" ca="1">OFFSET(E155,-1,1)</f>
        <v>1</v>
      </c>
      <c r="G155" s="315"/>
      <c r="H155" s="315"/>
      <c r="I155"/>
      <c r="J155"/>
      <c r="L155" s="315"/>
      <c r="M155" s="315"/>
      <c r="N155" s="315"/>
      <c r="O155" s="315"/>
      <c r="T155" s="353" t="b">
        <v>0</v>
      </c>
      <c r="V155" s="315"/>
      <c r="X155" s="990"/>
      <c r="Y155" s="966"/>
      <c r="Z155" s="315"/>
      <c r="AA155" s="315"/>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1"/>
    </row>
    <row r="156" spans="1:58" ht="14.25" hidden="1" customHeight="1" x14ac:dyDescent="0.15">
      <c r="E156" s="461">
        <v>15</v>
      </c>
      <c r="F156" s="3" t="str" cm="1">
        <f t="array" aca="1" ref="F156" ca="1">OFFSET(E156,-1,1)</f>
        <v>1</v>
      </c>
      <c r="R156" s="315" t="b" cm="1">
        <f t="array" ref="R156">INDEX('Общие сведения'!$AN$179:$AN$236,MATCH($X118,'Общие сведения'!$Z$179:$Z$236,0))</f>
        <v>0</v>
      </c>
      <c r="S156" s="315" t="b">
        <f>IF(ISERROR(SEARCH("Водоснабжение",AB118)),FALSE,TRUE)</f>
        <v>1</v>
      </c>
      <c r="T156" s="353" t="b">
        <f>AND(X118&gt;0,S156,R156)</f>
        <v>0</v>
      </c>
      <c r="X156" s="990"/>
      <c r="Y156" s="966"/>
      <c r="AB156" s="153" t="s">
        <v>275</v>
      </c>
      <c r="AC156" s="234" t="s">
        <v>555</v>
      </c>
      <c r="AD156" s="111"/>
      <c r="AE156" s="415" t="str" cm="1">
        <f t="array" ref="AE156">INDEX('Общие сведения'!$AH$179:$AH$236,MATCH($X118,'Общие сведения'!$Z$179:$Z$236,0))</f>
        <v>техническая вода</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26"/>
      <c r="BF156" s="671" t="s">
        <v>684</v>
      </c>
    </row>
    <row r="157" spans="1:58" ht="14.25" hidden="1" customHeight="1" x14ac:dyDescent="0.15">
      <c r="E157" s="461">
        <v>15</v>
      </c>
      <c r="F157" s="3" t="str" cm="1">
        <f t="array" aca="1" ref="F157" ca="1">OFFSET(E157,-1,1)</f>
        <v>1</v>
      </c>
      <c r="H157" s="17" t="s">
        <v>335</v>
      </c>
      <c r="T157" s="353" t="b" cm="1">
        <f t="array" ref="T157">T156</f>
        <v>0</v>
      </c>
      <c r="X157" s="990"/>
      <c r="Y157" s="966"/>
      <c r="AB157" s="153" t="s">
        <v>285</v>
      </c>
      <c r="AC157" s="240" t="s">
        <v>685</v>
      </c>
      <c r="AD157" s="12" t="s">
        <v>558</v>
      </c>
      <c r="AE157" s="251">
        <f t="shared" ref="AE157:BB157" si="38">AE161+AE163+AE166+AE169</f>
        <v>0</v>
      </c>
      <c r="AF157" s="251">
        <f t="shared" si="38"/>
        <v>0</v>
      </c>
      <c r="AG157" s="251">
        <f t="shared" si="38"/>
        <v>0</v>
      </c>
      <c r="AH157" s="251">
        <f t="shared" si="38"/>
        <v>0</v>
      </c>
      <c r="AI157" s="251">
        <f t="shared" si="38"/>
        <v>0</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0</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26"/>
      <c r="BF157" s="671" t="s">
        <v>686</v>
      </c>
    </row>
    <row r="158" spans="1:58" ht="14.25" hidden="1" customHeight="1" x14ac:dyDescent="0.15">
      <c r="E158" s="461">
        <v>15</v>
      </c>
      <c r="F158" s="3" t="str" cm="1">
        <f t="array" aca="1" ref="F158" ca="1">OFFSET(E158,-1,1)</f>
        <v>1</v>
      </c>
      <c r="H158" s="17" t="s">
        <v>560</v>
      </c>
      <c r="T158" s="353" t="b" cm="1">
        <f t="array" ref="T158">T157</f>
        <v>0</v>
      </c>
      <c r="X158" s="990"/>
      <c r="Y158" s="966"/>
      <c r="AB158" s="153" t="s">
        <v>561</v>
      </c>
      <c r="AC158" s="241" t="s">
        <v>687</v>
      </c>
      <c r="AD158" s="12" t="s">
        <v>558</v>
      </c>
      <c r="AE158" s="825"/>
      <c r="AF158" s="825"/>
      <c r="AG158" s="825"/>
      <c r="AH158" s="825"/>
      <c r="AI158" s="188"/>
      <c r="AJ158" s="825"/>
      <c r="AK158" s="825"/>
      <c r="AL158" s="825"/>
      <c r="AM158" s="825"/>
      <c r="AN158" s="825"/>
      <c r="AO158" s="825"/>
      <c r="AP158" s="825"/>
      <c r="AQ158" s="825"/>
      <c r="AR158" s="825"/>
      <c r="AS158" s="188"/>
      <c r="AT158" s="825"/>
      <c r="AU158" s="825"/>
      <c r="AV158" s="825"/>
      <c r="AW158" s="825"/>
      <c r="AX158" s="825"/>
      <c r="AY158" s="825"/>
      <c r="AZ158" s="825"/>
      <c r="BA158" s="825"/>
      <c r="BB158" s="825"/>
      <c r="BC158" s="826"/>
      <c r="BF158" s="671" t="s">
        <v>688</v>
      </c>
    </row>
    <row r="159" spans="1:58" ht="14.25" hidden="1" customHeight="1" x14ac:dyDescent="0.15">
      <c r="E159" s="461">
        <v>15</v>
      </c>
      <c r="F159" s="3" t="str" cm="1">
        <f t="array" aca="1" ref="F159" ca="1">OFFSET(E159,-1,1)</f>
        <v>1</v>
      </c>
      <c r="H159" s="17" t="s">
        <v>564</v>
      </c>
      <c r="T159" s="353" t="b" cm="1">
        <f t="array" ref="T159">T158</f>
        <v>0</v>
      </c>
      <c r="X159" s="990"/>
      <c r="Y159" s="966"/>
      <c r="AB159" s="153" t="s">
        <v>565</v>
      </c>
      <c r="AC159" s="241" t="s">
        <v>689</v>
      </c>
      <c r="AD159" s="12" t="s">
        <v>558</v>
      </c>
      <c r="AE159" s="825"/>
      <c r="AF159" s="825"/>
      <c r="AG159" s="825"/>
      <c r="AH159" s="825"/>
      <c r="AI159" s="188"/>
      <c r="AJ159" s="825"/>
      <c r="AK159" s="825"/>
      <c r="AL159" s="825"/>
      <c r="AM159" s="825"/>
      <c r="AN159" s="825"/>
      <c r="AO159" s="825"/>
      <c r="AP159" s="825"/>
      <c r="AQ159" s="825"/>
      <c r="AR159" s="825"/>
      <c r="AS159" s="188"/>
      <c r="AT159" s="825"/>
      <c r="AU159" s="825"/>
      <c r="AV159" s="825"/>
      <c r="AW159" s="825"/>
      <c r="AX159" s="825"/>
      <c r="AY159" s="825"/>
      <c r="AZ159" s="825"/>
      <c r="BA159" s="825"/>
      <c r="BB159" s="825"/>
      <c r="BC159" s="826"/>
      <c r="BF159" s="671" t="s">
        <v>690</v>
      </c>
    </row>
    <row r="160" spans="1:58" ht="21.75" hidden="1" customHeight="1" x14ac:dyDescent="0.15">
      <c r="E160" s="461">
        <v>22.5</v>
      </c>
      <c r="F160" s="3" t="str" cm="1">
        <f t="array" aca="1" ref="F160" ca="1">OFFSET(E160,-1,1)</f>
        <v>1</v>
      </c>
      <c r="H160" s="17" t="s">
        <v>568</v>
      </c>
      <c r="T160" s="353" t="b" cm="1">
        <f t="array" ref="T160">T159</f>
        <v>0</v>
      </c>
      <c r="X160" s="990"/>
      <c r="Y160" s="966"/>
      <c r="AB160" s="153" t="s">
        <v>569</v>
      </c>
      <c r="AC160" s="241" t="s">
        <v>691</v>
      </c>
      <c r="AD160" s="12" t="s">
        <v>558</v>
      </c>
      <c r="AE160" s="825"/>
      <c r="AF160" s="825"/>
      <c r="AG160" s="825"/>
      <c r="AH160" s="825"/>
      <c r="AI160" s="188"/>
      <c r="AJ160" s="825"/>
      <c r="AK160" s="825"/>
      <c r="AL160" s="825"/>
      <c r="AM160" s="825"/>
      <c r="AN160" s="825"/>
      <c r="AO160" s="825"/>
      <c r="AP160" s="825"/>
      <c r="AQ160" s="825"/>
      <c r="AR160" s="825"/>
      <c r="AS160" s="188"/>
      <c r="AT160" s="825"/>
      <c r="AU160" s="825"/>
      <c r="AV160" s="825"/>
      <c r="AW160" s="825"/>
      <c r="AX160" s="825"/>
      <c r="AY160" s="825"/>
      <c r="AZ160" s="825"/>
      <c r="BA160" s="825"/>
      <c r="BB160" s="825"/>
      <c r="BC160" s="826"/>
      <c r="BF160" s="671" t="s">
        <v>692</v>
      </c>
    </row>
    <row r="161" spans="1:58" ht="14.25" hidden="1" customHeight="1" x14ac:dyDescent="0.15">
      <c r="E161" s="461">
        <v>15</v>
      </c>
      <c r="F161" s="3" t="str" cm="1">
        <f t="array" aca="1" ref="F161" ca="1">OFFSET(E161,-1,1)</f>
        <v>1</v>
      </c>
      <c r="H161" s="17" t="s">
        <v>334</v>
      </c>
      <c r="T161" s="353" t="b" cm="1">
        <f t="array" ref="T161">T160</f>
        <v>0</v>
      </c>
      <c r="X161" s="990"/>
      <c r="Y161" s="966"/>
      <c r="AB161" s="153" t="s">
        <v>291</v>
      </c>
      <c r="AC161" s="234" t="s">
        <v>603</v>
      </c>
      <c r="AD161" s="12" t="s">
        <v>558</v>
      </c>
      <c r="AE161" s="825"/>
      <c r="AF161" s="825"/>
      <c r="AG161" s="825"/>
      <c r="AH161" s="825"/>
      <c r="AI161" s="188"/>
      <c r="AJ161" s="825"/>
      <c r="AK161" s="825"/>
      <c r="AL161" s="825"/>
      <c r="AM161" s="825"/>
      <c r="AN161" s="825"/>
      <c r="AO161" s="825"/>
      <c r="AP161" s="825"/>
      <c r="AQ161" s="825"/>
      <c r="AR161" s="825"/>
      <c r="AS161" s="188"/>
      <c r="AT161" s="825"/>
      <c r="AU161" s="825"/>
      <c r="AV161" s="825"/>
      <c r="AW161" s="825"/>
      <c r="AX161" s="825"/>
      <c r="AY161" s="825"/>
      <c r="AZ161" s="825"/>
      <c r="BA161" s="825"/>
      <c r="BB161" s="825"/>
      <c r="BC161" s="826"/>
      <c r="BF161" s="671" t="s">
        <v>693</v>
      </c>
    </row>
    <row r="162" spans="1:58" ht="14.25" hidden="1" customHeight="1" x14ac:dyDescent="0.15">
      <c r="E162" s="461">
        <v>15</v>
      </c>
      <c r="F162" s="3" t="str" cm="1">
        <f t="array" aca="1" ref="F162" ca="1">OFFSET(E162,-1,1)</f>
        <v>1</v>
      </c>
      <c r="H162" s="17" t="s">
        <v>574</v>
      </c>
      <c r="T162" s="353" t="b" cm="1">
        <f t="array" ref="T162">T161</f>
        <v>0</v>
      </c>
      <c r="X162" s="990"/>
      <c r="Y162" s="966"/>
      <c r="AB162" s="153" t="s">
        <v>575</v>
      </c>
      <c r="AC162" s="236" t="s">
        <v>607</v>
      </c>
      <c r="AD162" s="12" t="s">
        <v>476</v>
      </c>
      <c r="AE162" s="820">
        <f t="shared" ref="AE162:BB162" si="39">IF(AE157=0,0,AE161/AE157*100)</f>
        <v>0</v>
      </c>
      <c r="AF162" s="820">
        <f t="shared" si="39"/>
        <v>0</v>
      </c>
      <c r="AG162" s="820">
        <f t="shared" si="39"/>
        <v>0</v>
      </c>
      <c r="AH162" s="820">
        <f t="shared" si="39"/>
        <v>0</v>
      </c>
      <c r="AI162" s="57">
        <f t="shared" si="39"/>
        <v>0</v>
      </c>
      <c r="AJ162" s="820">
        <f t="shared" si="39"/>
        <v>0</v>
      </c>
      <c r="AK162" s="820">
        <f t="shared" si="39"/>
        <v>0</v>
      </c>
      <c r="AL162" s="820">
        <f t="shared" si="39"/>
        <v>0</v>
      </c>
      <c r="AM162" s="820">
        <f t="shared" si="39"/>
        <v>0</v>
      </c>
      <c r="AN162" s="820">
        <f t="shared" si="39"/>
        <v>0</v>
      </c>
      <c r="AO162" s="820">
        <f t="shared" si="39"/>
        <v>0</v>
      </c>
      <c r="AP162" s="820">
        <f t="shared" si="39"/>
        <v>0</v>
      </c>
      <c r="AQ162" s="820">
        <f t="shared" si="39"/>
        <v>0</v>
      </c>
      <c r="AR162" s="820">
        <f t="shared" si="39"/>
        <v>0</v>
      </c>
      <c r="AS162" s="57">
        <f t="shared" si="39"/>
        <v>0</v>
      </c>
      <c r="AT162" s="820">
        <f t="shared" si="39"/>
        <v>0</v>
      </c>
      <c r="AU162" s="820">
        <f t="shared" si="39"/>
        <v>0</v>
      </c>
      <c r="AV162" s="820">
        <f t="shared" si="39"/>
        <v>0</v>
      </c>
      <c r="AW162" s="820">
        <f t="shared" si="39"/>
        <v>0</v>
      </c>
      <c r="AX162" s="820">
        <f t="shared" si="39"/>
        <v>0</v>
      </c>
      <c r="AY162" s="820">
        <f t="shared" si="39"/>
        <v>0</v>
      </c>
      <c r="AZ162" s="820">
        <f t="shared" si="39"/>
        <v>0</v>
      </c>
      <c r="BA162" s="820">
        <f t="shared" si="39"/>
        <v>0</v>
      </c>
      <c r="BB162" s="820">
        <f t="shared" si="39"/>
        <v>0</v>
      </c>
      <c r="BC162" s="775"/>
      <c r="BF162" s="671" t="s">
        <v>694</v>
      </c>
    </row>
    <row r="163" spans="1:58" ht="14.25" hidden="1" customHeight="1" x14ac:dyDescent="0.15">
      <c r="E163" s="461">
        <v>15</v>
      </c>
      <c r="F163" s="3" t="str" cm="1">
        <f t="array" aca="1" ref="F163" ca="1">OFFSET(E163,-1,1)</f>
        <v>1</v>
      </c>
      <c r="G163" s="17" t="str">
        <f>IF(OwnNeedsInPO="да","ПО","")</f>
        <v/>
      </c>
      <c r="H163" s="17" t="s">
        <v>532</v>
      </c>
      <c r="T163" s="353" t="b" cm="1">
        <f t="array" ref="T163">T162</f>
        <v>0</v>
      </c>
      <c r="X163" s="990"/>
      <c r="Y163" s="966"/>
      <c r="AB163" s="153" t="s">
        <v>454</v>
      </c>
      <c r="AC163" s="240" t="s">
        <v>615</v>
      </c>
      <c r="AD163" s="12" t="s">
        <v>558</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26"/>
      <c r="BF163" s="671" t="s">
        <v>695</v>
      </c>
    </row>
    <row r="164" spans="1:58" ht="14.25" hidden="1" customHeight="1" x14ac:dyDescent="0.15">
      <c r="E164" s="461">
        <v>15</v>
      </c>
      <c r="F164" s="3" t="str" cm="1">
        <f t="array" aca="1" ref="F164" ca="1">OFFSET(E164,-1,1)</f>
        <v>1</v>
      </c>
      <c r="H164" s="17" t="s">
        <v>696</v>
      </c>
      <c r="T164" s="353" t="b" cm="1">
        <f t="array" ref="T164">T163</f>
        <v>0</v>
      </c>
      <c r="X164" s="990"/>
      <c r="Y164" s="966"/>
      <c r="AB164" s="153" t="s">
        <v>697</v>
      </c>
      <c r="AC164" s="241" t="s">
        <v>619</v>
      </c>
      <c r="AD164" s="12" t="s">
        <v>558</v>
      </c>
      <c r="AE164" s="825"/>
      <c r="AF164" s="825"/>
      <c r="AG164" s="825"/>
      <c r="AH164" s="825"/>
      <c r="AI164" s="188"/>
      <c r="AJ164" s="825"/>
      <c r="AK164" s="825"/>
      <c r="AL164" s="825"/>
      <c r="AM164" s="825"/>
      <c r="AN164" s="825"/>
      <c r="AO164" s="825"/>
      <c r="AP164" s="825"/>
      <c r="AQ164" s="825"/>
      <c r="AR164" s="825"/>
      <c r="AS164" s="188"/>
      <c r="AT164" s="825"/>
      <c r="AU164" s="825"/>
      <c r="AV164" s="825"/>
      <c r="AW164" s="825"/>
      <c r="AX164" s="825"/>
      <c r="AY164" s="825"/>
      <c r="AZ164" s="825"/>
      <c r="BA164" s="825"/>
      <c r="BB164" s="825"/>
      <c r="BC164" s="826"/>
      <c r="BF164" s="671" t="s">
        <v>698</v>
      </c>
    </row>
    <row r="165" spans="1:58" ht="14.25" hidden="1" customHeight="1" x14ac:dyDescent="0.15">
      <c r="E165" s="461">
        <v>15</v>
      </c>
      <c r="F165" s="3" t="str" cm="1">
        <f t="array" aca="1" ref="F165" ca="1">OFFSET(E165,-1,1)</f>
        <v>1</v>
      </c>
      <c r="H165" s="17" t="s">
        <v>699</v>
      </c>
      <c r="T165" s="353" t="b" cm="1">
        <f t="array" ref="T165">T164</f>
        <v>0</v>
      </c>
      <c r="X165" s="990"/>
      <c r="Y165" s="966"/>
      <c r="AB165" s="153" t="s">
        <v>700</v>
      </c>
      <c r="AC165" s="241" t="s">
        <v>623</v>
      </c>
      <c r="AD165" s="12" t="s">
        <v>558</v>
      </c>
      <c r="AE165" s="825"/>
      <c r="AF165" s="825"/>
      <c r="AG165" s="825"/>
      <c r="AH165" s="825"/>
      <c r="AI165" s="188"/>
      <c r="AJ165" s="825"/>
      <c r="AK165" s="825"/>
      <c r="AL165" s="825"/>
      <c r="AM165" s="825"/>
      <c r="AN165" s="825"/>
      <c r="AO165" s="825"/>
      <c r="AP165" s="825"/>
      <c r="AQ165" s="825"/>
      <c r="AR165" s="825"/>
      <c r="AS165" s="188"/>
      <c r="AT165" s="825"/>
      <c r="AU165" s="825"/>
      <c r="AV165" s="825"/>
      <c r="AW165" s="825"/>
      <c r="AX165" s="825"/>
      <c r="AY165" s="825"/>
      <c r="AZ165" s="825"/>
      <c r="BA165" s="825"/>
      <c r="BB165" s="825"/>
      <c r="BC165" s="826"/>
      <c r="BF165" s="671" t="s">
        <v>701</v>
      </c>
    </row>
    <row r="166" spans="1:58" ht="14.25" hidden="1" customHeight="1" x14ac:dyDescent="0.15">
      <c r="E166" s="461">
        <v>15</v>
      </c>
      <c r="F166" s="3" t="str" cm="1">
        <f t="array" aca="1" ref="F166" ca="1">OFFSET(E166,-1,1)</f>
        <v>1</v>
      </c>
      <c r="G166" s="17" t="s">
        <v>629</v>
      </c>
      <c r="H166" s="17" t="s">
        <v>535</v>
      </c>
      <c r="T166" s="353" t="b" cm="1">
        <f t="array" ref="T166">T165</f>
        <v>0</v>
      </c>
      <c r="X166" s="990"/>
      <c r="Y166" s="966"/>
      <c r="AB166" s="153" t="s">
        <v>460</v>
      </c>
      <c r="AC166" s="240" t="s">
        <v>632</v>
      </c>
      <c r="AD166" s="12" t="s">
        <v>558</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26"/>
      <c r="BF166" s="671" t="s">
        <v>702</v>
      </c>
    </row>
    <row r="167" spans="1:58" ht="14.25" hidden="1" customHeight="1" x14ac:dyDescent="0.15">
      <c r="E167" s="461">
        <v>15</v>
      </c>
      <c r="F167" s="3" t="str" cm="1">
        <f t="array" aca="1" ref="F167" ca="1">OFFSET(E167,-1,1)</f>
        <v>1</v>
      </c>
      <c r="H167" s="17" t="s">
        <v>703</v>
      </c>
      <c r="T167" s="353" t="b" cm="1">
        <f t="array" ref="T167">T166</f>
        <v>0</v>
      </c>
      <c r="X167" s="990"/>
      <c r="Y167" s="966"/>
      <c r="AB167" s="153" t="s">
        <v>704</v>
      </c>
      <c r="AC167" s="241" t="s">
        <v>636</v>
      </c>
      <c r="AD167" s="12" t="s">
        <v>558</v>
      </c>
      <c r="AE167" s="825"/>
      <c r="AF167" s="825"/>
      <c r="AG167" s="825"/>
      <c r="AH167" s="825"/>
      <c r="AI167" s="188"/>
      <c r="AJ167" s="825"/>
      <c r="AK167" s="825"/>
      <c r="AL167" s="825"/>
      <c r="AM167" s="825"/>
      <c r="AN167" s="825"/>
      <c r="AO167" s="825"/>
      <c r="AP167" s="825"/>
      <c r="AQ167" s="825"/>
      <c r="AR167" s="825"/>
      <c r="AS167" s="188"/>
      <c r="AT167" s="825"/>
      <c r="AU167" s="825"/>
      <c r="AV167" s="825"/>
      <c r="AW167" s="825"/>
      <c r="AX167" s="825"/>
      <c r="AY167" s="825"/>
      <c r="AZ167" s="825"/>
      <c r="BA167" s="825"/>
      <c r="BB167" s="825"/>
      <c r="BC167" s="826"/>
      <c r="BF167" s="671" t="s">
        <v>705</v>
      </c>
    </row>
    <row r="168" spans="1:58" ht="14.25" hidden="1" customHeight="1" x14ac:dyDescent="0.15">
      <c r="E168" s="461">
        <v>15</v>
      </c>
      <c r="F168" s="3" t="str" cm="1">
        <f t="array" aca="1" ref="F168" ca="1">OFFSET(E168,-1,1)</f>
        <v>1</v>
      </c>
      <c r="H168" s="17" t="s">
        <v>706</v>
      </c>
      <c r="T168" s="353" t="b" cm="1">
        <f t="array" ref="T168">T167</f>
        <v>0</v>
      </c>
      <c r="X168" s="990"/>
      <c r="Y168" s="966"/>
      <c r="AB168" s="153" t="s">
        <v>707</v>
      </c>
      <c r="AC168" s="241" t="s">
        <v>640</v>
      </c>
      <c r="AD168" s="12" t="s">
        <v>558</v>
      </c>
      <c r="AE168" s="825"/>
      <c r="AF168" s="825"/>
      <c r="AG168" s="825"/>
      <c r="AH168" s="825"/>
      <c r="AI168" s="188"/>
      <c r="AJ168" s="825"/>
      <c r="AK168" s="825"/>
      <c r="AL168" s="825"/>
      <c r="AM168" s="825"/>
      <c r="AN168" s="825"/>
      <c r="AO168" s="825"/>
      <c r="AP168" s="825"/>
      <c r="AQ168" s="825"/>
      <c r="AR168" s="825"/>
      <c r="AS168" s="188"/>
      <c r="AT168" s="825"/>
      <c r="AU168" s="825"/>
      <c r="AV168" s="825"/>
      <c r="AW168" s="825"/>
      <c r="AX168" s="825"/>
      <c r="AY168" s="825"/>
      <c r="AZ168" s="825"/>
      <c r="BA168" s="825"/>
      <c r="BB168" s="825"/>
      <c r="BC168" s="826"/>
      <c r="BF168" s="671" t="s">
        <v>708</v>
      </c>
    </row>
    <row r="169" spans="1:58" ht="21.75" hidden="1" customHeight="1" x14ac:dyDescent="0.15">
      <c r="E169" s="461">
        <v>22.5</v>
      </c>
      <c r="F169" s="3" t="str" cm="1">
        <f t="array" aca="1" ref="F169" ca="1">OFFSET(E169,-1,1)</f>
        <v>1</v>
      </c>
      <c r="H169" s="17" t="s">
        <v>586</v>
      </c>
      <c r="I169" s="315"/>
      <c r="J169" s="315"/>
      <c r="T169" s="353" t="b" cm="1">
        <f t="array" ref="T169">T168</f>
        <v>0</v>
      </c>
      <c r="X169" s="990"/>
      <c r="Y169" s="966"/>
      <c r="AB169" s="153" t="s">
        <v>536</v>
      </c>
      <c r="AC169" s="242" t="s">
        <v>679</v>
      </c>
      <c r="AD169" s="12" t="s">
        <v>558</v>
      </c>
      <c r="AE169" s="825"/>
      <c r="AF169" s="825"/>
      <c r="AG169" s="825"/>
      <c r="AH169" s="825"/>
      <c r="AI169" s="188"/>
      <c r="AJ169" s="825"/>
      <c r="AK169" s="825"/>
      <c r="AL169" s="825"/>
      <c r="AM169" s="825"/>
      <c r="AN169" s="825"/>
      <c r="AO169" s="825"/>
      <c r="AP169" s="825"/>
      <c r="AQ169" s="825"/>
      <c r="AR169" s="825"/>
      <c r="AS169" s="188"/>
      <c r="AT169" s="825"/>
      <c r="AU169" s="825"/>
      <c r="AV169" s="825"/>
      <c r="AW169" s="825"/>
      <c r="AX169" s="825"/>
      <c r="AY169" s="825"/>
      <c r="AZ169" s="825"/>
      <c r="BA169" s="825"/>
      <c r="BB169" s="825"/>
      <c r="BC169" s="826"/>
      <c r="BF169" s="671" t="s">
        <v>709</v>
      </c>
    </row>
    <row r="170" spans="1:58" ht="14.25" hidden="1" customHeight="1" x14ac:dyDescent="0.15">
      <c r="E170" s="461">
        <v>15</v>
      </c>
      <c r="F170" s="253" t="str" cm="1">
        <f t="array" aca="1" ref="F170" ca="1">OFFSET(E170,-1,1)</f>
        <v>1</v>
      </c>
      <c r="T170" s="353" t="b" cm="1">
        <f t="array" ref="T170">T169</f>
        <v>0</v>
      </c>
      <c r="X170" s="990"/>
      <c r="Y170" s="966"/>
      <c r="AB170" s="153" t="s">
        <v>681</v>
      </c>
      <c r="AC170" s="239" t="s">
        <v>682</v>
      </c>
      <c r="AD170" s="12" t="s">
        <v>558</v>
      </c>
      <c r="AE170" s="825"/>
      <c r="AF170" s="825"/>
      <c r="AG170" s="825"/>
      <c r="AH170" s="825"/>
      <c r="AI170" s="188"/>
      <c r="AJ170" s="825"/>
      <c r="AK170" s="825"/>
      <c r="AL170" s="825"/>
      <c r="AM170" s="825"/>
      <c r="AN170" s="825"/>
      <c r="AO170" s="825"/>
      <c r="AP170" s="825"/>
      <c r="AQ170" s="825"/>
      <c r="AR170" s="825"/>
      <c r="AS170" s="188"/>
      <c r="AT170" s="825"/>
      <c r="AU170" s="825"/>
      <c r="AV170" s="825"/>
      <c r="AW170" s="825"/>
      <c r="AX170" s="825"/>
      <c r="AY170" s="825"/>
      <c r="AZ170" s="825"/>
      <c r="BA170" s="825"/>
      <c r="BB170" s="825"/>
      <c r="BC170" s="826"/>
      <c r="BF170" s="671" t="s">
        <v>710</v>
      </c>
    </row>
    <row r="171" spans="1:58" ht="11.25" hidden="1" customHeight="1" x14ac:dyDescent="0.15">
      <c r="A171" s="315"/>
      <c r="B171" s="479"/>
      <c r="C171" s="315"/>
      <c r="D171" s="315"/>
      <c r="E171" s="480" t="s">
        <v>371</v>
      </c>
      <c r="F171" s="765" t="str" cm="1">
        <f t="array" aca="1" ref="F171" ca="1">OFFSET(E171,-1,1)</f>
        <v>1</v>
      </c>
      <c r="G171" s="315"/>
      <c r="H171" s="315"/>
      <c r="I171"/>
      <c r="J171"/>
      <c r="L171" s="315"/>
      <c r="M171" s="315"/>
      <c r="N171" s="315"/>
      <c r="O171" s="315"/>
      <c r="T171" s="353" t="b">
        <v>0</v>
      </c>
      <c r="V171" s="315"/>
      <c r="X171" s="990"/>
      <c r="Y171" s="966"/>
      <c r="Z171" s="315"/>
      <c r="AA171" s="315"/>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1"/>
    </row>
    <row r="172" spans="1:58" ht="14.25" hidden="1" customHeight="1" x14ac:dyDescent="0.15">
      <c r="E172" s="461">
        <v>15</v>
      </c>
      <c r="F172" s="3" t="str" cm="1">
        <f t="array" aca="1" ref="F172" ca="1">OFFSET(E172,-1,1)</f>
        <v>1</v>
      </c>
      <c r="R172" s="315" t="b" cm="1">
        <f t="array" ref="R172">INDEX('Общие сведения'!$AN$179:$AN$236,MATCH($X118,'Общие сведения'!$Z$179:$Z$236,0))</f>
        <v>0</v>
      </c>
      <c r="S172" s="315" t="b">
        <f>IF(ISERROR(SEARCH("Водоотведение",AB118)),FALSE,TRUE)</f>
        <v>0</v>
      </c>
      <c r="T172" s="353" t="b">
        <f>AND(X118&gt;0,S172,NOT(R172))</f>
        <v>0</v>
      </c>
      <c r="X172" s="990"/>
      <c r="Y172" s="966"/>
      <c r="AB172" s="153" t="s">
        <v>275</v>
      </c>
      <c r="AC172" s="53" t="s">
        <v>711</v>
      </c>
      <c r="AD172" s="110"/>
      <c r="AE172" s="415" t="str" cm="1">
        <f t="array" ref="AE172">INDEX('Общие сведения'!$AH$179:$AH$236,MATCH($X118,'Общие сведения'!$Z$179:$Z$236,0))</f>
        <v>техническая вода</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826"/>
      <c r="BF172" s="671" t="s">
        <v>712</v>
      </c>
    </row>
    <row r="173" spans="1:58" ht="14.25" hidden="1" customHeight="1" x14ac:dyDescent="0.15">
      <c r="E173" s="461">
        <v>15</v>
      </c>
      <c r="F173" s="3" t="str" cm="1">
        <f t="array" aca="1" ref="F173" ca="1">OFFSET(E173,-1,1)</f>
        <v>1</v>
      </c>
      <c r="H173" s="17" t="s">
        <v>335</v>
      </c>
      <c r="T173" s="353" t="b" cm="1">
        <f t="array" ref="T173">T172</f>
        <v>0</v>
      </c>
      <c r="X173" s="990"/>
      <c r="Y173" s="966"/>
      <c r="AB173" s="153" t="s">
        <v>285</v>
      </c>
      <c r="AC173" s="53" t="s">
        <v>713</v>
      </c>
      <c r="AD173" s="12" t="s">
        <v>558</v>
      </c>
      <c r="AE173" s="251">
        <f t="shared" ref="AE173:BB173" si="42">AE174+AE175+AE188</f>
        <v>0</v>
      </c>
      <c r="AF173" s="251">
        <f t="shared" si="42"/>
        <v>0</v>
      </c>
      <c r="AG173" s="251">
        <f t="shared" si="42"/>
        <v>0</v>
      </c>
      <c r="AH173" s="251">
        <f t="shared" si="42"/>
        <v>0</v>
      </c>
      <c r="AI173" s="251">
        <f t="shared" si="42"/>
        <v>0</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0</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826"/>
      <c r="BF173" s="671" t="s">
        <v>714</v>
      </c>
    </row>
    <row r="174" spans="1:58" ht="14.25" hidden="1" customHeight="1" x14ac:dyDescent="0.15">
      <c r="E174" s="461">
        <v>15</v>
      </c>
      <c r="F174" s="3" t="str" cm="1">
        <f t="array" aca="1" ref="F174" ca="1">OFFSET(E174,-1,1)</f>
        <v>1</v>
      </c>
      <c r="G174" s="17" t="str">
        <f>IF(OwnNeedsInPO="да","ПО","")</f>
        <v/>
      </c>
      <c r="H174" s="17" t="s">
        <v>334</v>
      </c>
      <c r="T174" s="353" t="b" cm="1">
        <f t="array" ref="T174">T173</f>
        <v>0</v>
      </c>
      <c r="X174" s="990"/>
      <c r="Y174" s="966"/>
      <c r="AB174" s="153" t="s">
        <v>291</v>
      </c>
      <c r="AC174" s="53" t="s">
        <v>715</v>
      </c>
      <c r="AD174" s="12" t="s">
        <v>558</v>
      </c>
      <c r="AE174" s="825"/>
      <c r="AF174" s="825"/>
      <c r="AG174" s="825"/>
      <c r="AH174" s="825"/>
      <c r="AI174" s="188"/>
      <c r="AJ174" s="825"/>
      <c r="AK174" s="825"/>
      <c r="AL174" s="825"/>
      <c r="AM174" s="825"/>
      <c r="AN174" s="825"/>
      <c r="AO174" s="825"/>
      <c r="AP174" s="825"/>
      <c r="AQ174" s="825"/>
      <c r="AR174" s="825"/>
      <c r="AS174" s="188"/>
      <c r="AT174" s="825"/>
      <c r="AU174" s="825"/>
      <c r="AV174" s="825"/>
      <c r="AW174" s="825"/>
      <c r="AX174" s="825"/>
      <c r="AY174" s="825"/>
      <c r="AZ174" s="825"/>
      <c r="BA174" s="825"/>
      <c r="BB174" s="825"/>
      <c r="BC174" s="826"/>
      <c r="BF174" s="671" t="s">
        <v>716</v>
      </c>
    </row>
    <row r="175" spans="1:58" ht="14.25" hidden="1" customHeight="1" x14ac:dyDescent="0.15">
      <c r="E175" s="461">
        <v>15</v>
      </c>
      <c r="F175" s="3" t="str" cm="1">
        <f t="array" aca="1" ref="F175" ca="1">OFFSET(E175,-1,1)</f>
        <v>1</v>
      </c>
      <c r="G175" s="17" t="s">
        <v>629</v>
      </c>
      <c r="H175" s="17" t="s">
        <v>532</v>
      </c>
      <c r="T175" s="353" t="b" cm="1">
        <f t="array" ref="T175">T174</f>
        <v>0</v>
      </c>
      <c r="X175" s="990"/>
      <c r="Y175" s="966"/>
      <c r="AB175" s="153" t="s">
        <v>454</v>
      </c>
      <c r="AC175" s="54" t="s">
        <v>717</v>
      </c>
      <c r="AD175" s="12" t="s">
        <v>558</v>
      </c>
      <c r="AE175" s="251">
        <f t="shared" ref="AE175:BB175" si="43">AE176+AE179+AE182+AE185</f>
        <v>0</v>
      </c>
      <c r="AF175" s="251">
        <f t="shared" si="43"/>
        <v>0</v>
      </c>
      <c r="AG175" s="251">
        <f t="shared" si="43"/>
        <v>0</v>
      </c>
      <c r="AH175" s="251">
        <f t="shared" si="43"/>
        <v>0</v>
      </c>
      <c r="AI175" s="251">
        <f t="shared" si="43"/>
        <v>0</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0</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826"/>
      <c r="BF175" s="671" t="s">
        <v>718</v>
      </c>
    </row>
    <row r="176" spans="1:58" ht="14.25" hidden="1" customHeight="1" x14ac:dyDescent="0.15">
      <c r="E176" s="461">
        <v>15</v>
      </c>
      <c r="F176" s="3" t="str" cm="1">
        <f t="array" aca="1" ref="F176" ca="1">OFFSET(E176,-1,1)</f>
        <v>1</v>
      </c>
      <c r="H176" s="17" t="s">
        <v>696</v>
      </c>
      <c r="T176" s="353" t="b" cm="1">
        <f t="array" ref="T176">T175</f>
        <v>0</v>
      </c>
      <c r="X176" s="990"/>
      <c r="Y176" s="966"/>
      <c r="AB176" s="153" t="s">
        <v>697</v>
      </c>
      <c r="AC176" s="105" t="s">
        <v>648</v>
      </c>
      <c r="AD176" s="12" t="s">
        <v>558</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826"/>
      <c r="BF176" s="671" t="s">
        <v>719</v>
      </c>
    </row>
    <row r="177" spans="5:58" ht="14.25" hidden="1" customHeight="1" x14ac:dyDescent="0.15">
      <c r="E177" s="461">
        <v>15</v>
      </c>
      <c r="F177" s="3" t="str" cm="1">
        <f t="array" aca="1" ref="F177" ca="1">OFFSET(E177,-1,1)</f>
        <v>1</v>
      </c>
      <c r="H177" s="17" t="s">
        <v>720</v>
      </c>
      <c r="T177" s="353" t="b" cm="1">
        <f t="array" ref="T177">T176</f>
        <v>0</v>
      </c>
      <c r="X177" s="990"/>
      <c r="Y177" s="966"/>
      <c r="AB177" s="153" t="s">
        <v>721</v>
      </c>
      <c r="AC177" s="243" t="s">
        <v>636</v>
      </c>
      <c r="AD177" s="12" t="s">
        <v>558</v>
      </c>
      <c r="AE177" s="825"/>
      <c r="AF177" s="825"/>
      <c r="AG177" s="825"/>
      <c r="AH177" s="825"/>
      <c r="AI177" s="188"/>
      <c r="AJ177" s="825"/>
      <c r="AK177" s="825"/>
      <c r="AL177" s="825"/>
      <c r="AM177" s="825"/>
      <c r="AN177" s="825"/>
      <c r="AO177" s="825"/>
      <c r="AP177" s="825"/>
      <c r="AQ177" s="825"/>
      <c r="AR177" s="825"/>
      <c r="AS177" s="188"/>
      <c r="AT177" s="825"/>
      <c r="AU177" s="825"/>
      <c r="AV177" s="825"/>
      <c r="AW177" s="825"/>
      <c r="AX177" s="825"/>
      <c r="AY177" s="825"/>
      <c r="AZ177" s="825"/>
      <c r="BA177" s="825"/>
      <c r="BB177" s="825"/>
      <c r="BC177" s="826"/>
      <c r="BF177" s="671" t="s">
        <v>722</v>
      </c>
    </row>
    <row r="178" spans="5:58" ht="14.25" hidden="1" customHeight="1" x14ac:dyDescent="0.15">
      <c r="E178" s="461">
        <v>15</v>
      </c>
      <c r="F178" s="3" t="str" cm="1">
        <f t="array" aca="1" ref="F178" ca="1">OFFSET(E178,-1,1)</f>
        <v>1</v>
      </c>
      <c r="H178" s="17" t="s">
        <v>723</v>
      </c>
      <c r="T178" s="353" t="b" cm="1">
        <f t="array" ref="T178">T177</f>
        <v>0</v>
      </c>
      <c r="X178" s="990"/>
      <c r="Y178" s="966"/>
      <c r="AB178" s="153" t="s">
        <v>724</v>
      </c>
      <c r="AC178" s="243" t="s">
        <v>640</v>
      </c>
      <c r="AD178" s="12" t="s">
        <v>558</v>
      </c>
      <c r="AE178" s="825"/>
      <c r="AF178" s="825"/>
      <c r="AG178" s="825"/>
      <c r="AH178" s="825"/>
      <c r="AI178" s="188"/>
      <c r="AJ178" s="825"/>
      <c r="AK178" s="825"/>
      <c r="AL178" s="825"/>
      <c r="AM178" s="825"/>
      <c r="AN178" s="825"/>
      <c r="AO178" s="825"/>
      <c r="AP178" s="825"/>
      <c r="AQ178" s="825"/>
      <c r="AR178" s="825"/>
      <c r="AS178" s="188"/>
      <c r="AT178" s="825"/>
      <c r="AU178" s="825"/>
      <c r="AV178" s="825"/>
      <c r="AW178" s="825"/>
      <c r="AX178" s="825"/>
      <c r="AY178" s="825"/>
      <c r="AZ178" s="825"/>
      <c r="BA178" s="825"/>
      <c r="BB178" s="825"/>
      <c r="BC178" s="826"/>
      <c r="BF178" s="671" t="s">
        <v>725</v>
      </c>
    </row>
    <row r="179" spans="5:58" ht="14.25" hidden="1" customHeight="1" x14ac:dyDescent="0.15">
      <c r="E179" s="461">
        <v>15</v>
      </c>
      <c r="F179" s="3" t="str" cm="1">
        <f t="array" aca="1" ref="F179" ca="1">OFFSET(E179,-1,1)</f>
        <v>1</v>
      </c>
      <c r="G179" s="17" t="s">
        <v>656</v>
      </c>
      <c r="H179" s="17" t="s">
        <v>699</v>
      </c>
      <c r="T179" s="353" t="b" cm="1">
        <f t="array" ref="T179">T178</f>
        <v>0</v>
      </c>
      <c r="X179" s="990"/>
      <c r="Y179" s="966"/>
      <c r="AB179" s="153" t="s">
        <v>700</v>
      </c>
      <c r="AC179" s="105" t="s">
        <v>659</v>
      </c>
      <c r="AD179" s="12" t="s">
        <v>558</v>
      </c>
      <c r="AE179" s="251">
        <f t="shared" ref="AE179:BB179" si="45">AE180+AE181</f>
        <v>0</v>
      </c>
      <c r="AF179" s="251">
        <f t="shared" si="45"/>
        <v>0</v>
      </c>
      <c r="AG179" s="251">
        <f t="shared" si="45"/>
        <v>0</v>
      </c>
      <c r="AH179" s="251">
        <f t="shared" si="45"/>
        <v>0</v>
      </c>
      <c r="AI179" s="251">
        <f t="shared" si="45"/>
        <v>0</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0</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826"/>
      <c r="BF179" s="671" t="s">
        <v>726</v>
      </c>
    </row>
    <row r="180" spans="5:58" ht="14.25" hidden="1" customHeight="1" x14ac:dyDescent="0.15">
      <c r="E180" s="461">
        <v>15</v>
      </c>
      <c r="F180" s="3" t="str" cm="1">
        <f t="array" aca="1" ref="F180" ca="1">OFFSET(E180,-1,1)</f>
        <v>1</v>
      </c>
      <c r="H180" s="17" t="s">
        <v>727</v>
      </c>
      <c r="T180" s="353" t="b" cm="1">
        <f t="array" ref="T180">T179</f>
        <v>0</v>
      </c>
      <c r="X180" s="990"/>
      <c r="Y180" s="966"/>
      <c r="AB180" s="153" t="s">
        <v>728</v>
      </c>
      <c r="AC180" s="243" t="s">
        <v>636</v>
      </c>
      <c r="AD180" s="12" t="s">
        <v>558</v>
      </c>
      <c r="AE180" s="825"/>
      <c r="AF180" s="825"/>
      <c r="AG180" s="825"/>
      <c r="AH180" s="825"/>
      <c r="AI180" s="188"/>
      <c r="AJ180" s="825"/>
      <c r="AK180" s="825"/>
      <c r="AL180" s="825"/>
      <c r="AM180" s="825"/>
      <c r="AN180" s="825"/>
      <c r="AO180" s="825"/>
      <c r="AP180" s="825"/>
      <c r="AQ180" s="825"/>
      <c r="AR180" s="825"/>
      <c r="AS180" s="188"/>
      <c r="AT180" s="825"/>
      <c r="AU180" s="825"/>
      <c r="AV180" s="825"/>
      <c r="AW180" s="825"/>
      <c r="AX180" s="825"/>
      <c r="AY180" s="825"/>
      <c r="AZ180" s="825"/>
      <c r="BA180" s="825"/>
      <c r="BB180" s="825"/>
      <c r="BC180" s="826"/>
      <c r="BF180" s="671" t="s">
        <v>729</v>
      </c>
    </row>
    <row r="181" spans="5:58" ht="14.25" hidden="1" customHeight="1" x14ac:dyDescent="0.15">
      <c r="E181" s="461">
        <v>15</v>
      </c>
      <c r="F181" s="3" t="str" cm="1">
        <f t="array" aca="1" ref="F181" ca="1">OFFSET(E181,-1,1)</f>
        <v>1</v>
      </c>
      <c r="H181" s="17" t="s">
        <v>730</v>
      </c>
      <c r="T181" s="353" t="b" cm="1">
        <f t="array" ref="T181">T180</f>
        <v>0</v>
      </c>
      <c r="X181" s="990"/>
      <c r="Y181" s="966"/>
      <c r="AB181" s="153" t="s">
        <v>731</v>
      </c>
      <c r="AC181" s="243" t="s">
        <v>640</v>
      </c>
      <c r="AD181" s="12" t="s">
        <v>558</v>
      </c>
      <c r="AE181" s="825"/>
      <c r="AF181" s="825"/>
      <c r="AG181" s="825"/>
      <c r="AH181" s="825"/>
      <c r="AI181" s="188"/>
      <c r="AJ181" s="825"/>
      <c r="AK181" s="825"/>
      <c r="AL181" s="825"/>
      <c r="AM181" s="825"/>
      <c r="AN181" s="825"/>
      <c r="AO181" s="825"/>
      <c r="AP181" s="825"/>
      <c r="AQ181" s="825"/>
      <c r="AR181" s="825"/>
      <c r="AS181" s="188"/>
      <c r="AT181" s="825"/>
      <c r="AU181" s="825"/>
      <c r="AV181" s="825"/>
      <c r="AW181" s="825"/>
      <c r="AX181" s="825"/>
      <c r="AY181" s="825"/>
      <c r="AZ181" s="825"/>
      <c r="BA181" s="825"/>
      <c r="BB181" s="825"/>
      <c r="BC181" s="826"/>
      <c r="BF181" s="671" t="s">
        <v>732</v>
      </c>
    </row>
    <row r="182" spans="5:58" ht="14.25" hidden="1" customHeight="1" x14ac:dyDescent="0.15">
      <c r="E182" s="461">
        <v>15</v>
      </c>
      <c r="F182" s="3" t="str" cm="1">
        <f t="array" aca="1" ref="F182" ca="1">OFFSET(E182,-1,1)</f>
        <v>1</v>
      </c>
      <c r="H182" s="17" t="s">
        <v>733</v>
      </c>
      <c r="T182" s="353" t="b" cm="1">
        <f t="array" ref="T182">T181</f>
        <v>0</v>
      </c>
      <c r="X182" s="990"/>
      <c r="Y182" s="966"/>
      <c r="AB182" s="153" t="s">
        <v>734</v>
      </c>
      <c r="AC182" s="105" t="s">
        <v>669</v>
      </c>
      <c r="AD182" s="12" t="s">
        <v>558</v>
      </c>
      <c r="AE182" s="251">
        <f t="shared" ref="AE182:BB182" si="46">AE183+AE184</f>
        <v>0</v>
      </c>
      <c r="AF182" s="251">
        <f t="shared" si="46"/>
        <v>0</v>
      </c>
      <c r="AG182" s="251">
        <f t="shared" si="46"/>
        <v>0</v>
      </c>
      <c r="AH182" s="251">
        <f t="shared" si="46"/>
        <v>0</v>
      </c>
      <c r="AI182" s="251">
        <f t="shared" si="46"/>
        <v>0</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0</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826"/>
      <c r="BF182" s="671" t="s">
        <v>735</v>
      </c>
    </row>
    <row r="183" spans="5:58" ht="14.25" hidden="1" customHeight="1" x14ac:dyDescent="0.15">
      <c r="E183" s="461">
        <v>15</v>
      </c>
      <c r="F183" s="3" t="str" cm="1">
        <f t="array" aca="1" ref="F183" ca="1">OFFSET(E183,-1,1)</f>
        <v>1</v>
      </c>
      <c r="H183" s="17" t="s">
        <v>736</v>
      </c>
      <c r="T183" s="353" t="b" cm="1">
        <f t="array" ref="T183">T182</f>
        <v>0</v>
      </c>
      <c r="X183" s="990"/>
      <c r="Y183" s="966"/>
      <c r="AB183" s="153" t="s">
        <v>737</v>
      </c>
      <c r="AC183" s="243" t="s">
        <v>636</v>
      </c>
      <c r="AD183" s="12" t="s">
        <v>558</v>
      </c>
      <c r="AE183" s="825"/>
      <c r="AF183" s="825"/>
      <c r="AG183" s="825"/>
      <c r="AH183" s="825"/>
      <c r="AI183" s="188"/>
      <c r="AJ183" s="825"/>
      <c r="AK183" s="825"/>
      <c r="AL183" s="825"/>
      <c r="AM183" s="825"/>
      <c r="AN183" s="825"/>
      <c r="AO183" s="825"/>
      <c r="AP183" s="825"/>
      <c r="AQ183" s="825"/>
      <c r="AR183" s="825"/>
      <c r="AS183" s="188"/>
      <c r="AT183" s="825"/>
      <c r="AU183" s="825"/>
      <c r="AV183" s="825"/>
      <c r="AW183" s="825"/>
      <c r="AX183" s="825"/>
      <c r="AY183" s="825"/>
      <c r="AZ183" s="825"/>
      <c r="BA183" s="825"/>
      <c r="BB183" s="825"/>
      <c r="BC183" s="826"/>
      <c r="BF183" s="671" t="s">
        <v>738</v>
      </c>
    </row>
    <row r="184" spans="5:58" ht="14.25" hidden="1" customHeight="1" x14ac:dyDescent="0.15">
      <c r="E184" s="461">
        <v>15</v>
      </c>
      <c r="F184" s="3" t="str" cm="1">
        <f t="array" aca="1" ref="F184" ca="1">OFFSET(E184,-1,1)</f>
        <v>1</v>
      </c>
      <c r="H184" s="17" t="s">
        <v>739</v>
      </c>
      <c r="T184" s="353" t="b" cm="1">
        <f t="array" ref="T184">T183</f>
        <v>0</v>
      </c>
      <c r="X184" s="990"/>
      <c r="Y184" s="966"/>
      <c r="AB184" s="153" t="s">
        <v>740</v>
      </c>
      <c r="AC184" s="243" t="s">
        <v>640</v>
      </c>
      <c r="AD184" s="12" t="s">
        <v>558</v>
      </c>
      <c r="AE184" s="825"/>
      <c r="AF184" s="825"/>
      <c r="AG184" s="825"/>
      <c r="AH184" s="825"/>
      <c r="AI184" s="188"/>
      <c r="AJ184" s="825"/>
      <c r="AK184" s="825"/>
      <c r="AL184" s="825"/>
      <c r="AM184" s="825"/>
      <c r="AN184" s="825"/>
      <c r="AO184" s="825"/>
      <c r="AP184" s="825"/>
      <c r="AQ184" s="825"/>
      <c r="AR184" s="825"/>
      <c r="AS184" s="188"/>
      <c r="AT184" s="825"/>
      <c r="AU184" s="825"/>
      <c r="AV184" s="825"/>
      <c r="AW184" s="825"/>
      <c r="AX184" s="825"/>
      <c r="AY184" s="825"/>
      <c r="AZ184" s="825"/>
      <c r="BA184" s="825"/>
      <c r="BB184" s="825"/>
      <c r="BC184" s="826"/>
      <c r="BF184" s="671" t="s">
        <v>741</v>
      </c>
    </row>
    <row r="185" spans="5:58" ht="14.25" hidden="1" customHeight="1" x14ac:dyDescent="0.15">
      <c r="E185" s="461">
        <v>15</v>
      </c>
      <c r="F185" s="3" t="str" cm="1">
        <f t="array" aca="1" ref="F185" ca="1">OFFSET(E185,-1,1)</f>
        <v>1</v>
      </c>
      <c r="H185" s="17" t="s">
        <v>742</v>
      </c>
      <c r="T185" s="353" t="b" cm="1">
        <f t="array" ref="T185">T184</f>
        <v>0</v>
      </c>
      <c r="X185" s="990"/>
      <c r="Y185" s="966"/>
      <c r="AB185" s="153" t="s">
        <v>743</v>
      </c>
      <c r="AC185" s="105" t="s">
        <v>744</v>
      </c>
      <c r="AD185" s="12" t="s">
        <v>558</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826"/>
      <c r="BF185" s="671" t="s">
        <v>745</v>
      </c>
    </row>
    <row r="186" spans="5:58" ht="14.25" hidden="1" customHeight="1" x14ac:dyDescent="0.15">
      <c r="E186" s="461">
        <v>15</v>
      </c>
      <c r="F186" s="3" t="str" cm="1">
        <f t="array" aca="1" ref="F186" ca="1">OFFSET(E186,-1,1)</f>
        <v>1</v>
      </c>
      <c r="H186" s="17" t="s">
        <v>746</v>
      </c>
      <c r="T186" s="353" t="b" cm="1">
        <f t="array" ref="T186">T185</f>
        <v>0</v>
      </c>
      <c r="X186" s="990"/>
      <c r="Y186" s="966"/>
      <c r="AB186" s="153" t="s">
        <v>747</v>
      </c>
      <c r="AC186" s="237" t="s">
        <v>636</v>
      </c>
      <c r="AD186" s="12" t="s">
        <v>558</v>
      </c>
      <c r="AE186" s="825"/>
      <c r="AF186" s="825"/>
      <c r="AG186" s="825"/>
      <c r="AH186" s="825"/>
      <c r="AI186" s="188"/>
      <c r="AJ186" s="825"/>
      <c r="AK186" s="825"/>
      <c r="AL186" s="825"/>
      <c r="AM186" s="825"/>
      <c r="AN186" s="825"/>
      <c r="AO186" s="825"/>
      <c r="AP186" s="825"/>
      <c r="AQ186" s="825"/>
      <c r="AR186" s="825"/>
      <c r="AS186" s="188"/>
      <c r="AT186" s="825"/>
      <c r="AU186" s="825"/>
      <c r="AV186" s="825"/>
      <c r="AW186" s="825"/>
      <c r="AX186" s="825"/>
      <c r="AY186" s="825"/>
      <c r="AZ186" s="825"/>
      <c r="BA186" s="825"/>
      <c r="BB186" s="825"/>
      <c r="BC186" s="826"/>
      <c r="BF186" s="671" t="s">
        <v>748</v>
      </c>
    </row>
    <row r="187" spans="5:58" ht="14.25" hidden="1" customHeight="1" x14ac:dyDescent="0.15">
      <c r="E187" s="461">
        <v>15</v>
      </c>
      <c r="F187" s="3" t="str" cm="1">
        <f t="array" aca="1" ref="F187" ca="1">OFFSET(E187,-1,1)</f>
        <v>1</v>
      </c>
      <c r="H187" s="17" t="s">
        <v>749</v>
      </c>
      <c r="T187" s="353" t="b" cm="1">
        <f t="array" ref="T187">T186</f>
        <v>0</v>
      </c>
      <c r="X187" s="990"/>
      <c r="Y187" s="966"/>
      <c r="AB187" s="153" t="s">
        <v>750</v>
      </c>
      <c r="AC187" s="237" t="s">
        <v>640</v>
      </c>
      <c r="AD187" s="12" t="s">
        <v>558</v>
      </c>
      <c r="AE187" s="825"/>
      <c r="AF187" s="825"/>
      <c r="AG187" s="825"/>
      <c r="AH187" s="825"/>
      <c r="AI187" s="188"/>
      <c r="AJ187" s="825"/>
      <c r="AK187" s="825"/>
      <c r="AL187" s="825"/>
      <c r="AM187" s="825"/>
      <c r="AN187" s="825"/>
      <c r="AO187" s="825"/>
      <c r="AP187" s="825"/>
      <c r="AQ187" s="825"/>
      <c r="AR187" s="825"/>
      <c r="AS187" s="188"/>
      <c r="AT187" s="825"/>
      <c r="AU187" s="825"/>
      <c r="AV187" s="825"/>
      <c r="AW187" s="825"/>
      <c r="AX187" s="825"/>
      <c r="AY187" s="825"/>
      <c r="AZ187" s="825"/>
      <c r="BA187" s="825"/>
      <c r="BB187" s="825"/>
      <c r="BC187" s="826"/>
      <c r="BF187" s="671" t="s">
        <v>751</v>
      </c>
    </row>
    <row r="188" spans="5:58" ht="21.75" hidden="1" customHeight="1" x14ac:dyDescent="0.15">
      <c r="E188" s="461">
        <v>22.5</v>
      </c>
      <c r="F188" s="3" t="str" cm="1">
        <f t="array" aca="1" ref="F188" ca="1">OFFSET(E188,-1,1)</f>
        <v>1</v>
      </c>
      <c r="H188" s="17" t="s">
        <v>752</v>
      </c>
      <c r="T188" s="353" t="b" cm="1">
        <f t="array" ref="T188">T187</f>
        <v>0</v>
      </c>
      <c r="X188" s="990"/>
      <c r="Y188" s="966"/>
      <c r="AB188" s="153" t="s">
        <v>753</v>
      </c>
      <c r="AC188" s="244" t="s">
        <v>599</v>
      </c>
      <c r="AD188" s="12" t="s">
        <v>558</v>
      </c>
      <c r="AE188" s="825"/>
      <c r="AF188" s="825"/>
      <c r="AG188" s="825"/>
      <c r="AH188" s="825"/>
      <c r="AI188" s="188"/>
      <c r="AJ188" s="825"/>
      <c r="AK188" s="825"/>
      <c r="AL188" s="825"/>
      <c r="AM188" s="825"/>
      <c r="AN188" s="825"/>
      <c r="AO188" s="825"/>
      <c r="AP188" s="825"/>
      <c r="AQ188" s="825"/>
      <c r="AR188" s="825"/>
      <c r="AS188" s="188"/>
      <c r="AT188" s="825"/>
      <c r="AU188" s="825"/>
      <c r="AV188" s="825"/>
      <c r="AW188" s="825"/>
      <c r="AX188" s="825"/>
      <c r="AY188" s="825"/>
      <c r="AZ188" s="825"/>
      <c r="BA188" s="825"/>
      <c r="BB188" s="825"/>
      <c r="BC188" s="826"/>
      <c r="BF188" s="671" t="s">
        <v>754</v>
      </c>
    </row>
    <row r="189" spans="5:58" ht="14.25" hidden="1" customHeight="1" x14ac:dyDescent="0.15">
      <c r="E189" s="461">
        <v>15</v>
      </c>
      <c r="F189" s="3" t="str" cm="1">
        <f t="array" aca="1" ref="F189" ca="1">OFFSET(E189,-1,1)</f>
        <v>1</v>
      </c>
      <c r="H189" s="17" t="s">
        <v>535</v>
      </c>
      <c r="T189" s="353" t="b" cm="1">
        <f t="array" ref="T189">T188</f>
        <v>0</v>
      </c>
      <c r="X189" s="990"/>
      <c r="Y189" s="966"/>
      <c r="AB189" s="153" t="s">
        <v>460</v>
      </c>
      <c r="AC189" s="53" t="s">
        <v>755</v>
      </c>
      <c r="AD189" s="12" t="s">
        <v>558</v>
      </c>
      <c r="AE189" s="825"/>
      <c r="AF189" s="825"/>
      <c r="AG189" s="825"/>
      <c r="AH189" s="825"/>
      <c r="AI189" s="188"/>
      <c r="AJ189" s="825"/>
      <c r="AK189" s="825"/>
      <c r="AL189" s="825"/>
      <c r="AM189" s="825"/>
      <c r="AN189" s="825"/>
      <c r="AO189" s="825"/>
      <c r="AP189" s="825"/>
      <c r="AQ189" s="825"/>
      <c r="AR189" s="825"/>
      <c r="AS189" s="188"/>
      <c r="AT189" s="825"/>
      <c r="AU189" s="825"/>
      <c r="AV189" s="825"/>
      <c r="AW189" s="825"/>
      <c r="AX189" s="825"/>
      <c r="AY189" s="825"/>
      <c r="AZ189" s="825"/>
      <c r="BA189" s="825"/>
      <c r="BB189" s="825"/>
      <c r="BC189" s="826"/>
      <c r="BF189" s="671" t="s">
        <v>756</v>
      </c>
    </row>
    <row r="190" spans="5:58" ht="14.25" hidden="1" customHeight="1" x14ac:dyDescent="0.15">
      <c r="E190" s="461">
        <v>15</v>
      </c>
      <c r="F190" s="3" t="str" cm="1">
        <f t="array" aca="1" ref="F190" ca="1">OFFSET(E190,-1,1)</f>
        <v>1</v>
      </c>
      <c r="H190" s="17" t="s">
        <v>586</v>
      </c>
      <c r="T190" s="353" t="b" cm="1">
        <f t="array" ref="T190">T189</f>
        <v>0</v>
      </c>
      <c r="X190" s="990"/>
      <c r="Y190" s="966"/>
      <c r="AB190" s="153" t="s">
        <v>536</v>
      </c>
      <c r="AC190" s="53" t="s">
        <v>757</v>
      </c>
      <c r="AD190" s="12" t="s">
        <v>558</v>
      </c>
      <c r="AE190" s="825"/>
      <c r="AF190" s="825"/>
      <c r="AG190" s="825"/>
      <c r="AH190" s="825"/>
      <c r="AI190" s="188"/>
      <c r="AJ190" s="825"/>
      <c r="AK190" s="825"/>
      <c r="AL190" s="825"/>
      <c r="AM190" s="825"/>
      <c r="AN190" s="825"/>
      <c r="AO190" s="825"/>
      <c r="AP190" s="825"/>
      <c r="AQ190" s="825"/>
      <c r="AR190" s="825"/>
      <c r="AS190" s="188"/>
      <c r="AT190" s="825"/>
      <c r="AU190" s="825"/>
      <c r="AV190" s="825"/>
      <c r="AW190" s="825"/>
      <c r="AX190" s="825"/>
      <c r="AY190" s="825"/>
      <c r="AZ190" s="825"/>
      <c r="BA190" s="825"/>
      <c r="BB190" s="825"/>
      <c r="BC190" s="826"/>
      <c r="BF190" s="671" t="s">
        <v>758</v>
      </c>
    </row>
    <row r="191" spans="5:58" ht="14.25" hidden="1" customHeight="1" x14ac:dyDescent="0.15">
      <c r="E191" s="461">
        <v>15</v>
      </c>
      <c r="F191" s="3" t="str" cm="1">
        <f t="array" aca="1" ref="F191" ca="1">OFFSET(E191,-1,1)</f>
        <v>1</v>
      </c>
      <c r="H191" s="17" t="s">
        <v>601</v>
      </c>
      <c r="T191" s="353" t="b" cm="1">
        <f t="array" ref="T191">T190</f>
        <v>0</v>
      </c>
      <c r="X191" s="990"/>
      <c r="Y191" s="966"/>
      <c r="AB191" s="153" t="s">
        <v>602</v>
      </c>
      <c r="AC191" s="53" t="s">
        <v>759</v>
      </c>
      <c r="AD191" s="12" t="s">
        <v>558</v>
      </c>
      <c r="AE191" s="825"/>
      <c r="AF191" s="825"/>
      <c r="AG191" s="825"/>
      <c r="AH191" s="825"/>
      <c r="AI191" s="188"/>
      <c r="AJ191" s="825"/>
      <c r="AK191" s="825"/>
      <c r="AL191" s="825"/>
      <c r="AM191" s="825"/>
      <c r="AN191" s="825"/>
      <c r="AO191" s="825"/>
      <c r="AP191" s="825"/>
      <c r="AQ191" s="825"/>
      <c r="AR191" s="825"/>
      <c r="AS191" s="188"/>
      <c r="AT191" s="825"/>
      <c r="AU191" s="825"/>
      <c r="AV191" s="825"/>
      <c r="AW191" s="825"/>
      <c r="AX191" s="825"/>
      <c r="AY191" s="825"/>
      <c r="AZ191" s="825"/>
      <c r="BA191" s="825"/>
      <c r="BB191" s="825"/>
      <c r="BC191" s="826"/>
      <c r="BF191" s="671" t="s">
        <v>760</v>
      </c>
    </row>
    <row r="192" spans="5:58" ht="14.25" hidden="1" customHeight="1" x14ac:dyDescent="0.15">
      <c r="E192" s="461">
        <v>15</v>
      </c>
      <c r="F192" s="3" t="str" cm="1">
        <f t="array" aca="1" ref="F192" ca="1">OFFSET(E192,-1,1)</f>
        <v>1</v>
      </c>
      <c r="H192" s="17" t="s">
        <v>609</v>
      </c>
      <c r="T192" s="353" t="b" cm="1">
        <f t="array" ref="T192">T191</f>
        <v>0</v>
      </c>
      <c r="X192" s="990"/>
      <c r="Y192" s="966"/>
      <c r="AB192" s="153" t="s">
        <v>610</v>
      </c>
      <c r="AC192" s="54" t="s">
        <v>761</v>
      </c>
      <c r="AD192" s="12" t="s">
        <v>558</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826"/>
      <c r="BF192" s="671" t="s">
        <v>762</v>
      </c>
    </row>
    <row r="193" spans="1:58" ht="14.25" hidden="1" customHeight="1" x14ac:dyDescent="0.15">
      <c r="E193" s="461">
        <v>15</v>
      </c>
      <c r="F193" s="3" t="str" cm="1">
        <f t="array" aca="1" ref="F193" ca="1">OFFSET(E193,-1,1)</f>
        <v>1</v>
      </c>
      <c r="H193" s="17" t="s">
        <v>613</v>
      </c>
      <c r="T193" s="353" t="b" cm="1">
        <f t="array" ref="T193">T192</f>
        <v>0</v>
      </c>
      <c r="X193" s="990"/>
      <c r="Y193" s="966"/>
      <c r="AB193" s="153" t="s">
        <v>614</v>
      </c>
      <c r="AC193" s="105" t="s">
        <v>763</v>
      </c>
      <c r="AD193" s="12" t="s">
        <v>558</v>
      </c>
      <c r="AE193" s="825"/>
      <c r="AF193" s="825"/>
      <c r="AG193" s="825"/>
      <c r="AH193" s="825"/>
      <c r="AI193" s="188"/>
      <c r="AJ193" s="825"/>
      <c r="AK193" s="825"/>
      <c r="AL193" s="825"/>
      <c r="AM193" s="825"/>
      <c r="AN193" s="825"/>
      <c r="AO193" s="825"/>
      <c r="AP193" s="825"/>
      <c r="AQ193" s="825"/>
      <c r="AR193" s="825"/>
      <c r="AS193" s="188"/>
      <c r="AT193" s="825"/>
      <c r="AU193" s="825"/>
      <c r="AV193" s="825"/>
      <c r="AW193" s="825"/>
      <c r="AX193" s="825"/>
      <c r="AY193" s="825"/>
      <c r="AZ193" s="825"/>
      <c r="BA193" s="825"/>
      <c r="BB193" s="825"/>
      <c r="BC193" s="826"/>
      <c r="BF193" s="671" t="s">
        <v>764</v>
      </c>
    </row>
    <row r="194" spans="1:58" ht="14.25" hidden="1" customHeight="1" x14ac:dyDescent="0.15">
      <c r="E194" s="461">
        <v>15</v>
      </c>
      <c r="F194" s="3" t="str" cm="1">
        <f t="array" aca="1" ref="F194" ca="1">OFFSET(E194,-1,1)</f>
        <v>1</v>
      </c>
      <c r="H194" s="17" t="s">
        <v>630</v>
      </c>
      <c r="T194" s="353" t="b" cm="1">
        <f t="array" ref="T194">T193</f>
        <v>0</v>
      </c>
      <c r="X194" s="990"/>
      <c r="Y194" s="966"/>
      <c r="AB194" s="153" t="s">
        <v>631</v>
      </c>
      <c r="AC194" s="105" t="s">
        <v>765</v>
      </c>
      <c r="AD194" s="12" t="s">
        <v>558</v>
      </c>
      <c r="AE194" s="825"/>
      <c r="AF194" s="825"/>
      <c r="AG194" s="825"/>
      <c r="AH194" s="825"/>
      <c r="AI194" s="188"/>
      <c r="AJ194" s="825"/>
      <c r="AK194" s="825"/>
      <c r="AL194" s="825"/>
      <c r="AM194" s="825"/>
      <c r="AN194" s="825"/>
      <c r="AO194" s="825"/>
      <c r="AP194" s="825"/>
      <c r="AQ194" s="825"/>
      <c r="AR194" s="825"/>
      <c r="AS194" s="188"/>
      <c r="AT194" s="825"/>
      <c r="AU194" s="825"/>
      <c r="AV194" s="825"/>
      <c r="AW194" s="825"/>
      <c r="AX194" s="825"/>
      <c r="AY194" s="825"/>
      <c r="AZ194" s="825"/>
      <c r="BA194" s="825"/>
      <c r="BB194" s="825"/>
      <c r="BC194" s="826"/>
      <c r="BF194" s="671" t="s">
        <v>766</v>
      </c>
    </row>
    <row r="195" spans="1:58" ht="21.75" hidden="1" customHeight="1" x14ac:dyDescent="0.15">
      <c r="E195" s="461">
        <v>22.5</v>
      </c>
      <c r="F195" s="3" t="str" cm="1">
        <f t="array" aca="1" ref="F195" ca="1">OFFSET(E195,-1,1)</f>
        <v>1</v>
      </c>
      <c r="H195" s="17" t="s">
        <v>767</v>
      </c>
      <c r="T195" s="353" t="b" cm="1">
        <f t="array" ref="T195">T194</f>
        <v>0</v>
      </c>
      <c r="X195" s="990"/>
      <c r="Y195" s="966"/>
      <c r="AB195" s="153" t="s">
        <v>768</v>
      </c>
      <c r="AC195" s="245" t="s">
        <v>679</v>
      </c>
      <c r="AD195" s="12" t="s">
        <v>558</v>
      </c>
      <c r="AE195" s="825"/>
      <c r="AF195" s="825"/>
      <c r="AG195" s="825"/>
      <c r="AH195" s="825"/>
      <c r="AI195" s="188"/>
      <c r="AJ195" s="825"/>
      <c r="AK195" s="825"/>
      <c r="AL195" s="825"/>
      <c r="AM195" s="825"/>
      <c r="AN195" s="825"/>
      <c r="AO195" s="825"/>
      <c r="AP195" s="825"/>
      <c r="AQ195" s="825"/>
      <c r="AR195" s="825"/>
      <c r="AS195" s="188"/>
      <c r="AT195" s="825"/>
      <c r="AU195" s="825"/>
      <c r="AV195" s="825"/>
      <c r="AW195" s="825"/>
      <c r="AX195" s="825"/>
      <c r="AY195" s="825"/>
      <c r="AZ195" s="825"/>
      <c r="BA195" s="825"/>
      <c r="BB195" s="825"/>
      <c r="BC195" s="826"/>
      <c r="BF195" s="671" t="s">
        <v>769</v>
      </c>
    </row>
    <row r="196" spans="1:58" ht="14.25" hidden="1" customHeight="1" x14ac:dyDescent="0.15">
      <c r="E196" s="461">
        <v>15</v>
      </c>
      <c r="F196" s="3" t="str" cm="1">
        <f t="array" aca="1" ref="F196" ca="1">OFFSET(E196,-1,1)</f>
        <v>1</v>
      </c>
      <c r="H196" s="17" t="s">
        <v>770</v>
      </c>
      <c r="T196" s="353" t="b" cm="1">
        <f t="array" ref="T196">T195</f>
        <v>0</v>
      </c>
      <c r="X196" s="990"/>
      <c r="Y196" s="966"/>
      <c r="AB196" s="153" t="s">
        <v>771</v>
      </c>
      <c r="AC196" s="53" t="s">
        <v>772</v>
      </c>
      <c r="AD196" s="12" t="s">
        <v>558</v>
      </c>
      <c r="AE196" s="825"/>
      <c r="AF196" s="825"/>
      <c r="AG196" s="825"/>
      <c r="AH196" s="825"/>
      <c r="AI196" s="188"/>
      <c r="AJ196" s="825"/>
      <c r="AK196" s="825"/>
      <c r="AL196" s="825"/>
      <c r="AM196" s="825"/>
      <c r="AN196" s="825"/>
      <c r="AO196" s="825"/>
      <c r="AP196" s="825"/>
      <c r="AQ196" s="825"/>
      <c r="AR196" s="825"/>
      <c r="AS196" s="188"/>
      <c r="AT196" s="825"/>
      <c r="AU196" s="825"/>
      <c r="AV196" s="825"/>
      <c r="AW196" s="825"/>
      <c r="AX196" s="825"/>
      <c r="AY196" s="825"/>
      <c r="AZ196" s="825"/>
      <c r="BA196" s="825"/>
      <c r="BB196" s="825"/>
      <c r="BC196" s="826"/>
      <c r="BF196" s="671" t="s">
        <v>773</v>
      </c>
    </row>
    <row r="197" spans="1:58" ht="11.25" hidden="1" customHeight="1" x14ac:dyDescent="0.15">
      <c r="A197" s="315"/>
      <c r="B197" s="479"/>
      <c r="C197" s="315"/>
      <c r="D197" s="315"/>
      <c r="E197" s="480" t="s">
        <v>371</v>
      </c>
      <c r="F197" s="765" t="str" cm="1">
        <f t="array" aca="1" ref="F197" ca="1">OFFSET(E197,-1,1)</f>
        <v>1</v>
      </c>
      <c r="G197" s="315"/>
      <c r="H197" s="315"/>
      <c r="I197" s="315"/>
      <c r="J197" s="315"/>
      <c r="L197" s="315"/>
      <c r="M197" s="315"/>
      <c r="N197" s="315"/>
      <c r="O197" s="315"/>
      <c r="T197" s="353" t="b">
        <v>0</v>
      </c>
      <c r="V197" s="315"/>
      <c r="X197" s="990"/>
      <c r="Y197" s="966"/>
      <c r="Z197" s="315"/>
      <c r="AA197" s="315"/>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1"/>
    </row>
    <row r="198" spans="1:58" ht="14.25" hidden="1" customHeight="1" x14ac:dyDescent="0.15">
      <c r="E198" s="461">
        <v>15</v>
      </c>
      <c r="F198" s="3" t="str" cm="1">
        <f t="array" aca="1" ref="F198" ca="1">OFFSET(E198,-1,1)</f>
        <v>1</v>
      </c>
      <c r="R198" s="315" t="b" cm="1">
        <f t="array" ref="R198">INDEX('Общие сведения'!$AN$179:$AN$236,MATCH($X118,'Общие сведения'!$Z$179:$Z$236,0))</f>
        <v>0</v>
      </c>
      <c r="S198" s="315" t="b">
        <f>IF(ISERROR(SEARCH("Водоотведение",AB118)),FALSE,TRUE)</f>
        <v>0</v>
      </c>
      <c r="T198" s="353" t="b">
        <f>AND(X118&gt;0,S198,R198)</f>
        <v>0</v>
      </c>
      <c r="X198" s="990"/>
      <c r="Y198" s="966"/>
      <c r="AB198" s="153" t="s">
        <v>275</v>
      </c>
      <c r="AC198" s="6" t="s">
        <v>711</v>
      </c>
      <c r="AD198" s="110"/>
      <c r="AE198" s="415" t="str" cm="1">
        <f t="array" ref="AE198">INDEX('Общие сведения'!$AH$179:$AH$236,MATCH($X118,'Общие сведения'!$Z$179:$Z$236,0))</f>
        <v>техническая вода</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26"/>
      <c r="BF198" s="671" t="s">
        <v>774</v>
      </c>
    </row>
    <row r="199" spans="1:58" ht="14.25" hidden="1" customHeight="1" x14ac:dyDescent="0.15">
      <c r="E199" s="461">
        <v>15</v>
      </c>
      <c r="F199" s="3" t="str" cm="1">
        <f t="array" aca="1" ref="F199" ca="1">OFFSET(E199,-1,1)</f>
        <v>1</v>
      </c>
      <c r="H199" s="17" t="s">
        <v>335</v>
      </c>
      <c r="T199" s="353" t="b" cm="1">
        <f t="array" ref="T199">T198</f>
        <v>0</v>
      </c>
      <c r="X199" s="990"/>
      <c r="Y199" s="966"/>
      <c r="AB199" s="153" t="s">
        <v>285</v>
      </c>
      <c r="AC199" s="246" t="s">
        <v>775</v>
      </c>
      <c r="AD199" s="12" t="s">
        <v>558</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26"/>
      <c r="BF199" s="671" t="s">
        <v>776</v>
      </c>
    </row>
    <row r="200" spans="1:58" ht="14.25" hidden="1" customHeight="1" x14ac:dyDescent="0.15">
      <c r="E200" s="461">
        <v>15</v>
      </c>
      <c r="F200" s="3" t="str" cm="1">
        <f t="array" aca="1" ref="F200" ca="1">OFFSET(E200,-1,1)</f>
        <v>1</v>
      </c>
      <c r="H200" s="17" t="s">
        <v>560</v>
      </c>
      <c r="T200" s="353" t="b" cm="1">
        <f t="array" ref="T200">T199</f>
        <v>0</v>
      </c>
      <c r="X200" s="990"/>
      <c r="Y200" s="966"/>
      <c r="AB200" s="153" t="s">
        <v>561</v>
      </c>
      <c r="AC200" s="127" t="s">
        <v>777</v>
      </c>
      <c r="AD200" s="12" t="s">
        <v>558</v>
      </c>
      <c r="AE200" s="836"/>
      <c r="AF200" s="836"/>
      <c r="AG200" s="836"/>
      <c r="AH200" s="836"/>
      <c r="AI200" s="191"/>
      <c r="AJ200" s="836"/>
      <c r="AK200" s="836"/>
      <c r="AL200" s="836"/>
      <c r="AM200" s="836"/>
      <c r="AN200" s="836"/>
      <c r="AO200" s="836"/>
      <c r="AP200" s="836"/>
      <c r="AQ200" s="836"/>
      <c r="AR200" s="836"/>
      <c r="AS200" s="191"/>
      <c r="AT200" s="836"/>
      <c r="AU200" s="836"/>
      <c r="AV200" s="836"/>
      <c r="AW200" s="836"/>
      <c r="AX200" s="836"/>
      <c r="AY200" s="836"/>
      <c r="AZ200" s="836"/>
      <c r="BA200" s="836"/>
      <c r="BB200" s="836"/>
      <c r="BC200" s="826"/>
      <c r="BF200" s="671" t="s">
        <v>778</v>
      </c>
    </row>
    <row r="201" spans="1:58" ht="14.25" hidden="1" customHeight="1" x14ac:dyDescent="0.15">
      <c r="E201" s="461">
        <v>15</v>
      </c>
      <c r="F201" s="3" t="str" cm="1">
        <f t="array" aca="1" ref="F201" ca="1">OFFSET(E201,-1,1)</f>
        <v>1</v>
      </c>
      <c r="H201" s="17" t="s">
        <v>564</v>
      </c>
      <c r="T201" s="353" t="b" cm="1">
        <f t="array" ref="T201">T200</f>
        <v>0</v>
      </c>
      <c r="X201" s="990"/>
      <c r="Y201" s="966"/>
      <c r="AB201" s="153" t="s">
        <v>565</v>
      </c>
      <c r="AC201" s="127" t="s">
        <v>779</v>
      </c>
      <c r="AD201" s="12" t="s">
        <v>558</v>
      </c>
      <c r="AE201" s="836"/>
      <c r="AF201" s="836"/>
      <c r="AG201" s="836"/>
      <c r="AH201" s="836"/>
      <c r="AI201" s="191"/>
      <c r="AJ201" s="836"/>
      <c r="AK201" s="836"/>
      <c r="AL201" s="836"/>
      <c r="AM201" s="836"/>
      <c r="AN201" s="836"/>
      <c r="AO201" s="836"/>
      <c r="AP201" s="836"/>
      <c r="AQ201" s="836"/>
      <c r="AR201" s="836"/>
      <c r="AS201" s="191"/>
      <c r="AT201" s="836"/>
      <c r="AU201" s="836"/>
      <c r="AV201" s="836"/>
      <c r="AW201" s="836"/>
      <c r="AX201" s="836"/>
      <c r="AY201" s="836"/>
      <c r="AZ201" s="836"/>
      <c r="BA201" s="836"/>
      <c r="BB201" s="836"/>
      <c r="BC201" s="826"/>
      <c r="BF201" s="671" t="s">
        <v>780</v>
      </c>
    </row>
    <row r="202" spans="1:58" ht="21.75" hidden="1" customHeight="1" x14ac:dyDescent="0.15">
      <c r="E202" s="461">
        <v>22.5</v>
      </c>
      <c r="F202" s="3" t="str" cm="1">
        <f t="array" aca="1" ref="F202" ca="1">OFFSET(E202,-1,1)</f>
        <v>1</v>
      </c>
      <c r="H202" s="17" t="s">
        <v>568</v>
      </c>
      <c r="T202" s="353" t="b" cm="1">
        <f t="array" ref="T202">T201</f>
        <v>0</v>
      </c>
      <c r="X202" s="990"/>
      <c r="Y202" s="966"/>
      <c r="AB202" s="153" t="s">
        <v>569</v>
      </c>
      <c r="AC202" s="127" t="s">
        <v>679</v>
      </c>
      <c r="AD202" s="12" t="s">
        <v>558</v>
      </c>
      <c r="AE202" s="836"/>
      <c r="AF202" s="836"/>
      <c r="AG202" s="836"/>
      <c r="AH202" s="836"/>
      <c r="AI202" s="191"/>
      <c r="AJ202" s="836"/>
      <c r="AK202" s="836"/>
      <c r="AL202" s="836"/>
      <c r="AM202" s="836"/>
      <c r="AN202" s="836"/>
      <c r="AO202" s="836"/>
      <c r="AP202" s="836"/>
      <c r="AQ202" s="836"/>
      <c r="AR202" s="836"/>
      <c r="AS202" s="191"/>
      <c r="AT202" s="836"/>
      <c r="AU202" s="836"/>
      <c r="AV202" s="836"/>
      <c r="AW202" s="836"/>
      <c r="AX202" s="836"/>
      <c r="AY202" s="836"/>
      <c r="AZ202" s="836"/>
      <c r="BA202" s="836"/>
      <c r="BB202" s="836"/>
      <c r="BC202" s="826"/>
      <c r="BF202" s="671" t="s">
        <v>781</v>
      </c>
    </row>
    <row r="203" spans="1:58" ht="21.75" hidden="1" customHeight="1" x14ac:dyDescent="0.15">
      <c r="E203" s="461">
        <v>22.5</v>
      </c>
      <c r="F203" s="3" t="str" cm="1">
        <f t="array" aca="1" ref="F203" ca="1">OFFSET(E203,-1,1)</f>
        <v>1</v>
      </c>
      <c r="G203" s="17" t="s">
        <v>629</v>
      </c>
      <c r="H203" s="17" t="s">
        <v>334</v>
      </c>
      <c r="T203" s="353" t="b" cm="1">
        <f t="array" ref="T203">T202</f>
        <v>0</v>
      </c>
      <c r="X203" s="990"/>
      <c r="Y203" s="966"/>
      <c r="AB203" s="153" t="s">
        <v>291</v>
      </c>
      <c r="AC203" s="246" t="s">
        <v>782</v>
      </c>
      <c r="AD203" s="12" t="s">
        <v>558</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26"/>
      <c r="BF203" s="671" t="s">
        <v>783</v>
      </c>
    </row>
    <row r="204" spans="1:58" ht="14.25" hidden="1" customHeight="1" x14ac:dyDescent="0.15">
      <c r="E204" s="461">
        <v>15</v>
      </c>
      <c r="F204" s="3" t="str" cm="1">
        <f t="array" aca="1" ref="F204" ca="1">OFFSET(E204,-1,1)</f>
        <v>1</v>
      </c>
      <c r="H204" s="17" t="s">
        <v>574</v>
      </c>
      <c r="T204" s="353" t="b" cm="1">
        <f t="array" ref="T204">T203</f>
        <v>0</v>
      </c>
      <c r="X204" s="990"/>
      <c r="Y204" s="966"/>
      <c r="AB204" s="153" t="s">
        <v>575</v>
      </c>
      <c r="AC204" s="127" t="s">
        <v>784</v>
      </c>
      <c r="AD204" s="12" t="s">
        <v>558</v>
      </c>
      <c r="AE204" s="836"/>
      <c r="AF204" s="836"/>
      <c r="AG204" s="836"/>
      <c r="AH204" s="836"/>
      <c r="AI204" s="191"/>
      <c r="AJ204" s="836"/>
      <c r="AK204" s="836"/>
      <c r="AL204" s="836"/>
      <c r="AM204" s="836"/>
      <c r="AN204" s="836"/>
      <c r="AO204" s="836"/>
      <c r="AP204" s="836"/>
      <c r="AQ204" s="836"/>
      <c r="AR204" s="836"/>
      <c r="AS204" s="191"/>
      <c r="AT204" s="836"/>
      <c r="AU204" s="836"/>
      <c r="AV204" s="836"/>
      <c r="AW204" s="836"/>
      <c r="AX204" s="836"/>
      <c r="AY204" s="836"/>
      <c r="AZ204" s="836"/>
      <c r="BA204" s="836"/>
      <c r="BB204" s="836"/>
      <c r="BC204" s="826"/>
      <c r="BF204" s="671" t="s">
        <v>785</v>
      </c>
    </row>
    <row r="205" spans="1:58" ht="14.25" hidden="1" customHeight="1" x14ac:dyDescent="0.15">
      <c r="E205" s="461">
        <v>15</v>
      </c>
      <c r="F205" s="3" t="str" cm="1">
        <f t="array" aca="1" ref="F205" ca="1">OFFSET(E205,-1,1)</f>
        <v>1</v>
      </c>
      <c r="H205" s="17" t="s">
        <v>578</v>
      </c>
      <c r="T205" s="353" t="b" cm="1">
        <f t="array" ref="T205">T204</f>
        <v>0</v>
      </c>
      <c r="X205" s="990"/>
      <c r="Y205" s="966"/>
      <c r="AB205" s="153" t="s">
        <v>579</v>
      </c>
      <c r="AC205" s="247" t="s">
        <v>786</v>
      </c>
      <c r="AD205" s="12" t="s">
        <v>558</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26"/>
      <c r="BF205" s="671" t="s">
        <v>787</v>
      </c>
    </row>
    <row r="206" spans="1:58" ht="14.25" hidden="1" customHeight="1" x14ac:dyDescent="0.15">
      <c r="E206" s="461">
        <v>15</v>
      </c>
      <c r="F206" s="3" t="str" cm="1">
        <f t="array" aca="1" ref="F206" ca="1">OFFSET(E206,-1,1)</f>
        <v>1</v>
      </c>
      <c r="H206" s="17" t="s">
        <v>788</v>
      </c>
      <c r="T206" s="353" t="b" cm="1">
        <f t="array" ref="T206">T205</f>
        <v>0</v>
      </c>
      <c r="X206" s="990"/>
      <c r="Y206" s="966"/>
      <c r="AB206" s="153" t="s">
        <v>789</v>
      </c>
      <c r="AC206" s="248" t="s">
        <v>636</v>
      </c>
      <c r="AD206" s="12" t="s">
        <v>558</v>
      </c>
      <c r="AE206" s="836"/>
      <c r="AF206" s="836"/>
      <c r="AG206" s="836"/>
      <c r="AH206" s="836"/>
      <c r="AI206" s="191"/>
      <c r="AJ206" s="836"/>
      <c r="AK206" s="836"/>
      <c r="AL206" s="836"/>
      <c r="AM206" s="836"/>
      <c r="AN206" s="836"/>
      <c r="AO206" s="836"/>
      <c r="AP206" s="836"/>
      <c r="AQ206" s="836"/>
      <c r="AR206" s="836"/>
      <c r="AS206" s="191"/>
      <c r="AT206" s="836"/>
      <c r="AU206" s="836"/>
      <c r="AV206" s="836"/>
      <c r="AW206" s="836"/>
      <c r="AX206" s="836"/>
      <c r="AY206" s="836"/>
      <c r="AZ206" s="836"/>
      <c r="BA206" s="836"/>
      <c r="BB206" s="836"/>
      <c r="BC206" s="826"/>
      <c r="BF206" s="671" t="s">
        <v>790</v>
      </c>
    </row>
    <row r="207" spans="1:58" ht="14.25" hidden="1" customHeight="1" x14ac:dyDescent="0.15">
      <c r="E207" s="461">
        <v>15</v>
      </c>
      <c r="F207" s="3" t="str" cm="1">
        <f t="array" aca="1" ref="F207" ca="1">OFFSET(E207,-1,1)</f>
        <v>1</v>
      </c>
      <c r="H207" s="17" t="s">
        <v>791</v>
      </c>
      <c r="T207" s="353" t="b" cm="1">
        <f t="array" ref="T207">T206</f>
        <v>0</v>
      </c>
      <c r="X207" s="990"/>
      <c r="Y207" s="966"/>
      <c r="AB207" s="153" t="s">
        <v>792</v>
      </c>
      <c r="AC207" s="248" t="s">
        <v>640</v>
      </c>
      <c r="AD207" s="12" t="s">
        <v>558</v>
      </c>
      <c r="AE207" s="836"/>
      <c r="AF207" s="836"/>
      <c r="AG207" s="836"/>
      <c r="AH207" s="836"/>
      <c r="AI207" s="191"/>
      <c r="AJ207" s="836"/>
      <c r="AK207" s="836"/>
      <c r="AL207" s="836"/>
      <c r="AM207" s="836"/>
      <c r="AN207" s="836"/>
      <c r="AO207" s="836"/>
      <c r="AP207" s="836"/>
      <c r="AQ207" s="836"/>
      <c r="AR207" s="836"/>
      <c r="AS207" s="191"/>
      <c r="AT207" s="836"/>
      <c r="AU207" s="836"/>
      <c r="AV207" s="836"/>
      <c r="AW207" s="836"/>
      <c r="AX207" s="836"/>
      <c r="AY207" s="836"/>
      <c r="AZ207" s="836"/>
      <c r="BA207" s="836"/>
      <c r="BB207" s="836"/>
      <c r="BC207" s="826"/>
      <c r="BF207" s="671" t="s">
        <v>793</v>
      </c>
    </row>
    <row r="208" spans="1:58" ht="21.75" hidden="1" customHeight="1" x14ac:dyDescent="0.15">
      <c r="E208" s="461">
        <v>22.5</v>
      </c>
      <c r="F208" s="3" t="str" cm="1">
        <f t="array" aca="1" ref="F208" ca="1">OFFSET(E208,-1,1)</f>
        <v>1</v>
      </c>
      <c r="H208" s="17" t="s">
        <v>794</v>
      </c>
      <c r="T208" s="353" t="b" cm="1">
        <f t="array" ref="T208">T207</f>
        <v>0</v>
      </c>
      <c r="X208" s="990"/>
      <c r="Y208" s="966"/>
      <c r="AB208" s="153" t="s">
        <v>795</v>
      </c>
      <c r="AC208" s="242" t="s">
        <v>599</v>
      </c>
      <c r="AD208" s="12" t="s">
        <v>558</v>
      </c>
      <c r="AE208" s="825"/>
      <c r="AF208" s="825"/>
      <c r="AG208" s="825"/>
      <c r="AH208" s="825"/>
      <c r="AI208" s="188"/>
      <c r="AJ208" s="825"/>
      <c r="AK208" s="825"/>
      <c r="AL208" s="825"/>
      <c r="AM208" s="825"/>
      <c r="AN208" s="825"/>
      <c r="AO208" s="825"/>
      <c r="AP208" s="825"/>
      <c r="AQ208" s="825"/>
      <c r="AR208" s="825"/>
      <c r="AS208" s="188"/>
      <c r="AT208" s="825"/>
      <c r="AU208" s="825"/>
      <c r="AV208" s="825"/>
      <c r="AW208" s="825"/>
      <c r="AX208" s="825"/>
      <c r="AY208" s="825"/>
      <c r="AZ208" s="825"/>
      <c r="BA208" s="825"/>
      <c r="BB208" s="825"/>
      <c r="BC208" s="826"/>
      <c r="BF208" s="671" t="s">
        <v>796</v>
      </c>
    </row>
    <row r="209" spans="5:58" ht="26.85" customHeight="1" x14ac:dyDescent="0.15">
      <c r="E209" s="461">
        <v>15</v>
      </c>
      <c r="F209" s="253" t="str" cm="1">
        <f t="array" ref="F209">X209</f>
        <v>2</v>
      </c>
      <c r="T209" s="353" t="b">
        <f>X209&gt;0</f>
        <v>1</v>
      </c>
      <c r="V209" s="17" t="str" cm="1">
        <f t="array" ref="V209">ИИКА!$AB$37</f>
        <v>Тариф 2 (Водоотведение) - тариф на водоотведение</v>
      </c>
      <c r="X209" s="990" t="s">
        <v>285</v>
      </c>
      <c r="Y209" s="966"/>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x14ac:dyDescent="0.15">
      <c r="E210" s="461">
        <v>15</v>
      </c>
      <c r="F210" s="3" t="str" cm="1">
        <f t="array" aca="1" ref="F210" ca="1">OFFSET(E210,-1,1)</f>
        <v>2</v>
      </c>
      <c r="R210" s="315" t="b" cm="1">
        <f t="array" ref="R210">INDEX('Общие сведения'!$AN$179:$AN$236,MATCH($X209,'Общие сведения'!$Z$179:$Z$236,0))</f>
        <v>0</v>
      </c>
      <c r="S210" s="315" t="b">
        <f>IF(ISERROR(SEARCH("Водоснабжение",AB209)),FALSE,TRUE)</f>
        <v>0</v>
      </c>
      <c r="T210" s="353" t="b">
        <f>AND(X209&gt;0,S210,NOT(R210))</f>
        <v>0</v>
      </c>
      <c r="X210" s="990"/>
      <c r="Y210" s="966"/>
      <c r="AB210" s="153" t="s">
        <v>275</v>
      </c>
      <c r="AC210" s="235" t="s">
        <v>555</v>
      </c>
      <c r="AD210" s="11"/>
      <c r="AE210" s="415" t="str" cm="1">
        <f t="array" ref="AE210">INDEX('Общие сведения'!$AH$179:$AH$236,MATCH($X209,'Общие сведения'!$Z$179:$Z$236,0))</f>
        <v>хозяйственно-бытовые сточные воды</v>
      </c>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5"/>
      <c r="BC210" s="826"/>
      <c r="BF210" s="671" t="s">
        <v>556</v>
      </c>
    </row>
    <row r="211" spans="5:58" ht="14.25" hidden="1" customHeight="1" x14ac:dyDescent="0.15">
      <c r="E211" s="461">
        <v>15</v>
      </c>
      <c r="F211" s="3" t="str" cm="1">
        <f t="array" aca="1" ref="F211" ca="1">OFFSET(E211,-1,1)</f>
        <v>2</v>
      </c>
      <c r="H211" s="17" t="s">
        <v>335</v>
      </c>
      <c r="T211" s="353" t="b" cm="1">
        <f t="array" ref="T211">T210</f>
        <v>0</v>
      </c>
      <c r="X211" s="990"/>
      <c r="Y211" s="966"/>
      <c r="AB211" s="153" t="s">
        <v>285</v>
      </c>
      <c r="AC211" s="55" t="s">
        <v>557</v>
      </c>
      <c r="AD211" s="12" t="s">
        <v>558</v>
      </c>
      <c r="AE211" s="223">
        <f t="shared" ref="AE211:BB211" si="52">AE220+AE215-AE218</f>
        <v>0</v>
      </c>
      <c r="AF211" s="223">
        <f t="shared" si="52"/>
        <v>0</v>
      </c>
      <c r="AG211" s="223">
        <f t="shared" si="52"/>
        <v>0</v>
      </c>
      <c r="AH211" s="223">
        <f t="shared" si="52"/>
        <v>0</v>
      </c>
      <c r="AI211" s="223">
        <f t="shared" si="52"/>
        <v>0</v>
      </c>
      <c r="AJ211" s="223">
        <f t="shared" si="52"/>
        <v>0</v>
      </c>
      <c r="AK211" s="223">
        <f t="shared" si="52"/>
        <v>0</v>
      </c>
      <c r="AL211" s="223">
        <f t="shared" si="52"/>
        <v>0</v>
      </c>
      <c r="AM211" s="223">
        <f t="shared" si="52"/>
        <v>0</v>
      </c>
      <c r="AN211" s="223">
        <f t="shared" si="52"/>
        <v>0</v>
      </c>
      <c r="AO211" s="223">
        <f t="shared" si="52"/>
        <v>0</v>
      </c>
      <c r="AP211" s="223">
        <f t="shared" si="52"/>
        <v>0</v>
      </c>
      <c r="AQ211" s="223">
        <f t="shared" si="52"/>
        <v>0</v>
      </c>
      <c r="AR211" s="223">
        <f t="shared" si="52"/>
        <v>0</v>
      </c>
      <c r="AS211" s="223">
        <f t="shared" si="52"/>
        <v>0</v>
      </c>
      <c r="AT211" s="223">
        <f t="shared" si="52"/>
        <v>0</v>
      </c>
      <c r="AU211" s="223">
        <f t="shared" si="52"/>
        <v>0</v>
      </c>
      <c r="AV211" s="223">
        <f t="shared" si="52"/>
        <v>0</v>
      </c>
      <c r="AW211" s="223">
        <f t="shared" si="52"/>
        <v>0</v>
      </c>
      <c r="AX211" s="223">
        <f t="shared" si="52"/>
        <v>0</v>
      </c>
      <c r="AY211" s="223">
        <f t="shared" si="52"/>
        <v>0</v>
      </c>
      <c r="AZ211" s="223">
        <f t="shared" si="52"/>
        <v>0</v>
      </c>
      <c r="BA211" s="223">
        <f t="shared" si="52"/>
        <v>0</v>
      </c>
      <c r="BB211" s="223">
        <f t="shared" si="52"/>
        <v>0</v>
      </c>
      <c r="BC211" s="826"/>
      <c r="BF211" s="671" t="s">
        <v>559</v>
      </c>
    </row>
    <row r="212" spans="5:58" ht="14.25" hidden="1" customHeight="1" x14ac:dyDescent="0.15">
      <c r="E212" s="461">
        <v>15</v>
      </c>
      <c r="F212" s="3" t="str" cm="1">
        <f t="array" aca="1" ref="F212" ca="1">OFFSET(E212,-1,1)</f>
        <v>2</v>
      </c>
      <c r="H212" s="17" t="s">
        <v>560</v>
      </c>
      <c r="T212" s="353" t="b" cm="1">
        <f t="array" ref="T212">T211</f>
        <v>0</v>
      </c>
      <c r="X212" s="990"/>
      <c r="Y212" s="966"/>
      <c r="AB212" s="153" t="s">
        <v>561</v>
      </c>
      <c r="AC212" s="105" t="s">
        <v>562</v>
      </c>
      <c r="AD212" s="12" t="s">
        <v>558</v>
      </c>
      <c r="AE212" s="836"/>
      <c r="AF212" s="836"/>
      <c r="AG212" s="836"/>
      <c r="AH212" s="836"/>
      <c r="AI212" s="191"/>
      <c r="AJ212" s="836"/>
      <c r="AK212" s="836"/>
      <c r="AL212" s="836"/>
      <c r="AM212" s="836"/>
      <c r="AN212" s="836"/>
      <c r="AO212" s="836"/>
      <c r="AP212" s="836"/>
      <c r="AQ212" s="836"/>
      <c r="AR212" s="836"/>
      <c r="AS212" s="191"/>
      <c r="AT212" s="836"/>
      <c r="AU212" s="836"/>
      <c r="AV212" s="836"/>
      <c r="AW212" s="836"/>
      <c r="AX212" s="836"/>
      <c r="AY212" s="836"/>
      <c r="AZ212" s="836"/>
      <c r="BA212" s="836"/>
      <c r="BB212" s="836"/>
      <c r="BC212" s="775"/>
      <c r="BF212" s="671" t="s">
        <v>563</v>
      </c>
    </row>
    <row r="213" spans="5:58" ht="14.25" hidden="1" customHeight="1" x14ac:dyDescent="0.15">
      <c r="E213" s="461">
        <v>15</v>
      </c>
      <c r="F213" s="3" t="str" cm="1">
        <f t="array" aca="1" ref="F213" ca="1">OFFSET(E213,-1,1)</f>
        <v>2</v>
      </c>
      <c r="H213" s="17" t="s">
        <v>564</v>
      </c>
      <c r="T213" s="353" t="b" cm="1">
        <f t="array" ref="T213">T212</f>
        <v>0</v>
      </c>
      <c r="X213" s="990"/>
      <c r="Y213" s="966"/>
      <c r="AB213" s="153" t="s">
        <v>565</v>
      </c>
      <c r="AC213" s="105" t="s">
        <v>566</v>
      </c>
      <c r="AD213" s="12" t="s">
        <v>558</v>
      </c>
      <c r="AE213" s="836"/>
      <c r="AF213" s="836"/>
      <c r="AG213" s="836"/>
      <c r="AH213" s="836"/>
      <c r="AI213" s="191"/>
      <c r="AJ213" s="836"/>
      <c r="AK213" s="836"/>
      <c r="AL213" s="836"/>
      <c r="AM213" s="836"/>
      <c r="AN213" s="836"/>
      <c r="AO213" s="836"/>
      <c r="AP213" s="836"/>
      <c r="AQ213" s="836"/>
      <c r="AR213" s="836"/>
      <c r="AS213" s="191"/>
      <c r="AT213" s="836"/>
      <c r="AU213" s="836"/>
      <c r="AV213" s="836"/>
      <c r="AW213" s="836"/>
      <c r="AX213" s="836"/>
      <c r="AY213" s="836"/>
      <c r="AZ213" s="836"/>
      <c r="BA213" s="836"/>
      <c r="BB213" s="836"/>
      <c r="BC213" s="775"/>
      <c r="BF213" s="671" t="s">
        <v>567</v>
      </c>
    </row>
    <row r="214" spans="5:58" ht="21.75" hidden="1" customHeight="1" x14ac:dyDescent="0.15">
      <c r="E214" s="461">
        <v>22.5</v>
      </c>
      <c r="F214" s="3" t="str" cm="1">
        <f t="array" aca="1" ref="F214" ca="1">OFFSET(E214,-1,1)</f>
        <v>2</v>
      </c>
      <c r="H214" s="17" t="s">
        <v>568</v>
      </c>
      <c r="T214" s="353" t="b" cm="1">
        <f t="array" ref="T214">T213</f>
        <v>0</v>
      </c>
      <c r="X214" s="990"/>
      <c r="Y214" s="966"/>
      <c r="AB214" s="153" t="s">
        <v>569</v>
      </c>
      <c r="AC214" s="55" t="s">
        <v>570</v>
      </c>
      <c r="AD214" s="12" t="s">
        <v>558</v>
      </c>
      <c r="AE214" s="836"/>
      <c r="AF214" s="836"/>
      <c r="AG214" s="836"/>
      <c r="AH214" s="836"/>
      <c r="AI214" s="191"/>
      <c r="AJ214" s="836"/>
      <c r="AK214" s="836"/>
      <c r="AL214" s="836"/>
      <c r="AM214" s="836"/>
      <c r="AN214" s="836"/>
      <c r="AO214" s="836"/>
      <c r="AP214" s="836"/>
      <c r="AQ214" s="836"/>
      <c r="AR214" s="836"/>
      <c r="AS214" s="191"/>
      <c r="AT214" s="836"/>
      <c r="AU214" s="836"/>
      <c r="AV214" s="836"/>
      <c r="AW214" s="836"/>
      <c r="AX214" s="836"/>
      <c r="AY214" s="836"/>
      <c r="AZ214" s="836"/>
      <c r="BA214" s="836"/>
      <c r="BB214" s="836"/>
      <c r="BC214" s="775"/>
      <c r="BF214" s="671" t="s">
        <v>571</v>
      </c>
    </row>
    <row r="215" spans="5:58" ht="14.25" hidden="1" customHeight="1" x14ac:dyDescent="0.15">
      <c r="E215" s="461">
        <v>15</v>
      </c>
      <c r="F215" s="3" t="str" cm="1">
        <f t="array" aca="1" ref="F215" ca="1">OFFSET(E215,-1,1)</f>
        <v>2</v>
      </c>
      <c r="H215" s="17" t="s">
        <v>334</v>
      </c>
      <c r="T215" s="353" t="b" cm="1">
        <f t="array" ref="T215">T214</f>
        <v>0</v>
      </c>
      <c r="X215" s="990"/>
      <c r="Y215" s="966"/>
      <c r="AB215" s="153" t="s">
        <v>291</v>
      </c>
      <c r="AC215" s="55" t="s">
        <v>572</v>
      </c>
      <c r="AD215" s="12" t="s">
        <v>558</v>
      </c>
      <c r="AE215" s="223">
        <f t="shared" ref="AE215:BB215" si="53">SUM(AE216:AE217)</f>
        <v>0</v>
      </c>
      <c r="AF215" s="223">
        <f t="shared" si="53"/>
        <v>0</v>
      </c>
      <c r="AG215" s="223">
        <f t="shared" si="53"/>
        <v>0</v>
      </c>
      <c r="AH215" s="223">
        <f t="shared" si="53"/>
        <v>0</v>
      </c>
      <c r="AI215" s="223">
        <f t="shared" si="53"/>
        <v>0</v>
      </c>
      <c r="AJ215" s="223">
        <f t="shared" si="53"/>
        <v>0</v>
      </c>
      <c r="AK215" s="223">
        <f t="shared" si="53"/>
        <v>0</v>
      </c>
      <c r="AL215" s="223">
        <f t="shared" si="53"/>
        <v>0</v>
      </c>
      <c r="AM215" s="223">
        <f t="shared" si="53"/>
        <v>0</v>
      </c>
      <c r="AN215" s="223">
        <f t="shared" si="53"/>
        <v>0</v>
      </c>
      <c r="AO215" s="223">
        <f t="shared" si="53"/>
        <v>0</v>
      </c>
      <c r="AP215" s="223">
        <f t="shared" si="53"/>
        <v>0</v>
      </c>
      <c r="AQ215" s="223">
        <f t="shared" si="53"/>
        <v>0</v>
      </c>
      <c r="AR215" s="223">
        <f t="shared" si="53"/>
        <v>0</v>
      </c>
      <c r="AS215" s="223">
        <f t="shared" si="53"/>
        <v>0</v>
      </c>
      <c r="AT215" s="223">
        <f t="shared" si="53"/>
        <v>0</v>
      </c>
      <c r="AU215" s="223">
        <f t="shared" si="53"/>
        <v>0</v>
      </c>
      <c r="AV215" s="223">
        <f t="shared" si="53"/>
        <v>0</v>
      </c>
      <c r="AW215" s="223">
        <f t="shared" si="53"/>
        <v>0</v>
      </c>
      <c r="AX215" s="223">
        <f t="shared" si="53"/>
        <v>0</v>
      </c>
      <c r="AY215" s="223">
        <f t="shared" si="53"/>
        <v>0</v>
      </c>
      <c r="AZ215" s="223">
        <f t="shared" si="53"/>
        <v>0</v>
      </c>
      <c r="BA215" s="223">
        <f t="shared" si="53"/>
        <v>0</v>
      </c>
      <c r="BB215" s="223">
        <f t="shared" si="53"/>
        <v>0</v>
      </c>
      <c r="BC215" s="775"/>
      <c r="BF215" s="671" t="s">
        <v>573</v>
      </c>
    </row>
    <row r="216" spans="5:58" ht="14.25" hidden="1" customHeight="1" x14ac:dyDescent="0.15">
      <c r="E216" s="461">
        <v>15</v>
      </c>
      <c r="F216" s="3" t="str" cm="1">
        <f t="array" aca="1" ref="F216" ca="1">OFFSET(E216,-1,1)</f>
        <v>2</v>
      </c>
      <c r="H216" s="17" t="s">
        <v>574</v>
      </c>
      <c r="T216" s="353" t="b" cm="1">
        <f t="array" ref="T216">T215</f>
        <v>0</v>
      </c>
      <c r="X216" s="990"/>
      <c r="Y216" s="966"/>
      <c r="AB216" s="153" t="s">
        <v>575</v>
      </c>
      <c r="AC216" s="105" t="s">
        <v>576</v>
      </c>
      <c r="AD216" s="12" t="s">
        <v>558</v>
      </c>
      <c r="AE216" s="836"/>
      <c r="AF216" s="836"/>
      <c r="AG216" s="836"/>
      <c r="AH216" s="836"/>
      <c r="AI216" s="191"/>
      <c r="AJ216" s="836"/>
      <c r="AK216" s="836"/>
      <c r="AL216" s="836"/>
      <c r="AM216" s="836"/>
      <c r="AN216" s="836"/>
      <c r="AO216" s="836"/>
      <c r="AP216" s="836"/>
      <c r="AQ216" s="836"/>
      <c r="AR216" s="836"/>
      <c r="AS216" s="191"/>
      <c r="AT216" s="836"/>
      <c r="AU216" s="836"/>
      <c r="AV216" s="836"/>
      <c r="AW216" s="836"/>
      <c r="AX216" s="836"/>
      <c r="AY216" s="836"/>
      <c r="AZ216" s="836"/>
      <c r="BA216" s="836"/>
      <c r="BB216" s="836"/>
      <c r="BC216" s="775"/>
      <c r="BF216" s="671" t="s">
        <v>577</v>
      </c>
    </row>
    <row r="217" spans="5:58" ht="14.25" hidden="1" customHeight="1" x14ac:dyDescent="0.15">
      <c r="E217" s="461">
        <v>15</v>
      </c>
      <c r="F217" s="3" t="str" cm="1">
        <f t="array" aca="1" ref="F217" ca="1">OFFSET(E217,-1,1)</f>
        <v>2</v>
      </c>
      <c r="H217" s="17" t="s">
        <v>578</v>
      </c>
      <c r="T217" s="353" t="b" cm="1">
        <f t="array" ref="T217">T216</f>
        <v>0</v>
      </c>
      <c r="X217" s="990"/>
      <c r="Y217" s="966"/>
      <c r="AB217" s="153" t="s">
        <v>579</v>
      </c>
      <c r="AC217" s="105" t="s">
        <v>580</v>
      </c>
      <c r="AD217" s="12" t="s">
        <v>558</v>
      </c>
      <c r="AE217" s="836"/>
      <c r="AF217" s="836"/>
      <c r="AG217" s="836"/>
      <c r="AH217" s="836"/>
      <c r="AI217" s="191"/>
      <c r="AJ217" s="836"/>
      <c r="AK217" s="836"/>
      <c r="AL217" s="836"/>
      <c r="AM217" s="836"/>
      <c r="AN217" s="836"/>
      <c r="AO217" s="836"/>
      <c r="AP217" s="836"/>
      <c r="AQ217" s="836"/>
      <c r="AR217" s="836"/>
      <c r="AS217" s="191"/>
      <c r="AT217" s="836"/>
      <c r="AU217" s="836"/>
      <c r="AV217" s="836"/>
      <c r="AW217" s="836"/>
      <c r="AX217" s="836"/>
      <c r="AY217" s="836"/>
      <c r="AZ217" s="836"/>
      <c r="BA217" s="836"/>
      <c r="BB217" s="836"/>
      <c r="BC217" s="775"/>
      <c r="BF217" s="671" t="s">
        <v>581</v>
      </c>
    </row>
    <row r="218" spans="5:58" ht="14.25" hidden="1" customHeight="1" x14ac:dyDescent="0.15">
      <c r="E218" s="461">
        <v>15</v>
      </c>
      <c r="F218" s="3" t="str" cm="1">
        <f t="array" aca="1" ref="F218" ca="1">OFFSET(E218,-1,1)</f>
        <v>2</v>
      </c>
      <c r="H218" s="17" t="s">
        <v>532</v>
      </c>
      <c r="T218" s="353" t="b" cm="1">
        <f t="array" ref="T218">T217</f>
        <v>0</v>
      </c>
      <c r="X218" s="990"/>
      <c r="Y218" s="966"/>
      <c r="AB218" s="153" t="s">
        <v>454</v>
      </c>
      <c r="AC218" s="235" t="s">
        <v>582</v>
      </c>
      <c r="AD218" s="12" t="s">
        <v>558</v>
      </c>
      <c r="AE218" s="825"/>
      <c r="AF218" s="825"/>
      <c r="AG218" s="825"/>
      <c r="AH218" s="825"/>
      <c r="AI218" s="188"/>
      <c r="AJ218" s="825"/>
      <c r="AK218" s="825"/>
      <c r="AL218" s="825"/>
      <c r="AM218" s="825"/>
      <c r="AN218" s="825"/>
      <c r="AO218" s="825"/>
      <c r="AP218" s="825"/>
      <c r="AQ218" s="825"/>
      <c r="AR218" s="825"/>
      <c r="AS218" s="188"/>
      <c r="AT218" s="825"/>
      <c r="AU218" s="825"/>
      <c r="AV218" s="825"/>
      <c r="AW218" s="825"/>
      <c r="AX218" s="825"/>
      <c r="AY218" s="825"/>
      <c r="AZ218" s="825"/>
      <c r="BA218" s="825"/>
      <c r="BB218" s="825"/>
      <c r="BC218" s="775"/>
      <c r="BF218" s="671" t="s">
        <v>583</v>
      </c>
    </row>
    <row r="219" spans="5:58" ht="14.25" hidden="1" customHeight="1" x14ac:dyDescent="0.15">
      <c r="E219" s="461">
        <v>15</v>
      </c>
      <c r="F219" s="3" t="str" cm="1">
        <f t="array" aca="1" ref="F219" ca="1">OFFSET(E219,-1,1)</f>
        <v>2</v>
      </c>
      <c r="H219" s="17" t="s">
        <v>535</v>
      </c>
      <c r="T219" s="353" t="b" cm="1">
        <f t="array" ref="T219">T218</f>
        <v>0</v>
      </c>
      <c r="X219" s="990"/>
      <c r="Y219" s="966"/>
      <c r="AB219" s="153" t="s">
        <v>460</v>
      </c>
      <c r="AC219" s="235" t="s">
        <v>584</v>
      </c>
      <c r="AD219" s="12" t="s">
        <v>558</v>
      </c>
      <c r="AE219" s="836"/>
      <c r="AF219" s="836"/>
      <c r="AG219" s="836"/>
      <c r="AH219" s="836"/>
      <c r="AI219" s="191"/>
      <c r="AJ219" s="836"/>
      <c r="AK219" s="836"/>
      <c r="AL219" s="836"/>
      <c r="AM219" s="836"/>
      <c r="AN219" s="836"/>
      <c r="AO219" s="836"/>
      <c r="AP219" s="836"/>
      <c r="AQ219" s="836"/>
      <c r="AR219" s="836"/>
      <c r="AS219" s="191"/>
      <c r="AT219" s="836"/>
      <c r="AU219" s="836"/>
      <c r="AV219" s="836"/>
      <c r="AW219" s="836"/>
      <c r="AX219" s="836"/>
      <c r="AY219" s="836"/>
      <c r="AZ219" s="836"/>
      <c r="BA219" s="836"/>
      <c r="BB219" s="836"/>
      <c r="BC219" s="775"/>
      <c r="BF219" s="671" t="s">
        <v>585</v>
      </c>
    </row>
    <row r="220" spans="5:58" ht="14.25" hidden="1" customHeight="1" x14ac:dyDescent="0.15">
      <c r="E220" s="461">
        <v>15</v>
      </c>
      <c r="F220" s="3" t="str" cm="1">
        <f t="array" aca="1" ref="F220" ca="1">OFFSET(E220,-1,1)</f>
        <v>2</v>
      </c>
      <c r="H220" s="17" t="s">
        <v>586</v>
      </c>
      <c r="T220" s="353" t="b" cm="1">
        <f t="array" ref="T220">T219</f>
        <v>0</v>
      </c>
      <c r="X220" s="990"/>
      <c r="Y220" s="966"/>
      <c r="AB220" s="153" t="s">
        <v>536</v>
      </c>
      <c r="AC220" s="55" t="s">
        <v>587</v>
      </c>
      <c r="AD220" s="12" t="s">
        <v>558</v>
      </c>
      <c r="AE220" s="223">
        <f t="shared" ref="AE220:BB220" si="54">AE226+AE224</f>
        <v>0</v>
      </c>
      <c r="AF220" s="223">
        <f t="shared" si="54"/>
        <v>0</v>
      </c>
      <c r="AG220" s="223">
        <f t="shared" si="54"/>
        <v>0</v>
      </c>
      <c r="AH220" s="223">
        <f t="shared" si="54"/>
        <v>0</v>
      </c>
      <c r="AI220" s="223">
        <f t="shared" si="54"/>
        <v>0</v>
      </c>
      <c r="AJ220" s="223">
        <f t="shared" si="54"/>
        <v>0</v>
      </c>
      <c r="AK220" s="223">
        <f t="shared" si="54"/>
        <v>0</v>
      </c>
      <c r="AL220" s="223">
        <f t="shared" si="54"/>
        <v>0</v>
      </c>
      <c r="AM220" s="223">
        <f t="shared" si="54"/>
        <v>0</v>
      </c>
      <c r="AN220" s="223">
        <f t="shared" si="54"/>
        <v>0</v>
      </c>
      <c r="AO220" s="223">
        <f t="shared" si="54"/>
        <v>0</v>
      </c>
      <c r="AP220" s="223">
        <f t="shared" si="54"/>
        <v>0</v>
      </c>
      <c r="AQ220" s="223">
        <f t="shared" si="54"/>
        <v>0</v>
      </c>
      <c r="AR220" s="223">
        <f t="shared" si="54"/>
        <v>0</v>
      </c>
      <c r="AS220" s="223">
        <f t="shared" si="54"/>
        <v>0</v>
      </c>
      <c r="AT220" s="223">
        <f t="shared" si="54"/>
        <v>0</v>
      </c>
      <c r="AU220" s="223">
        <f t="shared" si="54"/>
        <v>0</v>
      </c>
      <c r="AV220" s="223">
        <f t="shared" si="54"/>
        <v>0</v>
      </c>
      <c r="AW220" s="223">
        <f t="shared" si="54"/>
        <v>0</v>
      </c>
      <c r="AX220" s="223">
        <f t="shared" si="54"/>
        <v>0</v>
      </c>
      <c r="AY220" s="223">
        <f t="shared" si="54"/>
        <v>0</v>
      </c>
      <c r="AZ220" s="223">
        <f t="shared" si="54"/>
        <v>0</v>
      </c>
      <c r="BA220" s="223">
        <f t="shared" si="54"/>
        <v>0</v>
      </c>
      <c r="BB220" s="223">
        <f t="shared" si="54"/>
        <v>0</v>
      </c>
      <c r="BC220" s="775"/>
      <c r="BF220" s="671" t="s">
        <v>588</v>
      </c>
    </row>
    <row r="221" spans="5:58" ht="21.75" hidden="1" customHeight="1" x14ac:dyDescent="0.15">
      <c r="E221" s="461">
        <v>22.5</v>
      </c>
      <c r="F221" s="3" t="str" cm="1">
        <f t="array" aca="1" ref="F221" ca="1">OFFSET(E221,-1,1)</f>
        <v>2</v>
      </c>
      <c r="H221" s="17" t="s">
        <v>589</v>
      </c>
      <c r="T221" s="353" t="b" cm="1">
        <f t="array" ref="T221">T220</f>
        <v>0</v>
      </c>
      <c r="X221" s="990"/>
      <c r="Y221" s="966"/>
      <c r="AB221" s="153" t="s">
        <v>590</v>
      </c>
      <c r="AC221" s="105" t="s">
        <v>591</v>
      </c>
      <c r="AD221" s="12" t="s">
        <v>558</v>
      </c>
      <c r="AE221" s="836"/>
      <c r="AF221" s="836"/>
      <c r="AG221" s="836"/>
      <c r="AH221" s="836"/>
      <c r="AI221" s="191"/>
      <c r="AJ221" s="836"/>
      <c r="AK221" s="836"/>
      <c r="AL221" s="836"/>
      <c r="AM221" s="836"/>
      <c r="AN221" s="836"/>
      <c r="AO221" s="836"/>
      <c r="AP221" s="836"/>
      <c r="AQ221" s="836"/>
      <c r="AR221" s="836"/>
      <c r="AS221" s="191"/>
      <c r="AT221" s="836"/>
      <c r="AU221" s="836"/>
      <c r="AV221" s="836"/>
      <c r="AW221" s="836"/>
      <c r="AX221" s="836"/>
      <c r="AY221" s="836"/>
      <c r="AZ221" s="836"/>
      <c r="BA221" s="836"/>
      <c r="BB221" s="836"/>
      <c r="BC221" s="775"/>
      <c r="BF221" s="671" t="s">
        <v>592</v>
      </c>
    </row>
    <row r="222" spans="5:58" ht="14.25" hidden="1" customHeight="1" x14ac:dyDescent="0.15">
      <c r="E222" s="461">
        <v>15</v>
      </c>
      <c r="F222" s="3" t="str" cm="1">
        <f t="array" aca="1" ref="F222" ca="1">OFFSET(E222,-1,1)</f>
        <v>2</v>
      </c>
      <c r="H222" s="17" t="s">
        <v>593</v>
      </c>
      <c r="T222" s="353" t="b" cm="1">
        <f t="array" ref="T222">T221</f>
        <v>0</v>
      </c>
      <c r="X222" s="990"/>
      <c r="Y222" s="966"/>
      <c r="AB222" s="153" t="s">
        <v>594</v>
      </c>
      <c r="AC222" s="105" t="s">
        <v>595</v>
      </c>
      <c r="AD222" s="12" t="s">
        <v>558</v>
      </c>
      <c r="AE222" s="836"/>
      <c r="AF222" s="836"/>
      <c r="AG222" s="836"/>
      <c r="AH222" s="836"/>
      <c r="AI222" s="191"/>
      <c r="AJ222" s="836"/>
      <c r="AK222" s="836"/>
      <c r="AL222" s="836"/>
      <c r="AM222" s="836"/>
      <c r="AN222" s="836"/>
      <c r="AO222" s="836"/>
      <c r="AP222" s="836"/>
      <c r="AQ222" s="836"/>
      <c r="AR222" s="836"/>
      <c r="AS222" s="191"/>
      <c r="AT222" s="836"/>
      <c r="AU222" s="836"/>
      <c r="AV222" s="836"/>
      <c r="AW222" s="836"/>
      <c r="AX222" s="836"/>
      <c r="AY222" s="836"/>
      <c r="AZ222" s="836"/>
      <c r="BA222" s="836"/>
      <c r="BB222" s="836"/>
      <c r="BC222" s="775"/>
      <c r="BF222" s="671" t="s">
        <v>596</v>
      </c>
    </row>
    <row r="223" spans="5:58" ht="21.75" hidden="1" customHeight="1" x14ac:dyDescent="0.15">
      <c r="E223" s="461">
        <v>22.5</v>
      </c>
      <c r="F223" s="3" t="str" cm="1">
        <f t="array" aca="1" ref="F223" ca="1">OFFSET(E223,-1,1)</f>
        <v>2</v>
      </c>
      <c r="H223" s="17" t="s">
        <v>597</v>
      </c>
      <c r="T223" s="353" t="b" cm="1">
        <f t="array" ref="T223">T222</f>
        <v>0</v>
      </c>
      <c r="X223" s="990"/>
      <c r="Y223" s="966"/>
      <c r="AB223" s="153" t="s">
        <v>598</v>
      </c>
      <c r="AC223" s="105" t="s">
        <v>599</v>
      </c>
      <c r="AD223" s="12" t="s">
        <v>558</v>
      </c>
      <c r="AE223" s="836"/>
      <c r="AF223" s="836"/>
      <c r="AG223" s="836"/>
      <c r="AH223" s="836"/>
      <c r="AI223" s="191"/>
      <c r="AJ223" s="836"/>
      <c r="AK223" s="836"/>
      <c r="AL223" s="836"/>
      <c r="AM223" s="836"/>
      <c r="AN223" s="836"/>
      <c r="AO223" s="836"/>
      <c r="AP223" s="836"/>
      <c r="AQ223" s="836"/>
      <c r="AR223" s="836"/>
      <c r="AS223" s="191"/>
      <c r="AT223" s="836"/>
      <c r="AU223" s="836"/>
      <c r="AV223" s="836"/>
      <c r="AW223" s="836"/>
      <c r="AX223" s="836"/>
      <c r="AY223" s="836"/>
      <c r="AZ223" s="836"/>
      <c r="BA223" s="836"/>
      <c r="BB223" s="836"/>
      <c r="BC223" s="775"/>
      <c r="BF223" s="671" t="s">
        <v>600</v>
      </c>
    </row>
    <row r="224" spans="5:58" ht="14.25" hidden="1" customHeight="1" x14ac:dyDescent="0.15">
      <c r="E224" s="461">
        <v>15</v>
      </c>
      <c r="F224" s="3" t="str" cm="1">
        <f t="array" aca="1" ref="F224" ca="1">OFFSET(E224,-1,1)</f>
        <v>2</v>
      </c>
      <c r="H224" s="17" t="s">
        <v>601</v>
      </c>
      <c r="T224" s="353" t="b" cm="1">
        <f t="array" ref="T224">T223</f>
        <v>0</v>
      </c>
      <c r="X224" s="990"/>
      <c r="Y224" s="966"/>
      <c r="AB224" s="153" t="s">
        <v>602</v>
      </c>
      <c r="AC224" s="235" t="s">
        <v>603</v>
      </c>
      <c r="AD224" s="12" t="s">
        <v>558</v>
      </c>
      <c r="AE224" s="836"/>
      <c r="AF224" s="836"/>
      <c r="AG224" s="836"/>
      <c r="AH224" s="836"/>
      <c r="AI224" s="191"/>
      <c r="AJ224" s="836"/>
      <c r="AK224" s="836"/>
      <c r="AL224" s="836"/>
      <c r="AM224" s="836"/>
      <c r="AN224" s="836"/>
      <c r="AO224" s="836"/>
      <c r="AP224" s="836"/>
      <c r="AQ224" s="836"/>
      <c r="AR224" s="836"/>
      <c r="AS224" s="191"/>
      <c r="AT224" s="836"/>
      <c r="AU224" s="836"/>
      <c r="AV224" s="836"/>
      <c r="AW224" s="836"/>
      <c r="AX224" s="836"/>
      <c r="AY224" s="836"/>
      <c r="AZ224" s="836"/>
      <c r="BA224" s="836"/>
      <c r="BB224" s="836"/>
      <c r="BC224" s="775"/>
      <c r="BF224" s="671" t="s">
        <v>604</v>
      </c>
    </row>
    <row r="225" spans="5:58" ht="14.25" hidden="1" customHeight="1" x14ac:dyDescent="0.15">
      <c r="E225" s="461">
        <v>15</v>
      </c>
      <c r="F225" s="3" t="str" cm="1">
        <f t="array" aca="1" ref="F225" ca="1">OFFSET(E225,-1,1)</f>
        <v>2</v>
      </c>
      <c r="H225" s="17" t="s">
        <v>605</v>
      </c>
      <c r="T225" s="353" t="b" cm="1">
        <f t="array" ref="T225">T224</f>
        <v>0</v>
      </c>
      <c r="X225" s="990"/>
      <c r="Y225" s="966"/>
      <c r="AB225" s="153" t="s">
        <v>606</v>
      </c>
      <c r="AC225" s="236" t="s">
        <v>607</v>
      </c>
      <c r="AD225" s="12" t="s">
        <v>476</v>
      </c>
      <c r="AE225" s="820">
        <f t="shared" ref="AE225:BB225" si="55">IF(AE220=0,0,AE224/AE220*100)</f>
        <v>0</v>
      </c>
      <c r="AF225" s="820">
        <f t="shared" si="55"/>
        <v>0</v>
      </c>
      <c r="AG225" s="820">
        <f t="shared" si="55"/>
        <v>0</v>
      </c>
      <c r="AH225" s="820">
        <f t="shared" si="55"/>
        <v>0</v>
      </c>
      <c r="AI225" s="57">
        <f t="shared" si="55"/>
        <v>0</v>
      </c>
      <c r="AJ225" s="820">
        <f t="shared" si="55"/>
        <v>0</v>
      </c>
      <c r="AK225" s="820">
        <f t="shared" si="55"/>
        <v>0</v>
      </c>
      <c r="AL225" s="820">
        <f t="shared" si="55"/>
        <v>0</v>
      </c>
      <c r="AM225" s="820">
        <f t="shared" si="55"/>
        <v>0</v>
      </c>
      <c r="AN225" s="820">
        <f t="shared" si="55"/>
        <v>0</v>
      </c>
      <c r="AO225" s="820">
        <f t="shared" si="55"/>
        <v>0</v>
      </c>
      <c r="AP225" s="820">
        <f t="shared" si="55"/>
        <v>0</v>
      </c>
      <c r="AQ225" s="820">
        <f t="shared" si="55"/>
        <v>0</v>
      </c>
      <c r="AR225" s="820">
        <f t="shared" si="55"/>
        <v>0</v>
      </c>
      <c r="AS225" s="57">
        <f t="shared" si="55"/>
        <v>0</v>
      </c>
      <c r="AT225" s="820">
        <f t="shared" si="55"/>
        <v>0</v>
      </c>
      <c r="AU225" s="820">
        <f t="shared" si="55"/>
        <v>0</v>
      </c>
      <c r="AV225" s="820">
        <f t="shared" si="55"/>
        <v>0</v>
      </c>
      <c r="AW225" s="820">
        <f t="shared" si="55"/>
        <v>0</v>
      </c>
      <c r="AX225" s="820">
        <f t="shared" si="55"/>
        <v>0</v>
      </c>
      <c r="AY225" s="820">
        <f t="shared" si="55"/>
        <v>0</v>
      </c>
      <c r="AZ225" s="820">
        <f t="shared" si="55"/>
        <v>0</v>
      </c>
      <c r="BA225" s="820">
        <f t="shared" si="55"/>
        <v>0</v>
      </c>
      <c r="BB225" s="820">
        <f t="shared" si="55"/>
        <v>0</v>
      </c>
      <c r="BC225" s="775"/>
      <c r="BF225" s="671" t="s">
        <v>608</v>
      </c>
    </row>
    <row r="226" spans="5:58" ht="14.25" hidden="1" customHeight="1" x14ac:dyDescent="0.15">
      <c r="E226" s="461">
        <v>15</v>
      </c>
      <c r="F226" s="3" t="str" cm="1">
        <f t="array" aca="1" ref="F226" ca="1">OFFSET(E226,-1,1)</f>
        <v>2</v>
      </c>
      <c r="H226" s="17" t="s">
        <v>609</v>
      </c>
      <c r="T226" s="353" t="b" cm="1">
        <f t="array" ref="T226">T225</f>
        <v>0</v>
      </c>
      <c r="X226" s="990"/>
      <c r="Y226" s="966"/>
      <c r="AB226" s="153" t="s">
        <v>610</v>
      </c>
      <c r="AC226" s="235" t="s">
        <v>611</v>
      </c>
      <c r="AD226" s="12" t="s">
        <v>558</v>
      </c>
      <c r="AE226" s="223">
        <f t="shared" ref="AE226:BB226" si="56">AE227+AE231+AE234+AE244</f>
        <v>0</v>
      </c>
      <c r="AF226" s="223">
        <f t="shared" si="56"/>
        <v>0</v>
      </c>
      <c r="AG226" s="223">
        <f t="shared" si="56"/>
        <v>0</v>
      </c>
      <c r="AH226" s="223">
        <f t="shared" si="56"/>
        <v>0</v>
      </c>
      <c r="AI226" s="223">
        <f t="shared" si="56"/>
        <v>0</v>
      </c>
      <c r="AJ226" s="223">
        <f t="shared" si="56"/>
        <v>0</v>
      </c>
      <c r="AK226" s="223">
        <f t="shared" si="56"/>
        <v>0</v>
      </c>
      <c r="AL226" s="223">
        <f t="shared" si="56"/>
        <v>0</v>
      </c>
      <c r="AM226" s="223">
        <f t="shared" si="56"/>
        <v>0</v>
      </c>
      <c r="AN226" s="223">
        <f t="shared" si="56"/>
        <v>0</v>
      </c>
      <c r="AO226" s="223">
        <f t="shared" si="56"/>
        <v>0</v>
      </c>
      <c r="AP226" s="223">
        <f t="shared" si="56"/>
        <v>0</v>
      </c>
      <c r="AQ226" s="223">
        <f t="shared" si="56"/>
        <v>0</v>
      </c>
      <c r="AR226" s="223">
        <f t="shared" si="56"/>
        <v>0</v>
      </c>
      <c r="AS226" s="223">
        <f t="shared" si="56"/>
        <v>0</v>
      </c>
      <c r="AT226" s="223">
        <f t="shared" si="56"/>
        <v>0</v>
      </c>
      <c r="AU226" s="223">
        <f t="shared" si="56"/>
        <v>0</v>
      </c>
      <c r="AV226" s="223">
        <f t="shared" si="56"/>
        <v>0</v>
      </c>
      <c r="AW226" s="223">
        <f t="shared" si="56"/>
        <v>0</v>
      </c>
      <c r="AX226" s="223">
        <f t="shared" si="56"/>
        <v>0</v>
      </c>
      <c r="AY226" s="223">
        <f t="shared" si="56"/>
        <v>0</v>
      </c>
      <c r="AZ226" s="223">
        <f t="shared" si="56"/>
        <v>0</v>
      </c>
      <c r="BA226" s="223">
        <f t="shared" si="56"/>
        <v>0</v>
      </c>
      <c r="BB226" s="223">
        <f t="shared" si="56"/>
        <v>0</v>
      </c>
      <c r="BC226" s="775"/>
      <c r="BF226" s="671" t="s">
        <v>612</v>
      </c>
    </row>
    <row r="227" spans="5:58" ht="14.25" hidden="1" customHeight="1" x14ac:dyDescent="0.15">
      <c r="E227" s="461">
        <v>15</v>
      </c>
      <c r="F227" s="3" t="str" cm="1">
        <f t="array" aca="1" ref="F227" ca="1">OFFSET(E227,-1,1)</f>
        <v>2</v>
      </c>
      <c r="G227" s="17" t="str">
        <f>IF(OwnNeedsInPO="да","ПО","")</f>
        <v/>
      </c>
      <c r="H227" s="17" t="s">
        <v>613</v>
      </c>
      <c r="T227" s="353" t="b" cm="1">
        <f t="array" ref="T227">T226</f>
        <v>0</v>
      </c>
      <c r="X227" s="990"/>
      <c r="Y227" s="966"/>
      <c r="AB227" s="153" t="s">
        <v>614</v>
      </c>
      <c r="AC227" s="105" t="s">
        <v>615</v>
      </c>
      <c r="AD227" s="12" t="s">
        <v>558</v>
      </c>
      <c r="AE227" s="223">
        <f t="shared" ref="AE227:BB227" si="57">SUM(AE228:AE230)</f>
        <v>0</v>
      </c>
      <c r="AF227" s="223">
        <f t="shared" si="57"/>
        <v>0</v>
      </c>
      <c r="AG227" s="223">
        <f t="shared" si="57"/>
        <v>0</v>
      </c>
      <c r="AH227" s="223">
        <f t="shared" si="57"/>
        <v>0</v>
      </c>
      <c r="AI227" s="223">
        <f t="shared" si="57"/>
        <v>0</v>
      </c>
      <c r="AJ227" s="223">
        <f t="shared" si="57"/>
        <v>0</v>
      </c>
      <c r="AK227" s="223">
        <f t="shared" si="57"/>
        <v>0</v>
      </c>
      <c r="AL227" s="223">
        <f t="shared" si="57"/>
        <v>0</v>
      </c>
      <c r="AM227" s="223">
        <f t="shared" si="57"/>
        <v>0</v>
      </c>
      <c r="AN227" s="223">
        <f t="shared" si="57"/>
        <v>0</v>
      </c>
      <c r="AO227" s="223">
        <f t="shared" si="57"/>
        <v>0</v>
      </c>
      <c r="AP227" s="223">
        <f t="shared" si="57"/>
        <v>0</v>
      </c>
      <c r="AQ227" s="223">
        <f t="shared" si="57"/>
        <v>0</v>
      </c>
      <c r="AR227" s="223">
        <f t="shared" si="57"/>
        <v>0</v>
      </c>
      <c r="AS227" s="223">
        <f t="shared" si="57"/>
        <v>0</v>
      </c>
      <c r="AT227" s="223">
        <f t="shared" si="57"/>
        <v>0</v>
      </c>
      <c r="AU227" s="223">
        <f t="shared" si="57"/>
        <v>0</v>
      </c>
      <c r="AV227" s="223">
        <f t="shared" si="57"/>
        <v>0</v>
      </c>
      <c r="AW227" s="223">
        <f t="shared" si="57"/>
        <v>0</v>
      </c>
      <c r="AX227" s="223">
        <f t="shared" si="57"/>
        <v>0</v>
      </c>
      <c r="AY227" s="223">
        <f t="shared" si="57"/>
        <v>0</v>
      </c>
      <c r="AZ227" s="223">
        <f t="shared" si="57"/>
        <v>0</v>
      </c>
      <c r="BA227" s="223">
        <f t="shared" si="57"/>
        <v>0</v>
      </c>
      <c r="BB227" s="223">
        <f t="shared" si="57"/>
        <v>0</v>
      </c>
      <c r="BC227" s="775"/>
      <c r="BF227" s="671" t="s">
        <v>616</v>
      </c>
    </row>
    <row r="228" spans="5:58" ht="14.25" hidden="1" customHeight="1" x14ac:dyDescent="0.15">
      <c r="E228" s="461">
        <v>15</v>
      </c>
      <c r="F228" s="3" t="str" cm="1">
        <f t="array" aca="1" ref="F228" ca="1">OFFSET(E228,-1,1)</f>
        <v>2</v>
      </c>
      <c r="H228" s="17" t="s">
        <v>617</v>
      </c>
      <c r="T228" s="353" t="b" cm="1">
        <f t="array" ref="T228">T227</f>
        <v>0</v>
      </c>
      <c r="X228" s="990"/>
      <c r="Y228" s="966"/>
      <c r="AB228" s="153" t="s">
        <v>618</v>
      </c>
      <c r="AC228" s="237" t="s">
        <v>619</v>
      </c>
      <c r="AD228" s="12" t="s">
        <v>558</v>
      </c>
      <c r="AE228" s="836"/>
      <c r="AF228" s="836"/>
      <c r="AG228" s="836"/>
      <c r="AH228" s="836"/>
      <c r="AI228" s="191"/>
      <c r="AJ228" s="836"/>
      <c r="AK228" s="836"/>
      <c r="AL228" s="836"/>
      <c r="AM228" s="836"/>
      <c r="AN228" s="836"/>
      <c r="AO228" s="836"/>
      <c r="AP228" s="836"/>
      <c r="AQ228" s="836"/>
      <c r="AR228" s="836"/>
      <c r="AS228" s="191"/>
      <c r="AT228" s="836"/>
      <c r="AU228" s="836"/>
      <c r="AV228" s="836"/>
      <c r="AW228" s="836"/>
      <c r="AX228" s="836"/>
      <c r="AY228" s="836"/>
      <c r="AZ228" s="836"/>
      <c r="BA228" s="836"/>
      <c r="BB228" s="836"/>
      <c r="BC228" s="775"/>
      <c r="BF228" s="671" t="s">
        <v>620</v>
      </c>
    </row>
    <row r="229" spans="5:58" ht="14.25" hidden="1" customHeight="1" x14ac:dyDescent="0.15">
      <c r="E229" s="461">
        <v>15</v>
      </c>
      <c r="F229" s="3" t="str" cm="1">
        <f t="array" aca="1" ref="F229" ca="1">OFFSET(E229,-1,1)</f>
        <v>2</v>
      </c>
      <c r="H229" s="17" t="s">
        <v>621</v>
      </c>
      <c r="T229" s="353" t="b" cm="1">
        <f t="array" ref="T229">T228</f>
        <v>0</v>
      </c>
      <c r="X229" s="990"/>
      <c r="Y229" s="966"/>
      <c r="AB229" s="153" t="s">
        <v>622</v>
      </c>
      <c r="AC229" s="237" t="s">
        <v>623</v>
      </c>
      <c r="AD229" s="12" t="s">
        <v>558</v>
      </c>
      <c r="AE229" s="836"/>
      <c r="AF229" s="836"/>
      <c r="AG229" s="836"/>
      <c r="AH229" s="836"/>
      <c r="AI229" s="191"/>
      <c r="AJ229" s="836"/>
      <c r="AK229" s="836"/>
      <c r="AL229" s="836"/>
      <c r="AM229" s="836"/>
      <c r="AN229" s="836"/>
      <c r="AO229" s="836"/>
      <c r="AP229" s="836"/>
      <c r="AQ229" s="836"/>
      <c r="AR229" s="836"/>
      <c r="AS229" s="191"/>
      <c r="AT229" s="836"/>
      <c r="AU229" s="836"/>
      <c r="AV229" s="836"/>
      <c r="AW229" s="836"/>
      <c r="AX229" s="836"/>
      <c r="AY229" s="836"/>
      <c r="AZ229" s="836"/>
      <c r="BA229" s="836"/>
      <c r="BB229" s="836"/>
      <c r="BC229" s="775"/>
      <c r="BF229" s="671" t="s">
        <v>624</v>
      </c>
    </row>
    <row r="230" spans="5:58" ht="14.25" hidden="1" customHeight="1" x14ac:dyDescent="0.15">
      <c r="E230" s="461">
        <v>15</v>
      </c>
      <c r="F230" s="3" t="str" cm="1">
        <f t="array" aca="1" ref="F230" ca="1">OFFSET(E230,-1,1)</f>
        <v>2</v>
      </c>
      <c r="H230" s="17" t="s">
        <v>625</v>
      </c>
      <c r="T230" s="353" t="b" cm="1">
        <f t="array" ref="T230">T229</f>
        <v>0</v>
      </c>
      <c r="X230" s="990"/>
      <c r="Y230" s="966"/>
      <c r="AB230" s="153" t="s">
        <v>626</v>
      </c>
      <c r="AC230" s="237" t="s">
        <v>627</v>
      </c>
      <c r="AD230" s="12" t="s">
        <v>558</v>
      </c>
      <c r="AE230" s="836"/>
      <c r="AF230" s="836"/>
      <c r="AG230" s="836"/>
      <c r="AH230" s="836"/>
      <c r="AI230" s="191"/>
      <c r="AJ230" s="836"/>
      <c r="AK230" s="836"/>
      <c r="AL230" s="836"/>
      <c r="AM230" s="836"/>
      <c r="AN230" s="836"/>
      <c r="AO230" s="836"/>
      <c r="AP230" s="836"/>
      <c r="AQ230" s="836"/>
      <c r="AR230" s="836"/>
      <c r="AS230" s="191"/>
      <c r="AT230" s="836"/>
      <c r="AU230" s="836"/>
      <c r="AV230" s="836"/>
      <c r="AW230" s="836"/>
      <c r="AX230" s="836"/>
      <c r="AY230" s="836"/>
      <c r="AZ230" s="836"/>
      <c r="BA230" s="836"/>
      <c r="BB230" s="836"/>
      <c r="BC230" s="775"/>
      <c r="BF230" s="671" t="s">
        <v>628</v>
      </c>
    </row>
    <row r="231" spans="5:58" ht="14.25" hidden="1" customHeight="1" x14ac:dyDescent="0.15">
      <c r="E231" s="461">
        <v>15</v>
      </c>
      <c r="F231" s="3" t="str" cm="1">
        <f t="array" aca="1" ref="F231" ca="1">OFFSET(E231,-1,1)</f>
        <v>2</v>
      </c>
      <c r="G231" s="17" t="s">
        <v>629</v>
      </c>
      <c r="H231" s="17" t="s">
        <v>630</v>
      </c>
      <c r="T231" s="353" t="b" cm="1">
        <f t="array" ref="T231">T230</f>
        <v>0</v>
      </c>
      <c r="X231" s="990"/>
      <c r="Y231" s="966"/>
      <c r="AB231" s="153" t="s">
        <v>631</v>
      </c>
      <c r="AC231" s="105" t="s">
        <v>632</v>
      </c>
      <c r="AD231" s="12" t="s">
        <v>558</v>
      </c>
      <c r="AE231" s="223">
        <f t="shared" ref="AE231:BB231" si="58">SUM(AE232:AE233)</f>
        <v>0</v>
      </c>
      <c r="AF231" s="223">
        <f t="shared" si="58"/>
        <v>0</v>
      </c>
      <c r="AG231" s="223">
        <f t="shared" si="58"/>
        <v>0</v>
      </c>
      <c r="AH231" s="223">
        <f t="shared" si="58"/>
        <v>0</v>
      </c>
      <c r="AI231" s="223">
        <f t="shared" si="58"/>
        <v>0</v>
      </c>
      <c r="AJ231" s="223">
        <f t="shared" si="58"/>
        <v>0</v>
      </c>
      <c r="AK231" s="223">
        <f t="shared" si="58"/>
        <v>0</v>
      </c>
      <c r="AL231" s="223">
        <f t="shared" si="58"/>
        <v>0</v>
      </c>
      <c r="AM231" s="223">
        <f t="shared" si="58"/>
        <v>0</v>
      </c>
      <c r="AN231" s="223">
        <f t="shared" si="58"/>
        <v>0</v>
      </c>
      <c r="AO231" s="223">
        <f t="shared" si="58"/>
        <v>0</v>
      </c>
      <c r="AP231" s="223">
        <f t="shared" si="58"/>
        <v>0</v>
      </c>
      <c r="AQ231" s="223">
        <f t="shared" si="58"/>
        <v>0</v>
      </c>
      <c r="AR231" s="223">
        <f t="shared" si="58"/>
        <v>0</v>
      </c>
      <c r="AS231" s="223">
        <f t="shared" si="58"/>
        <v>0</v>
      </c>
      <c r="AT231" s="223">
        <f t="shared" si="58"/>
        <v>0</v>
      </c>
      <c r="AU231" s="223">
        <f t="shared" si="58"/>
        <v>0</v>
      </c>
      <c r="AV231" s="223">
        <f t="shared" si="58"/>
        <v>0</v>
      </c>
      <c r="AW231" s="223">
        <f t="shared" si="58"/>
        <v>0</v>
      </c>
      <c r="AX231" s="223">
        <f t="shared" si="58"/>
        <v>0</v>
      </c>
      <c r="AY231" s="223">
        <f t="shared" si="58"/>
        <v>0</v>
      </c>
      <c r="AZ231" s="223">
        <f t="shared" si="58"/>
        <v>0</v>
      </c>
      <c r="BA231" s="223">
        <f t="shared" si="58"/>
        <v>0</v>
      </c>
      <c r="BB231" s="223">
        <f t="shared" si="58"/>
        <v>0</v>
      </c>
      <c r="BC231" s="775"/>
      <c r="BF231" s="671" t="s">
        <v>633</v>
      </c>
    </row>
    <row r="232" spans="5:58" ht="14.25" hidden="1" customHeight="1" x14ac:dyDescent="0.15">
      <c r="E232" s="461">
        <v>15</v>
      </c>
      <c r="F232" s="3" t="str" cm="1">
        <f t="array" aca="1" ref="F232" ca="1">OFFSET(E232,-1,1)</f>
        <v>2</v>
      </c>
      <c r="H232" s="17" t="s">
        <v>634</v>
      </c>
      <c r="T232" s="353" t="b" cm="1">
        <f t="array" ref="T232">T231</f>
        <v>0</v>
      </c>
      <c r="X232" s="990"/>
      <c r="Y232" s="966"/>
      <c r="AB232" s="153" t="s">
        <v>635</v>
      </c>
      <c r="AC232" s="237" t="s">
        <v>636</v>
      </c>
      <c r="AD232" s="12" t="s">
        <v>558</v>
      </c>
      <c r="AE232" s="836"/>
      <c r="AF232" s="836"/>
      <c r="AG232" s="836"/>
      <c r="AH232" s="836"/>
      <c r="AI232" s="191"/>
      <c r="AJ232" s="836"/>
      <c r="AK232" s="836"/>
      <c r="AL232" s="836"/>
      <c r="AM232" s="836"/>
      <c r="AN232" s="836"/>
      <c r="AO232" s="836"/>
      <c r="AP232" s="836"/>
      <c r="AQ232" s="836"/>
      <c r="AR232" s="836"/>
      <c r="AS232" s="191"/>
      <c r="AT232" s="836"/>
      <c r="AU232" s="836"/>
      <c r="AV232" s="836"/>
      <c r="AW232" s="836"/>
      <c r="AX232" s="836"/>
      <c r="AY232" s="836"/>
      <c r="AZ232" s="836"/>
      <c r="BA232" s="836"/>
      <c r="BB232" s="836"/>
      <c r="BC232" s="775"/>
      <c r="BF232" s="671" t="s">
        <v>637</v>
      </c>
    </row>
    <row r="233" spans="5:58" ht="14.25" hidden="1" customHeight="1" x14ac:dyDescent="0.15">
      <c r="E233" s="461">
        <v>15</v>
      </c>
      <c r="F233" s="3" t="str" cm="1">
        <f t="array" aca="1" ref="F233" ca="1">OFFSET(E233,-1,1)</f>
        <v>2</v>
      </c>
      <c r="H233" s="17" t="s">
        <v>638</v>
      </c>
      <c r="T233" s="353" t="b" cm="1">
        <f t="array" ref="T233">T232</f>
        <v>0</v>
      </c>
      <c r="X233" s="990"/>
      <c r="Y233" s="966"/>
      <c r="AB233" s="153" t="s">
        <v>639</v>
      </c>
      <c r="AC233" s="237" t="s">
        <v>640</v>
      </c>
      <c r="AD233" s="12" t="s">
        <v>558</v>
      </c>
      <c r="AE233" s="836"/>
      <c r="AF233" s="836"/>
      <c r="AG233" s="836"/>
      <c r="AH233" s="836"/>
      <c r="AI233" s="191"/>
      <c r="AJ233" s="836"/>
      <c r="AK233" s="836"/>
      <c r="AL233" s="836"/>
      <c r="AM233" s="836"/>
      <c r="AN233" s="836"/>
      <c r="AO233" s="836"/>
      <c r="AP233" s="836"/>
      <c r="AQ233" s="836"/>
      <c r="AR233" s="836"/>
      <c r="AS233" s="191"/>
      <c r="AT233" s="836"/>
      <c r="AU233" s="836"/>
      <c r="AV233" s="836"/>
      <c r="AW233" s="836"/>
      <c r="AX233" s="836"/>
      <c r="AY233" s="836"/>
      <c r="AZ233" s="836"/>
      <c r="BA233" s="836"/>
      <c r="BB233" s="836"/>
      <c r="BC233" s="775"/>
      <c r="BF233" s="671" t="s">
        <v>641</v>
      </c>
    </row>
    <row r="234" spans="5:58" ht="14.25" hidden="1" customHeight="1" x14ac:dyDescent="0.15">
      <c r="E234" s="461">
        <v>15</v>
      </c>
      <c r="F234" s="3" t="str" cm="1">
        <f t="array" aca="1" ref="F234" ca="1">OFFSET(E234,-1,1)</f>
        <v>2</v>
      </c>
      <c r="G234" s="17" t="s">
        <v>629</v>
      </c>
      <c r="H234" s="17" t="s">
        <v>642</v>
      </c>
      <c r="T234" s="353" t="b" cm="1">
        <f t="array" ref="T234">T233</f>
        <v>0</v>
      </c>
      <c r="X234" s="990"/>
      <c r="Y234" s="966"/>
      <c r="AB234" s="153" t="s">
        <v>643</v>
      </c>
      <c r="AC234" s="105" t="s">
        <v>644</v>
      </c>
      <c r="AD234" s="12" t="s">
        <v>558</v>
      </c>
      <c r="AE234" s="223">
        <f t="shared" ref="AE234:BB234" si="59">AE235+AE238+AE241</f>
        <v>0</v>
      </c>
      <c r="AF234" s="223">
        <f t="shared" si="59"/>
        <v>0</v>
      </c>
      <c r="AG234" s="223">
        <f t="shared" si="59"/>
        <v>0</v>
      </c>
      <c r="AH234" s="223">
        <f t="shared" si="59"/>
        <v>0</v>
      </c>
      <c r="AI234" s="223">
        <f t="shared" si="59"/>
        <v>0</v>
      </c>
      <c r="AJ234" s="223">
        <f t="shared" si="59"/>
        <v>0</v>
      </c>
      <c r="AK234" s="223">
        <f t="shared" si="59"/>
        <v>0</v>
      </c>
      <c r="AL234" s="223">
        <f t="shared" si="59"/>
        <v>0</v>
      </c>
      <c r="AM234" s="223">
        <f t="shared" si="59"/>
        <v>0</v>
      </c>
      <c r="AN234" s="223">
        <f t="shared" si="59"/>
        <v>0</v>
      </c>
      <c r="AO234" s="223">
        <f t="shared" si="59"/>
        <v>0</v>
      </c>
      <c r="AP234" s="223">
        <f t="shared" si="59"/>
        <v>0</v>
      </c>
      <c r="AQ234" s="223">
        <f t="shared" si="59"/>
        <v>0</v>
      </c>
      <c r="AR234" s="223">
        <f t="shared" si="59"/>
        <v>0</v>
      </c>
      <c r="AS234" s="223">
        <f t="shared" si="59"/>
        <v>0</v>
      </c>
      <c r="AT234" s="223">
        <f t="shared" si="59"/>
        <v>0</v>
      </c>
      <c r="AU234" s="223">
        <f t="shared" si="59"/>
        <v>0</v>
      </c>
      <c r="AV234" s="223">
        <f t="shared" si="59"/>
        <v>0</v>
      </c>
      <c r="AW234" s="223">
        <f t="shared" si="59"/>
        <v>0</v>
      </c>
      <c r="AX234" s="223">
        <f t="shared" si="59"/>
        <v>0</v>
      </c>
      <c r="AY234" s="223">
        <f t="shared" si="59"/>
        <v>0</v>
      </c>
      <c r="AZ234" s="223">
        <f t="shared" si="59"/>
        <v>0</v>
      </c>
      <c r="BA234" s="223">
        <f t="shared" si="59"/>
        <v>0</v>
      </c>
      <c r="BB234" s="223">
        <f t="shared" si="59"/>
        <v>0</v>
      </c>
      <c r="BC234" s="775"/>
      <c r="BF234" s="671" t="s">
        <v>645</v>
      </c>
    </row>
    <row r="235" spans="5:58" ht="14.25" hidden="1" customHeight="1" x14ac:dyDescent="0.15">
      <c r="E235" s="461">
        <v>15</v>
      </c>
      <c r="F235" s="3" t="str" cm="1">
        <f t="array" aca="1" ref="F235" ca="1">OFFSET(E235,-1,1)</f>
        <v>2</v>
      </c>
      <c r="H235" s="17" t="s">
        <v>646</v>
      </c>
      <c r="T235" s="353" t="b" cm="1">
        <f t="array" ref="T235">T234</f>
        <v>0</v>
      </c>
      <c r="X235" s="990"/>
      <c r="Y235" s="966"/>
      <c r="AB235" s="153" t="s">
        <v>647</v>
      </c>
      <c r="AC235" s="237" t="s">
        <v>648</v>
      </c>
      <c r="AD235" s="12" t="s">
        <v>558</v>
      </c>
      <c r="AE235" s="223">
        <f t="shared" ref="AE235:BB235" si="60">SUM(AE236:AE237)</f>
        <v>0</v>
      </c>
      <c r="AF235" s="223">
        <f t="shared" si="60"/>
        <v>0</v>
      </c>
      <c r="AG235" s="223">
        <f t="shared" si="60"/>
        <v>0</v>
      </c>
      <c r="AH235" s="223">
        <f t="shared" si="60"/>
        <v>0</v>
      </c>
      <c r="AI235" s="223">
        <f t="shared" si="60"/>
        <v>0</v>
      </c>
      <c r="AJ235" s="223">
        <f t="shared" si="60"/>
        <v>0</v>
      </c>
      <c r="AK235" s="223">
        <f t="shared" si="60"/>
        <v>0</v>
      </c>
      <c r="AL235" s="223">
        <f t="shared" si="60"/>
        <v>0</v>
      </c>
      <c r="AM235" s="223">
        <f t="shared" si="60"/>
        <v>0</v>
      </c>
      <c r="AN235" s="223">
        <f t="shared" si="60"/>
        <v>0</v>
      </c>
      <c r="AO235" s="223">
        <f t="shared" si="60"/>
        <v>0</v>
      </c>
      <c r="AP235" s="223">
        <f t="shared" si="60"/>
        <v>0</v>
      </c>
      <c r="AQ235" s="223">
        <f t="shared" si="60"/>
        <v>0</v>
      </c>
      <c r="AR235" s="223">
        <f t="shared" si="60"/>
        <v>0</v>
      </c>
      <c r="AS235" s="223">
        <f t="shared" si="60"/>
        <v>0</v>
      </c>
      <c r="AT235" s="223">
        <f t="shared" si="60"/>
        <v>0</v>
      </c>
      <c r="AU235" s="223">
        <f t="shared" si="60"/>
        <v>0</v>
      </c>
      <c r="AV235" s="223">
        <f t="shared" si="60"/>
        <v>0</v>
      </c>
      <c r="AW235" s="223">
        <f t="shared" si="60"/>
        <v>0</v>
      </c>
      <c r="AX235" s="223">
        <f t="shared" si="60"/>
        <v>0</v>
      </c>
      <c r="AY235" s="223">
        <f t="shared" si="60"/>
        <v>0</v>
      </c>
      <c r="AZ235" s="223">
        <f t="shared" si="60"/>
        <v>0</v>
      </c>
      <c r="BA235" s="223">
        <f t="shared" si="60"/>
        <v>0</v>
      </c>
      <c r="BB235" s="223">
        <f t="shared" si="60"/>
        <v>0</v>
      </c>
      <c r="BC235" s="775"/>
      <c r="BF235" s="671" t="s">
        <v>649</v>
      </c>
    </row>
    <row r="236" spans="5:58" ht="14.25" hidden="1" customHeight="1" x14ac:dyDescent="0.15">
      <c r="E236" s="461">
        <v>15</v>
      </c>
      <c r="F236" s="3" t="str" cm="1">
        <f t="array" aca="1" ref="F236" ca="1">OFFSET(E236,-1,1)</f>
        <v>2</v>
      </c>
      <c r="H236" s="17" t="s">
        <v>650</v>
      </c>
      <c r="T236" s="353" t="b" cm="1">
        <f t="array" ref="T236">T235</f>
        <v>0</v>
      </c>
      <c r="X236" s="990"/>
      <c r="Y236" s="966"/>
      <c r="AB236" s="153" t="s">
        <v>651</v>
      </c>
      <c r="AC236" s="238" t="s">
        <v>636</v>
      </c>
      <c r="AD236" s="12" t="s">
        <v>558</v>
      </c>
      <c r="AE236" s="836"/>
      <c r="AF236" s="836"/>
      <c r="AG236" s="836"/>
      <c r="AH236" s="836"/>
      <c r="AI236" s="191"/>
      <c r="AJ236" s="836"/>
      <c r="AK236" s="836"/>
      <c r="AL236" s="836"/>
      <c r="AM236" s="836"/>
      <c r="AN236" s="836"/>
      <c r="AO236" s="836"/>
      <c r="AP236" s="836"/>
      <c r="AQ236" s="836"/>
      <c r="AR236" s="836"/>
      <c r="AS236" s="191"/>
      <c r="AT236" s="836"/>
      <c r="AU236" s="836"/>
      <c r="AV236" s="836"/>
      <c r="AW236" s="836"/>
      <c r="AX236" s="836"/>
      <c r="AY236" s="836"/>
      <c r="AZ236" s="836"/>
      <c r="BA236" s="836"/>
      <c r="BB236" s="836"/>
      <c r="BC236" s="775"/>
      <c r="BF236" s="671" t="s">
        <v>652</v>
      </c>
    </row>
    <row r="237" spans="5:58" ht="14.25" hidden="1" customHeight="1" x14ac:dyDescent="0.15">
      <c r="E237" s="461">
        <v>15</v>
      </c>
      <c r="F237" s="3" t="str" cm="1">
        <f t="array" aca="1" ref="F237" ca="1">OFFSET(E237,-1,1)</f>
        <v>2</v>
      </c>
      <c r="H237" s="17" t="s">
        <v>653</v>
      </c>
      <c r="T237" s="353" t="b" cm="1">
        <f t="array" ref="T237">T236</f>
        <v>0</v>
      </c>
      <c r="X237" s="990"/>
      <c r="Y237" s="966"/>
      <c r="AB237" s="153" t="s">
        <v>654</v>
      </c>
      <c r="AC237" s="238" t="s">
        <v>640</v>
      </c>
      <c r="AD237" s="12" t="s">
        <v>558</v>
      </c>
      <c r="AE237" s="836"/>
      <c r="AF237" s="836"/>
      <c r="AG237" s="836"/>
      <c r="AH237" s="836"/>
      <c r="AI237" s="191"/>
      <c r="AJ237" s="836"/>
      <c r="AK237" s="836"/>
      <c r="AL237" s="836"/>
      <c r="AM237" s="836"/>
      <c r="AN237" s="836"/>
      <c r="AO237" s="836"/>
      <c r="AP237" s="836"/>
      <c r="AQ237" s="836"/>
      <c r="AR237" s="836"/>
      <c r="AS237" s="191"/>
      <c r="AT237" s="836"/>
      <c r="AU237" s="836"/>
      <c r="AV237" s="836"/>
      <c r="AW237" s="836"/>
      <c r="AX237" s="836"/>
      <c r="AY237" s="836"/>
      <c r="AZ237" s="836"/>
      <c r="BA237" s="836"/>
      <c r="BB237" s="836"/>
      <c r="BC237" s="775"/>
      <c r="BF237" s="671" t="s">
        <v>655</v>
      </c>
    </row>
    <row r="238" spans="5:58" ht="14.25" hidden="1" customHeight="1" x14ac:dyDescent="0.15">
      <c r="E238" s="461">
        <v>15</v>
      </c>
      <c r="F238" s="3" t="str" cm="1">
        <f t="array" aca="1" ref="F238" ca="1">OFFSET(E238,-1,1)</f>
        <v>2</v>
      </c>
      <c r="G238" s="17" t="s">
        <v>656</v>
      </c>
      <c r="H238" s="17" t="s">
        <v>657</v>
      </c>
      <c r="T238" s="353" t="b" cm="1">
        <f t="array" ref="T238">T237</f>
        <v>0</v>
      </c>
      <c r="X238" s="990"/>
      <c r="Y238" s="966"/>
      <c r="AB238" s="153" t="s">
        <v>658</v>
      </c>
      <c r="AC238" s="237" t="s">
        <v>659</v>
      </c>
      <c r="AD238" s="12" t="s">
        <v>558</v>
      </c>
      <c r="AE238" s="223">
        <f t="shared" ref="AE238:BB238" si="61">SUM(AE239:AE240)</f>
        <v>0</v>
      </c>
      <c r="AF238" s="223">
        <f t="shared" si="61"/>
        <v>0</v>
      </c>
      <c r="AG238" s="223">
        <f t="shared" si="61"/>
        <v>0</v>
      </c>
      <c r="AH238" s="223">
        <f t="shared" si="61"/>
        <v>0</v>
      </c>
      <c r="AI238" s="223">
        <f t="shared" si="61"/>
        <v>0</v>
      </c>
      <c r="AJ238" s="223">
        <f t="shared" si="61"/>
        <v>0</v>
      </c>
      <c r="AK238" s="223">
        <f t="shared" si="61"/>
        <v>0</v>
      </c>
      <c r="AL238" s="223">
        <f t="shared" si="61"/>
        <v>0</v>
      </c>
      <c r="AM238" s="223">
        <f t="shared" si="61"/>
        <v>0</v>
      </c>
      <c r="AN238" s="223">
        <f t="shared" si="61"/>
        <v>0</v>
      </c>
      <c r="AO238" s="223">
        <f t="shared" si="61"/>
        <v>0</v>
      </c>
      <c r="AP238" s="223">
        <f t="shared" si="61"/>
        <v>0</v>
      </c>
      <c r="AQ238" s="223">
        <f t="shared" si="61"/>
        <v>0</v>
      </c>
      <c r="AR238" s="223">
        <f t="shared" si="61"/>
        <v>0</v>
      </c>
      <c r="AS238" s="223">
        <f t="shared" si="61"/>
        <v>0</v>
      </c>
      <c r="AT238" s="223">
        <f t="shared" si="61"/>
        <v>0</v>
      </c>
      <c r="AU238" s="223">
        <f t="shared" si="61"/>
        <v>0</v>
      </c>
      <c r="AV238" s="223">
        <f t="shared" si="61"/>
        <v>0</v>
      </c>
      <c r="AW238" s="223">
        <f t="shared" si="61"/>
        <v>0</v>
      </c>
      <c r="AX238" s="223">
        <f t="shared" si="61"/>
        <v>0</v>
      </c>
      <c r="AY238" s="223">
        <f t="shared" si="61"/>
        <v>0</v>
      </c>
      <c r="AZ238" s="223">
        <f t="shared" si="61"/>
        <v>0</v>
      </c>
      <c r="BA238" s="223">
        <f t="shared" si="61"/>
        <v>0</v>
      </c>
      <c r="BB238" s="223">
        <f t="shared" si="61"/>
        <v>0</v>
      </c>
      <c r="BC238" s="775"/>
      <c r="BF238" s="671" t="s">
        <v>660</v>
      </c>
    </row>
    <row r="239" spans="5:58" ht="14.25" hidden="1" customHeight="1" x14ac:dyDescent="0.15">
      <c r="E239" s="461">
        <v>15</v>
      </c>
      <c r="F239" s="3" t="str" cm="1">
        <f t="array" aca="1" ref="F239" ca="1">OFFSET(E239,-1,1)</f>
        <v>2</v>
      </c>
      <c r="H239" s="17" t="s">
        <v>661</v>
      </c>
      <c r="T239" s="353" t="b" cm="1">
        <f t="array" ref="T239">T238</f>
        <v>0</v>
      </c>
      <c r="X239" s="990"/>
      <c r="Y239" s="966"/>
      <c r="AB239" s="153" t="s">
        <v>662</v>
      </c>
      <c r="AC239" s="238" t="s">
        <v>636</v>
      </c>
      <c r="AD239" s="12" t="s">
        <v>558</v>
      </c>
      <c r="AE239" s="836"/>
      <c r="AF239" s="836"/>
      <c r="AG239" s="836"/>
      <c r="AH239" s="836"/>
      <c r="AI239" s="191"/>
      <c r="AJ239" s="836"/>
      <c r="AK239" s="836"/>
      <c r="AL239" s="836"/>
      <c r="AM239" s="836"/>
      <c r="AN239" s="836"/>
      <c r="AO239" s="836"/>
      <c r="AP239" s="836"/>
      <c r="AQ239" s="836"/>
      <c r="AR239" s="836"/>
      <c r="AS239" s="191"/>
      <c r="AT239" s="836"/>
      <c r="AU239" s="836"/>
      <c r="AV239" s="836"/>
      <c r="AW239" s="836"/>
      <c r="AX239" s="836"/>
      <c r="AY239" s="836"/>
      <c r="AZ239" s="836"/>
      <c r="BA239" s="836"/>
      <c r="BB239" s="836"/>
      <c r="BC239" s="775"/>
      <c r="BF239" s="671" t="s">
        <v>663</v>
      </c>
    </row>
    <row r="240" spans="5:58" ht="14.25" hidden="1" customHeight="1" x14ac:dyDescent="0.15">
      <c r="E240" s="461">
        <v>15</v>
      </c>
      <c r="F240" s="3" t="str" cm="1">
        <f t="array" aca="1" ref="F240" ca="1">OFFSET(E240,-1,1)</f>
        <v>2</v>
      </c>
      <c r="H240" s="17" t="s">
        <v>664</v>
      </c>
      <c r="T240" s="353" t="b" cm="1">
        <f t="array" ref="T240">T239</f>
        <v>0</v>
      </c>
      <c r="X240" s="990"/>
      <c r="Y240" s="966"/>
      <c r="AB240" s="153" t="s">
        <v>665</v>
      </c>
      <c r="AC240" s="238" t="s">
        <v>640</v>
      </c>
      <c r="AD240" s="12" t="s">
        <v>558</v>
      </c>
      <c r="AE240" s="836"/>
      <c r="AF240" s="836"/>
      <c r="AG240" s="836"/>
      <c r="AH240" s="836"/>
      <c r="AI240" s="191"/>
      <c r="AJ240" s="836"/>
      <c r="AK240" s="836"/>
      <c r="AL240" s="836"/>
      <c r="AM240" s="836"/>
      <c r="AN240" s="836"/>
      <c r="AO240" s="836"/>
      <c r="AP240" s="836"/>
      <c r="AQ240" s="836"/>
      <c r="AR240" s="836"/>
      <c r="AS240" s="191"/>
      <c r="AT240" s="836"/>
      <c r="AU240" s="836"/>
      <c r="AV240" s="836"/>
      <c r="AW240" s="836"/>
      <c r="AX240" s="836"/>
      <c r="AY240" s="836"/>
      <c r="AZ240" s="836"/>
      <c r="BA240" s="836"/>
      <c r="BB240" s="836"/>
      <c r="BC240" s="775"/>
      <c r="BF240" s="671" t="s">
        <v>666</v>
      </c>
    </row>
    <row r="241" spans="1:58" ht="14.25" hidden="1" customHeight="1" x14ac:dyDescent="0.15">
      <c r="E241" s="461">
        <v>15</v>
      </c>
      <c r="F241" s="3" t="str" cm="1">
        <f t="array" aca="1" ref="F241" ca="1">OFFSET(E241,-1,1)</f>
        <v>2</v>
      </c>
      <c r="H241" s="17" t="s">
        <v>667</v>
      </c>
      <c r="T241" s="353" t="b" cm="1">
        <f t="array" ref="T241">T240</f>
        <v>0</v>
      </c>
      <c r="X241" s="990"/>
      <c r="Y241" s="966"/>
      <c r="AB241" s="153" t="s">
        <v>668</v>
      </c>
      <c r="AC241" s="237" t="s">
        <v>669</v>
      </c>
      <c r="AD241" s="12" t="s">
        <v>558</v>
      </c>
      <c r="AE241" s="223">
        <f t="shared" ref="AE241:BB241" si="62">SUM(AE242:AE243)</f>
        <v>0</v>
      </c>
      <c r="AF241" s="223">
        <f t="shared" si="62"/>
        <v>0</v>
      </c>
      <c r="AG241" s="223">
        <f t="shared" si="62"/>
        <v>0</v>
      </c>
      <c r="AH241" s="223">
        <f t="shared" si="62"/>
        <v>0</v>
      </c>
      <c r="AI241" s="223">
        <f t="shared" si="62"/>
        <v>0</v>
      </c>
      <c r="AJ241" s="223">
        <f t="shared" si="62"/>
        <v>0</v>
      </c>
      <c r="AK241" s="223">
        <f t="shared" si="62"/>
        <v>0</v>
      </c>
      <c r="AL241" s="223">
        <f t="shared" si="62"/>
        <v>0</v>
      </c>
      <c r="AM241" s="223">
        <f t="shared" si="62"/>
        <v>0</v>
      </c>
      <c r="AN241" s="223">
        <f t="shared" si="62"/>
        <v>0</v>
      </c>
      <c r="AO241" s="223">
        <f t="shared" si="62"/>
        <v>0</v>
      </c>
      <c r="AP241" s="223">
        <f t="shared" si="62"/>
        <v>0</v>
      </c>
      <c r="AQ241" s="223">
        <f t="shared" si="62"/>
        <v>0</v>
      </c>
      <c r="AR241" s="223">
        <f t="shared" si="62"/>
        <v>0</v>
      </c>
      <c r="AS241" s="223">
        <f t="shared" si="62"/>
        <v>0</v>
      </c>
      <c r="AT241" s="223">
        <f t="shared" si="62"/>
        <v>0</v>
      </c>
      <c r="AU241" s="223">
        <f t="shared" si="62"/>
        <v>0</v>
      </c>
      <c r="AV241" s="223">
        <f t="shared" si="62"/>
        <v>0</v>
      </c>
      <c r="AW241" s="223">
        <f t="shared" si="62"/>
        <v>0</v>
      </c>
      <c r="AX241" s="223">
        <f t="shared" si="62"/>
        <v>0</v>
      </c>
      <c r="AY241" s="223">
        <f t="shared" si="62"/>
        <v>0</v>
      </c>
      <c r="AZ241" s="223">
        <f t="shared" si="62"/>
        <v>0</v>
      </c>
      <c r="BA241" s="223">
        <f t="shared" si="62"/>
        <v>0</v>
      </c>
      <c r="BB241" s="223">
        <f t="shared" si="62"/>
        <v>0</v>
      </c>
      <c r="BC241" s="775"/>
      <c r="BF241" s="671" t="s">
        <v>670</v>
      </c>
    </row>
    <row r="242" spans="1:58" ht="14.25" hidden="1" customHeight="1" x14ac:dyDescent="0.15">
      <c r="E242" s="461">
        <v>15</v>
      </c>
      <c r="F242" s="3" t="str" cm="1">
        <f t="array" aca="1" ref="F242" ca="1">OFFSET(E242,-1,1)</f>
        <v>2</v>
      </c>
      <c r="H242" s="17" t="s">
        <v>671</v>
      </c>
      <c r="T242" s="353" t="b" cm="1">
        <f t="array" ref="T242">T241</f>
        <v>0</v>
      </c>
      <c r="X242" s="990"/>
      <c r="Y242" s="966"/>
      <c r="AB242" s="153" t="s">
        <v>672</v>
      </c>
      <c r="AC242" s="238" t="s">
        <v>636</v>
      </c>
      <c r="AD242" s="12" t="s">
        <v>558</v>
      </c>
      <c r="AE242" s="836"/>
      <c r="AF242" s="836"/>
      <c r="AG242" s="836"/>
      <c r="AH242" s="836"/>
      <c r="AI242" s="191"/>
      <c r="AJ242" s="836"/>
      <c r="AK242" s="836"/>
      <c r="AL242" s="836"/>
      <c r="AM242" s="836"/>
      <c r="AN242" s="836"/>
      <c r="AO242" s="836"/>
      <c r="AP242" s="836"/>
      <c r="AQ242" s="836"/>
      <c r="AR242" s="836"/>
      <c r="AS242" s="191"/>
      <c r="AT242" s="836"/>
      <c r="AU242" s="836"/>
      <c r="AV242" s="836"/>
      <c r="AW242" s="836"/>
      <c r="AX242" s="836"/>
      <c r="AY242" s="836"/>
      <c r="AZ242" s="836"/>
      <c r="BA242" s="836"/>
      <c r="BB242" s="836"/>
      <c r="BC242" s="775"/>
      <c r="BF242" s="671" t="s">
        <v>673</v>
      </c>
    </row>
    <row r="243" spans="1:58" ht="14.25" hidden="1" customHeight="1" x14ac:dyDescent="0.15">
      <c r="E243" s="461">
        <v>15</v>
      </c>
      <c r="F243" s="3" t="str" cm="1">
        <f t="array" aca="1" ref="F243" ca="1">OFFSET(E243,-1,1)</f>
        <v>2</v>
      </c>
      <c r="H243" s="17" t="s">
        <v>674</v>
      </c>
      <c r="T243" s="353" t="b" cm="1">
        <f t="array" ref="T243">T242</f>
        <v>0</v>
      </c>
      <c r="X243" s="990"/>
      <c r="Y243" s="966"/>
      <c r="AB243" s="153" t="s">
        <v>675</v>
      </c>
      <c r="AC243" s="238" t="s">
        <v>640</v>
      </c>
      <c r="AD243" s="12" t="s">
        <v>558</v>
      </c>
      <c r="AE243" s="836"/>
      <c r="AF243" s="836"/>
      <c r="AG243" s="836"/>
      <c r="AH243" s="836"/>
      <c r="AI243" s="191"/>
      <c r="AJ243" s="836"/>
      <c r="AK243" s="836"/>
      <c r="AL243" s="836"/>
      <c r="AM243" s="836"/>
      <c r="AN243" s="836"/>
      <c r="AO243" s="836"/>
      <c r="AP243" s="836"/>
      <c r="AQ243" s="836"/>
      <c r="AR243" s="836"/>
      <c r="AS243" s="191"/>
      <c r="AT243" s="836"/>
      <c r="AU243" s="836"/>
      <c r="AV243" s="836"/>
      <c r="AW243" s="836"/>
      <c r="AX243" s="836"/>
      <c r="AY243" s="836"/>
      <c r="AZ243" s="836"/>
      <c r="BA243" s="836"/>
      <c r="BB243" s="836"/>
      <c r="BC243" s="826"/>
      <c r="BF243" s="671" t="s">
        <v>676</v>
      </c>
    </row>
    <row r="244" spans="1:58" ht="21.75" hidden="1" customHeight="1" x14ac:dyDescent="0.15">
      <c r="E244" s="461">
        <v>22.5</v>
      </c>
      <c r="F244" s="3" t="str" cm="1">
        <f t="array" aca="1" ref="F244" ca="1">OFFSET(E244,-1,1)</f>
        <v>2</v>
      </c>
      <c r="H244" s="17" t="s">
        <v>677</v>
      </c>
      <c r="I244" s="315"/>
      <c r="J244" s="315"/>
      <c r="T244" s="353" t="b" cm="1">
        <f t="array" ref="T244">T243</f>
        <v>0</v>
      </c>
      <c r="X244" s="990"/>
      <c r="Y244" s="966"/>
      <c r="AB244" s="153" t="s">
        <v>678</v>
      </c>
      <c r="AC244" s="239" t="s">
        <v>679</v>
      </c>
      <c r="AD244" s="12" t="s">
        <v>558</v>
      </c>
      <c r="AE244" s="825"/>
      <c r="AF244" s="825"/>
      <c r="AG244" s="825"/>
      <c r="AH244" s="825"/>
      <c r="AI244" s="188"/>
      <c r="AJ244" s="825"/>
      <c r="AK244" s="825"/>
      <c r="AL244" s="825"/>
      <c r="AM244" s="825"/>
      <c r="AN244" s="825"/>
      <c r="AO244" s="825"/>
      <c r="AP244" s="825"/>
      <c r="AQ244" s="825"/>
      <c r="AR244" s="825"/>
      <c r="AS244" s="188"/>
      <c r="AT244" s="825"/>
      <c r="AU244" s="825"/>
      <c r="AV244" s="825"/>
      <c r="AW244" s="825"/>
      <c r="AX244" s="825"/>
      <c r="AY244" s="825"/>
      <c r="AZ244" s="825"/>
      <c r="BA244" s="825"/>
      <c r="BB244" s="825"/>
      <c r="BC244" s="826"/>
      <c r="BF244" s="671" t="s">
        <v>680</v>
      </c>
    </row>
    <row r="245" spans="1:58" ht="14.25" hidden="1" customHeight="1" x14ac:dyDescent="0.15">
      <c r="E245" s="461">
        <v>15</v>
      </c>
      <c r="F245" s="253" t="str" cm="1">
        <f t="array" aca="1" ref="F245" ca="1">OFFSET(E245,-1,1)</f>
        <v>2</v>
      </c>
      <c r="T245" s="353" t="b" cm="1">
        <f t="array" ref="T245">T244</f>
        <v>0</v>
      </c>
      <c r="X245" s="990"/>
      <c r="Y245" s="966"/>
      <c r="AB245" s="153" t="s">
        <v>681</v>
      </c>
      <c r="AC245" s="239" t="s">
        <v>682</v>
      </c>
      <c r="AD245" s="12" t="s">
        <v>558</v>
      </c>
      <c r="AE245" s="825"/>
      <c r="AF245" s="825"/>
      <c r="AG245" s="825"/>
      <c r="AH245" s="825"/>
      <c r="AI245" s="188"/>
      <c r="AJ245" s="825"/>
      <c r="AK245" s="825"/>
      <c r="AL245" s="825"/>
      <c r="AM245" s="825"/>
      <c r="AN245" s="825"/>
      <c r="AO245" s="825"/>
      <c r="AP245" s="825"/>
      <c r="AQ245" s="825"/>
      <c r="AR245" s="825"/>
      <c r="AS245" s="188"/>
      <c r="AT245" s="825"/>
      <c r="AU245" s="825"/>
      <c r="AV245" s="825"/>
      <c r="AW245" s="825"/>
      <c r="AX245" s="825"/>
      <c r="AY245" s="825"/>
      <c r="AZ245" s="825"/>
      <c r="BA245" s="825"/>
      <c r="BB245" s="825"/>
      <c r="BC245" s="826"/>
      <c r="BF245" s="671" t="s">
        <v>683</v>
      </c>
    </row>
    <row r="246" spans="1:58" ht="11.25" hidden="1" customHeight="1" x14ac:dyDescent="0.15">
      <c r="A246" s="315"/>
      <c r="B246" s="479"/>
      <c r="C246" s="315"/>
      <c r="D246" s="315"/>
      <c r="E246" s="480" t="s">
        <v>371</v>
      </c>
      <c r="F246" s="765" t="str" cm="1">
        <f t="array" aca="1" ref="F246" ca="1">OFFSET(E246,-1,1)</f>
        <v>2</v>
      </c>
      <c r="G246" s="315"/>
      <c r="H246" s="315"/>
      <c r="I246"/>
      <c r="J246"/>
      <c r="L246" s="315"/>
      <c r="M246" s="315"/>
      <c r="N246" s="315"/>
      <c r="O246" s="315"/>
      <c r="T246" s="353" t="b">
        <v>0</v>
      </c>
      <c r="V246" s="315"/>
      <c r="X246" s="990"/>
      <c r="Y246" s="966"/>
      <c r="Z246" s="315"/>
      <c r="AA246" s="315"/>
      <c r="AB246"/>
      <c r="AC246" s="18"/>
      <c r="AD246" s="18"/>
      <c r="AE246" s="249"/>
      <c r="AF246" s="249"/>
      <c r="AG246" s="249"/>
      <c r="AH246" s="249"/>
      <c r="AI246" s="249"/>
      <c r="AJ246" s="250"/>
      <c r="AK246" s="249"/>
      <c r="AL246" s="249"/>
      <c r="AM246" s="249"/>
      <c r="AN246" s="249"/>
      <c r="AO246" s="249"/>
      <c r="AP246" s="249"/>
      <c r="AQ246" s="249"/>
      <c r="AR246" s="249"/>
      <c r="AS246" s="249"/>
      <c r="AT246" s="249"/>
      <c r="AU246" s="249"/>
      <c r="AV246" s="249"/>
      <c r="AW246" s="249"/>
      <c r="AX246" s="249"/>
      <c r="AY246" s="249"/>
      <c r="AZ246" s="249"/>
      <c r="BA246" s="249"/>
      <c r="BB246" s="249"/>
      <c r="BC246"/>
      <c r="BD246"/>
      <c r="BE246"/>
      <c r="BF246" s="661"/>
    </row>
    <row r="247" spans="1:58" ht="14.25" hidden="1" customHeight="1" x14ac:dyDescent="0.15">
      <c r="E247" s="461">
        <v>15</v>
      </c>
      <c r="F247" s="3" t="str" cm="1">
        <f t="array" aca="1" ref="F247" ca="1">OFFSET(E247,-1,1)</f>
        <v>2</v>
      </c>
      <c r="R247" s="315" t="b" cm="1">
        <f t="array" ref="R247">INDEX('Общие сведения'!$AN$179:$AN$236,MATCH($X209,'Общие сведения'!$Z$179:$Z$236,0))</f>
        <v>0</v>
      </c>
      <c r="S247" s="315" t="b">
        <f>IF(ISERROR(SEARCH("Водоснабжение",AB209)),FALSE,TRUE)</f>
        <v>0</v>
      </c>
      <c r="T247" s="353" t="b">
        <f>AND(X209&gt;0,S247,R247)</f>
        <v>0</v>
      </c>
      <c r="X247" s="990"/>
      <c r="Y247" s="966"/>
      <c r="AB247" s="153" t="s">
        <v>275</v>
      </c>
      <c r="AC247" s="234" t="s">
        <v>555</v>
      </c>
      <c r="AD247" s="111"/>
      <c r="AE247" s="415" t="str" cm="1">
        <f t="array" ref="AE247">INDEX('Общие сведения'!$AH$179:$AH$236,MATCH($X209,'Общие сведения'!$Z$179:$Z$236,0))</f>
        <v>хозяйственно-бытовые сточные воды</v>
      </c>
      <c r="AF247" s="264"/>
      <c r="AG247" s="264"/>
      <c r="AH247" s="264"/>
      <c r="AI247" s="264"/>
      <c r="AJ247" s="264"/>
      <c r="AK247" s="264"/>
      <c r="AL247" s="264"/>
      <c r="AM247" s="264"/>
      <c r="AN247" s="264"/>
      <c r="AO247" s="264"/>
      <c r="AP247" s="264"/>
      <c r="AQ247" s="264"/>
      <c r="AR247" s="264"/>
      <c r="AS247" s="264"/>
      <c r="AT247" s="264"/>
      <c r="AU247" s="264"/>
      <c r="AV247" s="264"/>
      <c r="AW247" s="264"/>
      <c r="AX247" s="264"/>
      <c r="AY247" s="264"/>
      <c r="AZ247" s="264"/>
      <c r="BA247" s="264"/>
      <c r="BB247" s="265"/>
      <c r="BC247" s="826"/>
      <c r="BF247" s="671" t="s">
        <v>684</v>
      </c>
    </row>
    <row r="248" spans="1:58" ht="14.25" hidden="1" customHeight="1" x14ac:dyDescent="0.15">
      <c r="E248" s="461">
        <v>15</v>
      </c>
      <c r="F248" s="3" t="str" cm="1">
        <f t="array" aca="1" ref="F248" ca="1">OFFSET(E248,-1,1)</f>
        <v>2</v>
      </c>
      <c r="H248" s="17" t="s">
        <v>335</v>
      </c>
      <c r="T248" s="353" t="b" cm="1">
        <f t="array" ref="T248">T247</f>
        <v>0</v>
      </c>
      <c r="X248" s="990"/>
      <c r="Y248" s="966"/>
      <c r="AB248" s="153" t="s">
        <v>285</v>
      </c>
      <c r="AC248" s="240" t="s">
        <v>685</v>
      </c>
      <c r="AD248" s="12" t="s">
        <v>558</v>
      </c>
      <c r="AE248" s="251">
        <f t="shared" ref="AE248:BB248" si="63">AE252+AE254+AE257+AE260</f>
        <v>0</v>
      </c>
      <c r="AF248" s="251">
        <f t="shared" si="63"/>
        <v>0</v>
      </c>
      <c r="AG248" s="251">
        <f t="shared" si="63"/>
        <v>0</v>
      </c>
      <c r="AH248" s="251">
        <f t="shared" si="63"/>
        <v>0</v>
      </c>
      <c r="AI248" s="251">
        <f t="shared" si="63"/>
        <v>0</v>
      </c>
      <c r="AJ248" s="251">
        <f t="shared" si="63"/>
        <v>0</v>
      </c>
      <c r="AK248" s="251">
        <f t="shared" si="63"/>
        <v>0</v>
      </c>
      <c r="AL248" s="251">
        <f t="shared" si="63"/>
        <v>0</v>
      </c>
      <c r="AM248" s="251">
        <f t="shared" si="63"/>
        <v>0</v>
      </c>
      <c r="AN248" s="251">
        <f t="shared" si="63"/>
        <v>0</v>
      </c>
      <c r="AO248" s="251">
        <f t="shared" si="63"/>
        <v>0</v>
      </c>
      <c r="AP248" s="251">
        <f t="shared" si="63"/>
        <v>0</v>
      </c>
      <c r="AQ248" s="251">
        <f t="shared" si="63"/>
        <v>0</v>
      </c>
      <c r="AR248" s="251">
        <f t="shared" si="63"/>
        <v>0</v>
      </c>
      <c r="AS248" s="251">
        <f t="shared" si="63"/>
        <v>0</v>
      </c>
      <c r="AT248" s="251">
        <f t="shared" si="63"/>
        <v>0</v>
      </c>
      <c r="AU248" s="251">
        <f t="shared" si="63"/>
        <v>0</v>
      </c>
      <c r="AV248" s="251">
        <f t="shared" si="63"/>
        <v>0</v>
      </c>
      <c r="AW248" s="251">
        <f t="shared" si="63"/>
        <v>0</v>
      </c>
      <c r="AX248" s="251">
        <f t="shared" si="63"/>
        <v>0</v>
      </c>
      <c r="AY248" s="251">
        <f t="shared" si="63"/>
        <v>0</v>
      </c>
      <c r="AZ248" s="251">
        <f t="shared" si="63"/>
        <v>0</v>
      </c>
      <c r="BA248" s="251">
        <f t="shared" si="63"/>
        <v>0</v>
      </c>
      <c r="BB248" s="251">
        <f t="shared" si="63"/>
        <v>0</v>
      </c>
      <c r="BC248" s="826"/>
      <c r="BF248" s="671" t="s">
        <v>686</v>
      </c>
    </row>
    <row r="249" spans="1:58" ht="14.25" hidden="1" customHeight="1" x14ac:dyDescent="0.15">
      <c r="E249" s="461">
        <v>15</v>
      </c>
      <c r="F249" s="3" t="str" cm="1">
        <f t="array" aca="1" ref="F249" ca="1">OFFSET(E249,-1,1)</f>
        <v>2</v>
      </c>
      <c r="H249" s="17" t="s">
        <v>560</v>
      </c>
      <c r="T249" s="353" t="b" cm="1">
        <f t="array" ref="T249">T248</f>
        <v>0</v>
      </c>
      <c r="X249" s="990"/>
      <c r="Y249" s="966"/>
      <c r="AB249" s="153" t="s">
        <v>561</v>
      </c>
      <c r="AC249" s="241" t="s">
        <v>687</v>
      </c>
      <c r="AD249" s="12" t="s">
        <v>558</v>
      </c>
      <c r="AE249" s="825"/>
      <c r="AF249" s="825"/>
      <c r="AG249" s="825"/>
      <c r="AH249" s="825"/>
      <c r="AI249" s="188"/>
      <c r="AJ249" s="825"/>
      <c r="AK249" s="825"/>
      <c r="AL249" s="825"/>
      <c r="AM249" s="825"/>
      <c r="AN249" s="825"/>
      <c r="AO249" s="825"/>
      <c r="AP249" s="825"/>
      <c r="AQ249" s="825"/>
      <c r="AR249" s="825"/>
      <c r="AS249" s="188"/>
      <c r="AT249" s="825"/>
      <c r="AU249" s="825"/>
      <c r="AV249" s="825"/>
      <c r="AW249" s="825"/>
      <c r="AX249" s="825"/>
      <c r="AY249" s="825"/>
      <c r="AZ249" s="825"/>
      <c r="BA249" s="825"/>
      <c r="BB249" s="825"/>
      <c r="BC249" s="826"/>
      <c r="BF249" s="671" t="s">
        <v>688</v>
      </c>
    </row>
    <row r="250" spans="1:58" ht="14.25" hidden="1" customHeight="1" x14ac:dyDescent="0.15">
      <c r="E250" s="461">
        <v>15</v>
      </c>
      <c r="F250" s="3" t="str" cm="1">
        <f t="array" aca="1" ref="F250" ca="1">OFFSET(E250,-1,1)</f>
        <v>2</v>
      </c>
      <c r="H250" s="17" t="s">
        <v>564</v>
      </c>
      <c r="T250" s="353" t="b" cm="1">
        <f t="array" ref="T250">T249</f>
        <v>0</v>
      </c>
      <c r="X250" s="990"/>
      <c r="Y250" s="966"/>
      <c r="AB250" s="153" t="s">
        <v>565</v>
      </c>
      <c r="AC250" s="241" t="s">
        <v>689</v>
      </c>
      <c r="AD250" s="12" t="s">
        <v>558</v>
      </c>
      <c r="AE250" s="825"/>
      <c r="AF250" s="825"/>
      <c r="AG250" s="825"/>
      <c r="AH250" s="825"/>
      <c r="AI250" s="188"/>
      <c r="AJ250" s="825"/>
      <c r="AK250" s="825"/>
      <c r="AL250" s="825"/>
      <c r="AM250" s="825"/>
      <c r="AN250" s="825"/>
      <c r="AO250" s="825"/>
      <c r="AP250" s="825"/>
      <c r="AQ250" s="825"/>
      <c r="AR250" s="825"/>
      <c r="AS250" s="188"/>
      <c r="AT250" s="825"/>
      <c r="AU250" s="825"/>
      <c r="AV250" s="825"/>
      <c r="AW250" s="825"/>
      <c r="AX250" s="825"/>
      <c r="AY250" s="825"/>
      <c r="AZ250" s="825"/>
      <c r="BA250" s="825"/>
      <c r="BB250" s="825"/>
      <c r="BC250" s="826"/>
      <c r="BF250" s="671" t="s">
        <v>690</v>
      </c>
    </row>
    <row r="251" spans="1:58" ht="21.75" hidden="1" customHeight="1" x14ac:dyDescent="0.15">
      <c r="E251" s="461">
        <v>22.5</v>
      </c>
      <c r="F251" s="3" t="str" cm="1">
        <f t="array" aca="1" ref="F251" ca="1">OFFSET(E251,-1,1)</f>
        <v>2</v>
      </c>
      <c r="H251" s="17" t="s">
        <v>568</v>
      </c>
      <c r="T251" s="353" t="b" cm="1">
        <f t="array" ref="T251">T250</f>
        <v>0</v>
      </c>
      <c r="X251" s="990"/>
      <c r="Y251" s="966"/>
      <c r="AB251" s="153" t="s">
        <v>569</v>
      </c>
      <c r="AC251" s="241" t="s">
        <v>691</v>
      </c>
      <c r="AD251" s="12" t="s">
        <v>558</v>
      </c>
      <c r="AE251" s="825"/>
      <c r="AF251" s="825"/>
      <c r="AG251" s="825"/>
      <c r="AH251" s="825"/>
      <c r="AI251" s="188"/>
      <c r="AJ251" s="825"/>
      <c r="AK251" s="825"/>
      <c r="AL251" s="825"/>
      <c r="AM251" s="825"/>
      <c r="AN251" s="825"/>
      <c r="AO251" s="825"/>
      <c r="AP251" s="825"/>
      <c r="AQ251" s="825"/>
      <c r="AR251" s="825"/>
      <c r="AS251" s="188"/>
      <c r="AT251" s="825"/>
      <c r="AU251" s="825"/>
      <c r="AV251" s="825"/>
      <c r="AW251" s="825"/>
      <c r="AX251" s="825"/>
      <c r="AY251" s="825"/>
      <c r="AZ251" s="825"/>
      <c r="BA251" s="825"/>
      <c r="BB251" s="825"/>
      <c r="BC251" s="826"/>
      <c r="BF251" s="671" t="s">
        <v>692</v>
      </c>
    </row>
    <row r="252" spans="1:58" ht="14.25" hidden="1" customHeight="1" x14ac:dyDescent="0.15">
      <c r="E252" s="461">
        <v>15</v>
      </c>
      <c r="F252" s="3" t="str" cm="1">
        <f t="array" aca="1" ref="F252" ca="1">OFFSET(E252,-1,1)</f>
        <v>2</v>
      </c>
      <c r="H252" s="17" t="s">
        <v>334</v>
      </c>
      <c r="T252" s="353" t="b" cm="1">
        <f t="array" ref="T252">T251</f>
        <v>0</v>
      </c>
      <c r="X252" s="990"/>
      <c r="Y252" s="966"/>
      <c r="AB252" s="153" t="s">
        <v>291</v>
      </c>
      <c r="AC252" s="234" t="s">
        <v>603</v>
      </c>
      <c r="AD252" s="12" t="s">
        <v>558</v>
      </c>
      <c r="AE252" s="825"/>
      <c r="AF252" s="825"/>
      <c r="AG252" s="825"/>
      <c r="AH252" s="825"/>
      <c r="AI252" s="188"/>
      <c r="AJ252" s="825"/>
      <c r="AK252" s="825"/>
      <c r="AL252" s="825"/>
      <c r="AM252" s="825"/>
      <c r="AN252" s="825"/>
      <c r="AO252" s="825"/>
      <c r="AP252" s="825"/>
      <c r="AQ252" s="825"/>
      <c r="AR252" s="825"/>
      <c r="AS252" s="188"/>
      <c r="AT252" s="825"/>
      <c r="AU252" s="825"/>
      <c r="AV252" s="825"/>
      <c r="AW252" s="825"/>
      <c r="AX252" s="825"/>
      <c r="AY252" s="825"/>
      <c r="AZ252" s="825"/>
      <c r="BA252" s="825"/>
      <c r="BB252" s="825"/>
      <c r="BC252" s="826"/>
      <c r="BF252" s="671" t="s">
        <v>693</v>
      </c>
    </row>
    <row r="253" spans="1:58" ht="14.25" hidden="1" customHeight="1" x14ac:dyDescent="0.15">
      <c r="E253" s="461">
        <v>15</v>
      </c>
      <c r="F253" s="3" t="str" cm="1">
        <f t="array" aca="1" ref="F253" ca="1">OFFSET(E253,-1,1)</f>
        <v>2</v>
      </c>
      <c r="H253" s="17" t="s">
        <v>574</v>
      </c>
      <c r="T253" s="353" t="b" cm="1">
        <f t="array" ref="T253">T252</f>
        <v>0</v>
      </c>
      <c r="X253" s="990"/>
      <c r="Y253" s="966"/>
      <c r="AB253" s="153" t="s">
        <v>575</v>
      </c>
      <c r="AC253" s="236" t="s">
        <v>607</v>
      </c>
      <c r="AD253" s="12" t="s">
        <v>476</v>
      </c>
      <c r="AE253" s="820">
        <f t="shared" ref="AE253:BB253" si="64">IF(AE248=0,0,AE252/AE248*100)</f>
        <v>0</v>
      </c>
      <c r="AF253" s="820">
        <f t="shared" si="64"/>
        <v>0</v>
      </c>
      <c r="AG253" s="820">
        <f t="shared" si="64"/>
        <v>0</v>
      </c>
      <c r="AH253" s="820">
        <f t="shared" si="64"/>
        <v>0</v>
      </c>
      <c r="AI253" s="57">
        <f t="shared" si="64"/>
        <v>0</v>
      </c>
      <c r="AJ253" s="820">
        <f t="shared" si="64"/>
        <v>0</v>
      </c>
      <c r="AK253" s="820">
        <f t="shared" si="64"/>
        <v>0</v>
      </c>
      <c r="AL253" s="820">
        <f t="shared" si="64"/>
        <v>0</v>
      </c>
      <c r="AM253" s="820">
        <f t="shared" si="64"/>
        <v>0</v>
      </c>
      <c r="AN253" s="820">
        <f t="shared" si="64"/>
        <v>0</v>
      </c>
      <c r="AO253" s="820">
        <f t="shared" si="64"/>
        <v>0</v>
      </c>
      <c r="AP253" s="820">
        <f t="shared" si="64"/>
        <v>0</v>
      </c>
      <c r="AQ253" s="820">
        <f t="shared" si="64"/>
        <v>0</v>
      </c>
      <c r="AR253" s="820">
        <f t="shared" si="64"/>
        <v>0</v>
      </c>
      <c r="AS253" s="57">
        <f t="shared" si="64"/>
        <v>0</v>
      </c>
      <c r="AT253" s="820">
        <f t="shared" si="64"/>
        <v>0</v>
      </c>
      <c r="AU253" s="820">
        <f t="shared" si="64"/>
        <v>0</v>
      </c>
      <c r="AV253" s="820">
        <f t="shared" si="64"/>
        <v>0</v>
      </c>
      <c r="AW253" s="820">
        <f t="shared" si="64"/>
        <v>0</v>
      </c>
      <c r="AX253" s="820">
        <f t="shared" si="64"/>
        <v>0</v>
      </c>
      <c r="AY253" s="820">
        <f t="shared" si="64"/>
        <v>0</v>
      </c>
      <c r="AZ253" s="820">
        <f t="shared" si="64"/>
        <v>0</v>
      </c>
      <c r="BA253" s="820">
        <f t="shared" si="64"/>
        <v>0</v>
      </c>
      <c r="BB253" s="820">
        <f t="shared" si="64"/>
        <v>0</v>
      </c>
      <c r="BC253" s="775"/>
      <c r="BF253" s="671" t="s">
        <v>694</v>
      </c>
    </row>
    <row r="254" spans="1:58" ht="14.25" hidden="1" customHeight="1" x14ac:dyDescent="0.15">
      <c r="E254" s="461">
        <v>15</v>
      </c>
      <c r="F254" s="3" t="str" cm="1">
        <f t="array" aca="1" ref="F254" ca="1">OFFSET(E254,-1,1)</f>
        <v>2</v>
      </c>
      <c r="G254" s="17" t="str">
        <f>IF(OwnNeedsInPO="да","ПО","")</f>
        <v/>
      </c>
      <c r="H254" s="17" t="s">
        <v>532</v>
      </c>
      <c r="T254" s="353" t="b" cm="1">
        <f t="array" ref="T254">T253</f>
        <v>0</v>
      </c>
      <c r="X254" s="990"/>
      <c r="Y254" s="966"/>
      <c r="AB254" s="153" t="s">
        <v>454</v>
      </c>
      <c r="AC254" s="240" t="s">
        <v>615</v>
      </c>
      <c r="AD254" s="12" t="s">
        <v>558</v>
      </c>
      <c r="AE254" s="251">
        <f t="shared" ref="AE254:BB254" si="65">AE255+AE256</f>
        <v>0</v>
      </c>
      <c r="AF254" s="251">
        <f t="shared" si="65"/>
        <v>0</v>
      </c>
      <c r="AG254" s="251">
        <f t="shared" si="65"/>
        <v>0</v>
      </c>
      <c r="AH254" s="251">
        <f t="shared" si="65"/>
        <v>0</v>
      </c>
      <c r="AI254" s="251">
        <f t="shared" si="65"/>
        <v>0</v>
      </c>
      <c r="AJ254" s="251">
        <f t="shared" si="65"/>
        <v>0</v>
      </c>
      <c r="AK254" s="251">
        <f t="shared" si="65"/>
        <v>0</v>
      </c>
      <c r="AL254" s="251">
        <f t="shared" si="65"/>
        <v>0</v>
      </c>
      <c r="AM254" s="251">
        <f t="shared" si="65"/>
        <v>0</v>
      </c>
      <c r="AN254" s="251">
        <f t="shared" si="65"/>
        <v>0</v>
      </c>
      <c r="AO254" s="251">
        <f t="shared" si="65"/>
        <v>0</v>
      </c>
      <c r="AP254" s="251">
        <f t="shared" si="65"/>
        <v>0</v>
      </c>
      <c r="AQ254" s="251">
        <f t="shared" si="65"/>
        <v>0</v>
      </c>
      <c r="AR254" s="251">
        <f t="shared" si="65"/>
        <v>0</v>
      </c>
      <c r="AS254" s="251">
        <f t="shared" si="65"/>
        <v>0</v>
      </c>
      <c r="AT254" s="251">
        <f t="shared" si="65"/>
        <v>0</v>
      </c>
      <c r="AU254" s="251">
        <f t="shared" si="65"/>
        <v>0</v>
      </c>
      <c r="AV254" s="251">
        <f t="shared" si="65"/>
        <v>0</v>
      </c>
      <c r="AW254" s="251">
        <f t="shared" si="65"/>
        <v>0</v>
      </c>
      <c r="AX254" s="251">
        <f t="shared" si="65"/>
        <v>0</v>
      </c>
      <c r="AY254" s="251">
        <f t="shared" si="65"/>
        <v>0</v>
      </c>
      <c r="AZ254" s="251">
        <f t="shared" si="65"/>
        <v>0</v>
      </c>
      <c r="BA254" s="251">
        <f t="shared" si="65"/>
        <v>0</v>
      </c>
      <c r="BB254" s="251">
        <f t="shared" si="65"/>
        <v>0</v>
      </c>
      <c r="BC254" s="826"/>
      <c r="BF254" s="671" t="s">
        <v>695</v>
      </c>
    </row>
    <row r="255" spans="1:58" ht="14.25" hidden="1" customHeight="1" x14ac:dyDescent="0.15">
      <c r="E255" s="461">
        <v>15</v>
      </c>
      <c r="F255" s="3" t="str" cm="1">
        <f t="array" aca="1" ref="F255" ca="1">OFFSET(E255,-1,1)</f>
        <v>2</v>
      </c>
      <c r="H255" s="17" t="s">
        <v>696</v>
      </c>
      <c r="T255" s="353" t="b" cm="1">
        <f t="array" ref="T255">T254</f>
        <v>0</v>
      </c>
      <c r="X255" s="990"/>
      <c r="Y255" s="966"/>
      <c r="AB255" s="153" t="s">
        <v>697</v>
      </c>
      <c r="AC255" s="241" t="s">
        <v>619</v>
      </c>
      <c r="AD255" s="12" t="s">
        <v>558</v>
      </c>
      <c r="AE255" s="825"/>
      <c r="AF255" s="825"/>
      <c r="AG255" s="825"/>
      <c r="AH255" s="825"/>
      <c r="AI255" s="188"/>
      <c r="AJ255" s="825"/>
      <c r="AK255" s="825"/>
      <c r="AL255" s="825"/>
      <c r="AM255" s="825"/>
      <c r="AN255" s="825"/>
      <c r="AO255" s="825"/>
      <c r="AP255" s="825"/>
      <c r="AQ255" s="825"/>
      <c r="AR255" s="825"/>
      <c r="AS255" s="188"/>
      <c r="AT255" s="825"/>
      <c r="AU255" s="825"/>
      <c r="AV255" s="825"/>
      <c r="AW255" s="825"/>
      <c r="AX255" s="825"/>
      <c r="AY255" s="825"/>
      <c r="AZ255" s="825"/>
      <c r="BA255" s="825"/>
      <c r="BB255" s="825"/>
      <c r="BC255" s="826"/>
      <c r="BF255" s="671" t="s">
        <v>698</v>
      </c>
    </row>
    <row r="256" spans="1:58" ht="14.25" hidden="1" customHeight="1" x14ac:dyDescent="0.15">
      <c r="E256" s="461">
        <v>15</v>
      </c>
      <c r="F256" s="3" t="str" cm="1">
        <f t="array" aca="1" ref="F256" ca="1">OFFSET(E256,-1,1)</f>
        <v>2</v>
      </c>
      <c r="H256" s="17" t="s">
        <v>699</v>
      </c>
      <c r="T256" s="353" t="b" cm="1">
        <f t="array" ref="T256">T255</f>
        <v>0</v>
      </c>
      <c r="X256" s="990"/>
      <c r="Y256" s="966"/>
      <c r="AB256" s="153" t="s">
        <v>700</v>
      </c>
      <c r="AC256" s="241" t="s">
        <v>623</v>
      </c>
      <c r="AD256" s="12" t="s">
        <v>558</v>
      </c>
      <c r="AE256" s="825"/>
      <c r="AF256" s="825"/>
      <c r="AG256" s="825"/>
      <c r="AH256" s="825"/>
      <c r="AI256" s="188"/>
      <c r="AJ256" s="825"/>
      <c r="AK256" s="825"/>
      <c r="AL256" s="825"/>
      <c r="AM256" s="825"/>
      <c r="AN256" s="825"/>
      <c r="AO256" s="825"/>
      <c r="AP256" s="825"/>
      <c r="AQ256" s="825"/>
      <c r="AR256" s="825"/>
      <c r="AS256" s="188"/>
      <c r="AT256" s="825"/>
      <c r="AU256" s="825"/>
      <c r="AV256" s="825"/>
      <c r="AW256" s="825"/>
      <c r="AX256" s="825"/>
      <c r="AY256" s="825"/>
      <c r="AZ256" s="825"/>
      <c r="BA256" s="825"/>
      <c r="BB256" s="825"/>
      <c r="BC256" s="826"/>
      <c r="BF256" s="671" t="s">
        <v>701</v>
      </c>
    </row>
    <row r="257" spans="1:58" ht="14.25" hidden="1" customHeight="1" x14ac:dyDescent="0.15">
      <c r="E257" s="461">
        <v>15</v>
      </c>
      <c r="F257" s="3" t="str" cm="1">
        <f t="array" aca="1" ref="F257" ca="1">OFFSET(E257,-1,1)</f>
        <v>2</v>
      </c>
      <c r="G257" s="17" t="s">
        <v>629</v>
      </c>
      <c r="H257" s="17" t="s">
        <v>535</v>
      </c>
      <c r="T257" s="353" t="b" cm="1">
        <f t="array" ref="T257">T256</f>
        <v>0</v>
      </c>
      <c r="X257" s="990"/>
      <c r="Y257" s="966"/>
      <c r="AB257" s="153" t="s">
        <v>460</v>
      </c>
      <c r="AC257" s="240" t="s">
        <v>632</v>
      </c>
      <c r="AD257" s="12" t="s">
        <v>558</v>
      </c>
      <c r="AE257" s="251">
        <f t="shared" ref="AE257:BB257" si="66">AE258+AE259</f>
        <v>0</v>
      </c>
      <c r="AF257" s="251">
        <f t="shared" si="66"/>
        <v>0</v>
      </c>
      <c r="AG257" s="251">
        <f t="shared" si="66"/>
        <v>0</v>
      </c>
      <c r="AH257" s="251">
        <f t="shared" si="66"/>
        <v>0</v>
      </c>
      <c r="AI257" s="251">
        <f t="shared" si="66"/>
        <v>0</v>
      </c>
      <c r="AJ257" s="251">
        <f t="shared" si="66"/>
        <v>0</v>
      </c>
      <c r="AK257" s="251">
        <f t="shared" si="66"/>
        <v>0</v>
      </c>
      <c r="AL257" s="251">
        <f t="shared" si="66"/>
        <v>0</v>
      </c>
      <c r="AM257" s="251">
        <f t="shared" si="66"/>
        <v>0</v>
      </c>
      <c r="AN257" s="251">
        <f t="shared" si="66"/>
        <v>0</v>
      </c>
      <c r="AO257" s="251">
        <f t="shared" si="66"/>
        <v>0</v>
      </c>
      <c r="AP257" s="251">
        <f t="shared" si="66"/>
        <v>0</v>
      </c>
      <c r="AQ257" s="251">
        <f t="shared" si="66"/>
        <v>0</v>
      </c>
      <c r="AR257" s="251">
        <f t="shared" si="66"/>
        <v>0</v>
      </c>
      <c r="AS257" s="251">
        <f t="shared" si="66"/>
        <v>0</v>
      </c>
      <c r="AT257" s="251">
        <f t="shared" si="66"/>
        <v>0</v>
      </c>
      <c r="AU257" s="251">
        <f t="shared" si="66"/>
        <v>0</v>
      </c>
      <c r="AV257" s="251">
        <f t="shared" si="66"/>
        <v>0</v>
      </c>
      <c r="AW257" s="251">
        <f t="shared" si="66"/>
        <v>0</v>
      </c>
      <c r="AX257" s="251">
        <f t="shared" si="66"/>
        <v>0</v>
      </c>
      <c r="AY257" s="251">
        <f t="shared" si="66"/>
        <v>0</v>
      </c>
      <c r="AZ257" s="251">
        <f t="shared" si="66"/>
        <v>0</v>
      </c>
      <c r="BA257" s="251">
        <f t="shared" si="66"/>
        <v>0</v>
      </c>
      <c r="BB257" s="251">
        <f t="shared" si="66"/>
        <v>0</v>
      </c>
      <c r="BC257" s="826"/>
      <c r="BF257" s="671" t="s">
        <v>702</v>
      </c>
    </row>
    <row r="258" spans="1:58" ht="14.25" hidden="1" customHeight="1" x14ac:dyDescent="0.15">
      <c r="E258" s="461">
        <v>15</v>
      </c>
      <c r="F258" s="3" t="str" cm="1">
        <f t="array" aca="1" ref="F258" ca="1">OFFSET(E258,-1,1)</f>
        <v>2</v>
      </c>
      <c r="H258" s="17" t="s">
        <v>703</v>
      </c>
      <c r="T258" s="353" t="b" cm="1">
        <f t="array" ref="T258">T257</f>
        <v>0</v>
      </c>
      <c r="X258" s="990"/>
      <c r="Y258" s="966"/>
      <c r="AB258" s="153" t="s">
        <v>704</v>
      </c>
      <c r="AC258" s="241" t="s">
        <v>636</v>
      </c>
      <c r="AD258" s="12" t="s">
        <v>558</v>
      </c>
      <c r="AE258" s="825"/>
      <c r="AF258" s="825"/>
      <c r="AG258" s="825"/>
      <c r="AH258" s="825"/>
      <c r="AI258" s="188"/>
      <c r="AJ258" s="825"/>
      <c r="AK258" s="825"/>
      <c r="AL258" s="825"/>
      <c r="AM258" s="825"/>
      <c r="AN258" s="825"/>
      <c r="AO258" s="825"/>
      <c r="AP258" s="825"/>
      <c r="AQ258" s="825"/>
      <c r="AR258" s="825"/>
      <c r="AS258" s="188"/>
      <c r="AT258" s="825"/>
      <c r="AU258" s="825"/>
      <c r="AV258" s="825"/>
      <c r="AW258" s="825"/>
      <c r="AX258" s="825"/>
      <c r="AY258" s="825"/>
      <c r="AZ258" s="825"/>
      <c r="BA258" s="825"/>
      <c r="BB258" s="825"/>
      <c r="BC258" s="826"/>
      <c r="BF258" s="671" t="s">
        <v>705</v>
      </c>
    </row>
    <row r="259" spans="1:58" ht="14.25" hidden="1" customHeight="1" x14ac:dyDescent="0.15">
      <c r="E259" s="461">
        <v>15</v>
      </c>
      <c r="F259" s="3" t="str" cm="1">
        <f t="array" aca="1" ref="F259" ca="1">OFFSET(E259,-1,1)</f>
        <v>2</v>
      </c>
      <c r="H259" s="17" t="s">
        <v>706</v>
      </c>
      <c r="T259" s="353" t="b" cm="1">
        <f t="array" ref="T259">T258</f>
        <v>0</v>
      </c>
      <c r="X259" s="990"/>
      <c r="Y259" s="966"/>
      <c r="AB259" s="153" t="s">
        <v>707</v>
      </c>
      <c r="AC259" s="241" t="s">
        <v>640</v>
      </c>
      <c r="AD259" s="12" t="s">
        <v>558</v>
      </c>
      <c r="AE259" s="825"/>
      <c r="AF259" s="825"/>
      <c r="AG259" s="825"/>
      <c r="AH259" s="825"/>
      <c r="AI259" s="188"/>
      <c r="AJ259" s="825"/>
      <c r="AK259" s="825"/>
      <c r="AL259" s="825"/>
      <c r="AM259" s="825"/>
      <c r="AN259" s="825"/>
      <c r="AO259" s="825"/>
      <c r="AP259" s="825"/>
      <c r="AQ259" s="825"/>
      <c r="AR259" s="825"/>
      <c r="AS259" s="188"/>
      <c r="AT259" s="825"/>
      <c r="AU259" s="825"/>
      <c r="AV259" s="825"/>
      <c r="AW259" s="825"/>
      <c r="AX259" s="825"/>
      <c r="AY259" s="825"/>
      <c r="AZ259" s="825"/>
      <c r="BA259" s="825"/>
      <c r="BB259" s="825"/>
      <c r="BC259" s="826"/>
      <c r="BF259" s="671" t="s">
        <v>708</v>
      </c>
    </row>
    <row r="260" spans="1:58" ht="21.75" hidden="1" customHeight="1" x14ac:dyDescent="0.15">
      <c r="E260" s="461">
        <v>22.5</v>
      </c>
      <c r="F260" s="3" t="str" cm="1">
        <f t="array" aca="1" ref="F260" ca="1">OFFSET(E260,-1,1)</f>
        <v>2</v>
      </c>
      <c r="H260" s="17" t="s">
        <v>586</v>
      </c>
      <c r="I260" s="315"/>
      <c r="J260" s="315"/>
      <c r="T260" s="353" t="b" cm="1">
        <f t="array" ref="T260">T259</f>
        <v>0</v>
      </c>
      <c r="X260" s="990"/>
      <c r="Y260" s="966"/>
      <c r="AB260" s="153" t="s">
        <v>536</v>
      </c>
      <c r="AC260" s="242" t="s">
        <v>679</v>
      </c>
      <c r="AD260" s="12" t="s">
        <v>558</v>
      </c>
      <c r="AE260" s="825"/>
      <c r="AF260" s="825"/>
      <c r="AG260" s="825"/>
      <c r="AH260" s="825"/>
      <c r="AI260" s="188"/>
      <c r="AJ260" s="825"/>
      <c r="AK260" s="825"/>
      <c r="AL260" s="825"/>
      <c r="AM260" s="825"/>
      <c r="AN260" s="825"/>
      <c r="AO260" s="825"/>
      <c r="AP260" s="825"/>
      <c r="AQ260" s="825"/>
      <c r="AR260" s="825"/>
      <c r="AS260" s="188"/>
      <c r="AT260" s="825"/>
      <c r="AU260" s="825"/>
      <c r="AV260" s="825"/>
      <c r="AW260" s="825"/>
      <c r="AX260" s="825"/>
      <c r="AY260" s="825"/>
      <c r="AZ260" s="825"/>
      <c r="BA260" s="825"/>
      <c r="BB260" s="825"/>
      <c r="BC260" s="826"/>
      <c r="BF260" s="671" t="s">
        <v>709</v>
      </c>
    </row>
    <row r="261" spans="1:58" ht="14.25" hidden="1" customHeight="1" x14ac:dyDescent="0.15">
      <c r="E261" s="461">
        <v>15</v>
      </c>
      <c r="F261" s="253" t="str" cm="1">
        <f t="array" aca="1" ref="F261" ca="1">OFFSET(E261,-1,1)</f>
        <v>2</v>
      </c>
      <c r="T261" s="353" t="b" cm="1">
        <f t="array" ref="T261">T260</f>
        <v>0</v>
      </c>
      <c r="X261" s="990"/>
      <c r="Y261" s="966"/>
      <c r="AB261" s="153" t="s">
        <v>681</v>
      </c>
      <c r="AC261" s="239" t="s">
        <v>682</v>
      </c>
      <c r="AD261" s="12" t="s">
        <v>558</v>
      </c>
      <c r="AE261" s="825"/>
      <c r="AF261" s="825"/>
      <c r="AG261" s="825"/>
      <c r="AH261" s="825"/>
      <c r="AI261" s="188"/>
      <c r="AJ261" s="825"/>
      <c r="AK261" s="825"/>
      <c r="AL261" s="825"/>
      <c r="AM261" s="825"/>
      <c r="AN261" s="825"/>
      <c r="AO261" s="825"/>
      <c r="AP261" s="825"/>
      <c r="AQ261" s="825"/>
      <c r="AR261" s="825"/>
      <c r="AS261" s="188"/>
      <c r="AT261" s="825"/>
      <c r="AU261" s="825"/>
      <c r="AV261" s="825"/>
      <c r="AW261" s="825"/>
      <c r="AX261" s="825"/>
      <c r="AY261" s="825"/>
      <c r="AZ261" s="825"/>
      <c r="BA261" s="825"/>
      <c r="BB261" s="825"/>
      <c r="BC261" s="826"/>
      <c r="BF261" s="671" t="s">
        <v>710</v>
      </c>
    </row>
    <row r="262" spans="1:58" ht="11.25" hidden="1" customHeight="1" x14ac:dyDescent="0.15">
      <c r="A262" s="315"/>
      <c r="B262" s="479"/>
      <c r="C262" s="315"/>
      <c r="D262" s="315"/>
      <c r="E262" s="480" t="s">
        <v>371</v>
      </c>
      <c r="F262" s="765" t="str" cm="1">
        <f t="array" aca="1" ref="F262" ca="1">OFFSET(E262,-1,1)</f>
        <v>2</v>
      </c>
      <c r="G262" s="315"/>
      <c r="H262" s="315"/>
      <c r="I262"/>
      <c r="J262"/>
      <c r="L262" s="315"/>
      <c r="M262" s="315"/>
      <c r="N262" s="315"/>
      <c r="O262" s="315"/>
      <c r="T262" s="353" t="b">
        <v>0</v>
      </c>
      <c r="V262" s="315"/>
      <c r="X262" s="990"/>
      <c r="Y262" s="966"/>
      <c r="Z262" s="315"/>
      <c r="AA262" s="315"/>
      <c r="AB262"/>
      <c r="AC262" s="18"/>
      <c r="AD262" s="18"/>
      <c r="AE262" s="249"/>
      <c r="AF262" s="249"/>
      <c r="AG262" s="249"/>
      <c r="AH262" s="249"/>
      <c r="AI262" s="249"/>
      <c r="AJ262" s="250"/>
      <c r="AK262" s="249"/>
      <c r="AL262" s="249"/>
      <c r="AM262" s="249"/>
      <c r="AN262" s="249"/>
      <c r="AO262" s="249"/>
      <c r="AP262" s="249"/>
      <c r="AQ262" s="249"/>
      <c r="AR262" s="249"/>
      <c r="AS262" s="249"/>
      <c r="AT262" s="249"/>
      <c r="AU262" s="249"/>
      <c r="AV262" s="249"/>
      <c r="AW262" s="249"/>
      <c r="AX262" s="249"/>
      <c r="AY262" s="249"/>
      <c r="AZ262" s="249"/>
      <c r="BA262" s="249"/>
      <c r="BB262" s="249"/>
      <c r="BC262"/>
      <c r="BD262"/>
      <c r="BE262"/>
      <c r="BF262" s="661"/>
    </row>
    <row r="263" spans="1:58" ht="32.1" customHeight="1" x14ac:dyDescent="0.15">
      <c r="E263" s="461">
        <v>15</v>
      </c>
      <c r="F263" s="3" t="str" cm="1">
        <f t="array" aca="1" ref="F263" ca="1">OFFSET(E263,-1,1)</f>
        <v>2</v>
      </c>
      <c r="R263" s="315" t="b" cm="1">
        <f t="array" ref="R263">INDEX('Общие сведения'!$AN$179:$AN$236,MATCH($X209,'Общие сведения'!$Z$179:$Z$236,0))</f>
        <v>0</v>
      </c>
      <c r="S263" s="315" t="b">
        <f>IF(ISERROR(SEARCH("Водоотведение",AB209)),FALSE,TRUE)</f>
        <v>1</v>
      </c>
      <c r="T263" s="353" t="b">
        <f>AND(X209&gt;0,S263,NOT(R263))</f>
        <v>1</v>
      </c>
      <c r="X263" s="990"/>
      <c r="Y263" s="966"/>
      <c r="AB263" s="153" t="s">
        <v>275</v>
      </c>
      <c r="AC263" s="53" t="s">
        <v>711</v>
      </c>
      <c r="AD263" s="110"/>
      <c r="AE263" s="415" t="str" cm="1">
        <f t="array" ref="AE263">INDEX('Общие сведения'!$AH$179:$AH$236,MATCH($X209,'Общие сведения'!$Z$179:$Z$236,0))</f>
        <v>хозяйственно-бытовые сточные воды</v>
      </c>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5"/>
      <c r="BC263" s="113" t="s">
        <v>800</v>
      </c>
      <c r="BF263" s="671" t="s">
        <v>712</v>
      </c>
    </row>
    <row r="264" spans="1:58" ht="14.25" customHeight="1" x14ac:dyDescent="0.15">
      <c r="E264" s="461">
        <v>15</v>
      </c>
      <c r="F264" s="3" t="str" cm="1">
        <f t="array" aca="1" ref="F264" ca="1">OFFSET(E264,-1,1)</f>
        <v>2</v>
      </c>
      <c r="H264" s="17" t="s">
        <v>335</v>
      </c>
      <c r="T264" s="353" t="b" cm="1">
        <f t="array" ref="T264">T263</f>
        <v>1</v>
      </c>
      <c r="X264" s="990"/>
      <c r="Y264" s="966"/>
      <c r="AB264" s="153" t="s">
        <v>285</v>
      </c>
      <c r="AC264" s="53" t="s">
        <v>713</v>
      </c>
      <c r="AD264" s="12" t="s">
        <v>558</v>
      </c>
      <c r="AE264" s="251">
        <f t="shared" ref="AE264:BB264" si="67">AE265+AE266+AE279</f>
        <v>272.25869999999998</v>
      </c>
      <c r="AF264" s="251">
        <f t="shared" si="67"/>
        <v>337.074524</v>
      </c>
      <c r="AG264" s="251">
        <f t="shared" si="67"/>
        <v>337.0745</v>
      </c>
      <c r="AH264" s="251">
        <f t="shared" si="67"/>
        <v>304.45792999999998</v>
      </c>
      <c r="AI264" s="251">
        <f t="shared" si="67"/>
        <v>422.57499999999999</v>
      </c>
      <c r="AJ264" s="251">
        <f t="shared" si="67"/>
        <v>0</v>
      </c>
      <c r="AK264" s="251">
        <f t="shared" si="67"/>
        <v>0</v>
      </c>
      <c r="AL264" s="251">
        <f t="shared" si="67"/>
        <v>0</v>
      </c>
      <c r="AM264" s="251">
        <f t="shared" si="67"/>
        <v>0</v>
      </c>
      <c r="AN264" s="251">
        <f t="shared" si="67"/>
        <v>0</v>
      </c>
      <c r="AO264" s="251">
        <f t="shared" si="67"/>
        <v>0</v>
      </c>
      <c r="AP264" s="251">
        <f t="shared" si="67"/>
        <v>0</v>
      </c>
      <c r="AQ264" s="251">
        <f t="shared" si="67"/>
        <v>0</v>
      </c>
      <c r="AR264" s="251">
        <f t="shared" si="67"/>
        <v>0</v>
      </c>
      <c r="AS264" s="251">
        <f t="shared" si="67"/>
        <v>348.84325000000001</v>
      </c>
      <c r="AT264" s="251">
        <f t="shared" si="67"/>
        <v>0</v>
      </c>
      <c r="AU264" s="251">
        <f t="shared" si="67"/>
        <v>0</v>
      </c>
      <c r="AV264" s="251">
        <f t="shared" si="67"/>
        <v>0</v>
      </c>
      <c r="AW264" s="251">
        <f t="shared" si="67"/>
        <v>0</v>
      </c>
      <c r="AX264" s="251">
        <f t="shared" si="67"/>
        <v>0</v>
      </c>
      <c r="AY264" s="251">
        <f t="shared" si="67"/>
        <v>0</v>
      </c>
      <c r="AZ264" s="251">
        <f t="shared" si="67"/>
        <v>0</v>
      </c>
      <c r="BA264" s="251">
        <f t="shared" si="67"/>
        <v>0</v>
      </c>
      <c r="BB264" s="251">
        <f t="shared" si="67"/>
        <v>0</v>
      </c>
      <c r="BC264" s="113"/>
      <c r="BF264" s="671" t="s">
        <v>714</v>
      </c>
    </row>
    <row r="265" spans="1:58" ht="14.25" customHeight="1" x14ac:dyDescent="0.15">
      <c r="E265" s="461">
        <v>15</v>
      </c>
      <c r="F265" s="3" t="str" cm="1">
        <f t="array" aca="1" ref="F265" ca="1">OFFSET(E265,-1,1)</f>
        <v>2</v>
      </c>
      <c r="G265" s="17" t="str">
        <f>IF(OwnNeedsInPO="да","ПО","")</f>
        <v/>
      </c>
      <c r="H265" s="17" t="s">
        <v>334</v>
      </c>
      <c r="T265" s="353" t="b" cm="1">
        <f t="array" ref="T265">T264</f>
        <v>1</v>
      </c>
      <c r="X265" s="990"/>
      <c r="Y265" s="966"/>
      <c r="AB265" s="153" t="s">
        <v>291</v>
      </c>
      <c r="AC265" s="53" t="s">
        <v>715</v>
      </c>
      <c r="AD265" s="12" t="s">
        <v>558</v>
      </c>
      <c r="AE265" s="188"/>
      <c r="AF265" s="188"/>
      <c r="AG265" s="188"/>
      <c r="AH265" s="188"/>
      <c r="AI265" s="188"/>
      <c r="AJ265" s="825"/>
      <c r="AK265" s="825"/>
      <c r="AL265" s="188"/>
      <c r="AM265" s="188"/>
      <c r="AN265" s="188"/>
      <c r="AO265" s="188"/>
      <c r="AP265" s="188"/>
      <c r="AQ265" s="188"/>
      <c r="AR265" s="188"/>
      <c r="AS265" s="188"/>
      <c r="AT265" s="825"/>
      <c r="AU265" s="825"/>
      <c r="AV265" s="188"/>
      <c r="AW265" s="188"/>
      <c r="AX265" s="188"/>
      <c r="AY265" s="188"/>
      <c r="AZ265" s="188"/>
      <c r="BA265" s="188"/>
      <c r="BB265" s="188"/>
      <c r="BC265" s="113"/>
      <c r="BF265" s="671" t="s">
        <v>716</v>
      </c>
    </row>
    <row r="266" spans="1:58" ht="14.25" customHeight="1" x14ac:dyDescent="0.15">
      <c r="E266" s="461">
        <v>15</v>
      </c>
      <c r="F266" s="3" t="str" cm="1">
        <f t="array" aca="1" ref="F266" ca="1">OFFSET(E266,-1,1)</f>
        <v>2</v>
      </c>
      <c r="G266" s="17" t="s">
        <v>629</v>
      </c>
      <c r="H266" s="17" t="s">
        <v>532</v>
      </c>
      <c r="T266" s="353" t="b" cm="1">
        <f t="array" ref="T266">T265</f>
        <v>1</v>
      </c>
      <c r="X266" s="990"/>
      <c r="Y266" s="966"/>
      <c r="AB266" s="153" t="s">
        <v>454</v>
      </c>
      <c r="AC266" s="54" t="s">
        <v>717</v>
      </c>
      <c r="AD266" s="12" t="s">
        <v>558</v>
      </c>
      <c r="AE266" s="251">
        <f t="shared" ref="AE266:BB266" si="68">AE267+AE270+AE273+AE276</f>
        <v>272.25869999999998</v>
      </c>
      <c r="AF266" s="251">
        <f t="shared" si="68"/>
        <v>337.074524</v>
      </c>
      <c r="AG266" s="251">
        <f t="shared" si="68"/>
        <v>337.0745</v>
      </c>
      <c r="AH266" s="251">
        <f t="shared" si="68"/>
        <v>304.45792999999998</v>
      </c>
      <c r="AI266" s="251">
        <f t="shared" si="68"/>
        <v>422.57499999999999</v>
      </c>
      <c r="AJ266" s="251">
        <f t="shared" si="68"/>
        <v>0</v>
      </c>
      <c r="AK266" s="251">
        <f t="shared" si="68"/>
        <v>0</v>
      </c>
      <c r="AL266" s="251">
        <f t="shared" si="68"/>
        <v>0</v>
      </c>
      <c r="AM266" s="251">
        <f t="shared" si="68"/>
        <v>0</v>
      </c>
      <c r="AN266" s="251">
        <f t="shared" si="68"/>
        <v>0</v>
      </c>
      <c r="AO266" s="251">
        <f t="shared" si="68"/>
        <v>0</v>
      </c>
      <c r="AP266" s="251">
        <f t="shared" si="68"/>
        <v>0</v>
      </c>
      <c r="AQ266" s="251">
        <f t="shared" si="68"/>
        <v>0</v>
      </c>
      <c r="AR266" s="251">
        <f t="shared" si="68"/>
        <v>0</v>
      </c>
      <c r="AS266" s="251">
        <f t="shared" si="68"/>
        <v>348.84325000000001</v>
      </c>
      <c r="AT266" s="251">
        <f t="shared" si="68"/>
        <v>0</v>
      </c>
      <c r="AU266" s="251">
        <f t="shared" si="68"/>
        <v>0</v>
      </c>
      <c r="AV266" s="251">
        <f t="shared" si="68"/>
        <v>0</v>
      </c>
      <c r="AW266" s="251">
        <f t="shared" si="68"/>
        <v>0</v>
      </c>
      <c r="AX266" s="251">
        <f t="shared" si="68"/>
        <v>0</v>
      </c>
      <c r="AY266" s="251">
        <f t="shared" si="68"/>
        <v>0</v>
      </c>
      <c r="AZ266" s="251">
        <f t="shared" si="68"/>
        <v>0</v>
      </c>
      <c r="BA266" s="251">
        <f t="shared" si="68"/>
        <v>0</v>
      </c>
      <c r="BB266" s="251">
        <f t="shared" si="68"/>
        <v>0</v>
      </c>
      <c r="BC266" s="113"/>
      <c r="BF266" s="671" t="s">
        <v>718</v>
      </c>
    </row>
    <row r="267" spans="1:58" ht="14.25" customHeight="1" x14ac:dyDescent="0.15">
      <c r="E267" s="461">
        <v>15</v>
      </c>
      <c r="F267" s="3" t="str" cm="1">
        <f t="array" aca="1" ref="F267" ca="1">OFFSET(E267,-1,1)</f>
        <v>2</v>
      </c>
      <c r="H267" s="17" t="s">
        <v>696</v>
      </c>
      <c r="T267" s="353" t="b" cm="1">
        <f t="array" ref="T267">T266</f>
        <v>1</v>
      </c>
      <c r="X267" s="990"/>
      <c r="Y267" s="966"/>
      <c r="AB267" s="153" t="s">
        <v>697</v>
      </c>
      <c r="AC267" s="105" t="s">
        <v>648</v>
      </c>
      <c r="AD267" s="12" t="s">
        <v>558</v>
      </c>
      <c r="AE267" s="251">
        <f t="shared" ref="AE267:BB267" si="69">AE268+AE269</f>
        <v>0</v>
      </c>
      <c r="AF267" s="251">
        <f t="shared" si="69"/>
        <v>0</v>
      </c>
      <c r="AG267" s="251">
        <f t="shared" si="69"/>
        <v>0</v>
      </c>
      <c r="AH267" s="251">
        <f t="shared" si="69"/>
        <v>0</v>
      </c>
      <c r="AI267" s="251">
        <f t="shared" si="69"/>
        <v>0</v>
      </c>
      <c r="AJ267" s="251">
        <f t="shared" si="69"/>
        <v>0</v>
      </c>
      <c r="AK267" s="251">
        <f t="shared" si="69"/>
        <v>0</v>
      </c>
      <c r="AL267" s="251">
        <f t="shared" si="69"/>
        <v>0</v>
      </c>
      <c r="AM267" s="251">
        <f t="shared" si="69"/>
        <v>0</v>
      </c>
      <c r="AN267" s="251">
        <f t="shared" si="69"/>
        <v>0</v>
      </c>
      <c r="AO267" s="251">
        <f t="shared" si="69"/>
        <v>0</v>
      </c>
      <c r="AP267" s="251">
        <f t="shared" si="69"/>
        <v>0</v>
      </c>
      <c r="AQ267" s="251">
        <f t="shared" si="69"/>
        <v>0</v>
      </c>
      <c r="AR267" s="251">
        <f t="shared" si="69"/>
        <v>0</v>
      </c>
      <c r="AS267" s="251">
        <f t="shared" si="69"/>
        <v>0</v>
      </c>
      <c r="AT267" s="251">
        <f t="shared" si="69"/>
        <v>0</v>
      </c>
      <c r="AU267" s="251">
        <f t="shared" si="69"/>
        <v>0</v>
      </c>
      <c r="AV267" s="251">
        <f t="shared" si="69"/>
        <v>0</v>
      </c>
      <c r="AW267" s="251">
        <f t="shared" si="69"/>
        <v>0</v>
      </c>
      <c r="AX267" s="251">
        <f t="shared" si="69"/>
        <v>0</v>
      </c>
      <c r="AY267" s="251">
        <f t="shared" si="69"/>
        <v>0</v>
      </c>
      <c r="AZ267" s="251">
        <f t="shared" si="69"/>
        <v>0</v>
      </c>
      <c r="BA267" s="251">
        <f t="shared" si="69"/>
        <v>0</v>
      </c>
      <c r="BB267" s="251">
        <f t="shared" si="69"/>
        <v>0</v>
      </c>
      <c r="BC267" s="113"/>
      <c r="BF267" s="671" t="s">
        <v>719</v>
      </c>
    </row>
    <row r="268" spans="1:58" ht="14.25" customHeight="1" x14ac:dyDescent="0.15">
      <c r="E268" s="461">
        <v>15</v>
      </c>
      <c r="F268" s="3" t="str" cm="1">
        <f t="array" aca="1" ref="F268" ca="1">OFFSET(E268,-1,1)</f>
        <v>2</v>
      </c>
      <c r="H268" s="17" t="s">
        <v>720</v>
      </c>
      <c r="T268" s="353" t="b" cm="1">
        <f t="array" ref="T268">T267</f>
        <v>1</v>
      </c>
      <c r="X268" s="990"/>
      <c r="Y268" s="966"/>
      <c r="AB268" s="153" t="s">
        <v>721</v>
      </c>
      <c r="AC268" s="243" t="s">
        <v>636</v>
      </c>
      <c r="AD268" s="12" t="s">
        <v>558</v>
      </c>
      <c r="AE268" s="188"/>
      <c r="AF268" s="188"/>
      <c r="AG268" s="188"/>
      <c r="AH268" s="188"/>
      <c r="AI268" s="188"/>
      <c r="AJ268" s="825"/>
      <c r="AK268" s="825"/>
      <c r="AL268" s="188"/>
      <c r="AM268" s="188"/>
      <c r="AN268" s="188"/>
      <c r="AO268" s="188"/>
      <c r="AP268" s="188"/>
      <c r="AQ268" s="188"/>
      <c r="AR268" s="188"/>
      <c r="AS268" s="188"/>
      <c r="AT268" s="825"/>
      <c r="AU268" s="825"/>
      <c r="AV268" s="188"/>
      <c r="AW268" s="188"/>
      <c r="AX268" s="188"/>
      <c r="AY268" s="188"/>
      <c r="AZ268" s="188"/>
      <c r="BA268" s="188"/>
      <c r="BB268" s="188"/>
      <c r="BC268" s="113"/>
      <c r="BF268" s="671" t="s">
        <v>722</v>
      </c>
    </row>
    <row r="269" spans="1:58" ht="14.25" customHeight="1" x14ac:dyDescent="0.15">
      <c r="E269" s="461">
        <v>15</v>
      </c>
      <c r="F269" s="3" t="str" cm="1">
        <f t="array" aca="1" ref="F269" ca="1">OFFSET(E269,-1,1)</f>
        <v>2</v>
      </c>
      <c r="H269" s="17" t="s">
        <v>723</v>
      </c>
      <c r="T269" s="353" t="b" cm="1">
        <f t="array" ref="T269">T268</f>
        <v>1</v>
      </c>
      <c r="X269" s="990"/>
      <c r="Y269" s="966"/>
      <c r="AB269" s="153" t="s">
        <v>724</v>
      </c>
      <c r="AC269" s="243" t="s">
        <v>640</v>
      </c>
      <c r="AD269" s="12" t="s">
        <v>558</v>
      </c>
      <c r="AE269" s="188"/>
      <c r="AF269" s="188"/>
      <c r="AG269" s="188"/>
      <c r="AH269" s="188"/>
      <c r="AI269" s="188"/>
      <c r="AJ269" s="825"/>
      <c r="AK269" s="825"/>
      <c r="AL269" s="188"/>
      <c r="AM269" s="188"/>
      <c r="AN269" s="188"/>
      <c r="AO269" s="188"/>
      <c r="AP269" s="188"/>
      <c r="AQ269" s="188"/>
      <c r="AR269" s="188"/>
      <c r="AS269" s="188"/>
      <c r="AT269" s="825"/>
      <c r="AU269" s="825"/>
      <c r="AV269" s="188"/>
      <c r="AW269" s="188"/>
      <c r="AX269" s="188"/>
      <c r="AY269" s="188"/>
      <c r="AZ269" s="188"/>
      <c r="BA269" s="188"/>
      <c r="BB269" s="188"/>
      <c r="BC269" s="113"/>
      <c r="BF269" s="671" t="s">
        <v>725</v>
      </c>
    </row>
    <row r="270" spans="1:58" ht="14.25" customHeight="1" x14ac:dyDescent="0.15">
      <c r="E270" s="461">
        <v>15</v>
      </c>
      <c r="F270" s="3" t="str" cm="1">
        <f t="array" aca="1" ref="F270" ca="1">OFFSET(E270,-1,1)</f>
        <v>2</v>
      </c>
      <c r="G270" s="17" t="s">
        <v>656</v>
      </c>
      <c r="H270" s="17" t="s">
        <v>699</v>
      </c>
      <c r="T270" s="353" t="b" cm="1">
        <f t="array" ref="T270">T269</f>
        <v>1</v>
      </c>
      <c r="X270" s="990"/>
      <c r="Y270" s="966"/>
      <c r="AB270" s="153" t="s">
        <v>700</v>
      </c>
      <c r="AC270" s="105" t="s">
        <v>659</v>
      </c>
      <c r="AD270" s="12" t="s">
        <v>558</v>
      </c>
      <c r="AE270" s="251">
        <f t="shared" ref="AE270:BB270" si="70">AE271+AE272</f>
        <v>0</v>
      </c>
      <c r="AF270" s="251">
        <f t="shared" si="70"/>
        <v>0</v>
      </c>
      <c r="AG270" s="251">
        <f t="shared" si="70"/>
        <v>0</v>
      </c>
      <c r="AH270" s="251">
        <f t="shared" si="70"/>
        <v>0</v>
      </c>
      <c r="AI270" s="251">
        <f t="shared" si="70"/>
        <v>0</v>
      </c>
      <c r="AJ270" s="251">
        <f t="shared" si="70"/>
        <v>0</v>
      </c>
      <c r="AK270" s="251">
        <f t="shared" si="70"/>
        <v>0</v>
      </c>
      <c r="AL270" s="251">
        <f t="shared" si="70"/>
        <v>0</v>
      </c>
      <c r="AM270" s="251">
        <f t="shared" si="70"/>
        <v>0</v>
      </c>
      <c r="AN270" s="251">
        <f t="shared" si="70"/>
        <v>0</v>
      </c>
      <c r="AO270" s="251">
        <f t="shared" si="70"/>
        <v>0</v>
      </c>
      <c r="AP270" s="251">
        <f t="shared" si="70"/>
        <v>0</v>
      </c>
      <c r="AQ270" s="251">
        <f t="shared" si="70"/>
        <v>0</v>
      </c>
      <c r="AR270" s="251">
        <f t="shared" si="70"/>
        <v>0</v>
      </c>
      <c r="AS270" s="251">
        <f t="shared" si="70"/>
        <v>0</v>
      </c>
      <c r="AT270" s="251">
        <f t="shared" si="70"/>
        <v>0</v>
      </c>
      <c r="AU270" s="251">
        <f t="shared" si="70"/>
        <v>0</v>
      </c>
      <c r="AV270" s="251">
        <f t="shared" si="70"/>
        <v>0</v>
      </c>
      <c r="AW270" s="251">
        <f t="shared" si="70"/>
        <v>0</v>
      </c>
      <c r="AX270" s="251">
        <f t="shared" si="70"/>
        <v>0</v>
      </c>
      <c r="AY270" s="251">
        <f t="shared" si="70"/>
        <v>0</v>
      </c>
      <c r="AZ270" s="251">
        <f t="shared" si="70"/>
        <v>0</v>
      </c>
      <c r="BA270" s="251">
        <f t="shared" si="70"/>
        <v>0</v>
      </c>
      <c r="BB270" s="251">
        <f t="shared" si="70"/>
        <v>0</v>
      </c>
      <c r="BC270" s="113"/>
      <c r="BF270" s="671" t="s">
        <v>726</v>
      </c>
    </row>
    <row r="271" spans="1:58" ht="14.25" customHeight="1" x14ac:dyDescent="0.15">
      <c r="E271" s="461">
        <v>15</v>
      </c>
      <c r="F271" s="3" t="str" cm="1">
        <f t="array" aca="1" ref="F271" ca="1">OFFSET(E271,-1,1)</f>
        <v>2</v>
      </c>
      <c r="H271" s="17" t="s">
        <v>727</v>
      </c>
      <c r="T271" s="353" t="b" cm="1">
        <f t="array" ref="T271">T270</f>
        <v>1</v>
      </c>
      <c r="X271" s="990"/>
      <c r="Y271" s="966"/>
      <c r="AB271" s="153" t="s">
        <v>728</v>
      </c>
      <c r="AC271" s="243" t="s">
        <v>636</v>
      </c>
      <c r="AD271" s="12" t="s">
        <v>558</v>
      </c>
      <c r="AE271" s="188"/>
      <c r="AF271" s="188"/>
      <c r="AG271" s="188"/>
      <c r="AH271" s="188"/>
      <c r="AI271" s="188"/>
      <c r="AJ271" s="825"/>
      <c r="AK271" s="825"/>
      <c r="AL271" s="188"/>
      <c r="AM271" s="188"/>
      <c r="AN271" s="188"/>
      <c r="AO271" s="188"/>
      <c r="AP271" s="188"/>
      <c r="AQ271" s="188"/>
      <c r="AR271" s="188"/>
      <c r="AS271" s="188"/>
      <c r="AT271" s="825"/>
      <c r="AU271" s="825"/>
      <c r="AV271" s="188"/>
      <c r="AW271" s="188"/>
      <c r="AX271" s="188"/>
      <c r="AY271" s="188"/>
      <c r="AZ271" s="188"/>
      <c r="BA271" s="188"/>
      <c r="BB271" s="188"/>
      <c r="BC271" s="113"/>
      <c r="BF271" s="671" t="s">
        <v>729</v>
      </c>
    </row>
    <row r="272" spans="1:58" ht="14.25" customHeight="1" x14ac:dyDescent="0.15">
      <c r="E272" s="461">
        <v>15</v>
      </c>
      <c r="F272" s="3" t="str" cm="1">
        <f t="array" aca="1" ref="F272" ca="1">OFFSET(E272,-1,1)</f>
        <v>2</v>
      </c>
      <c r="H272" s="17" t="s">
        <v>730</v>
      </c>
      <c r="T272" s="353" t="b" cm="1">
        <f t="array" ref="T272">T271</f>
        <v>1</v>
      </c>
      <c r="X272" s="990"/>
      <c r="Y272" s="966"/>
      <c r="AB272" s="153" t="s">
        <v>731</v>
      </c>
      <c r="AC272" s="243" t="s">
        <v>640</v>
      </c>
      <c r="AD272" s="12" t="s">
        <v>558</v>
      </c>
      <c r="AE272" s="188"/>
      <c r="AF272" s="188"/>
      <c r="AG272" s="188"/>
      <c r="AH272" s="188"/>
      <c r="AI272" s="188"/>
      <c r="AJ272" s="825"/>
      <c r="AK272" s="825"/>
      <c r="AL272" s="188"/>
      <c r="AM272" s="188"/>
      <c r="AN272" s="188"/>
      <c r="AO272" s="188"/>
      <c r="AP272" s="188"/>
      <c r="AQ272" s="188"/>
      <c r="AR272" s="188"/>
      <c r="AS272" s="188"/>
      <c r="AT272" s="825"/>
      <c r="AU272" s="825"/>
      <c r="AV272" s="188"/>
      <c r="AW272" s="188"/>
      <c r="AX272" s="188"/>
      <c r="AY272" s="188"/>
      <c r="AZ272" s="188"/>
      <c r="BA272" s="188"/>
      <c r="BB272" s="188"/>
      <c r="BC272" s="113"/>
      <c r="BF272" s="671" t="s">
        <v>732</v>
      </c>
    </row>
    <row r="273" spans="1:58" ht="38.450000000000003" customHeight="1" x14ac:dyDescent="0.15">
      <c r="E273" s="461">
        <v>15</v>
      </c>
      <c r="F273" s="3" t="str" cm="1">
        <f t="array" aca="1" ref="F273" ca="1">OFFSET(E273,-1,1)</f>
        <v>2</v>
      </c>
      <c r="H273" s="17" t="s">
        <v>733</v>
      </c>
      <c r="T273" s="353" t="b" cm="1">
        <f t="array" ref="T273">T272</f>
        <v>1</v>
      </c>
      <c r="X273" s="990"/>
      <c r="Y273" s="966"/>
      <c r="AB273" s="153" t="s">
        <v>734</v>
      </c>
      <c r="AC273" s="105" t="s">
        <v>669</v>
      </c>
      <c r="AD273" s="12" t="s">
        <v>558</v>
      </c>
      <c r="AE273" s="251">
        <f t="shared" ref="AE273:BB273" si="71">AE274+AE275</f>
        <v>272.25869999999998</v>
      </c>
      <c r="AF273" s="251">
        <f t="shared" si="71"/>
        <v>337.074524</v>
      </c>
      <c r="AG273" s="251">
        <f t="shared" si="71"/>
        <v>337.0745</v>
      </c>
      <c r="AH273" s="251">
        <f t="shared" si="71"/>
        <v>304.45792999999998</v>
      </c>
      <c r="AI273" s="251">
        <f t="shared" si="71"/>
        <v>422.57499999999999</v>
      </c>
      <c r="AJ273" s="251">
        <f t="shared" si="71"/>
        <v>0</v>
      </c>
      <c r="AK273" s="251">
        <f t="shared" si="71"/>
        <v>0</v>
      </c>
      <c r="AL273" s="251">
        <f t="shared" si="71"/>
        <v>0</v>
      </c>
      <c r="AM273" s="251">
        <f t="shared" si="71"/>
        <v>0</v>
      </c>
      <c r="AN273" s="251">
        <f t="shared" si="71"/>
        <v>0</v>
      </c>
      <c r="AO273" s="251">
        <f t="shared" si="71"/>
        <v>0</v>
      </c>
      <c r="AP273" s="251">
        <f t="shared" si="71"/>
        <v>0</v>
      </c>
      <c r="AQ273" s="251">
        <f t="shared" si="71"/>
        <v>0</v>
      </c>
      <c r="AR273" s="251">
        <f t="shared" si="71"/>
        <v>0</v>
      </c>
      <c r="AS273" s="251">
        <f t="shared" si="71"/>
        <v>348.84325000000001</v>
      </c>
      <c r="AT273" s="251">
        <f t="shared" si="71"/>
        <v>0</v>
      </c>
      <c r="AU273" s="251">
        <f t="shared" si="71"/>
        <v>0</v>
      </c>
      <c r="AV273" s="251">
        <f t="shared" si="71"/>
        <v>0</v>
      </c>
      <c r="AW273" s="251">
        <f t="shared" si="71"/>
        <v>0</v>
      </c>
      <c r="AX273" s="251">
        <f t="shared" si="71"/>
        <v>0</v>
      </c>
      <c r="AY273" s="251">
        <f t="shared" si="71"/>
        <v>0</v>
      </c>
      <c r="AZ273" s="251">
        <f t="shared" si="71"/>
        <v>0</v>
      </c>
      <c r="BA273" s="251">
        <f t="shared" si="71"/>
        <v>0</v>
      </c>
      <c r="BB273" s="251">
        <f t="shared" si="71"/>
        <v>0</v>
      </c>
      <c r="BC273" s="113" t="s">
        <v>801</v>
      </c>
      <c r="BF273" s="671" t="s">
        <v>735</v>
      </c>
    </row>
    <row r="274" spans="1:58" ht="14.65" customHeight="1" x14ac:dyDescent="0.15">
      <c r="E274" s="461">
        <v>15</v>
      </c>
      <c r="F274" s="3" t="str" cm="1">
        <f t="array" aca="1" ref="F274" ca="1">OFFSET(E274,-1,1)</f>
        <v>2</v>
      </c>
      <c r="H274" s="17" t="s">
        <v>736</v>
      </c>
      <c r="T274" s="353" t="b" cm="1">
        <f t="array" ref="T274">T273</f>
        <v>1</v>
      </c>
      <c r="X274" s="990"/>
      <c r="Y274" s="966"/>
      <c r="AB274" s="153" t="s">
        <v>737</v>
      </c>
      <c r="AC274" s="243" t="s">
        <v>636</v>
      </c>
      <c r="AD274" s="12" t="s">
        <v>558</v>
      </c>
      <c r="AE274" s="188">
        <v>272.25869999999998</v>
      </c>
      <c r="AF274" s="188">
        <v>337.074524</v>
      </c>
      <c r="AG274" s="188">
        <v>337.0745</v>
      </c>
      <c r="AH274" s="188">
        <v>304.45792999999998</v>
      </c>
      <c r="AI274" s="188">
        <v>422.57499999999999</v>
      </c>
      <c r="AJ274" s="825"/>
      <c r="AK274" s="825"/>
      <c r="AL274" s="188"/>
      <c r="AM274" s="188"/>
      <c r="AN274" s="188"/>
      <c r="AO274" s="188"/>
      <c r="AP274" s="188"/>
      <c r="AQ274" s="188"/>
      <c r="AR274" s="188"/>
      <c r="AS274" s="188">
        <v>348.84325000000001</v>
      </c>
      <c r="AT274" s="825"/>
      <c r="AU274" s="825"/>
      <c r="AV274" s="188"/>
      <c r="AW274" s="188"/>
      <c r="AX274" s="188"/>
      <c r="AY274" s="188"/>
      <c r="AZ274" s="188"/>
      <c r="BA274" s="188"/>
      <c r="BB274" s="188"/>
      <c r="BC274" s="113"/>
      <c r="BF274" s="671" t="s">
        <v>738</v>
      </c>
    </row>
    <row r="275" spans="1:58" ht="14.25" customHeight="1" x14ac:dyDescent="0.15">
      <c r="E275" s="461">
        <v>15</v>
      </c>
      <c r="F275" s="3" t="str" cm="1">
        <f t="array" aca="1" ref="F275" ca="1">OFFSET(E275,-1,1)</f>
        <v>2</v>
      </c>
      <c r="H275" s="17" t="s">
        <v>739</v>
      </c>
      <c r="T275" s="353" t="b" cm="1">
        <f t="array" ref="T275">T274</f>
        <v>1</v>
      </c>
      <c r="X275" s="990"/>
      <c r="Y275" s="966"/>
      <c r="AB275" s="153" t="s">
        <v>740</v>
      </c>
      <c r="AC275" s="243" t="s">
        <v>640</v>
      </c>
      <c r="AD275" s="12" t="s">
        <v>558</v>
      </c>
      <c r="AE275" s="188"/>
      <c r="AF275" s="188"/>
      <c r="AG275" s="188"/>
      <c r="AH275" s="188"/>
      <c r="AI275" s="188"/>
      <c r="AJ275" s="825"/>
      <c r="AK275" s="825"/>
      <c r="AL275" s="188"/>
      <c r="AM275" s="188"/>
      <c r="AN275" s="188"/>
      <c r="AO275" s="188"/>
      <c r="AP275" s="188"/>
      <c r="AQ275" s="188"/>
      <c r="AR275" s="188"/>
      <c r="AS275" s="188"/>
      <c r="AT275" s="825"/>
      <c r="AU275" s="825"/>
      <c r="AV275" s="188"/>
      <c r="AW275" s="188"/>
      <c r="AX275" s="188"/>
      <c r="AY275" s="188"/>
      <c r="AZ275" s="188"/>
      <c r="BA275" s="188"/>
      <c r="BB275" s="188"/>
      <c r="BC275" s="113"/>
      <c r="BF275" s="671" t="s">
        <v>741</v>
      </c>
    </row>
    <row r="276" spans="1:58" ht="14.25" customHeight="1" x14ac:dyDescent="0.15">
      <c r="E276" s="461">
        <v>15</v>
      </c>
      <c r="F276" s="3" t="str" cm="1">
        <f t="array" aca="1" ref="F276" ca="1">OFFSET(E276,-1,1)</f>
        <v>2</v>
      </c>
      <c r="H276" s="17" t="s">
        <v>742</v>
      </c>
      <c r="T276" s="353" t="b" cm="1">
        <f t="array" ref="T276">T275</f>
        <v>1</v>
      </c>
      <c r="X276" s="990"/>
      <c r="Y276" s="966"/>
      <c r="AB276" s="153" t="s">
        <v>743</v>
      </c>
      <c r="AC276" s="105" t="s">
        <v>744</v>
      </c>
      <c r="AD276" s="12" t="s">
        <v>558</v>
      </c>
      <c r="AE276" s="251">
        <f t="shared" ref="AE276:BB276" si="72">AE277+AE278</f>
        <v>0</v>
      </c>
      <c r="AF276" s="251">
        <f t="shared" si="72"/>
        <v>0</v>
      </c>
      <c r="AG276" s="251">
        <f t="shared" si="72"/>
        <v>0</v>
      </c>
      <c r="AH276" s="251">
        <f t="shared" si="72"/>
        <v>0</v>
      </c>
      <c r="AI276" s="251">
        <f t="shared" si="72"/>
        <v>0</v>
      </c>
      <c r="AJ276" s="251">
        <f t="shared" si="72"/>
        <v>0</v>
      </c>
      <c r="AK276" s="251">
        <f t="shared" si="72"/>
        <v>0</v>
      </c>
      <c r="AL276" s="251">
        <f t="shared" si="72"/>
        <v>0</v>
      </c>
      <c r="AM276" s="251">
        <f t="shared" si="72"/>
        <v>0</v>
      </c>
      <c r="AN276" s="251">
        <f t="shared" si="72"/>
        <v>0</v>
      </c>
      <c r="AO276" s="251">
        <f t="shared" si="72"/>
        <v>0</v>
      </c>
      <c r="AP276" s="251">
        <f t="shared" si="72"/>
        <v>0</v>
      </c>
      <c r="AQ276" s="251">
        <f t="shared" si="72"/>
        <v>0</v>
      </c>
      <c r="AR276" s="251">
        <f t="shared" si="72"/>
        <v>0</v>
      </c>
      <c r="AS276" s="251">
        <f t="shared" si="72"/>
        <v>0</v>
      </c>
      <c r="AT276" s="251">
        <f t="shared" si="72"/>
        <v>0</v>
      </c>
      <c r="AU276" s="251">
        <f t="shared" si="72"/>
        <v>0</v>
      </c>
      <c r="AV276" s="251">
        <f t="shared" si="72"/>
        <v>0</v>
      </c>
      <c r="AW276" s="251">
        <f t="shared" si="72"/>
        <v>0</v>
      </c>
      <c r="AX276" s="251">
        <f t="shared" si="72"/>
        <v>0</v>
      </c>
      <c r="AY276" s="251">
        <f t="shared" si="72"/>
        <v>0</v>
      </c>
      <c r="AZ276" s="251">
        <f t="shared" si="72"/>
        <v>0</v>
      </c>
      <c r="BA276" s="251">
        <f t="shared" si="72"/>
        <v>0</v>
      </c>
      <c r="BB276" s="251">
        <f t="shared" si="72"/>
        <v>0</v>
      </c>
      <c r="BC276" s="113"/>
      <c r="BF276" s="671" t="s">
        <v>745</v>
      </c>
    </row>
    <row r="277" spans="1:58" ht="14.25" customHeight="1" x14ac:dyDescent="0.15">
      <c r="E277" s="461">
        <v>15</v>
      </c>
      <c r="F277" s="3" t="str" cm="1">
        <f t="array" aca="1" ref="F277" ca="1">OFFSET(E277,-1,1)</f>
        <v>2</v>
      </c>
      <c r="H277" s="17" t="s">
        <v>746</v>
      </c>
      <c r="T277" s="353" t="b" cm="1">
        <f t="array" ref="T277">T276</f>
        <v>1</v>
      </c>
      <c r="X277" s="990"/>
      <c r="Y277" s="966"/>
      <c r="AB277" s="153" t="s">
        <v>747</v>
      </c>
      <c r="AC277" s="237" t="s">
        <v>636</v>
      </c>
      <c r="AD277" s="12" t="s">
        <v>558</v>
      </c>
      <c r="AE277" s="188"/>
      <c r="AF277" s="188"/>
      <c r="AG277" s="188"/>
      <c r="AH277" s="188"/>
      <c r="AI277" s="188"/>
      <c r="AJ277" s="825"/>
      <c r="AK277" s="825"/>
      <c r="AL277" s="188"/>
      <c r="AM277" s="188"/>
      <c r="AN277" s="188"/>
      <c r="AO277" s="188"/>
      <c r="AP277" s="188"/>
      <c r="AQ277" s="188"/>
      <c r="AR277" s="188"/>
      <c r="AS277" s="188"/>
      <c r="AT277" s="825"/>
      <c r="AU277" s="825"/>
      <c r="AV277" s="188"/>
      <c r="AW277" s="188"/>
      <c r="AX277" s="188"/>
      <c r="AY277" s="188"/>
      <c r="AZ277" s="188"/>
      <c r="BA277" s="188"/>
      <c r="BB277" s="188"/>
      <c r="BC277" s="113"/>
      <c r="BF277" s="671" t="s">
        <v>748</v>
      </c>
    </row>
    <row r="278" spans="1:58" ht="14.25" customHeight="1" x14ac:dyDescent="0.15">
      <c r="E278" s="461">
        <v>15</v>
      </c>
      <c r="F278" s="3" t="str" cm="1">
        <f t="array" aca="1" ref="F278" ca="1">OFFSET(E278,-1,1)</f>
        <v>2</v>
      </c>
      <c r="H278" s="17" t="s">
        <v>749</v>
      </c>
      <c r="T278" s="353" t="b" cm="1">
        <f t="array" ref="T278">T277</f>
        <v>1</v>
      </c>
      <c r="X278" s="990"/>
      <c r="Y278" s="966"/>
      <c r="AB278" s="153" t="s">
        <v>750</v>
      </c>
      <c r="AC278" s="237" t="s">
        <v>640</v>
      </c>
      <c r="AD278" s="12" t="s">
        <v>558</v>
      </c>
      <c r="AE278" s="188"/>
      <c r="AF278" s="188"/>
      <c r="AG278" s="188"/>
      <c r="AH278" s="188"/>
      <c r="AI278" s="188"/>
      <c r="AJ278" s="825"/>
      <c r="AK278" s="825"/>
      <c r="AL278" s="188"/>
      <c r="AM278" s="188"/>
      <c r="AN278" s="188"/>
      <c r="AO278" s="188"/>
      <c r="AP278" s="188"/>
      <c r="AQ278" s="188"/>
      <c r="AR278" s="188"/>
      <c r="AS278" s="188"/>
      <c r="AT278" s="825"/>
      <c r="AU278" s="825"/>
      <c r="AV278" s="188"/>
      <c r="AW278" s="188"/>
      <c r="AX278" s="188"/>
      <c r="AY278" s="188"/>
      <c r="AZ278" s="188"/>
      <c r="BA278" s="188"/>
      <c r="BB278" s="188"/>
      <c r="BC278" s="113"/>
      <c r="BF278" s="671" t="s">
        <v>751</v>
      </c>
    </row>
    <row r="279" spans="1:58" ht="21.75" customHeight="1" x14ac:dyDescent="0.15">
      <c r="E279" s="461">
        <v>22.5</v>
      </c>
      <c r="F279" s="3" t="str" cm="1">
        <f t="array" aca="1" ref="F279" ca="1">OFFSET(E279,-1,1)</f>
        <v>2</v>
      </c>
      <c r="H279" s="17" t="s">
        <v>752</v>
      </c>
      <c r="T279" s="353" t="b" cm="1">
        <f t="array" ref="T279">T278</f>
        <v>1</v>
      </c>
      <c r="X279" s="990"/>
      <c r="Y279" s="966"/>
      <c r="AB279" s="153" t="s">
        <v>753</v>
      </c>
      <c r="AC279" s="244" t="s">
        <v>599</v>
      </c>
      <c r="AD279" s="12" t="s">
        <v>558</v>
      </c>
      <c r="AE279" s="188"/>
      <c r="AF279" s="188"/>
      <c r="AG279" s="188"/>
      <c r="AH279" s="188"/>
      <c r="AI279" s="188"/>
      <c r="AJ279" s="825"/>
      <c r="AK279" s="825"/>
      <c r="AL279" s="188"/>
      <c r="AM279" s="188"/>
      <c r="AN279" s="188"/>
      <c r="AO279" s="188"/>
      <c r="AP279" s="188"/>
      <c r="AQ279" s="188"/>
      <c r="AR279" s="188"/>
      <c r="AS279" s="188"/>
      <c r="AT279" s="825"/>
      <c r="AU279" s="825"/>
      <c r="AV279" s="188"/>
      <c r="AW279" s="188"/>
      <c r="AX279" s="188"/>
      <c r="AY279" s="188"/>
      <c r="AZ279" s="188"/>
      <c r="BA279" s="188"/>
      <c r="BB279" s="188"/>
      <c r="BC279" s="113"/>
      <c r="BF279" s="671" t="s">
        <v>754</v>
      </c>
    </row>
    <row r="280" spans="1:58" ht="14.25" customHeight="1" x14ac:dyDescent="0.15">
      <c r="E280" s="461">
        <v>15</v>
      </c>
      <c r="F280" s="3" t="str" cm="1">
        <f t="array" aca="1" ref="F280" ca="1">OFFSET(E280,-1,1)</f>
        <v>2</v>
      </c>
      <c r="H280" s="17" t="s">
        <v>535</v>
      </c>
      <c r="T280" s="353" t="b" cm="1">
        <f t="array" ref="T280">T279</f>
        <v>1</v>
      </c>
      <c r="X280" s="990"/>
      <c r="Y280" s="966"/>
      <c r="AB280" s="153" t="s">
        <v>460</v>
      </c>
      <c r="AC280" s="53" t="s">
        <v>755</v>
      </c>
      <c r="AD280" s="12" t="s">
        <v>558</v>
      </c>
      <c r="AE280" s="188"/>
      <c r="AF280" s="188"/>
      <c r="AG280" s="188"/>
      <c r="AH280" s="188"/>
      <c r="AI280" s="188"/>
      <c r="AJ280" s="825"/>
      <c r="AK280" s="825"/>
      <c r="AL280" s="188"/>
      <c r="AM280" s="188"/>
      <c r="AN280" s="188"/>
      <c r="AO280" s="188"/>
      <c r="AP280" s="188"/>
      <c r="AQ280" s="188"/>
      <c r="AR280" s="188"/>
      <c r="AS280" s="188"/>
      <c r="AT280" s="825"/>
      <c r="AU280" s="825"/>
      <c r="AV280" s="188"/>
      <c r="AW280" s="188"/>
      <c r="AX280" s="188"/>
      <c r="AY280" s="188"/>
      <c r="AZ280" s="188"/>
      <c r="BA280" s="188"/>
      <c r="BB280" s="188"/>
      <c r="BC280" s="113"/>
      <c r="BF280" s="671" t="s">
        <v>756</v>
      </c>
    </row>
    <row r="281" spans="1:58" ht="14.25" customHeight="1" x14ac:dyDescent="0.15">
      <c r="E281" s="461">
        <v>15</v>
      </c>
      <c r="F281" s="3" t="str" cm="1">
        <f t="array" aca="1" ref="F281" ca="1">OFFSET(E281,-1,1)</f>
        <v>2</v>
      </c>
      <c r="H281" s="17" t="s">
        <v>586</v>
      </c>
      <c r="T281" s="353" t="b" cm="1">
        <f t="array" ref="T281">T280</f>
        <v>1</v>
      </c>
      <c r="X281" s="990"/>
      <c r="Y281" s="966"/>
      <c r="AB281" s="153" t="s">
        <v>536</v>
      </c>
      <c r="AC281" s="53" t="s">
        <v>757</v>
      </c>
      <c r="AD281" s="12" t="s">
        <v>558</v>
      </c>
      <c r="AE281" s="188"/>
      <c r="AF281" s="188"/>
      <c r="AG281" s="188"/>
      <c r="AH281" s="188"/>
      <c r="AI281" s="188"/>
      <c r="AJ281" s="825"/>
      <c r="AK281" s="825"/>
      <c r="AL281" s="188"/>
      <c r="AM281" s="188"/>
      <c r="AN281" s="188"/>
      <c r="AO281" s="188"/>
      <c r="AP281" s="188"/>
      <c r="AQ281" s="188"/>
      <c r="AR281" s="188"/>
      <c r="AS281" s="188"/>
      <c r="AT281" s="825"/>
      <c r="AU281" s="825"/>
      <c r="AV281" s="188"/>
      <c r="AW281" s="188"/>
      <c r="AX281" s="188"/>
      <c r="AY281" s="188"/>
      <c r="AZ281" s="188"/>
      <c r="BA281" s="188"/>
      <c r="BB281" s="188"/>
      <c r="BC281" s="113"/>
      <c r="BF281" s="671" t="s">
        <v>758</v>
      </c>
    </row>
    <row r="282" spans="1:58" ht="44.25" customHeight="1" x14ac:dyDescent="0.15">
      <c r="E282" s="461">
        <v>15</v>
      </c>
      <c r="F282" s="3" t="str" cm="1">
        <f t="array" aca="1" ref="F282" ca="1">OFFSET(E282,-1,1)</f>
        <v>2</v>
      </c>
      <c r="H282" s="17" t="s">
        <v>601</v>
      </c>
      <c r="T282" s="353" t="b" cm="1">
        <f t="array" ref="T282">T281</f>
        <v>1</v>
      </c>
      <c r="X282" s="990"/>
      <c r="Y282" s="966"/>
      <c r="AB282" s="153" t="s">
        <v>602</v>
      </c>
      <c r="AC282" s="53" t="s">
        <v>759</v>
      </c>
      <c r="AD282" s="12" t="s">
        <v>558</v>
      </c>
      <c r="AE282" s="188">
        <v>272.25869999999998</v>
      </c>
      <c r="AF282" s="188">
        <v>337.074524</v>
      </c>
      <c r="AG282" s="188">
        <v>337.0745</v>
      </c>
      <c r="AH282" s="188">
        <v>304.45792999999998</v>
      </c>
      <c r="AI282" s="188">
        <v>422.57499999999999</v>
      </c>
      <c r="AJ282" s="825"/>
      <c r="AK282" s="825"/>
      <c r="AL282" s="188"/>
      <c r="AM282" s="188"/>
      <c r="AN282" s="188"/>
      <c r="AO282" s="188"/>
      <c r="AP282" s="188"/>
      <c r="AQ282" s="188"/>
      <c r="AR282" s="188"/>
      <c r="AS282" s="188">
        <v>348.84325000000001</v>
      </c>
      <c r="AT282" s="825"/>
      <c r="AU282" s="825"/>
      <c r="AV282" s="188"/>
      <c r="AW282" s="188"/>
      <c r="AX282" s="188"/>
      <c r="AY282" s="188"/>
      <c r="AZ282" s="188"/>
      <c r="BA282" s="188"/>
      <c r="BB282" s="188"/>
      <c r="BC282" s="113" t="s">
        <v>799</v>
      </c>
      <c r="BF282" s="671" t="s">
        <v>760</v>
      </c>
    </row>
    <row r="283" spans="1:58" ht="14.25" customHeight="1" x14ac:dyDescent="0.15">
      <c r="E283" s="461">
        <v>15</v>
      </c>
      <c r="F283" s="3" t="str" cm="1">
        <f t="array" aca="1" ref="F283" ca="1">OFFSET(E283,-1,1)</f>
        <v>2</v>
      </c>
      <c r="H283" s="17" t="s">
        <v>609</v>
      </c>
      <c r="T283" s="353" t="b" cm="1">
        <f t="array" ref="T283">T282</f>
        <v>1</v>
      </c>
      <c r="X283" s="990"/>
      <c r="Y283" s="966"/>
      <c r="AB283" s="153" t="s">
        <v>610</v>
      </c>
      <c r="AC283" s="54" t="s">
        <v>761</v>
      </c>
      <c r="AD283" s="12" t="s">
        <v>558</v>
      </c>
      <c r="AE283" s="251">
        <f t="shared" ref="AE283:BB283" si="73">AE284+AE285</f>
        <v>0</v>
      </c>
      <c r="AF283" s="251">
        <f t="shared" si="73"/>
        <v>0</v>
      </c>
      <c r="AG283" s="251">
        <f t="shared" si="73"/>
        <v>0</v>
      </c>
      <c r="AH283" s="251">
        <f t="shared" si="73"/>
        <v>0</v>
      </c>
      <c r="AI283" s="251">
        <f t="shared" si="73"/>
        <v>0</v>
      </c>
      <c r="AJ283" s="251">
        <f t="shared" si="73"/>
        <v>0</v>
      </c>
      <c r="AK283" s="251">
        <f t="shared" si="73"/>
        <v>0</v>
      </c>
      <c r="AL283" s="251">
        <f t="shared" si="73"/>
        <v>0</v>
      </c>
      <c r="AM283" s="251">
        <f t="shared" si="73"/>
        <v>0</v>
      </c>
      <c r="AN283" s="251">
        <f t="shared" si="73"/>
        <v>0</v>
      </c>
      <c r="AO283" s="251">
        <f t="shared" si="73"/>
        <v>0</v>
      </c>
      <c r="AP283" s="251">
        <f t="shared" si="73"/>
        <v>0</v>
      </c>
      <c r="AQ283" s="251">
        <f t="shared" si="73"/>
        <v>0</v>
      </c>
      <c r="AR283" s="251">
        <f t="shared" si="73"/>
        <v>0</v>
      </c>
      <c r="AS283" s="251">
        <f t="shared" si="73"/>
        <v>0</v>
      </c>
      <c r="AT283" s="251">
        <f t="shared" si="73"/>
        <v>0</v>
      </c>
      <c r="AU283" s="251">
        <f t="shared" si="73"/>
        <v>0</v>
      </c>
      <c r="AV283" s="251">
        <f t="shared" si="73"/>
        <v>0</v>
      </c>
      <c r="AW283" s="251">
        <f t="shared" si="73"/>
        <v>0</v>
      </c>
      <c r="AX283" s="251">
        <f t="shared" si="73"/>
        <v>0</v>
      </c>
      <c r="AY283" s="251">
        <f t="shared" si="73"/>
        <v>0</v>
      </c>
      <c r="AZ283" s="251">
        <f t="shared" si="73"/>
        <v>0</v>
      </c>
      <c r="BA283" s="251">
        <f t="shared" si="73"/>
        <v>0</v>
      </c>
      <c r="BB283" s="251">
        <f t="shared" si="73"/>
        <v>0</v>
      </c>
      <c r="BC283" s="113"/>
      <c r="BF283" s="671" t="s">
        <v>762</v>
      </c>
    </row>
    <row r="284" spans="1:58" ht="14.25" customHeight="1" x14ac:dyDescent="0.15">
      <c r="E284" s="461">
        <v>15</v>
      </c>
      <c r="F284" s="3" t="str" cm="1">
        <f t="array" aca="1" ref="F284" ca="1">OFFSET(E284,-1,1)</f>
        <v>2</v>
      </c>
      <c r="H284" s="17" t="s">
        <v>613</v>
      </c>
      <c r="T284" s="353" t="b" cm="1">
        <f t="array" ref="T284">T283</f>
        <v>1</v>
      </c>
      <c r="X284" s="990"/>
      <c r="Y284" s="966"/>
      <c r="AB284" s="153" t="s">
        <v>614</v>
      </c>
      <c r="AC284" s="105" t="s">
        <v>763</v>
      </c>
      <c r="AD284" s="12" t="s">
        <v>558</v>
      </c>
      <c r="AE284" s="188"/>
      <c r="AF284" s="188"/>
      <c r="AG284" s="188"/>
      <c r="AH284" s="188"/>
      <c r="AI284" s="188"/>
      <c r="AJ284" s="825"/>
      <c r="AK284" s="825"/>
      <c r="AL284" s="188"/>
      <c r="AM284" s="188"/>
      <c r="AN284" s="188"/>
      <c r="AO284" s="188"/>
      <c r="AP284" s="188"/>
      <c r="AQ284" s="188"/>
      <c r="AR284" s="188"/>
      <c r="AS284" s="188"/>
      <c r="AT284" s="825"/>
      <c r="AU284" s="825"/>
      <c r="AV284" s="188"/>
      <c r="AW284" s="188"/>
      <c r="AX284" s="188"/>
      <c r="AY284" s="188"/>
      <c r="AZ284" s="188"/>
      <c r="BA284" s="188"/>
      <c r="BB284" s="188"/>
      <c r="BC284" s="113"/>
      <c r="BF284" s="671" t="s">
        <v>764</v>
      </c>
    </row>
    <row r="285" spans="1:58" ht="14.25" customHeight="1" x14ac:dyDescent="0.15">
      <c r="E285" s="461">
        <v>15</v>
      </c>
      <c r="F285" s="3" t="str" cm="1">
        <f t="array" aca="1" ref="F285" ca="1">OFFSET(E285,-1,1)</f>
        <v>2</v>
      </c>
      <c r="H285" s="17" t="s">
        <v>630</v>
      </c>
      <c r="T285" s="353" t="b" cm="1">
        <f t="array" ref="T285">T284</f>
        <v>1</v>
      </c>
      <c r="X285" s="990"/>
      <c r="Y285" s="966"/>
      <c r="AB285" s="153" t="s">
        <v>631</v>
      </c>
      <c r="AC285" s="105" t="s">
        <v>765</v>
      </c>
      <c r="AD285" s="12" t="s">
        <v>558</v>
      </c>
      <c r="AE285" s="188"/>
      <c r="AF285" s="188"/>
      <c r="AG285" s="188"/>
      <c r="AH285" s="188"/>
      <c r="AI285" s="188"/>
      <c r="AJ285" s="825"/>
      <c r="AK285" s="825"/>
      <c r="AL285" s="188"/>
      <c r="AM285" s="188"/>
      <c r="AN285" s="188"/>
      <c r="AO285" s="188"/>
      <c r="AP285" s="188"/>
      <c r="AQ285" s="188"/>
      <c r="AR285" s="188"/>
      <c r="AS285" s="188"/>
      <c r="AT285" s="825"/>
      <c r="AU285" s="825"/>
      <c r="AV285" s="188"/>
      <c r="AW285" s="188"/>
      <c r="AX285" s="188"/>
      <c r="AY285" s="188"/>
      <c r="AZ285" s="188"/>
      <c r="BA285" s="188"/>
      <c r="BB285" s="188"/>
      <c r="BC285" s="113"/>
      <c r="BF285" s="671" t="s">
        <v>766</v>
      </c>
    </row>
    <row r="286" spans="1:58" ht="21.75" customHeight="1" x14ac:dyDescent="0.15">
      <c r="E286" s="461">
        <v>22.5</v>
      </c>
      <c r="F286" s="3" t="str" cm="1">
        <f t="array" aca="1" ref="F286" ca="1">OFFSET(E286,-1,1)</f>
        <v>2</v>
      </c>
      <c r="H286" s="17" t="s">
        <v>767</v>
      </c>
      <c r="T286" s="353" t="b" cm="1">
        <f t="array" ref="T286">T285</f>
        <v>1</v>
      </c>
      <c r="X286" s="990"/>
      <c r="Y286" s="966"/>
      <c r="AB286" s="153" t="s">
        <v>768</v>
      </c>
      <c r="AC286" s="245" t="s">
        <v>679</v>
      </c>
      <c r="AD286" s="12" t="s">
        <v>558</v>
      </c>
      <c r="AE286" s="188"/>
      <c r="AF286" s="188"/>
      <c r="AG286" s="188"/>
      <c r="AH286" s="188"/>
      <c r="AI286" s="188"/>
      <c r="AJ286" s="825"/>
      <c r="AK286" s="825"/>
      <c r="AL286" s="188"/>
      <c r="AM286" s="188"/>
      <c r="AN286" s="188"/>
      <c r="AO286" s="188"/>
      <c r="AP286" s="188"/>
      <c r="AQ286" s="188"/>
      <c r="AR286" s="188"/>
      <c r="AS286" s="188"/>
      <c r="AT286" s="825"/>
      <c r="AU286" s="825"/>
      <c r="AV286" s="188"/>
      <c r="AW286" s="188"/>
      <c r="AX286" s="188"/>
      <c r="AY286" s="188"/>
      <c r="AZ286" s="188"/>
      <c r="BA286" s="188"/>
      <c r="BB286" s="188"/>
      <c r="BC286" s="113"/>
      <c r="BF286" s="671" t="s">
        <v>769</v>
      </c>
    </row>
    <row r="287" spans="1:58" ht="14.25" customHeight="1" x14ac:dyDescent="0.15">
      <c r="E287" s="461">
        <v>15</v>
      </c>
      <c r="F287" s="3" t="str" cm="1">
        <f t="array" aca="1" ref="F287" ca="1">OFFSET(E287,-1,1)</f>
        <v>2</v>
      </c>
      <c r="H287" s="17" t="s">
        <v>770</v>
      </c>
      <c r="T287" s="353" t="b" cm="1">
        <f t="array" ref="T287">T286</f>
        <v>1</v>
      </c>
      <c r="X287" s="990"/>
      <c r="Y287" s="966"/>
      <c r="AB287" s="153" t="s">
        <v>771</v>
      </c>
      <c r="AC287" s="53" t="s">
        <v>772</v>
      </c>
      <c r="AD287" s="12" t="s">
        <v>558</v>
      </c>
      <c r="AE287" s="188"/>
      <c r="AF287" s="188"/>
      <c r="AG287" s="188"/>
      <c r="AH287" s="188"/>
      <c r="AI287" s="188"/>
      <c r="AJ287" s="825"/>
      <c r="AK287" s="825"/>
      <c r="AL287" s="188"/>
      <c r="AM287" s="188"/>
      <c r="AN287" s="188"/>
      <c r="AO287" s="188"/>
      <c r="AP287" s="188"/>
      <c r="AQ287" s="188"/>
      <c r="AR287" s="188"/>
      <c r="AS287" s="188"/>
      <c r="AT287" s="825"/>
      <c r="AU287" s="825"/>
      <c r="AV287" s="188"/>
      <c r="AW287" s="188"/>
      <c r="AX287" s="188"/>
      <c r="AY287" s="188"/>
      <c r="AZ287" s="188"/>
      <c r="BA287" s="188"/>
      <c r="BB287" s="188"/>
      <c r="BC287" s="113"/>
      <c r="BF287" s="671" t="s">
        <v>773</v>
      </c>
    </row>
    <row r="288" spans="1:58" ht="11.25" hidden="1" customHeight="1" x14ac:dyDescent="0.15">
      <c r="A288" s="315"/>
      <c r="B288" s="479"/>
      <c r="C288" s="315"/>
      <c r="D288" s="315"/>
      <c r="E288" s="480" t="s">
        <v>371</v>
      </c>
      <c r="F288" s="765" t="str" cm="1">
        <f t="array" aca="1" ref="F288" ca="1">OFFSET(E288,-1,1)</f>
        <v>2</v>
      </c>
      <c r="G288" s="315"/>
      <c r="H288" s="315"/>
      <c r="I288" s="315"/>
      <c r="J288" s="315"/>
      <c r="L288" s="315"/>
      <c r="M288" s="315"/>
      <c r="N288" s="315"/>
      <c r="O288" s="315"/>
      <c r="T288" s="353" t="b">
        <v>0</v>
      </c>
      <c r="V288" s="315"/>
      <c r="X288" s="990"/>
      <c r="Y288" s="966"/>
      <c r="Z288" s="315"/>
      <c r="AA288" s="315"/>
      <c r="AB288"/>
      <c r="AC288" s="18"/>
      <c r="AD288" s="18"/>
      <c r="AE288" s="249"/>
      <c r="AF288" s="249"/>
      <c r="AG288" s="249"/>
      <c r="AH288" s="249"/>
      <c r="AI288" s="249"/>
      <c r="AJ288" s="250"/>
      <c r="AK288" s="249"/>
      <c r="AL288" s="249"/>
      <c r="AM288" s="249"/>
      <c r="AN288" s="249"/>
      <c r="AO288" s="249"/>
      <c r="AP288" s="249"/>
      <c r="AQ288" s="249"/>
      <c r="AR288" s="249"/>
      <c r="AS288" s="249"/>
      <c r="AT288" s="249"/>
      <c r="AU288" s="249"/>
      <c r="AV288" s="249"/>
      <c r="AW288" s="249"/>
      <c r="AX288" s="249"/>
      <c r="AY288" s="249"/>
      <c r="AZ288" s="249"/>
      <c r="BA288" s="249"/>
      <c r="BB288" s="249"/>
      <c r="BC288"/>
      <c r="BD288"/>
      <c r="BE288"/>
      <c r="BF288" s="661"/>
    </row>
    <row r="289" spans="5:58" ht="14.25" hidden="1" customHeight="1" x14ac:dyDescent="0.15">
      <c r="E289" s="461">
        <v>15</v>
      </c>
      <c r="F289" s="3" t="str" cm="1">
        <f t="array" aca="1" ref="F289" ca="1">OFFSET(E289,-1,1)</f>
        <v>2</v>
      </c>
      <c r="R289" s="315" t="b" cm="1">
        <f t="array" ref="R289">INDEX('Общие сведения'!$AN$179:$AN$236,MATCH($X209,'Общие сведения'!$Z$179:$Z$236,0))</f>
        <v>0</v>
      </c>
      <c r="S289" s="315" t="b">
        <f>IF(ISERROR(SEARCH("Водоотведение",AB209)),FALSE,TRUE)</f>
        <v>1</v>
      </c>
      <c r="T289" s="353" t="b">
        <f>AND(X209&gt;0,S289,R289)</f>
        <v>0</v>
      </c>
      <c r="X289" s="990"/>
      <c r="Y289" s="966"/>
      <c r="AB289" s="153" t="s">
        <v>275</v>
      </c>
      <c r="AC289" s="6" t="s">
        <v>711</v>
      </c>
      <c r="AD289" s="110"/>
      <c r="AE289" s="415" t="str" cm="1">
        <f t="array" ref="AE289">INDEX('Общие сведения'!$AH$179:$AH$236,MATCH($X209,'Общие сведения'!$Z$179:$Z$236,0))</f>
        <v>хозяйственно-бытовые сточные воды</v>
      </c>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5"/>
      <c r="BC289" s="826"/>
      <c r="BF289" s="671" t="s">
        <v>774</v>
      </c>
    </row>
    <row r="290" spans="5:58" ht="14.25" hidden="1" customHeight="1" x14ac:dyDescent="0.15">
      <c r="E290" s="461">
        <v>15</v>
      </c>
      <c r="F290" s="3" t="str" cm="1">
        <f t="array" aca="1" ref="F290" ca="1">OFFSET(E290,-1,1)</f>
        <v>2</v>
      </c>
      <c r="H290" s="17" t="s">
        <v>335</v>
      </c>
      <c r="T290" s="353" t="b" cm="1">
        <f t="array" ref="T290">T289</f>
        <v>0</v>
      </c>
      <c r="X290" s="990"/>
      <c r="Y290" s="966"/>
      <c r="AB290" s="153" t="s">
        <v>285</v>
      </c>
      <c r="AC290" s="246" t="s">
        <v>775</v>
      </c>
      <c r="AD290" s="12" t="s">
        <v>558</v>
      </c>
      <c r="AE290" s="251">
        <f t="shared" ref="AE290:BB290" si="74">AE291+AE293+AE292</f>
        <v>0</v>
      </c>
      <c r="AF290" s="251">
        <f t="shared" si="74"/>
        <v>0</v>
      </c>
      <c r="AG290" s="251">
        <f t="shared" si="74"/>
        <v>0</v>
      </c>
      <c r="AH290" s="251">
        <f t="shared" si="74"/>
        <v>0</v>
      </c>
      <c r="AI290" s="251">
        <f t="shared" si="74"/>
        <v>0</v>
      </c>
      <c r="AJ290" s="251">
        <f t="shared" si="74"/>
        <v>0</v>
      </c>
      <c r="AK290" s="251">
        <f t="shared" si="74"/>
        <v>0</v>
      </c>
      <c r="AL290" s="251">
        <f t="shared" si="74"/>
        <v>0</v>
      </c>
      <c r="AM290" s="251">
        <f t="shared" si="74"/>
        <v>0</v>
      </c>
      <c r="AN290" s="251">
        <f t="shared" si="74"/>
        <v>0</v>
      </c>
      <c r="AO290" s="251">
        <f t="shared" si="74"/>
        <v>0</v>
      </c>
      <c r="AP290" s="251">
        <f t="shared" si="74"/>
        <v>0</v>
      </c>
      <c r="AQ290" s="251">
        <f t="shared" si="74"/>
        <v>0</v>
      </c>
      <c r="AR290" s="251">
        <f t="shared" si="74"/>
        <v>0</v>
      </c>
      <c r="AS290" s="251">
        <f t="shared" si="74"/>
        <v>0</v>
      </c>
      <c r="AT290" s="251">
        <f t="shared" si="74"/>
        <v>0</v>
      </c>
      <c r="AU290" s="251">
        <f t="shared" si="74"/>
        <v>0</v>
      </c>
      <c r="AV290" s="251">
        <f t="shared" si="74"/>
        <v>0</v>
      </c>
      <c r="AW290" s="251">
        <f t="shared" si="74"/>
        <v>0</v>
      </c>
      <c r="AX290" s="251">
        <f t="shared" si="74"/>
        <v>0</v>
      </c>
      <c r="AY290" s="251">
        <f t="shared" si="74"/>
        <v>0</v>
      </c>
      <c r="AZ290" s="251">
        <f t="shared" si="74"/>
        <v>0</v>
      </c>
      <c r="BA290" s="251">
        <f t="shared" si="74"/>
        <v>0</v>
      </c>
      <c r="BB290" s="251">
        <f t="shared" si="74"/>
        <v>0</v>
      </c>
      <c r="BC290" s="826"/>
      <c r="BF290" s="671" t="s">
        <v>776</v>
      </c>
    </row>
    <row r="291" spans="5:58" ht="14.25" hidden="1" customHeight="1" x14ac:dyDescent="0.15">
      <c r="E291" s="461">
        <v>15</v>
      </c>
      <c r="F291" s="3" t="str" cm="1">
        <f t="array" aca="1" ref="F291" ca="1">OFFSET(E291,-1,1)</f>
        <v>2</v>
      </c>
      <c r="H291" s="17" t="s">
        <v>560</v>
      </c>
      <c r="T291" s="353" t="b" cm="1">
        <f t="array" ref="T291">T290</f>
        <v>0</v>
      </c>
      <c r="X291" s="990"/>
      <c r="Y291" s="966"/>
      <c r="AB291" s="153" t="s">
        <v>561</v>
      </c>
      <c r="AC291" s="127" t="s">
        <v>777</v>
      </c>
      <c r="AD291" s="12" t="s">
        <v>558</v>
      </c>
      <c r="AE291" s="836"/>
      <c r="AF291" s="836"/>
      <c r="AG291" s="836"/>
      <c r="AH291" s="836"/>
      <c r="AI291" s="191"/>
      <c r="AJ291" s="836"/>
      <c r="AK291" s="836"/>
      <c r="AL291" s="836"/>
      <c r="AM291" s="836"/>
      <c r="AN291" s="836"/>
      <c r="AO291" s="836"/>
      <c r="AP291" s="836"/>
      <c r="AQ291" s="836"/>
      <c r="AR291" s="836"/>
      <c r="AS291" s="191"/>
      <c r="AT291" s="836"/>
      <c r="AU291" s="836"/>
      <c r="AV291" s="836"/>
      <c r="AW291" s="836"/>
      <c r="AX291" s="836"/>
      <c r="AY291" s="836"/>
      <c r="AZ291" s="836"/>
      <c r="BA291" s="836"/>
      <c r="BB291" s="836"/>
      <c r="BC291" s="826"/>
      <c r="BF291" s="671" t="s">
        <v>778</v>
      </c>
    </row>
    <row r="292" spans="5:58" ht="14.25" hidden="1" customHeight="1" x14ac:dyDescent="0.15">
      <c r="E292" s="461">
        <v>15</v>
      </c>
      <c r="F292" s="3" t="str" cm="1">
        <f t="array" aca="1" ref="F292" ca="1">OFFSET(E292,-1,1)</f>
        <v>2</v>
      </c>
      <c r="H292" s="17" t="s">
        <v>564</v>
      </c>
      <c r="T292" s="353" t="b" cm="1">
        <f t="array" ref="T292">T291</f>
        <v>0</v>
      </c>
      <c r="X292" s="990"/>
      <c r="Y292" s="966"/>
      <c r="AB292" s="153" t="s">
        <v>565</v>
      </c>
      <c r="AC292" s="127" t="s">
        <v>779</v>
      </c>
      <c r="AD292" s="12" t="s">
        <v>558</v>
      </c>
      <c r="AE292" s="836"/>
      <c r="AF292" s="836"/>
      <c r="AG292" s="836"/>
      <c r="AH292" s="836"/>
      <c r="AI292" s="191"/>
      <c r="AJ292" s="836"/>
      <c r="AK292" s="836"/>
      <c r="AL292" s="836"/>
      <c r="AM292" s="836"/>
      <c r="AN292" s="836"/>
      <c r="AO292" s="836"/>
      <c r="AP292" s="836"/>
      <c r="AQ292" s="836"/>
      <c r="AR292" s="836"/>
      <c r="AS292" s="191"/>
      <c r="AT292" s="836"/>
      <c r="AU292" s="836"/>
      <c r="AV292" s="836"/>
      <c r="AW292" s="836"/>
      <c r="AX292" s="836"/>
      <c r="AY292" s="836"/>
      <c r="AZ292" s="836"/>
      <c r="BA292" s="836"/>
      <c r="BB292" s="836"/>
      <c r="BC292" s="826"/>
      <c r="BF292" s="671" t="s">
        <v>780</v>
      </c>
    </row>
    <row r="293" spans="5:58" ht="21.75" hidden="1" customHeight="1" x14ac:dyDescent="0.15">
      <c r="E293" s="461">
        <v>22.5</v>
      </c>
      <c r="F293" s="3" t="str" cm="1">
        <f t="array" aca="1" ref="F293" ca="1">OFFSET(E293,-1,1)</f>
        <v>2</v>
      </c>
      <c r="H293" s="17" t="s">
        <v>568</v>
      </c>
      <c r="T293" s="353" t="b" cm="1">
        <f t="array" ref="T293">T292</f>
        <v>0</v>
      </c>
      <c r="X293" s="990"/>
      <c r="Y293" s="966"/>
      <c r="AB293" s="153" t="s">
        <v>569</v>
      </c>
      <c r="AC293" s="127" t="s">
        <v>679</v>
      </c>
      <c r="AD293" s="12" t="s">
        <v>558</v>
      </c>
      <c r="AE293" s="836"/>
      <c r="AF293" s="836"/>
      <c r="AG293" s="836"/>
      <c r="AH293" s="836"/>
      <c r="AI293" s="191"/>
      <c r="AJ293" s="836"/>
      <c r="AK293" s="836"/>
      <c r="AL293" s="836"/>
      <c r="AM293" s="836"/>
      <c r="AN293" s="836"/>
      <c r="AO293" s="836"/>
      <c r="AP293" s="836"/>
      <c r="AQ293" s="836"/>
      <c r="AR293" s="836"/>
      <c r="AS293" s="191"/>
      <c r="AT293" s="836"/>
      <c r="AU293" s="836"/>
      <c r="AV293" s="836"/>
      <c r="AW293" s="836"/>
      <c r="AX293" s="836"/>
      <c r="AY293" s="836"/>
      <c r="AZ293" s="836"/>
      <c r="BA293" s="836"/>
      <c r="BB293" s="836"/>
      <c r="BC293" s="826"/>
      <c r="BF293" s="671" t="s">
        <v>781</v>
      </c>
    </row>
    <row r="294" spans="5:58" ht="21.75" hidden="1" customHeight="1" x14ac:dyDescent="0.15">
      <c r="E294" s="461">
        <v>22.5</v>
      </c>
      <c r="F294" s="3" t="str" cm="1">
        <f t="array" aca="1" ref="F294" ca="1">OFFSET(E294,-1,1)</f>
        <v>2</v>
      </c>
      <c r="G294" s="17" t="s">
        <v>629</v>
      </c>
      <c r="H294" s="17" t="s">
        <v>334</v>
      </c>
      <c r="T294" s="353" t="b" cm="1">
        <f t="array" ref="T294">T293</f>
        <v>0</v>
      </c>
      <c r="X294" s="990"/>
      <c r="Y294" s="966"/>
      <c r="AB294" s="153" t="s">
        <v>291</v>
      </c>
      <c r="AC294" s="246" t="s">
        <v>782</v>
      </c>
      <c r="AD294" s="12" t="s">
        <v>558</v>
      </c>
      <c r="AE294" s="251">
        <f t="shared" ref="AE294:BB294" si="75">AE295+AE296+AE299</f>
        <v>0</v>
      </c>
      <c r="AF294" s="251">
        <f t="shared" si="75"/>
        <v>0</v>
      </c>
      <c r="AG294" s="251">
        <f t="shared" si="75"/>
        <v>0</v>
      </c>
      <c r="AH294" s="251">
        <f t="shared" si="75"/>
        <v>0</v>
      </c>
      <c r="AI294" s="251">
        <f t="shared" si="75"/>
        <v>0</v>
      </c>
      <c r="AJ294" s="251">
        <f t="shared" si="75"/>
        <v>0</v>
      </c>
      <c r="AK294" s="251">
        <f t="shared" si="75"/>
        <v>0</v>
      </c>
      <c r="AL294" s="251">
        <f t="shared" si="75"/>
        <v>0</v>
      </c>
      <c r="AM294" s="251">
        <f t="shared" si="75"/>
        <v>0</v>
      </c>
      <c r="AN294" s="251">
        <f t="shared" si="75"/>
        <v>0</v>
      </c>
      <c r="AO294" s="251">
        <f t="shared" si="75"/>
        <v>0</v>
      </c>
      <c r="AP294" s="251">
        <f t="shared" si="75"/>
        <v>0</v>
      </c>
      <c r="AQ294" s="251">
        <f t="shared" si="75"/>
        <v>0</v>
      </c>
      <c r="AR294" s="251">
        <f t="shared" si="75"/>
        <v>0</v>
      </c>
      <c r="AS294" s="251">
        <f t="shared" si="75"/>
        <v>0</v>
      </c>
      <c r="AT294" s="251">
        <f t="shared" si="75"/>
        <v>0</v>
      </c>
      <c r="AU294" s="251">
        <f t="shared" si="75"/>
        <v>0</v>
      </c>
      <c r="AV294" s="251">
        <f t="shared" si="75"/>
        <v>0</v>
      </c>
      <c r="AW294" s="251">
        <f t="shared" si="75"/>
        <v>0</v>
      </c>
      <c r="AX294" s="251">
        <f t="shared" si="75"/>
        <v>0</v>
      </c>
      <c r="AY294" s="251">
        <f t="shared" si="75"/>
        <v>0</v>
      </c>
      <c r="AZ294" s="251">
        <f t="shared" si="75"/>
        <v>0</v>
      </c>
      <c r="BA294" s="251">
        <f t="shared" si="75"/>
        <v>0</v>
      </c>
      <c r="BB294" s="251">
        <f t="shared" si="75"/>
        <v>0</v>
      </c>
      <c r="BC294" s="826"/>
      <c r="BF294" s="671" t="s">
        <v>783</v>
      </c>
    </row>
    <row r="295" spans="5:58" ht="14.25" hidden="1" customHeight="1" x14ac:dyDescent="0.15">
      <c r="E295" s="461">
        <v>15</v>
      </c>
      <c r="F295" s="3" t="str" cm="1">
        <f t="array" aca="1" ref="F295" ca="1">OFFSET(E295,-1,1)</f>
        <v>2</v>
      </c>
      <c r="H295" s="17" t="s">
        <v>574</v>
      </c>
      <c r="T295" s="353" t="b" cm="1">
        <f t="array" ref="T295">T294</f>
        <v>0</v>
      </c>
      <c r="X295" s="990"/>
      <c r="Y295" s="966"/>
      <c r="AB295" s="153" t="s">
        <v>575</v>
      </c>
      <c r="AC295" s="127" t="s">
        <v>784</v>
      </c>
      <c r="AD295" s="12" t="s">
        <v>558</v>
      </c>
      <c r="AE295" s="836"/>
      <c r="AF295" s="836"/>
      <c r="AG295" s="836"/>
      <c r="AH295" s="836"/>
      <c r="AI295" s="191"/>
      <c r="AJ295" s="836"/>
      <c r="AK295" s="836"/>
      <c r="AL295" s="836"/>
      <c r="AM295" s="836"/>
      <c r="AN295" s="836"/>
      <c r="AO295" s="836"/>
      <c r="AP295" s="836"/>
      <c r="AQ295" s="836"/>
      <c r="AR295" s="836"/>
      <c r="AS295" s="191"/>
      <c r="AT295" s="836"/>
      <c r="AU295" s="836"/>
      <c r="AV295" s="836"/>
      <c r="AW295" s="836"/>
      <c r="AX295" s="836"/>
      <c r="AY295" s="836"/>
      <c r="AZ295" s="836"/>
      <c r="BA295" s="836"/>
      <c r="BB295" s="836"/>
      <c r="BC295" s="826"/>
      <c r="BF295" s="671" t="s">
        <v>785</v>
      </c>
    </row>
    <row r="296" spans="5:58" ht="14.25" hidden="1" customHeight="1" x14ac:dyDescent="0.15">
      <c r="E296" s="461">
        <v>15</v>
      </c>
      <c r="F296" s="3" t="str" cm="1">
        <f t="array" aca="1" ref="F296" ca="1">OFFSET(E296,-1,1)</f>
        <v>2</v>
      </c>
      <c r="H296" s="17" t="s">
        <v>578</v>
      </c>
      <c r="T296" s="353" t="b" cm="1">
        <f t="array" ref="T296">T295</f>
        <v>0</v>
      </c>
      <c r="X296" s="990"/>
      <c r="Y296" s="966"/>
      <c r="AB296" s="153" t="s">
        <v>579</v>
      </c>
      <c r="AC296" s="247" t="s">
        <v>786</v>
      </c>
      <c r="AD296" s="12" t="s">
        <v>558</v>
      </c>
      <c r="AE296" s="251">
        <f t="shared" ref="AE296:BB296" si="76">AE297+AE298</f>
        <v>0</v>
      </c>
      <c r="AF296" s="251">
        <f t="shared" si="76"/>
        <v>0</v>
      </c>
      <c r="AG296" s="251">
        <f t="shared" si="76"/>
        <v>0</v>
      </c>
      <c r="AH296" s="251">
        <f t="shared" si="76"/>
        <v>0</v>
      </c>
      <c r="AI296" s="251">
        <f t="shared" si="76"/>
        <v>0</v>
      </c>
      <c r="AJ296" s="251">
        <f t="shared" si="76"/>
        <v>0</v>
      </c>
      <c r="AK296" s="251">
        <f t="shared" si="76"/>
        <v>0</v>
      </c>
      <c r="AL296" s="251">
        <f t="shared" si="76"/>
        <v>0</v>
      </c>
      <c r="AM296" s="251">
        <f t="shared" si="76"/>
        <v>0</v>
      </c>
      <c r="AN296" s="251">
        <f t="shared" si="76"/>
        <v>0</v>
      </c>
      <c r="AO296" s="251">
        <f t="shared" si="76"/>
        <v>0</v>
      </c>
      <c r="AP296" s="251">
        <f t="shared" si="76"/>
        <v>0</v>
      </c>
      <c r="AQ296" s="251">
        <f t="shared" si="76"/>
        <v>0</v>
      </c>
      <c r="AR296" s="251">
        <f t="shared" si="76"/>
        <v>0</v>
      </c>
      <c r="AS296" s="251">
        <f t="shared" si="76"/>
        <v>0</v>
      </c>
      <c r="AT296" s="251">
        <f t="shared" si="76"/>
        <v>0</v>
      </c>
      <c r="AU296" s="251">
        <f t="shared" si="76"/>
        <v>0</v>
      </c>
      <c r="AV296" s="251">
        <f t="shared" si="76"/>
        <v>0</v>
      </c>
      <c r="AW296" s="251">
        <f t="shared" si="76"/>
        <v>0</v>
      </c>
      <c r="AX296" s="251">
        <f t="shared" si="76"/>
        <v>0</v>
      </c>
      <c r="AY296" s="251">
        <f t="shared" si="76"/>
        <v>0</v>
      </c>
      <c r="AZ296" s="251">
        <f t="shared" si="76"/>
        <v>0</v>
      </c>
      <c r="BA296" s="251">
        <f t="shared" si="76"/>
        <v>0</v>
      </c>
      <c r="BB296" s="251">
        <f t="shared" si="76"/>
        <v>0</v>
      </c>
      <c r="BC296" s="826"/>
      <c r="BF296" s="671" t="s">
        <v>787</v>
      </c>
    </row>
    <row r="297" spans="5:58" ht="14.25" hidden="1" customHeight="1" x14ac:dyDescent="0.15">
      <c r="E297" s="461">
        <v>15</v>
      </c>
      <c r="F297" s="3" t="str" cm="1">
        <f t="array" aca="1" ref="F297" ca="1">OFFSET(E297,-1,1)</f>
        <v>2</v>
      </c>
      <c r="H297" s="17" t="s">
        <v>788</v>
      </c>
      <c r="T297" s="353" t="b" cm="1">
        <f t="array" ref="T297">T296</f>
        <v>0</v>
      </c>
      <c r="X297" s="990"/>
      <c r="Y297" s="966"/>
      <c r="AB297" s="153" t="s">
        <v>789</v>
      </c>
      <c r="AC297" s="248" t="s">
        <v>636</v>
      </c>
      <c r="AD297" s="12" t="s">
        <v>558</v>
      </c>
      <c r="AE297" s="836"/>
      <c r="AF297" s="836"/>
      <c r="AG297" s="836"/>
      <c r="AH297" s="836"/>
      <c r="AI297" s="191"/>
      <c r="AJ297" s="836"/>
      <c r="AK297" s="836"/>
      <c r="AL297" s="836"/>
      <c r="AM297" s="836"/>
      <c r="AN297" s="836"/>
      <c r="AO297" s="836"/>
      <c r="AP297" s="836"/>
      <c r="AQ297" s="836"/>
      <c r="AR297" s="836"/>
      <c r="AS297" s="191"/>
      <c r="AT297" s="836"/>
      <c r="AU297" s="836"/>
      <c r="AV297" s="836"/>
      <c r="AW297" s="836"/>
      <c r="AX297" s="836"/>
      <c r="AY297" s="836"/>
      <c r="AZ297" s="836"/>
      <c r="BA297" s="836"/>
      <c r="BB297" s="836"/>
      <c r="BC297" s="826"/>
      <c r="BF297" s="671" t="s">
        <v>790</v>
      </c>
    </row>
    <row r="298" spans="5:58" ht="14.25" hidden="1" customHeight="1" x14ac:dyDescent="0.15">
      <c r="E298" s="461">
        <v>15</v>
      </c>
      <c r="F298" s="3" t="str" cm="1">
        <f t="array" aca="1" ref="F298" ca="1">OFFSET(E298,-1,1)</f>
        <v>2</v>
      </c>
      <c r="H298" s="17" t="s">
        <v>791</v>
      </c>
      <c r="T298" s="353" t="b" cm="1">
        <f t="array" ref="T298">T297</f>
        <v>0</v>
      </c>
      <c r="X298" s="990"/>
      <c r="Y298" s="966"/>
      <c r="AB298" s="153" t="s">
        <v>792</v>
      </c>
      <c r="AC298" s="248" t="s">
        <v>640</v>
      </c>
      <c r="AD298" s="12" t="s">
        <v>558</v>
      </c>
      <c r="AE298" s="836"/>
      <c r="AF298" s="836"/>
      <c r="AG298" s="836"/>
      <c r="AH298" s="836"/>
      <c r="AI298" s="191"/>
      <c r="AJ298" s="836"/>
      <c r="AK298" s="836"/>
      <c r="AL298" s="836"/>
      <c r="AM298" s="836"/>
      <c r="AN298" s="836"/>
      <c r="AO298" s="836"/>
      <c r="AP298" s="836"/>
      <c r="AQ298" s="836"/>
      <c r="AR298" s="836"/>
      <c r="AS298" s="191"/>
      <c r="AT298" s="836"/>
      <c r="AU298" s="836"/>
      <c r="AV298" s="836"/>
      <c r="AW298" s="836"/>
      <c r="AX298" s="836"/>
      <c r="AY298" s="836"/>
      <c r="AZ298" s="836"/>
      <c r="BA298" s="836"/>
      <c r="BB298" s="836"/>
      <c r="BC298" s="826"/>
      <c r="BF298" s="671" t="s">
        <v>793</v>
      </c>
    </row>
    <row r="299" spans="5:58" ht="21.75" hidden="1" customHeight="1" x14ac:dyDescent="0.15">
      <c r="E299" s="461">
        <v>22.5</v>
      </c>
      <c r="F299" s="3" t="str" cm="1">
        <f t="array" aca="1" ref="F299" ca="1">OFFSET(E299,-1,1)</f>
        <v>2</v>
      </c>
      <c r="H299" s="17" t="s">
        <v>794</v>
      </c>
      <c r="T299" s="353" t="b" cm="1">
        <f t="array" ref="T299">T298</f>
        <v>0</v>
      </c>
      <c r="X299" s="990"/>
      <c r="Y299" s="966"/>
      <c r="AB299" s="153" t="s">
        <v>795</v>
      </c>
      <c r="AC299" s="242" t="s">
        <v>599</v>
      </c>
      <c r="AD299" s="12" t="s">
        <v>558</v>
      </c>
      <c r="AE299" s="825"/>
      <c r="AF299" s="825"/>
      <c r="AG299" s="825"/>
      <c r="AH299" s="825"/>
      <c r="AI299" s="188"/>
      <c r="AJ299" s="825"/>
      <c r="AK299" s="825"/>
      <c r="AL299" s="825"/>
      <c r="AM299" s="825"/>
      <c r="AN299" s="825"/>
      <c r="AO299" s="825"/>
      <c r="AP299" s="825"/>
      <c r="AQ299" s="825"/>
      <c r="AR299" s="825"/>
      <c r="AS299" s="188"/>
      <c r="AT299" s="825"/>
      <c r="AU299" s="825"/>
      <c r="AV299" s="825"/>
      <c r="AW299" s="825"/>
      <c r="AX299" s="825"/>
      <c r="AY299" s="825"/>
      <c r="AZ299" s="825"/>
      <c r="BA299" s="825"/>
      <c r="BB299" s="825"/>
      <c r="BC299" s="826"/>
      <c r="BF299" s="671" t="s">
        <v>796</v>
      </c>
    </row>
    <row r="300" spans="5:58" ht="26.45" customHeight="1" x14ac:dyDescent="0.15">
      <c r="E300" s="461">
        <v>15</v>
      </c>
      <c r="F300" s="253" t="str" cm="1">
        <f t="array" ref="F300">X300</f>
        <v>3</v>
      </c>
      <c r="T300" s="353" t="b">
        <f>X300&gt;0</f>
        <v>1</v>
      </c>
      <c r="V300" s="17" t="str" cm="1">
        <f t="array" ref="V300">ИИКА!$AB$42</f>
        <v>Тариф 3 (Водоотведение) - тариф на транспортировку сточных вод</v>
      </c>
      <c r="X300" s="990" t="s">
        <v>291</v>
      </c>
      <c r="Y300" s="966"/>
      <c r="AB300" s="94" t="str" cm="1">
        <f t="array" ref="AB300">ИИКА!$AB$42</f>
        <v>Тариф 3 (Водоотведение) - тариф на транспортировку сточных вод</v>
      </c>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row>
    <row r="301" spans="5:58" ht="14.25" hidden="1" customHeight="1" x14ac:dyDescent="0.15">
      <c r="E301" s="461">
        <v>15</v>
      </c>
      <c r="F301" s="3" t="str" cm="1">
        <f t="array" aca="1" ref="F301" ca="1">OFFSET(E301,-1,1)</f>
        <v>3</v>
      </c>
      <c r="R301" s="315" t="b" cm="1">
        <f t="array" ref="R301">INDEX('Общие сведения'!$AN$179:$AN$236,MATCH($X300,'Общие сведения'!$Z$179:$Z$236,0))</f>
        <v>1</v>
      </c>
      <c r="S301" s="315" t="b">
        <f>IF(ISERROR(SEARCH("Водоснабжение",AB300)),FALSE,TRUE)</f>
        <v>0</v>
      </c>
      <c r="T301" s="353" t="b">
        <f>AND(X300&gt;0,S301,NOT(R301))</f>
        <v>0</v>
      </c>
      <c r="X301" s="990"/>
      <c r="Y301" s="966"/>
      <c r="AB301" s="153" t="s">
        <v>275</v>
      </c>
      <c r="AC301" s="235" t="s">
        <v>555</v>
      </c>
      <c r="AD301" s="11"/>
      <c r="AE301" s="415" t="str" cm="1">
        <f t="array" ref="AE301">INDEX('Общие сведения'!$AH$179:$AH$236,MATCH($X300,'Общие сведения'!$Z$179:$Z$236,0))</f>
        <v>без дифференциации</v>
      </c>
      <c r="AF301" s="264"/>
      <c r="AG301" s="264"/>
      <c r="AH301" s="264"/>
      <c r="AI301" s="264"/>
      <c r="AJ301" s="264"/>
      <c r="AK301" s="264"/>
      <c r="AL301" s="264"/>
      <c r="AM301" s="264"/>
      <c r="AN301" s="264"/>
      <c r="AO301" s="264"/>
      <c r="AP301" s="264"/>
      <c r="AQ301" s="264"/>
      <c r="AR301" s="264"/>
      <c r="AS301" s="264"/>
      <c r="AT301" s="264"/>
      <c r="AU301" s="264"/>
      <c r="AV301" s="264"/>
      <c r="AW301" s="264"/>
      <c r="AX301" s="264"/>
      <c r="AY301" s="264"/>
      <c r="AZ301" s="264"/>
      <c r="BA301" s="264"/>
      <c r="BB301" s="265"/>
      <c r="BC301" s="826"/>
      <c r="BF301" s="671" t="s">
        <v>556</v>
      </c>
    </row>
    <row r="302" spans="5:58" ht="14.25" hidden="1" customHeight="1" x14ac:dyDescent="0.15">
      <c r="E302" s="461">
        <v>15</v>
      </c>
      <c r="F302" s="3" t="str" cm="1">
        <f t="array" aca="1" ref="F302" ca="1">OFFSET(E302,-1,1)</f>
        <v>3</v>
      </c>
      <c r="H302" s="17" t="s">
        <v>335</v>
      </c>
      <c r="T302" s="353" t="b" cm="1">
        <f t="array" ref="T302">T301</f>
        <v>0</v>
      </c>
      <c r="X302" s="990"/>
      <c r="Y302" s="966"/>
      <c r="AB302" s="153" t="s">
        <v>285</v>
      </c>
      <c r="AC302" s="55" t="s">
        <v>557</v>
      </c>
      <c r="AD302" s="12" t="s">
        <v>558</v>
      </c>
      <c r="AE302" s="223">
        <f t="shared" ref="AE302:BB302" si="77">AE311+AE306-AE309</f>
        <v>0</v>
      </c>
      <c r="AF302" s="223">
        <f t="shared" si="77"/>
        <v>0</v>
      </c>
      <c r="AG302" s="223">
        <f t="shared" si="77"/>
        <v>0</v>
      </c>
      <c r="AH302" s="223">
        <f t="shared" si="77"/>
        <v>0</v>
      </c>
      <c r="AI302" s="223">
        <f t="shared" si="77"/>
        <v>0</v>
      </c>
      <c r="AJ302" s="223">
        <f t="shared" si="77"/>
        <v>0</v>
      </c>
      <c r="AK302" s="223">
        <f t="shared" si="77"/>
        <v>0</v>
      </c>
      <c r="AL302" s="223">
        <f t="shared" si="77"/>
        <v>0</v>
      </c>
      <c r="AM302" s="223">
        <f t="shared" si="77"/>
        <v>0</v>
      </c>
      <c r="AN302" s="223">
        <f t="shared" si="77"/>
        <v>0</v>
      </c>
      <c r="AO302" s="223">
        <f t="shared" si="77"/>
        <v>0</v>
      </c>
      <c r="AP302" s="223">
        <f t="shared" si="77"/>
        <v>0</v>
      </c>
      <c r="AQ302" s="223">
        <f t="shared" si="77"/>
        <v>0</v>
      </c>
      <c r="AR302" s="223">
        <f t="shared" si="77"/>
        <v>0</v>
      </c>
      <c r="AS302" s="223">
        <f t="shared" si="77"/>
        <v>0</v>
      </c>
      <c r="AT302" s="223">
        <f t="shared" si="77"/>
        <v>0</v>
      </c>
      <c r="AU302" s="223">
        <f t="shared" si="77"/>
        <v>0</v>
      </c>
      <c r="AV302" s="223">
        <f t="shared" si="77"/>
        <v>0</v>
      </c>
      <c r="AW302" s="223">
        <f t="shared" si="77"/>
        <v>0</v>
      </c>
      <c r="AX302" s="223">
        <f t="shared" si="77"/>
        <v>0</v>
      </c>
      <c r="AY302" s="223">
        <f t="shared" si="77"/>
        <v>0</v>
      </c>
      <c r="AZ302" s="223">
        <f t="shared" si="77"/>
        <v>0</v>
      </c>
      <c r="BA302" s="223">
        <f t="shared" si="77"/>
        <v>0</v>
      </c>
      <c r="BB302" s="223">
        <f t="shared" si="77"/>
        <v>0</v>
      </c>
      <c r="BC302" s="826"/>
      <c r="BF302" s="671" t="s">
        <v>559</v>
      </c>
    </row>
    <row r="303" spans="5:58" ht="14.25" hidden="1" customHeight="1" x14ac:dyDescent="0.15">
      <c r="E303" s="461">
        <v>15</v>
      </c>
      <c r="F303" s="3" t="str" cm="1">
        <f t="array" aca="1" ref="F303" ca="1">OFFSET(E303,-1,1)</f>
        <v>3</v>
      </c>
      <c r="H303" s="17" t="s">
        <v>560</v>
      </c>
      <c r="T303" s="353" t="b" cm="1">
        <f t="array" ref="T303">T302</f>
        <v>0</v>
      </c>
      <c r="X303" s="990"/>
      <c r="Y303" s="966"/>
      <c r="AB303" s="153" t="s">
        <v>561</v>
      </c>
      <c r="AC303" s="105" t="s">
        <v>562</v>
      </c>
      <c r="AD303" s="12" t="s">
        <v>558</v>
      </c>
      <c r="AE303" s="836"/>
      <c r="AF303" s="836"/>
      <c r="AG303" s="836"/>
      <c r="AH303" s="836"/>
      <c r="AI303" s="191"/>
      <c r="AJ303" s="836"/>
      <c r="AK303" s="836"/>
      <c r="AL303" s="836"/>
      <c r="AM303" s="836"/>
      <c r="AN303" s="836"/>
      <c r="AO303" s="836"/>
      <c r="AP303" s="836"/>
      <c r="AQ303" s="836"/>
      <c r="AR303" s="836"/>
      <c r="AS303" s="191"/>
      <c r="AT303" s="836"/>
      <c r="AU303" s="836"/>
      <c r="AV303" s="836"/>
      <c r="AW303" s="836"/>
      <c r="AX303" s="836"/>
      <c r="AY303" s="836"/>
      <c r="AZ303" s="836"/>
      <c r="BA303" s="836"/>
      <c r="BB303" s="836"/>
      <c r="BC303" s="775"/>
      <c r="BF303" s="671" t="s">
        <v>563</v>
      </c>
    </row>
    <row r="304" spans="5:58" ht="14.25" hidden="1" customHeight="1" x14ac:dyDescent="0.15">
      <c r="E304" s="461">
        <v>15</v>
      </c>
      <c r="F304" s="3" t="str" cm="1">
        <f t="array" aca="1" ref="F304" ca="1">OFFSET(E304,-1,1)</f>
        <v>3</v>
      </c>
      <c r="H304" s="17" t="s">
        <v>564</v>
      </c>
      <c r="T304" s="353" t="b" cm="1">
        <f t="array" ref="T304">T303</f>
        <v>0</v>
      </c>
      <c r="X304" s="990"/>
      <c r="Y304" s="966"/>
      <c r="AB304" s="153" t="s">
        <v>565</v>
      </c>
      <c r="AC304" s="105" t="s">
        <v>566</v>
      </c>
      <c r="AD304" s="12" t="s">
        <v>558</v>
      </c>
      <c r="AE304" s="836"/>
      <c r="AF304" s="836"/>
      <c r="AG304" s="836"/>
      <c r="AH304" s="836"/>
      <c r="AI304" s="191"/>
      <c r="AJ304" s="836"/>
      <c r="AK304" s="836"/>
      <c r="AL304" s="836"/>
      <c r="AM304" s="836"/>
      <c r="AN304" s="836"/>
      <c r="AO304" s="836"/>
      <c r="AP304" s="836"/>
      <c r="AQ304" s="836"/>
      <c r="AR304" s="836"/>
      <c r="AS304" s="191"/>
      <c r="AT304" s="836"/>
      <c r="AU304" s="836"/>
      <c r="AV304" s="836"/>
      <c r="AW304" s="836"/>
      <c r="AX304" s="836"/>
      <c r="AY304" s="836"/>
      <c r="AZ304" s="836"/>
      <c r="BA304" s="836"/>
      <c r="BB304" s="836"/>
      <c r="BC304" s="775"/>
      <c r="BF304" s="671" t="s">
        <v>567</v>
      </c>
    </row>
    <row r="305" spans="5:58" ht="21.75" hidden="1" customHeight="1" x14ac:dyDescent="0.15">
      <c r="E305" s="461">
        <v>22.5</v>
      </c>
      <c r="F305" s="3" t="str" cm="1">
        <f t="array" aca="1" ref="F305" ca="1">OFFSET(E305,-1,1)</f>
        <v>3</v>
      </c>
      <c r="H305" s="17" t="s">
        <v>568</v>
      </c>
      <c r="T305" s="353" t="b" cm="1">
        <f t="array" ref="T305">T304</f>
        <v>0</v>
      </c>
      <c r="X305" s="990"/>
      <c r="Y305" s="966"/>
      <c r="AB305" s="153" t="s">
        <v>569</v>
      </c>
      <c r="AC305" s="55" t="s">
        <v>570</v>
      </c>
      <c r="AD305" s="12" t="s">
        <v>558</v>
      </c>
      <c r="AE305" s="836"/>
      <c r="AF305" s="836"/>
      <c r="AG305" s="836"/>
      <c r="AH305" s="836"/>
      <c r="AI305" s="191"/>
      <c r="AJ305" s="836"/>
      <c r="AK305" s="836"/>
      <c r="AL305" s="836"/>
      <c r="AM305" s="836"/>
      <c r="AN305" s="836"/>
      <c r="AO305" s="836"/>
      <c r="AP305" s="836"/>
      <c r="AQ305" s="836"/>
      <c r="AR305" s="836"/>
      <c r="AS305" s="191"/>
      <c r="AT305" s="836"/>
      <c r="AU305" s="836"/>
      <c r="AV305" s="836"/>
      <c r="AW305" s="836"/>
      <c r="AX305" s="836"/>
      <c r="AY305" s="836"/>
      <c r="AZ305" s="836"/>
      <c r="BA305" s="836"/>
      <c r="BB305" s="836"/>
      <c r="BC305" s="775"/>
      <c r="BF305" s="671" t="s">
        <v>571</v>
      </c>
    </row>
    <row r="306" spans="5:58" ht="14.25" hidden="1" customHeight="1" x14ac:dyDescent="0.15">
      <c r="E306" s="461">
        <v>15</v>
      </c>
      <c r="F306" s="3" t="str" cm="1">
        <f t="array" aca="1" ref="F306" ca="1">OFFSET(E306,-1,1)</f>
        <v>3</v>
      </c>
      <c r="H306" s="17" t="s">
        <v>334</v>
      </c>
      <c r="T306" s="353" t="b" cm="1">
        <f t="array" ref="T306">T305</f>
        <v>0</v>
      </c>
      <c r="X306" s="990"/>
      <c r="Y306" s="966"/>
      <c r="AB306" s="153" t="s">
        <v>291</v>
      </c>
      <c r="AC306" s="55" t="s">
        <v>572</v>
      </c>
      <c r="AD306" s="12" t="s">
        <v>558</v>
      </c>
      <c r="AE306" s="223">
        <f t="shared" ref="AE306:BB306" si="78">SUM(AE307:AE308)</f>
        <v>0</v>
      </c>
      <c r="AF306" s="223">
        <f t="shared" si="78"/>
        <v>0</v>
      </c>
      <c r="AG306" s="223">
        <f t="shared" si="78"/>
        <v>0</v>
      </c>
      <c r="AH306" s="223">
        <f t="shared" si="78"/>
        <v>0</v>
      </c>
      <c r="AI306" s="223">
        <f t="shared" si="78"/>
        <v>0</v>
      </c>
      <c r="AJ306" s="223">
        <f t="shared" si="78"/>
        <v>0</v>
      </c>
      <c r="AK306" s="223">
        <f t="shared" si="78"/>
        <v>0</v>
      </c>
      <c r="AL306" s="223">
        <f t="shared" si="78"/>
        <v>0</v>
      </c>
      <c r="AM306" s="223">
        <f t="shared" si="78"/>
        <v>0</v>
      </c>
      <c r="AN306" s="223">
        <f t="shared" si="78"/>
        <v>0</v>
      </c>
      <c r="AO306" s="223">
        <f t="shared" si="78"/>
        <v>0</v>
      </c>
      <c r="AP306" s="223">
        <f t="shared" si="78"/>
        <v>0</v>
      </c>
      <c r="AQ306" s="223">
        <f t="shared" si="78"/>
        <v>0</v>
      </c>
      <c r="AR306" s="223">
        <f t="shared" si="78"/>
        <v>0</v>
      </c>
      <c r="AS306" s="223">
        <f t="shared" si="78"/>
        <v>0</v>
      </c>
      <c r="AT306" s="223">
        <f t="shared" si="78"/>
        <v>0</v>
      </c>
      <c r="AU306" s="223">
        <f t="shared" si="78"/>
        <v>0</v>
      </c>
      <c r="AV306" s="223">
        <f t="shared" si="78"/>
        <v>0</v>
      </c>
      <c r="AW306" s="223">
        <f t="shared" si="78"/>
        <v>0</v>
      </c>
      <c r="AX306" s="223">
        <f t="shared" si="78"/>
        <v>0</v>
      </c>
      <c r="AY306" s="223">
        <f t="shared" si="78"/>
        <v>0</v>
      </c>
      <c r="AZ306" s="223">
        <f t="shared" si="78"/>
        <v>0</v>
      </c>
      <c r="BA306" s="223">
        <f t="shared" si="78"/>
        <v>0</v>
      </c>
      <c r="BB306" s="223">
        <f t="shared" si="78"/>
        <v>0</v>
      </c>
      <c r="BC306" s="775"/>
      <c r="BF306" s="671" t="s">
        <v>573</v>
      </c>
    </row>
    <row r="307" spans="5:58" ht="14.25" hidden="1" customHeight="1" x14ac:dyDescent="0.15">
      <c r="E307" s="461">
        <v>15</v>
      </c>
      <c r="F307" s="3" t="str" cm="1">
        <f t="array" aca="1" ref="F307" ca="1">OFFSET(E307,-1,1)</f>
        <v>3</v>
      </c>
      <c r="H307" s="17" t="s">
        <v>574</v>
      </c>
      <c r="T307" s="353" t="b" cm="1">
        <f t="array" ref="T307">T306</f>
        <v>0</v>
      </c>
      <c r="X307" s="990"/>
      <c r="Y307" s="966"/>
      <c r="AB307" s="153" t="s">
        <v>575</v>
      </c>
      <c r="AC307" s="105" t="s">
        <v>576</v>
      </c>
      <c r="AD307" s="12" t="s">
        <v>558</v>
      </c>
      <c r="AE307" s="836"/>
      <c r="AF307" s="836"/>
      <c r="AG307" s="836"/>
      <c r="AH307" s="836"/>
      <c r="AI307" s="191"/>
      <c r="AJ307" s="836"/>
      <c r="AK307" s="836"/>
      <c r="AL307" s="836"/>
      <c r="AM307" s="836"/>
      <c r="AN307" s="836"/>
      <c r="AO307" s="836"/>
      <c r="AP307" s="836"/>
      <c r="AQ307" s="836"/>
      <c r="AR307" s="836"/>
      <c r="AS307" s="191"/>
      <c r="AT307" s="836"/>
      <c r="AU307" s="836"/>
      <c r="AV307" s="836"/>
      <c r="AW307" s="836"/>
      <c r="AX307" s="836"/>
      <c r="AY307" s="836"/>
      <c r="AZ307" s="836"/>
      <c r="BA307" s="836"/>
      <c r="BB307" s="836"/>
      <c r="BC307" s="775"/>
      <c r="BF307" s="671" t="s">
        <v>577</v>
      </c>
    </row>
    <row r="308" spans="5:58" ht="14.25" hidden="1" customHeight="1" x14ac:dyDescent="0.15">
      <c r="E308" s="461">
        <v>15</v>
      </c>
      <c r="F308" s="3" t="str" cm="1">
        <f t="array" aca="1" ref="F308" ca="1">OFFSET(E308,-1,1)</f>
        <v>3</v>
      </c>
      <c r="H308" s="17" t="s">
        <v>578</v>
      </c>
      <c r="T308" s="353" t="b" cm="1">
        <f t="array" ref="T308">T307</f>
        <v>0</v>
      </c>
      <c r="X308" s="990"/>
      <c r="Y308" s="966"/>
      <c r="AB308" s="153" t="s">
        <v>579</v>
      </c>
      <c r="AC308" s="105" t="s">
        <v>580</v>
      </c>
      <c r="AD308" s="12" t="s">
        <v>558</v>
      </c>
      <c r="AE308" s="836"/>
      <c r="AF308" s="836"/>
      <c r="AG308" s="836"/>
      <c r="AH308" s="836"/>
      <c r="AI308" s="191"/>
      <c r="AJ308" s="836"/>
      <c r="AK308" s="836"/>
      <c r="AL308" s="836"/>
      <c r="AM308" s="836"/>
      <c r="AN308" s="836"/>
      <c r="AO308" s="836"/>
      <c r="AP308" s="836"/>
      <c r="AQ308" s="836"/>
      <c r="AR308" s="836"/>
      <c r="AS308" s="191"/>
      <c r="AT308" s="836"/>
      <c r="AU308" s="836"/>
      <c r="AV308" s="836"/>
      <c r="AW308" s="836"/>
      <c r="AX308" s="836"/>
      <c r="AY308" s="836"/>
      <c r="AZ308" s="836"/>
      <c r="BA308" s="836"/>
      <c r="BB308" s="836"/>
      <c r="BC308" s="775"/>
      <c r="BF308" s="671" t="s">
        <v>581</v>
      </c>
    </row>
    <row r="309" spans="5:58" ht="14.25" hidden="1" customHeight="1" x14ac:dyDescent="0.15">
      <c r="E309" s="461">
        <v>15</v>
      </c>
      <c r="F309" s="3" t="str" cm="1">
        <f t="array" aca="1" ref="F309" ca="1">OFFSET(E309,-1,1)</f>
        <v>3</v>
      </c>
      <c r="H309" s="17" t="s">
        <v>532</v>
      </c>
      <c r="T309" s="353" t="b" cm="1">
        <f t="array" ref="T309">T308</f>
        <v>0</v>
      </c>
      <c r="X309" s="990"/>
      <c r="Y309" s="966"/>
      <c r="AB309" s="153" t="s">
        <v>454</v>
      </c>
      <c r="AC309" s="235" t="s">
        <v>582</v>
      </c>
      <c r="AD309" s="12" t="s">
        <v>558</v>
      </c>
      <c r="AE309" s="825"/>
      <c r="AF309" s="825"/>
      <c r="AG309" s="825"/>
      <c r="AH309" s="825"/>
      <c r="AI309" s="188"/>
      <c r="AJ309" s="825"/>
      <c r="AK309" s="825"/>
      <c r="AL309" s="825"/>
      <c r="AM309" s="825"/>
      <c r="AN309" s="825"/>
      <c r="AO309" s="825"/>
      <c r="AP309" s="825"/>
      <c r="AQ309" s="825"/>
      <c r="AR309" s="825"/>
      <c r="AS309" s="188"/>
      <c r="AT309" s="825"/>
      <c r="AU309" s="825"/>
      <c r="AV309" s="825"/>
      <c r="AW309" s="825"/>
      <c r="AX309" s="825"/>
      <c r="AY309" s="825"/>
      <c r="AZ309" s="825"/>
      <c r="BA309" s="825"/>
      <c r="BB309" s="825"/>
      <c r="BC309" s="775"/>
      <c r="BF309" s="671" t="s">
        <v>583</v>
      </c>
    </row>
    <row r="310" spans="5:58" ht="14.25" hidden="1" customHeight="1" x14ac:dyDescent="0.15">
      <c r="E310" s="461">
        <v>15</v>
      </c>
      <c r="F310" s="3" t="str" cm="1">
        <f t="array" aca="1" ref="F310" ca="1">OFFSET(E310,-1,1)</f>
        <v>3</v>
      </c>
      <c r="H310" s="17" t="s">
        <v>535</v>
      </c>
      <c r="T310" s="353" t="b" cm="1">
        <f t="array" ref="T310">T309</f>
        <v>0</v>
      </c>
      <c r="X310" s="990"/>
      <c r="Y310" s="966"/>
      <c r="AB310" s="153" t="s">
        <v>460</v>
      </c>
      <c r="AC310" s="235" t="s">
        <v>584</v>
      </c>
      <c r="AD310" s="12" t="s">
        <v>558</v>
      </c>
      <c r="AE310" s="836"/>
      <c r="AF310" s="836"/>
      <c r="AG310" s="836"/>
      <c r="AH310" s="836"/>
      <c r="AI310" s="191"/>
      <c r="AJ310" s="836"/>
      <c r="AK310" s="836"/>
      <c r="AL310" s="836"/>
      <c r="AM310" s="836"/>
      <c r="AN310" s="836"/>
      <c r="AO310" s="836"/>
      <c r="AP310" s="836"/>
      <c r="AQ310" s="836"/>
      <c r="AR310" s="836"/>
      <c r="AS310" s="191"/>
      <c r="AT310" s="836"/>
      <c r="AU310" s="836"/>
      <c r="AV310" s="836"/>
      <c r="AW310" s="836"/>
      <c r="AX310" s="836"/>
      <c r="AY310" s="836"/>
      <c r="AZ310" s="836"/>
      <c r="BA310" s="836"/>
      <c r="BB310" s="836"/>
      <c r="BC310" s="775"/>
      <c r="BF310" s="671" t="s">
        <v>585</v>
      </c>
    </row>
    <row r="311" spans="5:58" ht="14.25" hidden="1" customHeight="1" x14ac:dyDescent="0.15">
      <c r="E311" s="461">
        <v>15</v>
      </c>
      <c r="F311" s="3" t="str" cm="1">
        <f t="array" aca="1" ref="F311" ca="1">OFFSET(E311,-1,1)</f>
        <v>3</v>
      </c>
      <c r="H311" s="17" t="s">
        <v>586</v>
      </c>
      <c r="T311" s="353" t="b" cm="1">
        <f t="array" ref="T311">T310</f>
        <v>0</v>
      </c>
      <c r="X311" s="990"/>
      <c r="Y311" s="966"/>
      <c r="AB311" s="153" t="s">
        <v>536</v>
      </c>
      <c r="AC311" s="55" t="s">
        <v>587</v>
      </c>
      <c r="AD311" s="12" t="s">
        <v>558</v>
      </c>
      <c r="AE311" s="223">
        <f t="shared" ref="AE311:BB311" si="79">AE317+AE315</f>
        <v>0</v>
      </c>
      <c r="AF311" s="223">
        <f t="shared" si="79"/>
        <v>0</v>
      </c>
      <c r="AG311" s="223">
        <f t="shared" si="79"/>
        <v>0</v>
      </c>
      <c r="AH311" s="223">
        <f t="shared" si="79"/>
        <v>0</v>
      </c>
      <c r="AI311" s="223">
        <f t="shared" si="79"/>
        <v>0</v>
      </c>
      <c r="AJ311" s="223">
        <f t="shared" si="79"/>
        <v>0</v>
      </c>
      <c r="AK311" s="223">
        <f t="shared" si="79"/>
        <v>0</v>
      </c>
      <c r="AL311" s="223">
        <f t="shared" si="79"/>
        <v>0</v>
      </c>
      <c r="AM311" s="223">
        <f t="shared" si="79"/>
        <v>0</v>
      </c>
      <c r="AN311" s="223">
        <f t="shared" si="79"/>
        <v>0</v>
      </c>
      <c r="AO311" s="223">
        <f t="shared" si="79"/>
        <v>0</v>
      </c>
      <c r="AP311" s="223">
        <f t="shared" si="79"/>
        <v>0</v>
      </c>
      <c r="AQ311" s="223">
        <f t="shared" si="79"/>
        <v>0</v>
      </c>
      <c r="AR311" s="223">
        <f t="shared" si="79"/>
        <v>0</v>
      </c>
      <c r="AS311" s="223">
        <f t="shared" si="79"/>
        <v>0</v>
      </c>
      <c r="AT311" s="223">
        <f t="shared" si="79"/>
        <v>0</v>
      </c>
      <c r="AU311" s="223">
        <f t="shared" si="79"/>
        <v>0</v>
      </c>
      <c r="AV311" s="223">
        <f t="shared" si="79"/>
        <v>0</v>
      </c>
      <c r="AW311" s="223">
        <f t="shared" si="79"/>
        <v>0</v>
      </c>
      <c r="AX311" s="223">
        <f t="shared" si="79"/>
        <v>0</v>
      </c>
      <c r="AY311" s="223">
        <f t="shared" si="79"/>
        <v>0</v>
      </c>
      <c r="AZ311" s="223">
        <f t="shared" si="79"/>
        <v>0</v>
      </c>
      <c r="BA311" s="223">
        <f t="shared" si="79"/>
        <v>0</v>
      </c>
      <c r="BB311" s="223">
        <f t="shared" si="79"/>
        <v>0</v>
      </c>
      <c r="BC311" s="775"/>
      <c r="BF311" s="671" t="s">
        <v>588</v>
      </c>
    </row>
    <row r="312" spans="5:58" ht="21.75" hidden="1" customHeight="1" x14ac:dyDescent="0.15">
      <c r="E312" s="461">
        <v>22.5</v>
      </c>
      <c r="F312" s="3" t="str" cm="1">
        <f t="array" aca="1" ref="F312" ca="1">OFFSET(E312,-1,1)</f>
        <v>3</v>
      </c>
      <c r="H312" s="17" t="s">
        <v>589</v>
      </c>
      <c r="T312" s="353" t="b" cm="1">
        <f t="array" ref="T312">T311</f>
        <v>0</v>
      </c>
      <c r="X312" s="990"/>
      <c r="Y312" s="966"/>
      <c r="AB312" s="153" t="s">
        <v>590</v>
      </c>
      <c r="AC312" s="105" t="s">
        <v>591</v>
      </c>
      <c r="AD312" s="12" t="s">
        <v>558</v>
      </c>
      <c r="AE312" s="836"/>
      <c r="AF312" s="836"/>
      <c r="AG312" s="836"/>
      <c r="AH312" s="836"/>
      <c r="AI312" s="191"/>
      <c r="AJ312" s="836"/>
      <c r="AK312" s="836"/>
      <c r="AL312" s="836"/>
      <c r="AM312" s="836"/>
      <c r="AN312" s="836"/>
      <c r="AO312" s="836"/>
      <c r="AP312" s="836"/>
      <c r="AQ312" s="836"/>
      <c r="AR312" s="836"/>
      <c r="AS312" s="191"/>
      <c r="AT312" s="836"/>
      <c r="AU312" s="836"/>
      <c r="AV312" s="836"/>
      <c r="AW312" s="836"/>
      <c r="AX312" s="836"/>
      <c r="AY312" s="836"/>
      <c r="AZ312" s="836"/>
      <c r="BA312" s="836"/>
      <c r="BB312" s="836"/>
      <c r="BC312" s="775"/>
      <c r="BF312" s="671" t="s">
        <v>592</v>
      </c>
    </row>
    <row r="313" spans="5:58" ht="14.25" hidden="1" customHeight="1" x14ac:dyDescent="0.15">
      <c r="E313" s="461">
        <v>15</v>
      </c>
      <c r="F313" s="3" t="str" cm="1">
        <f t="array" aca="1" ref="F313" ca="1">OFFSET(E313,-1,1)</f>
        <v>3</v>
      </c>
      <c r="H313" s="17" t="s">
        <v>593</v>
      </c>
      <c r="T313" s="353" t="b" cm="1">
        <f t="array" ref="T313">T312</f>
        <v>0</v>
      </c>
      <c r="X313" s="990"/>
      <c r="Y313" s="966"/>
      <c r="AB313" s="153" t="s">
        <v>594</v>
      </c>
      <c r="AC313" s="105" t="s">
        <v>595</v>
      </c>
      <c r="AD313" s="12" t="s">
        <v>558</v>
      </c>
      <c r="AE313" s="836"/>
      <c r="AF313" s="836"/>
      <c r="AG313" s="836"/>
      <c r="AH313" s="836"/>
      <c r="AI313" s="191"/>
      <c r="AJ313" s="836"/>
      <c r="AK313" s="836"/>
      <c r="AL313" s="836"/>
      <c r="AM313" s="836"/>
      <c r="AN313" s="836"/>
      <c r="AO313" s="836"/>
      <c r="AP313" s="836"/>
      <c r="AQ313" s="836"/>
      <c r="AR313" s="836"/>
      <c r="AS313" s="191"/>
      <c r="AT313" s="836"/>
      <c r="AU313" s="836"/>
      <c r="AV313" s="836"/>
      <c r="AW313" s="836"/>
      <c r="AX313" s="836"/>
      <c r="AY313" s="836"/>
      <c r="AZ313" s="836"/>
      <c r="BA313" s="836"/>
      <c r="BB313" s="836"/>
      <c r="BC313" s="775"/>
      <c r="BF313" s="671" t="s">
        <v>596</v>
      </c>
    </row>
    <row r="314" spans="5:58" ht="21.75" hidden="1" customHeight="1" x14ac:dyDescent="0.15">
      <c r="E314" s="461">
        <v>22.5</v>
      </c>
      <c r="F314" s="3" t="str" cm="1">
        <f t="array" aca="1" ref="F314" ca="1">OFFSET(E314,-1,1)</f>
        <v>3</v>
      </c>
      <c r="H314" s="17" t="s">
        <v>597</v>
      </c>
      <c r="T314" s="353" t="b" cm="1">
        <f t="array" ref="T314">T313</f>
        <v>0</v>
      </c>
      <c r="X314" s="990"/>
      <c r="Y314" s="966"/>
      <c r="AB314" s="153" t="s">
        <v>598</v>
      </c>
      <c r="AC314" s="105" t="s">
        <v>599</v>
      </c>
      <c r="AD314" s="12" t="s">
        <v>558</v>
      </c>
      <c r="AE314" s="836"/>
      <c r="AF314" s="836"/>
      <c r="AG314" s="836"/>
      <c r="AH314" s="836"/>
      <c r="AI314" s="191"/>
      <c r="AJ314" s="836"/>
      <c r="AK314" s="836"/>
      <c r="AL314" s="836"/>
      <c r="AM314" s="836"/>
      <c r="AN314" s="836"/>
      <c r="AO314" s="836"/>
      <c r="AP314" s="836"/>
      <c r="AQ314" s="836"/>
      <c r="AR314" s="836"/>
      <c r="AS314" s="191"/>
      <c r="AT314" s="836"/>
      <c r="AU314" s="836"/>
      <c r="AV314" s="836"/>
      <c r="AW314" s="836"/>
      <c r="AX314" s="836"/>
      <c r="AY314" s="836"/>
      <c r="AZ314" s="836"/>
      <c r="BA314" s="836"/>
      <c r="BB314" s="836"/>
      <c r="BC314" s="775"/>
      <c r="BF314" s="671" t="s">
        <v>600</v>
      </c>
    </row>
    <row r="315" spans="5:58" ht="14.25" hidden="1" customHeight="1" x14ac:dyDescent="0.15">
      <c r="E315" s="461">
        <v>15</v>
      </c>
      <c r="F315" s="3" t="str" cm="1">
        <f t="array" aca="1" ref="F315" ca="1">OFFSET(E315,-1,1)</f>
        <v>3</v>
      </c>
      <c r="H315" s="17" t="s">
        <v>601</v>
      </c>
      <c r="T315" s="353" t="b" cm="1">
        <f t="array" ref="T315">T314</f>
        <v>0</v>
      </c>
      <c r="X315" s="990"/>
      <c r="Y315" s="966"/>
      <c r="AB315" s="153" t="s">
        <v>602</v>
      </c>
      <c r="AC315" s="235" t="s">
        <v>603</v>
      </c>
      <c r="AD315" s="12" t="s">
        <v>558</v>
      </c>
      <c r="AE315" s="836"/>
      <c r="AF315" s="836"/>
      <c r="AG315" s="836"/>
      <c r="AH315" s="836"/>
      <c r="AI315" s="191"/>
      <c r="AJ315" s="836"/>
      <c r="AK315" s="836"/>
      <c r="AL315" s="836"/>
      <c r="AM315" s="836"/>
      <c r="AN315" s="836"/>
      <c r="AO315" s="836"/>
      <c r="AP315" s="836"/>
      <c r="AQ315" s="836"/>
      <c r="AR315" s="836"/>
      <c r="AS315" s="191"/>
      <c r="AT315" s="836"/>
      <c r="AU315" s="836"/>
      <c r="AV315" s="836"/>
      <c r="AW315" s="836"/>
      <c r="AX315" s="836"/>
      <c r="AY315" s="836"/>
      <c r="AZ315" s="836"/>
      <c r="BA315" s="836"/>
      <c r="BB315" s="836"/>
      <c r="BC315" s="775"/>
      <c r="BF315" s="671" t="s">
        <v>604</v>
      </c>
    </row>
    <row r="316" spans="5:58" ht="14.25" hidden="1" customHeight="1" x14ac:dyDescent="0.15">
      <c r="E316" s="461">
        <v>15</v>
      </c>
      <c r="F316" s="3" t="str" cm="1">
        <f t="array" aca="1" ref="F316" ca="1">OFFSET(E316,-1,1)</f>
        <v>3</v>
      </c>
      <c r="H316" s="17" t="s">
        <v>605</v>
      </c>
      <c r="T316" s="353" t="b" cm="1">
        <f t="array" ref="T316">T315</f>
        <v>0</v>
      </c>
      <c r="X316" s="990"/>
      <c r="Y316" s="966"/>
      <c r="AB316" s="153" t="s">
        <v>606</v>
      </c>
      <c r="AC316" s="236" t="s">
        <v>607</v>
      </c>
      <c r="AD316" s="12" t="s">
        <v>476</v>
      </c>
      <c r="AE316" s="820">
        <f t="shared" ref="AE316:BB316" si="80">IF(AE311=0,0,AE315/AE311*100)</f>
        <v>0</v>
      </c>
      <c r="AF316" s="820">
        <f t="shared" si="80"/>
        <v>0</v>
      </c>
      <c r="AG316" s="820">
        <f t="shared" si="80"/>
        <v>0</v>
      </c>
      <c r="AH316" s="820">
        <f t="shared" si="80"/>
        <v>0</v>
      </c>
      <c r="AI316" s="57">
        <f t="shared" si="80"/>
        <v>0</v>
      </c>
      <c r="AJ316" s="820">
        <f t="shared" si="80"/>
        <v>0</v>
      </c>
      <c r="AK316" s="820">
        <f t="shared" si="80"/>
        <v>0</v>
      </c>
      <c r="AL316" s="820">
        <f t="shared" si="80"/>
        <v>0</v>
      </c>
      <c r="AM316" s="820">
        <f t="shared" si="80"/>
        <v>0</v>
      </c>
      <c r="AN316" s="820">
        <f t="shared" si="80"/>
        <v>0</v>
      </c>
      <c r="AO316" s="820">
        <f t="shared" si="80"/>
        <v>0</v>
      </c>
      <c r="AP316" s="820">
        <f t="shared" si="80"/>
        <v>0</v>
      </c>
      <c r="AQ316" s="820">
        <f t="shared" si="80"/>
        <v>0</v>
      </c>
      <c r="AR316" s="820">
        <f t="shared" si="80"/>
        <v>0</v>
      </c>
      <c r="AS316" s="57">
        <f t="shared" si="80"/>
        <v>0</v>
      </c>
      <c r="AT316" s="820">
        <f t="shared" si="80"/>
        <v>0</v>
      </c>
      <c r="AU316" s="820">
        <f t="shared" si="80"/>
        <v>0</v>
      </c>
      <c r="AV316" s="820">
        <f t="shared" si="80"/>
        <v>0</v>
      </c>
      <c r="AW316" s="820">
        <f t="shared" si="80"/>
        <v>0</v>
      </c>
      <c r="AX316" s="820">
        <f t="shared" si="80"/>
        <v>0</v>
      </c>
      <c r="AY316" s="820">
        <f t="shared" si="80"/>
        <v>0</v>
      </c>
      <c r="AZ316" s="820">
        <f t="shared" si="80"/>
        <v>0</v>
      </c>
      <c r="BA316" s="820">
        <f t="shared" si="80"/>
        <v>0</v>
      </c>
      <c r="BB316" s="820">
        <f t="shared" si="80"/>
        <v>0</v>
      </c>
      <c r="BC316" s="775"/>
      <c r="BF316" s="671" t="s">
        <v>608</v>
      </c>
    </row>
    <row r="317" spans="5:58" ht="14.25" hidden="1" customHeight="1" x14ac:dyDescent="0.15">
      <c r="E317" s="461">
        <v>15</v>
      </c>
      <c r="F317" s="3" t="str" cm="1">
        <f t="array" aca="1" ref="F317" ca="1">OFFSET(E317,-1,1)</f>
        <v>3</v>
      </c>
      <c r="H317" s="17" t="s">
        <v>609</v>
      </c>
      <c r="T317" s="353" t="b" cm="1">
        <f t="array" ref="T317">T316</f>
        <v>0</v>
      </c>
      <c r="X317" s="990"/>
      <c r="Y317" s="966"/>
      <c r="AB317" s="153" t="s">
        <v>610</v>
      </c>
      <c r="AC317" s="235" t="s">
        <v>611</v>
      </c>
      <c r="AD317" s="12" t="s">
        <v>558</v>
      </c>
      <c r="AE317" s="223">
        <f t="shared" ref="AE317:BB317" si="81">AE318+AE322+AE325+AE335</f>
        <v>0</v>
      </c>
      <c r="AF317" s="223">
        <f t="shared" si="81"/>
        <v>0</v>
      </c>
      <c r="AG317" s="223">
        <f t="shared" si="81"/>
        <v>0</v>
      </c>
      <c r="AH317" s="223">
        <f t="shared" si="81"/>
        <v>0</v>
      </c>
      <c r="AI317" s="223">
        <f t="shared" si="81"/>
        <v>0</v>
      </c>
      <c r="AJ317" s="223">
        <f t="shared" si="81"/>
        <v>0</v>
      </c>
      <c r="AK317" s="223">
        <f t="shared" si="81"/>
        <v>0</v>
      </c>
      <c r="AL317" s="223">
        <f t="shared" si="81"/>
        <v>0</v>
      </c>
      <c r="AM317" s="223">
        <f t="shared" si="81"/>
        <v>0</v>
      </c>
      <c r="AN317" s="223">
        <f t="shared" si="81"/>
        <v>0</v>
      </c>
      <c r="AO317" s="223">
        <f t="shared" si="81"/>
        <v>0</v>
      </c>
      <c r="AP317" s="223">
        <f t="shared" si="81"/>
        <v>0</v>
      </c>
      <c r="AQ317" s="223">
        <f t="shared" si="81"/>
        <v>0</v>
      </c>
      <c r="AR317" s="223">
        <f t="shared" si="81"/>
        <v>0</v>
      </c>
      <c r="AS317" s="223">
        <f t="shared" si="81"/>
        <v>0</v>
      </c>
      <c r="AT317" s="223">
        <f t="shared" si="81"/>
        <v>0</v>
      </c>
      <c r="AU317" s="223">
        <f t="shared" si="81"/>
        <v>0</v>
      </c>
      <c r="AV317" s="223">
        <f t="shared" si="81"/>
        <v>0</v>
      </c>
      <c r="AW317" s="223">
        <f t="shared" si="81"/>
        <v>0</v>
      </c>
      <c r="AX317" s="223">
        <f t="shared" si="81"/>
        <v>0</v>
      </c>
      <c r="AY317" s="223">
        <f t="shared" si="81"/>
        <v>0</v>
      </c>
      <c r="AZ317" s="223">
        <f t="shared" si="81"/>
        <v>0</v>
      </c>
      <c r="BA317" s="223">
        <f t="shared" si="81"/>
        <v>0</v>
      </c>
      <c r="BB317" s="223">
        <f t="shared" si="81"/>
        <v>0</v>
      </c>
      <c r="BC317" s="775"/>
      <c r="BF317" s="671" t="s">
        <v>612</v>
      </c>
    </row>
    <row r="318" spans="5:58" ht="14.25" hidden="1" customHeight="1" x14ac:dyDescent="0.15">
      <c r="E318" s="461">
        <v>15</v>
      </c>
      <c r="F318" s="3" t="str" cm="1">
        <f t="array" aca="1" ref="F318" ca="1">OFFSET(E318,-1,1)</f>
        <v>3</v>
      </c>
      <c r="G318" s="17" t="str">
        <f>IF(OwnNeedsInPO="да","ПО","")</f>
        <v/>
      </c>
      <c r="H318" s="17" t="s">
        <v>613</v>
      </c>
      <c r="T318" s="353" t="b" cm="1">
        <f t="array" ref="T318">T317</f>
        <v>0</v>
      </c>
      <c r="X318" s="990"/>
      <c r="Y318" s="966"/>
      <c r="AB318" s="153" t="s">
        <v>614</v>
      </c>
      <c r="AC318" s="105" t="s">
        <v>615</v>
      </c>
      <c r="AD318" s="12" t="s">
        <v>558</v>
      </c>
      <c r="AE318" s="223">
        <f t="shared" ref="AE318:BB318" si="82">SUM(AE319:AE321)</f>
        <v>0</v>
      </c>
      <c r="AF318" s="223">
        <f t="shared" si="82"/>
        <v>0</v>
      </c>
      <c r="AG318" s="223">
        <f t="shared" si="82"/>
        <v>0</v>
      </c>
      <c r="AH318" s="223">
        <f t="shared" si="82"/>
        <v>0</v>
      </c>
      <c r="AI318" s="223">
        <f t="shared" si="82"/>
        <v>0</v>
      </c>
      <c r="AJ318" s="223">
        <f t="shared" si="82"/>
        <v>0</v>
      </c>
      <c r="AK318" s="223">
        <f t="shared" si="82"/>
        <v>0</v>
      </c>
      <c r="AL318" s="223">
        <f t="shared" si="82"/>
        <v>0</v>
      </c>
      <c r="AM318" s="223">
        <f t="shared" si="82"/>
        <v>0</v>
      </c>
      <c r="AN318" s="223">
        <f t="shared" si="82"/>
        <v>0</v>
      </c>
      <c r="AO318" s="223">
        <f t="shared" si="82"/>
        <v>0</v>
      </c>
      <c r="AP318" s="223">
        <f t="shared" si="82"/>
        <v>0</v>
      </c>
      <c r="AQ318" s="223">
        <f t="shared" si="82"/>
        <v>0</v>
      </c>
      <c r="AR318" s="223">
        <f t="shared" si="82"/>
        <v>0</v>
      </c>
      <c r="AS318" s="223">
        <f t="shared" si="82"/>
        <v>0</v>
      </c>
      <c r="AT318" s="223">
        <f t="shared" si="82"/>
        <v>0</v>
      </c>
      <c r="AU318" s="223">
        <f t="shared" si="82"/>
        <v>0</v>
      </c>
      <c r="AV318" s="223">
        <f t="shared" si="82"/>
        <v>0</v>
      </c>
      <c r="AW318" s="223">
        <f t="shared" si="82"/>
        <v>0</v>
      </c>
      <c r="AX318" s="223">
        <f t="shared" si="82"/>
        <v>0</v>
      </c>
      <c r="AY318" s="223">
        <f t="shared" si="82"/>
        <v>0</v>
      </c>
      <c r="AZ318" s="223">
        <f t="shared" si="82"/>
        <v>0</v>
      </c>
      <c r="BA318" s="223">
        <f t="shared" si="82"/>
        <v>0</v>
      </c>
      <c r="BB318" s="223">
        <f t="shared" si="82"/>
        <v>0</v>
      </c>
      <c r="BC318" s="775"/>
      <c r="BF318" s="671" t="s">
        <v>616</v>
      </c>
    </row>
    <row r="319" spans="5:58" ht="14.25" hidden="1" customHeight="1" x14ac:dyDescent="0.15">
      <c r="E319" s="461">
        <v>15</v>
      </c>
      <c r="F319" s="3" t="str" cm="1">
        <f t="array" aca="1" ref="F319" ca="1">OFFSET(E319,-1,1)</f>
        <v>3</v>
      </c>
      <c r="H319" s="17" t="s">
        <v>617</v>
      </c>
      <c r="T319" s="353" t="b" cm="1">
        <f t="array" ref="T319">T318</f>
        <v>0</v>
      </c>
      <c r="X319" s="990"/>
      <c r="Y319" s="966"/>
      <c r="AB319" s="153" t="s">
        <v>618</v>
      </c>
      <c r="AC319" s="237" t="s">
        <v>619</v>
      </c>
      <c r="AD319" s="12" t="s">
        <v>558</v>
      </c>
      <c r="AE319" s="836"/>
      <c r="AF319" s="836"/>
      <c r="AG319" s="836"/>
      <c r="AH319" s="836"/>
      <c r="AI319" s="191"/>
      <c r="AJ319" s="836"/>
      <c r="AK319" s="836"/>
      <c r="AL319" s="836"/>
      <c r="AM319" s="836"/>
      <c r="AN319" s="836"/>
      <c r="AO319" s="836"/>
      <c r="AP319" s="836"/>
      <c r="AQ319" s="836"/>
      <c r="AR319" s="836"/>
      <c r="AS319" s="191"/>
      <c r="AT319" s="836"/>
      <c r="AU319" s="836"/>
      <c r="AV319" s="836"/>
      <c r="AW319" s="836"/>
      <c r="AX319" s="836"/>
      <c r="AY319" s="836"/>
      <c r="AZ319" s="836"/>
      <c r="BA319" s="836"/>
      <c r="BB319" s="836"/>
      <c r="BC319" s="775"/>
      <c r="BF319" s="671" t="s">
        <v>620</v>
      </c>
    </row>
    <row r="320" spans="5:58" ht="14.25" hidden="1" customHeight="1" x14ac:dyDescent="0.15">
      <c r="E320" s="461">
        <v>15</v>
      </c>
      <c r="F320" s="3" t="str" cm="1">
        <f t="array" aca="1" ref="F320" ca="1">OFFSET(E320,-1,1)</f>
        <v>3</v>
      </c>
      <c r="H320" s="17" t="s">
        <v>621</v>
      </c>
      <c r="T320" s="353" t="b" cm="1">
        <f t="array" ref="T320">T319</f>
        <v>0</v>
      </c>
      <c r="X320" s="990"/>
      <c r="Y320" s="966"/>
      <c r="AB320" s="153" t="s">
        <v>622</v>
      </c>
      <c r="AC320" s="237" t="s">
        <v>623</v>
      </c>
      <c r="AD320" s="12" t="s">
        <v>558</v>
      </c>
      <c r="AE320" s="836"/>
      <c r="AF320" s="836"/>
      <c r="AG320" s="836"/>
      <c r="AH320" s="836"/>
      <c r="AI320" s="191"/>
      <c r="AJ320" s="836"/>
      <c r="AK320" s="836"/>
      <c r="AL320" s="836"/>
      <c r="AM320" s="836"/>
      <c r="AN320" s="836"/>
      <c r="AO320" s="836"/>
      <c r="AP320" s="836"/>
      <c r="AQ320" s="836"/>
      <c r="AR320" s="836"/>
      <c r="AS320" s="191"/>
      <c r="AT320" s="836"/>
      <c r="AU320" s="836"/>
      <c r="AV320" s="836"/>
      <c r="AW320" s="836"/>
      <c r="AX320" s="836"/>
      <c r="AY320" s="836"/>
      <c r="AZ320" s="836"/>
      <c r="BA320" s="836"/>
      <c r="BB320" s="836"/>
      <c r="BC320" s="775"/>
      <c r="BF320" s="671" t="s">
        <v>624</v>
      </c>
    </row>
    <row r="321" spans="5:58" ht="14.25" hidden="1" customHeight="1" x14ac:dyDescent="0.15">
      <c r="E321" s="461">
        <v>15</v>
      </c>
      <c r="F321" s="3" t="str" cm="1">
        <f t="array" aca="1" ref="F321" ca="1">OFFSET(E321,-1,1)</f>
        <v>3</v>
      </c>
      <c r="H321" s="17" t="s">
        <v>625</v>
      </c>
      <c r="T321" s="353" t="b" cm="1">
        <f t="array" ref="T321">T320</f>
        <v>0</v>
      </c>
      <c r="X321" s="990"/>
      <c r="Y321" s="966"/>
      <c r="AB321" s="153" t="s">
        <v>626</v>
      </c>
      <c r="AC321" s="237" t="s">
        <v>627</v>
      </c>
      <c r="AD321" s="12" t="s">
        <v>558</v>
      </c>
      <c r="AE321" s="836"/>
      <c r="AF321" s="836"/>
      <c r="AG321" s="836"/>
      <c r="AH321" s="836"/>
      <c r="AI321" s="191"/>
      <c r="AJ321" s="836"/>
      <c r="AK321" s="836"/>
      <c r="AL321" s="836"/>
      <c r="AM321" s="836"/>
      <c r="AN321" s="836"/>
      <c r="AO321" s="836"/>
      <c r="AP321" s="836"/>
      <c r="AQ321" s="836"/>
      <c r="AR321" s="836"/>
      <c r="AS321" s="191"/>
      <c r="AT321" s="836"/>
      <c r="AU321" s="836"/>
      <c r="AV321" s="836"/>
      <c r="AW321" s="836"/>
      <c r="AX321" s="836"/>
      <c r="AY321" s="836"/>
      <c r="AZ321" s="836"/>
      <c r="BA321" s="836"/>
      <c r="BB321" s="836"/>
      <c r="BC321" s="775"/>
      <c r="BF321" s="671" t="s">
        <v>628</v>
      </c>
    </row>
    <row r="322" spans="5:58" ht="14.25" hidden="1" customHeight="1" x14ac:dyDescent="0.15">
      <c r="E322" s="461">
        <v>15</v>
      </c>
      <c r="F322" s="3" t="str" cm="1">
        <f t="array" aca="1" ref="F322" ca="1">OFFSET(E322,-1,1)</f>
        <v>3</v>
      </c>
      <c r="G322" s="17" t="s">
        <v>629</v>
      </c>
      <c r="H322" s="17" t="s">
        <v>630</v>
      </c>
      <c r="T322" s="353" t="b" cm="1">
        <f t="array" ref="T322">T321</f>
        <v>0</v>
      </c>
      <c r="X322" s="990"/>
      <c r="Y322" s="966"/>
      <c r="AB322" s="153" t="s">
        <v>631</v>
      </c>
      <c r="AC322" s="105" t="s">
        <v>632</v>
      </c>
      <c r="AD322" s="12" t="s">
        <v>558</v>
      </c>
      <c r="AE322" s="223">
        <f t="shared" ref="AE322:BB322" si="83">SUM(AE323:AE324)</f>
        <v>0</v>
      </c>
      <c r="AF322" s="223">
        <f t="shared" si="83"/>
        <v>0</v>
      </c>
      <c r="AG322" s="223">
        <f t="shared" si="83"/>
        <v>0</v>
      </c>
      <c r="AH322" s="223">
        <f t="shared" si="83"/>
        <v>0</v>
      </c>
      <c r="AI322" s="223">
        <f t="shared" si="83"/>
        <v>0</v>
      </c>
      <c r="AJ322" s="223">
        <f t="shared" si="83"/>
        <v>0</v>
      </c>
      <c r="AK322" s="223">
        <f t="shared" si="83"/>
        <v>0</v>
      </c>
      <c r="AL322" s="223">
        <f t="shared" si="83"/>
        <v>0</v>
      </c>
      <c r="AM322" s="223">
        <f t="shared" si="83"/>
        <v>0</v>
      </c>
      <c r="AN322" s="223">
        <f t="shared" si="83"/>
        <v>0</v>
      </c>
      <c r="AO322" s="223">
        <f t="shared" si="83"/>
        <v>0</v>
      </c>
      <c r="AP322" s="223">
        <f t="shared" si="83"/>
        <v>0</v>
      </c>
      <c r="AQ322" s="223">
        <f t="shared" si="83"/>
        <v>0</v>
      </c>
      <c r="AR322" s="223">
        <f t="shared" si="83"/>
        <v>0</v>
      </c>
      <c r="AS322" s="223">
        <f t="shared" si="83"/>
        <v>0</v>
      </c>
      <c r="AT322" s="223">
        <f t="shared" si="83"/>
        <v>0</v>
      </c>
      <c r="AU322" s="223">
        <f t="shared" si="83"/>
        <v>0</v>
      </c>
      <c r="AV322" s="223">
        <f t="shared" si="83"/>
        <v>0</v>
      </c>
      <c r="AW322" s="223">
        <f t="shared" si="83"/>
        <v>0</v>
      </c>
      <c r="AX322" s="223">
        <f t="shared" si="83"/>
        <v>0</v>
      </c>
      <c r="AY322" s="223">
        <f t="shared" si="83"/>
        <v>0</v>
      </c>
      <c r="AZ322" s="223">
        <f t="shared" si="83"/>
        <v>0</v>
      </c>
      <c r="BA322" s="223">
        <f t="shared" si="83"/>
        <v>0</v>
      </c>
      <c r="BB322" s="223">
        <f t="shared" si="83"/>
        <v>0</v>
      </c>
      <c r="BC322" s="775"/>
      <c r="BF322" s="671" t="s">
        <v>633</v>
      </c>
    </row>
    <row r="323" spans="5:58" ht="14.25" hidden="1" customHeight="1" x14ac:dyDescent="0.15">
      <c r="E323" s="461">
        <v>15</v>
      </c>
      <c r="F323" s="3" t="str" cm="1">
        <f t="array" aca="1" ref="F323" ca="1">OFFSET(E323,-1,1)</f>
        <v>3</v>
      </c>
      <c r="H323" s="17" t="s">
        <v>634</v>
      </c>
      <c r="T323" s="353" t="b" cm="1">
        <f t="array" ref="T323">T322</f>
        <v>0</v>
      </c>
      <c r="X323" s="990"/>
      <c r="Y323" s="966"/>
      <c r="AB323" s="153" t="s">
        <v>635</v>
      </c>
      <c r="AC323" s="237" t="s">
        <v>636</v>
      </c>
      <c r="AD323" s="12" t="s">
        <v>558</v>
      </c>
      <c r="AE323" s="836"/>
      <c r="AF323" s="836"/>
      <c r="AG323" s="836"/>
      <c r="AH323" s="836"/>
      <c r="AI323" s="191"/>
      <c r="AJ323" s="836"/>
      <c r="AK323" s="836"/>
      <c r="AL323" s="836"/>
      <c r="AM323" s="836"/>
      <c r="AN323" s="836"/>
      <c r="AO323" s="836"/>
      <c r="AP323" s="836"/>
      <c r="AQ323" s="836"/>
      <c r="AR323" s="836"/>
      <c r="AS323" s="191"/>
      <c r="AT323" s="836"/>
      <c r="AU323" s="836"/>
      <c r="AV323" s="836"/>
      <c r="AW323" s="836"/>
      <c r="AX323" s="836"/>
      <c r="AY323" s="836"/>
      <c r="AZ323" s="836"/>
      <c r="BA323" s="836"/>
      <c r="BB323" s="836"/>
      <c r="BC323" s="775"/>
      <c r="BF323" s="671" t="s">
        <v>637</v>
      </c>
    </row>
    <row r="324" spans="5:58" ht="14.25" hidden="1" customHeight="1" x14ac:dyDescent="0.15">
      <c r="E324" s="461">
        <v>15</v>
      </c>
      <c r="F324" s="3" t="str" cm="1">
        <f t="array" aca="1" ref="F324" ca="1">OFFSET(E324,-1,1)</f>
        <v>3</v>
      </c>
      <c r="H324" s="17" t="s">
        <v>638</v>
      </c>
      <c r="T324" s="353" t="b" cm="1">
        <f t="array" ref="T324">T323</f>
        <v>0</v>
      </c>
      <c r="X324" s="990"/>
      <c r="Y324" s="966"/>
      <c r="AB324" s="153" t="s">
        <v>639</v>
      </c>
      <c r="AC324" s="237" t="s">
        <v>640</v>
      </c>
      <c r="AD324" s="12" t="s">
        <v>558</v>
      </c>
      <c r="AE324" s="836"/>
      <c r="AF324" s="836"/>
      <c r="AG324" s="836"/>
      <c r="AH324" s="836"/>
      <c r="AI324" s="191"/>
      <c r="AJ324" s="836"/>
      <c r="AK324" s="836"/>
      <c r="AL324" s="836"/>
      <c r="AM324" s="836"/>
      <c r="AN324" s="836"/>
      <c r="AO324" s="836"/>
      <c r="AP324" s="836"/>
      <c r="AQ324" s="836"/>
      <c r="AR324" s="836"/>
      <c r="AS324" s="191"/>
      <c r="AT324" s="836"/>
      <c r="AU324" s="836"/>
      <c r="AV324" s="836"/>
      <c r="AW324" s="836"/>
      <c r="AX324" s="836"/>
      <c r="AY324" s="836"/>
      <c r="AZ324" s="836"/>
      <c r="BA324" s="836"/>
      <c r="BB324" s="836"/>
      <c r="BC324" s="775"/>
      <c r="BF324" s="671" t="s">
        <v>641</v>
      </c>
    </row>
    <row r="325" spans="5:58" ht="14.25" hidden="1" customHeight="1" x14ac:dyDescent="0.15">
      <c r="E325" s="461">
        <v>15</v>
      </c>
      <c r="F325" s="3" t="str" cm="1">
        <f t="array" aca="1" ref="F325" ca="1">OFFSET(E325,-1,1)</f>
        <v>3</v>
      </c>
      <c r="G325" s="17" t="s">
        <v>629</v>
      </c>
      <c r="H325" s="17" t="s">
        <v>642</v>
      </c>
      <c r="T325" s="353" t="b" cm="1">
        <f t="array" ref="T325">T324</f>
        <v>0</v>
      </c>
      <c r="X325" s="990"/>
      <c r="Y325" s="966"/>
      <c r="AB325" s="153" t="s">
        <v>643</v>
      </c>
      <c r="AC325" s="105" t="s">
        <v>644</v>
      </c>
      <c r="AD325" s="12" t="s">
        <v>558</v>
      </c>
      <c r="AE325" s="223">
        <f t="shared" ref="AE325:BB325" si="84">AE326+AE329+AE332</f>
        <v>0</v>
      </c>
      <c r="AF325" s="223">
        <f t="shared" si="84"/>
        <v>0</v>
      </c>
      <c r="AG325" s="223">
        <f t="shared" si="84"/>
        <v>0</v>
      </c>
      <c r="AH325" s="223">
        <f t="shared" si="84"/>
        <v>0</v>
      </c>
      <c r="AI325" s="223">
        <f t="shared" si="84"/>
        <v>0</v>
      </c>
      <c r="AJ325" s="223">
        <f t="shared" si="84"/>
        <v>0</v>
      </c>
      <c r="AK325" s="223">
        <f t="shared" si="84"/>
        <v>0</v>
      </c>
      <c r="AL325" s="223">
        <f t="shared" si="84"/>
        <v>0</v>
      </c>
      <c r="AM325" s="223">
        <f t="shared" si="84"/>
        <v>0</v>
      </c>
      <c r="AN325" s="223">
        <f t="shared" si="84"/>
        <v>0</v>
      </c>
      <c r="AO325" s="223">
        <f t="shared" si="84"/>
        <v>0</v>
      </c>
      <c r="AP325" s="223">
        <f t="shared" si="84"/>
        <v>0</v>
      </c>
      <c r="AQ325" s="223">
        <f t="shared" si="84"/>
        <v>0</v>
      </c>
      <c r="AR325" s="223">
        <f t="shared" si="84"/>
        <v>0</v>
      </c>
      <c r="AS325" s="223">
        <f t="shared" si="84"/>
        <v>0</v>
      </c>
      <c r="AT325" s="223">
        <f t="shared" si="84"/>
        <v>0</v>
      </c>
      <c r="AU325" s="223">
        <f t="shared" si="84"/>
        <v>0</v>
      </c>
      <c r="AV325" s="223">
        <f t="shared" si="84"/>
        <v>0</v>
      </c>
      <c r="AW325" s="223">
        <f t="shared" si="84"/>
        <v>0</v>
      </c>
      <c r="AX325" s="223">
        <f t="shared" si="84"/>
        <v>0</v>
      </c>
      <c r="AY325" s="223">
        <f t="shared" si="84"/>
        <v>0</v>
      </c>
      <c r="AZ325" s="223">
        <f t="shared" si="84"/>
        <v>0</v>
      </c>
      <c r="BA325" s="223">
        <f t="shared" si="84"/>
        <v>0</v>
      </c>
      <c r="BB325" s="223">
        <f t="shared" si="84"/>
        <v>0</v>
      </c>
      <c r="BC325" s="775"/>
      <c r="BF325" s="671" t="s">
        <v>645</v>
      </c>
    </row>
    <row r="326" spans="5:58" ht="14.25" hidden="1" customHeight="1" x14ac:dyDescent="0.15">
      <c r="E326" s="461">
        <v>15</v>
      </c>
      <c r="F326" s="3" t="str" cm="1">
        <f t="array" aca="1" ref="F326" ca="1">OFFSET(E326,-1,1)</f>
        <v>3</v>
      </c>
      <c r="H326" s="17" t="s">
        <v>646</v>
      </c>
      <c r="T326" s="353" t="b" cm="1">
        <f t="array" ref="T326">T325</f>
        <v>0</v>
      </c>
      <c r="X326" s="990"/>
      <c r="Y326" s="966"/>
      <c r="AB326" s="153" t="s">
        <v>647</v>
      </c>
      <c r="AC326" s="237" t="s">
        <v>648</v>
      </c>
      <c r="AD326" s="12" t="s">
        <v>558</v>
      </c>
      <c r="AE326" s="223">
        <f t="shared" ref="AE326:BB326" si="85">SUM(AE327:AE328)</f>
        <v>0</v>
      </c>
      <c r="AF326" s="223">
        <f t="shared" si="85"/>
        <v>0</v>
      </c>
      <c r="AG326" s="223">
        <f t="shared" si="85"/>
        <v>0</v>
      </c>
      <c r="AH326" s="223">
        <f t="shared" si="85"/>
        <v>0</v>
      </c>
      <c r="AI326" s="223">
        <f t="shared" si="85"/>
        <v>0</v>
      </c>
      <c r="AJ326" s="223">
        <f t="shared" si="85"/>
        <v>0</v>
      </c>
      <c r="AK326" s="223">
        <f t="shared" si="85"/>
        <v>0</v>
      </c>
      <c r="AL326" s="223">
        <f t="shared" si="85"/>
        <v>0</v>
      </c>
      <c r="AM326" s="223">
        <f t="shared" si="85"/>
        <v>0</v>
      </c>
      <c r="AN326" s="223">
        <f t="shared" si="85"/>
        <v>0</v>
      </c>
      <c r="AO326" s="223">
        <f t="shared" si="85"/>
        <v>0</v>
      </c>
      <c r="AP326" s="223">
        <f t="shared" si="85"/>
        <v>0</v>
      </c>
      <c r="AQ326" s="223">
        <f t="shared" si="85"/>
        <v>0</v>
      </c>
      <c r="AR326" s="223">
        <f t="shared" si="85"/>
        <v>0</v>
      </c>
      <c r="AS326" s="223">
        <f t="shared" si="85"/>
        <v>0</v>
      </c>
      <c r="AT326" s="223">
        <f t="shared" si="85"/>
        <v>0</v>
      </c>
      <c r="AU326" s="223">
        <f t="shared" si="85"/>
        <v>0</v>
      </c>
      <c r="AV326" s="223">
        <f t="shared" si="85"/>
        <v>0</v>
      </c>
      <c r="AW326" s="223">
        <f t="shared" si="85"/>
        <v>0</v>
      </c>
      <c r="AX326" s="223">
        <f t="shared" si="85"/>
        <v>0</v>
      </c>
      <c r="AY326" s="223">
        <f t="shared" si="85"/>
        <v>0</v>
      </c>
      <c r="AZ326" s="223">
        <f t="shared" si="85"/>
        <v>0</v>
      </c>
      <c r="BA326" s="223">
        <f t="shared" si="85"/>
        <v>0</v>
      </c>
      <c r="BB326" s="223">
        <f t="shared" si="85"/>
        <v>0</v>
      </c>
      <c r="BC326" s="775"/>
      <c r="BF326" s="671" t="s">
        <v>649</v>
      </c>
    </row>
    <row r="327" spans="5:58" ht="14.25" hidden="1" customHeight="1" x14ac:dyDescent="0.15">
      <c r="E327" s="461">
        <v>15</v>
      </c>
      <c r="F327" s="3" t="str" cm="1">
        <f t="array" aca="1" ref="F327" ca="1">OFFSET(E327,-1,1)</f>
        <v>3</v>
      </c>
      <c r="H327" s="17" t="s">
        <v>650</v>
      </c>
      <c r="T327" s="353" t="b" cm="1">
        <f t="array" ref="T327">T326</f>
        <v>0</v>
      </c>
      <c r="X327" s="990"/>
      <c r="Y327" s="966"/>
      <c r="AB327" s="153" t="s">
        <v>651</v>
      </c>
      <c r="AC327" s="238" t="s">
        <v>636</v>
      </c>
      <c r="AD327" s="12" t="s">
        <v>558</v>
      </c>
      <c r="AE327" s="836"/>
      <c r="AF327" s="836"/>
      <c r="AG327" s="836"/>
      <c r="AH327" s="836"/>
      <c r="AI327" s="191"/>
      <c r="AJ327" s="836"/>
      <c r="AK327" s="836"/>
      <c r="AL327" s="836"/>
      <c r="AM327" s="836"/>
      <c r="AN327" s="836"/>
      <c r="AO327" s="836"/>
      <c r="AP327" s="836"/>
      <c r="AQ327" s="836"/>
      <c r="AR327" s="836"/>
      <c r="AS327" s="191"/>
      <c r="AT327" s="836"/>
      <c r="AU327" s="836"/>
      <c r="AV327" s="836"/>
      <c r="AW327" s="836"/>
      <c r="AX327" s="836"/>
      <c r="AY327" s="836"/>
      <c r="AZ327" s="836"/>
      <c r="BA327" s="836"/>
      <c r="BB327" s="836"/>
      <c r="BC327" s="775"/>
      <c r="BF327" s="671" t="s">
        <v>652</v>
      </c>
    </row>
    <row r="328" spans="5:58" ht="14.25" hidden="1" customHeight="1" x14ac:dyDescent="0.15">
      <c r="E328" s="461">
        <v>15</v>
      </c>
      <c r="F328" s="3" t="str" cm="1">
        <f t="array" aca="1" ref="F328" ca="1">OFFSET(E328,-1,1)</f>
        <v>3</v>
      </c>
      <c r="H328" s="17" t="s">
        <v>653</v>
      </c>
      <c r="T328" s="353" t="b" cm="1">
        <f t="array" ref="T328">T327</f>
        <v>0</v>
      </c>
      <c r="X328" s="990"/>
      <c r="Y328" s="966"/>
      <c r="AB328" s="153" t="s">
        <v>654</v>
      </c>
      <c r="AC328" s="238" t="s">
        <v>640</v>
      </c>
      <c r="AD328" s="12" t="s">
        <v>558</v>
      </c>
      <c r="AE328" s="836"/>
      <c r="AF328" s="836"/>
      <c r="AG328" s="836"/>
      <c r="AH328" s="836"/>
      <c r="AI328" s="191"/>
      <c r="AJ328" s="836"/>
      <c r="AK328" s="836"/>
      <c r="AL328" s="836"/>
      <c r="AM328" s="836"/>
      <c r="AN328" s="836"/>
      <c r="AO328" s="836"/>
      <c r="AP328" s="836"/>
      <c r="AQ328" s="836"/>
      <c r="AR328" s="836"/>
      <c r="AS328" s="191"/>
      <c r="AT328" s="836"/>
      <c r="AU328" s="836"/>
      <c r="AV328" s="836"/>
      <c r="AW328" s="836"/>
      <c r="AX328" s="836"/>
      <c r="AY328" s="836"/>
      <c r="AZ328" s="836"/>
      <c r="BA328" s="836"/>
      <c r="BB328" s="836"/>
      <c r="BC328" s="775"/>
      <c r="BF328" s="671" t="s">
        <v>655</v>
      </c>
    </row>
    <row r="329" spans="5:58" ht="14.25" hidden="1" customHeight="1" x14ac:dyDescent="0.15">
      <c r="E329" s="461">
        <v>15</v>
      </c>
      <c r="F329" s="3" t="str" cm="1">
        <f t="array" aca="1" ref="F329" ca="1">OFFSET(E329,-1,1)</f>
        <v>3</v>
      </c>
      <c r="G329" s="17" t="s">
        <v>656</v>
      </c>
      <c r="H329" s="17" t="s">
        <v>657</v>
      </c>
      <c r="T329" s="353" t="b" cm="1">
        <f t="array" ref="T329">T328</f>
        <v>0</v>
      </c>
      <c r="X329" s="990"/>
      <c r="Y329" s="966"/>
      <c r="AB329" s="153" t="s">
        <v>658</v>
      </c>
      <c r="AC329" s="237" t="s">
        <v>659</v>
      </c>
      <c r="AD329" s="12" t="s">
        <v>558</v>
      </c>
      <c r="AE329" s="223">
        <f t="shared" ref="AE329:BB329" si="86">SUM(AE330:AE331)</f>
        <v>0</v>
      </c>
      <c r="AF329" s="223">
        <f t="shared" si="86"/>
        <v>0</v>
      </c>
      <c r="AG329" s="223">
        <f t="shared" si="86"/>
        <v>0</v>
      </c>
      <c r="AH329" s="223">
        <f t="shared" si="86"/>
        <v>0</v>
      </c>
      <c r="AI329" s="223">
        <f t="shared" si="86"/>
        <v>0</v>
      </c>
      <c r="AJ329" s="223">
        <f t="shared" si="86"/>
        <v>0</v>
      </c>
      <c r="AK329" s="223">
        <f t="shared" si="86"/>
        <v>0</v>
      </c>
      <c r="AL329" s="223">
        <f t="shared" si="86"/>
        <v>0</v>
      </c>
      <c r="AM329" s="223">
        <f t="shared" si="86"/>
        <v>0</v>
      </c>
      <c r="AN329" s="223">
        <f t="shared" si="86"/>
        <v>0</v>
      </c>
      <c r="AO329" s="223">
        <f t="shared" si="86"/>
        <v>0</v>
      </c>
      <c r="AP329" s="223">
        <f t="shared" si="86"/>
        <v>0</v>
      </c>
      <c r="AQ329" s="223">
        <f t="shared" si="86"/>
        <v>0</v>
      </c>
      <c r="AR329" s="223">
        <f t="shared" si="86"/>
        <v>0</v>
      </c>
      <c r="AS329" s="223">
        <f t="shared" si="86"/>
        <v>0</v>
      </c>
      <c r="AT329" s="223">
        <f t="shared" si="86"/>
        <v>0</v>
      </c>
      <c r="AU329" s="223">
        <f t="shared" si="86"/>
        <v>0</v>
      </c>
      <c r="AV329" s="223">
        <f t="shared" si="86"/>
        <v>0</v>
      </c>
      <c r="AW329" s="223">
        <f t="shared" si="86"/>
        <v>0</v>
      </c>
      <c r="AX329" s="223">
        <f t="shared" si="86"/>
        <v>0</v>
      </c>
      <c r="AY329" s="223">
        <f t="shared" si="86"/>
        <v>0</v>
      </c>
      <c r="AZ329" s="223">
        <f t="shared" si="86"/>
        <v>0</v>
      </c>
      <c r="BA329" s="223">
        <f t="shared" si="86"/>
        <v>0</v>
      </c>
      <c r="BB329" s="223">
        <f t="shared" si="86"/>
        <v>0</v>
      </c>
      <c r="BC329" s="775"/>
      <c r="BF329" s="671" t="s">
        <v>660</v>
      </c>
    </row>
    <row r="330" spans="5:58" ht="14.25" hidden="1" customHeight="1" x14ac:dyDescent="0.15">
      <c r="E330" s="461">
        <v>15</v>
      </c>
      <c r="F330" s="3" t="str" cm="1">
        <f t="array" aca="1" ref="F330" ca="1">OFFSET(E330,-1,1)</f>
        <v>3</v>
      </c>
      <c r="H330" s="17" t="s">
        <v>661</v>
      </c>
      <c r="T330" s="353" t="b" cm="1">
        <f t="array" ref="T330">T329</f>
        <v>0</v>
      </c>
      <c r="X330" s="990"/>
      <c r="Y330" s="966"/>
      <c r="AB330" s="153" t="s">
        <v>662</v>
      </c>
      <c r="AC330" s="238" t="s">
        <v>636</v>
      </c>
      <c r="AD330" s="12" t="s">
        <v>558</v>
      </c>
      <c r="AE330" s="836"/>
      <c r="AF330" s="836"/>
      <c r="AG330" s="836"/>
      <c r="AH330" s="836"/>
      <c r="AI330" s="191"/>
      <c r="AJ330" s="836"/>
      <c r="AK330" s="836"/>
      <c r="AL330" s="836"/>
      <c r="AM330" s="836"/>
      <c r="AN330" s="836"/>
      <c r="AO330" s="836"/>
      <c r="AP330" s="836"/>
      <c r="AQ330" s="836"/>
      <c r="AR330" s="836"/>
      <c r="AS330" s="191"/>
      <c r="AT330" s="836"/>
      <c r="AU330" s="836"/>
      <c r="AV330" s="836"/>
      <c r="AW330" s="836"/>
      <c r="AX330" s="836"/>
      <c r="AY330" s="836"/>
      <c r="AZ330" s="836"/>
      <c r="BA330" s="836"/>
      <c r="BB330" s="836"/>
      <c r="BC330" s="775"/>
      <c r="BF330" s="671" t="s">
        <v>663</v>
      </c>
    </row>
    <row r="331" spans="5:58" ht="14.25" hidden="1" customHeight="1" x14ac:dyDescent="0.15">
      <c r="E331" s="461">
        <v>15</v>
      </c>
      <c r="F331" s="3" t="str" cm="1">
        <f t="array" aca="1" ref="F331" ca="1">OFFSET(E331,-1,1)</f>
        <v>3</v>
      </c>
      <c r="H331" s="17" t="s">
        <v>664</v>
      </c>
      <c r="T331" s="353" t="b" cm="1">
        <f t="array" ref="T331">T330</f>
        <v>0</v>
      </c>
      <c r="X331" s="990"/>
      <c r="Y331" s="966"/>
      <c r="AB331" s="153" t="s">
        <v>665</v>
      </c>
      <c r="AC331" s="238" t="s">
        <v>640</v>
      </c>
      <c r="AD331" s="12" t="s">
        <v>558</v>
      </c>
      <c r="AE331" s="836"/>
      <c r="AF331" s="836"/>
      <c r="AG331" s="836"/>
      <c r="AH331" s="836"/>
      <c r="AI331" s="191"/>
      <c r="AJ331" s="836"/>
      <c r="AK331" s="836"/>
      <c r="AL331" s="836"/>
      <c r="AM331" s="836"/>
      <c r="AN331" s="836"/>
      <c r="AO331" s="836"/>
      <c r="AP331" s="836"/>
      <c r="AQ331" s="836"/>
      <c r="AR331" s="836"/>
      <c r="AS331" s="191"/>
      <c r="AT331" s="836"/>
      <c r="AU331" s="836"/>
      <c r="AV331" s="836"/>
      <c r="AW331" s="836"/>
      <c r="AX331" s="836"/>
      <c r="AY331" s="836"/>
      <c r="AZ331" s="836"/>
      <c r="BA331" s="836"/>
      <c r="BB331" s="836"/>
      <c r="BC331" s="775"/>
      <c r="BF331" s="671" t="s">
        <v>666</v>
      </c>
    </row>
    <row r="332" spans="5:58" ht="14.25" hidden="1" customHeight="1" x14ac:dyDescent="0.15">
      <c r="E332" s="461">
        <v>15</v>
      </c>
      <c r="F332" s="3" t="str" cm="1">
        <f t="array" aca="1" ref="F332" ca="1">OFFSET(E332,-1,1)</f>
        <v>3</v>
      </c>
      <c r="H332" s="17" t="s">
        <v>667</v>
      </c>
      <c r="T332" s="353" t="b" cm="1">
        <f t="array" ref="T332">T331</f>
        <v>0</v>
      </c>
      <c r="X332" s="990"/>
      <c r="Y332" s="966"/>
      <c r="AB332" s="153" t="s">
        <v>668</v>
      </c>
      <c r="AC332" s="237" t="s">
        <v>669</v>
      </c>
      <c r="AD332" s="12" t="s">
        <v>558</v>
      </c>
      <c r="AE332" s="223">
        <f t="shared" ref="AE332:BB332" si="87">SUM(AE333:AE334)</f>
        <v>0</v>
      </c>
      <c r="AF332" s="223">
        <f t="shared" si="87"/>
        <v>0</v>
      </c>
      <c r="AG332" s="223">
        <f t="shared" si="87"/>
        <v>0</v>
      </c>
      <c r="AH332" s="223">
        <f t="shared" si="87"/>
        <v>0</v>
      </c>
      <c r="AI332" s="223">
        <f t="shared" si="87"/>
        <v>0</v>
      </c>
      <c r="AJ332" s="223">
        <f t="shared" si="87"/>
        <v>0</v>
      </c>
      <c r="AK332" s="223">
        <f t="shared" si="87"/>
        <v>0</v>
      </c>
      <c r="AL332" s="223">
        <f t="shared" si="87"/>
        <v>0</v>
      </c>
      <c r="AM332" s="223">
        <f t="shared" si="87"/>
        <v>0</v>
      </c>
      <c r="AN332" s="223">
        <f t="shared" si="87"/>
        <v>0</v>
      </c>
      <c r="AO332" s="223">
        <f t="shared" si="87"/>
        <v>0</v>
      </c>
      <c r="AP332" s="223">
        <f t="shared" si="87"/>
        <v>0</v>
      </c>
      <c r="AQ332" s="223">
        <f t="shared" si="87"/>
        <v>0</v>
      </c>
      <c r="AR332" s="223">
        <f t="shared" si="87"/>
        <v>0</v>
      </c>
      <c r="AS332" s="223">
        <f t="shared" si="87"/>
        <v>0</v>
      </c>
      <c r="AT332" s="223">
        <f t="shared" si="87"/>
        <v>0</v>
      </c>
      <c r="AU332" s="223">
        <f t="shared" si="87"/>
        <v>0</v>
      </c>
      <c r="AV332" s="223">
        <f t="shared" si="87"/>
        <v>0</v>
      </c>
      <c r="AW332" s="223">
        <f t="shared" si="87"/>
        <v>0</v>
      </c>
      <c r="AX332" s="223">
        <f t="shared" si="87"/>
        <v>0</v>
      </c>
      <c r="AY332" s="223">
        <f t="shared" si="87"/>
        <v>0</v>
      </c>
      <c r="AZ332" s="223">
        <f t="shared" si="87"/>
        <v>0</v>
      </c>
      <c r="BA332" s="223">
        <f t="shared" si="87"/>
        <v>0</v>
      </c>
      <c r="BB332" s="223">
        <f t="shared" si="87"/>
        <v>0</v>
      </c>
      <c r="BC332" s="775"/>
      <c r="BF332" s="671" t="s">
        <v>670</v>
      </c>
    </row>
    <row r="333" spans="5:58" ht="14.25" hidden="1" customHeight="1" x14ac:dyDescent="0.15">
      <c r="E333" s="461">
        <v>15</v>
      </c>
      <c r="F333" s="3" t="str" cm="1">
        <f t="array" aca="1" ref="F333" ca="1">OFFSET(E333,-1,1)</f>
        <v>3</v>
      </c>
      <c r="H333" s="17" t="s">
        <v>671</v>
      </c>
      <c r="T333" s="353" t="b" cm="1">
        <f t="array" ref="T333">T332</f>
        <v>0</v>
      </c>
      <c r="X333" s="990"/>
      <c r="Y333" s="966"/>
      <c r="AB333" s="153" t="s">
        <v>672</v>
      </c>
      <c r="AC333" s="238" t="s">
        <v>636</v>
      </c>
      <c r="AD333" s="12" t="s">
        <v>558</v>
      </c>
      <c r="AE333" s="836"/>
      <c r="AF333" s="836"/>
      <c r="AG333" s="836"/>
      <c r="AH333" s="836"/>
      <c r="AI333" s="191"/>
      <c r="AJ333" s="836"/>
      <c r="AK333" s="836"/>
      <c r="AL333" s="836"/>
      <c r="AM333" s="836"/>
      <c r="AN333" s="836"/>
      <c r="AO333" s="836"/>
      <c r="AP333" s="836"/>
      <c r="AQ333" s="836"/>
      <c r="AR333" s="836"/>
      <c r="AS333" s="191"/>
      <c r="AT333" s="836"/>
      <c r="AU333" s="836"/>
      <c r="AV333" s="836"/>
      <c r="AW333" s="836"/>
      <c r="AX333" s="836"/>
      <c r="AY333" s="836"/>
      <c r="AZ333" s="836"/>
      <c r="BA333" s="836"/>
      <c r="BB333" s="836"/>
      <c r="BC333" s="775"/>
      <c r="BF333" s="671" t="s">
        <v>673</v>
      </c>
    </row>
    <row r="334" spans="5:58" ht="14.25" hidden="1" customHeight="1" x14ac:dyDescent="0.15">
      <c r="E334" s="461">
        <v>15</v>
      </c>
      <c r="F334" s="3" t="str" cm="1">
        <f t="array" aca="1" ref="F334" ca="1">OFFSET(E334,-1,1)</f>
        <v>3</v>
      </c>
      <c r="H334" s="17" t="s">
        <v>674</v>
      </c>
      <c r="T334" s="353" t="b" cm="1">
        <f t="array" ref="T334">T333</f>
        <v>0</v>
      </c>
      <c r="X334" s="990"/>
      <c r="Y334" s="966"/>
      <c r="AB334" s="153" t="s">
        <v>675</v>
      </c>
      <c r="AC334" s="238" t="s">
        <v>640</v>
      </c>
      <c r="AD334" s="12" t="s">
        <v>558</v>
      </c>
      <c r="AE334" s="836"/>
      <c r="AF334" s="836"/>
      <c r="AG334" s="836"/>
      <c r="AH334" s="836"/>
      <c r="AI334" s="191"/>
      <c r="AJ334" s="836"/>
      <c r="AK334" s="836"/>
      <c r="AL334" s="836"/>
      <c r="AM334" s="836"/>
      <c r="AN334" s="836"/>
      <c r="AO334" s="836"/>
      <c r="AP334" s="836"/>
      <c r="AQ334" s="836"/>
      <c r="AR334" s="836"/>
      <c r="AS334" s="191"/>
      <c r="AT334" s="836"/>
      <c r="AU334" s="836"/>
      <c r="AV334" s="836"/>
      <c r="AW334" s="836"/>
      <c r="AX334" s="836"/>
      <c r="AY334" s="836"/>
      <c r="AZ334" s="836"/>
      <c r="BA334" s="836"/>
      <c r="BB334" s="836"/>
      <c r="BC334" s="826"/>
      <c r="BF334" s="671" t="s">
        <v>676</v>
      </c>
    </row>
    <row r="335" spans="5:58" ht="21.75" hidden="1" customHeight="1" x14ac:dyDescent="0.15">
      <c r="E335" s="461">
        <v>22.5</v>
      </c>
      <c r="F335" s="3" t="str" cm="1">
        <f t="array" aca="1" ref="F335" ca="1">OFFSET(E335,-1,1)</f>
        <v>3</v>
      </c>
      <c r="H335" s="17" t="s">
        <v>677</v>
      </c>
      <c r="I335" s="315"/>
      <c r="J335" s="315"/>
      <c r="T335" s="353" t="b" cm="1">
        <f t="array" ref="T335">T334</f>
        <v>0</v>
      </c>
      <c r="X335" s="990"/>
      <c r="Y335" s="966"/>
      <c r="AB335" s="153" t="s">
        <v>678</v>
      </c>
      <c r="AC335" s="239" t="s">
        <v>679</v>
      </c>
      <c r="AD335" s="12" t="s">
        <v>558</v>
      </c>
      <c r="AE335" s="825"/>
      <c r="AF335" s="825"/>
      <c r="AG335" s="825"/>
      <c r="AH335" s="825"/>
      <c r="AI335" s="188"/>
      <c r="AJ335" s="825"/>
      <c r="AK335" s="825"/>
      <c r="AL335" s="825"/>
      <c r="AM335" s="825"/>
      <c r="AN335" s="825"/>
      <c r="AO335" s="825"/>
      <c r="AP335" s="825"/>
      <c r="AQ335" s="825"/>
      <c r="AR335" s="825"/>
      <c r="AS335" s="188"/>
      <c r="AT335" s="825"/>
      <c r="AU335" s="825"/>
      <c r="AV335" s="825"/>
      <c r="AW335" s="825"/>
      <c r="AX335" s="825"/>
      <c r="AY335" s="825"/>
      <c r="AZ335" s="825"/>
      <c r="BA335" s="825"/>
      <c r="BB335" s="825"/>
      <c r="BC335" s="826"/>
      <c r="BF335" s="671" t="s">
        <v>680</v>
      </c>
    </row>
    <row r="336" spans="5:58" ht="14.25" hidden="1" customHeight="1" x14ac:dyDescent="0.15">
      <c r="E336" s="461">
        <v>15</v>
      </c>
      <c r="F336" s="253" t="str" cm="1">
        <f t="array" aca="1" ref="F336" ca="1">OFFSET(E336,-1,1)</f>
        <v>3</v>
      </c>
      <c r="T336" s="353" t="b" cm="1">
        <f t="array" ref="T336">T335</f>
        <v>0</v>
      </c>
      <c r="X336" s="990"/>
      <c r="Y336" s="966"/>
      <c r="AB336" s="153" t="s">
        <v>681</v>
      </c>
      <c r="AC336" s="239" t="s">
        <v>682</v>
      </c>
      <c r="AD336" s="12" t="s">
        <v>558</v>
      </c>
      <c r="AE336" s="825"/>
      <c r="AF336" s="825"/>
      <c r="AG336" s="825"/>
      <c r="AH336" s="825"/>
      <c r="AI336" s="188"/>
      <c r="AJ336" s="825"/>
      <c r="AK336" s="825"/>
      <c r="AL336" s="825"/>
      <c r="AM336" s="825"/>
      <c r="AN336" s="825"/>
      <c r="AO336" s="825"/>
      <c r="AP336" s="825"/>
      <c r="AQ336" s="825"/>
      <c r="AR336" s="825"/>
      <c r="AS336" s="188"/>
      <c r="AT336" s="825"/>
      <c r="AU336" s="825"/>
      <c r="AV336" s="825"/>
      <c r="AW336" s="825"/>
      <c r="AX336" s="825"/>
      <c r="AY336" s="825"/>
      <c r="AZ336" s="825"/>
      <c r="BA336" s="825"/>
      <c r="BB336" s="825"/>
      <c r="BC336" s="826"/>
      <c r="BF336" s="671" t="s">
        <v>683</v>
      </c>
    </row>
    <row r="337" spans="1:58" ht="11.25" hidden="1" customHeight="1" x14ac:dyDescent="0.15">
      <c r="A337" s="315"/>
      <c r="B337" s="479"/>
      <c r="C337" s="315"/>
      <c r="D337" s="315"/>
      <c r="E337" s="480" t="s">
        <v>371</v>
      </c>
      <c r="F337" s="765" t="str" cm="1">
        <f t="array" aca="1" ref="F337" ca="1">OFFSET(E337,-1,1)</f>
        <v>3</v>
      </c>
      <c r="G337" s="315"/>
      <c r="H337" s="315"/>
      <c r="I337"/>
      <c r="J337"/>
      <c r="L337" s="315"/>
      <c r="M337" s="315"/>
      <c r="N337" s="315"/>
      <c r="O337" s="315"/>
      <c r="T337" s="353" t="b">
        <v>0</v>
      </c>
      <c r="V337" s="315"/>
      <c r="X337" s="990"/>
      <c r="Y337" s="966"/>
      <c r="Z337" s="315"/>
      <c r="AA337" s="315"/>
      <c r="AB337"/>
      <c r="AC337" s="18"/>
      <c r="AD337" s="18"/>
      <c r="AE337" s="249"/>
      <c r="AF337" s="249"/>
      <c r="AG337" s="249"/>
      <c r="AH337" s="249"/>
      <c r="AI337" s="249"/>
      <c r="AJ337" s="250"/>
      <c r="AK337" s="249"/>
      <c r="AL337" s="249"/>
      <c r="AM337" s="249"/>
      <c r="AN337" s="249"/>
      <c r="AO337" s="249"/>
      <c r="AP337" s="249"/>
      <c r="AQ337" s="249"/>
      <c r="AR337" s="249"/>
      <c r="AS337" s="249"/>
      <c r="AT337" s="249"/>
      <c r="AU337" s="249"/>
      <c r="AV337" s="249"/>
      <c r="AW337" s="249"/>
      <c r="AX337" s="249"/>
      <c r="AY337" s="249"/>
      <c r="AZ337" s="249"/>
      <c r="BA337" s="249"/>
      <c r="BB337" s="249"/>
      <c r="BC337"/>
      <c r="BD337"/>
      <c r="BE337"/>
      <c r="BF337" s="661"/>
    </row>
    <row r="338" spans="1:58" ht="14.25" hidden="1" customHeight="1" x14ac:dyDescent="0.15">
      <c r="E338" s="461">
        <v>15</v>
      </c>
      <c r="F338" s="3" t="str" cm="1">
        <f t="array" aca="1" ref="F338" ca="1">OFFSET(E338,-1,1)</f>
        <v>3</v>
      </c>
      <c r="R338" s="315" t="b" cm="1">
        <f t="array" ref="R338">INDEX('Общие сведения'!$AN$179:$AN$236,MATCH($X300,'Общие сведения'!$Z$179:$Z$236,0))</f>
        <v>1</v>
      </c>
      <c r="S338" s="315" t="b">
        <f>IF(ISERROR(SEARCH("Водоснабжение",AB300)),FALSE,TRUE)</f>
        <v>0</v>
      </c>
      <c r="T338" s="353" t="b">
        <f>AND(X300&gt;0,S338,R338)</f>
        <v>0</v>
      </c>
      <c r="X338" s="990"/>
      <c r="Y338" s="966"/>
      <c r="AB338" s="153" t="s">
        <v>275</v>
      </c>
      <c r="AC338" s="234" t="s">
        <v>555</v>
      </c>
      <c r="AD338" s="111"/>
      <c r="AE338" s="415" t="str" cm="1">
        <f t="array" ref="AE338">INDEX('Общие сведения'!$AH$179:$AH$236,MATCH($X300,'Общие сведения'!$Z$179:$Z$236,0))</f>
        <v>без дифференциации</v>
      </c>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5"/>
      <c r="BC338" s="826"/>
      <c r="BF338" s="671" t="s">
        <v>684</v>
      </c>
    </row>
    <row r="339" spans="1:58" ht="14.25" hidden="1" customHeight="1" x14ac:dyDescent="0.15">
      <c r="E339" s="461">
        <v>15</v>
      </c>
      <c r="F339" s="3" t="str" cm="1">
        <f t="array" aca="1" ref="F339" ca="1">OFFSET(E339,-1,1)</f>
        <v>3</v>
      </c>
      <c r="H339" s="17" t="s">
        <v>335</v>
      </c>
      <c r="T339" s="353" t="b" cm="1">
        <f t="array" ref="T339">T338</f>
        <v>0</v>
      </c>
      <c r="X339" s="990"/>
      <c r="Y339" s="966"/>
      <c r="AB339" s="153" t="s">
        <v>285</v>
      </c>
      <c r="AC339" s="240" t="s">
        <v>685</v>
      </c>
      <c r="AD339" s="12" t="s">
        <v>558</v>
      </c>
      <c r="AE339" s="251">
        <f t="shared" ref="AE339:BB339" si="88">AE343+AE345+AE348+AE351</f>
        <v>0</v>
      </c>
      <c r="AF339" s="251">
        <f t="shared" si="88"/>
        <v>0</v>
      </c>
      <c r="AG339" s="251">
        <f t="shared" si="88"/>
        <v>0</v>
      </c>
      <c r="AH339" s="251">
        <f t="shared" si="88"/>
        <v>0</v>
      </c>
      <c r="AI339" s="251">
        <f t="shared" si="88"/>
        <v>0</v>
      </c>
      <c r="AJ339" s="251">
        <f t="shared" si="88"/>
        <v>0</v>
      </c>
      <c r="AK339" s="251">
        <f t="shared" si="88"/>
        <v>0</v>
      </c>
      <c r="AL339" s="251">
        <f t="shared" si="88"/>
        <v>0</v>
      </c>
      <c r="AM339" s="251">
        <f t="shared" si="88"/>
        <v>0</v>
      </c>
      <c r="AN339" s="251">
        <f t="shared" si="88"/>
        <v>0</v>
      </c>
      <c r="AO339" s="251">
        <f t="shared" si="88"/>
        <v>0</v>
      </c>
      <c r="AP339" s="251">
        <f t="shared" si="88"/>
        <v>0</v>
      </c>
      <c r="AQ339" s="251">
        <f t="shared" si="88"/>
        <v>0</v>
      </c>
      <c r="AR339" s="251">
        <f t="shared" si="88"/>
        <v>0</v>
      </c>
      <c r="AS339" s="251">
        <f t="shared" si="88"/>
        <v>0</v>
      </c>
      <c r="AT339" s="251">
        <f t="shared" si="88"/>
        <v>0</v>
      </c>
      <c r="AU339" s="251">
        <f t="shared" si="88"/>
        <v>0</v>
      </c>
      <c r="AV339" s="251">
        <f t="shared" si="88"/>
        <v>0</v>
      </c>
      <c r="AW339" s="251">
        <f t="shared" si="88"/>
        <v>0</v>
      </c>
      <c r="AX339" s="251">
        <f t="shared" si="88"/>
        <v>0</v>
      </c>
      <c r="AY339" s="251">
        <f t="shared" si="88"/>
        <v>0</v>
      </c>
      <c r="AZ339" s="251">
        <f t="shared" si="88"/>
        <v>0</v>
      </c>
      <c r="BA339" s="251">
        <f t="shared" si="88"/>
        <v>0</v>
      </c>
      <c r="BB339" s="251">
        <f t="shared" si="88"/>
        <v>0</v>
      </c>
      <c r="BC339" s="826"/>
      <c r="BF339" s="671" t="s">
        <v>686</v>
      </c>
    </row>
    <row r="340" spans="1:58" ht="14.25" hidden="1" customHeight="1" x14ac:dyDescent="0.15">
      <c r="E340" s="461">
        <v>15</v>
      </c>
      <c r="F340" s="3" t="str" cm="1">
        <f t="array" aca="1" ref="F340" ca="1">OFFSET(E340,-1,1)</f>
        <v>3</v>
      </c>
      <c r="H340" s="17" t="s">
        <v>560</v>
      </c>
      <c r="T340" s="353" t="b" cm="1">
        <f t="array" ref="T340">T339</f>
        <v>0</v>
      </c>
      <c r="X340" s="990"/>
      <c r="Y340" s="966"/>
      <c r="AB340" s="153" t="s">
        <v>561</v>
      </c>
      <c r="AC340" s="241" t="s">
        <v>687</v>
      </c>
      <c r="AD340" s="12" t="s">
        <v>558</v>
      </c>
      <c r="AE340" s="825"/>
      <c r="AF340" s="825"/>
      <c r="AG340" s="825"/>
      <c r="AH340" s="825"/>
      <c r="AI340" s="188"/>
      <c r="AJ340" s="825"/>
      <c r="AK340" s="825"/>
      <c r="AL340" s="825"/>
      <c r="AM340" s="825"/>
      <c r="AN340" s="825"/>
      <c r="AO340" s="825"/>
      <c r="AP340" s="825"/>
      <c r="AQ340" s="825"/>
      <c r="AR340" s="825"/>
      <c r="AS340" s="188"/>
      <c r="AT340" s="825"/>
      <c r="AU340" s="825"/>
      <c r="AV340" s="825"/>
      <c r="AW340" s="825"/>
      <c r="AX340" s="825"/>
      <c r="AY340" s="825"/>
      <c r="AZ340" s="825"/>
      <c r="BA340" s="825"/>
      <c r="BB340" s="825"/>
      <c r="BC340" s="826"/>
      <c r="BF340" s="671" t="s">
        <v>688</v>
      </c>
    </row>
    <row r="341" spans="1:58" ht="14.25" hidden="1" customHeight="1" x14ac:dyDescent="0.15">
      <c r="E341" s="461">
        <v>15</v>
      </c>
      <c r="F341" s="3" t="str" cm="1">
        <f t="array" aca="1" ref="F341" ca="1">OFFSET(E341,-1,1)</f>
        <v>3</v>
      </c>
      <c r="H341" s="17" t="s">
        <v>564</v>
      </c>
      <c r="T341" s="353" t="b" cm="1">
        <f t="array" ref="T341">T340</f>
        <v>0</v>
      </c>
      <c r="X341" s="990"/>
      <c r="Y341" s="966"/>
      <c r="AB341" s="153" t="s">
        <v>565</v>
      </c>
      <c r="AC341" s="241" t="s">
        <v>689</v>
      </c>
      <c r="AD341" s="12" t="s">
        <v>558</v>
      </c>
      <c r="AE341" s="825"/>
      <c r="AF341" s="825"/>
      <c r="AG341" s="825"/>
      <c r="AH341" s="825"/>
      <c r="AI341" s="188"/>
      <c r="AJ341" s="825"/>
      <c r="AK341" s="825"/>
      <c r="AL341" s="825"/>
      <c r="AM341" s="825"/>
      <c r="AN341" s="825"/>
      <c r="AO341" s="825"/>
      <c r="AP341" s="825"/>
      <c r="AQ341" s="825"/>
      <c r="AR341" s="825"/>
      <c r="AS341" s="188"/>
      <c r="AT341" s="825"/>
      <c r="AU341" s="825"/>
      <c r="AV341" s="825"/>
      <c r="AW341" s="825"/>
      <c r="AX341" s="825"/>
      <c r="AY341" s="825"/>
      <c r="AZ341" s="825"/>
      <c r="BA341" s="825"/>
      <c r="BB341" s="825"/>
      <c r="BC341" s="826"/>
      <c r="BF341" s="671" t="s">
        <v>690</v>
      </c>
    </row>
    <row r="342" spans="1:58" ht="21.75" hidden="1" customHeight="1" x14ac:dyDescent="0.15">
      <c r="E342" s="461">
        <v>22.5</v>
      </c>
      <c r="F342" s="3" t="str" cm="1">
        <f t="array" aca="1" ref="F342" ca="1">OFFSET(E342,-1,1)</f>
        <v>3</v>
      </c>
      <c r="H342" s="17" t="s">
        <v>568</v>
      </c>
      <c r="T342" s="353" t="b" cm="1">
        <f t="array" ref="T342">T341</f>
        <v>0</v>
      </c>
      <c r="X342" s="990"/>
      <c r="Y342" s="966"/>
      <c r="AB342" s="153" t="s">
        <v>569</v>
      </c>
      <c r="AC342" s="241" t="s">
        <v>691</v>
      </c>
      <c r="AD342" s="12" t="s">
        <v>558</v>
      </c>
      <c r="AE342" s="825"/>
      <c r="AF342" s="825"/>
      <c r="AG342" s="825"/>
      <c r="AH342" s="825"/>
      <c r="AI342" s="188"/>
      <c r="AJ342" s="825"/>
      <c r="AK342" s="825"/>
      <c r="AL342" s="825"/>
      <c r="AM342" s="825"/>
      <c r="AN342" s="825"/>
      <c r="AO342" s="825"/>
      <c r="AP342" s="825"/>
      <c r="AQ342" s="825"/>
      <c r="AR342" s="825"/>
      <c r="AS342" s="188"/>
      <c r="AT342" s="825"/>
      <c r="AU342" s="825"/>
      <c r="AV342" s="825"/>
      <c r="AW342" s="825"/>
      <c r="AX342" s="825"/>
      <c r="AY342" s="825"/>
      <c r="AZ342" s="825"/>
      <c r="BA342" s="825"/>
      <c r="BB342" s="825"/>
      <c r="BC342" s="826"/>
      <c r="BF342" s="671" t="s">
        <v>692</v>
      </c>
    </row>
    <row r="343" spans="1:58" ht="14.25" hidden="1" customHeight="1" x14ac:dyDescent="0.15">
      <c r="E343" s="461">
        <v>15</v>
      </c>
      <c r="F343" s="3" t="str" cm="1">
        <f t="array" aca="1" ref="F343" ca="1">OFFSET(E343,-1,1)</f>
        <v>3</v>
      </c>
      <c r="H343" s="17" t="s">
        <v>334</v>
      </c>
      <c r="T343" s="353" t="b" cm="1">
        <f t="array" ref="T343">T342</f>
        <v>0</v>
      </c>
      <c r="X343" s="990"/>
      <c r="Y343" s="966"/>
      <c r="AB343" s="153" t="s">
        <v>291</v>
      </c>
      <c r="AC343" s="234" t="s">
        <v>603</v>
      </c>
      <c r="AD343" s="12" t="s">
        <v>558</v>
      </c>
      <c r="AE343" s="825"/>
      <c r="AF343" s="825"/>
      <c r="AG343" s="825"/>
      <c r="AH343" s="825"/>
      <c r="AI343" s="188"/>
      <c r="AJ343" s="825"/>
      <c r="AK343" s="825"/>
      <c r="AL343" s="825"/>
      <c r="AM343" s="825"/>
      <c r="AN343" s="825"/>
      <c r="AO343" s="825"/>
      <c r="AP343" s="825"/>
      <c r="AQ343" s="825"/>
      <c r="AR343" s="825"/>
      <c r="AS343" s="188"/>
      <c r="AT343" s="825"/>
      <c r="AU343" s="825"/>
      <c r="AV343" s="825"/>
      <c r="AW343" s="825"/>
      <c r="AX343" s="825"/>
      <c r="AY343" s="825"/>
      <c r="AZ343" s="825"/>
      <c r="BA343" s="825"/>
      <c r="BB343" s="825"/>
      <c r="BC343" s="826"/>
      <c r="BF343" s="671" t="s">
        <v>693</v>
      </c>
    </row>
    <row r="344" spans="1:58" ht="14.25" hidden="1" customHeight="1" x14ac:dyDescent="0.15">
      <c r="E344" s="461">
        <v>15</v>
      </c>
      <c r="F344" s="3" t="str" cm="1">
        <f t="array" aca="1" ref="F344" ca="1">OFFSET(E344,-1,1)</f>
        <v>3</v>
      </c>
      <c r="H344" s="17" t="s">
        <v>574</v>
      </c>
      <c r="T344" s="353" t="b" cm="1">
        <f t="array" ref="T344">T343</f>
        <v>0</v>
      </c>
      <c r="X344" s="990"/>
      <c r="Y344" s="966"/>
      <c r="AB344" s="153" t="s">
        <v>575</v>
      </c>
      <c r="AC344" s="236" t="s">
        <v>607</v>
      </c>
      <c r="AD344" s="12" t="s">
        <v>476</v>
      </c>
      <c r="AE344" s="820">
        <f t="shared" ref="AE344:BB344" si="89">IF(AE339=0,0,AE343/AE339*100)</f>
        <v>0</v>
      </c>
      <c r="AF344" s="820">
        <f t="shared" si="89"/>
        <v>0</v>
      </c>
      <c r="AG344" s="820">
        <f t="shared" si="89"/>
        <v>0</v>
      </c>
      <c r="AH344" s="820">
        <f t="shared" si="89"/>
        <v>0</v>
      </c>
      <c r="AI344" s="57">
        <f t="shared" si="89"/>
        <v>0</v>
      </c>
      <c r="AJ344" s="820">
        <f t="shared" si="89"/>
        <v>0</v>
      </c>
      <c r="AK344" s="820">
        <f t="shared" si="89"/>
        <v>0</v>
      </c>
      <c r="AL344" s="820">
        <f t="shared" si="89"/>
        <v>0</v>
      </c>
      <c r="AM344" s="820">
        <f t="shared" si="89"/>
        <v>0</v>
      </c>
      <c r="AN344" s="820">
        <f t="shared" si="89"/>
        <v>0</v>
      </c>
      <c r="AO344" s="820">
        <f t="shared" si="89"/>
        <v>0</v>
      </c>
      <c r="AP344" s="820">
        <f t="shared" si="89"/>
        <v>0</v>
      </c>
      <c r="AQ344" s="820">
        <f t="shared" si="89"/>
        <v>0</v>
      </c>
      <c r="AR344" s="820">
        <f t="shared" si="89"/>
        <v>0</v>
      </c>
      <c r="AS344" s="57">
        <f t="shared" si="89"/>
        <v>0</v>
      </c>
      <c r="AT344" s="820">
        <f t="shared" si="89"/>
        <v>0</v>
      </c>
      <c r="AU344" s="820">
        <f t="shared" si="89"/>
        <v>0</v>
      </c>
      <c r="AV344" s="820">
        <f t="shared" si="89"/>
        <v>0</v>
      </c>
      <c r="AW344" s="820">
        <f t="shared" si="89"/>
        <v>0</v>
      </c>
      <c r="AX344" s="820">
        <f t="shared" si="89"/>
        <v>0</v>
      </c>
      <c r="AY344" s="820">
        <f t="shared" si="89"/>
        <v>0</v>
      </c>
      <c r="AZ344" s="820">
        <f t="shared" si="89"/>
        <v>0</v>
      </c>
      <c r="BA344" s="820">
        <f t="shared" si="89"/>
        <v>0</v>
      </c>
      <c r="BB344" s="820">
        <f t="shared" si="89"/>
        <v>0</v>
      </c>
      <c r="BC344" s="775"/>
      <c r="BF344" s="671" t="s">
        <v>694</v>
      </c>
    </row>
    <row r="345" spans="1:58" ht="14.25" hidden="1" customHeight="1" x14ac:dyDescent="0.15">
      <c r="E345" s="461">
        <v>15</v>
      </c>
      <c r="F345" s="3" t="str" cm="1">
        <f t="array" aca="1" ref="F345" ca="1">OFFSET(E345,-1,1)</f>
        <v>3</v>
      </c>
      <c r="G345" s="17" t="str">
        <f>IF(OwnNeedsInPO="да","ПО","")</f>
        <v/>
      </c>
      <c r="H345" s="17" t="s">
        <v>532</v>
      </c>
      <c r="T345" s="353" t="b" cm="1">
        <f t="array" ref="T345">T344</f>
        <v>0</v>
      </c>
      <c r="X345" s="990"/>
      <c r="Y345" s="966"/>
      <c r="AB345" s="153" t="s">
        <v>454</v>
      </c>
      <c r="AC345" s="240" t="s">
        <v>615</v>
      </c>
      <c r="AD345" s="12" t="s">
        <v>558</v>
      </c>
      <c r="AE345" s="251">
        <f t="shared" ref="AE345:BB345" si="90">AE346+AE347</f>
        <v>0</v>
      </c>
      <c r="AF345" s="251">
        <f t="shared" si="90"/>
        <v>0</v>
      </c>
      <c r="AG345" s="251">
        <f t="shared" si="90"/>
        <v>0</v>
      </c>
      <c r="AH345" s="251">
        <f t="shared" si="90"/>
        <v>0</v>
      </c>
      <c r="AI345" s="251">
        <f t="shared" si="90"/>
        <v>0</v>
      </c>
      <c r="AJ345" s="251">
        <f t="shared" si="90"/>
        <v>0</v>
      </c>
      <c r="AK345" s="251">
        <f t="shared" si="90"/>
        <v>0</v>
      </c>
      <c r="AL345" s="251">
        <f t="shared" si="90"/>
        <v>0</v>
      </c>
      <c r="AM345" s="251">
        <f t="shared" si="90"/>
        <v>0</v>
      </c>
      <c r="AN345" s="251">
        <f t="shared" si="90"/>
        <v>0</v>
      </c>
      <c r="AO345" s="251">
        <f t="shared" si="90"/>
        <v>0</v>
      </c>
      <c r="AP345" s="251">
        <f t="shared" si="90"/>
        <v>0</v>
      </c>
      <c r="AQ345" s="251">
        <f t="shared" si="90"/>
        <v>0</v>
      </c>
      <c r="AR345" s="251">
        <f t="shared" si="90"/>
        <v>0</v>
      </c>
      <c r="AS345" s="251">
        <f t="shared" si="90"/>
        <v>0</v>
      </c>
      <c r="AT345" s="251">
        <f t="shared" si="90"/>
        <v>0</v>
      </c>
      <c r="AU345" s="251">
        <f t="shared" si="90"/>
        <v>0</v>
      </c>
      <c r="AV345" s="251">
        <f t="shared" si="90"/>
        <v>0</v>
      </c>
      <c r="AW345" s="251">
        <f t="shared" si="90"/>
        <v>0</v>
      </c>
      <c r="AX345" s="251">
        <f t="shared" si="90"/>
        <v>0</v>
      </c>
      <c r="AY345" s="251">
        <f t="shared" si="90"/>
        <v>0</v>
      </c>
      <c r="AZ345" s="251">
        <f t="shared" si="90"/>
        <v>0</v>
      </c>
      <c r="BA345" s="251">
        <f t="shared" si="90"/>
        <v>0</v>
      </c>
      <c r="BB345" s="251">
        <f t="shared" si="90"/>
        <v>0</v>
      </c>
      <c r="BC345" s="826"/>
      <c r="BF345" s="671" t="s">
        <v>695</v>
      </c>
    </row>
    <row r="346" spans="1:58" ht="14.25" hidden="1" customHeight="1" x14ac:dyDescent="0.15">
      <c r="E346" s="461">
        <v>15</v>
      </c>
      <c r="F346" s="3" t="str" cm="1">
        <f t="array" aca="1" ref="F346" ca="1">OFFSET(E346,-1,1)</f>
        <v>3</v>
      </c>
      <c r="H346" s="17" t="s">
        <v>696</v>
      </c>
      <c r="T346" s="353" t="b" cm="1">
        <f t="array" ref="T346">T345</f>
        <v>0</v>
      </c>
      <c r="X346" s="990"/>
      <c r="Y346" s="966"/>
      <c r="AB346" s="153" t="s">
        <v>697</v>
      </c>
      <c r="AC346" s="241" t="s">
        <v>619</v>
      </c>
      <c r="AD346" s="12" t="s">
        <v>558</v>
      </c>
      <c r="AE346" s="825"/>
      <c r="AF346" s="825"/>
      <c r="AG346" s="825"/>
      <c r="AH346" s="825"/>
      <c r="AI346" s="188"/>
      <c r="AJ346" s="825"/>
      <c r="AK346" s="825"/>
      <c r="AL346" s="825"/>
      <c r="AM346" s="825"/>
      <c r="AN346" s="825"/>
      <c r="AO346" s="825"/>
      <c r="AP346" s="825"/>
      <c r="AQ346" s="825"/>
      <c r="AR346" s="825"/>
      <c r="AS346" s="188"/>
      <c r="AT346" s="825"/>
      <c r="AU346" s="825"/>
      <c r="AV346" s="825"/>
      <c r="AW346" s="825"/>
      <c r="AX346" s="825"/>
      <c r="AY346" s="825"/>
      <c r="AZ346" s="825"/>
      <c r="BA346" s="825"/>
      <c r="BB346" s="825"/>
      <c r="BC346" s="826"/>
      <c r="BF346" s="671" t="s">
        <v>698</v>
      </c>
    </row>
    <row r="347" spans="1:58" ht="14.25" hidden="1" customHeight="1" x14ac:dyDescent="0.15">
      <c r="E347" s="461">
        <v>15</v>
      </c>
      <c r="F347" s="3" t="str" cm="1">
        <f t="array" aca="1" ref="F347" ca="1">OFFSET(E347,-1,1)</f>
        <v>3</v>
      </c>
      <c r="H347" s="17" t="s">
        <v>699</v>
      </c>
      <c r="T347" s="353" t="b" cm="1">
        <f t="array" ref="T347">T346</f>
        <v>0</v>
      </c>
      <c r="X347" s="990"/>
      <c r="Y347" s="966"/>
      <c r="AB347" s="153" t="s">
        <v>700</v>
      </c>
      <c r="AC347" s="241" t="s">
        <v>623</v>
      </c>
      <c r="AD347" s="12" t="s">
        <v>558</v>
      </c>
      <c r="AE347" s="825"/>
      <c r="AF347" s="825"/>
      <c r="AG347" s="825"/>
      <c r="AH347" s="825"/>
      <c r="AI347" s="188"/>
      <c r="AJ347" s="825"/>
      <c r="AK347" s="825"/>
      <c r="AL347" s="825"/>
      <c r="AM347" s="825"/>
      <c r="AN347" s="825"/>
      <c r="AO347" s="825"/>
      <c r="AP347" s="825"/>
      <c r="AQ347" s="825"/>
      <c r="AR347" s="825"/>
      <c r="AS347" s="188"/>
      <c r="AT347" s="825"/>
      <c r="AU347" s="825"/>
      <c r="AV347" s="825"/>
      <c r="AW347" s="825"/>
      <c r="AX347" s="825"/>
      <c r="AY347" s="825"/>
      <c r="AZ347" s="825"/>
      <c r="BA347" s="825"/>
      <c r="BB347" s="825"/>
      <c r="BC347" s="826"/>
      <c r="BF347" s="671" t="s">
        <v>701</v>
      </c>
    </row>
    <row r="348" spans="1:58" ht="14.25" hidden="1" customHeight="1" x14ac:dyDescent="0.15">
      <c r="E348" s="461">
        <v>15</v>
      </c>
      <c r="F348" s="3" t="str" cm="1">
        <f t="array" aca="1" ref="F348" ca="1">OFFSET(E348,-1,1)</f>
        <v>3</v>
      </c>
      <c r="G348" s="17" t="s">
        <v>629</v>
      </c>
      <c r="H348" s="17" t="s">
        <v>535</v>
      </c>
      <c r="T348" s="353" t="b" cm="1">
        <f t="array" ref="T348">T347</f>
        <v>0</v>
      </c>
      <c r="X348" s="990"/>
      <c r="Y348" s="966"/>
      <c r="AB348" s="153" t="s">
        <v>460</v>
      </c>
      <c r="AC348" s="240" t="s">
        <v>632</v>
      </c>
      <c r="AD348" s="12" t="s">
        <v>558</v>
      </c>
      <c r="AE348" s="251">
        <f t="shared" ref="AE348:BB348" si="91">AE349+AE350</f>
        <v>0</v>
      </c>
      <c r="AF348" s="251">
        <f t="shared" si="91"/>
        <v>0</v>
      </c>
      <c r="AG348" s="251">
        <f t="shared" si="91"/>
        <v>0</v>
      </c>
      <c r="AH348" s="251">
        <f t="shared" si="91"/>
        <v>0</v>
      </c>
      <c r="AI348" s="251">
        <f t="shared" si="91"/>
        <v>0</v>
      </c>
      <c r="AJ348" s="251">
        <f t="shared" si="91"/>
        <v>0</v>
      </c>
      <c r="AK348" s="251">
        <f t="shared" si="91"/>
        <v>0</v>
      </c>
      <c r="AL348" s="251">
        <f t="shared" si="91"/>
        <v>0</v>
      </c>
      <c r="AM348" s="251">
        <f t="shared" si="91"/>
        <v>0</v>
      </c>
      <c r="AN348" s="251">
        <f t="shared" si="91"/>
        <v>0</v>
      </c>
      <c r="AO348" s="251">
        <f t="shared" si="91"/>
        <v>0</v>
      </c>
      <c r="AP348" s="251">
        <f t="shared" si="91"/>
        <v>0</v>
      </c>
      <c r="AQ348" s="251">
        <f t="shared" si="91"/>
        <v>0</v>
      </c>
      <c r="AR348" s="251">
        <f t="shared" si="91"/>
        <v>0</v>
      </c>
      <c r="AS348" s="251">
        <f t="shared" si="91"/>
        <v>0</v>
      </c>
      <c r="AT348" s="251">
        <f t="shared" si="91"/>
        <v>0</v>
      </c>
      <c r="AU348" s="251">
        <f t="shared" si="91"/>
        <v>0</v>
      </c>
      <c r="AV348" s="251">
        <f t="shared" si="91"/>
        <v>0</v>
      </c>
      <c r="AW348" s="251">
        <f t="shared" si="91"/>
        <v>0</v>
      </c>
      <c r="AX348" s="251">
        <f t="shared" si="91"/>
        <v>0</v>
      </c>
      <c r="AY348" s="251">
        <f t="shared" si="91"/>
        <v>0</v>
      </c>
      <c r="AZ348" s="251">
        <f t="shared" si="91"/>
        <v>0</v>
      </c>
      <c r="BA348" s="251">
        <f t="shared" si="91"/>
        <v>0</v>
      </c>
      <c r="BB348" s="251">
        <f t="shared" si="91"/>
        <v>0</v>
      </c>
      <c r="BC348" s="826"/>
      <c r="BF348" s="671" t="s">
        <v>702</v>
      </c>
    </row>
    <row r="349" spans="1:58" ht="14.25" hidden="1" customHeight="1" x14ac:dyDescent="0.15">
      <c r="E349" s="461">
        <v>15</v>
      </c>
      <c r="F349" s="3" t="str" cm="1">
        <f t="array" aca="1" ref="F349" ca="1">OFFSET(E349,-1,1)</f>
        <v>3</v>
      </c>
      <c r="H349" s="17" t="s">
        <v>703</v>
      </c>
      <c r="T349" s="353" t="b" cm="1">
        <f t="array" ref="T349">T348</f>
        <v>0</v>
      </c>
      <c r="X349" s="990"/>
      <c r="Y349" s="966"/>
      <c r="AB349" s="153" t="s">
        <v>704</v>
      </c>
      <c r="AC349" s="241" t="s">
        <v>636</v>
      </c>
      <c r="AD349" s="12" t="s">
        <v>558</v>
      </c>
      <c r="AE349" s="825"/>
      <c r="AF349" s="825"/>
      <c r="AG349" s="825"/>
      <c r="AH349" s="825"/>
      <c r="AI349" s="188"/>
      <c r="AJ349" s="825"/>
      <c r="AK349" s="825"/>
      <c r="AL349" s="825"/>
      <c r="AM349" s="825"/>
      <c r="AN349" s="825"/>
      <c r="AO349" s="825"/>
      <c r="AP349" s="825"/>
      <c r="AQ349" s="825"/>
      <c r="AR349" s="825"/>
      <c r="AS349" s="188"/>
      <c r="AT349" s="825"/>
      <c r="AU349" s="825"/>
      <c r="AV349" s="825"/>
      <c r="AW349" s="825"/>
      <c r="AX349" s="825"/>
      <c r="AY349" s="825"/>
      <c r="AZ349" s="825"/>
      <c r="BA349" s="825"/>
      <c r="BB349" s="825"/>
      <c r="BC349" s="826"/>
      <c r="BF349" s="671" t="s">
        <v>705</v>
      </c>
    </row>
    <row r="350" spans="1:58" ht="14.25" hidden="1" customHeight="1" x14ac:dyDescent="0.15">
      <c r="E350" s="461">
        <v>15</v>
      </c>
      <c r="F350" s="3" t="str" cm="1">
        <f t="array" aca="1" ref="F350" ca="1">OFFSET(E350,-1,1)</f>
        <v>3</v>
      </c>
      <c r="H350" s="17" t="s">
        <v>706</v>
      </c>
      <c r="T350" s="353" t="b" cm="1">
        <f t="array" ref="T350">T349</f>
        <v>0</v>
      </c>
      <c r="X350" s="990"/>
      <c r="Y350" s="966"/>
      <c r="AB350" s="153" t="s">
        <v>707</v>
      </c>
      <c r="AC350" s="241" t="s">
        <v>640</v>
      </c>
      <c r="AD350" s="12" t="s">
        <v>558</v>
      </c>
      <c r="AE350" s="825"/>
      <c r="AF350" s="825"/>
      <c r="AG350" s="825"/>
      <c r="AH350" s="825"/>
      <c r="AI350" s="188"/>
      <c r="AJ350" s="825"/>
      <c r="AK350" s="825"/>
      <c r="AL350" s="825"/>
      <c r="AM350" s="825"/>
      <c r="AN350" s="825"/>
      <c r="AO350" s="825"/>
      <c r="AP350" s="825"/>
      <c r="AQ350" s="825"/>
      <c r="AR350" s="825"/>
      <c r="AS350" s="188"/>
      <c r="AT350" s="825"/>
      <c r="AU350" s="825"/>
      <c r="AV350" s="825"/>
      <c r="AW350" s="825"/>
      <c r="AX350" s="825"/>
      <c r="AY350" s="825"/>
      <c r="AZ350" s="825"/>
      <c r="BA350" s="825"/>
      <c r="BB350" s="825"/>
      <c r="BC350" s="826"/>
      <c r="BF350" s="671" t="s">
        <v>708</v>
      </c>
    </row>
    <row r="351" spans="1:58" ht="21.75" hidden="1" customHeight="1" x14ac:dyDescent="0.15">
      <c r="E351" s="461">
        <v>22.5</v>
      </c>
      <c r="F351" s="3" t="str" cm="1">
        <f t="array" aca="1" ref="F351" ca="1">OFFSET(E351,-1,1)</f>
        <v>3</v>
      </c>
      <c r="H351" s="17" t="s">
        <v>586</v>
      </c>
      <c r="I351" s="315"/>
      <c r="J351" s="315"/>
      <c r="T351" s="353" t="b" cm="1">
        <f t="array" ref="T351">T350</f>
        <v>0</v>
      </c>
      <c r="X351" s="990"/>
      <c r="Y351" s="966"/>
      <c r="AB351" s="153" t="s">
        <v>536</v>
      </c>
      <c r="AC351" s="242" t="s">
        <v>679</v>
      </c>
      <c r="AD351" s="12" t="s">
        <v>558</v>
      </c>
      <c r="AE351" s="825"/>
      <c r="AF351" s="825"/>
      <c r="AG351" s="825"/>
      <c r="AH351" s="825"/>
      <c r="AI351" s="188"/>
      <c r="AJ351" s="825"/>
      <c r="AK351" s="825"/>
      <c r="AL351" s="825"/>
      <c r="AM351" s="825"/>
      <c r="AN351" s="825"/>
      <c r="AO351" s="825"/>
      <c r="AP351" s="825"/>
      <c r="AQ351" s="825"/>
      <c r="AR351" s="825"/>
      <c r="AS351" s="188"/>
      <c r="AT351" s="825"/>
      <c r="AU351" s="825"/>
      <c r="AV351" s="825"/>
      <c r="AW351" s="825"/>
      <c r="AX351" s="825"/>
      <c r="AY351" s="825"/>
      <c r="AZ351" s="825"/>
      <c r="BA351" s="825"/>
      <c r="BB351" s="825"/>
      <c r="BC351" s="826"/>
      <c r="BF351" s="671" t="s">
        <v>709</v>
      </c>
    </row>
    <row r="352" spans="1:58" ht="14.25" hidden="1" customHeight="1" x14ac:dyDescent="0.15">
      <c r="E352" s="461">
        <v>15</v>
      </c>
      <c r="F352" s="253" t="str" cm="1">
        <f t="array" aca="1" ref="F352" ca="1">OFFSET(E352,-1,1)</f>
        <v>3</v>
      </c>
      <c r="T352" s="353" t="b" cm="1">
        <f t="array" ref="T352">T351</f>
        <v>0</v>
      </c>
      <c r="X352" s="990"/>
      <c r="Y352" s="966"/>
      <c r="AB352" s="153" t="s">
        <v>681</v>
      </c>
      <c r="AC352" s="239" t="s">
        <v>682</v>
      </c>
      <c r="AD352" s="12" t="s">
        <v>558</v>
      </c>
      <c r="AE352" s="825"/>
      <c r="AF352" s="825"/>
      <c r="AG352" s="825"/>
      <c r="AH352" s="825"/>
      <c r="AI352" s="188"/>
      <c r="AJ352" s="825"/>
      <c r="AK352" s="825"/>
      <c r="AL352" s="825"/>
      <c r="AM352" s="825"/>
      <c r="AN352" s="825"/>
      <c r="AO352" s="825"/>
      <c r="AP352" s="825"/>
      <c r="AQ352" s="825"/>
      <c r="AR352" s="825"/>
      <c r="AS352" s="188"/>
      <c r="AT352" s="825"/>
      <c r="AU352" s="825"/>
      <c r="AV352" s="825"/>
      <c r="AW352" s="825"/>
      <c r="AX352" s="825"/>
      <c r="AY352" s="825"/>
      <c r="AZ352" s="825"/>
      <c r="BA352" s="825"/>
      <c r="BB352" s="825"/>
      <c r="BC352" s="826"/>
      <c r="BF352" s="671" t="s">
        <v>710</v>
      </c>
    </row>
    <row r="353" spans="1:58" ht="11.25" hidden="1" customHeight="1" x14ac:dyDescent="0.15">
      <c r="A353" s="315"/>
      <c r="B353" s="479"/>
      <c r="C353" s="315"/>
      <c r="D353" s="315"/>
      <c r="E353" s="480" t="s">
        <v>371</v>
      </c>
      <c r="F353" s="765" t="str" cm="1">
        <f t="array" aca="1" ref="F353" ca="1">OFFSET(E353,-1,1)</f>
        <v>3</v>
      </c>
      <c r="G353" s="315"/>
      <c r="H353" s="315"/>
      <c r="I353"/>
      <c r="J353"/>
      <c r="L353" s="315"/>
      <c r="M353" s="315"/>
      <c r="N353" s="315"/>
      <c r="O353" s="315"/>
      <c r="T353" s="353" t="b">
        <v>0</v>
      </c>
      <c r="V353" s="315"/>
      <c r="X353" s="990"/>
      <c r="Y353" s="966"/>
      <c r="Z353" s="315"/>
      <c r="AA353" s="315"/>
      <c r="AB353"/>
      <c r="AC353" s="18"/>
      <c r="AD353" s="18"/>
      <c r="AE353" s="249"/>
      <c r="AF353" s="249"/>
      <c r="AG353" s="249"/>
      <c r="AH353" s="249"/>
      <c r="AI353" s="249"/>
      <c r="AJ353" s="250"/>
      <c r="AK353" s="249"/>
      <c r="AL353" s="249"/>
      <c r="AM353" s="249"/>
      <c r="AN353" s="249"/>
      <c r="AO353" s="249"/>
      <c r="AP353" s="249"/>
      <c r="AQ353" s="249"/>
      <c r="AR353" s="249"/>
      <c r="AS353" s="249"/>
      <c r="AT353" s="249"/>
      <c r="AU353" s="249"/>
      <c r="AV353" s="249"/>
      <c r="AW353" s="249"/>
      <c r="AX353" s="249"/>
      <c r="AY353" s="249"/>
      <c r="AZ353" s="249"/>
      <c r="BA353" s="249"/>
      <c r="BB353" s="249"/>
      <c r="BC353"/>
      <c r="BD353"/>
      <c r="BE353"/>
      <c r="BF353" s="661"/>
    </row>
    <row r="354" spans="1:58" ht="14.25" hidden="1" customHeight="1" x14ac:dyDescent="0.15">
      <c r="E354" s="461">
        <v>15</v>
      </c>
      <c r="F354" s="3" t="str" cm="1">
        <f t="array" aca="1" ref="F354" ca="1">OFFSET(E354,-1,1)</f>
        <v>3</v>
      </c>
      <c r="R354" s="315" t="b" cm="1">
        <f t="array" ref="R354">INDEX('Общие сведения'!$AN$179:$AN$236,MATCH($X300,'Общие сведения'!$Z$179:$Z$236,0))</f>
        <v>1</v>
      </c>
      <c r="S354" s="315" t="b">
        <f>IF(ISERROR(SEARCH("Водоотведение",AB300)),FALSE,TRUE)</f>
        <v>1</v>
      </c>
      <c r="T354" s="353" t="b">
        <f>AND(X300&gt;0,S354,NOT(R354))</f>
        <v>0</v>
      </c>
      <c r="X354" s="990"/>
      <c r="Y354" s="966"/>
      <c r="AB354" s="153" t="s">
        <v>275</v>
      </c>
      <c r="AC354" s="53" t="s">
        <v>711</v>
      </c>
      <c r="AD354" s="110"/>
      <c r="AE354" s="415" t="str" cm="1">
        <f t="array" ref="AE354">INDEX('Общие сведения'!$AH$179:$AH$236,MATCH($X300,'Общие сведения'!$Z$179:$Z$236,0))</f>
        <v>без дифференциации</v>
      </c>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5"/>
      <c r="BC354" s="826"/>
      <c r="BF354" s="671" t="s">
        <v>712</v>
      </c>
    </row>
    <row r="355" spans="1:58" ht="14.25" hidden="1" customHeight="1" x14ac:dyDescent="0.15">
      <c r="E355" s="461">
        <v>15</v>
      </c>
      <c r="F355" s="3" t="str" cm="1">
        <f t="array" aca="1" ref="F355" ca="1">OFFSET(E355,-1,1)</f>
        <v>3</v>
      </c>
      <c r="H355" s="17" t="s">
        <v>335</v>
      </c>
      <c r="T355" s="353" t="b" cm="1">
        <f t="array" ref="T355">T354</f>
        <v>0</v>
      </c>
      <c r="X355" s="990"/>
      <c r="Y355" s="966"/>
      <c r="AB355" s="153" t="s">
        <v>285</v>
      </c>
      <c r="AC355" s="53" t="s">
        <v>713</v>
      </c>
      <c r="AD355" s="12" t="s">
        <v>558</v>
      </c>
      <c r="AE355" s="251">
        <f t="shared" ref="AE355:BB355" si="92">AE356+AE357+AE370</f>
        <v>0</v>
      </c>
      <c r="AF355" s="251">
        <f t="shared" si="92"/>
        <v>0</v>
      </c>
      <c r="AG355" s="251">
        <f t="shared" si="92"/>
        <v>0</v>
      </c>
      <c r="AH355" s="251">
        <f t="shared" si="92"/>
        <v>0</v>
      </c>
      <c r="AI355" s="251">
        <f t="shared" si="92"/>
        <v>0</v>
      </c>
      <c r="AJ355" s="251">
        <f t="shared" si="92"/>
        <v>0</v>
      </c>
      <c r="AK355" s="251">
        <f t="shared" si="92"/>
        <v>0</v>
      </c>
      <c r="AL355" s="251">
        <f t="shared" si="92"/>
        <v>0</v>
      </c>
      <c r="AM355" s="251">
        <f t="shared" si="92"/>
        <v>0</v>
      </c>
      <c r="AN355" s="251">
        <f t="shared" si="92"/>
        <v>0</v>
      </c>
      <c r="AO355" s="251">
        <f t="shared" si="92"/>
        <v>0</v>
      </c>
      <c r="AP355" s="251">
        <f t="shared" si="92"/>
        <v>0</v>
      </c>
      <c r="AQ355" s="251">
        <f t="shared" si="92"/>
        <v>0</v>
      </c>
      <c r="AR355" s="251">
        <f t="shared" si="92"/>
        <v>0</v>
      </c>
      <c r="AS355" s="251">
        <f t="shared" si="92"/>
        <v>0</v>
      </c>
      <c r="AT355" s="251">
        <f t="shared" si="92"/>
        <v>0</v>
      </c>
      <c r="AU355" s="251">
        <f t="shared" si="92"/>
        <v>0</v>
      </c>
      <c r="AV355" s="251">
        <f t="shared" si="92"/>
        <v>0</v>
      </c>
      <c r="AW355" s="251">
        <f t="shared" si="92"/>
        <v>0</v>
      </c>
      <c r="AX355" s="251">
        <f t="shared" si="92"/>
        <v>0</v>
      </c>
      <c r="AY355" s="251">
        <f t="shared" si="92"/>
        <v>0</v>
      </c>
      <c r="AZ355" s="251">
        <f t="shared" si="92"/>
        <v>0</v>
      </c>
      <c r="BA355" s="251">
        <f t="shared" si="92"/>
        <v>0</v>
      </c>
      <c r="BB355" s="251">
        <f t="shared" si="92"/>
        <v>0</v>
      </c>
      <c r="BC355" s="826"/>
      <c r="BF355" s="671" t="s">
        <v>714</v>
      </c>
    </row>
    <row r="356" spans="1:58" ht="14.25" hidden="1" customHeight="1" x14ac:dyDescent="0.15">
      <c r="E356" s="461">
        <v>15</v>
      </c>
      <c r="F356" s="3" t="str" cm="1">
        <f t="array" aca="1" ref="F356" ca="1">OFFSET(E356,-1,1)</f>
        <v>3</v>
      </c>
      <c r="G356" s="17" t="str">
        <f>IF(OwnNeedsInPO="да","ПО","")</f>
        <v/>
      </c>
      <c r="H356" s="17" t="s">
        <v>334</v>
      </c>
      <c r="T356" s="353" t="b" cm="1">
        <f t="array" ref="T356">T355</f>
        <v>0</v>
      </c>
      <c r="X356" s="990"/>
      <c r="Y356" s="966"/>
      <c r="AB356" s="153" t="s">
        <v>291</v>
      </c>
      <c r="AC356" s="53" t="s">
        <v>715</v>
      </c>
      <c r="AD356" s="12" t="s">
        <v>558</v>
      </c>
      <c r="AE356" s="825"/>
      <c r="AF356" s="825"/>
      <c r="AG356" s="825"/>
      <c r="AH356" s="825"/>
      <c r="AI356" s="188"/>
      <c r="AJ356" s="825"/>
      <c r="AK356" s="825"/>
      <c r="AL356" s="825"/>
      <c r="AM356" s="825"/>
      <c r="AN356" s="825"/>
      <c r="AO356" s="825"/>
      <c r="AP356" s="825"/>
      <c r="AQ356" s="825"/>
      <c r="AR356" s="825"/>
      <c r="AS356" s="188"/>
      <c r="AT356" s="825"/>
      <c r="AU356" s="825"/>
      <c r="AV356" s="825"/>
      <c r="AW356" s="825"/>
      <c r="AX356" s="825"/>
      <c r="AY356" s="825"/>
      <c r="AZ356" s="825"/>
      <c r="BA356" s="825"/>
      <c r="BB356" s="825"/>
      <c r="BC356" s="826"/>
      <c r="BF356" s="671" t="s">
        <v>716</v>
      </c>
    </row>
    <row r="357" spans="1:58" ht="14.25" hidden="1" customHeight="1" x14ac:dyDescent="0.15">
      <c r="E357" s="461">
        <v>15</v>
      </c>
      <c r="F357" s="3" t="str" cm="1">
        <f t="array" aca="1" ref="F357" ca="1">OFFSET(E357,-1,1)</f>
        <v>3</v>
      </c>
      <c r="G357" s="17" t="s">
        <v>629</v>
      </c>
      <c r="H357" s="17" t="s">
        <v>532</v>
      </c>
      <c r="T357" s="353" t="b" cm="1">
        <f t="array" ref="T357">T356</f>
        <v>0</v>
      </c>
      <c r="X357" s="990"/>
      <c r="Y357" s="966"/>
      <c r="AB357" s="153" t="s">
        <v>454</v>
      </c>
      <c r="AC357" s="54" t="s">
        <v>717</v>
      </c>
      <c r="AD357" s="12" t="s">
        <v>558</v>
      </c>
      <c r="AE357" s="251">
        <f t="shared" ref="AE357:BB357" si="93">AE358+AE361+AE364+AE367</f>
        <v>0</v>
      </c>
      <c r="AF357" s="251">
        <f t="shared" si="93"/>
        <v>0</v>
      </c>
      <c r="AG357" s="251">
        <f t="shared" si="93"/>
        <v>0</v>
      </c>
      <c r="AH357" s="251">
        <f t="shared" si="93"/>
        <v>0</v>
      </c>
      <c r="AI357" s="251">
        <f t="shared" si="93"/>
        <v>0</v>
      </c>
      <c r="AJ357" s="251">
        <f t="shared" si="93"/>
        <v>0</v>
      </c>
      <c r="AK357" s="251">
        <f t="shared" si="93"/>
        <v>0</v>
      </c>
      <c r="AL357" s="251">
        <f t="shared" si="93"/>
        <v>0</v>
      </c>
      <c r="AM357" s="251">
        <f t="shared" si="93"/>
        <v>0</v>
      </c>
      <c r="AN357" s="251">
        <f t="shared" si="93"/>
        <v>0</v>
      </c>
      <c r="AO357" s="251">
        <f t="shared" si="93"/>
        <v>0</v>
      </c>
      <c r="AP357" s="251">
        <f t="shared" si="93"/>
        <v>0</v>
      </c>
      <c r="AQ357" s="251">
        <f t="shared" si="93"/>
        <v>0</v>
      </c>
      <c r="AR357" s="251">
        <f t="shared" si="93"/>
        <v>0</v>
      </c>
      <c r="AS357" s="251">
        <f t="shared" si="93"/>
        <v>0</v>
      </c>
      <c r="AT357" s="251">
        <f t="shared" si="93"/>
        <v>0</v>
      </c>
      <c r="AU357" s="251">
        <f t="shared" si="93"/>
        <v>0</v>
      </c>
      <c r="AV357" s="251">
        <f t="shared" si="93"/>
        <v>0</v>
      </c>
      <c r="AW357" s="251">
        <f t="shared" si="93"/>
        <v>0</v>
      </c>
      <c r="AX357" s="251">
        <f t="shared" si="93"/>
        <v>0</v>
      </c>
      <c r="AY357" s="251">
        <f t="shared" si="93"/>
        <v>0</v>
      </c>
      <c r="AZ357" s="251">
        <f t="shared" si="93"/>
        <v>0</v>
      </c>
      <c r="BA357" s="251">
        <f t="shared" si="93"/>
        <v>0</v>
      </c>
      <c r="BB357" s="251">
        <f t="shared" si="93"/>
        <v>0</v>
      </c>
      <c r="BC357" s="826"/>
      <c r="BF357" s="671" t="s">
        <v>718</v>
      </c>
    </row>
    <row r="358" spans="1:58" ht="14.25" hidden="1" customHeight="1" x14ac:dyDescent="0.15">
      <c r="E358" s="461">
        <v>15</v>
      </c>
      <c r="F358" s="3" t="str" cm="1">
        <f t="array" aca="1" ref="F358" ca="1">OFFSET(E358,-1,1)</f>
        <v>3</v>
      </c>
      <c r="H358" s="17" t="s">
        <v>696</v>
      </c>
      <c r="T358" s="353" t="b" cm="1">
        <f t="array" ref="T358">T357</f>
        <v>0</v>
      </c>
      <c r="X358" s="990"/>
      <c r="Y358" s="966"/>
      <c r="AB358" s="153" t="s">
        <v>697</v>
      </c>
      <c r="AC358" s="105" t="s">
        <v>648</v>
      </c>
      <c r="AD358" s="12" t="s">
        <v>558</v>
      </c>
      <c r="AE358" s="251">
        <f t="shared" ref="AE358:BB358" si="94">AE359+AE360</f>
        <v>0</v>
      </c>
      <c r="AF358" s="251">
        <f t="shared" si="94"/>
        <v>0</v>
      </c>
      <c r="AG358" s="251">
        <f t="shared" si="94"/>
        <v>0</v>
      </c>
      <c r="AH358" s="251">
        <f t="shared" si="94"/>
        <v>0</v>
      </c>
      <c r="AI358" s="251">
        <f t="shared" si="94"/>
        <v>0</v>
      </c>
      <c r="AJ358" s="251">
        <f t="shared" si="94"/>
        <v>0</v>
      </c>
      <c r="AK358" s="251">
        <f t="shared" si="94"/>
        <v>0</v>
      </c>
      <c r="AL358" s="251">
        <f t="shared" si="94"/>
        <v>0</v>
      </c>
      <c r="AM358" s="251">
        <f t="shared" si="94"/>
        <v>0</v>
      </c>
      <c r="AN358" s="251">
        <f t="shared" si="94"/>
        <v>0</v>
      </c>
      <c r="AO358" s="251">
        <f t="shared" si="94"/>
        <v>0</v>
      </c>
      <c r="AP358" s="251">
        <f t="shared" si="94"/>
        <v>0</v>
      </c>
      <c r="AQ358" s="251">
        <f t="shared" si="94"/>
        <v>0</v>
      </c>
      <c r="AR358" s="251">
        <f t="shared" si="94"/>
        <v>0</v>
      </c>
      <c r="AS358" s="251">
        <f t="shared" si="94"/>
        <v>0</v>
      </c>
      <c r="AT358" s="251">
        <f t="shared" si="94"/>
        <v>0</v>
      </c>
      <c r="AU358" s="251">
        <f t="shared" si="94"/>
        <v>0</v>
      </c>
      <c r="AV358" s="251">
        <f t="shared" si="94"/>
        <v>0</v>
      </c>
      <c r="AW358" s="251">
        <f t="shared" si="94"/>
        <v>0</v>
      </c>
      <c r="AX358" s="251">
        <f t="shared" si="94"/>
        <v>0</v>
      </c>
      <c r="AY358" s="251">
        <f t="shared" si="94"/>
        <v>0</v>
      </c>
      <c r="AZ358" s="251">
        <f t="shared" si="94"/>
        <v>0</v>
      </c>
      <c r="BA358" s="251">
        <f t="shared" si="94"/>
        <v>0</v>
      </c>
      <c r="BB358" s="251">
        <f t="shared" si="94"/>
        <v>0</v>
      </c>
      <c r="BC358" s="826"/>
      <c r="BF358" s="671" t="s">
        <v>719</v>
      </c>
    </row>
    <row r="359" spans="1:58" ht="14.25" hidden="1" customHeight="1" x14ac:dyDescent="0.15">
      <c r="E359" s="461">
        <v>15</v>
      </c>
      <c r="F359" s="3" t="str" cm="1">
        <f t="array" aca="1" ref="F359" ca="1">OFFSET(E359,-1,1)</f>
        <v>3</v>
      </c>
      <c r="H359" s="17" t="s">
        <v>720</v>
      </c>
      <c r="T359" s="353" t="b" cm="1">
        <f t="array" ref="T359">T358</f>
        <v>0</v>
      </c>
      <c r="X359" s="990"/>
      <c r="Y359" s="966"/>
      <c r="AB359" s="153" t="s">
        <v>721</v>
      </c>
      <c r="AC359" s="243" t="s">
        <v>636</v>
      </c>
      <c r="AD359" s="12" t="s">
        <v>558</v>
      </c>
      <c r="AE359" s="825"/>
      <c r="AF359" s="825"/>
      <c r="AG359" s="825"/>
      <c r="AH359" s="825"/>
      <c r="AI359" s="188"/>
      <c r="AJ359" s="825"/>
      <c r="AK359" s="825"/>
      <c r="AL359" s="825"/>
      <c r="AM359" s="825"/>
      <c r="AN359" s="825"/>
      <c r="AO359" s="825"/>
      <c r="AP359" s="825"/>
      <c r="AQ359" s="825"/>
      <c r="AR359" s="825"/>
      <c r="AS359" s="188"/>
      <c r="AT359" s="825"/>
      <c r="AU359" s="825"/>
      <c r="AV359" s="825"/>
      <c r="AW359" s="825"/>
      <c r="AX359" s="825"/>
      <c r="AY359" s="825"/>
      <c r="AZ359" s="825"/>
      <c r="BA359" s="825"/>
      <c r="BB359" s="825"/>
      <c r="BC359" s="826"/>
      <c r="BF359" s="671" t="s">
        <v>722</v>
      </c>
    </row>
    <row r="360" spans="1:58" ht="14.25" hidden="1" customHeight="1" x14ac:dyDescent="0.15">
      <c r="E360" s="461">
        <v>15</v>
      </c>
      <c r="F360" s="3" t="str" cm="1">
        <f t="array" aca="1" ref="F360" ca="1">OFFSET(E360,-1,1)</f>
        <v>3</v>
      </c>
      <c r="H360" s="17" t="s">
        <v>723</v>
      </c>
      <c r="T360" s="353" t="b" cm="1">
        <f t="array" ref="T360">T359</f>
        <v>0</v>
      </c>
      <c r="X360" s="990"/>
      <c r="Y360" s="966"/>
      <c r="AB360" s="153" t="s">
        <v>724</v>
      </c>
      <c r="AC360" s="243" t="s">
        <v>640</v>
      </c>
      <c r="AD360" s="12" t="s">
        <v>558</v>
      </c>
      <c r="AE360" s="825"/>
      <c r="AF360" s="825"/>
      <c r="AG360" s="825"/>
      <c r="AH360" s="825"/>
      <c r="AI360" s="188"/>
      <c r="AJ360" s="825"/>
      <c r="AK360" s="825"/>
      <c r="AL360" s="825"/>
      <c r="AM360" s="825"/>
      <c r="AN360" s="825"/>
      <c r="AO360" s="825"/>
      <c r="AP360" s="825"/>
      <c r="AQ360" s="825"/>
      <c r="AR360" s="825"/>
      <c r="AS360" s="188"/>
      <c r="AT360" s="825"/>
      <c r="AU360" s="825"/>
      <c r="AV360" s="825"/>
      <c r="AW360" s="825"/>
      <c r="AX360" s="825"/>
      <c r="AY360" s="825"/>
      <c r="AZ360" s="825"/>
      <c r="BA360" s="825"/>
      <c r="BB360" s="825"/>
      <c r="BC360" s="826"/>
      <c r="BF360" s="671" t="s">
        <v>725</v>
      </c>
    </row>
    <row r="361" spans="1:58" ht="14.25" hidden="1" customHeight="1" x14ac:dyDescent="0.15">
      <c r="E361" s="461">
        <v>15</v>
      </c>
      <c r="F361" s="3" t="str" cm="1">
        <f t="array" aca="1" ref="F361" ca="1">OFFSET(E361,-1,1)</f>
        <v>3</v>
      </c>
      <c r="G361" s="17" t="s">
        <v>656</v>
      </c>
      <c r="H361" s="17" t="s">
        <v>699</v>
      </c>
      <c r="T361" s="353" t="b" cm="1">
        <f t="array" ref="T361">T360</f>
        <v>0</v>
      </c>
      <c r="X361" s="990"/>
      <c r="Y361" s="966"/>
      <c r="AB361" s="153" t="s">
        <v>700</v>
      </c>
      <c r="AC361" s="105" t="s">
        <v>659</v>
      </c>
      <c r="AD361" s="12" t="s">
        <v>558</v>
      </c>
      <c r="AE361" s="251">
        <f t="shared" ref="AE361:BB361" si="95">AE362+AE363</f>
        <v>0</v>
      </c>
      <c r="AF361" s="251">
        <f t="shared" si="95"/>
        <v>0</v>
      </c>
      <c r="AG361" s="251">
        <f t="shared" si="95"/>
        <v>0</v>
      </c>
      <c r="AH361" s="251">
        <f t="shared" si="95"/>
        <v>0</v>
      </c>
      <c r="AI361" s="251">
        <f t="shared" si="95"/>
        <v>0</v>
      </c>
      <c r="AJ361" s="251">
        <f t="shared" si="95"/>
        <v>0</v>
      </c>
      <c r="AK361" s="251">
        <f t="shared" si="95"/>
        <v>0</v>
      </c>
      <c r="AL361" s="251">
        <f t="shared" si="95"/>
        <v>0</v>
      </c>
      <c r="AM361" s="251">
        <f t="shared" si="95"/>
        <v>0</v>
      </c>
      <c r="AN361" s="251">
        <f t="shared" si="95"/>
        <v>0</v>
      </c>
      <c r="AO361" s="251">
        <f t="shared" si="95"/>
        <v>0</v>
      </c>
      <c r="AP361" s="251">
        <f t="shared" si="95"/>
        <v>0</v>
      </c>
      <c r="AQ361" s="251">
        <f t="shared" si="95"/>
        <v>0</v>
      </c>
      <c r="AR361" s="251">
        <f t="shared" si="95"/>
        <v>0</v>
      </c>
      <c r="AS361" s="251">
        <f t="shared" si="95"/>
        <v>0</v>
      </c>
      <c r="AT361" s="251">
        <f t="shared" si="95"/>
        <v>0</v>
      </c>
      <c r="AU361" s="251">
        <f t="shared" si="95"/>
        <v>0</v>
      </c>
      <c r="AV361" s="251">
        <f t="shared" si="95"/>
        <v>0</v>
      </c>
      <c r="AW361" s="251">
        <f t="shared" si="95"/>
        <v>0</v>
      </c>
      <c r="AX361" s="251">
        <f t="shared" si="95"/>
        <v>0</v>
      </c>
      <c r="AY361" s="251">
        <f t="shared" si="95"/>
        <v>0</v>
      </c>
      <c r="AZ361" s="251">
        <f t="shared" si="95"/>
        <v>0</v>
      </c>
      <c r="BA361" s="251">
        <f t="shared" si="95"/>
        <v>0</v>
      </c>
      <c r="BB361" s="251">
        <f t="shared" si="95"/>
        <v>0</v>
      </c>
      <c r="BC361" s="826"/>
      <c r="BF361" s="671" t="s">
        <v>726</v>
      </c>
    </row>
    <row r="362" spans="1:58" ht="14.25" hidden="1" customHeight="1" x14ac:dyDescent="0.15">
      <c r="E362" s="461">
        <v>15</v>
      </c>
      <c r="F362" s="3" t="str" cm="1">
        <f t="array" aca="1" ref="F362" ca="1">OFFSET(E362,-1,1)</f>
        <v>3</v>
      </c>
      <c r="H362" s="17" t="s">
        <v>727</v>
      </c>
      <c r="T362" s="353" t="b" cm="1">
        <f t="array" ref="T362">T361</f>
        <v>0</v>
      </c>
      <c r="X362" s="990"/>
      <c r="Y362" s="966"/>
      <c r="AB362" s="153" t="s">
        <v>728</v>
      </c>
      <c r="AC362" s="243" t="s">
        <v>636</v>
      </c>
      <c r="AD362" s="12" t="s">
        <v>558</v>
      </c>
      <c r="AE362" s="825"/>
      <c r="AF362" s="825"/>
      <c r="AG362" s="825"/>
      <c r="AH362" s="825"/>
      <c r="AI362" s="188"/>
      <c r="AJ362" s="825"/>
      <c r="AK362" s="825"/>
      <c r="AL362" s="825"/>
      <c r="AM362" s="825"/>
      <c r="AN362" s="825"/>
      <c r="AO362" s="825"/>
      <c r="AP362" s="825"/>
      <c r="AQ362" s="825"/>
      <c r="AR362" s="825"/>
      <c r="AS362" s="188"/>
      <c r="AT362" s="825"/>
      <c r="AU362" s="825"/>
      <c r="AV362" s="825"/>
      <c r="AW362" s="825"/>
      <c r="AX362" s="825"/>
      <c r="AY362" s="825"/>
      <c r="AZ362" s="825"/>
      <c r="BA362" s="825"/>
      <c r="BB362" s="825"/>
      <c r="BC362" s="826"/>
      <c r="BF362" s="671" t="s">
        <v>729</v>
      </c>
    </row>
    <row r="363" spans="1:58" ht="14.25" hidden="1" customHeight="1" x14ac:dyDescent="0.15">
      <c r="E363" s="461">
        <v>15</v>
      </c>
      <c r="F363" s="3" t="str" cm="1">
        <f t="array" aca="1" ref="F363" ca="1">OFFSET(E363,-1,1)</f>
        <v>3</v>
      </c>
      <c r="H363" s="17" t="s">
        <v>730</v>
      </c>
      <c r="T363" s="353" t="b" cm="1">
        <f t="array" ref="T363">T362</f>
        <v>0</v>
      </c>
      <c r="X363" s="990"/>
      <c r="Y363" s="966"/>
      <c r="AB363" s="153" t="s">
        <v>731</v>
      </c>
      <c r="AC363" s="243" t="s">
        <v>640</v>
      </c>
      <c r="AD363" s="12" t="s">
        <v>558</v>
      </c>
      <c r="AE363" s="825"/>
      <c r="AF363" s="825"/>
      <c r="AG363" s="825"/>
      <c r="AH363" s="825"/>
      <c r="AI363" s="188"/>
      <c r="AJ363" s="825"/>
      <c r="AK363" s="825"/>
      <c r="AL363" s="825"/>
      <c r="AM363" s="825"/>
      <c r="AN363" s="825"/>
      <c r="AO363" s="825"/>
      <c r="AP363" s="825"/>
      <c r="AQ363" s="825"/>
      <c r="AR363" s="825"/>
      <c r="AS363" s="188"/>
      <c r="AT363" s="825"/>
      <c r="AU363" s="825"/>
      <c r="AV363" s="825"/>
      <c r="AW363" s="825"/>
      <c r="AX363" s="825"/>
      <c r="AY363" s="825"/>
      <c r="AZ363" s="825"/>
      <c r="BA363" s="825"/>
      <c r="BB363" s="825"/>
      <c r="BC363" s="826"/>
      <c r="BF363" s="671" t="s">
        <v>732</v>
      </c>
    </row>
    <row r="364" spans="1:58" ht="14.25" hidden="1" customHeight="1" x14ac:dyDescent="0.15">
      <c r="E364" s="461">
        <v>15</v>
      </c>
      <c r="F364" s="3" t="str" cm="1">
        <f t="array" aca="1" ref="F364" ca="1">OFFSET(E364,-1,1)</f>
        <v>3</v>
      </c>
      <c r="H364" s="17" t="s">
        <v>733</v>
      </c>
      <c r="T364" s="353" t="b" cm="1">
        <f t="array" ref="T364">T363</f>
        <v>0</v>
      </c>
      <c r="X364" s="990"/>
      <c r="Y364" s="966"/>
      <c r="AB364" s="153" t="s">
        <v>734</v>
      </c>
      <c r="AC364" s="105" t="s">
        <v>669</v>
      </c>
      <c r="AD364" s="12" t="s">
        <v>558</v>
      </c>
      <c r="AE364" s="251">
        <f t="shared" ref="AE364:BB364" si="96">AE365+AE366</f>
        <v>0</v>
      </c>
      <c r="AF364" s="251">
        <f t="shared" si="96"/>
        <v>0</v>
      </c>
      <c r="AG364" s="251">
        <f t="shared" si="96"/>
        <v>0</v>
      </c>
      <c r="AH364" s="251">
        <f t="shared" si="96"/>
        <v>0</v>
      </c>
      <c r="AI364" s="251">
        <f t="shared" si="96"/>
        <v>0</v>
      </c>
      <c r="AJ364" s="251">
        <f t="shared" si="96"/>
        <v>0</v>
      </c>
      <c r="AK364" s="251">
        <f t="shared" si="96"/>
        <v>0</v>
      </c>
      <c r="AL364" s="251">
        <f t="shared" si="96"/>
        <v>0</v>
      </c>
      <c r="AM364" s="251">
        <f t="shared" si="96"/>
        <v>0</v>
      </c>
      <c r="AN364" s="251">
        <f t="shared" si="96"/>
        <v>0</v>
      </c>
      <c r="AO364" s="251">
        <f t="shared" si="96"/>
        <v>0</v>
      </c>
      <c r="AP364" s="251">
        <f t="shared" si="96"/>
        <v>0</v>
      </c>
      <c r="AQ364" s="251">
        <f t="shared" si="96"/>
        <v>0</v>
      </c>
      <c r="AR364" s="251">
        <f t="shared" si="96"/>
        <v>0</v>
      </c>
      <c r="AS364" s="251">
        <f t="shared" si="96"/>
        <v>0</v>
      </c>
      <c r="AT364" s="251">
        <f t="shared" si="96"/>
        <v>0</v>
      </c>
      <c r="AU364" s="251">
        <f t="shared" si="96"/>
        <v>0</v>
      </c>
      <c r="AV364" s="251">
        <f t="shared" si="96"/>
        <v>0</v>
      </c>
      <c r="AW364" s="251">
        <f t="shared" si="96"/>
        <v>0</v>
      </c>
      <c r="AX364" s="251">
        <f t="shared" si="96"/>
        <v>0</v>
      </c>
      <c r="AY364" s="251">
        <f t="shared" si="96"/>
        <v>0</v>
      </c>
      <c r="AZ364" s="251">
        <f t="shared" si="96"/>
        <v>0</v>
      </c>
      <c r="BA364" s="251">
        <f t="shared" si="96"/>
        <v>0</v>
      </c>
      <c r="BB364" s="251">
        <f t="shared" si="96"/>
        <v>0</v>
      </c>
      <c r="BC364" s="826"/>
      <c r="BF364" s="671" t="s">
        <v>735</v>
      </c>
    </row>
    <row r="365" spans="1:58" ht="14.25" hidden="1" customHeight="1" x14ac:dyDescent="0.15">
      <c r="E365" s="461">
        <v>15</v>
      </c>
      <c r="F365" s="3" t="str" cm="1">
        <f t="array" aca="1" ref="F365" ca="1">OFFSET(E365,-1,1)</f>
        <v>3</v>
      </c>
      <c r="H365" s="17" t="s">
        <v>736</v>
      </c>
      <c r="T365" s="353" t="b" cm="1">
        <f t="array" ref="T365">T364</f>
        <v>0</v>
      </c>
      <c r="X365" s="990"/>
      <c r="Y365" s="966"/>
      <c r="AB365" s="153" t="s">
        <v>737</v>
      </c>
      <c r="AC365" s="243" t="s">
        <v>636</v>
      </c>
      <c r="AD365" s="12" t="s">
        <v>558</v>
      </c>
      <c r="AE365" s="825"/>
      <c r="AF365" s="825"/>
      <c r="AG365" s="825"/>
      <c r="AH365" s="825"/>
      <c r="AI365" s="188"/>
      <c r="AJ365" s="825"/>
      <c r="AK365" s="825"/>
      <c r="AL365" s="825"/>
      <c r="AM365" s="825"/>
      <c r="AN365" s="825"/>
      <c r="AO365" s="825"/>
      <c r="AP365" s="825"/>
      <c r="AQ365" s="825"/>
      <c r="AR365" s="825"/>
      <c r="AS365" s="188"/>
      <c r="AT365" s="825"/>
      <c r="AU365" s="825"/>
      <c r="AV365" s="825"/>
      <c r="AW365" s="825"/>
      <c r="AX365" s="825"/>
      <c r="AY365" s="825"/>
      <c r="AZ365" s="825"/>
      <c r="BA365" s="825"/>
      <c r="BB365" s="825"/>
      <c r="BC365" s="826"/>
      <c r="BF365" s="671" t="s">
        <v>738</v>
      </c>
    </row>
    <row r="366" spans="1:58" ht="14.25" hidden="1" customHeight="1" x14ac:dyDescent="0.15">
      <c r="E366" s="461">
        <v>15</v>
      </c>
      <c r="F366" s="3" t="str" cm="1">
        <f t="array" aca="1" ref="F366" ca="1">OFFSET(E366,-1,1)</f>
        <v>3</v>
      </c>
      <c r="H366" s="17" t="s">
        <v>739</v>
      </c>
      <c r="T366" s="353" t="b" cm="1">
        <f t="array" ref="T366">T365</f>
        <v>0</v>
      </c>
      <c r="X366" s="990"/>
      <c r="Y366" s="966"/>
      <c r="AB366" s="153" t="s">
        <v>740</v>
      </c>
      <c r="AC366" s="243" t="s">
        <v>640</v>
      </c>
      <c r="AD366" s="12" t="s">
        <v>558</v>
      </c>
      <c r="AE366" s="825"/>
      <c r="AF366" s="825"/>
      <c r="AG366" s="825"/>
      <c r="AH366" s="825"/>
      <c r="AI366" s="188"/>
      <c r="AJ366" s="825"/>
      <c r="AK366" s="825"/>
      <c r="AL366" s="825"/>
      <c r="AM366" s="825"/>
      <c r="AN366" s="825"/>
      <c r="AO366" s="825"/>
      <c r="AP366" s="825"/>
      <c r="AQ366" s="825"/>
      <c r="AR366" s="825"/>
      <c r="AS366" s="188"/>
      <c r="AT366" s="825"/>
      <c r="AU366" s="825"/>
      <c r="AV366" s="825"/>
      <c r="AW366" s="825"/>
      <c r="AX366" s="825"/>
      <c r="AY366" s="825"/>
      <c r="AZ366" s="825"/>
      <c r="BA366" s="825"/>
      <c r="BB366" s="825"/>
      <c r="BC366" s="826"/>
      <c r="BF366" s="671" t="s">
        <v>741</v>
      </c>
    </row>
    <row r="367" spans="1:58" ht="14.25" hidden="1" customHeight="1" x14ac:dyDescent="0.15">
      <c r="E367" s="461">
        <v>15</v>
      </c>
      <c r="F367" s="3" t="str" cm="1">
        <f t="array" aca="1" ref="F367" ca="1">OFFSET(E367,-1,1)</f>
        <v>3</v>
      </c>
      <c r="H367" s="17" t="s">
        <v>742</v>
      </c>
      <c r="T367" s="353" t="b" cm="1">
        <f t="array" ref="T367">T366</f>
        <v>0</v>
      </c>
      <c r="X367" s="990"/>
      <c r="Y367" s="966"/>
      <c r="AB367" s="153" t="s">
        <v>743</v>
      </c>
      <c r="AC367" s="105" t="s">
        <v>744</v>
      </c>
      <c r="AD367" s="12" t="s">
        <v>558</v>
      </c>
      <c r="AE367" s="251">
        <f t="shared" ref="AE367:BB367" si="97">AE368+AE369</f>
        <v>0</v>
      </c>
      <c r="AF367" s="251">
        <f t="shared" si="97"/>
        <v>0</v>
      </c>
      <c r="AG367" s="251">
        <f t="shared" si="97"/>
        <v>0</v>
      </c>
      <c r="AH367" s="251">
        <f t="shared" si="97"/>
        <v>0</v>
      </c>
      <c r="AI367" s="251">
        <f t="shared" si="97"/>
        <v>0</v>
      </c>
      <c r="AJ367" s="251">
        <f t="shared" si="97"/>
        <v>0</v>
      </c>
      <c r="AK367" s="251">
        <f t="shared" si="97"/>
        <v>0</v>
      </c>
      <c r="AL367" s="251">
        <f t="shared" si="97"/>
        <v>0</v>
      </c>
      <c r="AM367" s="251">
        <f t="shared" si="97"/>
        <v>0</v>
      </c>
      <c r="AN367" s="251">
        <f t="shared" si="97"/>
        <v>0</v>
      </c>
      <c r="AO367" s="251">
        <f t="shared" si="97"/>
        <v>0</v>
      </c>
      <c r="AP367" s="251">
        <f t="shared" si="97"/>
        <v>0</v>
      </c>
      <c r="AQ367" s="251">
        <f t="shared" si="97"/>
        <v>0</v>
      </c>
      <c r="AR367" s="251">
        <f t="shared" si="97"/>
        <v>0</v>
      </c>
      <c r="AS367" s="251">
        <f t="shared" si="97"/>
        <v>0</v>
      </c>
      <c r="AT367" s="251">
        <f t="shared" si="97"/>
        <v>0</v>
      </c>
      <c r="AU367" s="251">
        <f t="shared" si="97"/>
        <v>0</v>
      </c>
      <c r="AV367" s="251">
        <f t="shared" si="97"/>
        <v>0</v>
      </c>
      <c r="AW367" s="251">
        <f t="shared" si="97"/>
        <v>0</v>
      </c>
      <c r="AX367" s="251">
        <f t="shared" si="97"/>
        <v>0</v>
      </c>
      <c r="AY367" s="251">
        <f t="shared" si="97"/>
        <v>0</v>
      </c>
      <c r="AZ367" s="251">
        <f t="shared" si="97"/>
        <v>0</v>
      </c>
      <c r="BA367" s="251">
        <f t="shared" si="97"/>
        <v>0</v>
      </c>
      <c r="BB367" s="251">
        <f t="shared" si="97"/>
        <v>0</v>
      </c>
      <c r="BC367" s="826"/>
      <c r="BF367" s="671" t="s">
        <v>745</v>
      </c>
    </row>
    <row r="368" spans="1:58" ht="14.25" hidden="1" customHeight="1" x14ac:dyDescent="0.15">
      <c r="E368" s="461">
        <v>15</v>
      </c>
      <c r="F368" s="3" t="str" cm="1">
        <f t="array" aca="1" ref="F368" ca="1">OFFSET(E368,-1,1)</f>
        <v>3</v>
      </c>
      <c r="H368" s="17" t="s">
        <v>746</v>
      </c>
      <c r="T368" s="353" t="b" cm="1">
        <f t="array" ref="T368">T367</f>
        <v>0</v>
      </c>
      <c r="X368" s="990"/>
      <c r="Y368" s="966"/>
      <c r="AB368" s="153" t="s">
        <v>747</v>
      </c>
      <c r="AC368" s="237" t="s">
        <v>636</v>
      </c>
      <c r="AD368" s="12" t="s">
        <v>558</v>
      </c>
      <c r="AE368" s="825"/>
      <c r="AF368" s="825"/>
      <c r="AG368" s="825"/>
      <c r="AH368" s="825"/>
      <c r="AI368" s="188"/>
      <c r="AJ368" s="825"/>
      <c r="AK368" s="825"/>
      <c r="AL368" s="825"/>
      <c r="AM368" s="825"/>
      <c r="AN368" s="825"/>
      <c r="AO368" s="825"/>
      <c r="AP368" s="825"/>
      <c r="AQ368" s="825"/>
      <c r="AR368" s="825"/>
      <c r="AS368" s="188"/>
      <c r="AT368" s="825"/>
      <c r="AU368" s="825"/>
      <c r="AV368" s="825"/>
      <c r="AW368" s="825"/>
      <c r="AX368" s="825"/>
      <c r="AY368" s="825"/>
      <c r="AZ368" s="825"/>
      <c r="BA368" s="825"/>
      <c r="BB368" s="825"/>
      <c r="BC368" s="826"/>
      <c r="BF368" s="671" t="s">
        <v>748</v>
      </c>
    </row>
    <row r="369" spans="1:58" ht="14.25" hidden="1" customHeight="1" x14ac:dyDescent="0.15">
      <c r="E369" s="461">
        <v>15</v>
      </c>
      <c r="F369" s="3" t="str" cm="1">
        <f t="array" aca="1" ref="F369" ca="1">OFFSET(E369,-1,1)</f>
        <v>3</v>
      </c>
      <c r="H369" s="17" t="s">
        <v>749</v>
      </c>
      <c r="T369" s="353" t="b" cm="1">
        <f t="array" ref="T369">T368</f>
        <v>0</v>
      </c>
      <c r="X369" s="990"/>
      <c r="Y369" s="966"/>
      <c r="AB369" s="153" t="s">
        <v>750</v>
      </c>
      <c r="AC369" s="237" t="s">
        <v>640</v>
      </c>
      <c r="AD369" s="12" t="s">
        <v>558</v>
      </c>
      <c r="AE369" s="825"/>
      <c r="AF369" s="825"/>
      <c r="AG369" s="825"/>
      <c r="AH369" s="825"/>
      <c r="AI369" s="188"/>
      <c r="AJ369" s="825"/>
      <c r="AK369" s="825"/>
      <c r="AL369" s="825"/>
      <c r="AM369" s="825"/>
      <c r="AN369" s="825"/>
      <c r="AO369" s="825"/>
      <c r="AP369" s="825"/>
      <c r="AQ369" s="825"/>
      <c r="AR369" s="825"/>
      <c r="AS369" s="188"/>
      <c r="AT369" s="825"/>
      <c r="AU369" s="825"/>
      <c r="AV369" s="825"/>
      <c r="AW369" s="825"/>
      <c r="AX369" s="825"/>
      <c r="AY369" s="825"/>
      <c r="AZ369" s="825"/>
      <c r="BA369" s="825"/>
      <c r="BB369" s="825"/>
      <c r="BC369" s="826"/>
      <c r="BF369" s="671" t="s">
        <v>751</v>
      </c>
    </row>
    <row r="370" spans="1:58" ht="21.75" hidden="1" customHeight="1" x14ac:dyDescent="0.15">
      <c r="E370" s="461">
        <v>22.5</v>
      </c>
      <c r="F370" s="3" t="str" cm="1">
        <f t="array" aca="1" ref="F370" ca="1">OFFSET(E370,-1,1)</f>
        <v>3</v>
      </c>
      <c r="H370" s="17" t="s">
        <v>752</v>
      </c>
      <c r="T370" s="353" t="b" cm="1">
        <f t="array" ref="T370">T369</f>
        <v>0</v>
      </c>
      <c r="X370" s="990"/>
      <c r="Y370" s="966"/>
      <c r="AB370" s="153" t="s">
        <v>753</v>
      </c>
      <c r="AC370" s="244" t="s">
        <v>599</v>
      </c>
      <c r="AD370" s="12" t="s">
        <v>558</v>
      </c>
      <c r="AE370" s="825"/>
      <c r="AF370" s="825"/>
      <c r="AG370" s="825"/>
      <c r="AH370" s="825"/>
      <c r="AI370" s="188"/>
      <c r="AJ370" s="825"/>
      <c r="AK370" s="825"/>
      <c r="AL370" s="825"/>
      <c r="AM370" s="825"/>
      <c r="AN370" s="825"/>
      <c r="AO370" s="825"/>
      <c r="AP370" s="825"/>
      <c r="AQ370" s="825"/>
      <c r="AR370" s="825"/>
      <c r="AS370" s="188"/>
      <c r="AT370" s="825"/>
      <c r="AU370" s="825"/>
      <c r="AV370" s="825"/>
      <c r="AW370" s="825"/>
      <c r="AX370" s="825"/>
      <c r="AY370" s="825"/>
      <c r="AZ370" s="825"/>
      <c r="BA370" s="825"/>
      <c r="BB370" s="825"/>
      <c r="BC370" s="826"/>
      <c r="BF370" s="671" t="s">
        <v>754</v>
      </c>
    </row>
    <row r="371" spans="1:58" ht="14.25" hidden="1" customHeight="1" x14ac:dyDescent="0.15">
      <c r="E371" s="461">
        <v>15</v>
      </c>
      <c r="F371" s="3" t="str" cm="1">
        <f t="array" aca="1" ref="F371" ca="1">OFFSET(E371,-1,1)</f>
        <v>3</v>
      </c>
      <c r="H371" s="17" t="s">
        <v>535</v>
      </c>
      <c r="T371" s="353" t="b" cm="1">
        <f t="array" ref="T371">T370</f>
        <v>0</v>
      </c>
      <c r="X371" s="990"/>
      <c r="Y371" s="966"/>
      <c r="AB371" s="153" t="s">
        <v>460</v>
      </c>
      <c r="AC371" s="53" t="s">
        <v>755</v>
      </c>
      <c r="AD371" s="12" t="s">
        <v>558</v>
      </c>
      <c r="AE371" s="825"/>
      <c r="AF371" s="825"/>
      <c r="AG371" s="825"/>
      <c r="AH371" s="825"/>
      <c r="AI371" s="188"/>
      <c r="AJ371" s="825"/>
      <c r="AK371" s="825"/>
      <c r="AL371" s="825"/>
      <c r="AM371" s="825"/>
      <c r="AN371" s="825"/>
      <c r="AO371" s="825"/>
      <c r="AP371" s="825"/>
      <c r="AQ371" s="825"/>
      <c r="AR371" s="825"/>
      <c r="AS371" s="188"/>
      <c r="AT371" s="825"/>
      <c r="AU371" s="825"/>
      <c r="AV371" s="825"/>
      <c r="AW371" s="825"/>
      <c r="AX371" s="825"/>
      <c r="AY371" s="825"/>
      <c r="AZ371" s="825"/>
      <c r="BA371" s="825"/>
      <c r="BB371" s="825"/>
      <c r="BC371" s="826"/>
      <c r="BF371" s="671" t="s">
        <v>756</v>
      </c>
    </row>
    <row r="372" spans="1:58" ht="14.25" hidden="1" customHeight="1" x14ac:dyDescent="0.15">
      <c r="E372" s="461">
        <v>15</v>
      </c>
      <c r="F372" s="3" t="str" cm="1">
        <f t="array" aca="1" ref="F372" ca="1">OFFSET(E372,-1,1)</f>
        <v>3</v>
      </c>
      <c r="H372" s="17" t="s">
        <v>586</v>
      </c>
      <c r="T372" s="353" t="b" cm="1">
        <f t="array" ref="T372">T371</f>
        <v>0</v>
      </c>
      <c r="X372" s="990"/>
      <c r="Y372" s="966"/>
      <c r="AB372" s="153" t="s">
        <v>536</v>
      </c>
      <c r="AC372" s="53" t="s">
        <v>757</v>
      </c>
      <c r="AD372" s="12" t="s">
        <v>558</v>
      </c>
      <c r="AE372" s="825"/>
      <c r="AF372" s="825"/>
      <c r="AG372" s="825"/>
      <c r="AH372" s="825"/>
      <c r="AI372" s="188"/>
      <c r="AJ372" s="825"/>
      <c r="AK372" s="825"/>
      <c r="AL372" s="825"/>
      <c r="AM372" s="825"/>
      <c r="AN372" s="825"/>
      <c r="AO372" s="825"/>
      <c r="AP372" s="825"/>
      <c r="AQ372" s="825"/>
      <c r="AR372" s="825"/>
      <c r="AS372" s="188"/>
      <c r="AT372" s="825"/>
      <c r="AU372" s="825"/>
      <c r="AV372" s="825"/>
      <c r="AW372" s="825"/>
      <c r="AX372" s="825"/>
      <c r="AY372" s="825"/>
      <c r="AZ372" s="825"/>
      <c r="BA372" s="825"/>
      <c r="BB372" s="825"/>
      <c r="BC372" s="826"/>
      <c r="BF372" s="671" t="s">
        <v>758</v>
      </c>
    </row>
    <row r="373" spans="1:58" ht="14.25" hidden="1" customHeight="1" x14ac:dyDescent="0.15">
      <c r="E373" s="461">
        <v>15</v>
      </c>
      <c r="F373" s="3" t="str" cm="1">
        <f t="array" aca="1" ref="F373" ca="1">OFFSET(E373,-1,1)</f>
        <v>3</v>
      </c>
      <c r="H373" s="17" t="s">
        <v>601</v>
      </c>
      <c r="T373" s="353" t="b" cm="1">
        <f t="array" ref="T373">T372</f>
        <v>0</v>
      </c>
      <c r="X373" s="990"/>
      <c r="Y373" s="966"/>
      <c r="AB373" s="153" t="s">
        <v>602</v>
      </c>
      <c r="AC373" s="53" t="s">
        <v>759</v>
      </c>
      <c r="AD373" s="12" t="s">
        <v>558</v>
      </c>
      <c r="AE373" s="825"/>
      <c r="AF373" s="825"/>
      <c r="AG373" s="825"/>
      <c r="AH373" s="825"/>
      <c r="AI373" s="188"/>
      <c r="AJ373" s="825"/>
      <c r="AK373" s="825"/>
      <c r="AL373" s="825"/>
      <c r="AM373" s="825"/>
      <c r="AN373" s="825"/>
      <c r="AO373" s="825"/>
      <c r="AP373" s="825"/>
      <c r="AQ373" s="825"/>
      <c r="AR373" s="825"/>
      <c r="AS373" s="188"/>
      <c r="AT373" s="825"/>
      <c r="AU373" s="825"/>
      <c r="AV373" s="825"/>
      <c r="AW373" s="825"/>
      <c r="AX373" s="825"/>
      <c r="AY373" s="825"/>
      <c r="AZ373" s="825"/>
      <c r="BA373" s="825"/>
      <c r="BB373" s="825"/>
      <c r="BC373" s="826"/>
      <c r="BF373" s="671" t="s">
        <v>760</v>
      </c>
    </row>
    <row r="374" spans="1:58" ht="14.25" hidden="1" customHeight="1" x14ac:dyDescent="0.15">
      <c r="E374" s="461">
        <v>15</v>
      </c>
      <c r="F374" s="3" t="str" cm="1">
        <f t="array" aca="1" ref="F374" ca="1">OFFSET(E374,-1,1)</f>
        <v>3</v>
      </c>
      <c r="H374" s="17" t="s">
        <v>609</v>
      </c>
      <c r="T374" s="353" t="b" cm="1">
        <f t="array" ref="T374">T373</f>
        <v>0</v>
      </c>
      <c r="X374" s="990"/>
      <c r="Y374" s="966"/>
      <c r="AB374" s="153" t="s">
        <v>610</v>
      </c>
      <c r="AC374" s="54" t="s">
        <v>761</v>
      </c>
      <c r="AD374" s="12" t="s">
        <v>558</v>
      </c>
      <c r="AE374" s="251">
        <f t="shared" ref="AE374:BB374" si="98">AE375+AE376</f>
        <v>0</v>
      </c>
      <c r="AF374" s="251">
        <f t="shared" si="98"/>
        <v>0</v>
      </c>
      <c r="AG374" s="251">
        <f t="shared" si="98"/>
        <v>0</v>
      </c>
      <c r="AH374" s="251">
        <f t="shared" si="98"/>
        <v>0</v>
      </c>
      <c r="AI374" s="251">
        <f t="shared" si="98"/>
        <v>0</v>
      </c>
      <c r="AJ374" s="251">
        <f t="shared" si="98"/>
        <v>0</v>
      </c>
      <c r="AK374" s="251">
        <f t="shared" si="98"/>
        <v>0</v>
      </c>
      <c r="AL374" s="251">
        <f t="shared" si="98"/>
        <v>0</v>
      </c>
      <c r="AM374" s="251">
        <f t="shared" si="98"/>
        <v>0</v>
      </c>
      <c r="AN374" s="251">
        <f t="shared" si="98"/>
        <v>0</v>
      </c>
      <c r="AO374" s="251">
        <f t="shared" si="98"/>
        <v>0</v>
      </c>
      <c r="AP374" s="251">
        <f t="shared" si="98"/>
        <v>0</v>
      </c>
      <c r="AQ374" s="251">
        <f t="shared" si="98"/>
        <v>0</v>
      </c>
      <c r="AR374" s="251">
        <f t="shared" si="98"/>
        <v>0</v>
      </c>
      <c r="AS374" s="251">
        <f t="shared" si="98"/>
        <v>0</v>
      </c>
      <c r="AT374" s="251">
        <f t="shared" si="98"/>
        <v>0</v>
      </c>
      <c r="AU374" s="251">
        <f t="shared" si="98"/>
        <v>0</v>
      </c>
      <c r="AV374" s="251">
        <f t="shared" si="98"/>
        <v>0</v>
      </c>
      <c r="AW374" s="251">
        <f t="shared" si="98"/>
        <v>0</v>
      </c>
      <c r="AX374" s="251">
        <f t="shared" si="98"/>
        <v>0</v>
      </c>
      <c r="AY374" s="251">
        <f t="shared" si="98"/>
        <v>0</v>
      </c>
      <c r="AZ374" s="251">
        <f t="shared" si="98"/>
        <v>0</v>
      </c>
      <c r="BA374" s="251">
        <f t="shared" si="98"/>
        <v>0</v>
      </c>
      <c r="BB374" s="251">
        <f t="shared" si="98"/>
        <v>0</v>
      </c>
      <c r="BC374" s="826"/>
      <c r="BF374" s="671" t="s">
        <v>762</v>
      </c>
    </row>
    <row r="375" spans="1:58" ht="14.25" hidden="1" customHeight="1" x14ac:dyDescent="0.15">
      <c r="E375" s="461">
        <v>15</v>
      </c>
      <c r="F375" s="3" t="str" cm="1">
        <f t="array" aca="1" ref="F375" ca="1">OFFSET(E375,-1,1)</f>
        <v>3</v>
      </c>
      <c r="H375" s="17" t="s">
        <v>613</v>
      </c>
      <c r="T375" s="353" t="b" cm="1">
        <f t="array" ref="T375">T374</f>
        <v>0</v>
      </c>
      <c r="X375" s="990"/>
      <c r="Y375" s="966"/>
      <c r="AB375" s="153" t="s">
        <v>614</v>
      </c>
      <c r="AC375" s="105" t="s">
        <v>763</v>
      </c>
      <c r="AD375" s="12" t="s">
        <v>558</v>
      </c>
      <c r="AE375" s="825"/>
      <c r="AF375" s="825"/>
      <c r="AG375" s="825"/>
      <c r="AH375" s="825"/>
      <c r="AI375" s="188"/>
      <c r="AJ375" s="825"/>
      <c r="AK375" s="825"/>
      <c r="AL375" s="825"/>
      <c r="AM375" s="825"/>
      <c r="AN375" s="825"/>
      <c r="AO375" s="825"/>
      <c r="AP375" s="825"/>
      <c r="AQ375" s="825"/>
      <c r="AR375" s="825"/>
      <c r="AS375" s="188"/>
      <c r="AT375" s="825"/>
      <c r="AU375" s="825"/>
      <c r="AV375" s="825"/>
      <c r="AW375" s="825"/>
      <c r="AX375" s="825"/>
      <c r="AY375" s="825"/>
      <c r="AZ375" s="825"/>
      <c r="BA375" s="825"/>
      <c r="BB375" s="825"/>
      <c r="BC375" s="826"/>
      <c r="BF375" s="671" t="s">
        <v>764</v>
      </c>
    </row>
    <row r="376" spans="1:58" ht="14.25" hidden="1" customHeight="1" x14ac:dyDescent="0.15">
      <c r="E376" s="461">
        <v>15</v>
      </c>
      <c r="F376" s="3" t="str" cm="1">
        <f t="array" aca="1" ref="F376" ca="1">OFFSET(E376,-1,1)</f>
        <v>3</v>
      </c>
      <c r="H376" s="17" t="s">
        <v>630</v>
      </c>
      <c r="T376" s="353" t="b" cm="1">
        <f t="array" ref="T376">T375</f>
        <v>0</v>
      </c>
      <c r="X376" s="990"/>
      <c r="Y376" s="966"/>
      <c r="AB376" s="153" t="s">
        <v>631</v>
      </c>
      <c r="AC376" s="105" t="s">
        <v>765</v>
      </c>
      <c r="AD376" s="12" t="s">
        <v>558</v>
      </c>
      <c r="AE376" s="825"/>
      <c r="AF376" s="825"/>
      <c r="AG376" s="825"/>
      <c r="AH376" s="825"/>
      <c r="AI376" s="188"/>
      <c r="AJ376" s="825"/>
      <c r="AK376" s="825"/>
      <c r="AL376" s="825"/>
      <c r="AM376" s="825"/>
      <c r="AN376" s="825"/>
      <c r="AO376" s="825"/>
      <c r="AP376" s="825"/>
      <c r="AQ376" s="825"/>
      <c r="AR376" s="825"/>
      <c r="AS376" s="188"/>
      <c r="AT376" s="825"/>
      <c r="AU376" s="825"/>
      <c r="AV376" s="825"/>
      <c r="AW376" s="825"/>
      <c r="AX376" s="825"/>
      <c r="AY376" s="825"/>
      <c r="AZ376" s="825"/>
      <c r="BA376" s="825"/>
      <c r="BB376" s="825"/>
      <c r="BC376" s="826"/>
      <c r="BF376" s="671" t="s">
        <v>766</v>
      </c>
    </row>
    <row r="377" spans="1:58" ht="21.75" hidden="1" customHeight="1" x14ac:dyDescent="0.15">
      <c r="E377" s="461">
        <v>22.5</v>
      </c>
      <c r="F377" s="3" t="str" cm="1">
        <f t="array" aca="1" ref="F377" ca="1">OFFSET(E377,-1,1)</f>
        <v>3</v>
      </c>
      <c r="H377" s="17" t="s">
        <v>767</v>
      </c>
      <c r="T377" s="353" t="b" cm="1">
        <f t="array" ref="T377">T376</f>
        <v>0</v>
      </c>
      <c r="X377" s="990"/>
      <c r="Y377" s="966"/>
      <c r="AB377" s="153" t="s">
        <v>768</v>
      </c>
      <c r="AC377" s="245" t="s">
        <v>679</v>
      </c>
      <c r="AD377" s="12" t="s">
        <v>558</v>
      </c>
      <c r="AE377" s="825"/>
      <c r="AF377" s="825"/>
      <c r="AG377" s="825"/>
      <c r="AH377" s="825"/>
      <c r="AI377" s="188"/>
      <c r="AJ377" s="825"/>
      <c r="AK377" s="825"/>
      <c r="AL377" s="825"/>
      <c r="AM377" s="825"/>
      <c r="AN377" s="825"/>
      <c r="AO377" s="825"/>
      <c r="AP377" s="825"/>
      <c r="AQ377" s="825"/>
      <c r="AR377" s="825"/>
      <c r="AS377" s="188"/>
      <c r="AT377" s="825"/>
      <c r="AU377" s="825"/>
      <c r="AV377" s="825"/>
      <c r="AW377" s="825"/>
      <c r="AX377" s="825"/>
      <c r="AY377" s="825"/>
      <c r="AZ377" s="825"/>
      <c r="BA377" s="825"/>
      <c r="BB377" s="825"/>
      <c r="BC377" s="826"/>
      <c r="BF377" s="671" t="s">
        <v>769</v>
      </c>
    </row>
    <row r="378" spans="1:58" ht="14.25" hidden="1" customHeight="1" x14ac:dyDescent="0.15">
      <c r="E378" s="461">
        <v>15</v>
      </c>
      <c r="F378" s="3" t="str" cm="1">
        <f t="array" aca="1" ref="F378" ca="1">OFFSET(E378,-1,1)</f>
        <v>3</v>
      </c>
      <c r="H378" s="17" t="s">
        <v>770</v>
      </c>
      <c r="T378" s="353" t="b" cm="1">
        <f t="array" ref="T378">T377</f>
        <v>0</v>
      </c>
      <c r="X378" s="990"/>
      <c r="Y378" s="966"/>
      <c r="AB378" s="153" t="s">
        <v>771</v>
      </c>
      <c r="AC378" s="53" t="s">
        <v>772</v>
      </c>
      <c r="AD378" s="12" t="s">
        <v>558</v>
      </c>
      <c r="AE378" s="825"/>
      <c r="AF378" s="825"/>
      <c r="AG378" s="825"/>
      <c r="AH378" s="825"/>
      <c r="AI378" s="188"/>
      <c r="AJ378" s="825"/>
      <c r="AK378" s="825"/>
      <c r="AL378" s="825"/>
      <c r="AM378" s="825"/>
      <c r="AN378" s="825"/>
      <c r="AO378" s="825"/>
      <c r="AP378" s="825"/>
      <c r="AQ378" s="825"/>
      <c r="AR378" s="825"/>
      <c r="AS378" s="188"/>
      <c r="AT378" s="825"/>
      <c r="AU378" s="825"/>
      <c r="AV378" s="825"/>
      <c r="AW378" s="825"/>
      <c r="AX378" s="825"/>
      <c r="AY378" s="825"/>
      <c r="AZ378" s="825"/>
      <c r="BA378" s="825"/>
      <c r="BB378" s="825"/>
      <c r="BC378" s="826"/>
      <c r="BF378" s="671" t="s">
        <v>773</v>
      </c>
    </row>
    <row r="379" spans="1:58" ht="11.25" hidden="1" customHeight="1" x14ac:dyDescent="0.15">
      <c r="A379" s="315"/>
      <c r="B379" s="479"/>
      <c r="C379" s="315"/>
      <c r="D379" s="315"/>
      <c r="E379" s="480" t="s">
        <v>371</v>
      </c>
      <c r="F379" s="765" t="str" cm="1">
        <f t="array" aca="1" ref="F379" ca="1">OFFSET(E379,-1,1)</f>
        <v>3</v>
      </c>
      <c r="G379" s="315"/>
      <c r="H379" s="315"/>
      <c r="I379" s="315"/>
      <c r="J379" s="315"/>
      <c r="L379" s="315"/>
      <c r="M379" s="315"/>
      <c r="N379" s="315"/>
      <c r="O379" s="315"/>
      <c r="T379" s="353" t="b">
        <v>0</v>
      </c>
      <c r="V379" s="315"/>
      <c r="X379" s="990"/>
      <c r="Y379" s="966"/>
      <c r="Z379" s="315"/>
      <c r="AA379" s="315"/>
      <c r="AB379"/>
      <c r="AC379" s="18"/>
      <c r="AD379" s="18"/>
      <c r="AE379" s="249"/>
      <c r="AF379" s="249"/>
      <c r="AG379" s="249"/>
      <c r="AH379" s="249"/>
      <c r="AI379" s="249"/>
      <c r="AJ379" s="250"/>
      <c r="AK379" s="249"/>
      <c r="AL379" s="249"/>
      <c r="AM379" s="249"/>
      <c r="AN379" s="249"/>
      <c r="AO379" s="249"/>
      <c r="AP379" s="249"/>
      <c r="AQ379" s="249"/>
      <c r="AR379" s="249"/>
      <c r="AS379" s="249"/>
      <c r="AT379" s="249"/>
      <c r="AU379" s="249"/>
      <c r="AV379" s="249"/>
      <c r="AW379" s="249"/>
      <c r="AX379" s="249"/>
      <c r="AY379" s="249"/>
      <c r="AZ379" s="249"/>
      <c r="BA379" s="249"/>
      <c r="BB379" s="249"/>
      <c r="BC379"/>
      <c r="BD379"/>
      <c r="BE379"/>
      <c r="BF379" s="661"/>
    </row>
    <row r="380" spans="1:58" ht="33.200000000000003" customHeight="1" x14ac:dyDescent="0.15">
      <c r="E380" s="461">
        <v>15</v>
      </c>
      <c r="F380" s="3" t="str" cm="1">
        <f t="array" aca="1" ref="F380" ca="1">OFFSET(E380,-1,1)</f>
        <v>3</v>
      </c>
      <c r="R380" s="315" t="b" cm="1">
        <f t="array" ref="R380">INDEX('Общие сведения'!$AN$179:$AN$236,MATCH($X300,'Общие сведения'!$Z$179:$Z$236,0))</f>
        <v>1</v>
      </c>
      <c r="S380" s="315" t="b">
        <f>IF(ISERROR(SEARCH("Водоотведение",AB300)),FALSE,TRUE)</f>
        <v>1</v>
      </c>
      <c r="T380" s="353" t="b">
        <f>AND(X300&gt;0,S380,R380)</f>
        <v>1</v>
      </c>
      <c r="X380" s="990"/>
      <c r="Y380" s="966"/>
      <c r="AB380" s="153" t="s">
        <v>275</v>
      </c>
      <c r="AC380" s="6" t="s">
        <v>711</v>
      </c>
      <c r="AD380" s="110"/>
      <c r="AE380" s="415" t="str" cm="1">
        <f t="array" ref="AE380">INDEX('Общие сведения'!$AH$179:$AH$236,MATCH($X300,'Общие сведения'!$Z$179:$Z$236,0))</f>
        <v>без дифференциации</v>
      </c>
      <c r="AF380" s="264"/>
      <c r="AG380" s="264"/>
      <c r="AH380" s="264"/>
      <c r="AI380" s="264"/>
      <c r="AJ380" s="264"/>
      <c r="AK380" s="264"/>
      <c r="AL380" s="264"/>
      <c r="AM380" s="264"/>
      <c r="AN380" s="264"/>
      <c r="AO380" s="264"/>
      <c r="AP380" s="264"/>
      <c r="AQ380" s="264"/>
      <c r="AR380" s="264"/>
      <c r="AS380" s="264"/>
      <c r="AT380" s="264"/>
      <c r="AU380" s="264"/>
      <c r="AV380" s="264"/>
      <c r="AW380" s="264"/>
      <c r="AX380" s="264"/>
      <c r="AY380" s="264"/>
      <c r="AZ380" s="264"/>
      <c r="BA380" s="264"/>
      <c r="BB380" s="265"/>
      <c r="BC380" s="113" t="s">
        <v>800</v>
      </c>
      <c r="BF380" s="671" t="s">
        <v>774</v>
      </c>
    </row>
    <row r="381" spans="1:58" ht="22.9" customHeight="1" x14ac:dyDescent="0.15">
      <c r="E381" s="461">
        <v>15</v>
      </c>
      <c r="F381" s="3" t="str" cm="1">
        <f t="array" aca="1" ref="F381" ca="1">OFFSET(E381,-1,1)</f>
        <v>3</v>
      </c>
      <c r="H381" s="17" t="s">
        <v>335</v>
      </c>
      <c r="T381" s="353" t="b" cm="1">
        <f t="array" ref="T381">T380</f>
        <v>1</v>
      </c>
      <c r="X381" s="990"/>
      <c r="Y381" s="966"/>
      <c r="AB381" s="153" t="s">
        <v>285</v>
      </c>
      <c r="AC381" s="246" t="s">
        <v>775</v>
      </c>
      <c r="AD381" s="12" t="s">
        <v>558</v>
      </c>
      <c r="AE381" s="251">
        <f t="shared" ref="AE381:BB381" si="99">AE382+AE384+AE383</f>
        <v>51631.311000000002</v>
      </c>
      <c r="AF381" s="251">
        <f t="shared" si="99"/>
        <v>48925.161524000003</v>
      </c>
      <c r="AG381" s="251">
        <f t="shared" si="99"/>
        <v>48925.161524000003</v>
      </c>
      <c r="AH381" s="251">
        <f t="shared" si="99"/>
        <v>51011.618589999998</v>
      </c>
      <c r="AI381" s="251">
        <f t="shared" si="99"/>
        <v>52692.608</v>
      </c>
      <c r="AJ381" s="251">
        <f t="shared" si="99"/>
        <v>0</v>
      </c>
      <c r="AK381" s="251">
        <f t="shared" si="99"/>
        <v>0</v>
      </c>
      <c r="AL381" s="251">
        <f t="shared" si="99"/>
        <v>0</v>
      </c>
      <c r="AM381" s="251">
        <f t="shared" si="99"/>
        <v>0</v>
      </c>
      <c r="AN381" s="251">
        <f t="shared" si="99"/>
        <v>0</v>
      </c>
      <c r="AO381" s="251">
        <f t="shared" si="99"/>
        <v>0</v>
      </c>
      <c r="AP381" s="251">
        <f t="shared" si="99"/>
        <v>0</v>
      </c>
      <c r="AQ381" s="251">
        <f t="shared" si="99"/>
        <v>0</v>
      </c>
      <c r="AR381" s="251">
        <f t="shared" si="99"/>
        <v>0</v>
      </c>
      <c r="AS381" s="251">
        <f t="shared" si="99"/>
        <v>46750.756560000002</v>
      </c>
      <c r="AT381" s="251">
        <f t="shared" si="99"/>
        <v>0</v>
      </c>
      <c r="AU381" s="251">
        <f t="shared" si="99"/>
        <v>0</v>
      </c>
      <c r="AV381" s="251">
        <f t="shared" si="99"/>
        <v>0</v>
      </c>
      <c r="AW381" s="251">
        <f t="shared" si="99"/>
        <v>0</v>
      </c>
      <c r="AX381" s="251">
        <f t="shared" si="99"/>
        <v>0</v>
      </c>
      <c r="AY381" s="251">
        <f t="shared" si="99"/>
        <v>0</v>
      </c>
      <c r="AZ381" s="251">
        <f t="shared" si="99"/>
        <v>0</v>
      </c>
      <c r="BA381" s="251">
        <f t="shared" si="99"/>
        <v>0</v>
      </c>
      <c r="BB381" s="251">
        <f t="shared" si="99"/>
        <v>0</v>
      </c>
      <c r="BC381" s="113"/>
      <c r="BF381" s="671" t="s">
        <v>776</v>
      </c>
    </row>
    <row r="382" spans="1:58" ht="14.25" customHeight="1" x14ac:dyDescent="0.15">
      <c r="E382" s="461">
        <v>15</v>
      </c>
      <c r="F382" s="3" t="str" cm="1">
        <f t="array" aca="1" ref="F382" ca="1">OFFSET(E382,-1,1)</f>
        <v>3</v>
      </c>
      <c r="H382" s="17" t="s">
        <v>560</v>
      </c>
      <c r="T382" s="353" t="b" cm="1">
        <f t="array" ref="T382">T381</f>
        <v>1</v>
      </c>
      <c r="X382" s="990"/>
      <c r="Y382" s="966"/>
      <c r="AB382" s="153" t="s">
        <v>561</v>
      </c>
      <c r="AC382" s="127" t="s">
        <v>777</v>
      </c>
      <c r="AD382" s="12" t="s">
        <v>558</v>
      </c>
      <c r="AE382" s="191"/>
      <c r="AF382" s="191"/>
      <c r="AG382" s="191"/>
      <c r="AH382" s="191"/>
      <c r="AI382" s="191"/>
      <c r="AJ382" s="836"/>
      <c r="AK382" s="836"/>
      <c r="AL382" s="191"/>
      <c r="AM382" s="191"/>
      <c r="AN382" s="191"/>
      <c r="AO382" s="191"/>
      <c r="AP382" s="191"/>
      <c r="AQ382" s="191"/>
      <c r="AR382" s="191"/>
      <c r="AS382" s="191"/>
      <c r="AT382" s="836"/>
      <c r="AU382" s="836"/>
      <c r="AV382" s="191"/>
      <c r="AW382" s="191"/>
      <c r="AX382" s="191"/>
      <c r="AY382" s="191"/>
      <c r="AZ382" s="191"/>
      <c r="BA382" s="191"/>
      <c r="BB382" s="191"/>
      <c r="BC382" s="113"/>
      <c r="BF382" s="671" t="s">
        <v>778</v>
      </c>
    </row>
    <row r="383" spans="1:58" ht="56.45" customHeight="1" x14ac:dyDescent="0.15">
      <c r="E383" s="461">
        <v>15</v>
      </c>
      <c r="F383" s="3" t="str" cm="1">
        <f t="array" aca="1" ref="F383" ca="1">OFFSET(E383,-1,1)</f>
        <v>3</v>
      </c>
      <c r="H383" s="17" t="s">
        <v>564</v>
      </c>
      <c r="T383" s="353" t="b" cm="1">
        <f t="array" ref="T383">T382</f>
        <v>1</v>
      </c>
      <c r="X383" s="990"/>
      <c r="Y383" s="966"/>
      <c r="AB383" s="153" t="s">
        <v>565</v>
      </c>
      <c r="AC383" s="127" t="s">
        <v>779</v>
      </c>
      <c r="AD383" s="12" t="s">
        <v>558</v>
      </c>
      <c r="AE383" s="191">
        <v>51631.311000000002</v>
      </c>
      <c r="AF383" s="191">
        <v>48925.161524000003</v>
      </c>
      <c r="AG383" s="191">
        <v>48925.161524000003</v>
      </c>
      <c r="AH383" s="191">
        <v>51011.618589999998</v>
      </c>
      <c r="AI383" s="191">
        <v>52692.608</v>
      </c>
      <c r="AJ383" s="836"/>
      <c r="AK383" s="836"/>
      <c r="AL383" s="191"/>
      <c r="AM383" s="191"/>
      <c r="AN383" s="191"/>
      <c r="AO383" s="191"/>
      <c r="AP383" s="191"/>
      <c r="AQ383" s="191"/>
      <c r="AR383" s="191"/>
      <c r="AS383" s="191">
        <v>46750.756560000002</v>
      </c>
      <c r="AT383" s="836"/>
      <c r="AU383" s="836"/>
      <c r="AV383" s="191"/>
      <c r="AW383" s="191"/>
      <c r="AX383" s="191"/>
      <c r="AY383" s="191"/>
      <c r="AZ383" s="191"/>
      <c r="BA383" s="191"/>
      <c r="BB383" s="191"/>
      <c r="BC383" s="113" t="s">
        <v>799</v>
      </c>
      <c r="BF383" s="671" t="s">
        <v>780</v>
      </c>
    </row>
    <row r="384" spans="1:58" ht="21.75" customHeight="1" x14ac:dyDescent="0.15">
      <c r="E384" s="461">
        <v>22.5</v>
      </c>
      <c r="F384" s="3" t="str" cm="1">
        <f t="array" aca="1" ref="F384" ca="1">OFFSET(E384,-1,1)</f>
        <v>3</v>
      </c>
      <c r="H384" s="17" t="s">
        <v>568</v>
      </c>
      <c r="T384" s="353" t="b" cm="1">
        <f t="array" ref="T384">T383</f>
        <v>1</v>
      </c>
      <c r="X384" s="990"/>
      <c r="Y384" s="966"/>
      <c r="AB384" s="153" t="s">
        <v>569</v>
      </c>
      <c r="AC384" s="127" t="s">
        <v>679</v>
      </c>
      <c r="AD384" s="12" t="s">
        <v>558</v>
      </c>
      <c r="AE384" s="191"/>
      <c r="AF384" s="191"/>
      <c r="AG384" s="191"/>
      <c r="AH384" s="191"/>
      <c r="AI384" s="191"/>
      <c r="AJ384" s="836"/>
      <c r="AK384" s="836"/>
      <c r="AL384" s="191"/>
      <c r="AM384" s="191"/>
      <c r="AN384" s="191"/>
      <c r="AO384" s="191"/>
      <c r="AP384" s="191"/>
      <c r="AQ384" s="191"/>
      <c r="AR384" s="191"/>
      <c r="AS384" s="191"/>
      <c r="AT384" s="836"/>
      <c r="AU384" s="836"/>
      <c r="AV384" s="191"/>
      <c r="AW384" s="191"/>
      <c r="AX384" s="191"/>
      <c r="AY384" s="191"/>
      <c r="AZ384" s="191"/>
      <c r="BA384" s="191"/>
      <c r="BB384" s="191"/>
      <c r="BC384" s="113"/>
      <c r="BF384" s="671" t="s">
        <v>781</v>
      </c>
    </row>
    <row r="385" spans="2:58" ht="21.75" customHeight="1" x14ac:dyDescent="0.15">
      <c r="E385" s="461">
        <v>22.5</v>
      </c>
      <c r="F385" s="3" t="str" cm="1">
        <f t="array" aca="1" ref="F385" ca="1">OFFSET(E385,-1,1)</f>
        <v>3</v>
      </c>
      <c r="G385" s="17" t="s">
        <v>629</v>
      </c>
      <c r="H385" s="17" t="s">
        <v>334</v>
      </c>
      <c r="T385" s="353" t="b" cm="1">
        <f t="array" ref="T385">T384</f>
        <v>1</v>
      </c>
      <c r="X385" s="990"/>
      <c r="Y385" s="966"/>
      <c r="AB385" s="153" t="s">
        <v>291</v>
      </c>
      <c r="AC385" s="246" t="s">
        <v>782</v>
      </c>
      <c r="AD385" s="12" t="s">
        <v>558</v>
      </c>
      <c r="AE385" s="251">
        <f t="shared" ref="AE385:BB385" si="100">AE386+AE387+AE390</f>
        <v>51631.311000000002</v>
      </c>
      <c r="AF385" s="251">
        <f t="shared" si="100"/>
        <v>48925.161524000003</v>
      </c>
      <c r="AG385" s="251">
        <f t="shared" si="100"/>
        <v>48925.161524000003</v>
      </c>
      <c r="AH385" s="251">
        <f t="shared" si="100"/>
        <v>51011.618589999998</v>
      </c>
      <c r="AI385" s="251">
        <f t="shared" si="100"/>
        <v>52692.608</v>
      </c>
      <c r="AJ385" s="251">
        <f t="shared" si="100"/>
        <v>0</v>
      </c>
      <c r="AK385" s="251">
        <f t="shared" si="100"/>
        <v>0</v>
      </c>
      <c r="AL385" s="251">
        <f t="shared" si="100"/>
        <v>0</v>
      </c>
      <c r="AM385" s="251">
        <f t="shared" si="100"/>
        <v>0</v>
      </c>
      <c r="AN385" s="251">
        <f t="shared" si="100"/>
        <v>0</v>
      </c>
      <c r="AO385" s="251">
        <f t="shared" si="100"/>
        <v>0</v>
      </c>
      <c r="AP385" s="251">
        <f t="shared" si="100"/>
        <v>0</v>
      </c>
      <c r="AQ385" s="251">
        <f t="shared" si="100"/>
        <v>0</v>
      </c>
      <c r="AR385" s="251">
        <f t="shared" si="100"/>
        <v>0</v>
      </c>
      <c r="AS385" s="251">
        <f t="shared" si="100"/>
        <v>46750.756560000002</v>
      </c>
      <c r="AT385" s="251">
        <f t="shared" si="100"/>
        <v>0</v>
      </c>
      <c r="AU385" s="251">
        <f t="shared" si="100"/>
        <v>0</v>
      </c>
      <c r="AV385" s="251">
        <f t="shared" si="100"/>
        <v>0</v>
      </c>
      <c r="AW385" s="251">
        <f t="shared" si="100"/>
        <v>0</v>
      </c>
      <c r="AX385" s="251">
        <f t="shared" si="100"/>
        <v>0</v>
      </c>
      <c r="AY385" s="251">
        <f t="shared" si="100"/>
        <v>0</v>
      </c>
      <c r="AZ385" s="251">
        <f t="shared" si="100"/>
        <v>0</v>
      </c>
      <c r="BA385" s="251">
        <f t="shared" si="100"/>
        <v>0</v>
      </c>
      <c r="BB385" s="251">
        <f t="shared" si="100"/>
        <v>0</v>
      </c>
      <c r="BC385" s="113"/>
      <c r="BF385" s="671" t="s">
        <v>783</v>
      </c>
    </row>
    <row r="386" spans="2:58" ht="14.25" customHeight="1" x14ac:dyDescent="0.15">
      <c r="E386" s="461">
        <v>15</v>
      </c>
      <c r="F386" s="3" t="str" cm="1">
        <f t="array" aca="1" ref="F386" ca="1">OFFSET(E386,-1,1)</f>
        <v>3</v>
      </c>
      <c r="H386" s="17" t="s">
        <v>574</v>
      </c>
      <c r="T386" s="353" t="b" cm="1">
        <f t="array" ref="T386">T385</f>
        <v>1</v>
      </c>
      <c r="X386" s="990"/>
      <c r="Y386" s="966"/>
      <c r="AB386" s="153" t="s">
        <v>575</v>
      </c>
      <c r="AC386" s="127" t="s">
        <v>784</v>
      </c>
      <c r="AD386" s="12" t="s">
        <v>558</v>
      </c>
      <c r="AE386" s="191"/>
      <c r="AF386" s="191"/>
      <c r="AG386" s="191"/>
      <c r="AH386" s="191"/>
      <c r="AI386" s="191"/>
      <c r="AJ386" s="836"/>
      <c r="AK386" s="836"/>
      <c r="AL386" s="191"/>
      <c r="AM386" s="191"/>
      <c r="AN386" s="191"/>
      <c r="AO386" s="191"/>
      <c r="AP386" s="191"/>
      <c r="AQ386" s="191"/>
      <c r="AR386" s="191"/>
      <c r="AS386" s="191"/>
      <c r="AT386" s="836"/>
      <c r="AU386" s="836"/>
      <c r="AV386" s="191"/>
      <c r="AW386" s="191"/>
      <c r="AX386" s="191"/>
      <c r="AY386" s="191"/>
      <c r="AZ386" s="191"/>
      <c r="BA386" s="191"/>
      <c r="BB386" s="191"/>
      <c r="BC386" s="113"/>
      <c r="BF386" s="671" t="s">
        <v>785</v>
      </c>
    </row>
    <row r="387" spans="2:58" ht="14.25" customHeight="1" x14ac:dyDescent="0.15">
      <c r="E387" s="461">
        <v>15</v>
      </c>
      <c r="F387" s="3" t="str" cm="1">
        <f t="array" aca="1" ref="F387" ca="1">OFFSET(E387,-1,1)</f>
        <v>3</v>
      </c>
      <c r="H387" s="17" t="s">
        <v>578</v>
      </c>
      <c r="T387" s="353" t="b" cm="1">
        <f t="array" ref="T387">T386</f>
        <v>1</v>
      </c>
      <c r="X387" s="990"/>
      <c r="Y387" s="966"/>
      <c r="AB387" s="153" t="s">
        <v>579</v>
      </c>
      <c r="AC387" s="247" t="s">
        <v>786</v>
      </c>
      <c r="AD387" s="12" t="s">
        <v>558</v>
      </c>
      <c r="AE387" s="251">
        <f t="shared" ref="AE387:BB387" si="101">AE388+AE389</f>
        <v>51631.311000000002</v>
      </c>
      <c r="AF387" s="251">
        <f t="shared" si="101"/>
        <v>48925.161524000003</v>
      </c>
      <c r="AG387" s="251">
        <f t="shared" si="101"/>
        <v>48925.161524000003</v>
      </c>
      <c r="AH387" s="251">
        <f t="shared" si="101"/>
        <v>51011.618589999998</v>
      </c>
      <c r="AI387" s="251">
        <f t="shared" si="101"/>
        <v>52692.608</v>
      </c>
      <c r="AJ387" s="251">
        <f t="shared" si="101"/>
        <v>0</v>
      </c>
      <c r="AK387" s="251">
        <f t="shared" si="101"/>
        <v>0</v>
      </c>
      <c r="AL387" s="251">
        <f t="shared" si="101"/>
        <v>0</v>
      </c>
      <c r="AM387" s="251">
        <f t="shared" si="101"/>
        <v>0</v>
      </c>
      <c r="AN387" s="251">
        <f t="shared" si="101"/>
        <v>0</v>
      </c>
      <c r="AO387" s="251">
        <f t="shared" si="101"/>
        <v>0</v>
      </c>
      <c r="AP387" s="251">
        <f t="shared" si="101"/>
        <v>0</v>
      </c>
      <c r="AQ387" s="251">
        <f t="shared" si="101"/>
        <v>0</v>
      </c>
      <c r="AR387" s="251">
        <f t="shared" si="101"/>
        <v>0</v>
      </c>
      <c r="AS387" s="251">
        <f t="shared" si="101"/>
        <v>46750.756560000002</v>
      </c>
      <c r="AT387" s="251">
        <f t="shared" si="101"/>
        <v>0</v>
      </c>
      <c r="AU387" s="251">
        <f t="shared" si="101"/>
        <v>0</v>
      </c>
      <c r="AV387" s="251">
        <f t="shared" si="101"/>
        <v>0</v>
      </c>
      <c r="AW387" s="251">
        <f t="shared" si="101"/>
        <v>0</v>
      </c>
      <c r="AX387" s="251">
        <f t="shared" si="101"/>
        <v>0</v>
      </c>
      <c r="AY387" s="251">
        <f t="shared" si="101"/>
        <v>0</v>
      </c>
      <c r="AZ387" s="251">
        <f t="shared" si="101"/>
        <v>0</v>
      </c>
      <c r="BA387" s="251">
        <f t="shared" si="101"/>
        <v>0</v>
      </c>
      <c r="BB387" s="251">
        <f t="shared" si="101"/>
        <v>0</v>
      </c>
      <c r="BC387" s="113"/>
      <c r="BF387" s="671" t="s">
        <v>787</v>
      </c>
    </row>
    <row r="388" spans="2:58" ht="14.65" customHeight="1" x14ac:dyDescent="0.15">
      <c r="E388" s="461">
        <v>15</v>
      </c>
      <c r="F388" s="3" t="str" cm="1">
        <f t="array" aca="1" ref="F388" ca="1">OFFSET(E388,-1,1)</f>
        <v>3</v>
      </c>
      <c r="H388" s="17" t="s">
        <v>788</v>
      </c>
      <c r="T388" s="353" t="b" cm="1">
        <f t="array" ref="T388">T387</f>
        <v>1</v>
      </c>
      <c r="X388" s="990"/>
      <c r="Y388" s="966"/>
      <c r="AB388" s="153" t="s">
        <v>789</v>
      </c>
      <c r="AC388" s="248" t="s">
        <v>636</v>
      </c>
      <c r="AD388" s="12" t="s">
        <v>558</v>
      </c>
      <c r="AE388" s="191">
        <v>51631.311000000002</v>
      </c>
      <c r="AF388" s="191">
        <v>48925.161524000003</v>
      </c>
      <c r="AG388" s="191">
        <v>48925.161524000003</v>
      </c>
      <c r="AH388" s="191">
        <v>51011.618589999998</v>
      </c>
      <c r="AI388" s="191">
        <v>52692.608</v>
      </c>
      <c r="AJ388" s="836"/>
      <c r="AK388" s="836"/>
      <c r="AL388" s="191"/>
      <c r="AM388" s="191"/>
      <c r="AN388" s="191"/>
      <c r="AO388" s="191"/>
      <c r="AP388" s="191"/>
      <c r="AQ388" s="191"/>
      <c r="AR388" s="191"/>
      <c r="AS388" s="191">
        <v>46750.756560000002</v>
      </c>
      <c r="AT388" s="836"/>
      <c r="AU388" s="836"/>
      <c r="AV388" s="191"/>
      <c r="AW388" s="191"/>
      <c r="AX388" s="191"/>
      <c r="AY388" s="191"/>
      <c r="AZ388" s="191"/>
      <c r="BA388" s="191"/>
      <c r="BB388" s="191"/>
      <c r="BC388" s="113"/>
      <c r="BF388" s="671" t="s">
        <v>790</v>
      </c>
    </row>
    <row r="389" spans="2:58" ht="14.25" customHeight="1" x14ac:dyDescent="0.15">
      <c r="E389" s="461">
        <v>15</v>
      </c>
      <c r="F389" s="3" t="str" cm="1">
        <f t="array" aca="1" ref="F389" ca="1">OFFSET(E389,-1,1)</f>
        <v>3</v>
      </c>
      <c r="H389" s="17" t="s">
        <v>791</v>
      </c>
      <c r="T389" s="353" t="b" cm="1">
        <f t="array" ref="T389">T388</f>
        <v>1</v>
      </c>
      <c r="X389" s="990"/>
      <c r="Y389" s="966"/>
      <c r="AB389" s="153" t="s">
        <v>792</v>
      </c>
      <c r="AC389" s="248" t="s">
        <v>640</v>
      </c>
      <c r="AD389" s="12" t="s">
        <v>558</v>
      </c>
      <c r="AE389" s="191"/>
      <c r="AF389" s="191"/>
      <c r="AG389" s="191"/>
      <c r="AH389" s="191"/>
      <c r="AI389" s="191"/>
      <c r="AJ389" s="836"/>
      <c r="AK389" s="836"/>
      <c r="AL389" s="191"/>
      <c r="AM389" s="191"/>
      <c r="AN389" s="191"/>
      <c r="AO389" s="191"/>
      <c r="AP389" s="191"/>
      <c r="AQ389" s="191"/>
      <c r="AR389" s="191"/>
      <c r="AS389" s="191"/>
      <c r="AT389" s="836"/>
      <c r="AU389" s="836"/>
      <c r="AV389" s="191"/>
      <c r="AW389" s="191"/>
      <c r="AX389" s="191"/>
      <c r="AY389" s="191"/>
      <c r="AZ389" s="191"/>
      <c r="BA389" s="191"/>
      <c r="BB389" s="191"/>
      <c r="BC389" s="113"/>
      <c r="BF389" s="671" t="s">
        <v>793</v>
      </c>
    </row>
    <row r="390" spans="2:58" ht="21.75" customHeight="1" x14ac:dyDescent="0.15">
      <c r="E390" s="461">
        <v>22.5</v>
      </c>
      <c r="F390" s="3" t="str" cm="1">
        <f t="array" aca="1" ref="F390" ca="1">OFFSET(E390,-1,1)</f>
        <v>3</v>
      </c>
      <c r="H390" s="17" t="s">
        <v>794</v>
      </c>
      <c r="T390" s="353" t="b" cm="1">
        <f t="array" ref="T390">T389</f>
        <v>1</v>
      </c>
      <c r="X390" s="990"/>
      <c r="Y390" s="966"/>
      <c r="AB390" s="153" t="s">
        <v>795</v>
      </c>
      <c r="AC390" s="242" t="s">
        <v>599</v>
      </c>
      <c r="AD390" s="12" t="s">
        <v>558</v>
      </c>
      <c r="AE390" s="188"/>
      <c r="AF390" s="188"/>
      <c r="AG390" s="188"/>
      <c r="AH390" s="188"/>
      <c r="AI390" s="188"/>
      <c r="AJ390" s="825"/>
      <c r="AK390" s="825"/>
      <c r="AL390" s="188"/>
      <c r="AM390" s="188"/>
      <c r="AN390" s="188"/>
      <c r="AO390" s="188"/>
      <c r="AP390" s="188"/>
      <c r="AQ390" s="188"/>
      <c r="AR390" s="188"/>
      <c r="AS390" s="188"/>
      <c r="AT390" s="825"/>
      <c r="AU390" s="825"/>
      <c r="AV390" s="188"/>
      <c r="AW390" s="188"/>
      <c r="AX390" s="188"/>
      <c r="AY390" s="188"/>
      <c r="AZ390" s="188"/>
      <c r="BA390" s="188"/>
      <c r="BB390" s="188"/>
      <c r="BC390" s="113"/>
      <c r="BF390" s="671" t="s">
        <v>796</v>
      </c>
    </row>
    <row r="391" spans="2:58" ht="14.65" customHeight="1" x14ac:dyDescent="0.15">
      <c r="E391" s="461">
        <v>15</v>
      </c>
      <c r="U391" s="315" t="s">
        <v>176</v>
      </c>
      <c r="V391" s="56" t="s">
        <v>802</v>
      </c>
      <c r="AB391" s="380"/>
      <c r="AC391" s="64"/>
      <c r="AD391" s="209"/>
      <c r="AE391" s="629"/>
      <c r="AF391" s="629"/>
      <c r="AG391" s="629"/>
      <c r="AH391" s="629"/>
      <c r="AI391" s="629"/>
      <c r="AJ391" s="629"/>
      <c r="AK391" s="629"/>
      <c r="AL391" s="629"/>
      <c r="AM391" s="629"/>
      <c r="AN391" s="629"/>
      <c r="AO391" s="629"/>
      <c r="AP391" s="629"/>
      <c r="AQ391" s="629"/>
      <c r="AR391" s="629"/>
      <c r="AS391" s="629"/>
      <c r="AT391" s="629"/>
      <c r="AU391" s="629"/>
      <c r="AV391" s="629"/>
      <c r="AW391" s="629"/>
      <c r="AX391" s="629"/>
      <c r="AY391" s="629"/>
      <c r="AZ391" s="629"/>
      <c r="BA391" s="629"/>
      <c r="BB391" s="629"/>
      <c r="BC391" s="630"/>
    </row>
    <row r="392" spans="2:58" s="17" customFormat="1" ht="10.9" customHeight="1" x14ac:dyDescent="0.15">
      <c r="B392" s="46"/>
      <c r="E392" s="461">
        <v>11.25</v>
      </c>
      <c r="F392" s="253"/>
      <c r="P392" s="315"/>
      <c r="Q392" s="315"/>
      <c r="R392" s="315"/>
      <c r="S392" s="315"/>
      <c r="V392" s="59"/>
      <c r="AB392" s="997" t="s">
        <v>408</v>
      </c>
      <c r="AC392" s="997"/>
      <c r="AD392" s="997"/>
      <c r="AE392" s="998"/>
      <c r="AF392" s="998"/>
      <c r="AG392" s="998"/>
      <c r="AH392" s="998"/>
      <c r="AI392" s="998"/>
      <c r="AJ392" s="998"/>
      <c r="AK392" s="998"/>
      <c r="AL392" s="998"/>
      <c r="AM392" s="998"/>
      <c r="AN392" s="998"/>
      <c r="AO392" s="998"/>
      <c r="AP392" s="998"/>
      <c r="AQ392" s="998"/>
      <c r="AR392" s="998"/>
      <c r="AS392" s="998"/>
      <c r="AT392" s="998"/>
      <c r="AU392" s="998"/>
      <c r="AV392" s="998"/>
      <c r="AW392" s="998"/>
      <c r="AX392" s="998"/>
      <c r="AY392" s="998"/>
      <c r="AZ392" s="998"/>
      <c r="BA392" s="998"/>
      <c r="BB392" s="998"/>
      <c r="BC392" s="998"/>
      <c r="BF392" s="671"/>
    </row>
    <row r="393" spans="2:58" ht="14.65" customHeight="1" x14ac:dyDescent="0.15">
      <c r="E393" s="461">
        <v>15</v>
      </c>
      <c r="T393" s="17"/>
      <c r="U393" s="17"/>
      <c r="V393" s="59"/>
      <c r="W393" s="17"/>
      <c r="AA393" s="481"/>
      <c r="AB393" s="999"/>
      <c r="AC393" s="1000"/>
      <c r="AD393" s="1000"/>
      <c r="AE393" s="1000"/>
      <c r="AF393" s="1000"/>
      <c r="AG393" s="1000"/>
      <c r="AH393" s="1000"/>
      <c r="AI393" s="1000"/>
      <c r="AJ393" s="1001"/>
      <c r="AK393" s="1001"/>
      <c r="AL393" s="1001"/>
      <c r="AM393" s="1001"/>
      <c r="AN393" s="1001"/>
      <c r="AO393" s="1001"/>
      <c r="AP393" s="1001"/>
      <c r="AQ393" s="1001"/>
      <c r="AR393" s="1001"/>
      <c r="AS393" s="1000"/>
      <c r="AT393" s="1001"/>
      <c r="AU393" s="1001"/>
      <c r="AV393" s="1001"/>
      <c r="AW393" s="1001"/>
      <c r="AX393" s="1001"/>
      <c r="AY393" s="1001"/>
      <c r="AZ393" s="1001"/>
      <c r="BA393" s="1001"/>
      <c r="BB393" s="1001"/>
      <c r="BC393" s="1002"/>
    </row>
    <row r="394" spans="2:58" ht="14.65" hidden="1" customHeight="1" x14ac:dyDescent="0.15">
      <c r="E394" s="461">
        <v>15</v>
      </c>
      <c r="T394" s="353" t="b">
        <f>ROW(W394)&gt;ROW(W$394)</f>
        <v>0</v>
      </c>
      <c r="U394" s="17"/>
      <c r="V394" s="59"/>
      <c r="W394" s="517" t="s">
        <v>172</v>
      </c>
      <c r="AA394" s="482" t="s">
        <v>173</v>
      </c>
      <c r="AB394" s="1003"/>
      <c r="AC394" s="1004"/>
      <c r="AD394" s="1004"/>
      <c r="AE394" s="1004"/>
      <c r="AF394" s="1004"/>
      <c r="AG394" s="1004"/>
      <c r="AH394" s="1004"/>
      <c r="AI394" s="1005"/>
      <c r="AJ394" s="1004"/>
      <c r="AK394" s="1004"/>
      <c r="AL394" s="1004"/>
      <c r="AM394" s="1004"/>
      <c r="AN394" s="1004"/>
      <c r="AO394" s="1004"/>
      <c r="AP394" s="1004"/>
      <c r="AQ394" s="1004"/>
      <c r="AR394" s="1004"/>
      <c r="AS394" s="1005"/>
      <c r="AT394" s="1004"/>
      <c r="AU394" s="1004"/>
      <c r="AV394" s="1004"/>
      <c r="AW394" s="1004"/>
      <c r="AX394" s="1004"/>
      <c r="AY394" s="1004"/>
      <c r="AZ394" s="1004"/>
      <c r="BA394" s="1004"/>
      <c r="BB394" s="1004"/>
      <c r="BC394" s="1006"/>
    </row>
    <row r="395" spans="2:58" ht="14.65" customHeight="1" x14ac:dyDescent="0.15">
      <c r="E395" s="461">
        <v>15</v>
      </c>
      <c r="T395" s="17"/>
      <c r="U395" s="17"/>
      <c r="W395" s="517" t="s">
        <v>419</v>
      </c>
      <c r="AB395" s="474"/>
      <c r="AC395" s="382" t="s">
        <v>420</v>
      </c>
      <c r="AD395" s="218"/>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187"/>
    </row>
    <row r="396" spans="2:58" ht="10.7" customHeight="1" x14ac:dyDescent="0.15">
      <c r="E396" s="461">
        <v>11</v>
      </c>
      <c r="T396" s="17"/>
      <c r="U396" s="17"/>
      <c r="W396" s="17"/>
    </row>
  </sheetData>
  <sheetProtection formatColumns="0" formatRows="0" insertRows="0" deleteColumns="0" deleteRows="0" sort="0" autoFilter="0"/>
  <mergeCells count="15">
    <mergeCell ref="AB392:BC392"/>
    <mergeCell ref="AB393:BC393"/>
    <mergeCell ref="AB394:BC394"/>
    <mergeCell ref="X118:X208"/>
    <mergeCell ref="Y118:Y208"/>
    <mergeCell ref="X209:X299"/>
    <mergeCell ref="Y209:Y299"/>
    <mergeCell ref="X300:X390"/>
    <mergeCell ref="Y300:Y390"/>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B303:BB305 BB307:BB310 BB312:BB315 BB319:BB321 BB323:BB324 BB327:BB328 BB330:BB331 BB333:BB336 BB340:BB343 BB346:BB347 BB349:BB352 BB356 BB359:BB360 BB362:BB363 BB365:BB366 BB368:BB373 BB375:BB378 BB382:BB384 BB386 BB388:BB390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BA303:BA305 BA307:BA310 BA312:BA315 BA319:BA321 BA323:BA324 BA327:BA328 BA330:BA331 BA333:BA336 BA340:BA343 BA346:BA347 BA349:BA352 BA356 BA359:BA360 BA362:BA363 BA365:BA366 BA368:BA373 BA375:BA378 BA382:BA384 BA386 BA388:BA390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Z303:AZ305 AZ307:AZ310 AZ312:AZ315 AZ319:AZ321 AZ323:AZ324 AZ327:AZ328 AZ330:AZ331 AZ333:AZ336 AZ340:AZ343 AZ346:AZ347 AZ349:AZ352 AZ356 AZ359:AZ360 AZ362:AZ363 AZ365:AZ366 AZ368:AZ373 AZ375:AZ378 AZ382:AZ384 AZ386 AZ388:AZ390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Y303:AY305 AY307:AY310 AY312:AY315 AY319:AY321 AY323:AY324 AY327:AY328 AY330:AY331 AY333:AY336 AY340:AY343 AY346:AY347 AY349:AY352 AY356 AY359:AY360 AY362:AY363 AY365:AY366 AY368:AY373 AY375:AY378 AY382:AY384 AY386 AY388:AY390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X303:AX305 AX307:AX310 AX312:AX315 AX319:AX321 AX323:AX324 AX327:AX328 AX330:AX331 AX333:AX336 AX340:AX343 AX346:AX347 AX349:AX352 AX356 AX359:AX360 AX362:AX363 AX365:AX366 AX368:AX373 AX375:AX378 AX382:AX384 AX386 AX388:AX390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W303:AW305 AW307:AW310 AW312:AW315 AW319:AW321 AW323:AW324 AW327:AW328 AW330:AW331 AW333:AW336 AW340:AW343 AW346:AW347 AW349:AW352 AW356 AW359:AW360 AW362:AW363 AW365:AW366 AW368:AW373 AW375:AW378 AW382:AW384 AW386 AW388:AW390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V303:AV305 AV307:AV310 AV312:AV315 AV319:AV321 AV323:AV324 AV327:AV328 AV330:AV331 AV333:AV336 AV340:AV343 AV346:AV347 AV349:AV352 AV356 AV359:AV360 AV362:AV363 AV365:AV366 AV368:AV373 AV375:AV378 AV382:AV384 AV386 AV388:AV390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U303:AU305 AU307:AU310 AU312:AU315 AU319:AU321 AU323:AU324 AU327:AU328 AU330:AU331 AU333:AU336 AU340:AU343 AU346:AU347 AU349:AU352 AU356 AU359:AU360 AU362:AU363 AU365:AU366 AU368:AU373 AU375:AU378 AU382:AU384 AU386 AU388:AU390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T303:AT305 AT307:AT310 AT312:AT315 AT319:AT321 AT323:AT324 AT327:AT328 AT330:AT331 AT333:AT336 AT340:AT343 AT346:AT347 AT349:AT352 AT356 AT359:AT360 AT362:AT363 AT365:AT366 AT368:AT373 AT375:AT378 AT382:AT384 AT386 AT388:AT390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S303:AS305 AS307:AS310 AS312:AS315 AS319:AS321 AS323:AS324 AS327:AS328 AS330:AS331 AS333:AS336 AS340:AS343 AS346:AS347 AS349:AS352 AS356 AS359:AS360 AS362:AS363 AS365:AS366 AS368:AS373 AS375:AS378 AS382:AS384 AS386 AS388:AS390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R303:AR305 AR307:AR310 AR312:AR315 AR319:AR321 AR323:AR324 AR327:AR328 AR330:AR331 AR333:AR336 AR340:AR343 AR346:AR347 AR349:AR352 AR356 AR359:AR360 AR362:AR363 AR365:AR366 AR368:AR373 AR375:AR378 AR382:AR384 AR386 AR388:AR390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Q303:AQ305 AQ307:AQ310 AQ312:AQ315 AQ319:AQ321 AQ323:AQ324 AQ327:AQ328 AQ330:AQ331 AQ333:AQ336 AQ340:AQ343 AQ346:AQ347 AQ349:AQ352 AQ356 AQ359:AQ360 AQ362:AQ363 AQ365:AQ366 AQ368:AQ373 AQ375:AQ378 AQ382:AQ384 AQ386 AQ388:AQ390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P303:AP305 AP307:AP310 AP312:AP315 AP319:AP321 AP323:AP324 AP327:AP328 AP330:AP331 AP333:AP336 AP340:AP343 AP346:AP347 AP349:AP352 AP356 AP359:AP360 AP362:AP363 AP365:AP366 AP368:AP373 AP375:AP378 AP382:AP384 AP386 AP388:AP390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O303:AO305 AO307:AO310 AO312:AO315 AO319:AO321 AO323:AO324 AO327:AO328 AO330:AO331 AO333:AO336 AO340:AO343 AO346:AO347 AO349:AO352 AO356 AO359:AO360 AO362:AO363 AO365:AO366 AO368:AO373 AO375:AO378 AO382:AO384 AO386 AO388:AO390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N303:AN305 AN307:AN310 AN312:AN315 AN319:AN321 AN323:AN324 AN327:AN328 AN330:AN331 AN333:AN336 AN340:AN343 AN346:AN347 AN349:AN352 AN356 AN359:AN360 AN362:AN363 AN365:AN366 AN368:AN373 AN375:AN378 AN382:AN384 AN386 AN388:AN390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M303:AM305 AM307:AM310 AM312:AM315 AM319:AM321 AM323:AM324 AM327:AM328 AM330:AM331 AM333:AM336 AM340:AM343 AM346:AM347 AM349:AM352 AM356 AM359:AM360 AM362:AM363 AM365:AM366 AM368:AM373 AM375:AM378 AM382:AM384 AM386 AM388:AM390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L303:AL305 AL307:AL310 AL312:AL315 AL319:AL321 AL323:AL324 AL327:AL328 AL330:AL331 AL333:AL336 AL340:AL343 AL346:AL347 AL349:AL352 AL356 AL359:AL360 AL362:AL363 AL365:AL366 AL368:AL373 AL375:AL378 AL382:AL384 AL386 AL388:AL390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K303:AK305 AK307:AK310 AK312:AK315 AK319:AK321 AK323:AK324 AK327:AK328 AK330:AK331 AK333:AK336 AK340:AK343 AK346:AK347 AK349:AK352 AK356 AK359:AK360 AK362:AK363 AK365:AK366 AK368:AK373 AK375:AK378 AK382:AK384 AK386 AK388:AK390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J303:AJ305 AJ307:AJ310 AJ312:AJ315 AJ319:AJ321 AJ323:AJ324 AJ327:AJ328 AJ330:AJ331 AJ333:AJ336 AJ340:AJ343 AJ346:AJ347 AJ349:AJ352 AJ356 AJ359:AJ360 AJ362:AJ363 AJ365:AJ366 AJ368:AJ373 AJ375:AJ378 AJ382:AJ384 AJ386 AJ388:AJ390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I303:AI305 AI307:AI310 AI312:AI315 AI319:AI321 AI323:AI324 AI327:AI328 AI330:AI331 AI333:AI336 AI340:AI343 AI346:AI347 AI349:AI352 AI356 AI359:AI360 AI362:AI363 AI365:AI366 AI368:AI373 AI375:AI378 AI382:AI384 AI386 AI388:AI390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H303:AH305 AH307:AH310 AH312:AH315 AH319:AH321 AH323:AH324 AH327:AH328 AH330:AH331 AH333:AH336 AH340:AH343 AH346:AH347 AH349:AH352 AH356 AH359:AH360 AH362:AH363 AH365:AH366 AH368:AH373 AH375:AH378 AH382:AH384 AH386 AH388:AH390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G303:AG305 AG307:AG310 AG312:AG315 AG319:AG321 AG323:AG324 AG327:AG328 AG330:AG331 AG333:AG336 AG340:AG343 AG346:AG347 AG349:AG352 AG356 AG359:AG360 AG362:AG363 AG365:AG366 AG368:AG373 AG375:AG378 AG382:AG384 AG386 AG388:AG390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F303:AF305 AF307:AF310 AF312:AF315 AF319:AF321 AF323:AF324 AF327:AF328 AF330:AF331 AF333:AF336 AF340:AF343 AF346:AF347 AF349:AF352 AF356 AF359:AF360 AF362:AF363 AF365:AF366 AF368:AF373 AF375:AF378 AF382:AF384 AF386 AF388:AF390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303:AE305 AE307:AE310 AE312:AE315 AE319:AE321 AE323:AE324 AE327:AE328 AE330:AE331 AE333:AE336 AE340:AE343 AE346:AE347 AE349:AE352 AE356 AE359:AE360 AE362:AE363 AE365:AE366 AE368:AE373 AE375:AE378 AE382:AE384 AE386 AE388:AE390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F0CA3-71FB-6898-4FB8-AEFBC2B6E708}">
  <sheetPr>
    <tabColor rgb="FF002060"/>
    <outlinePr summaryBelow="0" summaryRight="0"/>
    <pageSetUpPr fitToPage="1"/>
  </sheetPr>
  <dimension ref="A1:AW46"/>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49"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8" hidden="1"/>
    <col min="48" max="49" width="8.7109375" style="449" hidden="1"/>
  </cols>
  <sheetData>
    <row r="1" spans="1:49" ht="11.25" hidden="1" customHeight="1" x14ac:dyDescent="0.15">
      <c r="E1" s="22"/>
      <c r="F1" s="22" t="s">
        <v>320</v>
      </c>
      <c r="H1" s="22" t="s">
        <v>321</v>
      </c>
      <c r="T1" s="353" t="s">
        <v>92</v>
      </c>
      <c r="U1" s="353" t="s">
        <v>97</v>
      </c>
      <c r="V1" s="353" t="s">
        <v>93</v>
      </c>
      <c r="W1" s="353" t="s">
        <v>94</v>
      </c>
      <c r="X1" s="353" t="s">
        <v>95</v>
      </c>
      <c r="Z1" s="353" t="s">
        <v>99</v>
      </c>
      <c r="AA1" s="353" t="s">
        <v>96</v>
      </c>
      <c r="AB1" s="353" t="s">
        <v>322</v>
      </c>
      <c r="AC1" s="353" t="s">
        <v>98</v>
      </c>
      <c r="AS1" s="658" t="s">
        <v>323</v>
      </c>
      <c r="AT1" s="658" t="s">
        <v>324</v>
      </c>
      <c r="AU1" s="658" t="s">
        <v>325</v>
      </c>
      <c r="AV1" s="449" t="s">
        <v>328</v>
      </c>
      <c r="AW1" s="449" t="s">
        <v>329</v>
      </c>
    </row>
    <row r="2" spans="1:49" ht="11.25" hidden="1" customHeight="1" x14ac:dyDescent="0.15">
      <c r="B2" s="807"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49" customFormat="1" ht="11.25" hidden="1" customHeight="1" x14ac:dyDescent="0.15">
      <c r="A5" s="40"/>
      <c r="B5" s="22"/>
      <c r="C5" s="22"/>
      <c r="D5" s="22"/>
      <c r="E5" s="449" t="s">
        <v>19</v>
      </c>
      <c r="AA5" s="449">
        <v>3</v>
      </c>
      <c r="AB5" s="449">
        <v>11.71</v>
      </c>
      <c r="AC5" s="449">
        <v>18.86</v>
      </c>
      <c r="AD5" s="475">
        <v>13.57</v>
      </c>
      <c r="AE5" s="475">
        <v>13</v>
      </c>
      <c r="AF5" s="475">
        <v>7.29</v>
      </c>
      <c r="AG5" s="475">
        <v>17.86</v>
      </c>
      <c r="AH5" s="475">
        <v>17.86</v>
      </c>
      <c r="AI5" s="475">
        <v>17.86</v>
      </c>
      <c r="AJ5" s="475">
        <v>7.43</v>
      </c>
      <c r="AK5" s="461">
        <v>12.57</v>
      </c>
      <c r="AL5" s="461">
        <v>12.57</v>
      </c>
      <c r="AM5" s="461">
        <v>12.57</v>
      </c>
      <c r="AN5" s="461">
        <v>12.57</v>
      </c>
      <c r="AO5" s="449">
        <v>20</v>
      </c>
      <c r="AP5" s="449">
        <v>20</v>
      </c>
      <c r="AQ5" s="449">
        <v>3</v>
      </c>
      <c r="AS5" s="658"/>
      <c r="AT5" s="658"/>
      <c r="AU5" s="658"/>
    </row>
    <row r="6" spans="1:49" ht="11.25" hidden="1" customHeight="1" x14ac:dyDescent="0.15">
      <c r="A6" s="40" t="s">
        <v>330</v>
      </c>
      <c r="AC6" s="22" t="s">
        <v>331</v>
      </c>
      <c r="AD6" s="44" t="s">
        <v>332</v>
      </c>
      <c r="AE6" s="44" t="s">
        <v>333</v>
      </c>
      <c r="AF6" s="44" t="s">
        <v>335</v>
      </c>
      <c r="AG6" s="44" t="s">
        <v>334</v>
      </c>
      <c r="AH6" s="44" t="s">
        <v>532</v>
      </c>
      <c r="AI6" s="44" t="s">
        <v>535</v>
      </c>
      <c r="AJ6" s="44" t="s">
        <v>586</v>
      </c>
      <c r="AK6" s="17" t="s">
        <v>605</v>
      </c>
      <c r="AL6" s="17" t="s">
        <v>803</v>
      </c>
      <c r="AM6" s="17" t="s">
        <v>804</v>
      </c>
      <c r="AN6" s="17" t="s">
        <v>805</v>
      </c>
      <c r="AO6" s="22" t="s">
        <v>806</v>
      </c>
      <c r="AP6" s="22" t="s">
        <v>807</v>
      </c>
    </row>
    <row r="7" spans="1:49" ht="11.25" hidden="1" customHeight="1" x14ac:dyDescent="0.15">
      <c r="AK7" s="17"/>
      <c r="AL7" s="17"/>
      <c r="AM7" s="17"/>
      <c r="AN7" s="17"/>
    </row>
    <row r="8" spans="1:49" ht="11.25" hidden="1" customHeight="1" x14ac:dyDescent="0.15">
      <c r="AK8" s="17"/>
      <c r="AL8" s="17"/>
      <c r="AM8" s="17"/>
      <c r="AN8" s="17"/>
    </row>
    <row r="9" spans="1:49" s="658" customFormat="1" ht="11.25" hidden="1" customHeight="1" x14ac:dyDescent="0.15">
      <c r="A9" s="662" t="s">
        <v>808</v>
      </c>
      <c r="AD9" s="676" t="str" cm="1">
        <f t="array" ref="AD9">AD24</f>
        <v>Тип материала трубопровода</v>
      </c>
      <c r="AE9" s="676" t="str" cm="1">
        <f t="array" ref="AE9">AE24</f>
        <v>Тип грунта</v>
      </c>
      <c r="AF9" s="676" t="str" cm="1">
        <f t="array" ref="AF9">AF24</f>
        <v>Глубина грунта, м</v>
      </c>
      <c r="AG9" s="676" t="str" cm="1">
        <f t="array" ref="AG9">AG24</f>
        <v>Средняя стоимость строительства 1 км трубопровода, _x000D_
тыс. руб.</v>
      </c>
      <c r="AH9" s="676" t="str" cm="1">
        <f t="array" ref="AH9">AH24</f>
        <v>Средняя стоимость строительства 1 км трубопровода диаметром 500 мм, тыс.руб.</v>
      </c>
      <c r="AI9" s="676" t="str" cm="1">
        <f t="array" ref="AI9">AI24</f>
        <v>Источник информации по средней стоимости строительства</v>
      </c>
      <c r="AJ9" s="676" t="str" cm="1">
        <f t="array" ref="AJ9">AJ24</f>
        <v>Kd</v>
      </c>
      <c r="AK9" s="675" t="str" cm="1">
        <f t="array" ref="AK9">AK27</f>
        <v>км</v>
      </c>
      <c r="AL9" s="675" t="str" cm="1">
        <f t="array" ref="AL9">AL27</f>
        <v>усл.км</v>
      </c>
      <c r="AM9" s="675" t="str" cm="1">
        <f t="array" ref="AM9">AM27</f>
        <v>км</v>
      </c>
      <c r="AN9" s="675" t="str" cm="1">
        <f t="array" ref="AN9">AN27</f>
        <v>усл.км</v>
      </c>
      <c r="AO9" s="676"/>
      <c r="AP9" s="676"/>
      <c r="AV9" s="449"/>
      <c r="AW9" s="449"/>
    </row>
    <row r="10" spans="1:49" s="658" customFormat="1" ht="11.25" hidden="1" customHeight="1" x14ac:dyDescent="0.15">
      <c r="A10" s="662" t="s">
        <v>364</v>
      </c>
      <c r="AD10" s="675"/>
      <c r="AE10" s="675"/>
      <c r="AF10" s="675"/>
      <c r="AG10" s="675"/>
      <c r="AH10" s="675"/>
      <c r="AI10" s="675"/>
      <c r="AJ10" s="675"/>
      <c r="AK10" s="671" t="str" cm="1">
        <f t="array" ref="AK10">AK26</f>
        <v>Предложение организации</v>
      </c>
      <c r="AL10" s="671" t="str" cm="1">
        <f t="array" ref="AL10">AK10</f>
        <v>Предложение организации</v>
      </c>
      <c r="AM10" s="671" t="str" cm="1">
        <f t="array" ref="AM10">AM26</f>
        <v>Принято органом регулирования</v>
      </c>
      <c r="AN10" s="671" t="str" cm="1">
        <f t="array" ref="AN10">AM10</f>
        <v>Принято органом регулирования</v>
      </c>
      <c r="AV10" s="449"/>
      <c r="AW10" s="449"/>
    </row>
    <row r="11" spans="1:49" s="658" customFormat="1" ht="11.25" hidden="1" customHeight="1" x14ac:dyDescent="0.15">
      <c r="A11" s="662" t="s">
        <v>365</v>
      </c>
      <c r="AD11" s="675"/>
      <c r="AE11" s="675"/>
      <c r="AF11" s="675"/>
      <c r="AG11" s="675"/>
      <c r="AH11" s="675"/>
      <c r="AI11" s="675"/>
      <c r="AJ11" s="675"/>
      <c r="AK11" s="671"/>
      <c r="AL11" s="671"/>
      <c r="AM11" s="671"/>
      <c r="AN11" s="671"/>
      <c r="AO11" s="658" t="str" cm="1">
        <f t="array" ref="AO11">AO24</f>
        <v>Ссылка на правовую норму (основание для принятия показателя в расчет тарифа)</v>
      </c>
      <c r="AP11" s="658" t="str" cm="1">
        <f t="array" ref="AP11">AP24</f>
        <v>Комментарии</v>
      </c>
      <c r="AV11" s="449"/>
      <c r="AW11" s="449"/>
    </row>
    <row r="12" spans="1:49" s="658" customFormat="1" ht="11.25" hidden="1" customHeight="1" x14ac:dyDescent="0.15">
      <c r="A12" s="662" t="s">
        <v>337</v>
      </c>
      <c r="AC12" s="658" t="s">
        <v>325</v>
      </c>
      <c r="AD12" s="675"/>
      <c r="AE12" s="675"/>
      <c r="AF12" s="675"/>
      <c r="AG12" s="675"/>
      <c r="AH12" s="675"/>
      <c r="AI12" s="675"/>
      <c r="AJ12" s="675"/>
      <c r="AK12" s="671"/>
      <c r="AL12" s="671"/>
      <c r="AM12" s="671"/>
      <c r="AN12" s="671"/>
      <c r="AV12" s="449"/>
      <c r="AW12" s="449"/>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809</v>
      </c>
    </row>
    <row r="19" spans="3:49" ht="11.25" hidden="1" customHeight="1" x14ac:dyDescent="0.15"/>
    <row r="20" spans="3:49" ht="11.25" hidden="1" customHeight="1" x14ac:dyDescent="0.15"/>
    <row r="21" spans="3:49" ht="14.65" customHeight="1" x14ac:dyDescent="0.15">
      <c r="E21" s="449">
        <v>15</v>
      </c>
      <c r="AC21" s="267" t="str" cm="1">
        <f t="array" ref="AC21">tpl_title</f>
        <v>Кемеровская область / 2026 / КАО "Азот" (ИНН:4205000908, КПП:997550001) / ДПР: 2024-2028</v>
      </c>
    </row>
    <row r="22" spans="3:49" ht="19.5" customHeight="1" x14ac:dyDescent="0.25">
      <c r="E22" s="449">
        <v>20</v>
      </c>
      <c r="AB22" s="226" t="s">
        <v>46</v>
      </c>
      <c r="AC22" s="119"/>
      <c r="AD22" s="122"/>
      <c r="AE22" s="122"/>
      <c r="AF22" s="122"/>
      <c r="AG22" s="122"/>
      <c r="AH22" s="122"/>
      <c r="AI22" s="122"/>
      <c r="AJ22" s="122"/>
      <c r="AK22" s="119"/>
      <c r="AL22" s="119"/>
      <c r="AM22" s="119"/>
      <c r="AN22" s="119"/>
      <c r="AO22" s="121"/>
      <c r="AP22" s="121"/>
    </row>
    <row r="23" spans="3:49" ht="10.9" customHeight="1" x14ac:dyDescent="0.15">
      <c r="E23" s="449">
        <v>11.25</v>
      </c>
      <c r="AB23" s="1007"/>
      <c r="AC23" s="1007"/>
      <c r="AD23" s="1007"/>
      <c r="AE23" s="1007"/>
      <c r="AF23" s="1007"/>
      <c r="AG23" s="1007"/>
      <c r="AH23" s="1007"/>
      <c r="AI23" s="1007"/>
      <c r="AJ23" s="1007"/>
      <c r="AK23" s="1007"/>
      <c r="AL23" s="1007"/>
      <c r="AM23" s="1007"/>
      <c r="AN23" s="385"/>
    </row>
    <row r="24" spans="3:49" ht="10.9" customHeight="1" x14ac:dyDescent="0.15">
      <c r="E24" s="449">
        <v>11.25</v>
      </c>
      <c r="AB24" s="993" t="s">
        <v>810</v>
      </c>
      <c r="AC24" s="1008" t="s">
        <v>811</v>
      </c>
      <c r="AD24" s="1008" t="s">
        <v>812</v>
      </c>
      <c r="AE24" s="1008" t="s">
        <v>813</v>
      </c>
      <c r="AF24" s="1008" t="s">
        <v>814</v>
      </c>
      <c r="AG24" s="1008" t="s">
        <v>815</v>
      </c>
      <c r="AH24" s="1008" t="s">
        <v>816</v>
      </c>
      <c r="AI24" s="1009" t="s">
        <v>817</v>
      </c>
      <c r="AJ24" s="1012" t="s">
        <v>818</v>
      </c>
      <c r="AK24" s="1013" t="s">
        <v>819</v>
      </c>
      <c r="AL24" s="1014"/>
      <c r="AM24" s="1014"/>
      <c r="AN24" s="1015"/>
      <c r="AO24" s="1016" t="s">
        <v>553</v>
      </c>
      <c r="AP24" s="1016" t="s">
        <v>369</v>
      </c>
    </row>
    <row r="25" spans="3:49" ht="14.65" customHeight="1" x14ac:dyDescent="0.15">
      <c r="E25" s="449">
        <v>15</v>
      </c>
      <c r="AB25" s="993"/>
      <c r="AC25" s="1008"/>
      <c r="AD25" s="1008"/>
      <c r="AE25" s="1008"/>
      <c r="AF25" s="1008"/>
      <c r="AG25" s="1008"/>
      <c r="AH25" s="1008"/>
      <c r="AI25" s="1010"/>
      <c r="AJ25" s="1012"/>
      <c r="AK25" s="995" t="str">
        <f>god&amp;" год"</f>
        <v>2026 год</v>
      </c>
      <c r="AL25" s="1017"/>
      <c r="AM25" s="1017"/>
      <c r="AN25" s="1018"/>
      <c r="AO25" s="1016"/>
      <c r="AP25" s="1016"/>
    </row>
    <row r="26" spans="3:49" ht="48.75" customHeight="1" x14ac:dyDescent="0.15">
      <c r="E26" s="449">
        <v>50</v>
      </c>
      <c r="AB26" s="993"/>
      <c r="AC26" s="1008"/>
      <c r="AD26" s="1008"/>
      <c r="AE26" s="1008"/>
      <c r="AF26" s="1008"/>
      <c r="AG26" s="1008"/>
      <c r="AH26" s="1008"/>
      <c r="AI26" s="1010"/>
      <c r="AJ26" s="1012"/>
      <c r="AK26" s="1019" t="s">
        <v>361</v>
      </c>
      <c r="AL26" s="1019"/>
      <c r="AM26" s="1016" t="s">
        <v>360</v>
      </c>
      <c r="AN26" s="1016"/>
      <c r="AO26" s="1016"/>
      <c r="AP26" s="1016"/>
    </row>
    <row r="27" spans="3:49" ht="13.9" customHeight="1" x14ac:dyDescent="0.15">
      <c r="E27" s="449">
        <v>14.25</v>
      </c>
      <c r="AB27" s="993"/>
      <c r="AC27" s="1008"/>
      <c r="AD27" s="1008"/>
      <c r="AE27" s="1008"/>
      <c r="AF27" s="1008"/>
      <c r="AG27" s="1008"/>
      <c r="AH27" s="1008"/>
      <c r="AI27" s="1011"/>
      <c r="AJ27" s="1012"/>
      <c r="AK27" s="10" t="s">
        <v>386</v>
      </c>
      <c r="AL27" s="10" t="s">
        <v>820</v>
      </c>
      <c r="AM27" s="10" t="s">
        <v>386</v>
      </c>
      <c r="AN27" s="10" t="s">
        <v>820</v>
      </c>
      <c r="AO27" s="1016"/>
      <c r="AP27" s="1016"/>
    </row>
    <row r="28" spans="3:49" ht="11.25" hidden="1" customHeight="1" x14ac:dyDescent="0.15">
      <c r="E28" s="449">
        <v>0</v>
      </c>
      <c r="AB28" s="523"/>
      <c r="AC28" s="524"/>
      <c r="AD28" s="524"/>
      <c r="AE28" s="524"/>
      <c r="AF28" s="524"/>
      <c r="AG28" s="524"/>
      <c r="AH28" s="524"/>
      <c r="AI28" s="766"/>
      <c r="AJ28" s="767"/>
      <c r="AK28" s="518"/>
      <c r="AL28" s="518"/>
      <c r="AM28" s="518"/>
      <c r="AN28" s="518"/>
      <c r="AO28" s="518"/>
      <c r="AP28" s="518"/>
    </row>
    <row r="29" spans="3:49" ht="14.65" hidden="1" customHeight="1" x14ac:dyDescent="0.15">
      <c r="E29" s="449">
        <v>15</v>
      </c>
      <c r="F29" s="365" cm="1">
        <f t="array" ref="F29">X29</f>
        <v>0</v>
      </c>
      <c r="G29" s="22" t="s">
        <v>821</v>
      </c>
      <c r="T29" s="353" t="b">
        <f>X29&gt;0</f>
        <v>0</v>
      </c>
      <c r="V29" s="22" t="s">
        <v>264</v>
      </c>
      <c r="X29" s="1022">
        <v>0</v>
      </c>
      <c r="Z29" s="1023"/>
      <c r="AB29" s="97" t="str" cm="1">
        <f t="array" ref="AB29">INDEX('Общие сведения'!$AG$179:$AG$236,MATCH($X29,'Общие сведения'!$Z$179:$Z$236,0))</f>
        <v xml:space="preserve">Тариф 0 () - </v>
      </c>
      <c r="AC29" s="94"/>
      <c r="AD29" s="94"/>
      <c r="AE29" s="94"/>
      <c r="AF29" s="94"/>
      <c r="AG29" s="94"/>
      <c r="AH29" s="94"/>
      <c r="AI29" s="94"/>
      <c r="AJ29" s="94"/>
      <c r="AK29" s="397">
        <f>SUM(AK30:AK31)</f>
        <v>0</v>
      </c>
      <c r="AL29" s="397">
        <f>SUM(AL30:AL31)</f>
        <v>0</v>
      </c>
      <c r="AM29" s="397">
        <f>SUM(AM30:AM31)</f>
        <v>0</v>
      </c>
      <c r="AN29" s="397">
        <f>SUM(AN30:AN31)</f>
        <v>0</v>
      </c>
      <c r="AO29" s="94"/>
      <c r="AP29" s="94"/>
    </row>
    <row r="30" spans="3:49" ht="14.65" hidden="1" customHeight="1" x14ac:dyDescent="0.15">
      <c r="E30" s="449">
        <v>15</v>
      </c>
      <c r="F30" s="3" cm="1">
        <f t="array" aca="1" ref="F30" ca="1">OFFSET(E30,-1,1)</f>
        <v>0</v>
      </c>
      <c r="H30" s="22" cm="1">
        <f t="array" ref="H30">AB30</f>
        <v>0</v>
      </c>
      <c r="T30" s="353" t="b">
        <f ca="1">AND(F30&gt;0,AB30&gt;0)</f>
        <v>0</v>
      </c>
      <c r="W30" s="517" t="s">
        <v>172</v>
      </c>
      <c r="X30" s="1022"/>
      <c r="Z30" s="1023"/>
      <c r="AA30" s="320" t="s">
        <v>173</v>
      </c>
      <c r="AB30" s="9">
        <v>0</v>
      </c>
      <c r="AC30" s="843"/>
      <c r="AD30" s="844"/>
      <c r="AE30" s="844"/>
      <c r="AF30" s="845"/>
      <c r="AG30" s="846"/>
      <c r="AH30" s="846"/>
      <c r="AI30" s="847"/>
      <c r="AJ30" s="398">
        <f>IF(AH30=0,0,AG30/AH30)</f>
        <v>0</v>
      </c>
      <c r="AK30" s="848"/>
      <c r="AL30" s="849">
        <f>AK30*$AJ30</f>
        <v>0</v>
      </c>
      <c r="AM30" s="848"/>
      <c r="AN30" s="398">
        <f>AM30*$AJ30</f>
        <v>0</v>
      </c>
      <c r="AO30" s="850"/>
      <c r="AP30" s="850"/>
      <c r="AS30" s="658" t="s">
        <v>822</v>
      </c>
      <c r="AT30" s="658" t="s">
        <v>823</v>
      </c>
      <c r="AU30" s="658" cm="1">
        <f t="array" ref="AU30">AC30</f>
        <v>0</v>
      </c>
      <c r="AW30" s="449" t="b">
        <v>1</v>
      </c>
    </row>
    <row r="31" spans="3:49" ht="14.65" hidden="1" customHeight="1" x14ac:dyDescent="0.15">
      <c r="C31" s="38"/>
      <c r="E31" s="449">
        <v>15</v>
      </c>
      <c r="F31" s="3" cm="1">
        <f t="array" aca="1" ref="F31" ca="1">OFFSET(E31,-1,1)</f>
        <v>0</v>
      </c>
      <c r="G31" s="38"/>
      <c r="H31" s="22" t="str">
        <f>"!= 0"</f>
        <v>!= 0</v>
      </c>
      <c r="T31" s="353" t="b" cm="1">
        <f t="array" ref="T31">T29</f>
        <v>0</v>
      </c>
      <c r="W31" s="517" t="s">
        <v>824</v>
      </c>
      <c r="X31" s="1022"/>
      <c r="Z31" s="1023"/>
      <c r="AB31" s="768"/>
      <c r="AC31" s="769" t="s">
        <v>176</v>
      </c>
      <c r="AD31" s="769"/>
      <c r="AE31" s="769"/>
      <c r="AF31" s="769"/>
      <c r="AG31" s="769"/>
      <c r="AH31" s="769"/>
      <c r="AI31" s="769"/>
      <c r="AJ31" s="769"/>
      <c r="AK31" s="769"/>
      <c r="AL31" s="769"/>
      <c r="AM31" s="769"/>
      <c r="AN31" s="769"/>
      <c r="AO31" s="769"/>
      <c r="AP31" s="770"/>
      <c r="AV31" s="449" t="s">
        <v>823</v>
      </c>
    </row>
    <row r="32" spans="3:49" ht="14.25" customHeight="1" x14ac:dyDescent="0.15">
      <c r="E32" s="449">
        <v>15</v>
      </c>
      <c r="F32" s="365" t="str" cm="1">
        <f t="array" ref="F32">X32</f>
        <v>1</v>
      </c>
      <c r="G32" s="22" t="s">
        <v>821</v>
      </c>
      <c r="T32" s="353" t="b">
        <f>X32&gt;0</f>
        <v>1</v>
      </c>
      <c r="V32" s="22" t="str" cm="1">
        <f t="array" ref="V32">Баланс!$AB$118</f>
        <v>Тариф 1 (Водоснабжение) - тариф на техническую воду</v>
      </c>
      <c r="X32" s="1022" t="s">
        <v>275</v>
      </c>
      <c r="Z32" s="1023"/>
      <c r="AB32" s="97" t="str" cm="1">
        <f t="array" ref="AB32">Баланс!$AB$118</f>
        <v>Тариф 1 (Водоснабжение) - тариф на техническую воду</v>
      </c>
      <c r="AC32" s="94"/>
      <c r="AD32" s="94"/>
      <c r="AE32" s="94"/>
      <c r="AF32" s="94"/>
      <c r="AG32" s="94"/>
      <c r="AH32" s="94"/>
      <c r="AI32" s="94"/>
      <c r="AJ32" s="94"/>
      <c r="AK32" s="397">
        <f>SUM(AK33:AK34)</f>
        <v>0</v>
      </c>
      <c r="AL32" s="397">
        <f>SUM(AL33:AL34)</f>
        <v>0</v>
      </c>
      <c r="AM32" s="397">
        <f>SUM(AM33:AM34)</f>
        <v>0</v>
      </c>
      <c r="AN32" s="397">
        <f>SUM(AN33:AN34)</f>
        <v>0</v>
      </c>
      <c r="AO32" s="94"/>
      <c r="AP32" s="94"/>
    </row>
    <row r="33" spans="1:49" ht="14.25" hidden="1" customHeight="1" x14ac:dyDescent="0.15">
      <c r="E33" s="449">
        <v>15</v>
      </c>
      <c r="F33" s="3" t="str" cm="1">
        <f t="array" aca="1" ref="F33" ca="1">OFFSET(E33,-1,1)</f>
        <v>1</v>
      </c>
      <c r="H33" s="22" cm="1">
        <f t="array" ref="H33">AB33</f>
        <v>0</v>
      </c>
      <c r="T33" s="353" t="b">
        <f ca="1">AND(F33&gt;0,AB33&gt;0)</f>
        <v>0</v>
      </c>
      <c r="W33" s="517" t="s">
        <v>172</v>
      </c>
      <c r="X33" s="1022"/>
      <c r="Z33" s="1023"/>
      <c r="AA33" s="320" t="s">
        <v>173</v>
      </c>
      <c r="AB33" s="9">
        <v>0</v>
      </c>
      <c r="AC33" s="843"/>
      <c r="AD33" s="844"/>
      <c r="AE33" s="844"/>
      <c r="AF33" s="845"/>
      <c r="AG33" s="846"/>
      <c r="AH33" s="846"/>
      <c r="AI33" s="847"/>
      <c r="AJ33" s="398">
        <f>IF(AH33=0,0,AG33/AH33)</f>
        <v>0</v>
      </c>
      <c r="AK33" s="848"/>
      <c r="AL33" s="849">
        <f>AK33*$AJ33</f>
        <v>0</v>
      </c>
      <c r="AM33" s="848"/>
      <c r="AN33" s="398">
        <f>AM33*$AJ33</f>
        <v>0</v>
      </c>
      <c r="AO33" s="850"/>
      <c r="AP33" s="850"/>
      <c r="AS33" s="658" t="s">
        <v>822</v>
      </c>
      <c r="AT33" s="658" t="s">
        <v>823</v>
      </c>
      <c r="AU33" s="658" cm="1">
        <f t="array" ref="AU33">AC33</f>
        <v>0</v>
      </c>
      <c r="AW33" s="449" t="b">
        <v>1</v>
      </c>
    </row>
    <row r="34" spans="1:49" ht="14.25" customHeight="1" x14ac:dyDescent="0.15">
      <c r="C34" s="38"/>
      <c r="E34" s="449">
        <v>15</v>
      </c>
      <c r="F34" s="3" t="str" cm="1">
        <f t="array" aca="1" ref="F34" ca="1">OFFSET(E34,-1,1)</f>
        <v>1</v>
      </c>
      <c r="G34" s="38"/>
      <c r="H34" s="22" t="str">
        <f>"!= 0"</f>
        <v>!= 0</v>
      </c>
      <c r="T34" s="353" t="b" cm="1">
        <f t="array" ref="T34">T32</f>
        <v>1</v>
      </c>
      <c r="W34" s="517" t="s">
        <v>824</v>
      </c>
      <c r="X34" s="1022"/>
      <c r="Z34" s="1023"/>
      <c r="AB34" s="768"/>
      <c r="AC34" s="769" t="s">
        <v>176</v>
      </c>
      <c r="AD34" s="769"/>
      <c r="AE34" s="769"/>
      <c r="AF34" s="769"/>
      <c r="AG34" s="769"/>
      <c r="AH34" s="769"/>
      <c r="AI34" s="769"/>
      <c r="AJ34" s="769"/>
      <c r="AK34" s="769"/>
      <c r="AL34" s="769"/>
      <c r="AM34" s="769"/>
      <c r="AN34" s="769"/>
      <c r="AO34" s="769"/>
      <c r="AP34" s="770"/>
      <c r="AV34" s="449" t="s">
        <v>823</v>
      </c>
    </row>
    <row r="35" spans="1:49" ht="14.25" customHeight="1" x14ac:dyDescent="0.15">
      <c r="E35" s="449">
        <v>15</v>
      </c>
      <c r="F35" s="365" t="str" cm="1">
        <f t="array" ref="F35">X35</f>
        <v>2</v>
      </c>
      <c r="G35" s="22" t="s">
        <v>821</v>
      </c>
      <c r="T35" s="353" t="b">
        <f>X35&gt;0</f>
        <v>1</v>
      </c>
      <c r="V35" s="22" t="str" cm="1">
        <f t="array" ref="V35">Баланс!$AB$209</f>
        <v>Тариф 2 (Водоотведение) - тариф на водоотведение</v>
      </c>
      <c r="X35" s="1022" t="s">
        <v>285</v>
      </c>
      <c r="Z35" s="1023"/>
      <c r="AB35" s="97" t="str" cm="1">
        <f t="array" ref="AB35">Баланс!$AB$209</f>
        <v>Тариф 2 (Водоотведение) - тариф на водоотведение</v>
      </c>
      <c r="AC35" s="94"/>
      <c r="AD35" s="94"/>
      <c r="AE35" s="94"/>
      <c r="AF35" s="94"/>
      <c r="AG35" s="94"/>
      <c r="AH35" s="94"/>
      <c r="AI35" s="94"/>
      <c r="AJ35" s="94"/>
      <c r="AK35" s="397">
        <f>SUM(AK36:AK37)</f>
        <v>0</v>
      </c>
      <c r="AL35" s="397">
        <f>SUM(AL36:AL37)</f>
        <v>0</v>
      </c>
      <c r="AM35" s="397">
        <f>SUM(AM36:AM37)</f>
        <v>0</v>
      </c>
      <c r="AN35" s="397">
        <f>SUM(AN36:AN37)</f>
        <v>0</v>
      </c>
      <c r="AO35" s="94"/>
      <c r="AP35" s="94"/>
    </row>
    <row r="36" spans="1:49" ht="14.25" hidden="1" customHeight="1" x14ac:dyDescent="0.15">
      <c r="E36" s="449">
        <v>15</v>
      </c>
      <c r="F36" s="3" t="str" cm="1">
        <f t="array" aca="1" ref="F36" ca="1">OFFSET(E36,-1,1)</f>
        <v>2</v>
      </c>
      <c r="H36" s="22" cm="1">
        <f t="array" ref="H36">AB36</f>
        <v>0</v>
      </c>
      <c r="T36" s="353" t="b">
        <f ca="1">AND(F36&gt;0,AB36&gt;0)</f>
        <v>0</v>
      </c>
      <c r="W36" s="517" t="s">
        <v>172</v>
      </c>
      <c r="X36" s="1022"/>
      <c r="Z36" s="1023"/>
      <c r="AA36" s="320" t="s">
        <v>173</v>
      </c>
      <c r="AB36" s="9">
        <v>0</v>
      </c>
      <c r="AC36" s="843"/>
      <c r="AD36" s="844"/>
      <c r="AE36" s="844"/>
      <c r="AF36" s="845"/>
      <c r="AG36" s="846"/>
      <c r="AH36" s="846"/>
      <c r="AI36" s="847"/>
      <c r="AJ36" s="398">
        <f>IF(AH36=0,0,AG36/AH36)</f>
        <v>0</v>
      </c>
      <c r="AK36" s="848"/>
      <c r="AL36" s="849">
        <f>AK36*$AJ36</f>
        <v>0</v>
      </c>
      <c r="AM36" s="848"/>
      <c r="AN36" s="398">
        <f>AM36*$AJ36</f>
        <v>0</v>
      </c>
      <c r="AO36" s="850"/>
      <c r="AP36" s="850"/>
      <c r="AS36" s="658" t="s">
        <v>822</v>
      </c>
      <c r="AT36" s="658" t="s">
        <v>823</v>
      </c>
      <c r="AU36" s="658" cm="1">
        <f t="array" ref="AU36">AC36</f>
        <v>0</v>
      </c>
      <c r="AW36" s="449" t="b">
        <v>1</v>
      </c>
    </row>
    <row r="37" spans="1:49" ht="14.25" customHeight="1" x14ac:dyDescent="0.15">
      <c r="C37" s="38"/>
      <c r="E37" s="449">
        <v>15</v>
      </c>
      <c r="F37" s="3" t="str" cm="1">
        <f t="array" aca="1" ref="F37" ca="1">OFFSET(E37,-1,1)</f>
        <v>2</v>
      </c>
      <c r="G37" s="38"/>
      <c r="H37" s="22" t="str">
        <f>"!= 0"</f>
        <v>!= 0</v>
      </c>
      <c r="T37" s="353" t="b" cm="1">
        <f t="array" ref="T37">T35</f>
        <v>1</v>
      </c>
      <c r="W37" s="517" t="s">
        <v>824</v>
      </c>
      <c r="X37" s="1022"/>
      <c r="Z37" s="1023"/>
      <c r="AB37" s="768"/>
      <c r="AC37" s="769" t="s">
        <v>176</v>
      </c>
      <c r="AD37" s="769"/>
      <c r="AE37" s="769"/>
      <c r="AF37" s="769"/>
      <c r="AG37" s="769"/>
      <c r="AH37" s="769"/>
      <c r="AI37" s="769"/>
      <c r="AJ37" s="769"/>
      <c r="AK37" s="769"/>
      <c r="AL37" s="769"/>
      <c r="AM37" s="769"/>
      <c r="AN37" s="769"/>
      <c r="AO37" s="769"/>
      <c r="AP37" s="770"/>
      <c r="AV37" s="449" t="s">
        <v>823</v>
      </c>
    </row>
    <row r="38" spans="1:49" ht="14.25" customHeight="1" x14ac:dyDescent="0.15">
      <c r="E38" s="449">
        <v>15</v>
      </c>
      <c r="F38" s="365" t="str" cm="1">
        <f t="array" ref="F38">X38</f>
        <v>3</v>
      </c>
      <c r="G38" s="22" t="s">
        <v>821</v>
      </c>
      <c r="T38" s="353" t="b">
        <f>X38&gt;0</f>
        <v>1</v>
      </c>
      <c r="V38" s="22" t="str" cm="1">
        <f t="array" ref="V38">Баланс!$AB$300</f>
        <v>Тариф 3 (Водоотведение) - тариф на транспортировку сточных вод</v>
      </c>
      <c r="X38" s="1022" t="s">
        <v>291</v>
      </c>
      <c r="Z38" s="1023"/>
      <c r="AB38" s="97" t="str" cm="1">
        <f t="array" ref="AB38">Баланс!$AB$300</f>
        <v>Тариф 3 (Водоотведение) - тариф на транспортировку сточных вод</v>
      </c>
      <c r="AC38" s="94"/>
      <c r="AD38" s="94"/>
      <c r="AE38" s="94"/>
      <c r="AF38" s="94"/>
      <c r="AG38" s="94"/>
      <c r="AH38" s="94"/>
      <c r="AI38" s="94"/>
      <c r="AJ38" s="94"/>
      <c r="AK38" s="397">
        <f>SUM(AK39:AK40)</f>
        <v>0</v>
      </c>
      <c r="AL38" s="397">
        <f>SUM(AL39:AL40)</f>
        <v>0</v>
      </c>
      <c r="AM38" s="397">
        <f>SUM(AM39:AM40)</f>
        <v>0</v>
      </c>
      <c r="AN38" s="397">
        <f>SUM(AN39:AN40)</f>
        <v>0</v>
      </c>
      <c r="AO38" s="94"/>
      <c r="AP38" s="94"/>
    </row>
    <row r="39" spans="1:49" ht="14.25" hidden="1" customHeight="1" x14ac:dyDescent="0.15">
      <c r="E39" s="449">
        <v>15</v>
      </c>
      <c r="F39" s="3" t="str" cm="1">
        <f t="array" aca="1" ref="F39" ca="1">OFFSET(E39,-1,1)</f>
        <v>3</v>
      </c>
      <c r="H39" s="22" cm="1">
        <f t="array" ref="H39">AB39</f>
        <v>0</v>
      </c>
      <c r="T39" s="353" t="b">
        <f ca="1">AND(F39&gt;0,AB39&gt;0)</f>
        <v>0</v>
      </c>
      <c r="W39" s="517" t="s">
        <v>172</v>
      </c>
      <c r="X39" s="1022"/>
      <c r="Z39" s="1023"/>
      <c r="AA39" s="320" t="s">
        <v>173</v>
      </c>
      <c r="AB39" s="9">
        <v>0</v>
      </c>
      <c r="AC39" s="843"/>
      <c r="AD39" s="844"/>
      <c r="AE39" s="844"/>
      <c r="AF39" s="845"/>
      <c r="AG39" s="846"/>
      <c r="AH39" s="846"/>
      <c r="AI39" s="847"/>
      <c r="AJ39" s="398">
        <f>IF(AH39=0,0,AG39/AH39)</f>
        <v>0</v>
      </c>
      <c r="AK39" s="848"/>
      <c r="AL39" s="849">
        <f>AK39*$AJ39</f>
        <v>0</v>
      </c>
      <c r="AM39" s="848"/>
      <c r="AN39" s="398">
        <f>AM39*$AJ39</f>
        <v>0</v>
      </c>
      <c r="AO39" s="850"/>
      <c r="AP39" s="850"/>
      <c r="AS39" s="658" t="s">
        <v>822</v>
      </c>
      <c r="AT39" s="658" t="s">
        <v>823</v>
      </c>
      <c r="AU39" s="658" cm="1">
        <f t="array" ref="AU39">AC39</f>
        <v>0</v>
      </c>
      <c r="AW39" s="449" t="b">
        <v>1</v>
      </c>
    </row>
    <row r="40" spans="1:49" ht="14.25" customHeight="1" x14ac:dyDescent="0.15">
      <c r="C40" s="38"/>
      <c r="E40" s="449">
        <v>15</v>
      </c>
      <c r="F40" s="3" t="str" cm="1">
        <f t="array" aca="1" ref="F40" ca="1">OFFSET(E40,-1,1)</f>
        <v>3</v>
      </c>
      <c r="G40" s="38"/>
      <c r="H40" s="22" t="str">
        <f>"!= 0"</f>
        <v>!= 0</v>
      </c>
      <c r="T40" s="353" t="b" cm="1">
        <f t="array" ref="T40">T38</f>
        <v>1</v>
      </c>
      <c r="W40" s="517" t="s">
        <v>824</v>
      </c>
      <c r="X40" s="1022"/>
      <c r="Z40" s="1023"/>
      <c r="AB40" s="768"/>
      <c r="AC40" s="769" t="s">
        <v>176</v>
      </c>
      <c r="AD40" s="769"/>
      <c r="AE40" s="769"/>
      <c r="AF40" s="769"/>
      <c r="AG40" s="769"/>
      <c r="AH40" s="769"/>
      <c r="AI40" s="769"/>
      <c r="AJ40" s="769"/>
      <c r="AK40" s="769"/>
      <c r="AL40" s="769"/>
      <c r="AM40" s="769"/>
      <c r="AN40" s="769"/>
      <c r="AO40" s="769"/>
      <c r="AP40" s="770"/>
      <c r="AV40" s="449" t="s">
        <v>823</v>
      </c>
    </row>
    <row r="41" spans="1:49" ht="10.9" customHeight="1" x14ac:dyDescent="0.15">
      <c r="E41" s="449">
        <v>11.25</v>
      </c>
      <c r="U41" s="315" t="s">
        <v>176</v>
      </c>
      <c r="V41" s="56" t="s">
        <v>825</v>
      </c>
      <c r="AB41" s="384"/>
      <c r="AC41" s="64"/>
      <c r="AD41" s="384"/>
      <c r="AE41" s="384"/>
      <c r="AF41" s="384"/>
      <c r="AG41" s="384"/>
      <c r="AH41" s="384"/>
      <c r="AI41" s="384"/>
      <c r="AJ41" s="384"/>
      <c r="AK41" s="395"/>
      <c r="AL41" s="395"/>
    </row>
    <row r="42" spans="1:49" s="17" customFormat="1" ht="14.65" customHeight="1" x14ac:dyDescent="0.15">
      <c r="A42" s="365"/>
      <c r="E42" s="461">
        <v>15</v>
      </c>
      <c r="AB42" s="993" t="s">
        <v>408</v>
      </c>
      <c r="AC42" s="993"/>
      <c r="AD42" s="993"/>
      <c r="AE42" s="993"/>
      <c r="AF42" s="993"/>
      <c r="AG42" s="993"/>
      <c r="AH42" s="993"/>
      <c r="AI42" s="993"/>
      <c r="AJ42" s="993"/>
      <c r="AK42" s="1024"/>
      <c r="AL42" s="1024"/>
      <c r="AM42" s="1024"/>
      <c r="AN42" s="1024"/>
      <c r="AO42" s="1024"/>
      <c r="AP42" s="1024"/>
      <c r="AS42" s="671"/>
      <c r="AT42" s="671"/>
      <c r="AU42" s="671"/>
      <c r="AV42" s="461"/>
      <c r="AW42" s="461"/>
    </row>
    <row r="43" spans="1:49" s="17" customFormat="1" ht="14.65" customHeight="1" x14ac:dyDescent="0.15">
      <c r="A43" s="365"/>
      <c r="E43" s="461">
        <v>15</v>
      </c>
      <c r="AA43" s="87"/>
      <c r="AB43" s="1025"/>
      <c r="AC43" s="1025"/>
      <c r="AD43" s="1025"/>
      <c r="AE43" s="1025"/>
      <c r="AF43" s="1025"/>
      <c r="AG43" s="1025"/>
      <c r="AH43" s="1025"/>
      <c r="AI43" s="1025"/>
      <c r="AJ43" s="1025"/>
      <c r="AK43" s="1026"/>
      <c r="AL43" s="1026"/>
      <c r="AM43" s="1026"/>
      <c r="AN43" s="1026"/>
      <c r="AO43" s="1026"/>
      <c r="AP43" s="1026"/>
      <c r="AS43" s="671"/>
      <c r="AT43" s="671"/>
      <c r="AU43" s="671"/>
      <c r="AV43" s="461"/>
      <c r="AW43" s="461"/>
    </row>
    <row r="44" spans="1:49" s="17" customFormat="1" ht="14.65" hidden="1" customHeight="1" x14ac:dyDescent="0.15">
      <c r="A44" s="365"/>
      <c r="E44" s="461">
        <v>15</v>
      </c>
      <c r="T44" s="353" t="b">
        <f>ROW(Y44)&gt;ROW(Y$44)</f>
        <v>0</v>
      </c>
      <c r="W44" s="517" t="s">
        <v>172</v>
      </c>
      <c r="AA44" s="320" t="s">
        <v>173</v>
      </c>
      <c r="AB44" s="1020"/>
      <c r="AC44" s="978"/>
      <c r="AD44" s="978"/>
      <c r="AE44" s="978"/>
      <c r="AF44" s="978"/>
      <c r="AG44" s="978"/>
      <c r="AH44" s="978"/>
      <c r="AI44" s="978"/>
      <c r="AJ44" s="978"/>
      <c r="AK44" s="978"/>
      <c r="AL44" s="978"/>
      <c r="AM44" s="978"/>
      <c r="AN44" s="978"/>
      <c r="AO44" s="978"/>
      <c r="AP44" s="1021"/>
      <c r="AS44" s="671"/>
      <c r="AT44" s="671"/>
      <c r="AU44" s="671"/>
      <c r="AV44" s="461"/>
      <c r="AW44" s="461"/>
    </row>
    <row r="45" spans="1:49" s="17" customFormat="1" ht="14.65" customHeight="1" x14ac:dyDescent="0.15">
      <c r="A45" s="365"/>
      <c r="E45" s="461">
        <v>15</v>
      </c>
      <c r="W45" s="517" t="s">
        <v>419</v>
      </c>
      <c r="AB45" s="474"/>
      <c r="AC45" s="382" t="s">
        <v>420</v>
      </c>
      <c r="AD45" s="218"/>
      <c r="AE45" s="218"/>
      <c r="AF45" s="218"/>
      <c r="AG45" s="218"/>
      <c r="AH45" s="218"/>
      <c r="AI45" s="218"/>
      <c r="AJ45" s="218"/>
      <c r="AK45" s="219"/>
      <c r="AL45" s="219"/>
      <c r="AM45" s="219"/>
      <c r="AN45" s="219"/>
      <c r="AO45" s="219"/>
      <c r="AP45" s="220"/>
      <c r="AS45" s="671"/>
      <c r="AT45" s="671"/>
      <c r="AU45" s="671"/>
      <c r="AV45" s="461"/>
      <c r="AW45" s="461"/>
    </row>
    <row r="46" spans="1:49" ht="10.7" customHeight="1" x14ac:dyDescent="0.15">
      <c r="E46" s="449">
        <v>11</v>
      </c>
      <c r="AC46" s="396"/>
    </row>
  </sheetData>
  <sheetProtection formatColumns="0" formatRows="0" insertRows="0" deleteColumns="0" deleteRows="0" sort="0" autoFilter="0"/>
  <mergeCells count="27">
    <mergeCell ref="AB44:AP44"/>
    <mergeCell ref="X29:X31"/>
    <mergeCell ref="Z29:Z31"/>
    <mergeCell ref="AB42:AP42"/>
    <mergeCell ref="AB43:AP43"/>
    <mergeCell ref="X32:X34"/>
    <mergeCell ref="Z32:Z34"/>
    <mergeCell ref="X35:X37"/>
    <mergeCell ref="Z35:Z37"/>
    <mergeCell ref="X38:X40"/>
    <mergeCell ref="Z38:Z40"/>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AH38 AG39 AH39 AK39 AM39"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AE39"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AD39"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AI39"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AF39"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AC39"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17A8-32C8-BB44-4148-69C7657A6E99}">
  <sheetPr>
    <tabColor rgb="FF002060"/>
    <outlinePr summaryBelow="0" summaryRight="0"/>
    <pageSetUpPr fitToPage="1"/>
  </sheetPr>
  <dimension ref="A1:BJ88"/>
  <sheetViews>
    <sheetView showGridLines="0" zoomScale="120" workbookViewId="0">
      <pane xSplit="30" ySplit="25" topLeftCell="AE78" activePane="bottomRight" state="frozen"/>
      <selection pane="topRight" activeCell="AE1" sqref="AE1"/>
      <selection pane="bottomLeft" activeCell="A26" sqref="A26"/>
      <selection pane="bottomRight" activeCell="AA87" sqref="AA87"/>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1"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32.42578125"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118.85546875" style="17" customWidth="1"/>
    <col min="56" max="56" width="3" style="17" customWidth="1"/>
    <col min="57" max="57" width="9.140625" style="17" hidden="1"/>
    <col min="58" max="60" width="9.140625" style="671" hidden="1"/>
    <col min="61" max="62" width="9.140625" style="461" hidden="1"/>
  </cols>
  <sheetData>
    <row r="1" spans="1:62" ht="11.25" hidden="1" customHeight="1" x14ac:dyDescent="0.15">
      <c r="E1" s="17"/>
      <c r="F1" s="17" t="s">
        <v>320</v>
      </c>
      <c r="G1" s="17" t="s">
        <v>330</v>
      </c>
      <c r="H1" s="17" t="s">
        <v>355</v>
      </c>
      <c r="T1" s="353" t="s">
        <v>92</v>
      </c>
      <c r="U1" s="353" t="s">
        <v>97</v>
      </c>
      <c r="V1" s="353" t="s">
        <v>93</v>
      </c>
      <c r="W1" s="353" t="s">
        <v>94</v>
      </c>
      <c r="X1" s="353" t="s">
        <v>95</v>
      </c>
      <c r="Z1" s="353" t="s">
        <v>99</v>
      </c>
      <c r="AA1" s="355" t="s">
        <v>96</v>
      </c>
      <c r="AB1" s="355" t="s">
        <v>322</v>
      </c>
      <c r="AC1" s="354" t="s">
        <v>98</v>
      </c>
      <c r="BF1" s="671" t="s">
        <v>323</v>
      </c>
      <c r="BG1" s="671" t="s">
        <v>324</v>
      </c>
      <c r="BH1" s="671" t="s">
        <v>325</v>
      </c>
      <c r="BI1" s="461" t="s">
        <v>328</v>
      </c>
      <c r="BJ1" s="461" t="s">
        <v>329</v>
      </c>
    </row>
    <row r="2" spans="1:62" s="46" customFormat="1" ht="11.25" hidden="1" customHeight="1" x14ac:dyDescent="0.15">
      <c r="B2" s="341"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7"/>
      <c r="BJ2" s="677"/>
    </row>
    <row r="3" spans="1:62" ht="11.25" hidden="1" customHeight="1" x14ac:dyDescent="0.15">
      <c r="E3" s="17"/>
    </row>
    <row r="4" spans="1:62" ht="11.25" hidden="1" customHeight="1" x14ac:dyDescent="0.15">
      <c r="E4" s="17"/>
    </row>
    <row r="5" spans="1:62" s="461" customFormat="1" ht="11.25" hidden="1" customHeight="1" x14ac:dyDescent="0.15">
      <c r="A5" s="17"/>
      <c r="B5" s="46"/>
      <c r="C5" s="17"/>
      <c r="D5" s="17"/>
      <c r="E5" s="461" t="s">
        <v>19</v>
      </c>
      <c r="AA5" s="461">
        <v>3</v>
      </c>
      <c r="AB5" s="461">
        <v>9.7100000000000009</v>
      </c>
      <c r="AC5" s="461">
        <v>20</v>
      </c>
      <c r="AD5" s="461">
        <v>8.57</v>
      </c>
      <c r="AE5" s="461">
        <v>12.57</v>
      </c>
      <c r="AF5" s="461">
        <v>12.57</v>
      </c>
      <c r="AG5" s="461">
        <v>12.57</v>
      </c>
      <c r="AH5" s="461">
        <v>12.57</v>
      </c>
      <c r="AI5" s="461">
        <v>12.57</v>
      </c>
      <c r="AJ5" s="461">
        <v>12.57</v>
      </c>
      <c r="AK5" s="461">
        <v>12.57</v>
      </c>
      <c r="AL5" s="461">
        <v>12.57</v>
      </c>
      <c r="AM5" s="461">
        <v>12.57</v>
      </c>
      <c r="AN5" s="461">
        <v>12.57</v>
      </c>
      <c r="AO5" s="461">
        <v>12.57</v>
      </c>
      <c r="AP5" s="461">
        <v>12.57</v>
      </c>
      <c r="AQ5" s="461">
        <v>12.57</v>
      </c>
      <c r="AR5" s="461">
        <v>12.57</v>
      </c>
      <c r="AS5" s="461">
        <v>12.57</v>
      </c>
      <c r="AT5" s="461">
        <v>12.57</v>
      </c>
      <c r="AU5" s="461">
        <v>12.57</v>
      </c>
      <c r="AV5" s="461">
        <v>12.57</v>
      </c>
      <c r="AW5" s="461">
        <v>12.57</v>
      </c>
      <c r="AX5" s="461">
        <v>12.57</v>
      </c>
      <c r="AY5" s="461">
        <v>12.57</v>
      </c>
      <c r="AZ5" s="461">
        <v>12.57</v>
      </c>
      <c r="BA5" s="461">
        <v>12.57</v>
      </c>
      <c r="BB5" s="461">
        <v>12.57</v>
      </c>
      <c r="BC5" s="461">
        <v>20</v>
      </c>
      <c r="BD5" s="461">
        <v>3</v>
      </c>
      <c r="BF5" s="671"/>
      <c r="BG5" s="671"/>
      <c r="BH5" s="671"/>
    </row>
    <row r="6" spans="1:62" ht="11.25" hidden="1" customHeight="1" x14ac:dyDescent="0.15">
      <c r="A6" s="17" t="s">
        <v>358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71" customFormat="1" ht="11.25" hidden="1" customHeight="1" x14ac:dyDescent="0.15">
      <c r="A9" s="671" t="s">
        <v>363</v>
      </c>
      <c r="B9" s="672"/>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1"/>
      <c r="BJ9" s="461"/>
    </row>
    <row r="10" spans="1:62" s="671" customFormat="1" ht="11.25" hidden="1" customHeight="1" x14ac:dyDescent="0.15">
      <c r="A10" s="671" t="s">
        <v>364</v>
      </c>
      <c r="B10" s="672"/>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1"/>
      <c r="BJ10" s="461"/>
    </row>
    <row r="11" spans="1:62" s="671" customFormat="1" ht="11.25" hidden="1" customHeight="1" x14ac:dyDescent="0.15">
      <c r="A11" s="671" t="s">
        <v>365</v>
      </c>
      <c r="B11" s="672"/>
      <c r="BC11" s="671" t="str" cm="1">
        <f t="array" ref="BC11">BC24</f>
        <v>Ссылка на правовую норму (основание для принятия показателя в расчет тарифа)</v>
      </c>
      <c r="BI11" s="461"/>
      <c r="BJ11" s="461"/>
    </row>
    <row r="12" spans="1:62" s="671" customFormat="1" ht="11.25" hidden="1" customHeight="1" x14ac:dyDescent="0.15">
      <c r="A12" s="671" t="s">
        <v>337</v>
      </c>
      <c r="B12" s="672"/>
      <c r="AC12" s="671" t="s">
        <v>325</v>
      </c>
      <c r="BI12" s="461"/>
      <c r="BJ12" s="461"/>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366</v>
      </c>
      <c r="AC18" s="17" t="s">
        <v>193</v>
      </c>
    </row>
    <row r="19" spans="1:62" ht="11.25" hidden="1" customHeight="1" x14ac:dyDescent="0.15"/>
    <row r="20" spans="1:62" ht="11.25" hidden="1" customHeight="1" x14ac:dyDescent="0.15"/>
    <row r="21" spans="1:62" ht="14.65" customHeight="1" x14ac:dyDescent="0.15">
      <c r="E21" s="461">
        <v>15</v>
      </c>
      <c r="AA21" s="59"/>
      <c r="AC21" s="3" t="str" cm="1">
        <f t="array" ref="AC21">tpl_title</f>
        <v>Кемеровская область / 2026 / КАО "Азот" (ИНН:4205000908, КПП:997550001) / ДПР: 2024-2028</v>
      </c>
    </row>
    <row r="22" spans="1:62" s="59" customFormat="1" ht="14.65" customHeight="1" x14ac:dyDescent="0.15">
      <c r="B22" s="46"/>
      <c r="E22" s="462">
        <v>15</v>
      </c>
      <c r="AB22" s="226" t="s">
        <v>826</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4"/>
      <c r="BG22" s="674"/>
      <c r="BH22" s="674"/>
      <c r="BI22" s="462"/>
      <c r="BJ22" s="462"/>
    </row>
    <row r="23" spans="1:62" s="59" customFormat="1" ht="10.9" customHeight="1" x14ac:dyDescent="0.15">
      <c r="B23" s="46"/>
      <c r="E23" s="462">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4"/>
      <c r="BG23" s="674"/>
      <c r="BH23" s="674"/>
      <c r="BI23" s="462"/>
      <c r="BJ23" s="462"/>
    </row>
    <row r="24" spans="1:62" s="60" customFormat="1" ht="14.65" customHeight="1" x14ac:dyDescent="0.15">
      <c r="B24" s="326"/>
      <c r="E24" s="459">
        <v>15</v>
      </c>
      <c r="AB24" s="1027" t="s">
        <v>21</v>
      </c>
      <c r="AC24" s="1027" t="s">
        <v>367</v>
      </c>
      <c r="AD24" s="1027" t="s">
        <v>368</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94" t="s">
        <v>553</v>
      </c>
      <c r="BF24" s="669"/>
      <c r="BG24" s="669"/>
      <c r="BH24" s="669"/>
      <c r="BI24" s="459"/>
      <c r="BJ24" s="459"/>
    </row>
    <row r="25" spans="1:62" s="60" customFormat="1" ht="48.75" customHeight="1" x14ac:dyDescent="0.15">
      <c r="B25" s="326"/>
      <c r="E25" s="459">
        <v>50</v>
      </c>
      <c r="F25" s="60" t="s">
        <v>370</v>
      </c>
      <c r="AB25" s="1027"/>
      <c r="AC25" s="1027"/>
      <c r="AD25" s="1027"/>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994"/>
      <c r="BF25" s="669"/>
      <c r="BG25" s="669"/>
      <c r="BH25" s="669"/>
      <c r="BI25" s="459"/>
      <c r="BJ25" s="459"/>
    </row>
    <row r="26" spans="1:62" ht="11.25" hidden="1" customHeight="1" x14ac:dyDescent="0.15">
      <c r="A26" s="315"/>
      <c r="B26" s="479"/>
      <c r="C26" s="315"/>
      <c r="D26" s="315"/>
      <c r="E26" s="480">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4"/>
      <c r="BJ26" s="454"/>
    </row>
    <row r="27" spans="1:62" s="60" customFormat="1" ht="14.65" hidden="1" customHeight="1" x14ac:dyDescent="0.15">
      <c r="B27" s="326"/>
      <c r="E27" s="459">
        <v>15</v>
      </c>
      <c r="F27" s="253" cm="1">
        <f t="array" ref="F27">X27</f>
        <v>0</v>
      </c>
      <c r="G27" s="62"/>
      <c r="H27" s="62"/>
      <c r="T27" s="353" t="b">
        <f>X27&gt;0</f>
        <v>0</v>
      </c>
      <c r="V27" s="60" t="s">
        <v>264</v>
      </c>
      <c r="X27" s="964">
        <v>0</v>
      </c>
      <c r="Z27" s="992"/>
      <c r="AB27" s="97" t="str" cm="1">
        <f t="array" ref="AB27">INDEX('Общие сведения'!$AG$179:$AG$236,MATCH($X27,'Общие сведения'!$Z$179:$Z$236,0))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9"/>
      <c r="BG27" s="669"/>
      <c r="BH27" s="669"/>
      <c r="BI27" s="459"/>
      <c r="BJ27" s="459"/>
    </row>
    <row r="28" spans="1:62" s="62" customFormat="1" ht="14.65" hidden="1" customHeight="1" x14ac:dyDescent="0.15">
      <c r="B28" s="326"/>
      <c r="D28" s="364"/>
      <c r="E28" s="179">
        <v>15</v>
      </c>
      <c r="F28" s="3" cm="1">
        <f t="array" aca="1" ref="F28" ca="1">OFFSET(E28,-1,1)</f>
        <v>0</v>
      </c>
      <c r="H28" s="62" t="str" cm="1">
        <f t="array" ref="H28">AC28</f>
        <v>Всего по тарифу</v>
      </c>
      <c r="K28" s="364" t="str">
        <f ca="1">F28&amp;"komm"</f>
        <v>0komm</v>
      </c>
      <c r="L28" s="607" cm="1">
        <f t="array" ref="L28">BC28</f>
        <v>0</v>
      </c>
      <c r="T28" s="353" t="b" cm="1">
        <f t="array" ref="T28">T27</f>
        <v>0</v>
      </c>
      <c r="X28" s="964"/>
      <c r="Z28" s="992"/>
      <c r="AB28" s="61"/>
      <c r="AC28" s="54" t="s">
        <v>827</v>
      </c>
      <c r="AD28" s="12" t="s">
        <v>828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6"/>
      <c r="BF28" s="678" t="s">
        <v>829</v>
      </c>
      <c r="BG28" s="678"/>
      <c r="BH28" s="678"/>
      <c r="BI28" s="179"/>
      <c r="BJ28" s="179"/>
    </row>
    <row r="29" spans="1:62" s="62" customFormat="1" ht="14.65" hidden="1" customHeight="1" x14ac:dyDescent="0.15">
      <c r="B29" s="326"/>
      <c r="E29" s="179">
        <v>15</v>
      </c>
      <c r="F29" s="3" cm="1">
        <f t="array" aca="1" ref="F29" ca="1">OFFSET(E29,-1,1)</f>
        <v>0</v>
      </c>
      <c r="G29" s="62" t="s">
        <v>331</v>
      </c>
      <c r="H29" s="62" cm="1">
        <f t="array" ref="H29">AC29</f>
        <v>0</v>
      </c>
      <c r="T29" s="353" t="b">
        <f ca="1">AND(F29&gt;0,AB29&gt;0)</f>
        <v>0</v>
      </c>
      <c r="W29" s="517" t="s">
        <v>172</v>
      </c>
      <c r="X29" s="964"/>
      <c r="Z29" s="992"/>
      <c r="AA29" s="482" t="s">
        <v>173</v>
      </c>
      <c r="AB29" s="8">
        <v>0</v>
      </c>
      <c r="AC29" s="851"/>
      <c r="AD29" s="12" t="s">
        <v>828</v>
      </c>
      <c r="AE29" s="820"/>
      <c r="AF29" s="820"/>
      <c r="AG29" s="820"/>
      <c r="AH29" s="820"/>
      <c r="AI29" s="57"/>
      <c r="AJ29" s="820"/>
      <c r="AK29" s="820"/>
      <c r="AL29" s="820"/>
      <c r="AM29" s="820"/>
      <c r="AN29" s="820"/>
      <c r="AO29" s="820"/>
      <c r="AP29" s="820"/>
      <c r="AQ29" s="820"/>
      <c r="AR29" s="820"/>
      <c r="AS29" s="57"/>
      <c r="AT29" s="820"/>
      <c r="AU29" s="820"/>
      <c r="AV29" s="820"/>
      <c r="AW29" s="820"/>
      <c r="AX29" s="820"/>
      <c r="AY29" s="820"/>
      <c r="AZ29" s="820"/>
      <c r="BA29" s="820"/>
      <c r="BB29" s="820"/>
      <c r="BC29" s="826"/>
      <c r="BF29" s="678" t="s">
        <v>830</v>
      </c>
      <c r="BG29" s="678" t="s">
        <v>831</v>
      </c>
      <c r="BH29" s="678" cm="1">
        <f t="array" ref="BH29">AC29</f>
        <v>0</v>
      </c>
      <c r="BI29" s="179"/>
      <c r="BJ29" s="179" t="b">
        <v>1</v>
      </c>
    </row>
    <row r="30" spans="1:62" s="59" customFormat="1" ht="14.65" hidden="1" customHeight="1" x14ac:dyDescent="0.15">
      <c r="B30" s="46"/>
      <c r="E30" s="462">
        <v>15</v>
      </c>
      <c r="F30" s="3" cm="1">
        <f t="array" aca="1" ref="F30" ca="1">OFFSET(E30,-1,1)</f>
        <v>0</v>
      </c>
      <c r="H30" s="59" t="str">
        <f>"!== 'Всего по тарифу'"</f>
        <v>!== 'Всего по тарифу'</v>
      </c>
      <c r="T30" s="353" t="b" cm="1">
        <f t="array" ref="T30">T27</f>
        <v>0</v>
      </c>
      <c r="W30" s="517" t="s">
        <v>832</v>
      </c>
      <c r="X30" s="964"/>
      <c r="Z30" s="992"/>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4"/>
      <c r="BG30" s="674"/>
      <c r="BH30" s="674"/>
      <c r="BI30" s="462" t="s">
        <v>831</v>
      </c>
      <c r="BJ30" s="462"/>
    </row>
    <row r="31" spans="1:62" s="838" customFormat="1" ht="21.6" customHeight="1" x14ac:dyDescent="0.15">
      <c r="A31" s="60"/>
      <c r="B31" s="326"/>
      <c r="C31" s="60"/>
      <c r="D31" s="60"/>
      <c r="E31" s="459">
        <v>15</v>
      </c>
      <c r="F31" s="253" t="str" cm="1">
        <f t="array" ref="F31">X31</f>
        <v>1</v>
      </c>
      <c r="G31" s="62"/>
      <c r="H31" s="62"/>
      <c r="I31" s="60"/>
      <c r="J31" s="60"/>
      <c r="K31" s="60"/>
      <c r="L31" s="60"/>
      <c r="M31" s="60"/>
      <c r="N31" s="60"/>
      <c r="O31" s="60"/>
      <c r="P31" s="60"/>
      <c r="Q31" s="60"/>
      <c r="R31" s="60"/>
      <c r="S31" s="60"/>
      <c r="T31" s="353" t="b">
        <f>X31&gt;0</f>
        <v>1</v>
      </c>
      <c r="U31" s="60"/>
      <c r="V31" s="60" t="str" cm="1">
        <f t="array" ref="V31">'Условные метры'!$AB$32</f>
        <v>Тариф 1 (Водоснабжение) - тариф на техническую воду</v>
      </c>
      <c r="W31" s="60"/>
      <c r="X31" s="964" t="s">
        <v>275</v>
      </c>
      <c r="Y31" s="60"/>
      <c r="Z31" s="992"/>
      <c r="AA31" s="60"/>
      <c r="AB31" s="97" t="str" cm="1">
        <f t="array" ref="AB31">'Условные метры'!$AB$32</f>
        <v>Тариф 1 (Водоснабжение) - тариф на техническую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9"/>
      <c r="BG31" s="669"/>
      <c r="BH31" s="669"/>
      <c r="BI31" s="459"/>
      <c r="BJ31" s="459"/>
    </row>
    <row r="32" spans="1:62" s="326" customFormat="1" ht="34.700000000000003" customHeight="1" x14ac:dyDescent="0.15">
      <c r="A32" s="62"/>
      <c r="C32" s="62"/>
      <c r="D32" s="364"/>
      <c r="E32" s="179">
        <v>15</v>
      </c>
      <c r="F32" s="3" t="str" cm="1">
        <f t="array" aca="1" ref="F32" ca="1">OFFSET(E32,-1,1)</f>
        <v>1</v>
      </c>
      <c r="G32" s="62"/>
      <c r="H32" s="62" t="str" cm="1">
        <f t="array" ref="H32">AC32</f>
        <v>Всего по тарифу</v>
      </c>
      <c r="I32" s="62"/>
      <c r="J32" s="62"/>
      <c r="K32" s="364" t="str">
        <f ca="1">F32&amp;"komm"</f>
        <v>1komm</v>
      </c>
      <c r="L32" s="607" t="str" cm="1">
        <f t="array" ref="L32">BC32</f>
        <v>П. 49 (10), п. 16, п. 19 Методических указаний ФСТ № 1746-э.</v>
      </c>
      <c r="M32" s="62"/>
      <c r="N32" s="62"/>
      <c r="O32" s="62"/>
      <c r="P32" s="62"/>
      <c r="Q32" s="62"/>
      <c r="R32" s="62"/>
      <c r="S32" s="62"/>
      <c r="T32" s="353" t="b" cm="1">
        <f t="array" ref="T32">T31</f>
        <v>1</v>
      </c>
      <c r="U32" s="62"/>
      <c r="V32" s="62"/>
      <c r="W32" s="62"/>
      <c r="X32" s="964"/>
      <c r="Y32" s="62"/>
      <c r="Z32" s="992"/>
      <c r="AA32" s="62"/>
      <c r="AB32" s="61"/>
      <c r="AC32" s="54" t="s">
        <v>827</v>
      </c>
      <c r="AD32" s="12" t="s">
        <v>828</v>
      </c>
      <c r="AE32" s="58">
        <f t="shared" ref="AE32:BB32" si="2">SUM(AE33:AE36)</f>
        <v>1270.56673555</v>
      </c>
      <c r="AF32" s="58">
        <f t="shared" si="2"/>
        <v>2049.0230507280003</v>
      </c>
      <c r="AG32" s="58">
        <f t="shared" si="2"/>
        <v>2049.0230507280003</v>
      </c>
      <c r="AH32" s="58">
        <f t="shared" si="2"/>
        <v>1559.75</v>
      </c>
      <c r="AI32" s="58">
        <f t="shared" si="2"/>
        <v>2908.8658071249997</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1727.3738144867002</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833</v>
      </c>
      <c r="BD32" s="62"/>
      <c r="BE32" s="62"/>
      <c r="BF32" s="678" t="s">
        <v>829</v>
      </c>
      <c r="BG32" s="678"/>
      <c r="BH32" s="678"/>
      <c r="BI32" s="179"/>
      <c r="BJ32" s="179"/>
    </row>
    <row r="33" spans="1:62" s="326" customFormat="1" ht="14.25" hidden="1" customHeight="1" x14ac:dyDescent="0.15">
      <c r="A33" s="62"/>
      <c r="C33" s="62"/>
      <c r="D33" s="62"/>
      <c r="E33" s="179">
        <v>15</v>
      </c>
      <c r="F33" s="3" t="str" cm="1">
        <f t="array" aca="1" ref="F33" ca="1">OFFSET(E33,-1,1)</f>
        <v>1</v>
      </c>
      <c r="G33" s="62" t="s">
        <v>331</v>
      </c>
      <c r="H33" s="62" cm="1">
        <f t="array" ref="H33">AC33</f>
        <v>0</v>
      </c>
      <c r="I33" s="62"/>
      <c r="J33" s="62"/>
      <c r="K33" s="62"/>
      <c r="L33" s="62"/>
      <c r="M33" s="62"/>
      <c r="N33" s="62"/>
      <c r="O33" s="62"/>
      <c r="P33" s="62"/>
      <c r="Q33" s="62"/>
      <c r="R33" s="62"/>
      <c r="S33" s="62"/>
      <c r="T33" s="353" t="b">
        <f ca="1">AND(F33&gt;0,AB33&gt;0)</f>
        <v>0</v>
      </c>
      <c r="U33" s="62"/>
      <c r="V33" s="62"/>
      <c r="W33" s="517" t="s">
        <v>172</v>
      </c>
      <c r="X33" s="964"/>
      <c r="Y33" s="62"/>
      <c r="Z33" s="992"/>
      <c r="AA33" s="482" t="s">
        <v>173</v>
      </c>
      <c r="AB33" s="8">
        <v>0</v>
      </c>
      <c r="AC33" s="851"/>
      <c r="AD33" s="12" t="s">
        <v>828</v>
      </c>
      <c r="AE33" s="820"/>
      <c r="AF33" s="820"/>
      <c r="AG33" s="820"/>
      <c r="AH33" s="820"/>
      <c r="AI33" s="57"/>
      <c r="AJ33" s="820"/>
      <c r="AK33" s="820"/>
      <c r="AL33" s="820"/>
      <c r="AM33" s="820"/>
      <c r="AN33" s="820"/>
      <c r="AO33" s="820"/>
      <c r="AP33" s="820"/>
      <c r="AQ33" s="820"/>
      <c r="AR33" s="820"/>
      <c r="AS33" s="57"/>
      <c r="AT33" s="820"/>
      <c r="AU33" s="820"/>
      <c r="AV33" s="820"/>
      <c r="AW33" s="820"/>
      <c r="AX33" s="820"/>
      <c r="AY33" s="820"/>
      <c r="AZ33" s="820"/>
      <c r="BA33" s="820"/>
      <c r="BB33" s="820"/>
      <c r="BC33" s="826"/>
      <c r="BD33" s="62"/>
      <c r="BE33" s="62"/>
      <c r="BF33" s="678" t="s">
        <v>830</v>
      </c>
      <c r="BG33" s="678" t="s">
        <v>831</v>
      </c>
      <c r="BH33" s="678" cm="1">
        <f t="array" ref="BH33">AC33</f>
        <v>0</v>
      </c>
      <c r="BI33" s="179"/>
      <c r="BJ33" s="179" t="b">
        <v>1</v>
      </c>
    </row>
    <row r="34" spans="1:62" s="326" customFormat="1" ht="27.95" customHeight="1" x14ac:dyDescent="0.15">
      <c r="A34" s="62"/>
      <c r="C34" s="62"/>
      <c r="D34" s="62"/>
      <c r="E34" s="179">
        <v>15</v>
      </c>
      <c r="F34" s="3" t="str" cm="1">
        <f t="array" aca="1" ref="F34" ca="1">OFFSET(E34,-1,1)</f>
        <v>1</v>
      </c>
      <c r="G34" s="62" t="s">
        <v>331</v>
      </c>
      <c r="H34" s="62" t="str" cm="1">
        <f t="array" ref="H34">AC34</f>
        <v>Оксихлорид алюминия 20% по активной части</v>
      </c>
      <c r="I34" s="62"/>
      <c r="J34" s="62"/>
      <c r="K34" s="62"/>
      <c r="L34" s="62"/>
      <c r="M34" s="62"/>
      <c r="N34" s="62"/>
      <c r="O34" s="62"/>
      <c r="P34" s="62"/>
      <c r="Q34" s="62"/>
      <c r="R34" s="62"/>
      <c r="S34" s="62"/>
      <c r="T34" s="353" t="b">
        <f ca="1">AND(F34&gt;0,AB34&gt;0)</f>
        <v>1</v>
      </c>
      <c r="U34" s="62"/>
      <c r="V34" s="62"/>
      <c r="W34" s="517"/>
      <c r="X34" s="964"/>
      <c r="Y34" s="62"/>
      <c r="Z34" s="992"/>
      <c r="AA34" s="482" t="s">
        <v>173</v>
      </c>
      <c r="AB34" s="8" t="s">
        <v>275</v>
      </c>
      <c r="AC34" s="112" t="s">
        <v>834</v>
      </c>
      <c r="AD34" s="12" t="s">
        <v>828</v>
      </c>
      <c r="AE34" s="57">
        <v>1270.56673555</v>
      </c>
      <c r="AF34" s="57">
        <v>1217.9751253269001</v>
      </c>
      <c r="AG34" s="57">
        <v>1217.9751253269001</v>
      </c>
      <c r="AH34" s="57">
        <v>1559.75</v>
      </c>
      <c r="AI34" s="57">
        <v>2566.6463004043999</v>
      </c>
      <c r="AJ34" s="820"/>
      <c r="AK34" s="820"/>
      <c r="AL34" s="57"/>
      <c r="AM34" s="57"/>
      <c r="AN34" s="57"/>
      <c r="AO34" s="57"/>
      <c r="AP34" s="57"/>
      <c r="AQ34" s="57"/>
      <c r="AR34" s="57"/>
      <c r="AS34" s="57">
        <v>1387.1210709443001</v>
      </c>
      <c r="AT34" s="820"/>
      <c r="AU34" s="820"/>
      <c r="AV34" s="57"/>
      <c r="AW34" s="57"/>
      <c r="AX34" s="57"/>
      <c r="AY34" s="57"/>
      <c r="AZ34" s="57"/>
      <c r="BA34" s="57"/>
      <c r="BB34" s="57"/>
      <c r="BC34" s="113"/>
      <c r="BD34" s="62"/>
      <c r="BE34" s="62"/>
      <c r="BF34" s="678" t="s">
        <v>830</v>
      </c>
      <c r="BG34" s="678" t="s">
        <v>831</v>
      </c>
      <c r="BH34" s="678" t="str" cm="1">
        <f t="array" ref="BH34">AC34</f>
        <v>Оксихлорид алюминия 20% по активной части</v>
      </c>
      <c r="BI34" s="179"/>
      <c r="BJ34" s="179" t="b">
        <v>1</v>
      </c>
    </row>
    <row r="35" spans="1:62" s="326" customFormat="1" ht="30.4" customHeight="1" x14ac:dyDescent="0.15">
      <c r="A35" s="62"/>
      <c r="C35" s="62"/>
      <c r="D35" s="62"/>
      <c r="E35" s="179">
        <v>15</v>
      </c>
      <c r="F35" s="3" t="str" cm="1">
        <f t="array" aca="1" ref="F35" ca="1">OFFSET(E35,-1,1)</f>
        <v>1</v>
      </c>
      <c r="G35" s="62" t="s">
        <v>331</v>
      </c>
      <c r="H35" s="62" t="str" cm="1">
        <f t="array" ref="H35">AC35</f>
        <v>Алюминия полиоксихлорид</v>
      </c>
      <c r="I35" s="62"/>
      <c r="J35" s="62"/>
      <c r="K35" s="62"/>
      <c r="L35" s="62"/>
      <c r="M35" s="62"/>
      <c r="N35" s="62"/>
      <c r="O35" s="62"/>
      <c r="P35" s="62"/>
      <c r="Q35" s="62"/>
      <c r="R35" s="62"/>
      <c r="S35" s="62"/>
      <c r="T35" s="353" t="b">
        <f ca="1">AND(F35&gt;0,AB35&gt;0)</f>
        <v>1</v>
      </c>
      <c r="U35" s="62"/>
      <c r="V35" s="62"/>
      <c r="W35" s="517"/>
      <c r="X35" s="964"/>
      <c r="Y35" s="62"/>
      <c r="Z35" s="992"/>
      <c r="AA35" s="482" t="s">
        <v>173</v>
      </c>
      <c r="AB35" s="8" t="s">
        <v>285</v>
      </c>
      <c r="AC35" s="112" t="s">
        <v>835</v>
      </c>
      <c r="AD35" s="12" t="s">
        <v>828</v>
      </c>
      <c r="AE35" s="57"/>
      <c r="AF35" s="57">
        <v>831.04792540109997</v>
      </c>
      <c r="AG35" s="57">
        <v>831.04792540109997</v>
      </c>
      <c r="AH35" s="57"/>
      <c r="AI35" s="57">
        <v>342.21950672060001</v>
      </c>
      <c r="AJ35" s="820"/>
      <c r="AK35" s="820"/>
      <c r="AL35" s="57"/>
      <c r="AM35" s="57"/>
      <c r="AN35" s="57"/>
      <c r="AO35" s="57"/>
      <c r="AP35" s="57"/>
      <c r="AQ35" s="57"/>
      <c r="AR35" s="57"/>
      <c r="AS35" s="57">
        <v>340.25274354240003</v>
      </c>
      <c r="AT35" s="820"/>
      <c r="AU35" s="820"/>
      <c r="AV35" s="57"/>
      <c r="AW35" s="57"/>
      <c r="AX35" s="57"/>
      <c r="AY35" s="57"/>
      <c r="AZ35" s="57"/>
      <c r="BA35" s="57"/>
      <c r="BB35" s="57"/>
      <c r="BC35" s="113"/>
      <c r="BD35" s="62"/>
      <c r="BE35" s="62"/>
      <c r="BF35" s="678" t="s">
        <v>830</v>
      </c>
      <c r="BG35" s="678" t="s">
        <v>831</v>
      </c>
      <c r="BH35" s="678" t="str" cm="1">
        <f t="array" ref="BH35">AC35</f>
        <v>Алюминия полиоксихлорид</v>
      </c>
      <c r="BI35" s="179"/>
      <c r="BJ35" s="179" t="b">
        <v>1</v>
      </c>
    </row>
    <row r="36" spans="1:62" s="59" customFormat="1" ht="14.25" customHeight="1" x14ac:dyDescent="0.15">
      <c r="B36" s="46"/>
      <c r="E36" s="462">
        <v>15</v>
      </c>
      <c r="F36" s="3" t="str" cm="1">
        <f t="array" aca="1" ref="F36" ca="1">OFFSET(E36,-1,1)</f>
        <v>1</v>
      </c>
      <c r="H36" s="59" t="str">
        <f>"!== 'Всего по тарифу'"</f>
        <v>!== 'Всего по тарифу'</v>
      </c>
      <c r="T36" s="353" t="b" cm="1">
        <f t="array" ref="T36">T31</f>
        <v>1</v>
      </c>
      <c r="W36" s="517" t="s">
        <v>832</v>
      </c>
      <c r="X36" s="964"/>
      <c r="Z36" s="992"/>
      <c r="AB36" s="89"/>
      <c r="AC36" s="92" t="s">
        <v>176</v>
      </c>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101"/>
      <c r="BF36" s="674"/>
      <c r="BG36" s="674"/>
      <c r="BH36" s="674"/>
      <c r="BI36" s="462" t="s">
        <v>831</v>
      </c>
      <c r="BJ36" s="462"/>
    </row>
    <row r="37" spans="1:62" s="838" customFormat="1" ht="24.75" customHeight="1" x14ac:dyDescent="0.15">
      <c r="A37" s="60"/>
      <c r="B37" s="326"/>
      <c r="C37" s="60"/>
      <c r="D37" s="60"/>
      <c r="E37" s="459">
        <v>15</v>
      </c>
      <c r="F37" s="253" t="str" cm="1">
        <f t="array" ref="F37">X37</f>
        <v>2</v>
      </c>
      <c r="G37" s="62"/>
      <c r="H37" s="62"/>
      <c r="I37" s="60"/>
      <c r="J37" s="60"/>
      <c r="K37" s="60"/>
      <c r="L37" s="60"/>
      <c r="M37" s="60"/>
      <c r="N37" s="60"/>
      <c r="O37" s="60"/>
      <c r="P37" s="60"/>
      <c r="Q37" s="60"/>
      <c r="R37" s="60"/>
      <c r="S37" s="60"/>
      <c r="T37" s="353" t="b">
        <f>X37&gt;0</f>
        <v>1</v>
      </c>
      <c r="U37" s="60"/>
      <c r="V37" s="60" t="str" cm="1">
        <f t="array" ref="V37">'Условные метры'!$AB$35</f>
        <v>Тариф 2 (Водоотведение) - тариф на водоотведение</v>
      </c>
      <c r="W37" s="60"/>
      <c r="X37" s="964" t="s">
        <v>285</v>
      </c>
      <c r="Y37" s="60"/>
      <c r="Z37" s="992"/>
      <c r="AA37" s="60"/>
      <c r="AB37" s="97" t="str" cm="1">
        <f t="array" ref="AB37">'Условные метры'!$AB$35</f>
        <v>Тариф 2 (Водоотведение) - тариф на водоотведение</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60"/>
      <c r="BE37" s="60"/>
      <c r="BF37" s="669"/>
      <c r="BG37" s="669"/>
      <c r="BH37" s="669"/>
      <c r="BI37" s="459"/>
      <c r="BJ37" s="459"/>
    </row>
    <row r="38" spans="1:62" s="326" customFormat="1" ht="90.95" customHeight="1" x14ac:dyDescent="0.15">
      <c r="A38" s="62"/>
      <c r="C38" s="62"/>
      <c r="D38" s="364"/>
      <c r="E38" s="179">
        <v>15</v>
      </c>
      <c r="F38" s="3" t="str" cm="1">
        <f t="array" aca="1" ref="F38" ca="1">OFFSET(E38,-1,1)</f>
        <v>2</v>
      </c>
      <c r="G38" s="62"/>
      <c r="H38" s="62" t="str" cm="1">
        <f t="array" ref="H38">AC38</f>
        <v>Всего по тарифу</v>
      </c>
      <c r="I38" s="62"/>
      <c r="J38" s="62"/>
      <c r="K38" s="364" t="str">
        <f ca="1">F38&amp;"komm"</f>
        <v>2komm</v>
      </c>
      <c r="L38" s="607" t="str" cm="1">
        <f t="array" ref="L38">BC38</f>
        <v>1) П. 49 (10), п. 16, п. 19 Методических указаний ФСТ № 1746-э. 2) Статья 35, Часть вторая Статьи 55 "Водного кодекса Российской Федерации" от 03.06.2006 N 74-ФЗ (ред. от 08.08.2024). 3) Приказ Минсельхоза России от 13.12.2016 N 552 (ред. от 13.06.2024) "Об утверждении нормативов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4) Решение Министерства природных ресурсов и экологии Кузбасса от 08.08.2023 № 1390/РРТ/Сс-08.2023 о предоставлении водного объекта в пользование (сброс сточных вод). 5) Разрешение  на сброс загрязняющих веществ в водные объекты № 3/1вода/Кем (на основании Приказа Южно-Сибирского межрегионального управления Росприроднадзора от 14.05.2020 № 544-рд).</v>
      </c>
      <c r="M38" s="62"/>
      <c r="N38" s="62"/>
      <c r="O38" s="62"/>
      <c r="P38" s="62"/>
      <c r="Q38" s="62"/>
      <c r="R38" s="62"/>
      <c r="S38" s="62"/>
      <c r="T38" s="353" t="b" cm="1">
        <f t="array" ref="T38">T37</f>
        <v>1</v>
      </c>
      <c r="U38" s="62"/>
      <c r="V38" s="62"/>
      <c r="W38" s="62"/>
      <c r="X38" s="964"/>
      <c r="Y38" s="62"/>
      <c r="Z38" s="992"/>
      <c r="AA38" s="62"/>
      <c r="AB38" s="61"/>
      <c r="AC38" s="54" t="s">
        <v>827</v>
      </c>
      <c r="AD38" s="12" t="s">
        <v>828</v>
      </c>
      <c r="AE38" s="58">
        <f t="shared" ref="AE38:BB38" si="3">SUM(AE39:AE43)</f>
        <v>145.5097122</v>
      </c>
      <c r="AF38" s="58">
        <f t="shared" si="3"/>
        <v>13827.0223480932</v>
      </c>
      <c r="AG38" s="58">
        <f t="shared" si="3"/>
        <v>130.98579690540001</v>
      </c>
      <c r="AH38" s="58">
        <f t="shared" si="3"/>
        <v>182.14000000000001</v>
      </c>
      <c r="AI38" s="58">
        <f t="shared" si="3"/>
        <v>22504.651727138502</v>
      </c>
      <c r="AJ38" s="58">
        <f t="shared" si="3"/>
        <v>0</v>
      </c>
      <c r="AK38" s="58">
        <f t="shared" si="3"/>
        <v>0</v>
      </c>
      <c r="AL38" s="58">
        <f t="shared" si="3"/>
        <v>0</v>
      </c>
      <c r="AM38" s="58">
        <f t="shared" si="3"/>
        <v>0</v>
      </c>
      <c r="AN38" s="58">
        <f t="shared" si="3"/>
        <v>0</v>
      </c>
      <c r="AO38" s="58">
        <f t="shared" si="3"/>
        <v>0</v>
      </c>
      <c r="AP38" s="58">
        <f t="shared" si="3"/>
        <v>0</v>
      </c>
      <c r="AQ38" s="58">
        <f t="shared" si="3"/>
        <v>0</v>
      </c>
      <c r="AR38" s="58">
        <f t="shared" si="3"/>
        <v>0</v>
      </c>
      <c r="AS38" s="58">
        <f t="shared" si="3"/>
        <v>9136.024577075299</v>
      </c>
      <c r="AT38" s="58">
        <f t="shared" si="3"/>
        <v>0</v>
      </c>
      <c r="AU38" s="58">
        <f t="shared" si="3"/>
        <v>0</v>
      </c>
      <c r="AV38" s="58">
        <f t="shared" si="3"/>
        <v>0</v>
      </c>
      <c r="AW38" s="58">
        <f t="shared" si="3"/>
        <v>0</v>
      </c>
      <c r="AX38" s="58">
        <f t="shared" si="3"/>
        <v>0</v>
      </c>
      <c r="AY38" s="58">
        <f t="shared" si="3"/>
        <v>0</v>
      </c>
      <c r="AZ38" s="58">
        <f t="shared" si="3"/>
        <v>0</v>
      </c>
      <c r="BA38" s="58">
        <f t="shared" si="3"/>
        <v>0</v>
      </c>
      <c r="BB38" s="58">
        <f t="shared" si="3"/>
        <v>0</v>
      </c>
      <c r="BC38" s="113" t="s">
        <v>836</v>
      </c>
      <c r="BD38" s="62"/>
      <c r="BE38" s="62"/>
      <c r="BF38" s="678" t="s">
        <v>829</v>
      </c>
      <c r="BG38" s="678"/>
      <c r="BH38" s="678"/>
      <c r="BI38" s="179"/>
      <c r="BJ38" s="179"/>
    </row>
    <row r="39" spans="1:62" s="326" customFormat="1" ht="14.25" hidden="1" customHeight="1" x14ac:dyDescent="0.15">
      <c r="A39" s="62"/>
      <c r="C39" s="62"/>
      <c r="D39" s="62"/>
      <c r="E39" s="179">
        <v>15</v>
      </c>
      <c r="F39" s="3" t="str" cm="1">
        <f t="array" aca="1" ref="F39" ca="1">OFFSET(E39,-1,1)</f>
        <v>2</v>
      </c>
      <c r="G39" s="62" t="s">
        <v>331</v>
      </c>
      <c r="H39" s="62" cm="1">
        <f t="array" ref="H39">AC39</f>
        <v>0</v>
      </c>
      <c r="I39" s="62"/>
      <c r="J39" s="62"/>
      <c r="K39" s="62"/>
      <c r="L39" s="62"/>
      <c r="M39" s="62"/>
      <c r="N39" s="62"/>
      <c r="O39" s="62"/>
      <c r="P39" s="62"/>
      <c r="Q39" s="62"/>
      <c r="R39" s="62"/>
      <c r="S39" s="62"/>
      <c r="T39" s="353" t="b">
        <f ca="1">AND(F39&gt;0,AB39&gt;0)</f>
        <v>0</v>
      </c>
      <c r="U39" s="62"/>
      <c r="V39" s="62"/>
      <c r="W39" s="517" t="s">
        <v>172</v>
      </c>
      <c r="X39" s="964"/>
      <c r="Y39" s="62"/>
      <c r="Z39" s="992"/>
      <c r="AA39" s="482" t="s">
        <v>173</v>
      </c>
      <c r="AB39" s="8">
        <v>0</v>
      </c>
      <c r="AC39" s="851"/>
      <c r="AD39" s="12" t="s">
        <v>828</v>
      </c>
      <c r="AE39" s="820"/>
      <c r="AF39" s="820"/>
      <c r="AG39" s="820"/>
      <c r="AH39" s="820"/>
      <c r="AI39" s="57"/>
      <c r="AJ39" s="820"/>
      <c r="AK39" s="820"/>
      <c r="AL39" s="820"/>
      <c r="AM39" s="820"/>
      <c r="AN39" s="820"/>
      <c r="AO39" s="820"/>
      <c r="AP39" s="820"/>
      <c r="AQ39" s="820"/>
      <c r="AR39" s="820"/>
      <c r="AS39" s="57"/>
      <c r="AT39" s="820"/>
      <c r="AU39" s="820"/>
      <c r="AV39" s="820"/>
      <c r="AW39" s="820"/>
      <c r="AX39" s="820"/>
      <c r="AY39" s="820"/>
      <c r="AZ39" s="820"/>
      <c r="BA39" s="820"/>
      <c r="BB39" s="820"/>
      <c r="BC39" s="826"/>
      <c r="BD39" s="62"/>
      <c r="BE39" s="62"/>
      <c r="BF39" s="678" t="s">
        <v>830</v>
      </c>
      <c r="BG39" s="678" t="s">
        <v>831</v>
      </c>
      <c r="BH39" s="678" cm="1">
        <f t="array" ref="BH39">AC39</f>
        <v>0</v>
      </c>
      <c r="BI39" s="179"/>
      <c r="BJ39" s="179" t="b">
        <v>1</v>
      </c>
    </row>
    <row r="40" spans="1:62" s="326" customFormat="1" ht="33.75" customHeight="1" x14ac:dyDescent="0.15">
      <c r="A40" s="62"/>
      <c r="C40" s="62"/>
      <c r="D40" s="62"/>
      <c r="E40" s="179">
        <v>15</v>
      </c>
      <c r="F40" s="3" t="str" cm="1">
        <f t="array" aca="1" ref="F40" ca="1">OFFSET(E40,-1,1)</f>
        <v>2</v>
      </c>
      <c r="G40" s="62" t="s">
        <v>331</v>
      </c>
      <c r="H40" s="62" t="str" cm="1">
        <f t="array" ref="H40">AC40</f>
        <v>Кислота ортофосфорная термическая 75% пищевая</v>
      </c>
      <c r="I40" s="62"/>
      <c r="J40" s="62"/>
      <c r="K40" s="62"/>
      <c r="L40" s="62"/>
      <c r="M40" s="62"/>
      <c r="N40" s="62"/>
      <c r="O40" s="62"/>
      <c r="P40" s="62"/>
      <c r="Q40" s="62"/>
      <c r="R40" s="62"/>
      <c r="S40" s="62"/>
      <c r="T40" s="353" t="b">
        <f ca="1">AND(F40&gt;0,AB40&gt;0)</f>
        <v>1</v>
      </c>
      <c r="U40" s="62"/>
      <c r="V40" s="62"/>
      <c r="W40" s="517"/>
      <c r="X40" s="964"/>
      <c r="Y40" s="62"/>
      <c r="Z40" s="992"/>
      <c r="AA40" s="482" t="s">
        <v>173</v>
      </c>
      <c r="AB40" s="8" t="s">
        <v>275</v>
      </c>
      <c r="AC40" s="112" t="s">
        <v>837</v>
      </c>
      <c r="AD40" s="12" t="s">
        <v>828</v>
      </c>
      <c r="AE40" s="57">
        <v>29.0369256</v>
      </c>
      <c r="AF40" s="57">
        <v>35.6484616925</v>
      </c>
      <c r="AG40" s="57">
        <v>35.6484616925</v>
      </c>
      <c r="AH40" s="57">
        <v>32.520000000000003</v>
      </c>
      <c r="AI40" s="57">
        <v>59.306467188699997</v>
      </c>
      <c r="AJ40" s="820"/>
      <c r="AK40" s="820"/>
      <c r="AL40" s="57"/>
      <c r="AM40" s="57"/>
      <c r="AN40" s="57"/>
      <c r="AO40" s="57"/>
      <c r="AP40" s="57"/>
      <c r="AQ40" s="57"/>
      <c r="AR40" s="57"/>
      <c r="AS40" s="57">
        <v>40.458298675000002</v>
      </c>
      <c r="AT40" s="820"/>
      <c r="AU40" s="820"/>
      <c r="AV40" s="57"/>
      <c r="AW40" s="57"/>
      <c r="AX40" s="57"/>
      <c r="AY40" s="57"/>
      <c r="AZ40" s="57"/>
      <c r="BA40" s="57"/>
      <c r="BB40" s="57"/>
      <c r="BC40" s="113"/>
      <c r="BD40" s="62"/>
      <c r="BE40" s="62"/>
      <c r="BF40" s="678" t="s">
        <v>830</v>
      </c>
      <c r="BG40" s="678" t="s">
        <v>831</v>
      </c>
      <c r="BH40" s="678" t="str" cm="1">
        <f t="array" ref="BH40">AC40</f>
        <v>Кислота ортофосфорная термическая 75% пищевая</v>
      </c>
      <c r="BI40" s="179"/>
      <c r="BJ40" s="179" t="b">
        <v>1</v>
      </c>
    </row>
    <row r="41" spans="1:62" s="326" customFormat="1" ht="19.5" customHeight="1" x14ac:dyDescent="0.15">
      <c r="A41" s="62"/>
      <c r="C41" s="62"/>
      <c r="D41" s="62"/>
      <c r="E41" s="179">
        <v>15</v>
      </c>
      <c r="F41" s="3" t="str" cm="1">
        <f t="array" aca="1" ref="F41" ca="1">OFFSET(E41,-1,1)</f>
        <v>2</v>
      </c>
      <c r="G41" s="62" t="s">
        <v>331</v>
      </c>
      <c r="H41" s="62" t="str" cm="1">
        <f t="array" ref="H41">AC41</f>
        <v>Натрий углекислый</v>
      </c>
      <c r="I41" s="62"/>
      <c r="J41" s="62"/>
      <c r="K41" s="62"/>
      <c r="L41" s="62"/>
      <c r="M41" s="62"/>
      <c r="N41" s="62"/>
      <c r="O41" s="62"/>
      <c r="P41" s="62"/>
      <c r="Q41" s="62"/>
      <c r="R41" s="62"/>
      <c r="S41" s="62"/>
      <c r="T41" s="353" t="b">
        <f ca="1">AND(F41&gt;0,AB41&gt;0)</f>
        <v>1</v>
      </c>
      <c r="U41" s="62"/>
      <c r="V41" s="62"/>
      <c r="W41" s="517"/>
      <c r="X41" s="964"/>
      <c r="Y41" s="62"/>
      <c r="Z41" s="992"/>
      <c r="AA41" s="482" t="s">
        <v>173</v>
      </c>
      <c r="AB41" s="8" t="s">
        <v>285</v>
      </c>
      <c r="AC41" s="112" t="s">
        <v>838</v>
      </c>
      <c r="AD41" s="12" t="s">
        <v>828</v>
      </c>
      <c r="AE41" s="57">
        <v>116.47278660000001</v>
      </c>
      <c r="AF41" s="57">
        <v>95.337335212900001</v>
      </c>
      <c r="AG41" s="57">
        <v>95.337335212900001</v>
      </c>
      <c r="AH41" s="57">
        <v>149.62</v>
      </c>
      <c r="AI41" s="57">
        <v>246.14407849759999</v>
      </c>
      <c r="AJ41" s="820"/>
      <c r="AK41" s="820"/>
      <c r="AL41" s="57"/>
      <c r="AM41" s="57"/>
      <c r="AN41" s="57"/>
      <c r="AO41" s="57"/>
      <c r="AP41" s="57"/>
      <c r="AQ41" s="57"/>
      <c r="AR41" s="57"/>
      <c r="AS41" s="57">
        <v>142.42627840029999</v>
      </c>
      <c r="AT41" s="820"/>
      <c r="AU41" s="820"/>
      <c r="AV41" s="57"/>
      <c r="AW41" s="57"/>
      <c r="AX41" s="57"/>
      <c r="AY41" s="57"/>
      <c r="AZ41" s="57"/>
      <c r="BA41" s="57"/>
      <c r="BB41" s="57"/>
      <c r="BC41" s="113"/>
      <c r="BD41" s="62"/>
      <c r="BE41" s="62"/>
      <c r="BF41" s="678" t="s">
        <v>830</v>
      </c>
      <c r="BG41" s="678" t="s">
        <v>831</v>
      </c>
      <c r="BH41" s="678" t="str" cm="1">
        <f t="array" ref="BH41">AC41</f>
        <v>Натрий углекислый</v>
      </c>
      <c r="BI41" s="179"/>
      <c r="BJ41" s="179" t="b">
        <v>1</v>
      </c>
    </row>
    <row r="42" spans="1:62" s="326" customFormat="1" ht="51.6" customHeight="1" x14ac:dyDescent="0.15">
      <c r="A42" s="62"/>
      <c r="C42" s="62"/>
      <c r="D42" s="62"/>
      <c r="E42" s="179">
        <v>15</v>
      </c>
      <c r="F42" s="3" t="str" cm="1">
        <f t="array" aca="1" ref="F42" ca="1">OFFSET(E42,-1,1)</f>
        <v>2</v>
      </c>
      <c r="G42" s="62" t="s">
        <v>331</v>
      </c>
      <c r="H42" s="62" t="str" cm="1">
        <f t="array" ref="H42">AC42</f>
        <v>Спирт изопропиловый абсолютированный ГОСТ 9805-84</v>
      </c>
      <c r="I42" s="62"/>
      <c r="J42" s="62"/>
      <c r="K42" s="62"/>
      <c r="L42" s="62"/>
      <c r="M42" s="62"/>
      <c r="N42" s="62"/>
      <c r="O42" s="62"/>
      <c r="P42" s="62"/>
      <c r="Q42" s="62"/>
      <c r="R42" s="62"/>
      <c r="S42" s="62"/>
      <c r="T42" s="353" t="b">
        <f ca="1">AND(F42&gt;0,AB42&gt;0)</f>
        <v>1</v>
      </c>
      <c r="U42" s="62"/>
      <c r="V42" s="62"/>
      <c r="W42" s="517"/>
      <c r="X42" s="964"/>
      <c r="Y42" s="62"/>
      <c r="Z42" s="992"/>
      <c r="AA42" s="482" t="s">
        <v>173</v>
      </c>
      <c r="AB42" s="8" t="s">
        <v>291</v>
      </c>
      <c r="AC42" s="112" t="s">
        <v>839</v>
      </c>
      <c r="AD42" s="12" t="s">
        <v>828</v>
      </c>
      <c r="AE42" s="57"/>
      <c r="AF42" s="57">
        <v>13696.036551187801</v>
      </c>
      <c r="AG42" s="57">
        <v>0</v>
      </c>
      <c r="AH42" s="57"/>
      <c r="AI42" s="57">
        <v>22199.201181452201</v>
      </c>
      <c r="AJ42" s="820"/>
      <c r="AK42" s="820"/>
      <c r="AL42" s="57"/>
      <c r="AM42" s="57"/>
      <c r="AN42" s="57"/>
      <c r="AO42" s="57"/>
      <c r="AP42" s="57"/>
      <c r="AQ42" s="57"/>
      <c r="AR42" s="57"/>
      <c r="AS42" s="57">
        <v>8953.14</v>
      </c>
      <c r="AT42" s="820"/>
      <c r="AU42" s="820"/>
      <c r="AV42" s="57"/>
      <c r="AW42" s="57"/>
      <c r="AX42" s="57"/>
      <c r="AY42" s="57"/>
      <c r="AZ42" s="57"/>
      <c r="BA42" s="57"/>
      <c r="BB42" s="57"/>
      <c r="BC42" s="113" t="s">
        <v>840</v>
      </c>
      <c r="BD42" s="62"/>
      <c r="BE42" s="62"/>
      <c r="BF42" s="678" t="s">
        <v>830</v>
      </c>
      <c r="BG42" s="678" t="s">
        <v>831</v>
      </c>
      <c r="BH42" s="678" t="str" cm="1">
        <f t="array" ref="BH42">AC42</f>
        <v>Спирт изопропиловый абсолютированный ГОСТ 9805-84</v>
      </c>
      <c r="BI42" s="179"/>
      <c r="BJ42" s="179" t="b">
        <v>1</v>
      </c>
    </row>
    <row r="43" spans="1:62" s="59" customFormat="1" ht="14.25" customHeight="1" x14ac:dyDescent="0.15">
      <c r="B43" s="46"/>
      <c r="E43" s="462">
        <v>15</v>
      </c>
      <c r="F43" s="3" t="str" cm="1">
        <f t="array" aca="1" ref="F43" ca="1">OFFSET(E43,-1,1)</f>
        <v>2</v>
      </c>
      <c r="H43" s="59" t="str">
        <f>"!== 'Всего по тарифу'"</f>
        <v>!== 'Всего по тарифу'</v>
      </c>
      <c r="T43" s="353" t="b" cm="1">
        <f t="array" ref="T43">T37</f>
        <v>1</v>
      </c>
      <c r="W43" s="517" t="s">
        <v>832</v>
      </c>
      <c r="X43" s="964"/>
      <c r="Z43" s="992"/>
      <c r="AB43" s="89"/>
      <c r="AC43" s="92" t="s">
        <v>176</v>
      </c>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101"/>
      <c r="BF43" s="674"/>
      <c r="BG43" s="674"/>
      <c r="BH43" s="674"/>
      <c r="BI43" s="462" t="s">
        <v>831</v>
      </c>
      <c r="BJ43" s="462"/>
    </row>
    <row r="44" spans="1:62" s="838" customFormat="1" ht="23.45" customHeight="1" x14ac:dyDescent="0.15">
      <c r="A44" s="60"/>
      <c r="B44" s="326"/>
      <c r="C44" s="60"/>
      <c r="D44" s="60"/>
      <c r="E44" s="459">
        <v>15</v>
      </c>
      <c r="F44" s="253" t="str" cm="1">
        <f t="array" ref="F44">X44</f>
        <v>3</v>
      </c>
      <c r="G44" s="62"/>
      <c r="H44" s="62"/>
      <c r="I44" s="60"/>
      <c r="J44" s="60"/>
      <c r="K44" s="60"/>
      <c r="L44" s="60"/>
      <c r="M44" s="60"/>
      <c r="N44" s="60"/>
      <c r="O44" s="60"/>
      <c r="P44" s="60"/>
      <c r="Q44" s="60"/>
      <c r="R44" s="60"/>
      <c r="S44" s="60"/>
      <c r="T44" s="353" t="b">
        <f>X44&gt;0</f>
        <v>1</v>
      </c>
      <c r="U44" s="60"/>
      <c r="V44" s="60" t="str" cm="1">
        <f t="array" ref="V44">'Условные метры'!$AB$38</f>
        <v>Тариф 3 (Водоотведение) - тариф на транспортировку сточных вод</v>
      </c>
      <c r="W44" s="60"/>
      <c r="X44" s="964" t="s">
        <v>291</v>
      </c>
      <c r="Y44" s="60"/>
      <c r="Z44" s="992"/>
      <c r="AA44" s="60"/>
      <c r="AB44" s="97" t="str" cm="1">
        <f t="array" ref="AB44">'Условные метры'!$AB$38</f>
        <v>Тариф 3 (Водоотведение) - тариф на транспортировку сточных вод</v>
      </c>
      <c r="AC44" s="94"/>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60"/>
      <c r="BE44" s="60"/>
      <c r="BF44" s="669"/>
      <c r="BG44" s="669"/>
      <c r="BH44" s="669"/>
      <c r="BI44" s="459"/>
      <c r="BJ44" s="459"/>
    </row>
    <row r="45" spans="1:62" s="326" customFormat="1" ht="21.6" customHeight="1" x14ac:dyDescent="0.15">
      <c r="A45" s="62"/>
      <c r="C45" s="62"/>
      <c r="D45" s="364"/>
      <c r="E45" s="179">
        <v>15</v>
      </c>
      <c r="F45" s="3" t="str" cm="1">
        <f t="array" aca="1" ref="F45" ca="1">OFFSET(E45,-1,1)</f>
        <v>3</v>
      </c>
      <c r="G45" s="62"/>
      <c r="H45" s="62" t="str" cm="1">
        <f t="array" ref="H45">AC45</f>
        <v>Всего по тарифу</v>
      </c>
      <c r="I45" s="62"/>
      <c r="J45" s="62"/>
      <c r="K45" s="364" t="str">
        <f ca="1">F45&amp;"komm"</f>
        <v>3komm</v>
      </c>
      <c r="L45" s="607" cm="1">
        <f t="array" ref="L45">BC45</f>
        <v>0</v>
      </c>
      <c r="M45" s="62"/>
      <c r="N45" s="62"/>
      <c r="O45" s="62"/>
      <c r="P45" s="62"/>
      <c r="Q45" s="62"/>
      <c r="R45" s="62"/>
      <c r="S45" s="62"/>
      <c r="T45" s="353" t="b" cm="1">
        <f t="array" ref="T45">T44</f>
        <v>1</v>
      </c>
      <c r="U45" s="62"/>
      <c r="V45" s="62"/>
      <c r="W45" s="62"/>
      <c r="X45" s="964"/>
      <c r="Y45" s="62"/>
      <c r="Z45" s="992"/>
      <c r="AA45" s="62"/>
      <c r="AB45" s="61"/>
      <c r="AC45" s="54" t="s">
        <v>827</v>
      </c>
      <c r="AD45" s="12" t="s">
        <v>828</v>
      </c>
      <c r="AE45" s="58">
        <f t="shared" ref="AE45:BB45" si="4">SUM(AE46:AE47)</f>
        <v>0</v>
      </c>
      <c r="AF45" s="58">
        <f t="shared" si="4"/>
        <v>0</v>
      </c>
      <c r="AG45" s="58">
        <f t="shared" si="4"/>
        <v>0</v>
      </c>
      <c r="AH45" s="58">
        <f t="shared" si="4"/>
        <v>0</v>
      </c>
      <c r="AI45" s="58">
        <f t="shared" si="4"/>
        <v>0</v>
      </c>
      <c r="AJ45" s="58">
        <f t="shared" si="4"/>
        <v>0</v>
      </c>
      <c r="AK45" s="58">
        <f t="shared" si="4"/>
        <v>0</v>
      </c>
      <c r="AL45" s="58">
        <f t="shared" si="4"/>
        <v>0</v>
      </c>
      <c r="AM45" s="58">
        <f t="shared" si="4"/>
        <v>0</v>
      </c>
      <c r="AN45" s="58">
        <f t="shared" si="4"/>
        <v>0</v>
      </c>
      <c r="AO45" s="58">
        <f t="shared" si="4"/>
        <v>0</v>
      </c>
      <c r="AP45" s="58">
        <f t="shared" si="4"/>
        <v>0</v>
      </c>
      <c r="AQ45" s="58">
        <f t="shared" si="4"/>
        <v>0</v>
      </c>
      <c r="AR45" s="58">
        <f t="shared" si="4"/>
        <v>0</v>
      </c>
      <c r="AS45" s="58">
        <f t="shared" si="4"/>
        <v>0</v>
      </c>
      <c r="AT45" s="58">
        <f t="shared" si="4"/>
        <v>0</v>
      </c>
      <c r="AU45" s="58">
        <f t="shared" si="4"/>
        <v>0</v>
      </c>
      <c r="AV45" s="58">
        <f t="shared" si="4"/>
        <v>0</v>
      </c>
      <c r="AW45" s="58">
        <f t="shared" si="4"/>
        <v>0</v>
      </c>
      <c r="AX45" s="58">
        <f t="shared" si="4"/>
        <v>0</v>
      </c>
      <c r="AY45" s="58">
        <f t="shared" si="4"/>
        <v>0</v>
      </c>
      <c r="AZ45" s="58">
        <f t="shared" si="4"/>
        <v>0</v>
      </c>
      <c r="BA45" s="58">
        <f t="shared" si="4"/>
        <v>0</v>
      </c>
      <c r="BB45" s="58">
        <f t="shared" si="4"/>
        <v>0</v>
      </c>
      <c r="BC45" s="113"/>
      <c r="BD45" s="62"/>
      <c r="BE45" s="62"/>
      <c r="BF45" s="678" t="s">
        <v>829</v>
      </c>
      <c r="BG45" s="678"/>
      <c r="BH45" s="678"/>
      <c r="BI45" s="179"/>
      <c r="BJ45" s="179"/>
    </row>
    <row r="46" spans="1:62" s="326" customFormat="1" ht="14.25" hidden="1" customHeight="1" x14ac:dyDescent="0.15">
      <c r="A46" s="62"/>
      <c r="C46" s="62"/>
      <c r="D46" s="62"/>
      <c r="E46" s="179">
        <v>15</v>
      </c>
      <c r="F46" s="3" t="str" cm="1">
        <f t="array" aca="1" ref="F46" ca="1">OFFSET(E46,-1,1)</f>
        <v>3</v>
      </c>
      <c r="G46" s="62" t="s">
        <v>331</v>
      </c>
      <c r="H46" s="62" cm="1">
        <f t="array" ref="H46">AC46</f>
        <v>0</v>
      </c>
      <c r="I46" s="62"/>
      <c r="J46" s="62"/>
      <c r="K46" s="62"/>
      <c r="L46" s="62"/>
      <c r="M46" s="62"/>
      <c r="N46" s="62"/>
      <c r="O46" s="62"/>
      <c r="P46" s="62"/>
      <c r="Q46" s="62"/>
      <c r="R46" s="62"/>
      <c r="S46" s="62"/>
      <c r="T46" s="353" t="b">
        <f ca="1">AND(F46&gt;0,AB46&gt;0)</f>
        <v>0</v>
      </c>
      <c r="U46" s="62"/>
      <c r="V46" s="62"/>
      <c r="W46" s="517" t="s">
        <v>172</v>
      </c>
      <c r="X46" s="964"/>
      <c r="Y46" s="62"/>
      <c r="Z46" s="992"/>
      <c r="AA46" s="482" t="s">
        <v>173</v>
      </c>
      <c r="AB46" s="8">
        <v>0</v>
      </c>
      <c r="AC46" s="851"/>
      <c r="AD46" s="12" t="s">
        <v>828</v>
      </c>
      <c r="AE46" s="820"/>
      <c r="AF46" s="820"/>
      <c r="AG46" s="820"/>
      <c r="AH46" s="820"/>
      <c r="AI46" s="57"/>
      <c r="AJ46" s="820"/>
      <c r="AK46" s="820"/>
      <c r="AL46" s="820"/>
      <c r="AM46" s="820"/>
      <c r="AN46" s="820"/>
      <c r="AO46" s="820"/>
      <c r="AP46" s="820"/>
      <c r="AQ46" s="820"/>
      <c r="AR46" s="820"/>
      <c r="AS46" s="57"/>
      <c r="AT46" s="820"/>
      <c r="AU46" s="820"/>
      <c r="AV46" s="820"/>
      <c r="AW46" s="820"/>
      <c r="AX46" s="820"/>
      <c r="AY46" s="820"/>
      <c r="AZ46" s="820"/>
      <c r="BA46" s="820"/>
      <c r="BB46" s="820"/>
      <c r="BC46" s="826"/>
      <c r="BD46" s="62"/>
      <c r="BE46" s="62"/>
      <c r="BF46" s="678" t="s">
        <v>830</v>
      </c>
      <c r="BG46" s="678" t="s">
        <v>831</v>
      </c>
      <c r="BH46" s="678" cm="1">
        <f t="array" ref="BH46">AC46</f>
        <v>0</v>
      </c>
      <c r="BI46" s="179"/>
      <c r="BJ46" s="179" t="b">
        <v>1</v>
      </c>
    </row>
    <row r="47" spans="1:62" s="59" customFormat="1" ht="14.25" customHeight="1" x14ac:dyDescent="0.15">
      <c r="B47" s="46"/>
      <c r="E47" s="462">
        <v>15</v>
      </c>
      <c r="F47" s="3" t="str" cm="1">
        <f t="array" aca="1" ref="F47" ca="1">OFFSET(E47,-1,1)</f>
        <v>3</v>
      </c>
      <c r="H47" s="59" t="str">
        <f>"!== 'Всего по тарифу'"</f>
        <v>!== 'Всего по тарифу'</v>
      </c>
      <c r="T47" s="353" t="b" cm="1">
        <f t="array" ref="T47">T44</f>
        <v>1</v>
      </c>
      <c r="W47" s="517" t="s">
        <v>832</v>
      </c>
      <c r="X47" s="964"/>
      <c r="Z47" s="992"/>
      <c r="AB47" s="89"/>
      <c r="AC47" s="92"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101"/>
      <c r="BF47" s="674"/>
      <c r="BG47" s="674"/>
      <c r="BH47" s="674"/>
      <c r="BI47" s="462" t="s">
        <v>831</v>
      </c>
      <c r="BJ47" s="462"/>
    </row>
    <row r="48" spans="1:62" ht="10.9" customHeight="1" x14ac:dyDescent="0.15">
      <c r="A48" s="315"/>
      <c r="B48" s="479"/>
      <c r="C48" s="315"/>
      <c r="D48" s="315"/>
      <c r="E48" s="480">
        <v>11.25</v>
      </c>
      <c r="F48" s="315"/>
      <c r="G48" s="315"/>
      <c r="H48" s="315"/>
      <c r="I48" s="315"/>
      <c r="J48" s="315"/>
      <c r="K48" s="315"/>
      <c r="L48" s="315"/>
      <c r="M48" s="315"/>
      <c r="N48" s="315"/>
      <c r="O48" s="315"/>
      <c r="P48" s="315"/>
      <c r="Q48" s="315"/>
      <c r="R48" s="315"/>
      <c r="S48" s="315"/>
      <c r="T48" s="315"/>
      <c r="U48" s="315" t="s">
        <v>176</v>
      </c>
      <c r="V48" s="56" t="s">
        <v>841</v>
      </c>
      <c r="W48" s="315"/>
      <c r="X48" s="315"/>
      <c r="Y48" s="315"/>
      <c r="Z48" s="315"/>
      <c r="AA48" s="315"/>
      <c r="AB48"/>
      <c r="AC48" s="18"/>
      <c r="AD48" s="18"/>
      <c r="AE48" s="18"/>
      <c r="AF48" s="18"/>
      <c r="AG48"/>
      <c r="AH48"/>
      <c r="AI48"/>
      <c r="AJ48"/>
      <c r="AK48"/>
      <c r="AL48"/>
      <c r="AM48"/>
      <c r="AN48"/>
      <c r="AO48"/>
      <c r="AP48"/>
      <c r="AQ48" s="19"/>
      <c r="AR48"/>
      <c r="AS48"/>
      <c r="AT48"/>
      <c r="AU48"/>
      <c r="AV48"/>
      <c r="AW48"/>
      <c r="AX48"/>
      <c r="AY48"/>
      <c r="AZ48"/>
      <c r="BA48"/>
      <c r="BB48"/>
      <c r="BC48"/>
      <c r="BD48"/>
      <c r="BE48"/>
      <c r="BF48" s="661"/>
      <c r="BG48" s="661"/>
      <c r="BH48" s="661"/>
      <c r="BI48" s="454"/>
      <c r="BJ48" s="454"/>
    </row>
    <row r="49" spans="5:55" ht="10.9" customHeight="1" x14ac:dyDescent="0.15">
      <c r="E49" s="461">
        <v>11.25</v>
      </c>
    </row>
    <row r="50" spans="5:55" ht="14.65" customHeight="1" x14ac:dyDescent="0.15">
      <c r="E50" s="461">
        <v>15</v>
      </c>
      <c r="AB50" s="993" t="s">
        <v>408</v>
      </c>
      <c r="AC50" s="993"/>
      <c r="AD50" s="993"/>
      <c r="AE50" s="993"/>
      <c r="AF50" s="993"/>
      <c r="AG50" s="993"/>
      <c r="AH50" s="993"/>
      <c r="AI50" s="1024"/>
      <c r="AJ50" s="1024"/>
      <c r="AK50" s="1024"/>
      <c r="AL50" s="1024"/>
      <c r="AM50" s="1024"/>
      <c r="AN50" s="1024"/>
      <c r="AO50" s="1024"/>
      <c r="AP50" s="1024"/>
      <c r="AQ50" s="1024"/>
      <c r="AR50" s="1024"/>
      <c r="AS50" s="1024"/>
      <c r="AT50" s="1024"/>
      <c r="AU50" s="1024"/>
      <c r="AV50" s="1024"/>
      <c r="AW50" s="1024"/>
      <c r="AX50" s="1024"/>
      <c r="AY50" s="1024"/>
      <c r="AZ50" s="1024"/>
      <c r="BA50" s="1024"/>
      <c r="BB50" s="1024"/>
      <c r="BC50" s="1024"/>
    </row>
    <row r="51" spans="5:55" ht="30.95" customHeight="1" x14ac:dyDescent="0.15">
      <c r="E51" s="461">
        <v>15</v>
      </c>
      <c r="AB51" s="1032" t="s">
        <v>842</v>
      </c>
      <c r="AC51" s="1030"/>
      <c r="AD51" s="1030"/>
      <c r="AE51" s="1030"/>
      <c r="AF51" s="1030"/>
      <c r="AG51" s="1030"/>
      <c r="AH51" s="1030"/>
      <c r="AI51" s="1030"/>
      <c r="AJ51" s="1029"/>
      <c r="AK51" s="1029"/>
      <c r="AL51" s="1029"/>
      <c r="AM51" s="1029"/>
      <c r="AN51" s="1029"/>
      <c r="AO51" s="1029"/>
      <c r="AP51" s="1029"/>
      <c r="AQ51" s="1029"/>
      <c r="AR51" s="1029"/>
      <c r="AS51" s="1030"/>
      <c r="AT51" s="1029"/>
      <c r="AU51" s="1029"/>
      <c r="AV51" s="1029"/>
      <c r="AW51" s="1029"/>
      <c r="AX51" s="1029"/>
      <c r="AY51" s="1029"/>
      <c r="AZ51" s="1029"/>
      <c r="BA51" s="1029"/>
      <c r="BB51" s="1029"/>
      <c r="BC51" s="1033"/>
    </row>
    <row r="52" spans="5:55" ht="14.65" hidden="1" customHeight="1" x14ac:dyDescent="0.15">
      <c r="E52" s="461">
        <v>15</v>
      </c>
      <c r="T52" s="353" t="b">
        <f t="shared" ref="T52:T86" si="5">ROW(W52)&gt;ROW(W$52)</f>
        <v>0</v>
      </c>
      <c r="W52" s="517" t="s">
        <v>172</v>
      </c>
      <c r="AA52" s="482" t="s">
        <v>173</v>
      </c>
      <c r="AB52" s="1028" t="s">
        <v>225</v>
      </c>
      <c r="AC52" s="1029"/>
      <c r="AD52" s="1029"/>
      <c r="AE52" s="1029"/>
      <c r="AF52" s="1029"/>
      <c r="AG52" s="1029"/>
      <c r="AH52" s="1029"/>
      <c r="AI52" s="1030"/>
      <c r="AJ52" s="1029"/>
      <c r="AK52" s="1029"/>
      <c r="AL52" s="1029"/>
      <c r="AM52" s="1029"/>
      <c r="AN52" s="1029"/>
      <c r="AO52" s="1029"/>
      <c r="AP52" s="1029"/>
      <c r="AQ52" s="1029"/>
      <c r="AR52" s="1029"/>
      <c r="AS52" s="1030"/>
      <c r="AT52" s="1029"/>
      <c r="AU52" s="1029"/>
      <c r="AV52" s="1029"/>
      <c r="AW52" s="1029"/>
      <c r="AX52" s="1029"/>
      <c r="AY52" s="1029"/>
      <c r="AZ52" s="1029"/>
      <c r="BA52" s="1029"/>
      <c r="BB52" s="1029"/>
      <c r="BC52" s="1031"/>
    </row>
    <row r="53" spans="5:55" ht="44.85" customHeight="1" x14ac:dyDescent="0.15">
      <c r="E53" s="461">
        <v>15</v>
      </c>
      <c r="T53" s="353" t="b">
        <f t="shared" si="5"/>
        <v>1</v>
      </c>
      <c r="W53" s="517"/>
      <c r="AA53" s="482" t="s">
        <v>173</v>
      </c>
      <c r="AB53" s="1032" t="s">
        <v>843</v>
      </c>
      <c r="AC53" s="1030"/>
      <c r="AD53" s="1030"/>
      <c r="AE53" s="1030"/>
      <c r="AF53" s="1030"/>
      <c r="AG53" s="1030"/>
      <c r="AH53" s="1030"/>
      <c r="AI53" s="1030"/>
      <c r="AJ53" s="1029"/>
      <c r="AK53" s="1029"/>
      <c r="AL53" s="1030"/>
      <c r="AM53" s="1030"/>
      <c r="AN53" s="1030"/>
      <c r="AO53" s="1030"/>
      <c r="AP53" s="1030"/>
      <c r="AQ53" s="1030"/>
      <c r="AR53" s="1030"/>
      <c r="AS53" s="1030"/>
      <c r="AT53" s="1029"/>
      <c r="AU53" s="1029"/>
      <c r="AV53" s="1030"/>
      <c r="AW53" s="1030"/>
      <c r="AX53" s="1030"/>
      <c r="AY53" s="1030"/>
      <c r="AZ53" s="1030"/>
      <c r="BA53" s="1030"/>
      <c r="BB53" s="1030"/>
      <c r="BC53" s="1033"/>
    </row>
    <row r="54" spans="5:55" ht="38.450000000000003" customHeight="1" x14ac:dyDescent="0.15">
      <c r="E54" s="461">
        <v>15</v>
      </c>
      <c r="T54" s="353" t="b">
        <f t="shared" si="5"/>
        <v>1</v>
      </c>
      <c r="W54" s="517"/>
      <c r="AA54" s="482" t="s">
        <v>173</v>
      </c>
      <c r="AB54" s="1032" t="s">
        <v>844</v>
      </c>
      <c r="AC54" s="1030"/>
      <c r="AD54" s="1030"/>
      <c r="AE54" s="1030"/>
      <c r="AF54" s="1030"/>
      <c r="AG54" s="1030"/>
      <c r="AH54" s="1030"/>
      <c r="AI54" s="1030"/>
      <c r="AJ54" s="1029"/>
      <c r="AK54" s="1029"/>
      <c r="AL54" s="1030"/>
      <c r="AM54" s="1030"/>
      <c r="AN54" s="1030"/>
      <c r="AO54" s="1030"/>
      <c r="AP54" s="1030"/>
      <c r="AQ54" s="1030"/>
      <c r="AR54" s="1030"/>
      <c r="AS54" s="1030"/>
      <c r="AT54" s="1029"/>
      <c r="AU54" s="1029"/>
      <c r="AV54" s="1030"/>
      <c r="AW54" s="1030"/>
      <c r="AX54" s="1030"/>
      <c r="AY54" s="1030"/>
      <c r="AZ54" s="1030"/>
      <c r="BA54" s="1030"/>
      <c r="BB54" s="1030"/>
      <c r="BC54" s="1033"/>
    </row>
    <row r="55" spans="5:55" ht="36" customHeight="1" x14ac:dyDescent="0.15">
      <c r="E55" s="461">
        <v>15</v>
      </c>
      <c r="T55" s="353" t="b">
        <f t="shared" si="5"/>
        <v>1</v>
      </c>
      <c r="W55" s="517"/>
      <c r="AA55" s="482" t="s">
        <v>173</v>
      </c>
      <c r="AB55" s="1032" t="s">
        <v>845</v>
      </c>
      <c r="AC55" s="1030"/>
      <c r="AD55" s="1030"/>
      <c r="AE55" s="1030"/>
      <c r="AF55" s="1030"/>
      <c r="AG55" s="1030"/>
      <c r="AH55" s="1030"/>
      <c r="AI55" s="1030"/>
      <c r="AJ55" s="1029"/>
      <c r="AK55" s="1029"/>
      <c r="AL55" s="1030"/>
      <c r="AM55" s="1030"/>
      <c r="AN55" s="1030"/>
      <c r="AO55" s="1030"/>
      <c r="AP55" s="1030"/>
      <c r="AQ55" s="1030"/>
      <c r="AR55" s="1030"/>
      <c r="AS55" s="1030"/>
      <c r="AT55" s="1029"/>
      <c r="AU55" s="1029"/>
      <c r="AV55" s="1030"/>
      <c r="AW55" s="1030"/>
      <c r="AX55" s="1030"/>
      <c r="AY55" s="1030"/>
      <c r="AZ55" s="1030"/>
      <c r="BA55" s="1030"/>
      <c r="BB55" s="1030"/>
      <c r="BC55" s="1033"/>
    </row>
    <row r="56" spans="5:55" ht="24.75" customHeight="1" x14ac:dyDescent="0.15">
      <c r="E56" s="461">
        <v>15</v>
      </c>
      <c r="T56" s="353" t="b">
        <f t="shared" si="5"/>
        <v>1</v>
      </c>
      <c r="W56" s="517"/>
      <c r="AA56" s="482" t="s">
        <v>173</v>
      </c>
      <c r="AB56" s="1032" t="s">
        <v>846</v>
      </c>
      <c r="AC56" s="1030"/>
      <c r="AD56" s="1030"/>
      <c r="AE56" s="1030"/>
      <c r="AF56" s="1030"/>
      <c r="AG56" s="1030"/>
      <c r="AH56" s="1030"/>
      <c r="AI56" s="1030"/>
      <c r="AJ56" s="1029"/>
      <c r="AK56" s="1029"/>
      <c r="AL56" s="1030"/>
      <c r="AM56" s="1030"/>
      <c r="AN56" s="1030"/>
      <c r="AO56" s="1030"/>
      <c r="AP56" s="1030"/>
      <c r="AQ56" s="1030"/>
      <c r="AR56" s="1030"/>
      <c r="AS56" s="1030"/>
      <c r="AT56" s="1029"/>
      <c r="AU56" s="1029"/>
      <c r="AV56" s="1030"/>
      <c r="AW56" s="1030"/>
      <c r="AX56" s="1030"/>
      <c r="AY56" s="1030"/>
      <c r="AZ56" s="1030"/>
      <c r="BA56" s="1030"/>
      <c r="BB56" s="1030"/>
      <c r="BC56" s="1033"/>
    </row>
    <row r="57" spans="5:55" ht="47.85" customHeight="1" x14ac:dyDescent="0.15">
      <c r="E57" s="461">
        <v>15</v>
      </c>
      <c r="T57" s="353" t="b">
        <f t="shared" si="5"/>
        <v>1</v>
      </c>
      <c r="W57" s="517"/>
      <c r="AA57" s="482" t="s">
        <v>173</v>
      </c>
      <c r="AB57" s="1032" t="s">
        <v>847</v>
      </c>
      <c r="AC57" s="1030"/>
      <c r="AD57" s="1030"/>
      <c r="AE57" s="1030"/>
      <c r="AF57" s="1030"/>
      <c r="AG57" s="1030"/>
      <c r="AH57" s="1030"/>
      <c r="AI57" s="1030"/>
      <c r="AJ57" s="1029"/>
      <c r="AK57" s="1029"/>
      <c r="AL57" s="1030"/>
      <c r="AM57" s="1030"/>
      <c r="AN57" s="1030"/>
      <c r="AO57" s="1030"/>
      <c r="AP57" s="1030"/>
      <c r="AQ57" s="1030"/>
      <c r="AR57" s="1030"/>
      <c r="AS57" s="1030"/>
      <c r="AT57" s="1029"/>
      <c r="AU57" s="1029"/>
      <c r="AV57" s="1030"/>
      <c r="AW57" s="1030"/>
      <c r="AX57" s="1030"/>
      <c r="AY57" s="1030"/>
      <c r="AZ57" s="1030"/>
      <c r="BA57" s="1030"/>
      <c r="BB57" s="1030"/>
      <c r="BC57" s="1033"/>
    </row>
    <row r="58" spans="5:55" ht="21.6" customHeight="1" x14ac:dyDescent="0.15">
      <c r="E58" s="461">
        <v>15</v>
      </c>
      <c r="T58" s="353" t="b">
        <f t="shared" si="5"/>
        <v>1</v>
      </c>
      <c r="W58" s="517"/>
      <c r="AA58" s="482" t="s">
        <v>173</v>
      </c>
      <c r="AB58" s="1032" t="s">
        <v>848</v>
      </c>
      <c r="AC58" s="1030"/>
      <c r="AD58" s="1030"/>
      <c r="AE58" s="1030"/>
      <c r="AF58" s="1030"/>
      <c r="AG58" s="1030"/>
      <c r="AH58" s="1030"/>
      <c r="AI58" s="1030"/>
      <c r="AJ58" s="1029"/>
      <c r="AK58" s="1029"/>
      <c r="AL58" s="1030"/>
      <c r="AM58" s="1030"/>
      <c r="AN58" s="1030"/>
      <c r="AO58" s="1030"/>
      <c r="AP58" s="1030"/>
      <c r="AQ58" s="1030"/>
      <c r="AR58" s="1030"/>
      <c r="AS58" s="1030"/>
      <c r="AT58" s="1029"/>
      <c r="AU58" s="1029"/>
      <c r="AV58" s="1030"/>
      <c r="AW58" s="1030"/>
      <c r="AX58" s="1030"/>
      <c r="AY58" s="1030"/>
      <c r="AZ58" s="1030"/>
      <c r="BA58" s="1030"/>
      <c r="BB58" s="1030"/>
      <c r="BC58" s="1033"/>
    </row>
    <row r="59" spans="5:55" ht="29.1" customHeight="1" x14ac:dyDescent="0.15">
      <c r="E59" s="461">
        <v>15</v>
      </c>
      <c r="T59" s="353" t="b">
        <f t="shared" si="5"/>
        <v>1</v>
      </c>
      <c r="W59" s="517"/>
      <c r="AA59" s="482" t="s">
        <v>173</v>
      </c>
      <c r="AB59" s="1032" t="s">
        <v>849</v>
      </c>
      <c r="AC59" s="1030"/>
      <c r="AD59" s="1030"/>
      <c r="AE59" s="1030"/>
      <c r="AF59" s="1030"/>
      <c r="AG59" s="1030"/>
      <c r="AH59" s="1030"/>
      <c r="AI59" s="1030"/>
      <c r="AJ59" s="1029"/>
      <c r="AK59" s="1029"/>
      <c r="AL59" s="1030"/>
      <c r="AM59" s="1030"/>
      <c r="AN59" s="1030"/>
      <c r="AO59" s="1030"/>
      <c r="AP59" s="1030"/>
      <c r="AQ59" s="1030"/>
      <c r="AR59" s="1030"/>
      <c r="AS59" s="1030"/>
      <c r="AT59" s="1029"/>
      <c r="AU59" s="1029"/>
      <c r="AV59" s="1030"/>
      <c r="AW59" s="1030"/>
      <c r="AX59" s="1030"/>
      <c r="AY59" s="1030"/>
      <c r="AZ59" s="1030"/>
      <c r="BA59" s="1030"/>
      <c r="BB59" s="1030"/>
      <c r="BC59" s="1033"/>
    </row>
    <row r="60" spans="5:55" ht="39.200000000000003" customHeight="1" x14ac:dyDescent="0.15">
      <c r="E60" s="461">
        <v>15</v>
      </c>
      <c r="T60" s="353" t="b">
        <f t="shared" si="5"/>
        <v>1</v>
      </c>
      <c r="W60" s="517"/>
      <c r="AA60" s="482" t="s">
        <v>173</v>
      </c>
      <c r="AB60" s="1032" t="s">
        <v>850</v>
      </c>
      <c r="AC60" s="1030"/>
      <c r="AD60" s="1030"/>
      <c r="AE60" s="1030"/>
      <c r="AF60" s="1030"/>
      <c r="AG60" s="1030"/>
      <c r="AH60" s="1030"/>
      <c r="AI60" s="1030"/>
      <c r="AJ60" s="1029"/>
      <c r="AK60" s="1029"/>
      <c r="AL60" s="1030"/>
      <c r="AM60" s="1030"/>
      <c r="AN60" s="1030"/>
      <c r="AO60" s="1030"/>
      <c r="AP60" s="1030"/>
      <c r="AQ60" s="1030"/>
      <c r="AR60" s="1030"/>
      <c r="AS60" s="1030"/>
      <c r="AT60" s="1029"/>
      <c r="AU60" s="1029"/>
      <c r="AV60" s="1030"/>
      <c r="AW60" s="1030"/>
      <c r="AX60" s="1030"/>
      <c r="AY60" s="1030"/>
      <c r="AZ60" s="1030"/>
      <c r="BA60" s="1030"/>
      <c r="BB60" s="1030"/>
      <c r="BC60" s="1033"/>
    </row>
    <row r="61" spans="5:55" ht="26.65" customHeight="1" x14ac:dyDescent="0.15">
      <c r="E61" s="461">
        <v>15</v>
      </c>
      <c r="T61" s="353" t="b">
        <f t="shared" si="5"/>
        <v>1</v>
      </c>
      <c r="W61" s="517"/>
      <c r="AA61" s="482" t="s">
        <v>173</v>
      </c>
      <c r="AB61" s="1032" t="s">
        <v>851</v>
      </c>
      <c r="AC61" s="1030"/>
      <c r="AD61" s="1030"/>
      <c r="AE61" s="1030"/>
      <c r="AF61" s="1030"/>
      <c r="AG61" s="1030"/>
      <c r="AH61" s="1030"/>
      <c r="AI61" s="1030"/>
      <c r="AJ61" s="1029"/>
      <c r="AK61" s="1029"/>
      <c r="AL61" s="1030"/>
      <c r="AM61" s="1030"/>
      <c r="AN61" s="1030"/>
      <c r="AO61" s="1030"/>
      <c r="AP61" s="1030"/>
      <c r="AQ61" s="1030"/>
      <c r="AR61" s="1030"/>
      <c r="AS61" s="1030"/>
      <c r="AT61" s="1029"/>
      <c r="AU61" s="1029"/>
      <c r="AV61" s="1030"/>
      <c r="AW61" s="1030"/>
      <c r="AX61" s="1030"/>
      <c r="AY61" s="1030"/>
      <c r="AZ61" s="1030"/>
      <c r="BA61" s="1030"/>
      <c r="BB61" s="1030"/>
      <c r="BC61" s="1033"/>
    </row>
    <row r="62" spans="5:55" ht="26.1" customHeight="1" x14ac:dyDescent="0.15">
      <c r="E62" s="461">
        <v>15</v>
      </c>
      <c r="T62" s="353" t="b">
        <f t="shared" si="5"/>
        <v>1</v>
      </c>
      <c r="W62" s="517"/>
      <c r="AA62" s="482" t="s">
        <v>173</v>
      </c>
      <c r="AB62" s="1032" t="s">
        <v>852</v>
      </c>
      <c r="AC62" s="1030"/>
      <c r="AD62" s="1030"/>
      <c r="AE62" s="1030"/>
      <c r="AF62" s="1030"/>
      <c r="AG62" s="1030"/>
      <c r="AH62" s="1030"/>
      <c r="AI62" s="1030"/>
      <c r="AJ62" s="1029"/>
      <c r="AK62" s="1029"/>
      <c r="AL62" s="1030"/>
      <c r="AM62" s="1030"/>
      <c r="AN62" s="1030"/>
      <c r="AO62" s="1030"/>
      <c r="AP62" s="1030"/>
      <c r="AQ62" s="1030"/>
      <c r="AR62" s="1030"/>
      <c r="AS62" s="1030"/>
      <c r="AT62" s="1029"/>
      <c r="AU62" s="1029"/>
      <c r="AV62" s="1030"/>
      <c r="AW62" s="1030"/>
      <c r="AX62" s="1030"/>
      <c r="AY62" s="1030"/>
      <c r="AZ62" s="1030"/>
      <c r="BA62" s="1030"/>
      <c r="BB62" s="1030"/>
      <c r="BC62" s="1033"/>
    </row>
    <row r="63" spans="5:55" ht="34.15" customHeight="1" x14ac:dyDescent="0.15">
      <c r="E63" s="461">
        <v>15</v>
      </c>
      <c r="T63" s="353" t="b">
        <f t="shared" si="5"/>
        <v>1</v>
      </c>
      <c r="W63" s="517"/>
      <c r="AA63" s="482" t="s">
        <v>173</v>
      </c>
      <c r="AB63" s="1032" t="s">
        <v>853</v>
      </c>
      <c r="AC63" s="1030"/>
      <c r="AD63" s="1030"/>
      <c r="AE63" s="1030"/>
      <c r="AF63" s="1030"/>
      <c r="AG63" s="1030"/>
      <c r="AH63" s="1030"/>
      <c r="AI63" s="1030"/>
      <c r="AJ63" s="1029"/>
      <c r="AK63" s="1029"/>
      <c r="AL63" s="1030"/>
      <c r="AM63" s="1030"/>
      <c r="AN63" s="1030"/>
      <c r="AO63" s="1030"/>
      <c r="AP63" s="1030"/>
      <c r="AQ63" s="1030"/>
      <c r="AR63" s="1030"/>
      <c r="AS63" s="1030"/>
      <c r="AT63" s="1029"/>
      <c r="AU63" s="1029"/>
      <c r="AV63" s="1030"/>
      <c r="AW63" s="1030"/>
      <c r="AX63" s="1030"/>
      <c r="AY63" s="1030"/>
      <c r="AZ63" s="1030"/>
      <c r="BA63" s="1030"/>
      <c r="BB63" s="1030"/>
      <c r="BC63" s="1033"/>
    </row>
    <row r="64" spans="5:55" ht="24.2" customHeight="1" x14ac:dyDescent="0.15">
      <c r="E64" s="461">
        <v>15</v>
      </c>
      <c r="T64" s="353" t="b">
        <f t="shared" si="5"/>
        <v>1</v>
      </c>
      <c r="W64" s="517"/>
      <c r="AA64" s="482" t="s">
        <v>173</v>
      </c>
      <c r="AB64" s="1032" t="s">
        <v>854</v>
      </c>
      <c r="AC64" s="1030"/>
      <c r="AD64" s="1030"/>
      <c r="AE64" s="1030"/>
      <c r="AF64" s="1030"/>
      <c r="AG64" s="1030"/>
      <c r="AH64" s="1030"/>
      <c r="AI64" s="1030"/>
      <c r="AJ64" s="1029"/>
      <c r="AK64" s="1029"/>
      <c r="AL64" s="1030"/>
      <c r="AM64" s="1030"/>
      <c r="AN64" s="1030"/>
      <c r="AO64" s="1030"/>
      <c r="AP64" s="1030"/>
      <c r="AQ64" s="1030"/>
      <c r="AR64" s="1030"/>
      <c r="AS64" s="1030"/>
      <c r="AT64" s="1029"/>
      <c r="AU64" s="1029"/>
      <c r="AV64" s="1030"/>
      <c r="AW64" s="1030"/>
      <c r="AX64" s="1030"/>
      <c r="AY64" s="1030"/>
      <c r="AZ64" s="1030"/>
      <c r="BA64" s="1030"/>
      <c r="BB64" s="1030"/>
      <c r="BC64" s="1033"/>
    </row>
    <row r="65" spans="5:55" ht="22.9" customHeight="1" x14ac:dyDescent="0.15">
      <c r="E65" s="461">
        <v>15</v>
      </c>
      <c r="T65" s="353" t="b">
        <f t="shared" si="5"/>
        <v>1</v>
      </c>
      <c r="W65" s="517"/>
      <c r="AA65" s="482" t="s">
        <v>173</v>
      </c>
      <c r="AB65" s="1032" t="s">
        <v>855</v>
      </c>
      <c r="AC65" s="1030"/>
      <c r="AD65" s="1030"/>
      <c r="AE65" s="1030"/>
      <c r="AF65" s="1030"/>
      <c r="AG65" s="1030"/>
      <c r="AH65" s="1030"/>
      <c r="AI65" s="1030"/>
      <c r="AJ65" s="1029"/>
      <c r="AK65" s="1029"/>
      <c r="AL65" s="1030"/>
      <c r="AM65" s="1030"/>
      <c r="AN65" s="1030"/>
      <c r="AO65" s="1030"/>
      <c r="AP65" s="1030"/>
      <c r="AQ65" s="1030"/>
      <c r="AR65" s="1030"/>
      <c r="AS65" s="1030"/>
      <c r="AT65" s="1029"/>
      <c r="AU65" s="1029"/>
      <c r="AV65" s="1030"/>
      <c r="AW65" s="1030"/>
      <c r="AX65" s="1030"/>
      <c r="AY65" s="1030"/>
      <c r="AZ65" s="1030"/>
      <c r="BA65" s="1030"/>
      <c r="BB65" s="1030"/>
      <c r="BC65" s="1033"/>
    </row>
    <row r="66" spans="5:55" ht="20.45" customHeight="1" x14ac:dyDescent="0.15">
      <c r="E66" s="461">
        <v>15</v>
      </c>
      <c r="T66" s="353" t="b">
        <f t="shared" si="5"/>
        <v>1</v>
      </c>
      <c r="W66" s="517"/>
      <c r="AA66" s="482" t="s">
        <v>173</v>
      </c>
      <c r="AB66" s="1032" t="s">
        <v>856</v>
      </c>
      <c r="AC66" s="1030"/>
      <c r="AD66" s="1030"/>
      <c r="AE66" s="1030"/>
      <c r="AF66" s="1030"/>
      <c r="AG66" s="1030"/>
      <c r="AH66" s="1030"/>
      <c r="AI66" s="1030"/>
      <c r="AJ66" s="1029"/>
      <c r="AK66" s="1029"/>
      <c r="AL66" s="1030"/>
      <c r="AM66" s="1030"/>
      <c r="AN66" s="1030"/>
      <c r="AO66" s="1030"/>
      <c r="AP66" s="1030"/>
      <c r="AQ66" s="1030"/>
      <c r="AR66" s="1030"/>
      <c r="AS66" s="1030"/>
      <c r="AT66" s="1029"/>
      <c r="AU66" s="1029"/>
      <c r="AV66" s="1030"/>
      <c r="AW66" s="1030"/>
      <c r="AX66" s="1030"/>
      <c r="AY66" s="1030"/>
      <c r="AZ66" s="1030"/>
      <c r="BA66" s="1030"/>
      <c r="BB66" s="1030"/>
      <c r="BC66" s="1033"/>
    </row>
    <row r="67" spans="5:55" ht="39.200000000000003" customHeight="1" x14ac:dyDescent="0.15">
      <c r="E67" s="461">
        <v>15</v>
      </c>
      <c r="T67" s="353" t="b">
        <f t="shared" si="5"/>
        <v>1</v>
      </c>
      <c r="W67" s="517"/>
      <c r="AA67" s="482" t="s">
        <v>173</v>
      </c>
      <c r="AB67" s="1032" t="s">
        <v>857</v>
      </c>
      <c r="AC67" s="1030"/>
      <c r="AD67" s="1030"/>
      <c r="AE67" s="1030"/>
      <c r="AF67" s="1030"/>
      <c r="AG67" s="1030"/>
      <c r="AH67" s="1030"/>
      <c r="AI67" s="1030"/>
      <c r="AJ67" s="1029"/>
      <c r="AK67" s="1029"/>
      <c r="AL67" s="1030"/>
      <c r="AM67" s="1030"/>
      <c r="AN67" s="1030"/>
      <c r="AO67" s="1030"/>
      <c r="AP67" s="1030"/>
      <c r="AQ67" s="1030"/>
      <c r="AR67" s="1030"/>
      <c r="AS67" s="1030"/>
      <c r="AT67" s="1029"/>
      <c r="AU67" s="1029"/>
      <c r="AV67" s="1030"/>
      <c r="AW67" s="1030"/>
      <c r="AX67" s="1030"/>
      <c r="AY67" s="1030"/>
      <c r="AZ67" s="1030"/>
      <c r="BA67" s="1030"/>
      <c r="BB67" s="1030"/>
      <c r="BC67" s="1033"/>
    </row>
    <row r="68" spans="5:55" ht="38.450000000000003" customHeight="1" x14ac:dyDescent="0.15">
      <c r="E68" s="461">
        <v>15</v>
      </c>
      <c r="T68" s="353" t="b">
        <f t="shared" si="5"/>
        <v>1</v>
      </c>
      <c r="W68" s="517"/>
      <c r="AA68" s="482" t="s">
        <v>173</v>
      </c>
      <c r="AB68" s="1032" t="s">
        <v>858</v>
      </c>
      <c r="AC68" s="1030"/>
      <c r="AD68" s="1030"/>
      <c r="AE68" s="1030"/>
      <c r="AF68" s="1030"/>
      <c r="AG68" s="1030"/>
      <c r="AH68" s="1030"/>
      <c r="AI68" s="1030"/>
      <c r="AJ68" s="1029"/>
      <c r="AK68" s="1029"/>
      <c r="AL68" s="1030"/>
      <c r="AM68" s="1030"/>
      <c r="AN68" s="1030"/>
      <c r="AO68" s="1030"/>
      <c r="AP68" s="1030"/>
      <c r="AQ68" s="1030"/>
      <c r="AR68" s="1030"/>
      <c r="AS68" s="1030"/>
      <c r="AT68" s="1029"/>
      <c r="AU68" s="1029"/>
      <c r="AV68" s="1030"/>
      <c r="AW68" s="1030"/>
      <c r="AX68" s="1030"/>
      <c r="AY68" s="1030"/>
      <c r="AZ68" s="1030"/>
      <c r="BA68" s="1030"/>
      <c r="BB68" s="1030"/>
      <c r="BC68" s="1033"/>
    </row>
    <row r="69" spans="5:55" ht="40.35" customHeight="1" x14ac:dyDescent="0.15">
      <c r="E69" s="461">
        <v>15</v>
      </c>
      <c r="T69" s="353" t="b">
        <f t="shared" si="5"/>
        <v>1</v>
      </c>
      <c r="W69" s="517"/>
      <c r="AA69" s="482" t="s">
        <v>173</v>
      </c>
      <c r="AB69" s="1032" t="s">
        <v>859</v>
      </c>
      <c r="AC69" s="1030"/>
      <c r="AD69" s="1030"/>
      <c r="AE69" s="1030"/>
      <c r="AF69" s="1030"/>
      <c r="AG69" s="1030"/>
      <c r="AH69" s="1030"/>
      <c r="AI69" s="1030"/>
      <c r="AJ69" s="1029"/>
      <c r="AK69" s="1029"/>
      <c r="AL69" s="1030"/>
      <c r="AM69" s="1030"/>
      <c r="AN69" s="1030"/>
      <c r="AO69" s="1030"/>
      <c r="AP69" s="1030"/>
      <c r="AQ69" s="1030"/>
      <c r="AR69" s="1030"/>
      <c r="AS69" s="1030"/>
      <c r="AT69" s="1029"/>
      <c r="AU69" s="1029"/>
      <c r="AV69" s="1030"/>
      <c r="AW69" s="1030"/>
      <c r="AX69" s="1030"/>
      <c r="AY69" s="1030"/>
      <c r="AZ69" s="1030"/>
      <c r="BA69" s="1030"/>
      <c r="BB69" s="1030"/>
      <c r="BC69" s="1033"/>
    </row>
    <row r="70" spans="5:55" ht="39.200000000000003" customHeight="1" x14ac:dyDescent="0.15">
      <c r="E70" s="461">
        <v>15</v>
      </c>
      <c r="T70" s="353" t="b">
        <f t="shared" si="5"/>
        <v>1</v>
      </c>
      <c r="W70" s="517"/>
      <c r="AA70" s="482" t="s">
        <v>173</v>
      </c>
      <c r="AB70" s="1032" t="s">
        <v>860</v>
      </c>
      <c r="AC70" s="1030"/>
      <c r="AD70" s="1030"/>
      <c r="AE70" s="1030"/>
      <c r="AF70" s="1030"/>
      <c r="AG70" s="1030"/>
      <c r="AH70" s="1030"/>
      <c r="AI70" s="1030"/>
      <c r="AJ70" s="1029"/>
      <c r="AK70" s="1029"/>
      <c r="AL70" s="1030"/>
      <c r="AM70" s="1030"/>
      <c r="AN70" s="1030"/>
      <c r="AO70" s="1030"/>
      <c r="AP70" s="1030"/>
      <c r="AQ70" s="1030"/>
      <c r="AR70" s="1030"/>
      <c r="AS70" s="1030"/>
      <c r="AT70" s="1029"/>
      <c r="AU70" s="1029"/>
      <c r="AV70" s="1030"/>
      <c r="AW70" s="1030"/>
      <c r="AX70" s="1030"/>
      <c r="AY70" s="1030"/>
      <c r="AZ70" s="1030"/>
      <c r="BA70" s="1030"/>
      <c r="BB70" s="1030"/>
      <c r="BC70" s="1033"/>
    </row>
    <row r="71" spans="5:55" ht="38.450000000000003" customHeight="1" x14ac:dyDescent="0.15">
      <c r="E71" s="461">
        <v>15</v>
      </c>
      <c r="T71" s="353" t="b">
        <f t="shared" si="5"/>
        <v>1</v>
      </c>
      <c r="W71" s="517"/>
      <c r="AA71" s="482" t="s">
        <v>173</v>
      </c>
      <c r="AB71" s="1032" t="s">
        <v>861</v>
      </c>
      <c r="AC71" s="1030"/>
      <c r="AD71" s="1030"/>
      <c r="AE71" s="1030"/>
      <c r="AF71" s="1030"/>
      <c r="AG71" s="1030"/>
      <c r="AH71" s="1030"/>
      <c r="AI71" s="1030"/>
      <c r="AJ71" s="1029"/>
      <c r="AK71" s="1029"/>
      <c r="AL71" s="1030"/>
      <c r="AM71" s="1030"/>
      <c r="AN71" s="1030"/>
      <c r="AO71" s="1030"/>
      <c r="AP71" s="1030"/>
      <c r="AQ71" s="1030"/>
      <c r="AR71" s="1030"/>
      <c r="AS71" s="1030"/>
      <c r="AT71" s="1029"/>
      <c r="AU71" s="1029"/>
      <c r="AV71" s="1030"/>
      <c r="AW71" s="1030"/>
      <c r="AX71" s="1030"/>
      <c r="AY71" s="1030"/>
      <c r="AZ71" s="1030"/>
      <c r="BA71" s="1030"/>
      <c r="BB71" s="1030"/>
      <c r="BC71" s="1033"/>
    </row>
    <row r="72" spans="5:55" ht="38.450000000000003" customHeight="1" x14ac:dyDescent="0.15">
      <c r="E72" s="461">
        <v>15</v>
      </c>
      <c r="T72" s="353" t="b">
        <f t="shared" si="5"/>
        <v>1</v>
      </c>
      <c r="W72" s="517"/>
      <c r="AA72" s="482" t="s">
        <v>173</v>
      </c>
      <c r="AB72" s="1032" t="s">
        <v>862</v>
      </c>
      <c r="AC72" s="1030"/>
      <c r="AD72" s="1030"/>
      <c r="AE72" s="1030"/>
      <c r="AF72" s="1030"/>
      <c r="AG72" s="1030"/>
      <c r="AH72" s="1030"/>
      <c r="AI72" s="1030"/>
      <c r="AJ72" s="1029"/>
      <c r="AK72" s="1029"/>
      <c r="AL72" s="1030"/>
      <c r="AM72" s="1030"/>
      <c r="AN72" s="1030"/>
      <c r="AO72" s="1030"/>
      <c r="AP72" s="1030"/>
      <c r="AQ72" s="1030"/>
      <c r="AR72" s="1030"/>
      <c r="AS72" s="1030"/>
      <c r="AT72" s="1029"/>
      <c r="AU72" s="1029"/>
      <c r="AV72" s="1030"/>
      <c r="AW72" s="1030"/>
      <c r="AX72" s="1030"/>
      <c r="AY72" s="1030"/>
      <c r="AZ72" s="1030"/>
      <c r="BA72" s="1030"/>
      <c r="BB72" s="1030"/>
      <c r="BC72" s="1033"/>
    </row>
    <row r="73" spans="5:55" ht="39.200000000000003" customHeight="1" x14ac:dyDescent="0.15">
      <c r="E73" s="461">
        <v>15</v>
      </c>
      <c r="T73" s="353" t="b">
        <f t="shared" si="5"/>
        <v>1</v>
      </c>
      <c r="W73" s="517"/>
      <c r="AA73" s="482" t="s">
        <v>173</v>
      </c>
      <c r="AB73" s="1032" t="s">
        <v>863</v>
      </c>
      <c r="AC73" s="1030"/>
      <c r="AD73" s="1030"/>
      <c r="AE73" s="1030"/>
      <c r="AF73" s="1030"/>
      <c r="AG73" s="1030"/>
      <c r="AH73" s="1030"/>
      <c r="AI73" s="1030"/>
      <c r="AJ73" s="1029"/>
      <c r="AK73" s="1029"/>
      <c r="AL73" s="1030"/>
      <c r="AM73" s="1030"/>
      <c r="AN73" s="1030"/>
      <c r="AO73" s="1030"/>
      <c r="AP73" s="1030"/>
      <c r="AQ73" s="1030"/>
      <c r="AR73" s="1030"/>
      <c r="AS73" s="1030"/>
      <c r="AT73" s="1029"/>
      <c r="AU73" s="1029"/>
      <c r="AV73" s="1030"/>
      <c r="AW73" s="1030"/>
      <c r="AX73" s="1030"/>
      <c r="AY73" s="1030"/>
      <c r="AZ73" s="1030"/>
      <c r="BA73" s="1030"/>
      <c r="BB73" s="1030"/>
      <c r="BC73" s="1033"/>
    </row>
    <row r="74" spans="5:55" ht="21" customHeight="1" x14ac:dyDescent="0.15">
      <c r="E74" s="461">
        <v>15</v>
      </c>
      <c r="T74" s="353" t="b">
        <f t="shared" si="5"/>
        <v>1</v>
      </c>
      <c r="W74" s="517"/>
      <c r="AA74" s="482" t="s">
        <v>173</v>
      </c>
      <c r="AB74" s="1032" t="s">
        <v>864</v>
      </c>
      <c r="AC74" s="1030"/>
      <c r="AD74" s="1030"/>
      <c r="AE74" s="1030"/>
      <c r="AF74" s="1030"/>
      <c r="AG74" s="1030"/>
      <c r="AH74" s="1030"/>
      <c r="AI74" s="1030"/>
      <c r="AJ74" s="1029"/>
      <c r="AK74" s="1029"/>
      <c r="AL74" s="1030"/>
      <c r="AM74" s="1030"/>
      <c r="AN74" s="1030"/>
      <c r="AO74" s="1030"/>
      <c r="AP74" s="1030"/>
      <c r="AQ74" s="1030"/>
      <c r="AR74" s="1030"/>
      <c r="AS74" s="1030"/>
      <c r="AT74" s="1029"/>
      <c r="AU74" s="1029"/>
      <c r="AV74" s="1030"/>
      <c r="AW74" s="1030"/>
      <c r="AX74" s="1030"/>
      <c r="AY74" s="1030"/>
      <c r="AZ74" s="1030"/>
      <c r="BA74" s="1030"/>
      <c r="BB74" s="1030"/>
      <c r="BC74" s="1033"/>
    </row>
    <row r="75" spans="5:55" ht="41.1" customHeight="1" x14ac:dyDescent="0.15">
      <c r="E75" s="461">
        <v>15</v>
      </c>
      <c r="T75" s="353" t="b">
        <f t="shared" si="5"/>
        <v>1</v>
      </c>
      <c r="W75" s="517"/>
      <c r="AA75" s="482" t="s">
        <v>173</v>
      </c>
      <c r="AB75" s="1032" t="s">
        <v>865</v>
      </c>
      <c r="AC75" s="1030"/>
      <c r="AD75" s="1030"/>
      <c r="AE75" s="1030"/>
      <c r="AF75" s="1030"/>
      <c r="AG75" s="1030"/>
      <c r="AH75" s="1030"/>
      <c r="AI75" s="1030"/>
      <c r="AJ75" s="1029"/>
      <c r="AK75" s="1029"/>
      <c r="AL75" s="1030"/>
      <c r="AM75" s="1030"/>
      <c r="AN75" s="1030"/>
      <c r="AO75" s="1030"/>
      <c r="AP75" s="1030"/>
      <c r="AQ75" s="1030"/>
      <c r="AR75" s="1030"/>
      <c r="AS75" s="1030"/>
      <c r="AT75" s="1029"/>
      <c r="AU75" s="1029"/>
      <c r="AV75" s="1030"/>
      <c r="AW75" s="1030"/>
      <c r="AX75" s="1030"/>
      <c r="AY75" s="1030"/>
      <c r="AZ75" s="1030"/>
      <c r="BA75" s="1030"/>
      <c r="BB75" s="1030"/>
      <c r="BC75" s="1033"/>
    </row>
    <row r="76" spans="5:55" ht="36.6" customHeight="1" x14ac:dyDescent="0.15">
      <c r="E76" s="461">
        <v>15</v>
      </c>
      <c r="T76" s="353" t="b">
        <f t="shared" si="5"/>
        <v>1</v>
      </c>
      <c r="W76" s="517"/>
      <c r="AA76" s="482" t="s">
        <v>173</v>
      </c>
      <c r="AB76" s="1032" t="s">
        <v>866</v>
      </c>
      <c r="AC76" s="1030"/>
      <c r="AD76" s="1030"/>
      <c r="AE76" s="1030"/>
      <c r="AF76" s="1030"/>
      <c r="AG76" s="1030"/>
      <c r="AH76" s="1030"/>
      <c r="AI76" s="1030"/>
      <c r="AJ76" s="1029"/>
      <c r="AK76" s="1029"/>
      <c r="AL76" s="1030"/>
      <c r="AM76" s="1030"/>
      <c r="AN76" s="1030"/>
      <c r="AO76" s="1030"/>
      <c r="AP76" s="1030"/>
      <c r="AQ76" s="1030"/>
      <c r="AR76" s="1030"/>
      <c r="AS76" s="1030"/>
      <c r="AT76" s="1029"/>
      <c r="AU76" s="1029"/>
      <c r="AV76" s="1030"/>
      <c r="AW76" s="1030"/>
      <c r="AX76" s="1030"/>
      <c r="AY76" s="1030"/>
      <c r="AZ76" s="1030"/>
      <c r="BA76" s="1030"/>
      <c r="BB76" s="1030"/>
      <c r="BC76" s="1033"/>
    </row>
    <row r="77" spans="5:55" ht="36.6" customHeight="1" x14ac:dyDescent="0.15">
      <c r="E77" s="461">
        <v>15</v>
      </c>
      <c r="T77" s="353" t="b">
        <f t="shared" si="5"/>
        <v>1</v>
      </c>
      <c r="W77" s="517"/>
      <c r="AA77" s="482" t="s">
        <v>173</v>
      </c>
      <c r="AB77" s="1032" t="s">
        <v>867</v>
      </c>
      <c r="AC77" s="1030"/>
      <c r="AD77" s="1030"/>
      <c r="AE77" s="1030"/>
      <c r="AF77" s="1030"/>
      <c r="AG77" s="1030"/>
      <c r="AH77" s="1030"/>
      <c r="AI77" s="1030"/>
      <c r="AJ77" s="1029"/>
      <c r="AK77" s="1029"/>
      <c r="AL77" s="1030"/>
      <c r="AM77" s="1030"/>
      <c r="AN77" s="1030"/>
      <c r="AO77" s="1030"/>
      <c r="AP77" s="1030"/>
      <c r="AQ77" s="1030"/>
      <c r="AR77" s="1030"/>
      <c r="AS77" s="1030"/>
      <c r="AT77" s="1029"/>
      <c r="AU77" s="1029"/>
      <c r="AV77" s="1030"/>
      <c r="AW77" s="1030"/>
      <c r="AX77" s="1030"/>
      <c r="AY77" s="1030"/>
      <c r="AZ77" s="1030"/>
      <c r="BA77" s="1030"/>
      <c r="BB77" s="1030"/>
      <c r="BC77" s="1033"/>
    </row>
    <row r="78" spans="5:55" ht="29.85" customHeight="1" x14ac:dyDescent="0.15">
      <c r="E78" s="461">
        <v>15</v>
      </c>
      <c r="T78" s="353" t="b">
        <f t="shared" si="5"/>
        <v>1</v>
      </c>
      <c r="W78" s="517"/>
      <c r="AA78" s="482" t="s">
        <v>173</v>
      </c>
      <c r="AB78" s="1032" t="s">
        <v>868</v>
      </c>
      <c r="AC78" s="1030"/>
      <c r="AD78" s="1030"/>
      <c r="AE78" s="1030"/>
      <c r="AF78" s="1030"/>
      <c r="AG78" s="1030"/>
      <c r="AH78" s="1030"/>
      <c r="AI78" s="1030"/>
      <c r="AJ78" s="1029"/>
      <c r="AK78" s="1029"/>
      <c r="AL78" s="1030"/>
      <c r="AM78" s="1030"/>
      <c r="AN78" s="1030"/>
      <c r="AO78" s="1030"/>
      <c r="AP78" s="1030"/>
      <c r="AQ78" s="1030"/>
      <c r="AR78" s="1030"/>
      <c r="AS78" s="1030"/>
      <c r="AT78" s="1029"/>
      <c r="AU78" s="1029"/>
      <c r="AV78" s="1030"/>
      <c r="AW78" s="1030"/>
      <c r="AX78" s="1030"/>
      <c r="AY78" s="1030"/>
      <c r="AZ78" s="1030"/>
      <c r="BA78" s="1030"/>
      <c r="BB78" s="1030"/>
      <c r="BC78" s="1033"/>
    </row>
    <row r="79" spans="5:55" ht="45.4" customHeight="1" x14ac:dyDescent="0.15">
      <c r="E79" s="461">
        <v>15</v>
      </c>
      <c r="T79" s="353" t="b">
        <f t="shared" si="5"/>
        <v>1</v>
      </c>
      <c r="W79" s="517"/>
      <c r="AA79" s="482" t="s">
        <v>173</v>
      </c>
      <c r="AB79" s="1032" t="s">
        <v>869</v>
      </c>
      <c r="AC79" s="1030"/>
      <c r="AD79" s="1030"/>
      <c r="AE79" s="1030"/>
      <c r="AF79" s="1030"/>
      <c r="AG79" s="1030"/>
      <c r="AH79" s="1030"/>
      <c r="AI79" s="1030"/>
      <c r="AJ79" s="1029"/>
      <c r="AK79" s="1029"/>
      <c r="AL79" s="1030"/>
      <c r="AM79" s="1030"/>
      <c r="AN79" s="1030"/>
      <c r="AO79" s="1030"/>
      <c r="AP79" s="1030"/>
      <c r="AQ79" s="1030"/>
      <c r="AR79" s="1030"/>
      <c r="AS79" s="1030"/>
      <c r="AT79" s="1029"/>
      <c r="AU79" s="1029"/>
      <c r="AV79" s="1030"/>
      <c r="AW79" s="1030"/>
      <c r="AX79" s="1030"/>
      <c r="AY79" s="1030"/>
      <c r="AZ79" s="1030"/>
      <c r="BA79" s="1030"/>
      <c r="BB79" s="1030"/>
      <c r="BC79" s="1033"/>
    </row>
    <row r="80" spans="5:55" ht="35.450000000000003" customHeight="1" x14ac:dyDescent="0.15">
      <c r="E80" s="461">
        <v>15</v>
      </c>
      <c r="T80" s="353" t="b">
        <f t="shared" si="5"/>
        <v>1</v>
      </c>
      <c r="W80" s="517"/>
      <c r="AA80" s="482" t="s">
        <v>173</v>
      </c>
      <c r="AB80" s="1032" t="s">
        <v>870</v>
      </c>
      <c r="AC80" s="1030"/>
      <c r="AD80" s="1030"/>
      <c r="AE80" s="1030"/>
      <c r="AF80" s="1030"/>
      <c r="AG80" s="1030"/>
      <c r="AH80" s="1030"/>
      <c r="AI80" s="1030"/>
      <c r="AJ80" s="1029"/>
      <c r="AK80" s="1029"/>
      <c r="AL80" s="1030"/>
      <c r="AM80" s="1030"/>
      <c r="AN80" s="1030"/>
      <c r="AO80" s="1030"/>
      <c r="AP80" s="1030"/>
      <c r="AQ80" s="1030"/>
      <c r="AR80" s="1030"/>
      <c r="AS80" s="1030"/>
      <c r="AT80" s="1029"/>
      <c r="AU80" s="1029"/>
      <c r="AV80" s="1030"/>
      <c r="AW80" s="1030"/>
      <c r="AX80" s="1030"/>
      <c r="AY80" s="1030"/>
      <c r="AZ80" s="1030"/>
      <c r="BA80" s="1030"/>
      <c r="BB80" s="1030"/>
      <c r="BC80" s="1033"/>
    </row>
    <row r="81" spans="5:55" ht="41.1" customHeight="1" x14ac:dyDescent="0.15">
      <c r="E81" s="461">
        <v>15</v>
      </c>
      <c r="T81" s="353" t="b">
        <f t="shared" si="5"/>
        <v>1</v>
      </c>
      <c r="W81" s="517"/>
      <c r="AA81" s="482" t="s">
        <v>173</v>
      </c>
      <c r="AB81" s="1032" t="s">
        <v>871</v>
      </c>
      <c r="AC81" s="1030"/>
      <c r="AD81" s="1030"/>
      <c r="AE81" s="1030"/>
      <c r="AF81" s="1030"/>
      <c r="AG81" s="1030"/>
      <c r="AH81" s="1030"/>
      <c r="AI81" s="1030"/>
      <c r="AJ81" s="1029"/>
      <c r="AK81" s="1029"/>
      <c r="AL81" s="1030"/>
      <c r="AM81" s="1030"/>
      <c r="AN81" s="1030"/>
      <c r="AO81" s="1030"/>
      <c r="AP81" s="1030"/>
      <c r="AQ81" s="1030"/>
      <c r="AR81" s="1030"/>
      <c r="AS81" s="1030"/>
      <c r="AT81" s="1029"/>
      <c r="AU81" s="1029"/>
      <c r="AV81" s="1030"/>
      <c r="AW81" s="1030"/>
      <c r="AX81" s="1030"/>
      <c r="AY81" s="1030"/>
      <c r="AZ81" s="1030"/>
      <c r="BA81" s="1030"/>
      <c r="BB81" s="1030"/>
      <c r="BC81" s="1033"/>
    </row>
    <row r="82" spans="5:55" ht="22.9" customHeight="1" x14ac:dyDescent="0.15">
      <c r="E82" s="461">
        <v>15</v>
      </c>
      <c r="T82" s="353" t="b">
        <f t="shared" si="5"/>
        <v>1</v>
      </c>
      <c r="W82" s="517"/>
      <c r="AA82" s="482" t="s">
        <v>173</v>
      </c>
      <c r="AB82" s="1032" t="s">
        <v>872</v>
      </c>
      <c r="AC82" s="1030"/>
      <c r="AD82" s="1030"/>
      <c r="AE82" s="1030"/>
      <c r="AF82" s="1030"/>
      <c r="AG82" s="1030"/>
      <c r="AH82" s="1030"/>
      <c r="AI82" s="1030"/>
      <c r="AJ82" s="1029"/>
      <c r="AK82" s="1029"/>
      <c r="AL82" s="1030"/>
      <c r="AM82" s="1030"/>
      <c r="AN82" s="1030"/>
      <c r="AO82" s="1030"/>
      <c r="AP82" s="1030"/>
      <c r="AQ82" s="1030"/>
      <c r="AR82" s="1030"/>
      <c r="AS82" s="1030"/>
      <c r="AT82" s="1029"/>
      <c r="AU82" s="1029"/>
      <c r="AV82" s="1030"/>
      <c r="AW82" s="1030"/>
      <c r="AX82" s="1030"/>
      <c r="AY82" s="1030"/>
      <c r="AZ82" s="1030"/>
      <c r="BA82" s="1030"/>
      <c r="BB82" s="1030"/>
      <c r="BC82" s="1033"/>
    </row>
    <row r="83" spans="5:55" ht="17.850000000000001" customHeight="1" x14ac:dyDescent="0.15">
      <c r="E83" s="461">
        <v>15</v>
      </c>
      <c r="T83" s="353" t="b">
        <f t="shared" si="5"/>
        <v>1</v>
      </c>
      <c r="W83" s="517"/>
      <c r="AA83" s="482" t="s">
        <v>173</v>
      </c>
      <c r="AB83" s="1032" t="s">
        <v>873</v>
      </c>
      <c r="AC83" s="1030"/>
      <c r="AD83" s="1030"/>
      <c r="AE83" s="1030"/>
      <c r="AF83" s="1030"/>
      <c r="AG83" s="1030"/>
      <c r="AH83" s="1030"/>
      <c r="AI83" s="1030"/>
      <c r="AJ83" s="1029"/>
      <c r="AK83" s="1029"/>
      <c r="AL83" s="1030"/>
      <c r="AM83" s="1030"/>
      <c r="AN83" s="1030"/>
      <c r="AO83" s="1030"/>
      <c r="AP83" s="1030"/>
      <c r="AQ83" s="1030"/>
      <c r="AR83" s="1030"/>
      <c r="AS83" s="1030"/>
      <c r="AT83" s="1029"/>
      <c r="AU83" s="1029"/>
      <c r="AV83" s="1030"/>
      <c r="AW83" s="1030"/>
      <c r="AX83" s="1030"/>
      <c r="AY83" s="1030"/>
      <c r="AZ83" s="1030"/>
      <c r="BA83" s="1030"/>
      <c r="BB83" s="1030"/>
      <c r="BC83" s="1033"/>
    </row>
    <row r="84" spans="5:55" ht="54.75" customHeight="1" x14ac:dyDescent="0.15">
      <c r="E84" s="461">
        <v>15</v>
      </c>
      <c r="T84" s="353" t="b">
        <f t="shared" si="5"/>
        <v>1</v>
      </c>
      <c r="W84" s="517"/>
      <c r="AA84" s="482" t="s">
        <v>173</v>
      </c>
      <c r="AB84" s="1032" t="s">
        <v>874</v>
      </c>
      <c r="AC84" s="1030"/>
      <c r="AD84" s="1030"/>
      <c r="AE84" s="1030"/>
      <c r="AF84" s="1030"/>
      <c r="AG84" s="1030"/>
      <c r="AH84" s="1030"/>
      <c r="AI84" s="1030"/>
      <c r="AJ84" s="1029"/>
      <c r="AK84" s="1029"/>
      <c r="AL84" s="1030"/>
      <c r="AM84" s="1030"/>
      <c r="AN84" s="1030"/>
      <c r="AO84" s="1030"/>
      <c r="AP84" s="1030"/>
      <c r="AQ84" s="1030"/>
      <c r="AR84" s="1030"/>
      <c r="AS84" s="1030"/>
      <c r="AT84" s="1029"/>
      <c r="AU84" s="1029"/>
      <c r="AV84" s="1030"/>
      <c r="AW84" s="1030"/>
      <c r="AX84" s="1030"/>
      <c r="AY84" s="1030"/>
      <c r="AZ84" s="1030"/>
      <c r="BA84" s="1030"/>
      <c r="BB84" s="1030"/>
      <c r="BC84" s="1033"/>
    </row>
    <row r="85" spans="5:55" ht="21.6" customHeight="1" x14ac:dyDescent="0.15">
      <c r="E85" s="461">
        <v>15</v>
      </c>
      <c r="T85" s="353" t="b">
        <f t="shared" si="5"/>
        <v>1</v>
      </c>
      <c r="W85" s="517"/>
      <c r="AA85" s="482" t="s">
        <v>173</v>
      </c>
      <c r="AB85" s="1032" t="s">
        <v>875</v>
      </c>
      <c r="AC85" s="1030"/>
      <c r="AD85" s="1030"/>
      <c r="AE85" s="1030"/>
      <c r="AF85" s="1030"/>
      <c r="AG85" s="1030"/>
      <c r="AH85" s="1030"/>
      <c r="AI85" s="1030"/>
      <c r="AJ85" s="1029"/>
      <c r="AK85" s="1029"/>
      <c r="AL85" s="1030"/>
      <c r="AM85" s="1030"/>
      <c r="AN85" s="1030"/>
      <c r="AO85" s="1030"/>
      <c r="AP85" s="1030"/>
      <c r="AQ85" s="1030"/>
      <c r="AR85" s="1030"/>
      <c r="AS85" s="1030"/>
      <c r="AT85" s="1029"/>
      <c r="AU85" s="1029"/>
      <c r="AV85" s="1030"/>
      <c r="AW85" s="1030"/>
      <c r="AX85" s="1030"/>
      <c r="AY85" s="1030"/>
      <c r="AZ85" s="1030"/>
      <c r="BA85" s="1030"/>
      <c r="BB85" s="1030"/>
      <c r="BC85" s="1033"/>
    </row>
    <row r="86" spans="5:55" ht="44.85" customHeight="1" x14ac:dyDescent="0.15">
      <c r="E86" s="461">
        <v>15</v>
      </c>
      <c r="T86" s="353" t="b">
        <f t="shared" si="5"/>
        <v>1</v>
      </c>
      <c r="W86" s="517"/>
      <c r="AA86" s="482" t="s">
        <v>173</v>
      </c>
      <c r="AB86" s="1032" t="s">
        <v>876</v>
      </c>
      <c r="AC86" s="1030"/>
      <c r="AD86" s="1030"/>
      <c r="AE86" s="1030"/>
      <c r="AF86" s="1030"/>
      <c r="AG86" s="1030"/>
      <c r="AH86" s="1030"/>
      <c r="AI86" s="1030"/>
      <c r="AJ86" s="1029"/>
      <c r="AK86" s="1029"/>
      <c r="AL86" s="1030"/>
      <c r="AM86" s="1030"/>
      <c r="AN86" s="1030"/>
      <c r="AO86" s="1030"/>
      <c r="AP86" s="1030"/>
      <c r="AQ86" s="1030"/>
      <c r="AR86" s="1030"/>
      <c r="AS86" s="1030"/>
      <c r="AT86" s="1029"/>
      <c r="AU86" s="1029"/>
      <c r="AV86" s="1030"/>
      <c r="AW86" s="1030"/>
      <c r="AX86" s="1030"/>
      <c r="AY86" s="1030"/>
      <c r="AZ86" s="1030"/>
      <c r="BA86" s="1030"/>
      <c r="BB86" s="1030"/>
      <c r="BC86" s="1033"/>
    </row>
    <row r="87" spans="5:55" ht="14.65" customHeight="1" x14ac:dyDescent="0.15">
      <c r="E87" s="461">
        <v>15</v>
      </c>
      <c r="W87" s="517" t="s">
        <v>419</v>
      </c>
      <c r="AB87" s="474"/>
      <c r="AC87" s="382" t="s">
        <v>420</v>
      </c>
      <c r="AD87" s="218"/>
      <c r="AE87" s="218"/>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20"/>
    </row>
    <row r="88" spans="5:55" ht="10.7" customHeight="1" x14ac:dyDescent="0.15">
      <c r="E88" s="461">
        <v>11</v>
      </c>
    </row>
  </sheetData>
  <sheetProtection formatColumns="0" formatRows="0" insertRows="0" deleteColumns="0" deleteRows="0" sort="0" autoFilter="0"/>
  <mergeCells count="49">
    <mergeCell ref="AB83:BC83"/>
    <mergeCell ref="AB84:BC84"/>
    <mergeCell ref="AB85:BC85"/>
    <mergeCell ref="AB86:BC86"/>
    <mergeCell ref="AB78:BC78"/>
    <mergeCell ref="AB79:BC79"/>
    <mergeCell ref="AB80:BC80"/>
    <mergeCell ref="AB81:BC81"/>
    <mergeCell ref="AB82:BC82"/>
    <mergeCell ref="AB73:BC73"/>
    <mergeCell ref="AB74:BC74"/>
    <mergeCell ref="AB75:BC75"/>
    <mergeCell ref="AB76:BC76"/>
    <mergeCell ref="AB77:BC77"/>
    <mergeCell ref="AB68:BC68"/>
    <mergeCell ref="AB69:BC69"/>
    <mergeCell ref="AB70:BC70"/>
    <mergeCell ref="AB71:BC71"/>
    <mergeCell ref="AB72:BC72"/>
    <mergeCell ref="AB63:BC63"/>
    <mergeCell ref="AB64:BC64"/>
    <mergeCell ref="AB65:BC65"/>
    <mergeCell ref="AB66:BC66"/>
    <mergeCell ref="AB67:BC67"/>
    <mergeCell ref="AB58:BC58"/>
    <mergeCell ref="AB59:BC59"/>
    <mergeCell ref="AB60:BC60"/>
    <mergeCell ref="AB61:BC61"/>
    <mergeCell ref="AB62:BC62"/>
    <mergeCell ref="AB53:BC53"/>
    <mergeCell ref="AB54:BC54"/>
    <mergeCell ref="AB55:BC55"/>
    <mergeCell ref="AB56:BC56"/>
    <mergeCell ref="AB57:BC57"/>
    <mergeCell ref="AB52:BC52"/>
    <mergeCell ref="AB51:BC51"/>
    <mergeCell ref="X31:X36"/>
    <mergeCell ref="Z31:Z36"/>
    <mergeCell ref="X37:X43"/>
    <mergeCell ref="Z37:Z43"/>
    <mergeCell ref="X44:X47"/>
    <mergeCell ref="Z44:Z47"/>
    <mergeCell ref="X27:X30"/>
    <mergeCell ref="Z27:Z30"/>
    <mergeCell ref="AB50:BC50"/>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AE39:AE42 AF39:AF42 AG39:AG42 AH39:AH42 AI39:AI42 AJ39:AJ42 AK39:AK42 AL39:AL42 AM39:AM42 AN39:AN42 AO39:AO42 AP39:AP42 AQ39:AQ42 AR39:AR42 AS39:AS42 AT39:AT42 AU39:AU42 AV39:AV42 AW39:AW42 AX39:AX42 AY39:AY42 AZ39:AZ42 BA39:BA42 BB39:BB42 AE46 AF46 AG46 AH46 AI46 AJ46 AK46 AL46 AM46 AN46 AO46 AP46 AQ46 AR46 AS46 AT46 AU46 AV46 AW46 AX46 AY46 AZ46 BA46 BB46"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C9AD8-F34E-BC88-F598-0B4384CB11B4}">
  <sheetPr>
    <tabColor rgb="FFFFC000"/>
    <outlinePr summaryBelow="0" summaryRight="0"/>
    <pageSetUpPr fitToPage="1"/>
  </sheetPr>
  <dimension ref="A1:BJ125"/>
  <sheetViews>
    <sheetView showGridLines="0" zoomScale="120" workbookViewId="0">
      <pane xSplit="30" ySplit="25" topLeftCell="AF95" activePane="bottomRight" state="frozen"/>
      <selection pane="topRight" activeCell="AE1" sqref="AE1"/>
      <selection pane="bottomLeft" activeCell="A26" sqref="A26"/>
      <selection pane="bottomRight" activeCell="AU107" sqref="AU107"/>
    </sheetView>
  </sheetViews>
  <sheetFormatPr defaultColWidth="9.140625" defaultRowHeight="11.25" customHeight="1" x14ac:dyDescent="0.15"/>
  <cols>
    <col min="1" max="1" width="3.5703125" style="17" hidden="1" customWidth="1"/>
    <col min="2" max="2" width="4.42578125" style="46" hidden="1" customWidth="1"/>
    <col min="3" max="3" width="6.7109375" style="365" hidden="1" customWidth="1"/>
    <col min="4" max="4" width="4.5703125" style="17" hidden="1" customWidth="1"/>
    <col min="5" max="5" width="3.5703125" style="461"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87.42578125" style="17" customWidth="1"/>
    <col min="56" max="56" width="3" style="17" customWidth="1"/>
    <col min="57" max="57" width="9.140625" style="17" hidden="1"/>
    <col min="58" max="60" width="9.140625" style="671" hidden="1"/>
    <col min="61" max="62" width="9.140625" style="461" hidden="1"/>
  </cols>
  <sheetData>
    <row r="1" spans="1:62" ht="11.25" hidden="1" customHeight="1" x14ac:dyDescent="0.15">
      <c r="E1" s="17"/>
      <c r="F1" s="17" t="s">
        <v>320</v>
      </c>
      <c r="G1" s="17" t="s">
        <v>330</v>
      </c>
      <c r="H1" s="17" t="s">
        <v>355</v>
      </c>
      <c r="T1" s="353" t="s">
        <v>92</v>
      </c>
      <c r="U1" s="353" t="s">
        <v>97</v>
      </c>
      <c r="V1" s="353" t="s">
        <v>93</v>
      </c>
      <c r="W1" s="353" t="s">
        <v>94</v>
      </c>
      <c r="X1" s="353" t="s">
        <v>95</v>
      </c>
      <c r="Y1" s="355" t="s">
        <v>322</v>
      </c>
      <c r="Z1" s="353" t="s">
        <v>99</v>
      </c>
      <c r="AA1" s="355" t="s">
        <v>96</v>
      </c>
      <c r="AB1" s="381"/>
      <c r="AC1" s="354" t="s">
        <v>98</v>
      </c>
      <c r="BF1" s="671" t="s">
        <v>323</v>
      </c>
      <c r="BG1" s="671" t="s">
        <v>324</v>
      </c>
      <c r="BH1" s="671" t="s">
        <v>325</v>
      </c>
      <c r="BI1" s="461" t="s">
        <v>328</v>
      </c>
      <c r="BJ1" s="461" t="s">
        <v>329</v>
      </c>
    </row>
    <row r="2" spans="1:62" s="46" customFormat="1" ht="11.25" hidden="1" customHeight="1" x14ac:dyDescent="0.15">
      <c r="B2" s="341" t="s">
        <v>18</v>
      </c>
      <c r="C2" s="36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7"/>
      <c r="BJ2" s="677"/>
    </row>
    <row r="3" spans="1:62" ht="11.25" hidden="1" customHeight="1" x14ac:dyDescent="0.15">
      <c r="E3" s="17"/>
    </row>
    <row r="4" spans="1:62" ht="11.25" hidden="1" customHeight="1" x14ac:dyDescent="0.15">
      <c r="E4" s="17"/>
    </row>
    <row r="5" spans="1:62" s="461" customFormat="1" ht="11.25" hidden="1" customHeight="1" x14ac:dyDescent="0.15">
      <c r="A5" s="17"/>
      <c r="B5" s="46"/>
      <c r="C5" s="365"/>
      <c r="D5" s="17"/>
      <c r="E5" s="461" t="s">
        <v>19</v>
      </c>
      <c r="AA5" s="461">
        <v>3</v>
      </c>
      <c r="AB5" s="461">
        <v>11</v>
      </c>
      <c r="AC5" s="461">
        <v>35</v>
      </c>
      <c r="AD5" s="461">
        <v>12.57</v>
      </c>
      <c r="AE5" s="461">
        <v>14.57</v>
      </c>
      <c r="AF5" s="461">
        <v>12.57</v>
      </c>
      <c r="AG5" s="461">
        <v>15</v>
      </c>
      <c r="AH5" s="461">
        <v>16</v>
      </c>
      <c r="AI5" s="461">
        <v>12.57</v>
      </c>
      <c r="AJ5" s="461">
        <v>12.57</v>
      </c>
      <c r="AK5" s="461">
        <v>12.57</v>
      </c>
      <c r="AL5" s="461">
        <v>12.57</v>
      </c>
      <c r="AM5" s="461">
        <v>12.57</v>
      </c>
      <c r="AN5" s="461">
        <v>12.57</v>
      </c>
      <c r="AO5" s="461">
        <v>12.57</v>
      </c>
      <c r="AP5" s="461">
        <v>12.57</v>
      </c>
      <c r="AQ5" s="461">
        <v>12.57</v>
      </c>
      <c r="AR5" s="461">
        <v>12.57</v>
      </c>
      <c r="AS5" s="461">
        <v>15.43</v>
      </c>
      <c r="AT5" s="461">
        <v>15.43</v>
      </c>
      <c r="AU5" s="461">
        <v>15.43</v>
      </c>
      <c r="AV5" s="461">
        <v>15.43</v>
      </c>
      <c r="AW5" s="461">
        <v>15.43</v>
      </c>
      <c r="AX5" s="461">
        <v>15.43</v>
      </c>
      <c r="AY5" s="461">
        <v>15.43</v>
      </c>
      <c r="AZ5" s="461">
        <v>15.43</v>
      </c>
      <c r="BA5" s="461">
        <v>15.43</v>
      </c>
      <c r="BB5" s="461">
        <v>15.43</v>
      </c>
      <c r="BC5" s="461">
        <v>20</v>
      </c>
      <c r="BD5" s="461">
        <v>3</v>
      </c>
      <c r="BF5" s="671"/>
      <c r="BG5" s="671"/>
      <c r="BH5" s="671"/>
    </row>
    <row r="6" spans="1:62" ht="11.25" hidden="1" customHeight="1" x14ac:dyDescent="0.15">
      <c r="A6" s="17" t="s">
        <v>358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1" customFormat="1" ht="11.25" hidden="1" customHeight="1" x14ac:dyDescent="0.15">
      <c r="A9" s="671" t="s">
        <v>363</v>
      </c>
      <c r="B9" s="672"/>
      <c r="C9" s="67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1"/>
      <c r="BJ9" s="461"/>
    </row>
    <row r="10" spans="1:62" s="671" customFormat="1" ht="11.25" hidden="1" customHeight="1" x14ac:dyDescent="0.15">
      <c r="A10" s="671" t="s">
        <v>364</v>
      </c>
      <c r="B10" s="672"/>
      <c r="C10" s="67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1"/>
      <c r="BJ10" s="461"/>
    </row>
    <row r="11" spans="1:62" s="671" customFormat="1" ht="11.25" hidden="1" customHeight="1" x14ac:dyDescent="0.15">
      <c r="A11" s="671" t="s">
        <v>365</v>
      </c>
      <c r="B11" s="672"/>
      <c r="C11" s="679"/>
      <c r="BC11" s="671" t="str" cm="1">
        <f t="array" ref="BC11">BC24</f>
        <v>Ссылка на правовую норму (основание для принятия показателя в расчет тарифа)</v>
      </c>
      <c r="BI11" s="461"/>
      <c r="BJ11" s="461"/>
    </row>
    <row r="12" spans="1:62" s="671" customFormat="1" ht="11.25" hidden="1" customHeight="1" x14ac:dyDescent="0.15">
      <c r="A12" s="671" t="s">
        <v>337</v>
      </c>
      <c r="B12" s="672"/>
      <c r="C12" s="679"/>
      <c r="AC12" s="671" t="s">
        <v>325</v>
      </c>
      <c r="BI12" s="461"/>
      <c r="BJ12" s="461"/>
    </row>
    <row r="13" spans="1:62" ht="11.25" hidden="1" customHeight="1" x14ac:dyDescent="0.15"/>
    <row r="14" spans="1:62" ht="11.25" hidden="1" customHeight="1" x14ac:dyDescent="0.15"/>
    <row r="15" spans="1:62" ht="11.25" hidden="1" customHeight="1" x14ac:dyDescent="0.15"/>
    <row r="16" spans="1:62" ht="11.25" hidden="1" customHeight="1" x14ac:dyDescent="0.15"/>
    <row r="17" spans="2:62" ht="11.25" hidden="1" customHeight="1" x14ac:dyDescent="0.15"/>
    <row r="18" spans="2:62" ht="11.25" hidden="1" customHeight="1" x14ac:dyDescent="0.15">
      <c r="AC18" s="17" t="s">
        <v>193</v>
      </c>
    </row>
    <row r="19" spans="2:62" ht="11.25" hidden="1" customHeight="1" x14ac:dyDescent="0.15"/>
    <row r="20" spans="2:62" ht="11.25" hidden="1" customHeight="1" x14ac:dyDescent="0.15"/>
    <row r="21" spans="2:62" ht="14.65" customHeight="1" x14ac:dyDescent="0.15">
      <c r="E21" s="461">
        <v>15</v>
      </c>
      <c r="AA21" s="59"/>
      <c r="AC21" s="3" t="str" cm="1">
        <f t="array" ref="AC21">tpl_title</f>
        <v>Кемеровская область / 2026 / КАО "Азот" (ИНН:4205000908, КПП:997550001) / ДПР: 2024-2028</v>
      </c>
    </row>
    <row r="22" spans="2:62" s="59" customFormat="1" ht="19.5" customHeight="1" x14ac:dyDescent="0.15">
      <c r="B22" s="46"/>
      <c r="C22" s="365"/>
      <c r="E22" s="462">
        <v>20</v>
      </c>
      <c r="AB22" s="226"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4"/>
      <c r="BG22" s="674"/>
      <c r="BH22" s="674"/>
      <c r="BI22" s="462"/>
      <c r="BJ22" s="462"/>
    </row>
    <row r="23" spans="2:62" s="59" customFormat="1" ht="10.9" customHeight="1" x14ac:dyDescent="0.15">
      <c r="B23" s="46"/>
      <c r="C23" s="365"/>
      <c r="E23" s="462">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4"/>
      <c r="BG23" s="674"/>
      <c r="BH23" s="674"/>
      <c r="BI23" s="462"/>
      <c r="BJ23" s="462"/>
    </row>
    <row r="24" spans="2:62" s="60" customFormat="1" ht="14.65" customHeight="1" x14ac:dyDescent="0.15">
      <c r="B24" s="326"/>
      <c r="C24" s="367"/>
      <c r="E24" s="459">
        <v>15</v>
      </c>
      <c r="AB24" s="1027" t="s">
        <v>21</v>
      </c>
      <c r="AC24" s="1027" t="s">
        <v>367</v>
      </c>
      <c r="AD24" s="1027" t="s">
        <v>368</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94" t="s">
        <v>553</v>
      </c>
      <c r="BF24" s="669"/>
      <c r="BG24" s="669"/>
      <c r="BH24" s="669"/>
      <c r="BI24" s="459"/>
      <c r="BJ24" s="459"/>
    </row>
    <row r="25" spans="2:62" s="60" customFormat="1" ht="48.75" customHeight="1" x14ac:dyDescent="0.15">
      <c r="B25" s="326"/>
      <c r="C25" s="367"/>
      <c r="E25" s="459">
        <v>50</v>
      </c>
      <c r="AB25" s="1027"/>
      <c r="AC25" s="1027"/>
      <c r="AD25" s="1027"/>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994"/>
      <c r="BF25" s="669"/>
      <c r="BG25" s="669"/>
      <c r="BH25" s="669"/>
      <c r="BI25" s="459"/>
      <c r="BJ25" s="459"/>
    </row>
    <row r="26" spans="2:62" s="60" customFormat="1" ht="14.25" hidden="1" customHeight="1" x14ac:dyDescent="0.15">
      <c r="B26" s="326"/>
      <c r="C26" s="367"/>
      <c r="E26" s="459">
        <v>0</v>
      </c>
      <c r="AB26" s="522"/>
      <c r="AC26" s="522"/>
      <c r="AD26" s="52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9"/>
      <c r="BG26" s="669"/>
      <c r="BH26" s="669"/>
      <c r="BI26" s="459"/>
      <c r="BJ26" s="459"/>
    </row>
    <row r="27" spans="2:62" s="60" customFormat="1" ht="14.65" hidden="1" customHeight="1" x14ac:dyDescent="0.15">
      <c r="B27" s="326"/>
      <c r="C27" s="366"/>
      <c r="E27" s="461">
        <v>15</v>
      </c>
      <c r="F27" s="17" cm="1">
        <f t="array" ref="F27">X27</f>
        <v>0</v>
      </c>
      <c r="G27" s="17"/>
      <c r="H27" s="17"/>
      <c r="T27" s="353" t="b">
        <f>X27&gt;0</f>
        <v>0</v>
      </c>
      <c r="V27" s="60" t="s">
        <v>264</v>
      </c>
      <c r="X27" s="964">
        <v>0</v>
      </c>
      <c r="Z27" s="992"/>
      <c r="AB27" s="97" t="str" cm="1">
        <f t="array" ref="AB27">INDEX('Общие сведения'!$AG$179:$AG$236,MATCH($X27,'Общие сведения'!$Z$179:$Z$236,0))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9"/>
      <c r="BG27" s="669"/>
      <c r="BH27" s="669"/>
      <c r="BI27" s="459"/>
      <c r="BJ27" s="459"/>
    </row>
    <row r="28" spans="2:62" s="62" customFormat="1" ht="10.9" hidden="1" customHeight="1" x14ac:dyDescent="0.15">
      <c r="B28" s="326"/>
      <c r="C28" s="364"/>
      <c r="D28" s="366"/>
      <c r="E28" s="179">
        <v>11.25</v>
      </c>
      <c r="F28" s="3" cm="1">
        <f t="array" aca="1" ref="F28" ca="1">OFFSET(E28,-1,1)</f>
        <v>0</v>
      </c>
      <c r="G28" s="42" t="s">
        <v>331</v>
      </c>
      <c r="H28" s="42"/>
      <c r="K28" s="364" t="str">
        <f ca="1">F28&amp;"komm"</f>
        <v>0komm</v>
      </c>
      <c r="L28" s="607" cm="1">
        <f t="array" ref="L28">BC28</f>
        <v>0</v>
      </c>
      <c r="T28" s="353" t="b" cm="1">
        <f t="array" ref="T28">T27</f>
        <v>0</v>
      </c>
      <c r="X28" s="964"/>
      <c r="Z28" s="992"/>
      <c r="AB28" s="8" t="s">
        <v>275</v>
      </c>
      <c r="AC28" s="54" t="s">
        <v>827</v>
      </c>
      <c r="AD28" s="8" t="s">
        <v>828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6"/>
      <c r="BF28" s="678" t="s">
        <v>877</v>
      </c>
      <c r="BG28" s="678"/>
      <c r="BH28" s="678"/>
      <c r="BI28" s="179"/>
      <c r="BJ28" s="179"/>
    </row>
    <row r="29" spans="2:62" s="62" customFormat="1" ht="10.9" hidden="1" customHeight="1" x14ac:dyDescent="0.15">
      <c r="B29" s="326"/>
      <c r="C29" s="364"/>
      <c r="E29" s="179">
        <v>11.25</v>
      </c>
      <c r="F29" s="3" cm="1">
        <f t="array" aca="1" ref="F29" ca="1">OFFSET(E29,-1,1)</f>
        <v>0</v>
      </c>
      <c r="G29" s="42" t="s">
        <v>332</v>
      </c>
      <c r="H29" s="42"/>
      <c r="T29" s="353" t="b" cm="1">
        <f t="array" ref="T29">T28</f>
        <v>0</v>
      </c>
      <c r="X29" s="964"/>
      <c r="Z29" s="992"/>
      <c r="AB29" s="8" t="s">
        <v>285</v>
      </c>
      <c r="AC29" s="54" t="s">
        <v>878</v>
      </c>
      <c r="AD29" s="11" t="s">
        <v>879</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6"/>
      <c r="BF29" s="678" t="s">
        <v>880</v>
      </c>
      <c r="BG29" s="678"/>
      <c r="BH29" s="678"/>
      <c r="BI29" s="179"/>
      <c r="BJ29" s="179"/>
    </row>
    <row r="30" spans="2:62" s="62" customFormat="1" ht="10.9" hidden="1" customHeight="1" x14ac:dyDescent="0.15">
      <c r="B30" s="326"/>
      <c r="C30" s="364"/>
      <c r="E30" s="179">
        <v>11.25</v>
      </c>
      <c r="F30" s="3" cm="1">
        <f t="array" aca="1" ref="F30" ca="1">OFFSET(E30,-1,1)</f>
        <v>0</v>
      </c>
      <c r="G30" s="42" t="s">
        <v>333</v>
      </c>
      <c r="H30" s="42"/>
      <c r="T30" s="353" t="b" cm="1">
        <f t="array" ref="T30">T29</f>
        <v>0</v>
      </c>
      <c r="X30" s="964"/>
      <c r="Z30" s="992"/>
      <c r="AB30" s="8" t="s">
        <v>291</v>
      </c>
      <c r="AC30" s="54" t="s">
        <v>881</v>
      </c>
      <c r="AD30" s="11" t="s">
        <v>882</v>
      </c>
      <c r="AE30" s="852"/>
      <c r="AF30" s="852"/>
      <c r="AG30" s="852"/>
      <c r="AH30" s="852"/>
      <c r="AI30" s="152"/>
      <c r="AJ30" s="852"/>
      <c r="AK30" s="852"/>
      <c r="AL30" s="852"/>
      <c r="AM30" s="852"/>
      <c r="AN30" s="852"/>
      <c r="AO30" s="852"/>
      <c r="AP30" s="852"/>
      <c r="AQ30" s="852"/>
      <c r="AR30" s="852"/>
      <c r="AS30" s="152"/>
      <c r="AT30" s="852"/>
      <c r="AU30" s="852"/>
      <c r="AV30" s="852"/>
      <c r="AW30" s="852"/>
      <c r="AX30" s="852"/>
      <c r="AY30" s="852"/>
      <c r="AZ30" s="852"/>
      <c r="BA30" s="852"/>
      <c r="BB30" s="852"/>
      <c r="BC30" s="826"/>
      <c r="BF30" s="678" t="s">
        <v>883</v>
      </c>
      <c r="BG30" s="678"/>
      <c r="BH30" s="678"/>
      <c r="BI30" s="179"/>
      <c r="BJ30" s="179"/>
    </row>
    <row r="31" spans="2:62" s="62" customFormat="1" ht="10.9" hidden="1" customHeight="1" x14ac:dyDescent="0.15">
      <c r="B31" s="326"/>
      <c r="C31" s="364"/>
      <c r="E31" s="179">
        <v>11.25</v>
      </c>
      <c r="F31" s="3" cm="1">
        <f t="array" aca="1" ref="F31" ca="1">OFFSET(E31,-1,1)</f>
        <v>0</v>
      </c>
      <c r="G31" s="42" t="s">
        <v>335</v>
      </c>
      <c r="H31" s="42"/>
      <c r="T31" s="353" t="b" cm="1">
        <f t="array" ref="T31">T30</f>
        <v>0</v>
      </c>
      <c r="X31" s="964"/>
      <c r="Z31" s="992"/>
      <c r="AB31" s="8" t="s">
        <v>454</v>
      </c>
      <c r="AC31" s="54" t="s">
        <v>884</v>
      </c>
      <c r="AD31" s="11" t="s">
        <v>885</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6"/>
      <c r="BF31" s="678" t="s">
        <v>886</v>
      </c>
      <c r="BG31" s="678"/>
      <c r="BH31" s="678"/>
      <c r="BI31" s="179"/>
      <c r="BJ31" s="179"/>
    </row>
    <row r="32" spans="2:62" s="62" customFormat="1" ht="10.9" hidden="1" customHeight="1" x14ac:dyDescent="0.15">
      <c r="B32" s="326"/>
      <c r="C32" s="364"/>
      <c r="E32" s="179">
        <v>11.25</v>
      </c>
      <c r="F32" s="3" cm="1">
        <f t="array" aca="1" ref="F32" ca="1">OFFSET(E32,-1,1)</f>
        <v>0</v>
      </c>
      <c r="G32" s="42" t="s">
        <v>334</v>
      </c>
      <c r="H32" s="42"/>
      <c r="T32" s="353" t="b" cm="1">
        <f t="array" ref="T32">T31</f>
        <v>0</v>
      </c>
      <c r="X32" s="964"/>
      <c r="Z32" s="992"/>
      <c r="AB32" s="8" t="s">
        <v>460</v>
      </c>
      <c r="AC32" s="54" t="s">
        <v>887</v>
      </c>
      <c r="AD32" s="11" t="s">
        <v>888</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6"/>
      <c r="BF32" s="678" t="s">
        <v>889</v>
      </c>
      <c r="BG32" s="678"/>
      <c r="BH32" s="678"/>
      <c r="BI32" s="179"/>
      <c r="BJ32" s="179"/>
    </row>
    <row r="33" spans="1:62" s="62" customFormat="1" ht="12.6" hidden="1" customHeight="1" x14ac:dyDescent="0.15">
      <c r="B33" s="326"/>
      <c r="C33" s="364"/>
      <c r="E33" s="179">
        <v>13</v>
      </c>
      <c r="F33" s="3" cm="1">
        <f t="array" aca="1" ref="F33" ca="1">OFFSET(E33,-1,1)</f>
        <v>0</v>
      </c>
      <c r="G33" s="42"/>
      <c r="H33" s="42"/>
      <c r="T33" s="353" t="b" cm="1">
        <f t="array" ref="T33">T32</f>
        <v>0</v>
      </c>
      <c r="X33" s="964"/>
      <c r="Z33" s="992"/>
      <c r="AB33" s="476"/>
      <c r="AC33" s="178" t="s">
        <v>890</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8"/>
      <c r="BG33" s="678"/>
      <c r="BH33" s="678"/>
      <c r="BI33" s="179"/>
      <c r="BJ33" s="179"/>
    </row>
    <row r="34" spans="1:62" s="62" customFormat="1" ht="10.9" hidden="1" customHeight="1" x14ac:dyDescent="0.15">
      <c r="B34" s="326"/>
      <c r="C34" s="364"/>
      <c r="E34" s="179">
        <v>11.25</v>
      </c>
      <c r="F34" s="3" cm="1">
        <f t="array" aca="1" ref="F34" ca="1">OFFSET(E34,-1,1)</f>
        <v>0</v>
      </c>
      <c r="G34" s="42" t="s">
        <v>532</v>
      </c>
      <c r="H34" s="42" cm="1">
        <f t="array" ref="H34">AC34</f>
        <v>0</v>
      </c>
      <c r="T34" s="353" t="b">
        <f ca="1">AND(F34&gt;0,Y34&gt;0)</f>
        <v>0</v>
      </c>
      <c r="W34" s="517" t="s">
        <v>172</v>
      </c>
      <c r="X34" s="964"/>
      <c r="Y34" s="964">
        <v>0</v>
      </c>
      <c r="Z34" s="992"/>
      <c r="AA34" s="913" t="s">
        <v>173</v>
      </c>
      <c r="AB34" s="8" t="str">
        <f>"6."&amp;Y34</f>
        <v>6.0</v>
      </c>
      <c r="AC34" s="851"/>
      <c r="AD34" s="8" t="s">
        <v>828</v>
      </c>
      <c r="AE34" s="820"/>
      <c r="AF34" s="820"/>
      <c r="AG34" s="820"/>
      <c r="AH34" s="820"/>
      <c r="AI34" s="57"/>
      <c r="AJ34" s="820"/>
      <c r="AK34" s="820"/>
      <c r="AL34" s="820"/>
      <c r="AM34" s="820"/>
      <c r="AN34" s="820"/>
      <c r="AO34" s="820"/>
      <c r="AP34" s="820"/>
      <c r="AQ34" s="820"/>
      <c r="AR34" s="820"/>
      <c r="AS34" s="57"/>
      <c r="AT34" s="820"/>
      <c r="AU34" s="820"/>
      <c r="AV34" s="820"/>
      <c r="AW34" s="820"/>
      <c r="AX34" s="820"/>
      <c r="AY34" s="820"/>
      <c r="AZ34" s="820"/>
      <c r="BA34" s="820"/>
      <c r="BB34" s="820"/>
      <c r="BC34" s="826"/>
      <c r="BF34" s="678" t="s">
        <v>891</v>
      </c>
      <c r="BG34" s="678" t="s">
        <v>892</v>
      </c>
      <c r="BH34" s="678" cm="1">
        <f t="array" ref="BH34">AC34</f>
        <v>0</v>
      </c>
      <c r="BI34" s="179"/>
      <c r="BJ34" s="179" t="b">
        <v>1</v>
      </c>
    </row>
    <row r="35" spans="1:62" s="62" customFormat="1" ht="10.9" hidden="1" customHeight="1" x14ac:dyDescent="0.15">
      <c r="B35" s="326"/>
      <c r="C35" s="364"/>
      <c r="E35" s="179">
        <v>11.25</v>
      </c>
      <c r="F35" s="3" cm="1">
        <f t="array" aca="1" ref="F35" ca="1">OFFSET(E35,-1,1)</f>
        <v>0</v>
      </c>
      <c r="G35" s="42" t="s">
        <v>696</v>
      </c>
      <c r="H35" s="42" cm="1">
        <f t="array" ref="H35">H34</f>
        <v>0</v>
      </c>
      <c r="T35" s="353" t="b" cm="1">
        <f t="array" aca="1" ref="T35" ca="1">T34</f>
        <v>0</v>
      </c>
      <c r="X35" s="964"/>
      <c r="Y35" s="964"/>
      <c r="Z35" s="992"/>
      <c r="AA35" s="913"/>
      <c r="AB35" s="8" t="str">
        <f>AB34&amp;".1"</f>
        <v>6.0.1</v>
      </c>
      <c r="AC35" s="105" t="s">
        <v>893</v>
      </c>
      <c r="AD35" s="11" t="s">
        <v>885</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6"/>
      <c r="BF35" s="678" t="s">
        <v>894</v>
      </c>
      <c r="BG35" s="678" t="s">
        <v>892</v>
      </c>
      <c r="BH35" s="678" cm="1">
        <f t="array" ref="BH35">BH34</f>
        <v>0</v>
      </c>
      <c r="BI35" s="179"/>
      <c r="BJ35" s="179"/>
    </row>
    <row r="36" spans="1:62" s="62" customFormat="1" ht="10.9" hidden="1" customHeight="1" x14ac:dyDescent="0.15">
      <c r="B36" s="326"/>
      <c r="C36" s="364"/>
      <c r="E36" s="179">
        <v>11.25</v>
      </c>
      <c r="F36" s="3" cm="1">
        <f t="array" aca="1" ref="F36" ca="1">OFFSET(E36,-1,1)</f>
        <v>0</v>
      </c>
      <c r="G36" s="42" t="s">
        <v>699</v>
      </c>
      <c r="H36" s="42" cm="1">
        <f t="array" ref="H36">H35</f>
        <v>0</v>
      </c>
      <c r="T36" s="353" t="b" cm="1">
        <f t="array" aca="1" ref="T36" ca="1">T35</f>
        <v>0</v>
      </c>
      <c r="X36" s="964"/>
      <c r="Y36" s="964"/>
      <c r="Z36" s="992"/>
      <c r="AA36" s="913"/>
      <c r="AB36" s="8" t="str">
        <f>AB34&amp;".2"</f>
        <v>6.0.2</v>
      </c>
      <c r="AC36" s="105" t="s">
        <v>895</v>
      </c>
      <c r="AD36" s="11" t="s">
        <v>879</v>
      </c>
      <c r="AE36" s="820"/>
      <c r="AF36" s="820"/>
      <c r="AG36" s="820"/>
      <c r="AH36" s="820"/>
      <c r="AI36" s="57"/>
      <c r="AJ36" s="820"/>
      <c r="AK36" s="820"/>
      <c r="AL36" s="820"/>
      <c r="AM36" s="820"/>
      <c r="AN36" s="820"/>
      <c r="AO36" s="820"/>
      <c r="AP36" s="820"/>
      <c r="AQ36" s="820"/>
      <c r="AR36" s="820"/>
      <c r="AS36" s="57"/>
      <c r="AT36" s="820"/>
      <c r="AU36" s="820"/>
      <c r="AV36" s="820"/>
      <c r="AW36" s="820"/>
      <c r="AX36" s="820"/>
      <c r="AY36" s="820"/>
      <c r="AZ36" s="820"/>
      <c r="BA36" s="820"/>
      <c r="BB36" s="820"/>
      <c r="BC36" s="826"/>
      <c r="BF36" s="678" t="s">
        <v>896</v>
      </c>
      <c r="BG36" s="678" t="s">
        <v>892</v>
      </c>
      <c r="BH36" s="678" cm="1">
        <f t="array" ref="BH36">BH35</f>
        <v>0</v>
      </c>
      <c r="BI36" s="179"/>
      <c r="BJ36" s="179"/>
    </row>
    <row r="37" spans="1:62" s="59" customFormat="1" ht="14.65" hidden="1" customHeight="1" x14ac:dyDescent="0.15">
      <c r="B37" s="46"/>
      <c r="C37" s="364"/>
      <c r="E37" s="462">
        <v>15</v>
      </c>
      <c r="F37" s="3" cm="1">
        <f t="array" aca="1" ref="F37" ca="1">OFFSET(E37,-1,1)</f>
        <v>0</v>
      </c>
      <c r="H37" s="632" t="s">
        <v>897</v>
      </c>
      <c r="T37" s="353" t="b">
        <f ca="1">F37&gt;0</f>
        <v>0</v>
      </c>
      <c r="W37" s="517" t="s">
        <v>397</v>
      </c>
      <c r="X37" s="964"/>
      <c r="Z37" s="992"/>
      <c r="AB37" s="477"/>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4"/>
      <c r="BG37" s="674"/>
      <c r="BH37" s="674"/>
      <c r="BI37" s="462" t="s">
        <v>892</v>
      </c>
      <c r="BJ37" s="462"/>
    </row>
    <row r="38" spans="1:62" s="62" customFormat="1" ht="12.6" hidden="1" customHeight="1" x14ac:dyDescent="0.15">
      <c r="B38" s="326"/>
      <c r="C38" s="364"/>
      <c r="E38" s="179">
        <v>13</v>
      </c>
      <c r="F38" s="3" cm="1">
        <f t="array" aca="1" ref="F38" ca="1">OFFSET(E38,-1,1)</f>
        <v>0</v>
      </c>
      <c r="G38" s="42"/>
      <c r="H38" s="42"/>
      <c r="T38" s="353" t="b" cm="1">
        <f t="array" aca="1" ref="T38" ca="1">T37</f>
        <v>0</v>
      </c>
      <c r="X38" s="964"/>
      <c r="Z38" s="992"/>
      <c r="AB38" s="476"/>
      <c r="AC38" s="178" t="s">
        <v>898</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8"/>
      <c r="BG38" s="678"/>
      <c r="BH38" s="678"/>
      <c r="BI38" s="179"/>
      <c r="BJ38" s="179"/>
    </row>
    <row r="39" spans="1:62" s="62" customFormat="1" ht="10.9" hidden="1" customHeight="1" x14ac:dyDescent="0.15">
      <c r="B39" s="326"/>
      <c r="C39" s="364"/>
      <c r="E39" s="179">
        <v>11.25</v>
      </c>
      <c r="F39" s="3" cm="1">
        <f t="array" aca="1" ref="F39" ca="1">OFFSET(E39,-1,1)</f>
        <v>0</v>
      </c>
      <c r="G39" s="42" t="s">
        <v>532</v>
      </c>
      <c r="H39" s="42" cm="1">
        <f t="array" ref="H39">AC39</f>
        <v>0</v>
      </c>
      <c r="T39" s="353" t="b">
        <f ca="1">AND(F39&gt;0,Y39&gt;0)</f>
        <v>0</v>
      </c>
      <c r="W39" s="517" t="s">
        <v>172</v>
      </c>
      <c r="X39" s="964"/>
      <c r="Y39" s="964">
        <v>0</v>
      </c>
      <c r="Z39" s="992"/>
      <c r="AA39" s="913" t="s">
        <v>173</v>
      </c>
      <c r="AB39" s="8" t="str">
        <f>"7."&amp;Y39</f>
        <v>7.0</v>
      </c>
      <c r="AC39" s="851"/>
      <c r="AD39" s="8" t="s">
        <v>828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6"/>
      <c r="BF39" s="678" t="s">
        <v>899</v>
      </c>
      <c r="BG39" s="678" t="s">
        <v>900</v>
      </c>
      <c r="BH39" s="678" cm="1">
        <f t="array" ref="BH39">AC39</f>
        <v>0</v>
      </c>
      <c r="BI39" s="179"/>
      <c r="BJ39" s="179"/>
    </row>
    <row r="40" spans="1:62" s="62" customFormat="1" ht="10.9" hidden="1" customHeight="1" x14ac:dyDescent="0.15">
      <c r="B40" s="326"/>
      <c r="C40" s="364"/>
      <c r="E40" s="179">
        <v>11.25</v>
      </c>
      <c r="F40" s="3" cm="1">
        <f t="array" aca="1" ref="F40" ca="1">OFFSET(E40,-1,1)</f>
        <v>0</v>
      </c>
      <c r="G40" s="42" t="s">
        <v>703</v>
      </c>
      <c r="H40" s="42" cm="1">
        <f t="array" ref="H40">H39</f>
        <v>0</v>
      </c>
      <c r="T40" s="353" t="b" cm="1">
        <f t="array" aca="1" ref="T40" ca="1">T39</f>
        <v>0</v>
      </c>
      <c r="X40" s="964"/>
      <c r="Y40" s="964"/>
      <c r="Z40" s="992"/>
      <c r="AA40" s="913"/>
      <c r="AB40" s="8" t="str">
        <f>AB39&amp;".1"</f>
        <v>7.0.1</v>
      </c>
      <c r="AC40" s="105" t="s">
        <v>901</v>
      </c>
      <c r="AD40" s="8" t="s">
        <v>902</v>
      </c>
      <c r="AE40" s="820"/>
      <c r="AF40" s="820"/>
      <c r="AG40" s="820"/>
      <c r="AH40" s="820"/>
      <c r="AI40" s="57"/>
      <c r="AJ40" s="820"/>
      <c r="AK40" s="820"/>
      <c r="AL40" s="820"/>
      <c r="AM40" s="820"/>
      <c r="AN40" s="820"/>
      <c r="AO40" s="820"/>
      <c r="AP40" s="820"/>
      <c r="AQ40" s="820"/>
      <c r="AR40" s="820"/>
      <c r="AS40" s="57"/>
      <c r="AT40" s="820"/>
      <c r="AU40" s="820"/>
      <c r="AV40" s="820"/>
      <c r="AW40" s="820"/>
      <c r="AX40" s="820"/>
      <c r="AY40" s="820"/>
      <c r="AZ40" s="820"/>
      <c r="BA40" s="820"/>
      <c r="BB40" s="820"/>
      <c r="BC40" s="826"/>
      <c r="BF40" s="678" t="s">
        <v>903</v>
      </c>
      <c r="BG40" s="678" t="s">
        <v>900</v>
      </c>
      <c r="BH40" s="678" cm="1">
        <f t="array" ref="BH40">BH39</f>
        <v>0</v>
      </c>
      <c r="BI40" s="179"/>
      <c r="BJ40" s="179"/>
    </row>
    <row r="41" spans="1:62" s="62" customFormat="1" ht="10.9" hidden="1" customHeight="1" x14ac:dyDescent="0.15">
      <c r="B41" s="326"/>
      <c r="C41" s="364"/>
      <c r="E41" s="179">
        <v>11.25</v>
      </c>
      <c r="F41" s="3" cm="1">
        <f t="array" aca="1" ref="F41" ca="1">OFFSET(E41,-1,1)</f>
        <v>0</v>
      </c>
      <c r="G41" s="42" t="s">
        <v>904</v>
      </c>
      <c r="H41" s="42" cm="1">
        <f t="array" ref="H41">H40</f>
        <v>0</v>
      </c>
      <c r="T41" s="353" t="b" cm="1">
        <f t="array" aca="1" ref="T41" ca="1">T40</f>
        <v>0</v>
      </c>
      <c r="X41" s="964"/>
      <c r="Y41" s="964"/>
      <c r="Z41" s="992"/>
      <c r="AA41" s="913"/>
      <c r="AB41" s="8" t="str">
        <f>AB39&amp;".1.1"</f>
        <v>7.0.1.1</v>
      </c>
      <c r="AC41" s="237" t="s">
        <v>893</v>
      </c>
      <c r="AD41" s="11" t="s">
        <v>885</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6"/>
      <c r="BF41" s="678" t="s">
        <v>905</v>
      </c>
      <c r="BG41" s="678" t="s">
        <v>900</v>
      </c>
      <c r="BH41" s="678" cm="1">
        <f t="array" ref="BH41">BH40</f>
        <v>0</v>
      </c>
      <c r="BI41" s="179"/>
      <c r="BJ41" s="179"/>
    </row>
    <row r="42" spans="1:62" s="62" customFormat="1" ht="10.9" hidden="1" customHeight="1" x14ac:dyDescent="0.15">
      <c r="B42" s="326"/>
      <c r="C42" s="364"/>
      <c r="E42" s="179">
        <v>11.25</v>
      </c>
      <c r="F42" s="3" cm="1">
        <f t="array" aca="1" ref="F42" ca="1">OFFSET(E42,-1,1)</f>
        <v>0</v>
      </c>
      <c r="G42" s="42" t="s">
        <v>906</v>
      </c>
      <c r="H42" s="42" cm="1">
        <f t="array" ref="H42">H41</f>
        <v>0</v>
      </c>
      <c r="T42" s="353" t="b" cm="1">
        <f t="array" aca="1" ref="T42" ca="1">T41</f>
        <v>0</v>
      </c>
      <c r="X42" s="964"/>
      <c r="Y42" s="964"/>
      <c r="Z42" s="992"/>
      <c r="AA42" s="913"/>
      <c r="AB42" s="8" t="str">
        <f>AB39&amp;".1.2"</f>
        <v>7.0.1.2</v>
      </c>
      <c r="AC42" s="237" t="s">
        <v>895</v>
      </c>
      <c r="AD42" s="11" t="s">
        <v>879</v>
      </c>
      <c r="AE42" s="820"/>
      <c r="AF42" s="820"/>
      <c r="AG42" s="820"/>
      <c r="AH42" s="820"/>
      <c r="AI42" s="57"/>
      <c r="AJ42" s="820"/>
      <c r="AK42" s="820"/>
      <c r="AL42" s="820"/>
      <c r="AM42" s="820"/>
      <c r="AN42" s="820"/>
      <c r="AO42" s="820"/>
      <c r="AP42" s="820"/>
      <c r="AQ42" s="820"/>
      <c r="AR42" s="820"/>
      <c r="AS42" s="57"/>
      <c r="AT42" s="820"/>
      <c r="AU42" s="820"/>
      <c r="AV42" s="820"/>
      <c r="AW42" s="820"/>
      <c r="AX42" s="820"/>
      <c r="AY42" s="820"/>
      <c r="AZ42" s="820"/>
      <c r="BA42" s="820"/>
      <c r="BB42" s="820"/>
      <c r="BC42" s="826"/>
      <c r="BF42" s="678" t="s">
        <v>907</v>
      </c>
      <c r="BG42" s="678" t="s">
        <v>900</v>
      </c>
      <c r="BH42" s="678" cm="1">
        <f t="array" ref="BH42">BH41</f>
        <v>0</v>
      </c>
      <c r="BI42" s="179"/>
      <c r="BJ42" s="179"/>
    </row>
    <row r="43" spans="1:62" s="62" customFormat="1" ht="10.9" hidden="1" customHeight="1" x14ac:dyDescent="0.15">
      <c r="B43" s="326"/>
      <c r="C43" s="364"/>
      <c r="E43" s="179">
        <v>11.25</v>
      </c>
      <c r="F43" s="3" cm="1">
        <f t="array" aca="1" ref="F43" ca="1">OFFSET(E43,-1,1)</f>
        <v>0</v>
      </c>
      <c r="G43" s="42" t="s">
        <v>706</v>
      </c>
      <c r="H43" s="42" cm="1">
        <f t="array" ref="H43">H42</f>
        <v>0</v>
      </c>
      <c r="T43" s="353" t="b" cm="1">
        <f t="array" aca="1" ref="T43" ca="1">T42</f>
        <v>0</v>
      </c>
      <c r="X43" s="964"/>
      <c r="Y43" s="964"/>
      <c r="Z43" s="992"/>
      <c r="AA43" s="913"/>
      <c r="AB43" s="8" t="str">
        <f>AB39&amp;".2"</f>
        <v>7.0.2</v>
      </c>
      <c r="AC43" s="105" t="s">
        <v>908</v>
      </c>
      <c r="AD43" s="8" t="s">
        <v>902</v>
      </c>
      <c r="AE43" s="820"/>
      <c r="AF43" s="820"/>
      <c r="AG43" s="820"/>
      <c r="AH43" s="820"/>
      <c r="AI43" s="57"/>
      <c r="AJ43" s="820"/>
      <c r="AK43" s="820"/>
      <c r="AL43" s="820"/>
      <c r="AM43" s="820"/>
      <c r="AN43" s="820"/>
      <c r="AO43" s="820"/>
      <c r="AP43" s="820"/>
      <c r="AQ43" s="820"/>
      <c r="AR43" s="820"/>
      <c r="AS43" s="57"/>
      <c r="AT43" s="820"/>
      <c r="AU43" s="820"/>
      <c r="AV43" s="820"/>
      <c r="AW43" s="820"/>
      <c r="AX43" s="820"/>
      <c r="AY43" s="820"/>
      <c r="AZ43" s="820"/>
      <c r="BA43" s="820"/>
      <c r="BB43" s="820"/>
      <c r="BC43" s="826"/>
      <c r="BF43" s="678" t="s">
        <v>909</v>
      </c>
      <c r="BG43" s="678" t="s">
        <v>900</v>
      </c>
      <c r="BH43" s="678" cm="1">
        <f t="array" ref="BH43">BH42</f>
        <v>0</v>
      </c>
      <c r="BI43" s="179"/>
      <c r="BJ43" s="179"/>
    </row>
    <row r="44" spans="1:62" s="62" customFormat="1" ht="10.9" hidden="1" customHeight="1" x14ac:dyDescent="0.15">
      <c r="B44" s="326"/>
      <c r="C44" s="364"/>
      <c r="E44" s="179">
        <v>11.25</v>
      </c>
      <c r="F44" s="3" cm="1">
        <f t="array" aca="1" ref="F44" ca="1">OFFSET(E44,-1,1)</f>
        <v>0</v>
      </c>
      <c r="G44" s="42" t="s">
        <v>910</v>
      </c>
      <c r="H44" s="42" cm="1">
        <f t="array" ref="H44">H43</f>
        <v>0</v>
      </c>
      <c r="T44" s="353" t="b" cm="1">
        <f t="array" aca="1" ref="T44" ca="1">T43</f>
        <v>0</v>
      </c>
      <c r="X44" s="964"/>
      <c r="Y44" s="964"/>
      <c r="Z44" s="992"/>
      <c r="AA44" s="913"/>
      <c r="AB44" s="8" t="str">
        <f>AB39&amp;".2.1"</f>
        <v>7.0.2.1</v>
      </c>
      <c r="AC44" s="237" t="s">
        <v>911</v>
      </c>
      <c r="AD44" s="11" t="s">
        <v>912</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6"/>
      <c r="BF44" s="678" t="s">
        <v>913</v>
      </c>
      <c r="BG44" s="678" t="s">
        <v>900</v>
      </c>
      <c r="BH44" s="678" cm="1">
        <f t="array" ref="BH44">BH43</f>
        <v>0</v>
      </c>
      <c r="BI44" s="179"/>
      <c r="BJ44" s="179"/>
    </row>
    <row r="45" spans="1:62" s="62" customFormat="1" ht="10.9" hidden="1" customHeight="1" x14ac:dyDescent="0.15">
      <c r="B45" s="326"/>
      <c r="C45" s="364"/>
      <c r="E45" s="179">
        <v>11.25</v>
      </c>
      <c r="F45" s="3" cm="1">
        <f t="array" aca="1" ref="F45" ca="1">OFFSET(E45,-1,1)</f>
        <v>0</v>
      </c>
      <c r="G45" s="42" t="s">
        <v>914</v>
      </c>
      <c r="H45" s="42" cm="1">
        <f t="array" ref="H45">H44</f>
        <v>0</v>
      </c>
      <c r="T45" s="353" t="b" cm="1">
        <f t="array" aca="1" ref="T45" ca="1">T44</f>
        <v>0</v>
      </c>
      <c r="X45" s="964"/>
      <c r="Y45" s="964"/>
      <c r="Z45" s="992"/>
      <c r="AA45" s="913"/>
      <c r="AB45" s="8" t="str">
        <f>AB39&amp;".2.2"</f>
        <v>7.0.2.2</v>
      </c>
      <c r="AC45" s="237" t="s">
        <v>915</v>
      </c>
      <c r="AD45" s="11" t="s">
        <v>916</v>
      </c>
      <c r="AE45" s="820"/>
      <c r="AF45" s="820"/>
      <c r="AG45" s="820"/>
      <c r="AH45" s="820"/>
      <c r="AI45" s="57"/>
      <c r="AJ45" s="820"/>
      <c r="AK45" s="820"/>
      <c r="AL45" s="820"/>
      <c r="AM45" s="820"/>
      <c r="AN45" s="820"/>
      <c r="AO45" s="820"/>
      <c r="AP45" s="820"/>
      <c r="AQ45" s="820"/>
      <c r="AR45" s="820"/>
      <c r="AS45" s="57"/>
      <c r="AT45" s="820"/>
      <c r="AU45" s="820"/>
      <c r="AV45" s="820"/>
      <c r="AW45" s="820"/>
      <c r="AX45" s="820"/>
      <c r="AY45" s="820"/>
      <c r="AZ45" s="820"/>
      <c r="BA45" s="820"/>
      <c r="BB45" s="820"/>
      <c r="BC45" s="826"/>
      <c r="BF45" s="678" t="s">
        <v>917</v>
      </c>
      <c r="BG45" s="678" t="s">
        <v>900</v>
      </c>
      <c r="BH45" s="678" cm="1">
        <f t="array" ref="BH45">BH44</f>
        <v>0</v>
      </c>
      <c r="BI45" s="179"/>
      <c r="BJ45" s="179"/>
    </row>
    <row r="46" spans="1:62" s="59" customFormat="1" ht="14.65" hidden="1" customHeight="1" x14ac:dyDescent="0.15">
      <c r="B46" s="46"/>
      <c r="C46" s="364"/>
      <c r="E46" s="462">
        <v>15</v>
      </c>
      <c r="F46" s="3" cm="1">
        <f t="array" aca="1" ref="F46" ca="1">OFFSET(E46,-1,1)</f>
        <v>0</v>
      </c>
      <c r="H46" s="632" t="s">
        <v>918</v>
      </c>
      <c r="T46" s="353" t="b">
        <f ca="1">F46&gt;0</f>
        <v>0</v>
      </c>
      <c r="W46" s="517" t="s">
        <v>919</v>
      </c>
      <c r="X46" s="964"/>
      <c r="Z46" s="992"/>
      <c r="AB46" s="89"/>
      <c r="AC46" s="92" t="s">
        <v>920</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4"/>
      <c r="BG46" s="674"/>
      <c r="BH46" s="674"/>
      <c r="BI46" s="462" t="s">
        <v>900</v>
      </c>
      <c r="BJ46" s="462"/>
    </row>
    <row r="47" spans="1:62" s="838" customFormat="1" ht="24.6" customHeight="1" x14ac:dyDescent="0.15">
      <c r="A47" s="60"/>
      <c r="B47" s="326"/>
      <c r="C47" s="366"/>
      <c r="D47" s="60"/>
      <c r="E47" s="461">
        <v>15</v>
      </c>
      <c r="F47" s="17" t="str" cm="1">
        <f t="array" ref="F47">X47</f>
        <v>1</v>
      </c>
      <c r="G47" s="17"/>
      <c r="H47" s="17"/>
      <c r="I47" s="60"/>
      <c r="J47" s="60"/>
      <c r="K47" s="60"/>
      <c r="L47" s="60"/>
      <c r="M47" s="60"/>
      <c r="N47" s="60"/>
      <c r="O47" s="60"/>
      <c r="P47" s="60"/>
      <c r="Q47" s="60"/>
      <c r="R47" s="60"/>
      <c r="S47" s="60"/>
      <c r="T47" s="353" t="b">
        <f>X47&gt;0</f>
        <v>1</v>
      </c>
      <c r="U47" s="60"/>
      <c r="V47" s="60" t="str" cm="1">
        <f t="array" ref="V47">'Сырье и материалы'!$AB$31</f>
        <v>Тариф 1 (Водоснабжение) - тариф на техническую воду</v>
      </c>
      <c r="W47" s="60"/>
      <c r="X47" s="964" t="s">
        <v>275</v>
      </c>
      <c r="Y47" s="60"/>
      <c r="Z47" s="992"/>
      <c r="AA47" s="60"/>
      <c r="AB47" s="97" t="str" cm="1">
        <f t="array" ref="AB47">'Сырье и материалы'!$AB$31</f>
        <v>Тариф 1 (Водоснабжение) - тариф на техническую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9"/>
      <c r="BG47" s="669"/>
      <c r="BH47" s="669"/>
      <c r="BI47" s="459"/>
      <c r="BJ47" s="459"/>
    </row>
    <row r="48" spans="1:62" s="326" customFormat="1" ht="29.1" customHeight="1" x14ac:dyDescent="0.15">
      <c r="A48" s="62"/>
      <c r="C48" s="364"/>
      <c r="D48" s="366"/>
      <c r="E48" s="179">
        <v>11.25</v>
      </c>
      <c r="F48" s="3" t="str" cm="1">
        <f t="array" aca="1" ref="F48" ca="1">OFFSET(E48,-1,1)</f>
        <v>1</v>
      </c>
      <c r="G48" s="42" t="s">
        <v>331</v>
      </c>
      <c r="H48" s="42"/>
      <c r="I48" s="62"/>
      <c r="J48" s="62"/>
      <c r="K48" s="364" t="str">
        <f ca="1">F48&amp;"komm"</f>
        <v>1komm</v>
      </c>
      <c r="L48" s="607" t="str" cm="1">
        <f t="array" ref="L48">BC48</f>
        <v>П. 16 (в), 91,95 Методических указаний ФСТ № 1746-э.</v>
      </c>
      <c r="M48" s="62"/>
      <c r="N48" s="62"/>
      <c r="O48" s="62"/>
      <c r="P48" s="62"/>
      <c r="Q48" s="62"/>
      <c r="R48" s="62"/>
      <c r="S48" s="62"/>
      <c r="T48" s="353" t="b" cm="1">
        <f t="array" ref="T48">T47</f>
        <v>1</v>
      </c>
      <c r="U48" s="62"/>
      <c r="V48" s="62"/>
      <c r="W48" s="62"/>
      <c r="X48" s="964"/>
      <c r="Y48" s="62"/>
      <c r="Z48" s="992"/>
      <c r="AA48" s="62"/>
      <c r="AB48" s="8" t="s">
        <v>275</v>
      </c>
      <c r="AC48" s="54" t="s">
        <v>827</v>
      </c>
      <c r="AD48" s="8" t="s">
        <v>828</v>
      </c>
      <c r="AE48" s="58">
        <f t="shared" ref="AE48:BB48" si="9">IF(COUNTIF(AE53:AE69,"Ошибка")&gt;0,"Ошибка",SUMIF($AD53:$AD69,$AD48,AE53:AE69))</f>
        <v>21218.07</v>
      </c>
      <c r="AF48" s="58">
        <f t="shared" si="9"/>
        <v>21918.191888597499</v>
      </c>
      <c r="AG48" s="58">
        <f t="shared" si="9"/>
        <v>21918.191888597499</v>
      </c>
      <c r="AH48" s="58">
        <f t="shared" si="9"/>
        <v>25840.63</v>
      </c>
      <c r="AI48" s="58">
        <f t="shared" si="9"/>
        <v>30812.5764729933</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27100.16</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921</v>
      </c>
      <c r="BD48" s="62"/>
      <c r="BE48" s="62"/>
      <c r="BF48" s="678" t="s">
        <v>877</v>
      </c>
      <c r="BG48" s="678"/>
      <c r="BH48" s="678"/>
      <c r="BI48" s="179"/>
      <c r="BJ48" s="179"/>
    </row>
    <row r="49" spans="1:62" s="326" customFormat="1" ht="44.85" customHeight="1" x14ac:dyDescent="0.15">
      <c r="A49" s="62"/>
      <c r="C49" s="364"/>
      <c r="D49" s="62"/>
      <c r="E49" s="179">
        <v>11.25</v>
      </c>
      <c r="F49" s="3" t="str" cm="1">
        <f t="array" aca="1" ref="F49" ca="1">OFFSET(E49,-1,1)</f>
        <v>1</v>
      </c>
      <c r="G49" s="42" t="s">
        <v>332</v>
      </c>
      <c r="H49" s="42"/>
      <c r="I49" s="62"/>
      <c r="J49" s="62"/>
      <c r="K49" s="62"/>
      <c r="L49" s="62"/>
      <c r="M49" s="62"/>
      <c r="N49" s="62"/>
      <c r="O49" s="62"/>
      <c r="P49" s="62"/>
      <c r="Q49" s="62"/>
      <c r="R49" s="62"/>
      <c r="S49" s="62"/>
      <c r="T49" s="353" t="b" cm="1">
        <f t="array" ref="T49">T48</f>
        <v>1</v>
      </c>
      <c r="U49" s="62"/>
      <c r="V49" s="62"/>
      <c r="W49" s="62"/>
      <c r="X49" s="964"/>
      <c r="Y49" s="62"/>
      <c r="Z49" s="992"/>
      <c r="AA49" s="62"/>
      <c r="AB49" s="8" t="s">
        <v>285</v>
      </c>
      <c r="AC49" s="54" t="s">
        <v>878</v>
      </c>
      <c r="AD49" s="11" t="s">
        <v>879</v>
      </c>
      <c r="AE49" s="58">
        <f>SUMIF(AD53:AD69,AD49,AE53:AE69)</f>
        <v>5320.09</v>
      </c>
      <c r="AF49" s="58">
        <f>SUMIF(AD53:AD69,AD49,AF53:AF69)</f>
        <v>5511.6304490659004</v>
      </c>
      <c r="AG49" s="58">
        <f>SUMIF(AD53:AD69,AD49,AG53:AG69)</f>
        <v>5511.6304490659004</v>
      </c>
      <c r="AH49" s="58">
        <f>SUMIF(AD53:AD69,AD49,AH53:AH69)</f>
        <v>6286.57</v>
      </c>
      <c r="AI49" s="58">
        <f>SUMIF(AD53:AD69,AD49,AI53:AI69)</f>
        <v>7041.2928000000002</v>
      </c>
      <c r="AJ49" s="58">
        <f>SUMIF(AD53:AD69,AD49,AJ53:AJ69)</f>
        <v>0</v>
      </c>
      <c r="AK49" s="58">
        <f>SUMIF(AD53:AD69,AD49,AK53:AK69)</f>
        <v>0</v>
      </c>
      <c r="AL49" s="58">
        <f>SUMIF(AD53:AD69,AD49,AL53:AL69)</f>
        <v>0</v>
      </c>
      <c r="AM49" s="58">
        <f>SUMIF(AD53:AD69,AD49,AM53:AM69)</f>
        <v>0</v>
      </c>
      <c r="AN49" s="58">
        <f>SUMIF(AD53:AD69,AD49,AN53:AN69)</f>
        <v>0</v>
      </c>
      <c r="AO49" s="58">
        <f>SUMIF(AD53:AD69,AD49,AO53:AO69)</f>
        <v>0</v>
      </c>
      <c r="AP49" s="58">
        <f>SUMIF(AD53:AD69,AD49,AP53:AP69)</f>
        <v>0</v>
      </c>
      <c r="AQ49" s="58">
        <f>SUMIF(AD53:AD69,AD49,AQ53:AQ69)</f>
        <v>0</v>
      </c>
      <c r="AR49" s="58">
        <f>SUMIF(AD53:AD69,AD49,AR53:AR69)</f>
        <v>0</v>
      </c>
      <c r="AS49" s="58">
        <f>SUMIF(AD53:AD69,AD49,AS53:AS69)</f>
        <v>5967.7628800000002</v>
      </c>
      <c r="AT49" s="58">
        <f>SUMIF(AD53:AD69,AD49,AT53:AT69)</f>
        <v>5967.7628800000002</v>
      </c>
      <c r="AU49" s="58">
        <f>SUMIF(AD53:AD69,AD49,AU53:AU69)</f>
        <v>5967.7628800000002</v>
      </c>
      <c r="AV49" s="58">
        <f>SUMIF(AD53:AD69,AD49,AV53:AV69)</f>
        <v>0</v>
      </c>
      <c r="AW49" s="58">
        <f>SUMIF(AD53:AD69,AD49,AW53:AW69)</f>
        <v>0</v>
      </c>
      <c r="AX49" s="58">
        <f>SUMIF(AD53:AD69,AD49,AX53:AX69)</f>
        <v>0</v>
      </c>
      <c r="AY49" s="58">
        <f>SUMIF(AD53:AD69,AD49,AY53:AY69)</f>
        <v>0</v>
      </c>
      <c r="AZ49" s="58">
        <f>SUMIF(AD53:AD69,AD49,AZ53:AZ69)</f>
        <v>0</v>
      </c>
      <c r="BA49" s="58">
        <f>SUMIF(AD53:AD69,AD49,BA53:BA69)</f>
        <v>0</v>
      </c>
      <c r="BB49" s="58">
        <f>SUMIF(AD53:AD69,AD49,BB53:BB69)</f>
        <v>0</v>
      </c>
      <c r="BC49" s="113" t="s">
        <v>922</v>
      </c>
      <c r="BD49" s="62"/>
      <c r="BE49" s="62"/>
      <c r="BF49" s="678" t="s">
        <v>880</v>
      </c>
      <c r="BG49" s="678"/>
      <c r="BH49" s="678"/>
      <c r="BI49" s="179"/>
      <c r="BJ49" s="179"/>
    </row>
    <row r="50" spans="1:62" s="326" customFormat="1" ht="21.6" customHeight="1" x14ac:dyDescent="0.15">
      <c r="A50" s="62"/>
      <c r="C50" s="364"/>
      <c r="D50" s="62"/>
      <c r="E50" s="179">
        <v>11.25</v>
      </c>
      <c r="F50" s="3" t="str" cm="1">
        <f t="array" aca="1" ref="F50" ca="1">OFFSET(E50,-1,1)</f>
        <v>1</v>
      </c>
      <c r="G50" s="42" t="s">
        <v>333</v>
      </c>
      <c r="H50" s="42"/>
      <c r="I50" s="62"/>
      <c r="J50" s="62"/>
      <c r="K50" s="62"/>
      <c r="L50" s="62"/>
      <c r="M50" s="62"/>
      <c r="N50" s="62"/>
      <c r="O50" s="62"/>
      <c r="P50" s="62"/>
      <c r="Q50" s="62"/>
      <c r="R50" s="62"/>
      <c r="S50" s="62"/>
      <c r="T50" s="353" t="b" cm="1">
        <f t="array" ref="T50">T49</f>
        <v>1</v>
      </c>
      <c r="U50" s="62"/>
      <c r="V50" s="62"/>
      <c r="W50" s="62"/>
      <c r="X50" s="964"/>
      <c r="Y50" s="62"/>
      <c r="Z50" s="992"/>
      <c r="AA50" s="62"/>
      <c r="AB50" s="8" t="s">
        <v>291</v>
      </c>
      <c r="AC50" s="54" t="s">
        <v>881</v>
      </c>
      <c r="AD50" s="11" t="s">
        <v>882</v>
      </c>
      <c r="AE50" s="152">
        <v>17161.565999999999</v>
      </c>
      <c r="AF50" s="152">
        <v>17945.460999999999</v>
      </c>
      <c r="AG50" s="152">
        <v>17945.460999999999</v>
      </c>
      <c r="AH50" s="152">
        <v>20279.261910000001</v>
      </c>
      <c r="AI50" s="152">
        <v>22004.04</v>
      </c>
      <c r="AJ50" s="852"/>
      <c r="AK50" s="852"/>
      <c r="AL50" s="152"/>
      <c r="AM50" s="152"/>
      <c r="AN50" s="152"/>
      <c r="AO50" s="152"/>
      <c r="AP50" s="152"/>
      <c r="AQ50" s="152"/>
      <c r="AR50" s="152"/>
      <c r="AS50" s="152">
        <v>19250.848000000002</v>
      </c>
      <c r="AT50" s="852" cm="1">
        <f t="array" ref="AT50">AS50</f>
        <v>19250.848000000002</v>
      </c>
      <c r="AU50" s="852" cm="1">
        <f t="array" ref="AU50">AS50</f>
        <v>19250.848000000002</v>
      </c>
      <c r="AV50" s="152"/>
      <c r="AW50" s="152"/>
      <c r="AX50" s="152"/>
      <c r="AY50" s="152"/>
      <c r="AZ50" s="152"/>
      <c r="BA50" s="152"/>
      <c r="BB50" s="152"/>
      <c r="BC50" s="113"/>
      <c r="BD50" s="62"/>
      <c r="BE50" s="62"/>
      <c r="BF50" s="678" t="s">
        <v>883</v>
      </c>
      <c r="BG50" s="678"/>
      <c r="BH50" s="678"/>
      <c r="BI50" s="179"/>
      <c r="BJ50" s="179"/>
    </row>
    <row r="51" spans="1:62" s="326" customFormat="1" ht="21" customHeight="1" x14ac:dyDescent="0.15">
      <c r="A51" s="62"/>
      <c r="C51" s="364"/>
      <c r="D51" s="62"/>
      <c r="E51" s="179">
        <v>11.25</v>
      </c>
      <c r="F51" s="3" t="str" cm="1">
        <f t="array" aca="1" ref="F51" ca="1">OFFSET(E51,-1,1)</f>
        <v>1</v>
      </c>
      <c r="G51" s="42" t="s">
        <v>335</v>
      </c>
      <c r="H51" s="42"/>
      <c r="I51" s="62"/>
      <c r="J51" s="62"/>
      <c r="K51" s="62"/>
      <c r="L51" s="62"/>
      <c r="M51" s="62"/>
      <c r="N51" s="62"/>
      <c r="O51" s="62"/>
      <c r="P51" s="62"/>
      <c r="Q51" s="62"/>
      <c r="R51" s="62"/>
      <c r="S51" s="62"/>
      <c r="T51" s="353" t="b" cm="1">
        <f t="array" ref="T51">T50</f>
        <v>1</v>
      </c>
      <c r="U51" s="62"/>
      <c r="V51" s="62"/>
      <c r="W51" s="62"/>
      <c r="X51" s="964"/>
      <c r="Y51" s="62"/>
      <c r="Z51" s="992"/>
      <c r="AA51" s="62"/>
      <c r="AB51" s="8" t="s">
        <v>454</v>
      </c>
      <c r="AC51" s="54" t="s">
        <v>884</v>
      </c>
      <c r="AD51" s="11" t="s">
        <v>885</v>
      </c>
      <c r="AE51" s="58">
        <f t="shared" ref="AE51:BB51" si="10">IF(AE49=0,0,AE48/AE49)</f>
        <v>3.9882915514587158</v>
      </c>
      <c r="AF51" s="58">
        <f t="shared" si="10"/>
        <v>3.9767165253817316</v>
      </c>
      <c r="AG51" s="58">
        <f t="shared" si="10"/>
        <v>3.9767165253817316</v>
      </c>
      <c r="AH51" s="58">
        <f t="shared" si="10"/>
        <v>4.1104497365017814</v>
      </c>
      <c r="AI51" s="58">
        <f t="shared" si="10"/>
        <v>4.3759828412466097</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4.5410919543773831</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8" t="s">
        <v>886</v>
      </c>
      <c r="BG51" s="678"/>
      <c r="BH51" s="678"/>
      <c r="BI51" s="179"/>
      <c r="BJ51" s="179"/>
    </row>
    <row r="52" spans="1:62" s="326" customFormat="1" ht="47.85" customHeight="1" x14ac:dyDescent="0.15">
      <c r="A52" s="62"/>
      <c r="C52" s="364"/>
      <c r="D52" s="62"/>
      <c r="E52" s="179">
        <v>11.25</v>
      </c>
      <c r="F52" s="3" t="str" cm="1">
        <f t="array" aca="1" ref="F52" ca="1">OFFSET(E52,-1,1)</f>
        <v>1</v>
      </c>
      <c r="G52" s="42" t="s">
        <v>334</v>
      </c>
      <c r="H52" s="42"/>
      <c r="I52" s="62"/>
      <c r="J52" s="62"/>
      <c r="K52" s="62"/>
      <c r="L52" s="62"/>
      <c r="M52" s="62"/>
      <c r="N52" s="62"/>
      <c r="O52" s="62"/>
      <c r="P52" s="62"/>
      <c r="Q52" s="62"/>
      <c r="R52" s="62"/>
      <c r="S52" s="62"/>
      <c r="T52" s="353" t="b" cm="1">
        <f t="array" ref="T52">T51</f>
        <v>1</v>
      </c>
      <c r="U52" s="62"/>
      <c r="V52" s="62"/>
      <c r="W52" s="62"/>
      <c r="X52" s="964"/>
      <c r="Y52" s="62"/>
      <c r="Z52" s="992"/>
      <c r="AA52" s="62"/>
      <c r="AB52" s="8" t="s">
        <v>460</v>
      </c>
      <c r="AC52" s="54" t="s">
        <v>887</v>
      </c>
      <c r="AD52" s="11" t="s">
        <v>888</v>
      </c>
      <c r="AE52" s="223">
        <f t="shared" ref="AE52:BB52" si="11">IF(AE50=0,0,AE49/AE50)</f>
        <v>0.31000026454462259</v>
      </c>
      <c r="AF52" s="223">
        <f t="shared" si="11"/>
        <v>0.30713228537655851</v>
      </c>
      <c r="AG52" s="223">
        <f t="shared" si="11"/>
        <v>0.30713228537655851</v>
      </c>
      <c r="AH52" s="223">
        <f t="shared" si="11"/>
        <v>0.30999994121580926</v>
      </c>
      <c r="AI52" s="223">
        <f t="shared" si="11"/>
        <v>0.32</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0.31</v>
      </c>
      <c r="AT52" s="223">
        <f t="shared" si="11"/>
        <v>0.31</v>
      </c>
      <c r="AU52" s="223">
        <f t="shared" si="11"/>
        <v>0.31</v>
      </c>
      <c r="AV52" s="223">
        <f t="shared" si="11"/>
        <v>0</v>
      </c>
      <c r="AW52" s="223">
        <f t="shared" si="11"/>
        <v>0</v>
      </c>
      <c r="AX52" s="223">
        <f t="shared" si="11"/>
        <v>0</v>
      </c>
      <c r="AY52" s="223">
        <f t="shared" si="11"/>
        <v>0</v>
      </c>
      <c r="AZ52" s="223">
        <f t="shared" si="11"/>
        <v>0</v>
      </c>
      <c r="BA52" s="223">
        <f t="shared" si="11"/>
        <v>0</v>
      </c>
      <c r="BB52" s="223">
        <f t="shared" si="11"/>
        <v>0</v>
      </c>
      <c r="BC52" s="113" t="s">
        <v>539</v>
      </c>
      <c r="BD52" s="62"/>
      <c r="BE52" s="62"/>
      <c r="BF52" s="678" t="s">
        <v>889</v>
      </c>
      <c r="BG52" s="678"/>
      <c r="BH52" s="678"/>
      <c r="BI52" s="179"/>
      <c r="BJ52" s="179"/>
    </row>
    <row r="53" spans="1:62" s="326" customFormat="1" ht="26.1" customHeight="1" x14ac:dyDescent="0.15">
      <c r="A53" s="62"/>
      <c r="C53" s="364"/>
      <c r="D53" s="62"/>
      <c r="E53" s="179">
        <v>13</v>
      </c>
      <c r="F53" s="3" t="str" cm="1">
        <f t="array" aca="1" ref="F53" ca="1">OFFSET(E53,-1,1)</f>
        <v>1</v>
      </c>
      <c r="G53" s="42"/>
      <c r="H53" s="42"/>
      <c r="I53" s="62"/>
      <c r="J53" s="62"/>
      <c r="K53" s="62"/>
      <c r="L53" s="62"/>
      <c r="M53" s="62"/>
      <c r="N53" s="62"/>
      <c r="O53" s="62"/>
      <c r="P53" s="62"/>
      <c r="Q53" s="62"/>
      <c r="R53" s="62"/>
      <c r="S53" s="62"/>
      <c r="T53" s="353" t="b" cm="1">
        <f t="array" ref="T53">T52</f>
        <v>1</v>
      </c>
      <c r="U53" s="62"/>
      <c r="V53" s="62"/>
      <c r="W53" s="62"/>
      <c r="X53" s="964"/>
      <c r="Y53" s="62"/>
      <c r="Z53" s="992"/>
      <c r="AA53" s="62"/>
      <c r="AB53" s="476"/>
      <c r="AC53" s="178" t="s">
        <v>890</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8"/>
      <c r="BG53" s="678"/>
      <c r="BH53" s="678"/>
      <c r="BI53" s="179"/>
      <c r="BJ53" s="179"/>
    </row>
    <row r="54" spans="1:62" s="326" customFormat="1" ht="10.5" hidden="1" customHeight="1" x14ac:dyDescent="0.15">
      <c r="A54" s="62"/>
      <c r="C54" s="364"/>
      <c r="D54" s="62"/>
      <c r="E54" s="179">
        <v>11.25</v>
      </c>
      <c r="F54" s="3" t="str" cm="1">
        <f t="array" aca="1" ref="F54" ca="1">OFFSET(E54,-1,1)</f>
        <v>1</v>
      </c>
      <c r="G54" s="42" t="s">
        <v>532</v>
      </c>
      <c r="H54" s="42" cm="1">
        <f t="array" ref="H54">AC54</f>
        <v>0</v>
      </c>
      <c r="I54" s="62"/>
      <c r="J54" s="62"/>
      <c r="K54" s="62"/>
      <c r="L54" s="62"/>
      <c r="M54" s="62"/>
      <c r="N54" s="62"/>
      <c r="O54" s="62"/>
      <c r="P54" s="62"/>
      <c r="Q54" s="62"/>
      <c r="R54" s="62"/>
      <c r="S54" s="62"/>
      <c r="T54" s="353" t="b">
        <f ca="1">AND(F54&gt;0,Y54&gt;0)</f>
        <v>0</v>
      </c>
      <c r="U54" s="62"/>
      <c r="V54" s="62"/>
      <c r="W54" s="517" t="s">
        <v>172</v>
      </c>
      <c r="X54" s="964"/>
      <c r="Y54" s="964">
        <v>0</v>
      </c>
      <c r="Z54" s="992"/>
      <c r="AA54" s="913" t="s">
        <v>173</v>
      </c>
      <c r="AB54" s="8" t="str">
        <f>"6."&amp;Y54</f>
        <v>6.0</v>
      </c>
      <c r="AC54" s="851"/>
      <c r="AD54" s="8" t="s">
        <v>828</v>
      </c>
      <c r="AE54" s="820"/>
      <c r="AF54" s="820"/>
      <c r="AG54" s="820"/>
      <c r="AH54" s="820"/>
      <c r="AI54" s="57"/>
      <c r="AJ54" s="820"/>
      <c r="AK54" s="820"/>
      <c r="AL54" s="820"/>
      <c r="AM54" s="820"/>
      <c r="AN54" s="820"/>
      <c r="AO54" s="820"/>
      <c r="AP54" s="820"/>
      <c r="AQ54" s="820"/>
      <c r="AR54" s="820"/>
      <c r="AS54" s="57"/>
      <c r="AT54" s="820"/>
      <c r="AU54" s="820"/>
      <c r="AV54" s="820"/>
      <c r="AW54" s="820"/>
      <c r="AX54" s="820"/>
      <c r="AY54" s="820"/>
      <c r="AZ54" s="820"/>
      <c r="BA54" s="820"/>
      <c r="BB54" s="820"/>
      <c r="BC54" s="826"/>
      <c r="BD54" s="62"/>
      <c r="BE54" s="62"/>
      <c r="BF54" s="678" t="s">
        <v>891</v>
      </c>
      <c r="BG54" s="678" t="s">
        <v>892</v>
      </c>
      <c r="BH54" s="678" cm="1">
        <f t="array" ref="BH54">AC54</f>
        <v>0</v>
      </c>
      <c r="BI54" s="179"/>
      <c r="BJ54" s="179" t="b">
        <v>1</v>
      </c>
    </row>
    <row r="55" spans="1:62" s="326" customFormat="1" ht="10.5" hidden="1" customHeight="1" x14ac:dyDescent="0.15">
      <c r="A55" s="62"/>
      <c r="C55" s="364"/>
      <c r="D55" s="62"/>
      <c r="E55" s="179">
        <v>11.25</v>
      </c>
      <c r="F55" s="3" t="str" cm="1">
        <f t="array" aca="1" ref="F55" ca="1">OFFSET(E55,-1,1)</f>
        <v>1</v>
      </c>
      <c r="G55" s="42" t="s">
        <v>696</v>
      </c>
      <c r="H55" s="42" cm="1">
        <f t="array" ref="H55">H54</f>
        <v>0</v>
      </c>
      <c r="I55" s="62"/>
      <c r="J55" s="62"/>
      <c r="K55" s="62"/>
      <c r="L55" s="62"/>
      <c r="M55" s="62"/>
      <c r="N55" s="62"/>
      <c r="O55" s="62"/>
      <c r="P55" s="62"/>
      <c r="Q55" s="62"/>
      <c r="R55" s="62"/>
      <c r="S55" s="62"/>
      <c r="T55" s="353" t="b" cm="1">
        <f t="array" aca="1" ref="T55" ca="1">T54</f>
        <v>0</v>
      </c>
      <c r="U55" s="62"/>
      <c r="V55" s="62"/>
      <c r="W55" s="62"/>
      <c r="X55" s="964"/>
      <c r="Y55" s="964"/>
      <c r="Z55" s="992"/>
      <c r="AA55" s="913"/>
      <c r="AB55" s="8" t="str">
        <f>AB54&amp;".1"</f>
        <v>6.0.1</v>
      </c>
      <c r="AC55" s="105" t="s">
        <v>893</v>
      </c>
      <c r="AD55" s="11" t="s">
        <v>885</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6"/>
      <c r="BD55" s="62"/>
      <c r="BE55" s="62"/>
      <c r="BF55" s="678" t="s">
        <v>894</v>
      </c>
      <c r="BG55" s="678" t="s">
        <v>892</v>
      </c>
      <c r="BH55" s="678" cm="1">
        <f t="array" ref="BH55">BH54</f>
        <v>0</v>
      </c>
      <c r="BI55" s="179"/>
      <c r="BJ55" s="179"/>
    </row>
    <row r="56" spans="1:62" s="326" customFormat="1" ht="10.5" hidden="1" customHeight="1" x14ac:dyDescent="0.15">
      <c r="A56" s="62"/>
      <c r="C56" s="364"/>
      <c r="D56" s="62"/>
      <c r="E56" s="179">
        <v>11.25</v>
      </c>
      <c r="F56" s="3" t="str" cm="1">
        <f t="array" aca="1" ref="F56" ca="1">OFFSET(E56,-1,1)</f>
        <v>1</v>
      </c>
      <c r="G56" s="42" t="s">
        <v>699</v>
      </c>
      <c r="H56" s="42" cm="1">
        <f t="array" ref="H56">H55</f>
        <v>0</v>
      </c>
      <c r="I56" s="62"/>
      <c r="J56" s="62"/>
      <c r="K56" s="62"/>
      <c r="L56" s="62"/>
      <c r="M56" s="62"/>
      <c r="N56" s="62"/>
      <c r="O56" s="62"/>
      <c r="P56" s="62"/>
      <c r="Q56" s="62"/>
      <c r="R56" s="62"/>
      <c r="S56" s="62"/>
      <c r="T56" s="353" t="b" cm="1">
        <f t="array" aca="1" ref="T56" ca="1">T55</f>
        <v>0</v>
      </c>
      <c r="U56" s="62"/>
      <c r="V56" s="62"/>
      <c r="W56" s="62"/>
      <c r="X56" s="964"/>
      <c r="Y56" s="964"/>
      <c r="Z56" s="992"/>
      <c r="AA56" s="913"/>
      <c r="AB56" s="8" t="str">
        <f>AB54&amp;".2"</f>
        <v>6.0.2</v>
      </c>
      <c r="AC56" s="105" t="s">
        <v>895</v>
      </c>
      <c r="AD56" s="11" t="s">
        <v>879</v>
      </c>
      <c r="AE56" s="820"/>
      <c r="AF56" s="820"/>
      <c r="AG56" s="820"/>
      <c r="AH56" s="820"/>
      <c r="AI56" s="57"/>
      <c r="AJ56" s="820"/>
      <c r="AK56" s="820"/>
      <c r="AL56" s="820"/>
      <c r="AM56" s="820"/>
      <c r="AN56" s="820"/>
      <c r="AO56" s="820"/>
      <c r="AP56" s="820"/>
      <c r="AQ56" s="820"/>
      <c r="AR56" s="820"/>
      <c r="AS56" s="57"/>
      <c r="AT56" s="820"/>
      <c r="AU56" s="820"/>
      <c r="AV56" s="820"/>
      <c r="AW56" s="820"/>
      <c r="AX56" s="820"/>
      <c r="AY56" s="820"/>
      <c r="AZ56" s="820"/>
      <c r="BA56" s="820"/>
      <c r="BB56" s="820"/>
      <c r="BC56" s="826"/>
      <c r="BD56" s="62"/>
      <c r="BE56" s="62"/>
      <c r="BF56" s="678" t="s">
        <v>896</v>
      </c>
      <c r="BG56" s="678" t="s">
        <v>892</v>
      </c>
      <c r="BH56" s="678" cm="1">
        <f t="array" ref="BH56">BH55</f>
        <v>0</v>
      </c>
      <c r="BI56" s="179"/>
      <c r="BJ56" s="179"/>
    </row>
    <row r="57" spans="1:62" s="326" customFormat="1" ht="34.15" customHeight="1" x14ac:dyDescent="0.15">
      <c r="A57" s="62"/>
      <c r="C57" s="364"/>
      <c r="D57" s="62"/>
      <c r="E57" s="179">
        <v>11.25</v>
      </c>
      <c r="F57" s="3" t="str" cm="1">
        <f t="array" aca="1" ref="F57" ca="1">OFFSET(E57,-1,1)</f>
        <v>1</v>
      </c>
      <c r="G57" s="42" t="s">
        <v>532</v>
      </c>
      <c r="H57" s="42" t="str" cm="1">
        <f t="array" ref="H57">AC57</f>
        <v>СН2</v>
      </c>
      <c r="I57" s="62"/>
      <c r="J57" s="62"/>
      <c r="K57" s="62"/>
      <c r="L57" s="62"/>
      <c r="M57" s="62"/>
      <c r="N57" s="62"/>
      <c r="O57" s="62"/>
      <c r="P57" s="62"/>
      <c r="Q57" s="62"/>
      <c r="R57" s="62"/>
      <c r="S57" s="62"/>
      <c r="T57" s="353" t="b">
        <f ca="1">AND(F57&gt;0,Y57&gt;0)</f>
        <v>1</v>
      </c>
      <c r="U57" s="62"/>
      <c r="V57" s="62"/>
      <c r="W57" s="517"/>
      <c r="X57" s="964"/>
      <c r="Y57" s="964" t="s">
        <v>275</v>
      </c>
      <c r="Z57" s="992"/>
      <c r="AA57" s="913" t="s">
        <v>173</v>
      </c>
      <c r="AB57" s="8" t="str">
        <f>"6."&amp;Y57</f>
        <v>6.1</v>
      </c>
      <c r="AC57" s="112" t="s">
        <v>923</v>
      </c>
      <c r="AD57" s="8" t="s">
        <v>828</v>
      </c>
      <c r="AE57" s="57">
        <v>21218.07</v>
      </c>
      <c r="AF57" s="57">
        <v>21918.191888597499</v>
      </c>
      <c r="AG57" s="57">
        <v>21918.191888597499</v>
      </c>
      <c r="AH57" s="57">
        <v>25840.63</v>
      </c>
      <c r="AI57" s="57">
        <v>30812.5764729933</v>
      </c>
      <c r="AJ57" s="820"/>
      <c r="AK57" s="820"/>
      <c r="AL57" s="57"/>
      <c r="AM57" s="57"/>
      <c r="AN57" s="57"/>
      <c r="AO57" s="57"/>
      <c r="AP57" s="57"/>
      <c r="AQ57" s="57"/>
      <c r="AR57" s="57"/>
      <c r="AS57" s="57">
        <v>27100.16</v>
      </c>
      <c r="AT57" s="820"/>
      <c r="AU57" s="820"/>
      <c r="AV57" s="57"/>
      <c r="AW57" s="57"/>
      <c r="AX57" s="57"/>
      <c r="AY57" s="57"/>
      <c r="AZ57" s="57"/>
      <c r="BA57" s="57"/>
      <c r="BB57" s="57"/>
      <c r="BC57" s="113" t="s">
        <v>924</v>
      </c>
      <c r="BD57" s="62"/>
      <c r="BE57" s="62"/>
      <c r="BF57" s="678" t="s">
        <v>891</v>
      </c>
      <c r="BG57" s="678" t="s">
        <v>892</v>
      </c>
      <c r="BH57" s="678" t="str" cm="1">
        <f t="array" ref="BH57">AC57</f>
        <v>СН2</v>
      </c>
      <c r="BI57" s="179"/>
      <c r="BJ57" s="179" t="b">
        <v>1</v>
      </c>
    </row>
    <row r="58" spans="1:62" s="326" customFormat="1" ht="48.6" customHeight="1" x14ac:dyDescent="0.15">
      <c r="A58" s="62"/>
      <c r="C58" s="364"/>
      <c r="D58" s="62"/>
      <c r="E58" s="179">
        <v>11.25</v>
      </c>
      <c r="F58" s="3" t="str" cm="1">
        <f t="array" aca="1" ref="F58" ca="1">OFFSET(E58,-1,1)</f>
        <v>1</v>
      </c>
      <c r="G58" s="42" t="s">
        <v>696</v>
      </c>
      <c r="H58" s="42" t="str" cm="1">
        <f t="array" ref="H58">H57</f>
        <v>СН2</v>
      </c>
      <c r="I58" s="62"/>
      <c r="J58" s="62"/>
      <c r="K58" s="62"/>
      <c r="L58" s="62"/>
      <c r="M58" s="62"/>
      <c r="N58" s="62"/>
      <c r="O58" s="62"/>
      <c r="P58" s="62"/>
      <c r="Q58" s="62"/>
      <c r="R58" s="62"/>
      <c r="S58" s="62"/>
      <c r="T58" s="353" t="b" cm="1">
        <f t="array" aca="1" ref="T58" ca="1">T57</f>
        <v>1</v>
      </c>
      <c r="U58" s="62"/>
      <c r="V58" s="62"/>
      <c r="W58" s="62"/>
      <c r="X58" s="964"/>
      <c r="Y58" s="964"/>
      <c r="Z58" s="992"/>
      <c r="AA58" s="913"/>
      <c r="AB58" s="8" t="str">
        <f>AB57&amp;".1"</f>
        <v>6.1.1</v>
      </c>
      <c r="AC58" s="105" t="s">
        <v>893</v>
      </c>
      <c r="AD58" s="11" t="s">
        <v>885</v>
      </c>
      <c r="AE58" s="58">
        <f t="shared" ref="AE58:BB58" si="13">IF(OR(AND(AE57&lt;&gt;0,AE59=0),AND(AE57=0,AE59&lt;&gt;0)),"Ошибка",IF(AE59=0,0,AE57/AE59))</f>
        <v>3.9882915514587158</v>
      </c>
      <c r="AF58" s="58">
        <f t="shared" si="13"/>
        <v>3.9767165253817316</v>
      </c>
      <c r="AG58" s="58">
        <f t="shared" si="13"/>
        <v>3.9767165253817316</v>
      </c>
      <c r="AH58" s="58">
        <f t="shared" si="13"/>
        <v>4.1104497365017814</v>
      </c>
      <c r="AI58" s="58">
        <f t="shared" si="13"/>
        <v>4.3759828412466097</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4.5410919543773831</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t="s">
        <v>925</v>
      </c>
      <c r="BD58" s="62"/>
      <c r="BE58" s="62"/>
      <c r="BF58" s="678" t="s">
        <v>894</v>
      </c>
      <c r="BG58" s="678" t="s">
        <v>892</v>
      </c>
      <c r="BH58" s="678" t="str" cm="1">
        <f t="array" ref="BH58">BH57</f>
        <v>СН2</v>
      </c>
      <c r="BI58" s="179"/>
      <c r="BJ58" s="179"/>
    </row>
    <row r="59" spans="1:62" s="326" customFormat="1" ht="46.7" customHeight="1" x14ac:dyDescent="0.15">
      <c r="A59" s="62"/>
      <c r="C59" s="364"/>
      <c r="D59" s="62"/>
      <c r="E59" s="179">
        <v>11.25</v>
      </c>
      <c r="F59" s="3" t="str" cm="1">
        <f t="array" aca="1" ref="F59" ca="1">OFFSET(E59,-1,1)</f>
        <v>1</v>
      </c>
      <c r="G59" s="42" t="s">
        <v>699</v>
      </c>
      <c r="H59" s="42" t="str" cm="1">
        <f t="array" ref="H59">H58</f>
        <v>СН2</v>
      </c>
      <c r="I59" s="62"/>
      <c r="J59" s="62"/>
      <c r="K59" s="62"/>
      <c r="L59" s="62"/>
      <c r="M59" s="62"/>
      <c r="N59" s="62"/>
      <c r="O59" s="62"/>
      <c r="P59" s="62"/>
      <c r="Q59" s="62"/>
      <c r="R59" s="62"/>
      <c r="S59" s="62"/>
      <c r="T59" s="353" t="b" cm="1">
        <f t="array" aca="1" ref="T59" ca="1">T58</f>
        <v>1</v>
      </c>
      <c r="U59" s="62"/>
      <c r="V59" s="62"/>
      <c r="W59" s="62"/>
      <c r="X59" s="964"/>
      <c r="Y59" s="964"/>
      <c r="Z59" s="992"/>
      <c r="AA59" s="913"/>
      <c r="AB59" s="8" t="str">
        <f>AB57&amp;".2"</f>
        <v>6.1.2</v>
      </c>
      <c r="AC59" s="105" t="s">
        <v>895</v>
      </c>
      <c r="AD59" s="11" t="s">
        <v>879</v>
      </c>
      <c r="AE59" s="57">
        <v>5320.09</v>
      </c>
      <c r="AF59" s="57">
        <v>5511.6304490659004</v>
      </c>
      <c r="AG59" s="57">
        <v>5511.6304490659004</v>
      </c>
      <c r="AH59" s="57">
        <v>6286.57</v>
      </c>
      <c r="AI59" s="57">
        <v>7041.2928000000002</v>
      </c>
      <c r="AJ59" s="820"/>
      <c r="AK59" s="820"/>
      <c r="AL59" s="57"/>
      <c r="AM59" s="57"/>
      <c r="AN59" s="57"/>
      <c r="AO59" s="57"/>
      <c r="AP59" s="57"/>
      <c r="AQ59" s="57"/>
      <c r="AR59" s="57"/>
      <c r="AS59" s="57">
        <v>5967.7628800000002</v>
      </c>
      <c r="AT59" s="820" cm="1">
        <f t="array" ref="AT59">AS59</f>
        <v>5967.7628800000002</v>
      </c>
      <c r="AU59" s="820" cm="1">
        <f t="array" ref="AU59">AS59</f>
        <v>5967.7628800000002</v>
      </c>
      <c r="AV59" s="57"/>
      <c r="AW59" s="57"/>
      <c r="AX59" s="57"/>
      <c r="AY59" s="57"/>
      <c r="AZ59" s="57"/>
      <c r="BA59" s="57"/>
      <c r="BB59" s="57"/>
      <c r="BC59" s="113" t="s">
        <v>926</v>
      </c>
      <c r="BD59" s="62"/>
      <c r="BE59" s="62"/>
      <c r="BF59" s="678" t="s">
        <v>896</v>
      </c>
      <c r="BG59" s="678" t="s">
        <v>892</v>
      </c>
      <c r="BH59" s="678" t="str" cm="1">
        <f t="array" ref="BH59">BH58</f>
        <v>СН2</v>
      </c>
      <c r="BI59" s="179"/>
      <c r="BJ59" s="179"/>
    </row>
    <row r="60" spans="1:62" s="59" customFormat="1" ht="14.25" customHeight="1" x14ac:dyDescent="0.15">
      <c r="B60" s="46"/>
      <c r="C60" s="364"/>
      <c r="E60" s="462">
        <v>15</v>
      </c>
      <c r="F60" s="3" t="str" cm="1">
        <f t="array" aca="1" ref="F60" ca="1">OFFSET(E60,-1,1)</f>
        <v>1</v>
      </c>
      <c r="H60" s="632" t="s">
        <v>897</v>
      </c>
      <c r="T60" s="353" t="b">
        <f ca="1">F60&gt;0</f>
        <v>1</v>
      </c>
      <c r="W60" s="517" t="s">
        <v>397</v>
      </c>
      <c r="X60" s="964"/>
      <c r="Z60" s="992"/>
      <c r="AB60" s="477"/>
      <c r="AC60" s="92" t="s">
        <v>176</v>
      </c>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101"/>
      <c r="BF60" s="674"/>
      <c r="BG60" s="674"/>
      <c r="BH60" s="674"/>
      <c r="BI60" s="462" t="s">
        <v>892</v>
      </c>
      <c r="BJ60" s="462"/>
    </row>
    <row r="61" spans="1:62" s="326" customFormat="1" ht="12" customHeight="1" x14ac:dyDescent="0.15">
      <c r="A61" s="62"/>
      <c r="C61" s="364"/>
      <c r="D61" s="62"/>
      <c r="E61" s="179">
        <v>13</v>
      </c>
      <c r="F61" s="3" t="str" cm="1">
        <f t="array" aca="1" ref="F61" ca="1">OFFSET(E61,-1,1)</f>
        <v>1</v>
      </c>
      <c r="G61" s="42"/>
      <c r="H61" s="42"/>
      <c r="I61" s="62"/>
      <c r="J61" s="62"/>
      <c r="K61" s="62"/>
      <c r="L61" s="62"/>
      <c r="M61" s="62"/>
      <c r="N61" s="62"/>
      <c r="O61" s="62"/>
      <c r="P61" s="62"/>
      <c r="Q61" s="62"/>
      <c r="R61" s="62"/>
      <c r="S61" s="62"/>
      <c r="T61" s="353" t="b" cm="1">
        <f t="array" aca="1" ref="T61" ca="1">T60</f>
        <v>1</v>
      </c>
      <c r="U61" s="62"/>
      <c r="V61" s="62"/>
      <c r="W61" s="62"/>
      <c r="X61" s="964"/>
      <c r="Y61" s="62"/>
      <c r="Z61" s="992"/>
      <c r="AA61" s="62"/>
      <c r="AB61" s="476"/>
      <c r="AC61" s="178" t="s">
        <v>898</v>
      </c>
      <c r="AD61" s="179"/>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1"/>
      <c r="BD61" s="62"/>
      <c r="BE61" s="62"/>
      <c r="BF61" s="678"/>
      <c r="BG61" s="678"/>
      <c r="BH61" s="678"/>
      <c r="BI61" s="179"/>
      <c r="BJ61" s="179"/>
    </row>
    <row r="62" spans="1:62" s="326" customFormat="1" ht="10.5" hidden="1" customHeight="1" x14ac:dyDescent="0.15">
      <c r="A62" s="62"/>
      <c r="C62" s="364"/>
      <c r="D62" s="62"/>
      <c r="E62" s="179">
        <v>11.25</v>
      </c>
      <c r="F62" s="3" t="str" cm="1">
        <f t="array" aca="1" ref="F62" ca="1">OFFSET(E62,-1,1)</f>
        <v>1</v>
      </c>
      <c r="G62" s="42" t="s">
        <v>532</v>
      </c>
      <c r="H62" s="42" cm="1">
        <f t="array" ref="H62">AC62</f>
        <v>0</v>
      </c>
      <c r="I62" s="62"/>
      <c r="J62" s="62"/>
      <c r="K62" s="62"/>
      <c r="L62" s="62"/>
      <c r="M62" s="62"/>
      <c r="N62" s="62"/>
      <c r="O62" s="62"/>
      <c r="P62" s="62"/>
      <c r="Q62" s="62"/>
      <c r="R62" s="62"/>
      <c r="S62" s="62"/>
      <c r="T62" s="353" t="b">
        <f ca="1">AND(F62&gt;0,Y62&gt;0)</f>
        <v>0</v>
      </c>
      <c r="U62" s="62"/>
      <c r="V62" s="62"/>
      <c r="W62" s="517" t="s">
        <v>172</v>
      </c>
      <c r="X62" s="964"/>
      <c r="Y62" s="964">
        <v>0</v>
      </c>
      <c r="Z62" s="992"/>
      <c r="AA62" s="913" t="s">
        <v>173</v>
      </c>
      <c r="AB62" s="8" t="str">
        <f>"7."&amp;Y62</f>
        <v>7.0</v>
      </c>
      <c r="AC62" s="851"/>
      <c r="AD62" s="8" t="s">
        <v>828</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6"/>
      <c r="BD62" s="62"/>
      <c r="BE62" s="62"/>
      <c r="BF62" s="678" t="s">
        <v>899</v>
      </c>
      <c r="BG62" s="678" t="s">
        <v>900</v>
      </c>
      <c r="BH62" s="678" cm="1">
        <f t="array" ref="BH62">AC62</f>
        <v>0</v>
      </c>
      <c r="BI62" s="179"/>
      <c r="BJ62" s="179"/>
    </row>
    <row r="63" spans="1:62" s="326" customFormat="1" ht="10.5" hidden="1" customHeight="1" x14ac:dyDescent="0.15">
      <c r="A63" s="62"/>
      <c r="C63" s="364"/>
      <c r="D63" s="62"/>
      <c r="E63" s="179">
        <v>11.25</v>
      </c>
      <c r="F63" s="3" t="str" cm="1">
        <f t="array" aca="1" ref="F63" ca="1">OFFSET(E63,-1,1)</f>
        <v>1</v>
      </c>
      <c r="G63" s="42" t="s">
        <v>703</v>
      </c>
      <c r="H63" s="42" cm="1">
        <f t="array" ref="H63">H62</f>
        <v>0</v>
      </c>
      <c r="I63" s="62"/>
      <c r="J63" s="62"/>
      <c r="K63" s="62"/>
      <c r="L63" s="62"/>
      <c r="M63" s="62"/>
      <c r="N63" s="62"/>
      <c r="O63" s="62"/>
      <c r="P63" s="62"/>
      <c r="Q63" s="62"/>
      <c r="R63" s="62"/>
      <c r="S63" s="62"/>
      <c r="T63" s="353" t="b" cm="1">
        <f t="array" aca="1" ref="T63" ca="1">T62</f>
        <v>0</v>
      </c>
      <c r="U63" s="62"/>
      <c r="V63" s="62"/>
      <c r="W63" s="62"/>
      <c r="X63" s="964"/>
      <c r="Y63" s="964"/>
      <c r="Z63" s="992"/>
      <c r="AA63" s="913"/>
      <c r="AB63" s="8" t="str">
        <f>AB62&amp;".1"</f>
        <v>7.0.1</v>
      </c>
      <c r="AC63" s="105" t="s">
        <v>901</v>
      </c>
      <c r="AD63" s="8" t="s">
        <v>902</v>
      </c>
      <c r="AE63" s="820"/>
      <c r="AF63" s="820"/>
      <c r="AG63" s="820"/>
      <c r="AH63" s="820"/>
      <c r="AI63" s="57"/>
      <c r="AJ63" s="820"/>
      <c r="AK63" s="820"/>
      <c r="AL63" s="820"/>
      <c r="AM63" s="820"/>
      <c r="AN63" s="820"/>
      <c r="AO63" s="820"/>
      <c r="AP63" s="820"/>
      <c r="AQ63" s="820"/>
      <c r="AR63" s="820"/>
      <c r="AS63" s="57"/>
      <c r="AT63" s="820"/>
      <c r="AU63" s="820"/>
      <c r="AV63" s="820"/>
      <c r="AW63" s="820"/>
      <c r="AX63" s="820"/>
      <c r="AY63" s="820"/>
      <c r="AZ63" s="820"/>
      <c r="BA63" s="820"/>
      <c r="BB63" s="820"/>
      <c r="BC63" s="826"/>
      <c r="BD63" s="62"/>
      <c r="BE63" s="62"/>
      <c r="BF63" s="678" t="s">
        <v>903</v>
      </c>
      <c r="BG63" s="678" t="s">
        <v>900</v>
      </c>
      <c r="BH63" s="678" cm="1">
        <f t="array" ref="BH63">BH62</f>
        <v>0</v>
      </c>
      <c r="BI63" s="179"/>
      <c r="BJ63" s="179"/>
    </row>
    <row r="64" spans="1:62" s="326" customFormat="1" ht="10.5" hidden="1" customHeight="1" x14ac:dyDescent="0.15">
      <c r="A64" s="62"/>
      <c r="C64" s="364"/>
      <c r="D64" s="62"/>
      <c r="E64" s="179">
        <v>11.25</v>
      </c>
      <c r="F64" s="3" t="str" cm="1">
        <f t="array" aca="1" ref="F64" ca="1">OFFSET(E64,-1,1)</f>
        <v>1</v>
      </c>
      <c r="G64" s="42" t="s">
        <v>904</v>
      </c>
      <c r="H64" s="42" cm="1">
        <f t="array" ref="H64">H63</f>
        <v>0</v>
      </c>
      <c r="I64" s="62"/>
      <c r="J64" s="62"/>
      <c r="K64" s="62"/>
      <c r="L64" s="62"/>
      <c r="M64" s="62"/>
      <c r="N64" s="62"/>
      <c r="O64" s="62"/>
      <c r="P64" s="62"/>
      <c r="Q64" s="62"/>
      <c r="R64" s="62"/>
      <c r="S64" s="62"/>
      <c r="T64" s="353" t="b" cm="1">
        <f t="array" aca="1" ref="T64" ca="1">T63</f>
        <v>0</v>
      </c>
      <c r="U64" s="62"/>
      <c r="V64" s="62"/>
      <c r="W64" s="62"/>
      <c r="X64" s="964"/>
      <c r="Y64" s="964"/>
      <c r="Z64" s="992"/>
      <c r="AA64" s="913"/>
      <c r="AB64" s="8" t="str">
        <f>AB62&amp;".1.1"</f>
        <v>7.0.1.1</v>
      </c>
      <c r="AC64" s="237" t="s">
        <v>893</v>
      </c>
      <c r="AD64" s="11" t="s">
        <v>885</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6"/>
      <c r="BD64" s="62"/>
      <c r="BE64" s="62"/>
      <c r="BF64" s="678" t="s">
        <v>905</v>
      </c>
      <c r="BG64" s="678" t="s">
        <v>900</v>
      </c>
      <c r="BH64" s="678" cm="1">
        <f t="array" ref="BH64">BH63</f>
        <v>0</v>
      </c>
      <c r="BI64" s="179"/>
      <c r="BJ64" s="179"/>
    </row>
    <row r="65" spans="1:62" s="326" customFormat="1" ht="10.5" hidden="1" customHeight="1" x14ac:dyDescent="0.15">
      <c r="A65" s="62"/>
      <c r="C65" s="364"/>
      <c r="D65" s="62"/>
      <c r="E65" s="179">
        <v>11.25</v>
      </c>
      <c r="F65" s="3" t="str" cm="1">
        <f t="array" aca="1" ref="F65" ca="1">OFFSET(E65,-1,1)</f>
        <v>1</v>
      </c>
      <c r="G65" s="42" t="s">
        <v>906</v>
      </c>
      <c r="H65" s="42" cm="1">
        <f t="array" ref="H65">H64</f>
        <v>0</v>
      </c>
      <c r="I65" s="62"/>
      <c r="J65" s="62"/>
      <c r="K65" s="62"/>
      <c r="L65" s="62"/>
      <c r="M65" s="62"/>
      <c r="N65" s="62"/>
      <c r="O65" s="62"/>
      <c r="P65" s="62"/>
      <c r="Q65" s="62"/>
      <c r="R65" s="62"/>
      <c r="S65" s="62"/>
      <c r="T65" s="353" t="b" cm="1">
        <f t="array" aca="1" ref="T65" ca="1">T64</f>
        <v>0</v>
      </c>
      <c r="U65" s="62"/>
      <c r="V65" s="62"/>
      <c r="W65" s="62"/>
      <c r="X65" s="964"/>
      <c r="Y65" s="964"/>
      <c r="Z65" s="992"/>
      <c r="AA65" s="913"/>
      <c r="AB65" s="8" t="str">
        <f>AB62&amp;".1.2"</f>
        <v>7.0.1.2</v>
      </c>
      <c r="AC65" s="237" t="s">
        <v>895</v>
      </c>
      <c r="AD65" s="11" t="s">
        <v>879</v>
      </c>
      <c r="AE65" s="820"/>
      <c r="AF65" s="820"/>
      <c r="AG65" s="820"/>
      <c r="AH65" s="820"/>
      <c r="AI65" s="57"/>
      <c r="AJ65" s="820"/>
      <c r="AK65" s="820"/>
      <c r="AL65" s="820"/>
      <c r="AM65" s="820"/>
      <c r="AN65" s="820"/>
      <c r="AO65" s="820"/>
      <c r="AP65" s="820"/>
      <c r="AQ65" s="820"/>
      <c r="AR65" s="820"/>
      <c r="AS65" s="57"/>
      <c r="AT65" s="820"/>
      <c r="AU65" s="820"/>
      <c r="AV65" s="820"/>
      <c r="AW65" s="820"/>
      <c r="AX65" s="820"/>
      <c r="AY65" s="820"/>
      <c r="AZ65" s="820"/>
      <c r="BA65" s="820"/>
      <c r="BB65" s="820"/>
      <c r="BC65" s="826"/>
      <c r="BD65" s="62"/>
      <c r="BE65" s="62"/>
      <c r="BF65" s="678" t="s">
        <v>907</v>
      </c>
      <c r="BG65" s="678" t="s">
        <v>900</v>
      </c>
      <c r="BH65" s="678" cm="1">
        <f t="array" ref="BH65">BH64</f>
        <v>0</v>
      </c>
      <c r="BI65" s="179"/>
      <c r="BJ65" s="179"/>
    </row>
    <row r="66" spans="1:62" s="326" customFormat="1" ht="10.5" hidden="1" customHeight="1" x14ac:dyDescent="0.15">
      <c r="A66" s="62"/>
      <c r="C66" s="364"/>
      <c r="D66" s="62"/>
      <c r="E66" s="179">
        <v>11.25</v>
      </c>
      <c r="F66" s="3" t="str" cm="1">
        <f t="array" aca="1" ref="F66" ca="1">OFFSET(E66,-1,1)</f>
        <v>1</v>
      </c>
      <c r="G66" s="42" t="s">
        <v>706</v>
      </c>
      <c r="H66" s="42" cm="1">
        <f t="array" ref="H66">H65</f>
        <v>0</v>
      </c>
      <c r="I66" s="62"/>
      <c r="J66" s="62"/>
      <c r="K66" s="62"/>
      <c r="L66" s="62"/>
      <c r="M66" s="62"/>
      <c r="N66" s="62"/>
      <c r="O66" s="62"/>
      <c r="P66" s="62"/>
      <c r="Q66" s="62"/>
      <c r="R66" s="62"/>
      <c r="S66" s="62"/>
      <c r="T66" s="353" t="b" cm="1">
        <f t="array" aca="1" ref="T66" ca="1">T65</f>
        <v>0</v>
      </c>
      <c r="U66" s="62"/>
      <c r="V66" s="62"/>
      <c r="W66" s="62"/>
      <c r="X66" s="964"/>
      <c r="Y66" s="964"/>
      <c r="Z66" s="992"/>
      <c r="AA66" s="913"/>
      <c r="AB66" s="8" t="str">
        <f>AB62&amp;".2"</f>
        <v>7.0.2</v>
      </c>
      <c r="AC66" s="105" t="s">
        <v>908</v>
      </c>
      <c r="AD66" s="8" t="s">
        <v>902</v>
      </c>
      <c r="AE66" s="820"/>
      <c r="AF66" s="820"/>
      <c r="AG66" s="820"/>
      <c r="AH66" s="820"/>
      <c r="AI66" s="57"/>
      <c r="AJ66" s="820"/>
      <c r="AK66" s="820"/>
      <c r="AL66" s="820"/>
      <c r="AM66" s="820"/>
      <c r="AN66" s="820"/>
      <c r="AO66" s="820"/>
      <c r="AP66" s="820"/>
      <c r="AQ66" s="820"/>
      <c r="AR66" s="820"/>
      <c r="AS66" s="57"/>
      <c r="AT66" s="820"/>
      <c r="AU66" s="820"/>
      <c r="AV66" s="820"/>
      <c r="AW66" s="820"/>
      <c r="AX66" s="820"/>
      <c r="AY66" s="820"/>
      <c r="AZ66" s="820"/>
      <c r="BA66" s="820"/>
      <c r="BB66" s="820"/>
      <c r="BC66" s="826"/>
      <c r="BD66" s="62"/>
      <c r="BE66" s="62"/>
      <c r="BF66" s="678" t="s">
        <v>909</v>
      </c>
      <c r="BG66" s="678" t="s">
        <v>900</v>
      </c>
      <c r="BH66" s="678" cm="1">
        <f t="array" ref="BH66">BH65</f>
        <v>0</v>
      </c>
      <c r="BI66" s="179"/>
      <c r="BJ66" s="179"/>
    </row>
    <row r="67" spans="1:62" s="326" customFormat="1" ht="10.5" hidden="1" customHeight="1" x14ac:dyDescent="0.15">
      <c r="A67" s="62"/>
      <c r="C67" s="364"/>
      <c r="D67" s="62"/>
      <c r="E67" s="179">
        <v>11.25</v>
      </c>
      <c r="F67" s="3" t="str" cm="1">
        <f t="array" aca="1" ref="F67" ca="1">OFFSET(E67,-1,1)</f>
        <v>1</v>
      </c>
      <c r="G67" s="42" t="s">
        <v>910</v>
      </c>
      <c r="H67" s="42" cm="1">
        <f t="array" ref="H67">H66</f>
        <v>0</v>
      </c>
      <c r="I67" s="62"/>
      <c r="J67" s="62"/>
      <c r="K67" s="62"/>
      <c r="L67" s="62"/>
      <c r="M67" s="62"/>
      <c r="N67" s="62"/>
      <c r="O67" s="62"/>
      <c r="P67" s="62"/>
      <c r="Q67" s="62"/>
      <c r="R67" s="62"/>
      <c r="S67" s="62"/>
      <c r="T67" s="353" t="b" cm="1">
        <f t="array" aca="1" ref="T67" ca="1">T66</f>
        <v>0</v>
      </c>
      <c r="U67" s="62"/>
      <c r="V67" s="62"/>
      <c r="W67" s="62"/>
      <c r="X67" s="964"/>
      <c r="Y67" s="964"/>
      <c r="Z67" s="992"/>
      <c r="AA67" s="913"/>
      <c r="AB67" s="8" t="str">
        <f>AB62&amp;".2.1"</f>
        <v>7.0.2.1</v>
      </c>
      <c r="AC67" s="237" t="s">
        <v>911</v>
      </c>
      <c r="AD67" s="11" t="s">
        <v>912</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6"/>
      <c r="BD67" s="62"/>
      <c r="BE67" s="62"/>
      <c r="BF67" s="678" t="s">
        <v>913</v>
      </c>
      <c r="BG67" s="678" t="s">
        <v>900</v>
      </c>
      <c r="BH67" s="678" cm="1">
        <f t="array" ref="BH67">BH66</f>
        <v>0</v>
      </c>
      <c r="BI67" s="179"/>
      <c r="BJ67" s="179"/>
    </row>
    <row r="68" spans="1:62" s="326" customFormat="1" ht="10.5" hidden="1" customHeight="1" x14ac:dyDescent="0.15">
      <c r="A68" s="62"/>
      <c r="C68" s="364"/>
      <c r="D68" s="62"/>
      <c r="E68" s="179">
        <v>11.25</v>
      </c>
      <c r="F68" s="3" t="str" cm="1">
        <f t="array" aca="1" ref="F68" ca="1">OFFSET(E68,-1,1)</f>
        <v>1</v>
      </c>
      <c r="G68" s="42" t="s">
        <v>914</v>
      </c>
      <c r="H68" s="42" cm="1">
        <f t="array" ref="H68">H67</f>
        <v>0</v>
      </c>
      <c r="I68" s="62"/>
      <c r="J68" s="62"/>
      <c r="K68" s="62"/>
      <c r="L68" s="62"/>
      <c r="M68" s="62"/>
      <c r="N68" s="62"/>
      <c r="O68" s="62"/>
      <c r="P68" s="62"/>
      <c r="Q68" s="62"/>
      <c r="R68" s="62"/>
      <c r="S68" s="62"/>
      <c r="T68" s="353" t="b" cm="1">
        <f t="array" aca="1" ref="T68" ca="1">T67</f>
        <v>0</v>
      </c>
      <c r="U68" s="62"/>
      <c r="V68" s="62"/>
      <c r="W68" s="62"/>
      <c r="X68" s="964"/>
      <c r="Y68" s="964"/>
      <c r="Z68" s="992"/>
      <c r="AA68" s="913"/>
      <c r="AB68" s="8" t="str">
        <f>AB62&amp;".2.2"</f>
        <v>7.0.2.2</v>
      </c>
      <c r="AC68" s="237" t="s">
        <v>915</v>
      </c>
      <c r="AD68" s="11" t="s">
        <v>916</v>
      </c>
      <c r="AE68" s="820"/>
      <c r="AF68" s="820"/>
      <c r="AG68" s="820"/>
      <c r="AH68" s="820"/>
      <c r="AI68" s="57"/>
      <c r="AJ68" s="820"/>
      <c r="AK68" s="820"/>
      <c r="AL68" s="820"/>
      <c r="AM68" s="820"/>
      <c r="AN68" s="820"/>
      <c r="AO68" s="820"/>
      <c r="AP68" s="820"/>
      <c r="AQ68" s="820"/>
      <c r="AR68" s="820"/>
      <c r="AS68" s="57"/>
      <c r="AT68" s="820"/>
      <c r="AU68" s="820"/>
      <c r="AV68" s="820"/>
      <c r="AW68" s="820"/>
      <c r="AX68" s="820"/>
      <c r="AY68" s="820"/>
      <c r="AZ68" s="820"/>
      <c r="BA68" s="820"/>
      <c r="BB68" s="820"/>
      <c r="BC68" s="826"/>
      <c r="BD68" s="62"/>
      <c r="BE68" s="62"/>
      <c r="BF68" s="678" t="s">
        <v>917</v>
      </c>
      <c r="BG68" s="678" t="s">
        <v>900</v>
      </c>
      <c r="BH68" s="678" cm="1">
        <f t="array" ref="BH68">BH67</f>
        <v>0</v>
      </c>
      <c r="BI68" s="179"/>
      <c r="BJ68" s="179"/>
    </row>
    <row r="69" spans="1:62" s="59" customFormat="1" ht="14.25" customHeight="1" x14ac:dyDescent="0.15">
      <c r="B69" s="46"/>
      <c r="C69" s="364"/>
      <c r="E69" s="462">
        <v>15</v>
      </c>
      <c r="F69" s="3" t="str" cm="1">
        <f t="array" aca="1" ref="F69" ca="1">OFFSET(E69,-1,1)</f>
        <v>1</v>
      </c>
      <c r="H69" s="632" t="s">
        <v>918</v>
      </c>
      <c r="T69" s="353" t="b">
        <f ca="1">F69&gt;0</f>
        <v>1</v>
      </c>
      <c r="W69" s="517" t="s">
        <v>919</v>
      </c>
      <c r="X69" s="964"/>
      <c r="Z69" s="992"/>
      <c r="AB69" s="89"/>
      <c r="AC69" s="92" t="s">
        <v>920</v>
      </c>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101"/>
      <c r="BF69" s="674"/>
      <c r="BG69" s="674"/>
      <c r="BH69" s="674"/>
      <c r="BI69" s="462" t="s">
        <v>900</v>
      </c>
      <c r="BJ69" s="462"/>
    </row>
    <row r="70" spans="1:62" s="838" customFormat="1" ht="30.4" customHeight="1" x14ac:dyDescent="0.15">
      <c r="A70" s="60"/>
      <c r="B70" s="326"/>
      <c r="C70" s="366"/>
      <c r="D70" s="60"/>
      <c r="E70" s="461">
        <v>15</v>
      </c>
      <c r="F70" s="17" t="str" cm="1">
        <f t="array" ref="F70">X70</f>
        <v>2</v>
      </c>
      <c r="G70" s="17"/>
      <c r="H70" s="17"/>
      <c r="I70" s="60"/>
      <c r="J70" s="60"/>
      <c r="K70" s="60"/>
      <c r="L70" s="60"/>
      <c r="M70" s="60"/>
      <c r="N70" s="60"/>
      <c r="O70" s="60"/>
      <c r="P70" s="60"/>
      <c r="Q70" s="60"/>
      <c r="R70" s="60"/>
      <c r="S70" s="60"/>
      <c r="T70" s="353" t="b">
        <f>X70&gt;0</f>
        <v>1</v>
      </c>
      <c r="U70" s="60"/>
      <c r="V70" s="60" t="str" cm="1">
        <f t="array" ref="V70">'Сырье и материалы'!$AB$37</f>
        <v>Тариф 2 (Водоотведение) - тариф на водоотведение</v>
      </c>
      <c r="W70" s="60"/>
      <c r="X70" s="964" t="s">
        <v>285</v>
      </c>
      <c r="Y70" s="60"/>
      <c r="Z70" s="992"/>
      <c r="AA70" s="60"/>
      <c r="AB70" s="97" t="str" cm="1">
        <f t="array" ref="AB70">'Сырье и материалы'!$AB$37</f>
        <v>Тариф 2 (Водоотведение) - тариф на водоотведение</v>
      </c>
      <c r="AC70" s="94"/>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60"/>
      <c r="BE70" s="60"/>
      <c r="BF70" s="669"/>
      <c r="BG70" s="669"/>
      <c r="BH70" s="669"/>
      <c r="BI70" s="459"/>
      <c r="BJ70" s="459"/>
    </row>
    <row r="71" spans="1:62" s="326" customFormat="1" ht="33.75" customHeight="1" x14ac:dyDescent="0.15">
      <c r="A71" s="62"/>
      <c r="C71" s="364"/>
      <c r="D71" s="366"/>
      <c r="E71" s="179">
        <v>11.25</v>
      </c>
      <c r="F71" s="3" t="str" cm="1">
        <f t="array" aca="1" ref="F71" ca="1">OFFSET(E71,-1,1)</f>
        <v>2</v>
      </c>
      <c r="G71" s="42" t="s">
        <v>331</v>
      </c>
      <c r="H71" s="42"/>
      <c r="I71" s="62"/>
      <c r="J71" s="62"/>
      <c r="K71" s="364" t="str">
        <f ca="1">F71&amp;"komm"</f>
        <v>2komm</v>
      </c>
      <c r="L71" s="607" t="str" cm="1">
        <f t="array" ref="L71">BC71</f>
        <v>П. 16 (в), 91,95 Методических указаний ФСТ № 1746-э.</v>
      </c>
      <c r="M71" s="62"/>
      <c r="N71" s="62"/>
      <c r="O71" s="62"/>
      <c r="P71" s="62"/>
      <c r="Q71" s="62"/>
      <c r="R71" s="62"/>
      <c r="S71" s="62"/>
      <c r="T71" s="353" t="b" cm="1">
        <f t="array" ref="T71">T70</f>
        <v>1</v>
      </c>
      <c r="U71" s="62"/>
      <c r="V71" s="62"/>
      <c r="W71" s="62"/>
      <c r="X71" s="964"/>
      <c r="Y71" s="62"/>
      <c r="Z71" s="992"/>
      <c r="AA71" s="62"/>
      <c r="AB71" s="8" t="s">
        <v>275</v>
      </c>
      <c r="AC71" s="54" t="s">
        <v>827</v>
      </c>
      <c r="AD71" s="8" t="s">
        <v>828</v>
      </c>
      <c r="AE71" s="58">
        <f t="shared" ref="AE71:BB71" si="17">IF(COUNTIF(AE76:AE92,"Ошибка")&gt;0,"Ошибка",SUMIF($AD76:$AD92,$AD71,AE76:AE92))</f>
        <v>857.82</v>
      </c>
      <c r="AF71" s="58">
        <f t="shared" si="17"/>
        <v>6460.7177775607997</v>
      </c>
      <c r="AG71" s="58">
        <f t="shared" si="17"/>
        <v>1058.945365602</v>
      </c>
      <c r="AH71" s="58">
        <f t="shared" si="17"/>
        <v>988.65</v>
      </c>
      <c r="AI71" s="58">
        <f t="shared" si="17"/>
        <v>11464.921884666701</v>
      </c>
      <c r="AJ71" s="58">
        <f t="shared" si="17"/>
        <v>0</v>
      </c>
      <c r="AK71" s="58">
        <f t="shared" si="17"/>
        <v>0</v>
      </c>
      <c r="AL71" s="58">
        <f t="shared" si="17"/>
        <v>0</v>
      </c>
      <c r="AM71" s="58">
        <f t="shared" si="17"/>
        <v>0</v>
      </c>
      <c r="AN71" s="58">
        <f t="shared" si="17"/>
        <v>0</v>
      </c>
      <c r="AO71" s="58">
        <f t="shared" si="17"/>
        <v>0</v>
      </c>
      <c r="AP71" s="58">
        <f t="shared" si="17"/>
        <v>0</v>
      </c>
      <c r="AQ71" s="58">
        <f t="shared" si="17"/>
        <v>0</v>
      </c>
      <c r="AR71" s="58">
        <f t="shared" si="17"/>
        <v>0</v>
      </c>
      <c r="AS71" s="58">
        <f t="shared" si="17"/>
        <v>1251.4621776563999</v>
      </c>
      <c r="AT71" s="58" t="str">
        <f t="shared" si="17"/>
        <v>Ошибка</v>
      </c>
      <c r="AU71" s="58" t="str">
        <f t="shared" si="17"/>
        <v>Ошибка</v>
      </c>
      <c r="AV71" s="58">
        <f t="shared" si="17"/>
        <v>0</v>
      </c>
      <c r="AW71" s="58">
        <f t="shared" si="17"/>
        <v>0</v>
      </c>
      <c r="AX71" s="58">
        <f t="shared" si="17"/>
        <v>0</v>
      </c>
      <c r="AY71" s="58">
        <f t="shared" si="17"/>
        <v>0</v>
      </c>
      <c r="AZ71" s="58">
        <f t="shared" si="17"/>
        <v>0</v>
      </c>
      <c r="BA71" s="58">
        <f t="shared" si="17"/>
        <v>0</v>
      </c>
      <c r="BB71" s="58">
        <f t="shared" si="17"/>
        <v>0</v>
      </c>
      <c r="BC71" s="113" t="s">
        <v>921</v>
      </c>
      <c r="BD71" s="62"/>
      <c r="BE71" s="62"/>
      <c r="BF71" s="678" t="s">
        <v>877</v>
      </c>
      <c r="BG71" s="678"/>
      <c r="BH71" s="678"/>
      <c r="BI71" s="179"/>
      <c r="BJ71" s="179"/>
    </row>
    <row r="72" spans="1:62" s="326" customFormat="1" ht="45.95" customHeight="1" x14ac:dyDescent="0.15">
      <c r="A72" s="62"/>
      <c r="C72" s="364"/>
      <c r="D72" s="62"/>
      <c r="E72" s="179">
        <v>11.25</v>
      </c>
      <c r="F72" s="3" t="str" cm="1">
        <f t="array" aca="1" ref="F72" ca="1">OFFSET(E72,-1,1)</f>
        <v>2</v>
      </c>
      <c r="G72" s="42" t="s">
        <v>332</v>
      </c>
      <c r="H72" s="42"/>
      <c r="I72" s="62"/>
      <c r="J72" s="62"/>
      <c r="K72" s="62"/>
      <c r="L72" s="62"/>
      <c r="M72" s="62"/>
      <c r="N72" s="62"/>
      <c r="O72" s="62"/>
      <c r="P72" s="62"/>
      <c r="Q72" s="62"/>
      <c r="R72" s="62"/>
      <c r="S72" s="62"/>
      <c r="T72" s="353" t="b" cm="1">
        <f t="array" ref="T72">T71</f>
        <v>1</v>
      </c>
      <c r="U72" s="62"/>
      <c r="V72" s="62"/>
      <c r="W72" s="62"/>
      <c r="X72" s="964"/>
      <c r="Y72" s="62"/>
      <c r="Z72" s="992"/>
      <c r="AA72" s="62"/>
      <c r="AB72" s="8" t="s">
        <v>285</v>
      </c>
      <c r="AC72" s="54" t="s">
        <v>878</v>
      </c>
      <c r="AD72" s="11" t="s">
        <v>879</v>
      </c>
      <c r="AE72" s="58">
        <f>SUMIF(AD76:AD92,AD72,AE76:AE92)</f>
        <v>215.08</v>
      </c>
      <c r="AF72" s="58">
        <f>SUMIF(AD76:AD92,AD72,AF76:AF92)</f>
        <v>1624.6362385462</v>
      </c>
      <c r="AG72" s="58">
        <f>SUMIF(AD76:AD92,AD72,AG76:AG92)</f>
        <v>266.28887395999999</v>
      </c>
      <c r="AH72" s="58">
        <f>SUMIF(AD76:AD92,AD72,AH76:AH92)</f>
        <v>240.52176470000001</v>
      </c>
      <c r="AI72" s="58">
        <f>SUMIF(AD76:AD92,AD72,AI76:AI92)</f>
        <v>2619.9650000000001</v>
      </c>
      <c r="AJ72" s="58">
        <f>SUMIF(AD76:AD92,AD72,AJ76:AJ92)</f>
        <v>0</v>
      </c>
      <c r="AK72" s="58">
        <f>SUMIF(AD76:AD92,AD72,AK76:AK92)</f>
        <v>0</v>
      </c>
      <c r="AL72" s="58">
        <f>SUMIF(AD76:AD92,AD72,AL76:AL92)</f>
        <v>0</v>
      </c>
      <c r="AM72" s="58">
        <f>SUMIF(AD76:AD92,AD72,AM76:AM92)</f>
        <v>0</v>
      </c>
      <c r="AN72" s="58">
        <f>SUMIF(AD76:AD92,AD72,AN76:AN92)</f>
        <v>0</v>
      </c>
      <c r="AO72" s="58">
        <f>SUMIF(AD76:AD92,AD72,AO76:AO92)</f>
        <v>0</v>
      </c>
      <c r="AP72" s="58">
        <f>SUMIF(AD76:AD92,AD72,AP76:AP92)</f>
        <v>0</v>
      </c>
      <c r="AQ72" s="58">
        <f>SUMIF(AD76:AD92,AD72,AQ76:AQ92)</f>
        <v>0</v>
      </c>
      <c r="AR72" s="58">
        <f>SUMIF(AD76:AD92,AD72,AR76:AR92)</f>
        <v>0</v>
      </c>
      <c r="AS72" s="58">
        <f>SUMIF(AD76:AD92,AD72,AS76:AS92)</f>
        <v>275.58616749999999</v>
      </c>
      <c r="AT72" s="58">
        <f>SUMIF(AD76:AD92,AD72,AT76:AT92)</f>
        <v>275.58616749999999</v>
      </c>
      <c r="AU72" s="58">
        <f>SUMIF(AD76:AD92,AD72,AU76:AU92)</f>
        <v>275.58616749999999</v>
      </c>
      <c r="AV72" s="58">
        <f>SUMIF(AD76:AD92,AD72,AV76:AV92)</f>
        <v>0</v>
      </c>
      <c r="AW72" s="58">
        <f>SUMIF(AD76:AD92,AD72,AW76:AW92)</f>
        <v>0</v>
      </c>
      <c r="AX72" s="58">
        <f>SUMIF(AD76:AD92,AD72,AX76:AX92)</f>
        <v>0</v>
      </c>
      <c r="AY72" s="58">
        <f>SUMIF(AD76:AD92,AD72,AY76:AY92)</f>
        <v>0</v>
      </c>
      <c r="AZ72" s="58">
        <f>SUMIF(AD76:AD92,AD72,AZ76:AZ92)</f>
        <v>0</v>
      </c>
      <c r="BA72" s="58">
        <f>SUMIF(AD76:AD92,AD72,BA76:BA92)</f>
        <v>0</v>
      </c>
      <c r="BB72" s="58">
        <f>SUMIF(AD76:AD92,AD72,BB76:BB92)</f>
        <v>0</v>
      </c>
      <c r="BC72" s="113" t="s">
        <v>922</v>
      </c>
      <c r="BD72" s="62"/>
      <c r="BE72" s="62"/>
      <c r="BF72" s="678" t="s">
        <v>880</v>
      </c>
      <c r="BG72" s="678"/>
      <c r="BH72" s="678"/>
      <c r="BI72" s="179"/>
      <c r="BJ72" s="179"/>
    </row>
    <row r="73" spans="1:62" s="326" customFormat="1" ht="18.600000000000001" customHeight="1" x14ac:dyDescent="0.15">
      <c r="A73" s="62"/>
      <c r="C73" s="364"/>
      <c r="D73" s="62"/>
      <c r="E73" s="179">
        <v>11.25</v>
      </c>
      <c r="F73" s="3" t="str" cm="1">
        <f t="array" aca="1" ref="F73" ca="1">OFFSET(E73,-1,1)</f>
        <v>2</v>
      </c>
      <c r="G73" s="42" t="s">
        <v>333</v>
      </c>
      <c r="H73" s="42"/>
      <c r="I73" s="62"/>
      <c r="J73" s="62"/>
      <c r="K73" s="62"/>
      <c r="L73" s="62"/>
      <c r="M73" s="62"/>
      <c r="N73" s="62"/>
      <c r="O73" s="62"/>
      <c r="P73" s="62"/>
      <c r="Q73" s="62"/>
      <c r="R73" s="62"/>
      <c r="S73" s="62"/>
      <c r="T73" s="353" t="b" cm="1">
        <f t="array" ref="T73">T72</f>
        <v>1</v>
      </c>
      <c r="U73" s="62"/>
      <c r="V73" s="62"/>
      <c r="W73" s="62"/>
      <c r="X73" s="964"/>
      <c r="Y73" s="62"/>
      <c r="Z73" s="992"/>
      <c r="AA73" s="62"/>
      <c r="AB73" s="8" t="s">
        <v>291</v>
      </c>
      <c r="AC73" s="54" t="s">
        <v>881</v>
      </c>
      <c r="AD73" s="11" t="s">
        <v>882</v>
      </c>
      <c r="AE73" s="152">
        <v>272.25869999999998</v>
      </c>
      <c r="AF73" s="152">
        <v>337.074524</v>
      </c>
      <c r="AG73" s="152">
        <v>337.074524</v>
      </c>
      <c r="AH73" s="152">
        <v>304.45792999999998</v>
      </c>
      <c r="AI73" s="152">
        <v>422.57499999999999</v>
      </c>
      <c r="AJ73" s="852"/>
      <c r="AK73" s="852"/>
      <c r="AL73" s="152"/>
      <c r="AM73" s="152"/>
      <c r="AN73" s="152"/>
      <c r="AO73" s="152"/>
      <c r="AP73" s="152"/>
      <c r="AQ73" s="152"/>
      <c r="AR73" s="152"/>
      <c r="AS73" s="152">
        <v>348.84325000000001</v>
      </c>
      <c r="AT73" s="852" cm="1">
        <f t="array" ref="AT73">AS73</f>
        <v>348.84325000000001</v>
      </c>
      <c r="AU73" s="852" cm="1">
        <f t="array" ref="AU73">AT73</f>
        <v>348.84325000000001</v>
      </c>
      <c r="AV73" s="152"/>
      <c r="AW73" s="152"/>
      <c r="AX73" s="152"/>
      <c r="AY73" s="152"/>
      <c r="AZ73" s="152"/>
      <c r="BA73" s="152"/>
      <c r="BB73" s="152"/>
      <c r="BC73" s="113"/>
      <c r="BD73" s="62"/>
      <c r="BE73" s="62"/>
      <c r="BF73" s="678" t="s">
        <v>883</v>
      </c>
      <c r="BG73" s="678"/>
      <c r="BH73" s="678"/>
      <c r="BI73" s="179"/>
      <c r="BJ73" s="179"/>
    </row>
    <row r="74" spans="1:62" s="326" customFormat="1" ht="20.45" customHeight="1" x14ac:dyDescent="0.15">
      <c r="A74" s="62"/>
      <c r="C74" s="364"/>
      <c r="D74" s="62"/>
      <c r="E74" s="179">
        <v>11.25</v>
      </c>
      <c r="F74" s="3" t="str" cm="1">
        <f t="array" aca="1" ref="F74" ca="1">OFFSET(E74,-1,1)</f>
        <v>2</v>
      </c>
      <c r="G74" s="42" t="s">
        <v>335</v>
      </c>
      <c r="H74" s="42"/>
      <c r="I74" s="62"/>
      <c r="J74" s="62"/>
      <c r="K74" s="62"/>
      <c r="L74" s="62"/>
      <c r="M74" s="62"/>
      <c r="N74" s="62"/>
      <c r="O74" s="62"/>
      <c r="P74" s="62"/>
      <c r="Q74" s="62"/>
      <c r="R74" s="62"/>
      <c r="S74" s="62"/>
      <c r="T74" s="353" t="b" cm="1">
        <f t="array" ref="T74">T73</f>
        <v>1</v>
      </c>
      <c r="U74" s="62"/>
      <c r="V74" s="62"/>
      <c r="W74" s="62"/>
      <c r="X74" s="964"/>
      <c r="Y74" s="62"/>
      <c r="Z74" s="992"/>
      <c r="AA74" s="62"/>
      <c r="AB74" s="8" t="s">
        <v>454</v>
      </c>
      <c r="AC74" s="54" t="s">
        <v>884</v>
      </c>
      <c r="AD74" s="11" t="s">
        <v>885</v>
      </c>
      <c r="AE74" s="58">
        <f t="shared" ref="AE74:BB74" si="18">IF(AE72=0,0,AE71/AE72)</f>
        <v>3.9883764180769945</v>
      </c>
      <c r="AF74" s="58">
        <f t="shared" si="18"/>
        <v>3.9767165253817987</v>
      </c>
      <c r="AG74" s="58">
        <f t="shared" si="18"/>
        <v>3.9766789721791653</v>
      </c>
      <c r="AH74" s="58">
        <f t="shared" si="18"/>
        <v>4.1104388254972752</v>
      </c>
      <c r="AI74" s="58">
        <f t="shared" si="18"/>
        <v>4.3759828412466195</v>
      </c>
      <c r="AJ74" s="58">
        <f t="shared" si="18"/>
        <v>0</v>
      </c>
      <c r="AK74" s="58">
        <f t="shared" si="18"/>
        <v>0</v>
      </c>
      <c r="AL74" s="58">
        <f t="shared" si="18"/>
        <v>0</v>
      </c>
      <c r="AM74" s="58">
        <f t="shared" si="18"/>
        <v>0</v>
      </c>
      <c r="AN74" s="58">
        <f t="shared" si="18"/>
        <v>0</v>
      </c>
      <c r="AO74" s="58">
        <f t="shared" si="18"/>
        <v>0</v>
      </c>
      <c r="AP74" s="58">
        <f t="shared" si="18"/>
        <v>0</v>
      </c>
      <c r="AQ74" s="58">
        <f t="shared" si="18"/>
        <v>0</v>
      </c>
      <c r="AR74" s="58">
        <f t="shared" si="18"/>
        <v>0</v>
      </c>
      <c r="AS74" s="58">
        <f t="shared" si="18"/>
        <v>4.5410921346638347</v>
      </c>
      <c r="AT74" s="58" t="e">
        <f t="shared" si="18"/>
        <v>#VALUE!</v>
      </c>
      <c r="AU74" s="58" t="e">
        <f t="shared" si="18"/>
        <v>#VALUE!</v>
      </c>
      <c r="AV74" s="58">
        <f t="shared" si="18"/>
        <v>0</v>
      </c>
      <c r="AW74" s="58">
        <f t="shared" si="18"/>
        <v>0</v>
      </c>
      <c r="AX74" s="58">
        <f t="shared" si="18"/>
        <v>0</v>
      </c>
      <c r="AY74" s="58">
        <f t="shared" si="18"/>
        <v>0</v>
      </c>
      <c r="AZ74" s="58">
        <f t="shared" si="18"/>
        <v>0</v>
      </c>
      <c r="BA74" s="58">
        <f t="shared" si="18"/>
        <v>0</v>
      </c>
      <c r="BB74" s="58">
        <f t="shared" si="18"/>
        <v>0</v>
      </c>
      <c r="BC74" s="113"/>
      <c r="BD74" s="62"/>
      <c r="BE74" s="62"/>
      <c r="BF74" s="678" t="s">
        <v>886</v>
      </c>
      <c r="BG74" s="678"/>
      <c r="BH74" s="678"/>
      <c r="BI74" s="179"/>
      <c r="BJ74" s="179"/>
    </row>
    <row r="75" spans="1:62" s="326" customFormat="1" ht="49.15" customHeight="1" x14ac:dyDescent="0.15">
      <c r="A75" s="62"/>
      <c r="C75" s="364"/>
      <c r="D75" s="62"/>
      <c r="E75" s="179">
        <v>11.25</v>
      </c>
      <c r="F75" s="3" t="str" cm="1">
        <f t="array" aca="1" ref="F75" ca="1">OFFSET(E75,-1,1)</f>
        <v>2</v>
      </c>
      <c r="G75" s="42" t="s">
        <v>334</v>
      </c>
      <c r="H75" s="42"/>
      <c r="I75" s="62"/>
      <c r="J75" s="62"/>
      <c r="K75" s="62"/>
      <c r="L75" s="62"/>
      <c r="M75" s="62"/>
      <c r="N75" s="62"/>
      <c r="O75" s="62"/>
      <c r="P75" s="62"/>
      <c r="Q75" s="62"/>
      <c r="R75" s="62"/>
      <c r="S75" s="62"/>
      <c r="T75" s="353" t="b" cm="1">
        <f t="array" ref="T75">T74</f>
        <v>1</v>
      </c>
      <c r="U75" s="62"/>
      <c r="V75" s="62"/>
      <c r="W75" s="62"/>
      <c r="X75" s="964"/>
      <c r="Y75" s="62"/>
      <c r="Z75" s="992"/>
      <c r="AA75" s="62"/>
      <c r="AB75" s="8" t="s">
        <v>460</v>
      </c>
      <c r="AC75" s="54" t="s">
        <v>887</v>
      </c>
      <c r="AD75" s="11" t="s">
        <v>888</v>
      </c>
      <c r="AE75" s="223">
        <f t="shared" ref="AE75:BB75" si="19">IF(AE73=0,0,AE72/AE73)</f>
        <v>0.78998393807066603</v>
      </c>
      <c r="AF75" s="223">
        <f t="shared" si="19"/>
        <v>4.8198131952155485</v>
      </c>
      <c r="AG75" s="223">
        <f t="shared" si="19"/>
        <v>0.78999999999999992</v>
      </c>
      <c r="AH75" s="223">
        <f t="shared" si="19"/>
        <v>0.79</v>
      </c>
      <c r="AI75" s="223">
        <f t="shared" si="19"/>
        <v>6.2</v>
      </c>
      <c r="AJ75" s="223">
        <f t="shared" si="19"/>
        <v>0</v>
      </c>
      <c r="AK75" s="223">
        <f t="shared" si="19"/>
        <v>0</v>
      </c>
      <c r="AL75" s="223">
        <f t="shared" si="19"/>
        <v>0</v>
      </c>
      <c r="AM75" s="223">
        <f t="shared" si="19"/>
        <v>0</v>
      </c>
      <c r="AN75" s="223">
        <f t="shared" si="19"/>
        <v>0</v>
      </c>
      <c r="AO75" s="223">
        <f t="shared" si="19"/>
        <v>0</v>
      </c>
      <c r="AP75" s="223">
        <f t="shared" si="19"/>
        <v>0</v>
      </c>
      <c r="AQ75" s="223">
        <f t="shared" si="19"/>
        <v>0</v>
      </c>
      <c r="AR75" s="223">
        <f t="shared" si="19"/>
        <v>0</v>
      </c>
      <c r="AS75" s="223">
        <f t="shared" si="19"/>
        <v>0.78999999999999992</v>
      </c>
      <c r="AT75" s="223">
        <f t="shared" si="19"/>
        <v>0.78999999999999992</v>
      </c>
      <c r="AU75" s="223">
        <f t="shared" si="19"/>
        <v>0.78999999999999992</v>
      </c>
      <c r="AV75" s="223">
        <f t="shared" si="19"/>
        <v>0</v>
      </c>
      <c r="AW75" s="223">
        <f t="shared" si="19"/>
        <v>0</v>
      </c>
      <c r="AX75" s="223">
        <f t="shared" si="19"/>
        <v>0</v>
      </c>
      <c r="AY75" s="223">
        <f t="shared" si="19"/>
        <v>0</v>
      </c>
      <c r="AZ75" s="223">
        <f t="shared" si="19"/>
        <v>0</v>
      </c>
      <c r="BA75" s="223">
        <f t="shared" si="19"/>
        <v>0</v>
      </c>
      <c r="BB75" s="223">
        <f t="shared" si="19"/>
        <v>0</v>
      </c>
      <c r="BC75" s="113" t="s">
        <v>539</v>
      </c>
      <c r="BD75" s="62"/>
      <c r="BE75" s="62"/>
      <c r="BF75" s="678" t="s">
        <v>889</v>
      </c>
      <c r="BG75" s="678"/>
      <c r="BH75" s="678"/>
      <c r="BI75" s="179"/>
      <c r="BJ75" s="179"/>
    </row>
    <row r="76" spans="1:62" s="326" customFormat="1" ht="23.45" customHeight="1" x14ac:dyDescent="0.15">
      <c r="A76" s="62"/>
      <c r="C76" s="364"/>
      <c r="D76" s="62"/>
      <c r="E76" s="179">
        <v>13</v>
      </c>
      <c r="F76" s="3" t="str" cm="1">
        <f t="array" aca="1" ref="F76" ca="1">OFFSET(E76,-1,1)</f>
        <v>2</v>
      </c>
      <c r="G76" s="42"/>
      <c r="H76" s="42"/>
      <c r="I76" s="62"/>
      <c r="J76" s="62"/>
      <c r="K76" s="62"/>
      <c r="L76" s="62"/>
      <c r="M76" s="62"/>
      <c r="N76" s="62"/>
      <c r="O76" s="62"/>
      <c r="P76" s="62"/>
      <c r="Q76" s="62"/>
      <c r="R76" s="62"/>
      <c r="S76" s="62"/>
      <c r="T76" s="353" t="b" cm="1">
        <f t="array" ref="T76">T75</f>
        <v>1</v>
      </c>
      <c r="U76" s="62"/>
      <c r="V76" s="62"/>
      <c r="W76" s="62"/>
      <c r="X76" s="964"/>
      <c r="Y76" s="62"/>
      <c r="Z76" s="992"/>
      <c r="AA76" s="62"/>
      <c r="AB76" s="476"/>
      <c r="AC76" s="178" t="s">
        <v>890</v>
      </c>
      <c r="AD76" s="179"/>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1"/>
      <c r="BD76" s="62"/>
      <c r="BE76" s="62"/>
      <c r="BF76" s="678"/>
      <c r="BG76" s="678"/>
      <c r="BH76" s="678"/>
      <c r="BI76" s="179"/>
      <c r="BJ76" s="179"/>
    </row>
    <row r="77" spans="1:62" s="326" customFormat="1" ht="10.5" hidden="1" customHeight="1" x14ac:dyDescent="0.15">
      <c r="A77" s="62"/>
      <c r="C77" s="364"/>
      <c r="D77" s="62"/>
      <c r="E77" s="179">
        <v>11.25</v>
      </c>
      <c r="F77" s="3" t="str" cm="1">
        <f t="array" aca="1" ref="F77" ca="1">OFFSET(E77,-1,1)</f>
        <v>2</v>
      </c>
      <c r="G77" s="42" t="s">
        <v>532</v>
      </c>
      <c r="H77" s="42" cm="1">
        <f t="array" ref="H77">AC77</f>
        <v>0</v>
      </c>
      <c r="I77" s="62"/>
      <c r="J77" s="62"/>
      <c r="K77" s="62"/>
      <c r="L77" s="62"/>
      <c r="M77" s="62"/>
      <c r="N77" s="62"/>
      <c r="O77" s="62"/>
      <c r="P77" s="62"/>
      <c r="Q77" s="62"/>
      <c r="R77" s="62"/>
      <c r="S77" s="62"/>
      <c r="T77" s="353" t="b">
        <f ca="1">AND(F77&gt;0,Y77&gt;0)</f>
        <v>0</v>
      </c>
      <c r="U77" s="62"/>
      <c r="V77" s="62"/>
      <c r="W77" s="517" t="s">
        <v>172</v>
      </c>
      <c r="X77" s="964"/>
      <c r="Y77" s="964">
        <v>0</v>
      </c>
      <c r="Z77" s="992"/>
      <c r="AA77" s="913" t="s">
        <v>173</v>
      </c>
      <c r="AB77" s="8" t="str">
        <f>"6."&amp;Y77</f>
        <v>6.0</v>
      </c>
      <c r="AC77" s="851"/>
      <c r="AD77" s="8" t="s">
        <v>828</v>
      </c>
      <c r="AE77" s="820"/>
      <c r="AF77" s="820"/>
      <c r="AG77" s="820"/>
      <c r="AH77" s="820"/>
      <c r="AI77" s="57"/>
      <c r="AJ77" s="820"/>
      <c r="AK77" s="820"/>
      <c r="AL77" s="820"/>
      <c r="AM77" s="820"/>
      <c r="AN77" s="820"/>
      <c r="AO77" s="820"/>
      <c r="AP77" s="820"/>
      <c r="AQ77" s="820"/>
      <c r="AR77" s="820"/>
      <c r="AS77" s="57"/>
      <c r="AT77" s="820"/>
      <c r="AU77" s="820"/>
      <c r="AV77" s="820"/>
      <c r="AW77" s="820"/>
      <c r="AX77" s="820"/>
      <c r="AY77" s="820"/>
      <c r="AZ77" s="820"/>
      <c r="BA77" s="820"/>
      <c r="BB77" s="820"/>
      <c r="BC77" s="826"/>
      <c r="BD77" s="62"/>
      <c r="BE77" s="62"/>
      <c r="BF77" s="678" t="s">
        <v>891</v>
      </c>
      <c r="BG77" s="678" t="s">
        <v>892</v>
      </c>
      <c r="BH77" s="678" cm="1">
        <f t="array" ref="BH77">AC77</f>
        <v>0</v>
      </c>
      <c r="BI77" s="179"/>
      <c r="BJ77" s="179" t="b">
        <v>1</v>
      </c>
    </row>
    <row r="78" spans="1:62" s="326" customFormat="1" ht="10.5" hidden="1" customHeight="1" x14ac:dyDescent="0.15">
      <c r="A78" s="62"/>
      <c r="C78" s="364"/>
      <c r="D78" s="62"/>
      <c r="E78" s="179">
        <v>11.25</v>
      </c>
      <c r="F78" s="3" t="str" cm="1">
        <f t="array" aca="1" ref="F78" ca="1">OFFSET(E78,-1,1)</f>
        <v>2</v>
      </c>
      <c r="G78" s="42" t="s">
        <v>696</v>
      </c>
      <c r="H78" s="42" cm="1">
        <f t="array" ref="H78">H77</f>
        <v>0</v>
      </c>
      <c r="I78" s="62"/>
      <c r="J78" s="62"/>
      <c r="K78" s="62"/>
      <c r="L78" s="62"/>
      <c r="M78" s="62"/>
      <c r="N78" s="62"/>
      <c r="O78" s="62"/>
      <c r="P78" s="62"/>
      <c r="Q78" s="62"/>
      <c r="R78" s="62"/>
      <c r="S78" s="62"/>
      <c r="T78" s="353" t="b" cm="1">
        <f t="array" aca="1" ref="T78" ca="1">T77</f>
        <v>0</v>
      </c>
      <c r="U78" s="62"/>
      <c r="V78" s="62"/>
      <c r="W78" s="62"/>
      <c r="X78" s="964"/>
      <c r="Y78" s="964"/>
      <c r="Z78" s="992"/>
      <c r="AA78" s="913"/>
      <c r="AB78" s="8" t="str">
        <f>AB77&amp;".1"</f>
        <v>6.0.1</v>
      </c>
      <c r="AC78" s="105" t="s">
        <v>893</v>
      </c>
      <c r="AD78" s="11" t="s">
        <v>885</v>
      </c>
      <c r="AE78" s="58">
        <f t="shared" ref="AE78:BB78" si="20">IF(OR(AND(AE77&lt;&gt;0,AE79=0),AND(AE77=0,AE79&lt;&gt;0)),"Ошибка",IF(AE79=0,0,AE77/AE79))</f>
        <v>0</v>
      </c>
      <c r="AF78" s="58">
        <f t="shared" si="20"/>
        <v>0</v>
      </c>
      <c r="AG78" s="58">
        <f t="shared" si="20"/>
        <v>0</v>
      </c>
      <c r="AH78" s="58">
        <f t="shared" si="20"/>
        <v>0</v>
      </c>
      <c r="AI78" s="58">
        <f t="shared" si="20"/>
        <v>0</v>
      </c>
      <c r="AJ78" s="58">
        <f t="shared" si="20"/>
        <v>0</v>
      </c>
      <c r="AK78" s="58">
        <f t="shared" si="20"/>
        <v>0</v>
      </c>
      <c r="AL78" s="58">
        <f t="shared" si="20"/>
        <v>0</v>
      </c>
      <c r="AM78" s="58">
        <f t="shared" si="20"/>
        <v>0</v>
      </c>
      <c r="AN78" s="58">
        <f t="shared" si="20"/>
        <v>0</v>
      </c>
      <c r="AO78" s="58">
        <f t="shared" si="20"/>
        <v>0</v>
      </c>
      <c r="AP78" s="58">
        <f t="shared" si="20"/>
        <v>0</v>
      </c>
      <c r="AQ78" s="58">
        <f t="shared" si="20"/>
        <v>0</v>
      </c>
      <c r="AR78" s="58">
        <f t="shared" si="20"/>
        <v>0</v>
      </c>
      <c r="AS78" s="58">
        <f t="shared" si="20"/>
        <v>0</v>
      </c>
      <c r="AT78" s="58">
        <f t="shared" si="20"/>
        <v>0</v>
      </c>
      <c r="AU78" s="58">
        <f t="shared" si="20"/>
        <v>0</v>
      </c>
      <c r="AV78" s="58">
        <f t="shared" si="20"/>
        <v>0</v>
      </c>
      <c r="AW78" s="58">
        <f t="shared" si="20"/>
        <v>0</v>
      </c>
      <c r="AX78" s="58">
        <f t="shared" si="20"/>
        <v>0</v>
      </c>
      <c r="AY78" s="58">
        <f t="shared" si="20"/>
        <v>0</v>
      </c>
      <c r="AZ78" s="58">
        <f t="shared" si="20"/>
        <v>0</v>
      </c>
      <c r="BA78" s="58">
        <f t="shared" si="20"/>
        <v>0</v>
      </c>
      <c r="BB78" s="58">
        <f t="shared" si="20"/>
        <v>0</v>
      </c>
      <c r="BC78" s="826"/>
      <c r="BD78" s="62"/>
      <c r="BE78" s="62"/>
      <c r="BF78" s="678" t="s">
        <v>894</v>
      </c>
      <c r="BG78" s="678" t="s">
        <v>892</v>
      </c>
      <c r="BH78" s="678" cm="1">
        <f t="array" ref="BH78">BH77</f>
        <v>0</v>
      </c>
      <c r="BI78" s="179"/>
      <c r="BJ78" s="179"/>
    </row>
    <row r="79" spans="1:62" s="326" customFormat="1" ht="10.5" hidden="1" customHeight="1" x14ac:dyDescent="0.15">
      <c r="A79" s="62"/>
      <c r="C79" s="364"/>
      <c r="D79" s="62"/>
      <c r="E79" s="179">
        <v>11.25</v>
      </c>
      <c r="F79" s="3" t="str" cm="1">
        <f t="array" aca="1" ref="F79" ca="1">OFFSET(E79,-1,1)</f>
        <v>2</v>
      </c>
      <c r="G79" s="42" t="s">
        <v>699</v>
      </c>
      <c r="H79" s="42" cm="1">
        <f t="array" ref="H79">H78</f>
        <v>0</v>
      </c>
      <c r="I79" s="62"/>
      <c r="J79" s="62"/>
      <c r="K79" s="62"/>
      <c r="L79" s="62"/>
      <c r="M79" s="62"/>
      <c r="N79" s="62"/>
      <c r="O79" s="62"/>
      <c r="P79" s="62"/>
      <c r="Q79" s="62"/>
      <c r="R79" s="62"/>
      <c r="S79" s="62"/>
      <c r="T79" s="353" t="b" cm="1">
        <f t="array" aca="1" ref="T79" ca="1">T78</f>
        <v>0</v>
      </c>
      <c r="U79" s="62"/>
      <c r="V79" s="62"/>
      <c r="W79" s="62"/>
      <c r="X79" s="964"/>
      <c r="Y79" s="964"/>
      <c r="Z79" s="992"/>
      <c r="AA79" s="913"/>
      <c r="AB79" s="8" t="str">
        <f>AB77&amp;".2"</f>
        <v>6.0.2</v>
      </c>
      <c r="AC79" s="105" t="s">
        <v>895</v>
      </c>
      <c r="AD79" s="11" t="s">
        <v>879</v>
      </c>
      <c r="AE79" s="820"/>
      <c r="AF79" s="820"/>
      <c r="AG79" s="820"/>
      <c r="AH79" s="820"/>
      <c r="AI79" s="57"/>
      <c r="AJ79" s="820"/>
      <c r="AK79" s="820"/>
      <c r="AL79" s="820"/>
      <c r="AM79" s="820"/>
      <c r="AN79" s="820"/>
      <c r="AO79" s="820"/>
      <c r="AP79" s="820"/>
      <c r="AQ79" s="820"/>
      <c r="AR79" s="820"/>
      <c r="AS79" s="57"/>
      <c r="AT79" s="820"/>
      <c r="AU79" s="820"/>
      <c r="AV79" s="820"/>
      <c r="AW79" s="820"/>
      <c r="AX79" s="820"/>
      <c r="AY79" s="820"/>
      <c r="AZ79" s="820"/>
      <c r="BA79" s="820"/>
      <c r="BB79" s="820"/>
      <c r="BC79" s="826"/>
      <c r="BD79" s="62"/>
      <c r="BE79" s="62"/>
      <c r="BF79" s="678" t="s">
        <v>896</v>
      </c>
      <c r="BG79" s="678" t="s">
        <v>892</v>
      </c>
      <c r="BH79" s="678" cm="1">
        <f t="array" ref="BH79">BH78</f>
        <v>0</v>
      </c>
      <c r="BI79" s="179"/>
      <c r="BJ79" s="179"/>
    </row>
    <row r="80" spans="1:62" s="326" customFormat="1" ht="45.95" customHeight="1" x14ac:dyDescent="0.15">
      <c r="A80" s="62"/>
      <c r="C80" s="364"/>
      <c r="D80" s="62"/>
      <c r="E80" s="179">
        <v>11.25</v>
      </c>
      <c r="F80" s="3" t="str" cm="1">
        <f t="array" aca="1" ref="F80" ca="1">OFFSET(E80,-1,1)</f>
        <v>2</v>
      </c>
      <c r="G80" s="42" t="s">
        <v>532</v>
      </c>
      <c r="H80" s="42" t="str" cm="1">
        <f t="array" ref="H80">AC80</f>
        <v>СН2</v>
      </c>
      <c r="I80" s="62"/>
      <c r="J80" s="62"/>
      <c r="K80" s="62"/>
      <c r="L80" s="62"/>
      <c r="M80" s="62"/>
      <c r="N80" s="62"/>
      <c r="O80" s="62"/>
      <c r="P80" s="62"/>
      <c r="Q80" s="62"/>
      <c r="R80" s="62"/>
      <c r="S80" s="62"/>
      <c r="T80" s="353" t="b">
        <f ca="1">AND(F80&gt;0,Y80&gt;0)</f>
        <v>1</v>
      </c>
      <c r="U80" s="62"/>
      <c r="V80" s="62"/>
      <c r="W80" s="517"/>
      <c r="X80" s="964"/>
      <c r="Y80" s="964" t="s">
        <v>275</v>
      </c>
      <c r="Z80" s="992"/>
      <c r="AA80" s="913" t="s">
        <v>173</v>
      </c>
      <c r="AB80" s="8" t="str">
        <f>"6."&amp;Y80</f>
        <v>6.1</v>
      </c>
      <c r="AC80" s="112" t="s">
        <v>923</v>
      </c>
      <c r="AD80" s="8" t="s">
        <v>828</v>
      </c>
      <c r="AE80" s="57">
        <v>857.82</v>
      </c>
      <c r="AF80" s="57">
        <v>6460.7177775607997</v>
      </c>
      <c r="AG80" s="57">
        <v>1058.945365602</v>
      </c>
      <c r="AH80" s="57">
        <v>988.65</v>
      </c>
      <c r="AI80" s="57">
        <v>11464.921884666701</v>
      </c>
      <c r="AJ80" s="820"/>
      <c r="AK80" s="820"/>
      <c r="AL80" s="57"/>
      <c r="AM80" s="57"/>
      <c r="AN80" s="57"/>
      <c r="AO80" s="57"/>
      <c r="AP80" s="57"/>
      <c r="AQ80" s="57"/>
      <c r="AR80" s="57"/>
      <c r="AS80" s="57">
        <v>1251.4621776563999</v>
      </c>
      <c r="AT80" s="820"/>
      <c r="AU80" s="820"/>
      <c r="AV80" s="57"/>
      <c r="AW80" s="57"/>
      <c r="AX80" s="57"/>
      <c r="AY80" s="57"/>
      <c r="AZ80" s="57"/>
      <c r="BA80" s="57"/>
      <c r="BB80" s="57"/>
      <c r="BC80" s="113" t="s">
        <v>924</v>
      </c>
      <c r="BD80" s="62"/>
      <c r="BE80" s="62"/>
      <c r="BF80" s="678" t="s">
        <v>891</v>
      </c>
      <c r="BG80" s="678" t="s">
        <v>892</v>
      </c>
      <c r="BH80" s="678" t="str" cm="1">
        <f t="array" ref="BH80">AC80</f>
        <v>СН2</v>
      </c>
      <c r="BI80" s="179"/>
      <c r="BJ80" s="179" t="b">
        <v>1</v>
      </c>
    </row>
    <row r="81" spans="1:62" s="326" customFormat="1" ht="47.25" customHeight="1" x14ac:dyDescent="0.15">
      <c r="A81" s="62"/>
      <c r="C81" s="364"/>
      <c r="D81" s="62"/>
      <c r="E81" s="179">
        <v>11.25</v>
      </c>
      <c r="F81" s="3" t="str" cm="1">
        <f t="array" aca="1" ref="F81" ca="1">OFFSET(E81,-1,1)</f>
        <v>2</v>
      </c>
      <c r="G81" s="42" t="s">
        <v>696</v>
      </c>
      <c r="H81" s="42" t="str" cm="1">
        <f t="array" ref="H81">H80</f>
        <v>СН2</v>
      </c>
      <c r="I81" s="62"/>
      <c r="J81" s="62"/>
      <c r="K81" s="62"/>
      <c r="L81" s="62"/>
      <c r="M81" s="62"/>
      <c r="N81" s="62"/>
      <c r="O81" s="62"/>
      <c r="P81" s="62"/>
      <c r="Q81" s="62"/>
      <c r="R81" s="62"/>
      <c r="S81" s="62"/>
      <c r="T81" s="353" t="b" cm="1">
        <f t="array" aca="1" ref="T81" ca="1">T80</f>
        <v>1</v>
      </c>
      <c r="U81" s="62"/>
      <c r="V81" s="62"/>
      <c r="W81" s="62"/>
      <c r="X81" s="964"/>
      <c r="Y81" s="964"/>
      <c r="Z81" s="992"/>
      <c r="AA81" s="913"/>
      <c r="AB81" s="8" t="str">
        <f>AB80&amp;".1"</f>
        <v>6.1.1</v>
      </c>
      <c r="AC81" s="105" t="s">
        <v>893</v>
      </c>
      <c r="AD81" s="11" t="s">
        <v>885</v>
      </c>
      <c r="AE81" s="58">
        <f t="shared" ref="AE81:BB81" si="21">IF(OR(AND(AE80&lt;&gt;0,AE82=0),AND(AE80=0,AE82&lt;&gt;0)),"Ошибка",IF(AE82=0,0,AE80/AE82))</f>
        <v>3.9883764180769945</v>
      </c>
      <c r="AF81" s="58">
        <f t="shared" si="21"/>
        <v>3.9767165253817987</v>
      </c>
      <c r="AG81" s="58">
        <f t="shared" si="21"/>
        <v>3.9766789721791653</v>
      </c>
      <c r="AH81" s="58">
        <f t="shared" si="21"/>
        <v>4.1104388254972752</v>
      </c>
      <c r="AI81" s="58">
        <f t="shared" si="21"/>
        <v>4.3759828412466195</v>
      </c>
      <c r="AJ81" s="58">
        <f t="shared" si="21"/>
        <v>0</v>
      </c>
      <c r="AK81" s="58">
        <f t="shared" si="21"/>
        <v>0</v>
      </c>
      <c r="AL81" s="58">
        <f t="shared" si="21"/>
        <v>0</v>
      </c>
      <c r="AM81" s="58">
        <f t="shared" si="21"/>
        <v>0</v>
      </c>
      <c r="AN81" s="58">
        <f t="shared" si="21"/>
        <v>0</v>
      </c>
      <c r="AO81" s="58">
        <f t="shared" si="21"/>
        <v>0</v>
      </c>
      <c r="AP81" s="58">
        <f t="shared" si="21"/>
        <v>0</v>
      </c>
      <c r="AQ81" s="58">
        <f t="shared" si="21"/>
        <v>0</v>
      </c>
      <c r="AR81" s="58">
        <f t="shared" si="21"/>
        <v>0</v>
      </c>
      <c r="AS81" s="58">
        <f t="shared" si="21"/>
        <v>4.5410921346638347</v>
      </c>
      <c r="AT81" s="58" t="str">
        <f t="shared" si="21"/>
        <v>Ошибка</v>
      </c>
      <c r="AU81" s="58" t="str">
        <f t="shared" si="21"/>
        <v>Ошибка</v>
      </c>
      <c r="AV81" s="58">
        <f t="shared" si="21"/>
        <v>0</v>
      </c>
      <c r="AW81" s="58">
        <f t="shared" si="21"/>
        <v>0</v>
      </c>
      <c r="AX81" s="58">
        <f t="shared" si="21"/>
        <v>0</v>
      </c>
      <c r="AY81" s="58">
        <f t="shared" si="21"/>
        <v>0</v>
      </c>
      <c r="AZ81" s="58">
        <f t="shared" si="21"/>
        <v>0</v>
      </c>
      <c r="BA81" s="58">
        <f t="shared" si="21"/>
        <v>0</v>
      </c>
      <c r="BB81" s="58">
        <f t="shared" si="21"/>
        <v>0</v>
      </c>
      <c r="BC81" s="113" t="s">
        <v>925</v>
      </c>
      <c r="BD81" s="62"/>
      <c r="BE81" s="62"/>
      <c r="BF81" s="678" t="s">
        <v>894</v>
      </c>
      <c r="BG81" s="678" t="s">
        <v>892</v>
      </c>
      <c r="BH81" s="678" t="str" cm="1">
        <f t="array" ref="BH81">BH80</f>
        <v>СН2</v>
      </c>
      <c r="BI81" s="179"/>
      <c r="BJ81" s="179"/>
    </row>
    <row r="82" spans="1:62" s="326" customFormat="1" ht="52.35" customHeight="1" x14ac:dyDescent="0.15">
      <c r="A82" s="62"/>
      <c r="C82" s="364"/>
      <c r="D82" s="62"/>
      <c r="E82" s="179">
        <v>11.25</v>
      </c>
      <c r="F82" s="3" t="str" cm="1">
        <f t="array" aca="1" ref="F82" ca="1">OFFSET(E82,-1,1)</f>
        <v>2</v>
      </c>
      <c r="G82" s="42" t="s">
        <v>699</v>
      </c>
      <c r="H82" s="42" t="str" cm="1">
        <f t="array" ref="H82">H81</f>
        <v>СН2</v>
      </c>
      <c r="I82" s="62"/>
      <c r="J82" s="62"/>
      <c r="K82" s="62"/>
      <c r="L82" s="62"/>
      <c r="M82" s="62"/>
      <c r="N82" s="62"/>
      <c r="O82" s="62"/>
      <c r="P82" s="62"/>
      <c r="Q82" s="62"/>
      <c r="R82" s="62"/>
      <c r="S82" s="62"/>
      <c r="T82" s="353" t="b" cm="1">
        <f t="array" aca="1" ref="T82" ca="1">T81</f>
        <v>1</v>
      </c>
      <c r="U82" s="62"/>
      <c r="V82" s="62"/>
      <c r="W82" s="62"/>
      <c r="X82" s="964"/>
      <c r="Y82" s="964"/>
      <c r="Z82" s="992"/>
      <c r="AA82" s="913"/>
      <c r="AB82" s="8" t="str">
        <f>AB80&amp;".2"</f>
        <v>6.1.2</v>
      </c>
      <c r="AC82" s="105" t="s">
        <v>895</v>
      </c>
      <c r="AD82" s="11" t="s">
        <v>879</v>
      </c>
      <c r="AE82" s="57">
        <v>215.08</v>
      </c>
      <c r="AF82" s="57">
        <v>1624.6362385462</v>
      </c>
      <c r="AG82" s="57">
        <v>266.28887395999999</v>
      </c>
      <c r="AH82" s="57">
        <v>240.52176470000001</v>
      </c>
      <c r="AI82" s="57">
        <v>2619.9650000000001</v>
      </c>
      <c r="AJ82" s="820"/>
      <c r="AK82" s="820"/>
      <c r="AL82" s="57"/>
      <c r="AM82" s="57"/>
      <c r="AN82" s="57"/>
      <c r="AO82" s="57"/>
      <c r="AP82" s="57"/>
      <c r="AQ82" s="57"/>
      <c r="AR82" s="57"/>
      <c r="AS82" s="57">
        <v>275.58616749999999</v>
      </c>
      <c r="AT82" s="820" cm="1">
        <f t="array" ref="AT82">AS82</f>
        <v>275.58616749999999</v>
      </c>
      <c r="AU82" s="820" cm="1">
        <f t="array" ref="AU82">AT82</f>
        <v>275.58616749999999</v>
      </c>
      <c r="AV82" s="57"/>
      <c r="AW82" s="57"/>
      <c r="AX82" s="57"/>
      <c r="AY82" s="57"/>
      <c r="AZ82" s="57"/>
      <c r="BA82" s="57"/>
      <c r="BB82" s="57"/>
      <c r="BC82" s="113" t="s">
        <v>927</v>
      </c>
      <c r="BD82" s="62"/>
      <c r="BE82" s="62"/>
      <c r="BF82" s="678" t="s">
        <v>896</v>
      </c>
      <c r="BG82" s="678" t="s">
        <v>892</v>
      </c>
      <c r="BH82" s="678" t="str" cm="1">
        <f t="array" ref="BH82">BH81</f>
        <v>СН2</v>
      </c>
      <c r="BI82" s="179"/>
      <c r="BJ82" s="179"/>
    </row>
    <row r="83" spans="1:62" s="59" customFormat="1" ht="14.25" customHeight="1" x14ac:dyDescent="0.15">
      <c r="B83" s="46"/>
      <c r="C83" s="364"/>
      <c r="E83" s="462">
        <v>15</v>
      </c>
      <c r="F83" s="3" t="str" cm="1">
        <f t="array" aca="1" ref="F83" ca="1">OFFSET(E83,-1,1)</f>
        <v>2</v>
      </c>
      <c r="H83" s="632" t="s">
        <v>897</v>
      </c>
      <c r="T83" s="353" t="b">
        <f ca="1">F83&gt;0</f>
        <v>1</v>
      </c>
      <c r="W83" s="517" t="s">
        <v>397</v>
      </c>
      <c r="X83" s="964"/>
      <c r="Z83" s="992"/>
      <c r="AB83" s="477"/>
      <c r="AC83" s="92" t="s">
        <v>176</v>
      </c>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101"/>
      <c r="BF83" s="674"/>
      <c r="BG83" s="674"/>
      <c r="BH83" s="674"/>
      <c r="BI83" s="462" t="s">
        <v>892</v>
      </c>
      <c r="BJ83" s="462"/>
    </row>
    <row r="84" spans="1:62" s="326" customFormat="1" ht="20.45" customHeight="1" x14ac:dyDescent="0.15">
      <c r="A84" s="62"/>
      <c r="C84" s="364"/>
      <c r="D84" s="62"/>
      <c r="E84" s="179">
        <v>13</v>
      </c>
      <c r="F84" s="3" t="str" cm="1">
        <f t="array" aca="1" ref="F84" ca="1">OFFSET(E84,-1,1)</f>
        <v>2</v>
      </c>
      <c r="G84" s="42"/>
      <c r="H84" s="42"/>
      <c r="I84" s="62"/>
      <c r="J84" s="62"/>
      <c r="K84" s="62"/>
      <c r="L84" s="62"/>
      <c r="M84" s="62"/>
      <c r="N84" s="62"/>
      <c r="O84" s="62"/>
      <c r="P84" s="62"/>
      <c r="Q84" s="62"/>
      <c r="R84" s="62"/>
      <c r="S84" s="62"/>
      <c r="T84" s="353" t="b" cm="1">
        <f t="array" aca="1" ref="T84" ca="1">T83</f>
        <v>1</v>
      </c>
      <c r="U84" s="62"/>
      <c r="V84" s="62"/>
      <c r="W84" s="62"/>
      <c r="X84" s="964"/>
      <c r="Y84" s="62"/>
      <c r="Z84" s="992"/>
      <c r="AA84" s="62"/>
      <c r="AB84" s="476"/>
      <c r="AC84" s="178" t="s">
        <v>898</v>
      </c>
      <c r="AD84" s="179"/>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1"/>
      <c r="BD84" s="62"/>
      <c r="BE84" s="62"/>
      <c r="BF84" s="678"/>
      <c r="BG84" s="678"/>
      <c r="BH84" s="678"/>
      <c r="BI84" s="179"/>
      <c r="BJ84" s="179"/>
    </row>
    <row r="85" spans="1:62" s="326" customFormat="1" ht="10.5" hidden="1" customHeight="1" x14ac:dyDescent="0.15">
      <c r="A85" s="62"/>
      <c r="C85" s="364"/>
      <c r="D85" s="62"/>
      <c r="E85" s="179">
        <v>11.25</v>
      </c>
      <c r="F85" s="3" t="str" cm="1">
        <f t="array" aca="1" ref="F85" ca="1">OFFSET(E85,-1,1)</f>
        <v>2</v>
      </c>
      <c r="G85" s="42" t="s">
        <v>532</v>
      </c>
      <c r="H85" s="42" cm="1">
        <f t="array" ref="H85">AC85</f>
        <v>0</v>
      </c>
      <c r="I85" s="62"/>
      <c r="J85" s="62"/>
      <c r="K85" s="62"/>
      <c r="L85" s="62"/>
      <c r="M85" s="62"/>
      <c r="N85" s="62"/>
      <c r="O85" s="62"/>
      <c r="P85" s="62"/>
      <c r="Q85" s="62"/>
      <c r="R85" s="62"/>
      <c r="S85" s="62"/>
      <c r="T85" s="353" t="b">
        <f ca="1">AND(F85&gt;0,Y85&gt;0)</f>
        <v>0</v>
      </c>
      <c r="U85" s="62"/>
      <c r="V85" s="62"/>
      <c r="W85" s="517" t="s">
        <v>172</v>
      </c>
      <c r="X85" s="964"/>
      <c r="Y85" s="964">
        <v>0</v>
      </c>
      <c r="Z85" s="992"/>
      <c r="AA85" s="913" t="s">
        <v>173</v>
      </c>
      <c r="AB85" s="8" t="str">
        <f>"7."&amp;Y85</f>
        <v>7.0</v>
      </c>
      <c r="AC85" s="851"/>
      <c r="AD85" s="8" t="s">
        <v>828</v>
      </c>
      <c r="AE85" s="58">
        <f t="shared" ref="AE85:BB85" si="22">AE86+AE89</f>
        <v>0</v>
      </c>
      <c r="AF85" s="58">
        <f t="shared" si="22"/>
        <v>0</v>
      </c>
      <c r="AG85" s="58">
        <f t="shared" si="22"/>
        <v>0</v>
      </c>
      <c r="AH85" s="58">
        <f t="shared" si="22"/>
        <v>0</v>
      </c>
      <c r="AI85" s="58">
        <f t="shared" si="22"/>
        <v>0</v>
      </c>
      <c r="AJ85" s="58">
        <f t="shared" si="22"/>
        <v>0</v>
      </c>
      <c r="AK85" s="58">
        <f t="shared" si="22"/>
        <v>0</v>
      </c>
      <c r="AL85" s="58">
        <f t="shared" si="22"/>
        <v>0</v>
      </c>
      <c r="AM85" s="58">
        <f t="shared" si="22"/>
        <v>0</v>
      </c>
      <c r="AN85" s="58">
        <f t="shared" si="22"/>
        <v>0</v>
      </c>
      <c r="AO85" s="58">
        <f t="shared" si="22"/>
        <v>0</v>
      </c>
      <c r="AP85" s="58">
        <f t="shared" si="22"/>
        <v>0</v>
      </c>
      <c r="AQ85" s="58">
        <f t="shared" si="22"/>
        <v>0</v>
      </c>
      <c r="AR85" s="58">
        <f t="shared" si="22"/>
        <v>0</v>
      </c>
      <c r="AS85" s="58">
        <f t="shared" si="22"/>
        <v>0</v>
      </c>
      <c r="AT85" s="58">
        <f t="shared" si="22"/>
        <v>0</v>
      </c>
      <c r="AU85" s="58">
        <f t="shared" si="22"/>
        <v>0</v>
      </c>
      <c r="AV85" s="58">
        <f t="shared" si="22"/>
        <v>0</v>
      </c>
      <c r="AW85" s="58">
        <f t="shared" si="22"/>
        <v>0</v>
      </c>
      <c r="AX85" s="58">
        <f t="shared" si="22"/>
        <v>0</v>
      </c>
      <c r="AY85" s="58">
        <f t="shared" si="22"/>
        <v>0</v>
      </c>
      <c r="AZ85" s="58">
        <f t="shared" si="22"/>
        <v>0</v>
      </c>
      <c r="BA85" s="58">
        <f t="shared" si="22"/>
        <v>0</v>
      </c>
      <c r="BB85" s="58">
        <f t="shared" si="22"/>
        <v>0</v>
      </c>
      <c r="BC85" s="826"/>
      <c r="BD85" s="62"/>
      <c r="BE85" s="62"/>
      <c r="BF85" s="678" t="s">
        <v>899</v>
      </c>
      <c r="BG85" s="678" t="s">
        <v>900</v>
      </c>
      <c r="BH85" s="678" cm="1">
        <f t="array" ref="BH85">AC85</f>
        <v>0</v>
      </c>
      <c r="BI85" s="179"/>
      <c r="BJ85" s="179"/>
    </row>
    <row r="86" spans="1:62" s="326" customFormat="1" ht="10.5" hidden="1" customHeight="1" x14ac:dyDescent="0.15">
      <c r="A86" s="62"/>
      <c r="C86" s="364"/>
      <c r="D86" s="62"/>
      <c r="E86" s="179">
        <v>11.25</v>
      </c>
      <c r="F86" s="3" t="str" cm="1">
        <f t="array" aca="1" ref="F86" ca="1">OFFSET(E86,-1,1)</f>
        <v>2</v>
      </c>
      <c r="G86" s="42" t="s">
        <v>703</v>
      </c>
      <c r="H86" s="42" cm="1">
        <f t="array" ref="H86">H85</f>
        <v>0</v>
      </c>
      <c r="I86" s="62"/>
      <c r="J86" s="62"/>
      <c r="K86" s="62"/>
      <c r="L86" s="62"/>
      <c r="M86" s="62"/>
      <c r="N86" s="62"/>
      <c r="O86" s="62"/>
      <c r="P86" s="62"/>
      <c r="Q86" s="62"/>
      <c r="R86" s="62"/>
      <c r="S86" s="62"/>
      <c r="T86" s="353" t="b" cm="1">
        <f t="array" aca="1" ref="T86" ca="1">T85</f>
        <v>0</v>
      </c>
      <c r="U86" s="62"/>
      <c r="V86" s="62"/>
      <c r="W86" s="62"/>
      <c r="X86" s="964"/>
      <c r="Y86" s="964"/>
      <c r="Z86" s="992"/>
      <c r="AA86" s="913"/>
      <c r="AB86" s="8" t="str">
        <f>AB85&amp;".1"</f>
        <v>7.0.1</v>
      </c>
      <c r="AC86" s="105" t="s">
        <v>901</v>
      </c>
      <c r="AD86" s="8" t="s">
        <v>902</v>
      </c>
      <c r="AE86" s="820"/>
      <c r="AF86" s="820"/>
      <c r="AG86" s="820"/>
      <c r="AH86" s="820"/>
      <c r="AI86" s="57"/>
      <c r="AJ86" s="820"/>
      <c r="AK86" s="820"/>
      <c r="AL86" s="820"/>
      <c r="AM86" s="820"/>
      <c r="AN86" s="820"/>
      <c r="AO86" s="820"/>
      <c r="AP86" s="820"/>
      <c r="AQ86" s="820"/>
      <c r="AR86" s="820"/>
      <c r="AS86" s="57"/>
      <c r="AT86" s="820"/>
      <c r="AU86" s="820"/>
      <c r="AV86" s="820"/>
      <c r="AW86" s="820"/>
      <c r="AX86" s="820"/>
      <c r="AY86" s="820"/>
      <c r="AZ86" s="820"/>
      <c r="BA86" s="820"/>
      <c r="BB86" s="820"/>
      <c r="BC86" s="826"/>
      <c r="BD86" s="62"/>
      <c r="BE86" s="62"/>
      <c r="BF86" s="678" t="s">
        <v>903</v>
      </c>
      <c r="BG86" s="678" t="s">
        <v>900</v>
      </c>
      <c r="BH86" s="678" cm="1">
        <f t="array" ref="BH86">BH85</f>
        <v>0</v>
      </c>
      <c r="BI86" s="179"/>
      <c r="BJ86" s="179"/>
    </row>
    <row r="87" spans="1:62" s="326" customFormat="1" ht="10.5" hidden="1" customHeight="1" x14ac:dyDescent="0.15">
      <c r="A87" s="62"/>
      <c r="C87" s="364"/>
      <c r="D87" s="62"/>
      <c r="E87" s="179">
        <v>11.25</v>
      </c>
      <c r="F87" s="3" t="str" cm="1">
        <f t="array" aca="1" ref="F87" ca="1">OFFSET(E87,-1,1)</f>
        <v>2</v>
      </c>
      <c r="G87" s="42" t="s">
        <v>904</v>
      </c>
      <c r="H87" s="42" cm="1">
        <f t="array" ref="H87">H86</f>
        <v>0</v>
      </c>
      <c r="I87" s="62"/>
      <c r="J87" s="62"/>
      <c r="K87" s="62"/>
      <c r="L87" s="62"/>
      <c r="M87" s="62"/>
      <c r="N87" s="62"/>
      <c r="O87" s="62"/>
      <c r="P87" s="62"/>
      <c r="Q87" s="62"/>
      <c r="R87" s="62"/>
      <c r="S87" s="62"/>
      <c r="T87" s="353" t="b" cm="1">
        <f t="array" aca="1" ref="T87" ca="1">T86</f>
        <v>0</v>
      </c>
      <c r="U87" s="62"/>
      <c r="V87" s="62"/>
      <c r="W87" s="62"/>
      <c r="X87" s="964"/>
      <c r="Y87" s="964"/>
      <c r="Z87" s="992"/>
      <c r="AA87" s="913"/>
      <c r="AB87" s="8" t="str">
        <f>AB85&amp;".1.1"</f>
        <v>7.0.1.1</v>
      </c>
      <c r="AC87" s="237" t="s">
        <v>893</v>
      </c>
      <c r="AD87" s="11" t="s">
        <v>885</v>
      </c>
      <c r="AE87" s="58">
        <f t="shared" ref="AE87:BB87" si="23">IF(OR(AND(AE86&lt;&gt;0,AE88=0),AND(AE86=0,AE88&lt;&gt;0)),"Ошибка",IF(AE88=0,0,AE86/AE88))</f>
        <v>0</v>
      </c>
      <c r="AF87" s="58">
        <f t="shared" si="23"/>
        <v>0</v>
      </c>
      <c r="AG87" s="58">
        <f t="shared" si="23"/>
        <v>0</v>
      </c>
      <c r="AH87" s="58">
        <f t="shared" si="23"/>
        <v>0</v>
      </c>
      <c r="AI87" s="58">
        <f t="shared" si="23"/>
        <v>0</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0</v>
      </c>
      <c r="AT87" s="58">
        <f t="shared" si="23"/>
        <v>0</v>
      </c>
      <c r="AU87" s="58">
        <f t="shared" si="23"/>
        <v>0</v>
      </c>
      <c r="AV87" s="58">
        <f t="shared" si="23"/>
        <v>0</v>
      </c>
      <c r="AW87" s="58">
        <f t="shared" si="23"/>
        <v>0</v>
      </c>
      <c r="AX87" s="58">
        <f t="shared" si="23"/>
        <v>0</v>
      </c>
      <c r="AY87" s="58">
        <f t="shared" si="23"/>
        <v>0</v>
      </c>
      <c r="AZ87" s="58">
        <f t="shared" si="23"/>
        <v>0</v>
      </c>
      <c r="BA87" s="58">
        <f t="shared" si="23"/>
        <v>0</v>
      </c>
      <c r="BB87" s="58">
        <f t="shared" si="23"/>
        <v>0</v>
      </c>
      <c r="BC87" s="826"/>
      <c r="BD87" s="62"/>
      <c r="BE87" s="62"/>
      <c r="BF87" s="678" t="s">
        <v>905</v>
      </c>
      <c r="BG87" s="678" t="s">
        <v>900</v>
      </c>
      <c r="BH87" s="678" cm="1">
        <f t="array" ref="BH87">BH86</f>
        <v>0</v>
      </c>
      <c r="BI87" s="179"/>
      <c r="BJ87" s="179"/>
    </row>
    <row r="88" spans="1:62" s="326" customFormat="1" ht="10.5" hidden="1" customHeight="1" x14ac:dyDescent="0.15">
      <c r="A88" s="62"/>
      <c r="C88" s="364"/>
      <c r="D88" s="62"/>
      <c r="E88" s="179">
        <v>11.25</v>
      </c>
      <c r="F88" s="3" t="str" cm="1">
        <f t="array" aca="1" ref="F88" ca="1">OFFSET(E88,-1,1)</f>
        <v>2</v>
      </c>
      <c r="G88" s="42" t="s">
        <v>906</v>
      </c>
      <c r="H88" s="42" cm="1">
        <f t="array" ref="H88">H87</f>
        <v>0</v>
      </c>
      <c r="I88" s="62"/>
      <c r="J88" s="62"/>
      <c r="K88" s="62"/>
      <c r="L88" s="62"/>
      <c r="M88" s="62"/>
      <c r="N88" s="62"/>
      <c r="O88" s="62"/>
      <c r="P88" s="62"/>
      <c r="Q88" s="62"/>
      <c r="R88" s="62"/>
      <c r="S88" s="62"/>
      <c r="T88" s="353" t="b" cm="1">
        <f t="array" aca="1" ref="T88" ca="1">T87</f>
        <v>0</v>
      </c>
      <c r="U88" s="62"/>
      <c r="V88" s="62"/>
      <c r="W88" s="62"/>
      <c r="X88" s="964"/>
      <c r="Y88" s="964"/>
      <c r="Z88" s="992"/>
      <c r="AA88" s="913"/>
      <c r="AB88" s="8" t="str">
        <f>AB85&amp;".1.2"</f>
        <v>7.0.1.2</v>
      </c>
      <c r="AC88" s="237" t="s">
        <v>895</v>
      </c>
      <c r="AD88" s="11" t="s">
        <v>879</v>
      </c>
      <c r="AE88" s="820"/>
      <c r="AF88" s="820"/>
      <c r="AG88" s="820"/>
      <c r="AH88" s="820"/>
      <c r="AI88" s="57"/>
      <c r="AJ88" s="820"/>
      <c r="AK88" s="820"/>
      <c r="AL88" s="820"/>
      <c r="AM88" s="820"/>
      <c r="AN88" s="820"/>
      <c r="AO88" s="820"/>
      <c r="AP88" s="820"/>
      <c r="AQ88" s="820"/>
      <c r="AR88" s="820"/>
      <c r="AS88" s="57"/>
      <c r="AT88" s="820"/>
      <c r="AU88" s="820"/>
      <c r="AV88" s="820"/>
      <c r="AW88" s="820"/>
      <c r="AX88" s="820"/>
      <c r="AY88" s="820"/>
      <c r="AZ88" s="820"/>
      <c r="BA88" s="820"/>
      <c r="BB88" s="820"/>
      <c r="BC88" s="826"/>
      <c r="BD88" s="62"/>
      <c r="BE88" s="62"/>
      <c r="BF88" s="678" t="s">
        <v>907</v>
      </c>
      <c r="BG88" s="678" t="s">
        <v>900</v>
      </c>
      <c r="BH88" s="678" cm="1">
        <f t="array" ref="BH88">BH87</f>
        <v>0</v>
      </c>
      <c r="BI88" s="179"/>
      <c r="BJ88" s="179"/>
    </row>
    <row r="89" spans="1:62" s="326" customFormat="1" ht="10.5" hidden="1" customHeight="1" x14ac:dyDescent="0.15">
      <c r="A89" s="62"/>
      <c r="C89" s="364"/>
      <c r="D89" s="62"/>
      <c r="E89" s="179">
        <v>11.25</v>
      </c>
      <c r="F89" s="3" t="str" cm="1">
        <f t="array" aca="1" ref="F89" ca="1">OFFSET(E89,-1,1)</f>
        <v>2</v>
      </c>
      <c r="G89" s="42" t="s">
        <v>706</v>
      </c>
      <c r="H89" s="42" cm="1">
        <f t="array" ref="H89">H88</f>
        <v>0</v>
      </c>
      <c r="I89" s="62"/>
      <c r="J89" s="62"/>
      <c r="K89" s="62"/>
      <c r="L89" s="62"/>
      <c r="M89" s="62"/>
      <c r="N89" s="62"/>
      <c r="O89" s="62"/>
      <c r="P89" s="62"/>
      <c r="Q89" s="62"/>
      <c r="R89" s="62"/>
      <c r="S89" s="62"/>
      <c r="T89" s="353" t="b" cm="1">
        <f t="array" aca="1" ref="T89" ca="1">T88</f>
        <v>0</v>
      </c>
      <c r="U89" s="62"/>
      <c r="V89" s="62"/>
      <c r="W89" s="62"/>
      <c r="X89" s="964"/>
      <c r="Y89" s="964"/>
      <c r="Z89" s="992"/>
      <c r="AA89" s="913"/>
      <c r="AB89" s="8" t="str">
        <f>AB85&amp;".2"</f>
        <v>7.0.2</v>
      </c>
      <c r="AC89" s="105" t="s">
        <v>908</v>
      </c>
      <c r="AD89" s="8" t="s">
        <v>902</v>
      </c>
      <c r="AE89" s="820"/>
      <c r="AF89" s="820"/>
      <c r="AG89" s="820"/>
      <c r="AH89" s="820"/>
      <c r="AI89" s="57"/>
      <c r="AJ89" s="820"/>
      <c r="AK89" s="820"/>
      <c r="AL89" s="820"/>
      <c r="AM89" s="820"/>
      <c r="AN89" s="820"/>
      <c r="AO89" s="820"/>
      <c r="AP89" s="820"/>
      <c r="AQ89" s="820"/>
      <c r="AR89" s="820"/>
      <c r="AS89" s="57"/>
      <c r="AT89" s="820"/>
      <c r="AU89" s="820"/>
      <c r="AV89" s="820"/>
      <c r="AW89" s="820"/>
      <c r="AX89" s="820"/>
      <c r="AY89" s="820"/>
      <c r="AZ89" s="820"/>
      <c r="BA89" s="820"/>
      <c r="BB89" s="820"/>
      <c r="BC89" s="826"/>
      <c r="BD89" s="62"/>
      <c r="BE89" s="62"/>
      <c r="BF89" s="678" t="s">
        <v>909</v>
      </c>
      <c r="BG89" s="678" t="s">
        <v>900</v>
      </c>
      <c r="BH89" s="678" cm="1">
        <f t="array" ref="BH89">BH88</f>
        <v>0</v>
      </c>
      <c r="BI89" s="179"/>
      <c r="BJ89" s="179"/>
    </row>
    <row r="90" spans="1:62" s="326" customFormat="1" ht="10.5" hidden="1" customHeight="1" x14ac:dyDescent="0.15">
      <c r="A90" s="62"/>
      <c r="C90" s="364"/>
      <c r="D90" s="62"/>
      <c r="E90" s="179">
        <v>11.25</v>
      </c>
      <c r="F90" s="3" t="str" cm="1">
        <f t="array" aca="1" ref="F90" ca="1">OFFSET(E90,-1,1)</f>
        <v>2</v>
      </c>
      <c r="G90" s="42" t="s">
        <v>910</v>
      </c>
      <c r="H90" s="42" cm="1">
        <f t="array" ref="H90">H89</f>
        <v>0</v>
      </c>
      <c r="I90" s="62"/>
      <c r="J90" s="62"/>
      <c r="K90" s="62"/>
      <c r="L90" s="62"/>
      <c r="M90" s="62"/>
      <c r="N90" s="62"/>
      <c r="O90" s="62"/>
      <c r="P90" s="62"/>
      <c r="Q90" s="62"/>
      <c r="R90" s="62"/>
      <c r="S90" s="62"/>
      <c r="T90" s="353" t="b" cm="1">
        <f t="array" aca="1" ref="T90" ca="1">T89</f>
        <v>0</v>
      </c>
      <c r="U90" s="62"/>
      <c r="V90" s="62"/>
      <c r="W90" s="62"/>
      <c r="X90" s="964"/>
      <c r="Y90" s="964"/>
      <c r="Z90" s="992"/>
      <c r="AA90" s="913"/>
      <c r="AB90" s="8" t="str">
        <f>AB85&amp;".2.1"</f>
        <v>7.0.2.1</v>
      </c>
      <c r="AC90" s="237" t="s">
        <v>911</v>
      </c>
      <c r="AD90" s="11" t="s">
        <v>912</v>
      </c>
      <c r="AE90" s="58">
        <f t="shared" ref="AE90:BB90" si="24">IF(OR(AND(AE89&lt;&gt;0,AE91=0),AND(AE89=0,AE91&lt;&gt;0)),"Ошибка",IF(AE91=0,0,AE89/AE91*1000/12))</f>
        <v>0</v>
      </c>
      <c r="AF90" s="58">
        <f t="shared" si="24"/>
        <v>0</v>
      </c>
      <c r="AG90" s="58">
        <f t="shared" si="24"/>
        <v>0</v>
      </c>
      <c r="AH90" s="58">
        <f t="shared" si="24"/>
        <v>0</v>
      </c>
      <c r="AI90" s="58">
        <f t="shared" si="24"/>
        <v>0</v>
      </c>
      <c r="AJ90" s="58">
        <f t="shared" si="24"/>
        <v>0</v>
      </c>
      <c r="AK90" s="58">
        <f t="shared" si="24"/>
        <v>0</v>
      </c>
      <c r="AL90" s="58">
        <f t="shared" si="24"/>
        <v>0</v>
      </c>
      <c r="AM90" s="58">
        <f t="shared" si="24"/>
        <v>0</v>
      </c>
      <c r="AN90" s="58">
        <f t="shared" si="24"/>
        <v>0</v>
      </c>
      <c r="AO90" s="58">
        <f t="shared" si="24"/>
        <v>0</v>
      </c>
      <c r="AP90" s="58">
        <f t="shared" si="24"/>
        <v>0</v>
      </c>
      <c r="AQ90" s="58">
        <f t="shared" si="24"/>
        <v>0</v>
      </c>
      <c r="AR90" s="58">
        <f t="shared" si="24"/>
        <v>0</v>
      </c>
      <c r="AS90" s="58">
        <f t="shared" si="24"/>
        <v>0</v>
      </c>
      <c r="AT90" s="58">
        <f t="shared" si="24"/>
        <v>0</v>
      </c>
      <c r="AU90" s="58">
        <f t="shared" si="24"/>
        <v>0</v>
      </c>
      <c r="AV90" s="58">
        <f t="shared" si="24"/>
        <v>0</v>
      </c>
      <c r="AW90" s="58">
        <f t="shared" si="24"/>
        <v>0</v>
      </c>
      <c r="AX90" s="58">
        <f t="shared" si="24"/>
        <v>0</v>
      </c>
      <c r="AY90" s="58">
        <f t="shared" si="24"/>
        <v>0</v>
      </c>
      <c r="AZ90" s="58">
        <f t="shared" si="24"/>
        <v>0</v>
      </c>
      <c r="BA90" s="58">
        <f t="shared" si="24"/>
        <v>0</v>
      </c>
      <c r="BB90" s="58">
        <f t="shared" si="24"/>
        <v>0</v>
      </c>
      <c r="BC90" s="826"/>
      <c r="BD90" s="62"/>
      <c r="BE90" s="62"/>
      <c r="BF90" s="678" t="s">
        <v>913</v>
      </c>
      <c r="BG90" s="678" t="s">
        <v>900</v>
      </c>
      <c r="BH90" s="678" cm="1">
        <f t="array" ref="BH90">BH89</f>
        <v>0</v>
      </c>
      <c r="BI90" s="179"/>
      <c r="BJ90" s="179"/>
    </row>
    <row r="91" spans="1:62" s="326" customFormat="1" ht="10.5" hidden="1" customHeight="1" x14ac:dyDescent="0.15">
      <c r="A91" s="62"/>
      <c r="C91" s="364"/>
      <c r="D91" s="62"/>
      <c r="E91" s="179">
        <v>11.25</v>
      </c>
      <c r="F91" s="3" t="str" cm="1">
        <f t="array" aca="1" ref="F91" ca="1">OFFSET(E91,-1,1)</f>
        <v>2</v>
      </c>
      <c r="G91" s="42" t="s">
        <v>914</v>
      </c>
      <c r="H91" s="42" cm="1">
        <f t="array" ref="H91">H90</f>
        <v>0</v>
      </c>
      <c r="I91" s="62"/>
      <c r="J91" s="62"/>
      <c r="K91" s="62"/>
      <c r="L91" s="62"/>
      <c r="M91" s="62"/>
      <c r="N91" s="62"/>
      <c r="O91" s="62"/>
      <c r="P91" s="62"/>
      <c r="Q91" s="62"/>
      <c r="R91" s="62"/>
      <c r="S91" s="62"/>
      <c r="T91" s="353" t="b" cm="1">
        <f t="array" aca="1" ref="T91" ca="1">T90</f>
        <v>0</v>
      </c>
      <c r="U91" s="62"/>
      <c r="V91" s="62"/>
      <c r="W91" s="62"/>
      <c r="X91" s="964"/>
      <c r="Y91" s="964"/>
      <c r="Z91" s="992"/>
      <c r="AA91" s="913"/>
      <c r="AB91" s="8" t="str">
        <f>AB85&amp;".2.2"</f>
        <v>7.0.2.2</v>
      </c>
      <c r="AC91" s="237" t="s">
        <v>915</v>
      </c>
      <c r="AD91" s="11" t="s">
        <v>916</v>
      </c>
      <c r="AE91" s="820"/>
      <c r="AF91" s="820"/>
      <c r="AG91" s="820"/>
      <c r="AH91" s="820"/>
      <c r="AI91" s="57"/>
      <c r="AJ91" s="820"/>
      <c r="AK91" s="820"/>
      <c r="AL91" s="820"/>
      <c r="AM91" s="820"/>
      <c r="AN91" s="820"/>
      <c r="AO91" s="820"/>
      <c r="AP91" s="820"/>
      <c r="AQ91" s="820"/>
      <c r="AR91" s="820"/>
      <c r="AS91" s="57"/>
      <c r="AT91" s="820"/>
      <c r="AU91" s="820"/>
      <c r="AV91" s="820"/>
      <c r="AW91" s="820"/>
      <c r="AX91" s="820"/>
      <c r="AY91" s="820"/>
      <c r="AZ91" s="820"/>
      <c r="BA91" s="820"/>
      <c r="BB91" s="820"/>
      <c r="BC91" s="826"/>
      <c r="BD91" s="62"/>
      <c r="BE91" s="62"/>
      <c r="BF91" s="678" t="s">
        <v>917</v>
      </c>
      <c r="BG91" s="678" t="s">
        <v>900</v>
      </c>
      <c r="BH91" s="678" cm="1">
        <f t="array" ref="BH91">BH90</f>
        <v>0</v>
      </c>
      <c r="BI91" s="179"/>
      <c r="BJ91" s="179"/>
    </row>
    <row r="92" spans="1:62" s="59" customFormat="1" ht="14.25" customHeight="1" x14ac:dyDescent="0.15">
      <c r="B92" s="46"/>
      <c r="C92" s="364"/>
      <c r="E92" s="462">
        <v>15</v>
      </c>
      <c r="F92" s="3" t="str" cm="1">
        <f t="array" aca="1" ref="F92" ca="1">OFFSET(E92,-1,1)</f>
        <v>2</v>
      </c>
      <c r="H92" s="632" t="s">
        <v>918</v>
      </c>
      <c r="T92" s="353" t="b">
        <f ca="1">F92&gt;0</f>
        <v>1</v>
      </c>
      <c r="W92" s="517" t="s">
        <v>919</v>
      </c>
      <c r="X92" s="964"/>
      <c r="Z92" s="992"/>
      <c r="AB92" s="89"/>
      <c r="AC92" s="92" t="s">
        <v>920</v>
      </c>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101"/>
      <c r="BF92" s="674"/>
      <c r="BG92" s="674"/>
      <c r="BH92" s="674"/>
      <c r="BI92" s="462" t="s">
        <v>900</v>
      </c>
      <c r="BJ92" s="462"/>
    </row>
    <row r="93" spans="1:62" s="838" customFormat="1" ht="25.35" customHeight="1" x14ac:dyDescent="0.15">
      <c r="A93" s="60"/>
      <c r="B93" s="326"/>
      <c r="C93" s="366"/>
      <c r="D93" s="60"/>
      <c r="E93" s="461">
        <v>15</v>
      </c>
      <c r="F93" s="17" t="str" cm="1">
        <f t="array" ref="F93">X93</f>
        <v>3</v>
      </c>
      <c r="G93" s="17"/>
      <c r="H93" s="17"/>
      <c r="I93" s="60"/>
      <c r="J93" s="60"/>
      <c r="K93" s="60"/>
      <c r="L93" s="60"/>
      <c r="M93" s="60"/>
      <c r="N93" s="60"/>
      <c r="O93" s="60"/>
      <c r="P93" s="60"/>
      <c r="Q93" s="60"/>
      <c r="R93" s="60"/>
      <c r="S93" s="60"/>
      <c r="T93" s="353" t="b">
        <f>X93&gt;0</f>
        <v>1</v>
      </c>
      <c r="U93" s="60"/>
      <c r="V93" s="60" t="str" cm="1">
        <f t="array" ref="V93">'Сырье и материалы'!$AB$44</f>
        <v>Тариф 3 (Водоотведение) - тариф на транспортировку сточных вод</v>
      </c>
      <c r="W93" s="60"/>
      <c r="X93" s="964" t="s">
        <v>291</v>
      </c>
      <c r="Y93" s="60"/>
      <c r="Z93" s="992"/>
      <c r="AA93" s="60"/>
      <c r="AB93" s="97" t="str" cm="1">
        <f t="array" ref="AB93">'Сырье и материалы'!$AB$44</f>
        <v>Тариф 3 (Водоотведение) - тариф на транспортировку сточных вод</v>
      </c>
      <c r="AC93" s="94"/>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60"/>
      <c r="BE93" s="60"/>
      <c r="BF93" s="669"/>
      <c r="BG93" s="669"/>
      <c r="BH93" s="669"/>
      <c r="BI93" s="459"/>
      <c r="BJ93" s="459"/>
    </row>
    <row r="94" spans="1:62" s="326" customFormat="1" ht="33.75" customHeight="1" x14ac:dyDescent="0.15">
      <c r="A94" s="62"/>
      <c r="C94" s="364"/>
      <c r="D94" s="366"/>
      <c r="E94" s="179">
        <v>11.25</v>
      </c>
      <c r="F94" s="3" t="str" cm="1">
        <f t="array" aca="1" ref="F94" ca="1">OFFSET(E94,-1,1)</f>
        <v>3</v>
      </c>
      <c r="G94" s="42" t="s">
        <v>331</v>
      </c>
      <c r="H94" s="42"/>
      <c r="I94" s="62"/>
      <c r="J94" s="62"/>
      <c r="K94" s="364" t="str">
        <f ca="1">F94&amp;"komm"</f>
        <v>3komm</v>
      </c>
      <c r="L94" s="607" t="str" cm="1">
        <f t="array" ref="L94">BC94</f>
        <v>П. 16 (в), 91,95 Методических указаний ФСТ № 1746-э.</v>
      </c>
      <c r="M94" s="62"/>
      <c r="N94" s="62"/>
      <c r="O94" s="62"/>
      <c r="P94" s="62"/>
      <c r="Q94" s="62"/>
      <c r="R94" s="62"/>
      <c r="S94" s="62"/>
      <c r="T94" s="353" t="b" cm="1">
        <f t="array" ref="T94">T93</f>
        <v>1</v>
      </c>
      <c r="U94" s="62"/>
      <c r="V94" s="62"/>
      <c r="W94" s="62"/>
      <c r="X94" s="964"/>
      <c r="Y94" s="62"/>
      <c r="Z94" s="992"/>
      <c r="AA94" s="62"/>
      <c r="AB94" s="8" t="s">
        <v>275</v>
      </c>
      <c r="AC94" s="54" t="s">
        <v>827</v>
      </c>
      <c r="AD94" s="8" t="s">
        <v>828</v>
      </c>
      <c r="AE94" s="58">
        <f t="shared" ref="AE94:BB94" si="25">IF(COUNTIF(AE99:AE115,"Ошибка")&gt;0,"Ошибка",SUMIF($AD99:$AD115,$AD94,AE99:AE115))</f>
        <v>4118.42</v>
      </c>
      <c r="AF94" s="58">
        <f t="shared" si="25"/>
        <v>4272.4124135077</v>
      </c>
      <c r="AG94" s="58">
        <f t="shared" si="25"/>
        <v>3891.2199667892</v>
      </c>
      <c r="AH94" s="58">
        <f t="shared" si="25"/>
        <v>4193.6099999999997</v>
      </c>
      <c r="AI94" s="58">
        <f t="shared" si="25"/>
        <v>4842.2209178392004</v>
      </c>
      <c r="AJ94" s="58">
        <f t="shared" si="25"/>
        <v>0</v>
      </c>
      <c r="AK94" s="58">
        <f t="shared" si="25"/>
        <v>0</v>
      </c>
      <c r="AL94" s="58">
        <f t="shared" si="25"/>
        <v>0</v>
      </c>
      <c r="AM94" s="58">
        <f t="shared" si="25"/>
        <v>0</v>
      </c>
      <c r="AN94" s="58">
        <f t="shared" si="25"/>
        <v>0</v>
      </c>
      <c r="AO94" s="58">
        <f t="shared" si="25"/>
        <v>0</v>
      </c>
      <c r="AP94" s="58">
        <f t="shared" si="25"/>
        <v>0</v>
      </c>
      <c r="AQ94" s="58">
        <f t="shared" si="25"/>
        <v>0</v>
      </c>
      <c r="AR94" s="58">
        <f t="shared" si="25"/>
        <v>0</v>
      </c>
      <c r="AS94" s="58">
        <f t="shared" si="25"/>
        <v>4245.9698580841005</v>
      </c>
      <c r="AT94" s="58" t="str">
        <f t="shared" si="25"/>
        <v>Ошибка</v>
      </c>
      <c r="AU94" s="58" t="str">
        <f t="shared" si="25"/>
        <v>Ошибка</v>
      </c>
      <c r="AV94" s="58">
        <f t="shared" si="25"/>
        <v>0</v>
      </c>
      <c r="AW94" s="58">
        <f t="shared" si="25"/>
        <v>0</v>
      </c>
      <c r="AX94" s="58">
        <f t="shared" si="25"/>
        <v>0</v>
      </c>
      <c r="AY94" s="58">
        <f t="shared" si="25"/>
        <v>0</v>
      </c>
      <c r="AZ94" s="58">
        <f t="shared" si="25"/>
        <v>0</v>
      </c>
      <c r="BA94" s="58">
        <f t="shared" si="25"/>
        <v>0</v>
      </c>
      <c r="BB94" s="58">
        <f t="shared" si="25"/>
        <v>0</v>
      </c>
      <c r="BC94" s="113" t="s">
        <v>921</v>
      </c>
      <c r="BD94" s="62"/>
      <c r="BE94" s="62"/>
      <c r="BF94" s="678" t="s">
        <v>877</v>
      </c>
      <c r="BG94" s="678"/>
      <c r="BH94" s="678"/>
      <c r="BI94" s="179"/>
      <c r="BJ94" s="179"/>
    </row>
    <row r="95" spans="1:62" s="326" customFormat="1" ht="49.15" customHeight="1" x14ac:dyDescent="0.15">
      <c r="A95" s="62"/>
      <c r="C95" s="364"/>
      <c r="D95" s="62"/>
      <c r="E95" s="179">
        <v>11.25</v>
      </c>
      <c r="F95" s="3" t="str" cm="1">
        <f t="array" aca="1" ref="F95" ca="1">OFFSET(E95,-1,1)</f>
        <v>3</v>
      </c>
      <c r="G95" s="42" t="s">
        <v>332</v>
      </c>
      <c r="H95" s="42"/>
      <c r="I95" s="62"/>
      <c r="J95" s="62"/>
      <c r="K95" s="62"/>
      <c r="L95" s="62"/>
      <c r="M95" s="62"/>
      <c r="N95" s="62"/>
      <c r="O95" s="62"/>
      <c r="P95" s="62"/>
      <c r="Q95" s="62"/>
      <c r="R95" s="62"/>
      <c r="S95" s="62"/>
      <c r="T95" s="353" t="b" cm="1">
        <f t="array" ref="T95">T94</f>
        <v>1</v>
      </c>
      <c r="U95" s="62"/>
      <c r="V95" s="62"/>
      <c r="W95" s="62"/>
      <c r="X95" s="964"/>
      <c r="Y95" s="62"/>
      <c r="Z95" s="992"/>
      <c r="AA95" s="62"/>
      <c r="AB95" s="8" t="s">
        <v>285</v>
      </c>
      <c r="AC95" s="54" t="s">
        <v>878</v>
      </c>
      <c r="AD95" s="11" t="s">
        <v>879</v>
      </c>
      <c r="AE95" s="58">
        <f>SUMIF(AD99:AD115,AD95,AE99:AE115)</f>
        <v>1032.6300000000001</v>
      </c>
      <c r="AF95" s="58">
        <f>SUMIF(AD99:AD115,AD95,AF99:AF115)</f>
        <v>1074.3567931580001</v>
      </c>
      <c r="AG95" s="58">
        <f>SUMIF(AD99:AD115,AD95,AG99:AG115)</f>
        <v>978.50323047999996</v>
      </c>
      <c r="AH95" s="58">
        <f>SUMIF(AD99:AD115,AD95,AH99:AH115)</f>
        <v>1020.23</v>
      </c>
      <c r="AI95" s="58">
        <f>SUMIF(AD99:AD115,AD95,AI99:AI115)</f>
        <v>1106.544768</v>
      </c>
      <c r="AJ95" s="58">
        <f>SUMIF(AD99:AD115,AD95,AJ99:AJ115)</f>
        <v>0</v>
      </c>
      <c r="AK95" s="58">
        <f>SUMIF(AD99:AD115,AD95,AK99:AK115)</f>
        <v>0</v>
      </c>
      <c r="AL95" s="58">
        <f>SUMIF(AD99:AD115,AD95,AL99:AL115)</f>
        <v>0</v>
      </c>
      <c r="AM95" s="58">
        <f>SUMIF(AD99:AD115,AD95,AM99:AM115)</f>
        <v>0</v>
      </c>
      <c r="AN95" s="58">
        <f>SUMIF(AD99:AD115,AD95,AN99:AN115)</f>
        <v>0</v>
      </c>
      <c r="AO95" s="58">
        <f>SUMIF(AD99:AD115,AD95,AO99:AO115)</f>
        <v>0</v>
      </c>
      <c r="AP95" s="58">
        <f>SUMIF(AD99:AD115,AD95,AP99:AP115)</f>
        <v>0</v>
      </c>
      <c r="AQ95" s="58">
        <f>SUMIF(AD99:AD115,AD95,AQ99:AQ115)</f>
        <v>0</v>
      </c>
      <c r="AR95" s="58">
        <f>SUMIF(AD99:AD115,AD95,AR99:AR115)</f>
        <v>0</v>
      </c>
      <c r="AS95" s="58">
        <f>SUMIF(AD99:AD115,AD95,AS99:AS115)</f>
        <v>935.01513120000004</v>
      </c>
      <c r="AT95" s="58">
        <f>SUMIF(AD99:AD115,AD95,AT99:AT115)</f>
        <v>935.01513120000004</v>
      </c>
      <c r="AU95" s="58">
        <f>SUMIF(AD99:AD115,AD95,AU99:AU115)</f>
        <v>935.01513120000004</v>
      </c>
      <c r="AV95" s="58">
        <f>SUMIF(AD99:AD115,AD95,AV99:AV115)</f>
        <v>0</v>
      </c>
      <c r="AW95" s="58">
        <f>SUMIF(AD99:AD115,AD95,AW99:AW115)</f>
        <v>0</v>
      </c>
      <c r="AX95" s="58">
        <f>SUMIF(AD99:AD115,AD95,AX99:AX115)</f>
        <v>0</v>
      </c>
      <c r="AY95" s="58">
        <f>SUMIF(AD99:AD115,AD95,AY99:AY115)</f>
        <v>0</v>
      </c>
      <c r="AZ95" s="58">
        <f>SUMIF(AD99:AD115,AD95,AZ99:AZ115)</f>
        <v>0</v>
      </c>
      <c r="BA95" s="58">
        <f>SUMIF(AD99:AD115,AD95,BA99:BA115)</f>
        <v>0</v>
      </c>
      <c r="BB95" s="58">
        <f>SUMIF(AD99:AD115,AD95,BB99:BB115)</f>
        <v>0</v>
      </c>
      <c r="BC95" s="113" t="s">
        <v>922</v>
      </c>
      <c r="BD95" s="62"/>
      <c r="BE95" s="62"/>
      <c r="BF95" s="678" t="s">
        <v>880</v>
      </c>
      <c r="BG95" s="678"/>
      <c r="BH95" s="678"/>
      <c r="BI95" s="179"/>
      <c r="BJ95" s="179"/>
    </row>
    <row r="96" spans="1:62" s="326" customFormat="1" ht="26.65" customHeight="1" x14ac:dyDescent="0.15">
      <c r="A96" s="62"/>
      <c r="C96" s="364"/>
      <c r="D96" s="62"/>
      <c r="E96" s="179">
        <v>11.25</v>
      </c>
      <c r="F96" s="3" t="str" cm="1">
        <f t="array" aca="1" ref="F96" ca="1">OFFSET(E96,-1,1)</f>
        <v>3</v>
      </c>
      <c r="G96" s="42" t="s">
        <v>333</v>
      </c>
      <c r="H96" s="42"/>
      <c r="I96" s="62"/>
      <c r="J96" s="62"/>
      <c r="K96" s="62"/>
      <c r="L96" s="62"/>
      <c r="M96" s="62"/>
      <c r="N96" s="62"/>
      <c r="O96" s="62"/>
      <c r="P96" s="62"/>
      <c r="Q96" s="62"/>
      <c r="R96" s="62"/>
      <c r="S96" s="62"/>
      <c r="T96" s="353" t="b" cm="1">
        <f t="array" ref="T96">T95</f>
        <v>1</v>
      </c>
      <c r="U96" s="62"/>
      <c r="V96" s="62"/>
      <c r="W96" s="62"/>
      <c r="X96" s="964"/>
      <c r="Y96" s="62"/>
      <c r="Z96" s="992"/>
      <c r="AA96" s="62"/>
      <c r="AB96" s="8" t="s">
        <v>291</v>
      </c>
      <c r="AC96" s="54" t="s">
        <v>881</v>
      </c>
      <c r="AD96" s="11" t="s">
        <v>882</v>
      </c>
      <c r="AE96" s="152">
        <v>51631.311000000002</v>
      </c>
      <c r="AF96" s="152">
        <v>48925.161524000003</v>
      </c>
      <c r="AG96" s="152">
        <v>48925.161524000003</v>
      </c>
      <c r="AH96" s="152">
        <v>51011.618589999998</v>
      </c>
      <c r="AI96" s="152">
        <v>52692.608</v>
      </c>
      <c r="AJ96" s="852"/>
      <c r="AK96" s="852"/>
      <c r="AL96" s="152"/>
      <c r="AM96" s="152"/>
      <c r="AN96" s="152"/>
      <c r="AO96" s="152"/>
      <c r="AP96" s="152"/>
      <c r="AQ96" s="152"/>
      <c r="AR96" s="152"/>
      <c r="AS96" s="152">
        <v>46750.756560000002</v>
      </c>
      <c r="AT96" s="852" cm="1">
        <f t="array" ref="AT96">AS96</f>
        <v>46750.756560000002</v>
      </c>
      <c r="AU96" s="852" cm="1">
        <f t="array" ref="AU96">AT96</f>
        <v>46750.756560000002</v>
      </c>
      <c r="AV96" s="152"/>
      <c r="AW96" s="152"/>
      <c r="AX96" s="152"/>
      <c r="AY96" s="152"/>
      <c r="AZ96" s="152"/>
      <c r="BA96" s="152"/>
      <c r="BB96" s="152"/>
      <c r="BC96" s="113"/>
      <c r="BD96" s="62"/>
      <c r="BE96" s="62"/>
      <c r="BF96" s="678" t="s">
        <v>883</v>
      </c>
      <c r="BG96" s="678"/>
      <c r="BH96" s="678"/>
      <c r="BI96" s="179"/>
      <c r="BJ96" s="179"/>
    </row>
    <row r="97" spans="1:62" s="326" customFormat="1" ht="29.1" customHeight="1" x14ac:dyDescent="0.15">
      <c r="A97" s="62"/>
      <c r="C97" s="364"/>
      <c r="D97" s="62"/>
      <c r="E97" s="179">
        <v>11.25</v>
      </c>
      <c r="F97" s="3" t="str" cm="1">
        <f t="array" aca="1" ref="F97" ca="1">OFFSET(E97,-1,1)</f>
        <v>3</v>
      </c>
      <c r="G97" s="42" t="s">
        <v>335</v>
      </c>
      <c r="H97" s="42"/>
      <c r="I97" s="62"/>
      <c r="J97" s="62"/>
      <c r="K97" s="62"/>
      <c r="L97" s="62"/>
      <c r="M97" s="62"/>
      <c r="N97" s="62"/>
      <c r="O97" s="62"/>
      <c r="P97" s="62"/>
      <c r="Q97" s="62"/>
      <c r="R97" s="62"/>
      <c r="S97" s="62"/>
      <c r="T97" s="353" t="b" cm="1">
        <f t="array" ref="T97">T96</f>
        <v>1</v>
      </c>
      <c r="U97" s="62"/>
      <c r="V97" s="62"/>
      <c r="W97" s="62"/>
      <c r="X97" s="964"/>
      <c r="Y97" s="62"/>
      <c r="Z97" s="992"/>
      <c r="AA97" s="62"/>
      <c r="AB97" s="8" t="s">
        <v>454</v>
      </c>
      <c r="AC97" s="54" t="s">
        <v>884</v>
      </c>
      <c r="AD97" s="11" t="s">
        <v>885</v>
      </c>
      <c r="AE97" s="58">
        <f t="shared" ref="AE97:BB97" si="26">IF(AE95=0,0,AE94/AE95)</f>
        <v>3.98828234701684</v>
      </c>
      <c r="AF97" s="58">
        <f t="shared" si="26"/>
        <v>3.976716525381879</v>
      </c>
      <c r="AG97" s="58">
        <f t="shared" si="26"/>
        <v>3.9767063056913785</v>
      </c>
      <c r="AH97" s="58">
        <f t="shared" si="26"/>
        <v>4.1104554855277726</v>
      </c>
      <c r="AI97" s="58">
        <f t="shared" si="26"/>
        <v>4.3759828412466009</v>
      </c>
      <c r="AJ97" s="58">
        <f t="shared" si="26"/>
        <v>0</v>
      </c>
      <c r="AK97" s="58">
        <f t="shared" si="26"/>
        <v>0</v>
      </c>
      <c r="AL97" s="58">
        <f t="shared" si="26"/>
        <v>0</v>
      </c>
      <c r="AM97" s="58">
        <f t="shared" si="26"/>
        <v>0</v>
      </c>
      <c r="AN97" s="58">
        <f t="shared" si="26"/>
        <v>0</v>
      </c>
      <c r="AO97" s="58">
        <f t="shared" si="26"/>
        <v>0</v>
      </c>
      <c r="AP97" s="58">
        <f t="shared" si="26"/>
        <v>0</v>
      </c>
      <c r="AQ97" s="58">
        <f t="shared" si="26"/>
        <v>0</v>
      </c>
      <c r="AR97" s="58">
        <f t="shared" si="26"/>
        <v>0</v>
      </c>
      <c r="AS97" s="58">
        <f t="shared" si="26"/>
        <v>4.5410707446357748</v>
      </c>
      <c r="AT97" s="58" t="e">
        <f t="shared" si="26"/>
        <v>#VALUE!</v>
      </c>
      <c r="AU97" s="58" t="e">
        <f t="shared" si="26"/>
        <v>#VALUE!</v>
      </c>
      <c r="AV97" s="58">
        <f t="shared" si="26"/>
        <v>0</v>
      </c>
      <c r="AW97" s="58">
        <f t="shared" si="26"/>
        <v>0</v>
      </c>
      <c r="AX97" s="58">
        <f t="shared" si="26"/>
        <v>0</v>
      </c>
      <c r="AY97" s="58">
        <f t="shared" si="26"/>
        <v>0</v>
      </c>
      <c r="AZ97" s="58">
        <f t="shared" si="26"/>
        <v>0</v>
      </c>
      <c r="BA97" s="58">
        <f t="shared" si="26"/>
        <v>0</v>
      </c>
      <c r="BB97" s="58">
        <f t="shared" si="26"/>
        <v>0</v>
      </c>
      <c r="BC97" s="113"/>
      <c r="BD97" s="62"/>
      <c r="BE97" s="62"/>
      <c r="BF97" s="678" t="s">
        <v>886</v>
      </c>
      <c r="BG97" s="678"/>
      <c r="BH97" s="678"/>
      <c r="BI97" s="179"/>
      <c r="BJ97" s="179"/>
    </row>
    <row r="98" spans="1:62" s="326" customFormat="1" ht="48.6" customHeight="1" x14ac:dyDescent="0.15">
      <c r="A98" s="62"/>
      <c r="C98" s="364"/>
      <c r="D98" s="62"/>
      <c r="E98" s="179">
        <v>11.25</v>
      </c>
      <c r="F98" s="3" t="str" cm="1">
        <f t="array" aca="1" ref="F98" ca="1">OFFSET(E98,-1,1)</f>
        <v>3</v>
      </c>
      <c r="G98" s="42" t="s">
        <v>334</v>
      </c>
      <c r="H98" s="42"/>
      <c r="I98" s="62"/>
      <c r="J98" s="62"/>
      <c r="K98" s="62"/>
      <c r="L98" s="62"/>
      <c r="M98" s="62"/>
      <c r="N98" s="62"/>
      <c r="O98" s="62"/>
      <c r="P98" s="62"/>
      <c r="Q98" s="62"/>
      <c r="R98" s="62"/>
      <c r="S98" s="62"/>
      <c r="T98" s="353" t="b" cm="1">
        <f t="array" ref="T98">T97</f>
        <v>1</v>
      </c>
      <c r="U98" s="62"/>
      <c r="V98" s="62"/>
      <c r="W98" s="62"/>
      <c r="X98" s="964"/>
      <c r="Y98" s="62"/>
      <c r="Z98" s="992"/>
      <c r="AA98" s="62"/>
      <c r="AB98" s="8" t="s">
        <v>460</v>
      </c>
      <c r="AC98" s="54" t="s">
        <v>887</v>
      </c>
      <c r="AD98" s="11" t="s">
        <v>888</v>
      </c>
      <c r="AE98" s="223">
        <f t="shared" ref="AE98:BB98" si="27">IF(AE96=0,0,AE95/AE96)</f>
        <v>2.0000073211389115E-2</v>
      </c>
      <c r="AF98" s="223">
        <f t="shared" si="27"/>
        <v>2.1959187454720603E-2</v>
      </c>
      <c r="AG98" s="223">
        <f t="shared" si="27"/>
        <v>1.9999999999999997E-2</v>
      </c>
      <c r="AH98" s="223">
        <f t="shared" si="27"/>
        <v>1.9999953504709997E-2</v>
      </c>
      <c r="AI98" s="223">
        <f t="shared" si="27"/>
        <v>2.0999999999999998E-2</v>
      </c>
      <c r="AJ98" s="223">
        <f t="shared" si="27"/>
        <v>0</v>
      </c>
      <c r="AK98" s="223">
        <f t="shared" si="27"/>
        <v>0</v>
      </c>
      <c r="AL98" s="223">
        <f t="shared" si="27"/>
        <v>0</v>
      </c>
      <c r="AM98" s="223">
        <f t="shared" si="27"/>
        <v>0</v>
      </c>
      <c r="AN98" s="223">
        <f t="shared" si="27"/>
        <v>0</v>
      </c>
      <c r="AO98" s="223">
        <f t="shared" si="27"/>
        <v>0</v>
      </c>
      <c r="AP98" s="223">
        <f t="shared" si="27"/>
        <v>0</v>
      </c>
      <c r="AQ98" s="223">
        <f t="shared" si="27"/>
        <v>0</v>
      </c>
      <c r="AR98" s="223">
        <f t="shared" si="27"/>
        <v>0</v>
      </c>
      <c r="AS98" s="223">
        <f t="shared" si="27"/>
        <v>0.02</v>
      </c>
      <c r="AT98" s="223">
        <f t="shared" si="27"/>
        <v>0.02</v>
      </c>
      <c r="AU98" s="223">
        <f t="shared" si="27"/>
        <v>0.02</v>
      </c>
      <c r="AV98" s="223">
        <f t="shared" si="27"/>
        <v>0</v>
      </c>
      <c r="AW98" s="223">
        <f t="shared" si="27"/>
        <v>0</v>
      </c>
      <c r="AX98" s="223">
        <f t="shared" si="27"/>
        <v>0</v>
      </c>
      <c r="AY98" s="223">
        <f t="shared" si="27"/>
        <v>0</v>
      </c>
      <c r="AZ98" s="223">
        <f t="shared" si="27"/>
        <v>0</v>
      </c>
      <c r="BA98" s="223">
        <f t="shared" si="27"/>
        <v>0</v>
      </c>
      <c r="BB98" s="223">
        <f t="shared" si="27"/>
        <v>0</v>
      </c>
      <c r="BC98" s="113" t="s">
        <v>539</v>
      </c>
      <c r="BD98" s="62"/>
      <c r="BE98" s="62"/>
      <c r="BF98" s="678" t="s">
        <v>889</v>
      </c>
      <c r="BG98" s="678"/>
      <c r="BH98" s="678"/>
      <c r="BI98" s="179"/>
      <c r="BJ98" s="179"/>
    </row>
    <row r="99" spans="1:62" s="326" customFormat="1" ht="24.75" customHeight="1" x14ac:dyDescent="0.15">
      <c r="A99" s="62"/>
      <c r="C99" s="364"/>
      <c r="D99" s="62"/>
      <c r="E99" s="179">
        <v>13</v>
      </c>
      <c r="F99" s="3" t="str" cm="1">
        <f t="array" aca="1" ref="F99" ca="1">OFFSET(E99,-1,1)</f>
        <v>3</v>
      </c>
      <c r="G99" s="42"/>
      <c r="H99" s="42"/>
      <c r="I99" s="62"/>
      <c r="J99" s="62"/>
      <c r="K99" s="62"/>
      <c r="L99" s="62"/>
      <c r="M99" s="62"/>
      <c r="N99" s="62"/>
      <c r="O99" s="62"/>
      <c r="P99" s="62"/>
      <c r="Q99" s="62"/>
      <c r="R99" s="62"/>
      <c r="S99" s="62"/>
      <c r="T99" s="353" t="b" cm="1">
        <f t="array" ref="T99">T98</f>
        <v>1</v>
      </c>
      <c r="U99" s="62"/>
      <c r="V99" s="62"/>
      <c r="W99" s="62"/>
      <c r="X99" s="964"/>
      <c r="Y99" s="62"/>
      <c r="Z99" s="992"/>
      <c r="AA99" s="62"/>
      <c r="AB99" s="476"/>
      <c r="AC99" s="178" t="s">
        <v>890</v>
      </c>
      <c r="AD99" s="179"/>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1"/>
      <c r="BD99" s="62"/>
      <c r="BE99" s="62"/>
      <c r="BF99" s="678"/>
      <c r="BG99" s="678"/>
      <c r="BH99" s="678"/>
      <c r="BI99" s="179"/>
      <c r="BJ99" s="179"/>
    </row>
    <row r="100" spans="1:62" s="326" customFormat="1" ht="10.5" hidden="1" customHeight="1" x14ac:dyDescent="0.15">
      <c r="A100" s="62"/>
      <c r="C100" s="364"/>
      <c r="D100" s="62"/>
      <c r="E100" s="179">
        <v>11.25</v>
      </c>
      <c r="F100" s="3" t="str" cm="1">
        <f t="array" aca="1" ref="F100" ca="1">OFFSET(E100,-1,1)</f>
        <v>3</v>
      </c>
      <c r="G100" s="42" t="s">
        <v>532</v>
      </c>
      <c r="H100" s="42" cm="1">
        <f t="array" ref="H100">AC100</f>
        <v>0</v>
      </c>
      <c r="I100" s="62"/>
      <c r="J100" s="62"/>
      <c r="K100" s="62"/>
      <c r="L100" s="62"/>
      <c r="M100" s="62"/>
      <c r="N100" s="62"/>
      <c r="O100" s="62"/>
      <c r="P100" s="62"/>
      <c r="Q100" s="62"/>
      <c r="R100" s="62"/>
      <c r="S100" s="62"/>
      <c r="T100" s="353" t="b">
        <f ca="1">AND(F100&gt;0,Y100&gt;0)</f>
        <v>0</v>
      </c>
      <c r="U100" s="62"/>
      <c r="V100" s="62"/>
      <c r="W100" s="517" t="s">
        <v>172</v>
      </c>
      <c r="X100" s="964"/>
      <c r="Y100" s="964">
        <v>0</v>
      </c>
      <c r="Z100" s="992"/>
      <c r="AA100" s="913" t="s">
        <v>173</v>
      </c>
      <c r="AB100" s="8" t="str">
        <f>"6."&amp;Y100</f>
        <v>6.0</v>
      </c>
      <c r="AC100" s="851"/>
      <c r="AD100" s="8" t="s">
        <v>828</v>
      </c>
      <c r="AE100" s="820"/>
      <c r="AF100" s="820"/>
      <c r="AG100" s="820"/>
      <c r="AH100" s="820"/>
      <c r="AI100" s="57"/>
      <c r="AJ100" s="820"/>
      <c r="AK100" s="820"/>
      <c r="AL100" s="820"/>
      <c r="AM100" s="820"/>
      <c r="AN100" s="820"/>
      <c r="AO100" s="820"/>
      <c r="AP100" s="820"/>
      <c r="AQ100" s="820"/>
      <c r="AR100" s="820"/>
      <c r="AS100" s="57"/>
      <c r="AT100" s="820"/>
      <c r="AU100" s="820"/>
      <c r="AV100" s="820"/>
      <c r="AW100" s="820"/>
      <c r="AX100" s="820"/>
      <c r="AY100" s="820"/>
      <c r="AZ100" s="820"/>
      <c r="BA100" s="820"/>
      <c r="BB100" s="820"/>
      <c r="BC100" s="826"/>
      <c r="BD100" s="62"/>
      <c r="BE100" s="62"/>
      <c r="BF100" s="678" t="s">
        <v>891</v>
      </c>
      <c r="BG100" s="678" t="s">
        <v>892</v>
      </c>
      <c r="BH100" s="678" cm="1">
        <f t="array" ref="BH100">AC100</f>
        <v>0</v>
      </c>
      <c r="BI100" s="179"/>
      <c r="BJ100" s="179" t="b">
        <v>1</v>
      </c>
    </row>
    <row r="101" spans="1:62" s="326" customFormat="1" ht="10.5" hidden="1" customHeight="1" x14ac:dyDescent="0.15">
      <c r="A101" s="62"/>
      <c r="C101" s="364"/>
      <c r="D101" s="62"/>
      <c r="E101" s="179">
        <v>11.25</v>
      </c>
      <c r="F101" s="3" t="str" cm="1">
        <f t="array" aca="1" ref="F101" ca="1">OFFSET(E101,-1,1)</f>
        <v>3</v>
      </c>
      <c r="G101" s="42" t="s">
        <v>696</v>
      </c>
      <c r="H101" s="42" cm="1">
        <f t="array" ref="H101">H100</f>
        <v>0</v>
      </c>
      <c r="I101" s="62"/>
      <c r="J101" s="62"/>
      <c r="K101" s="62"/>
      <c r="L101" s="62"/>
      <c r="M101" s="62"/>
      <c r="N101" s="62"/>
      <c r="O101" s="62"/>
      <c r="P101" s="62"/>
      <c r="Q101" s="62"/>
      <c r="R101" s="62"/>
      <c r="S101" s="62"/>
      <c r="T101" s="353" t="b" cm="1">
        <f t="array" aca="1" ref="T101" ca="1">T100</f>
        <v>0</v>
      </c>
      <c r="U101" s="62"/>
      <c r="V101" s="62"/>
      <c r="W101" s="62"/>
      <c r="X101" s="964"/>
      <c r="Y101" s="964"/>
      <c r="Z101" s="992"/>
      <c r="AA101" s="913"/>
      <c r="AB101" s="8" t="str">
        <f>AB100&amp;".1"</f>
        <v>6.0.1</v>
      </c>
      <c r="AC101" s="105" t="s">
        <v>893</v>
      </c>
      <c r="AD101" s="11" t="s">
        <v>885</v>
      </c>
      <c r="AE101" s="58">
        <f t="shared" ref="AE101:BB101" si="28">IF(OR(AND(AE100&lt;&gt;0,AE102=0),AND(AE100=0,AE102&lt;&gt;0)),"Ошибка",IF(AE102=0,0,AE100/AE102))</f>
        <v>0</v>
      </c>
      <c r="AF101" s="58">
        <f t="shared" si="28"/>
        <v>0</v>
      </c>
      <c r="AG101" s="58">
        <f t="shared" si="28"/>
        <v>0</v>
      </c>
      <c r="AH101" s="58">
        <f t="shared" si="28"/>
        <v>0</v>
      </c>
      <c r="AI101" s="58">
        <f t="shared" si="28"/>
        <v>0</v>
      </c>
      <c r="AJ101" s="58">
        <f t="shared" si="28"/>
        <v>0</v>
      </c>
      <c r="AK101" s="58">
        <f t="shared" si="28"/>
        <v>0</v>
      </c>
      <c r="AL101" s="58">
        <f t="shared" si="28"/>
        <v>0</v>
      </c>
      <c r="AM101" s="58">
        <f t="shared" si="28"/>
        <v>0</v>
      </c>
      <c r="AN101" s="58">
        <f t="shared" si="28"/>
        <v>0</v>
      </c>
      <c r="AO101" s="58">
        <f t="shared" si="28"/>
        <v>0</v>
      </c>
      <c r="AP101" s="58">
        <f t="shared" si="28"/>
        <v>0</v>
      </c>
      <c r="AQ101" s="58">
        <f t="shared" si="28"/>
        <v>0</v>
      </c>
      <c r="AR101" s="58">
        <f t="shared" si="28"/>
        <v>0</v>
      </c>
      <c r="AS101" s="58">
        <f t="shared" si="28"/>
        <v>0</v>
      </c>
      <c r="AT101" s="58">
        <f t="shared" si="28"/>
        <v>0</v>
      </c>
      <c r="AU101" s="58">
        <f t="shared" si="28"/>
        <v>0</v>
      </c>
      <c r="AV101" s="58">
        <f t="shared" si="28"/>
        <v>0</v>
      </c>
      <c r="AW101" s="58">
        <f t="shared" si="28"/>
        <v>0</v>
      </c>
      <c r="AX101" s="58">
        <f t="shared" si="28"/>
        <v>0</v>
      </c>
      <c r="AY101" s="58">
        <f t="shared" si="28"/>
        <v>0</v>
      </c>
      <c r="AZ101" s="58">
        <f t="shared" si="28"/>
        <v>0</v>
      </c>
      <c r="BA101" s="58">
        <f t="shared" si="28"/>
        <v>0</v>
      </c>
      <c r="BB101" s="58">
        <f t="shared" si="28"/>
        <v>0</v>
      </c>
      <c r="BC101" s="826"/>
      <c r="BD101" s="62"/>
      <c r="BE101" s="62"/>
      <c r="BF101" s="678" t="s">
        <v>894</v>
      </c>
      <c r="BG101" s="678" t="s">
        <v>892</v>
      </c>
      <c r="BH101" s="678" cm="1">
        <f t="array" ref="BH101">BH100</f>
        <v>0</v>
      </c>
      <c r="BI101" s="179"/>
      <c r="BJ101" s="179"/>
    </row>
    <row r="102" spans="1:62" s="326" customFormat="1" ht="10.5" hidden="1" customHeight="1" x14ac:dyDescent="0.15">
      <c r="A102" s="62"/>
      <c r="C102" s="364"/>
      <c r="D102" s="62"/>
      <c r="E102" s="179">
        <v>11.25</v>
      </c>
      <c r="F102" s="3" t="str" cm="1">
        <f t="array" aca="1" ref="F102" ca="1">OFFSET(E102,-1,1)</f>
        <v>3</v>
      </c>
      <c r="G102" s="42" t="s">
        <v>699</v>
      </c>
      <c r="H102" s="42" cm="1">
        <f t="array" ref="H102">H101</f>
        <v>0</v>
      </c>
      <c r="I102" s="62"/>
      <c r="J102" s="62"/>
      <c r="K102" s="62"/>
      <c r="L102" s="62"/>
      <c r="M102" s="62"/>
      <c r="N102" s="62"/>
      <c r="O102" s="62"/>
      <c r="P102" s="62"/>
      <c r="Q102" s="62"/>
      <c r="R102" s="62"/>
      <c r="S102" s="62"/>
      <c r="T102" s="353" t="b" cm="1">
        <f t="array" aca="1" ref="T102" ca="1">T101</f>
        <v>0</v>
      </c>
      <c r="U102" s="62"/>
      <c r="V102" s="62"/>
      <c r="W102" s="62"/>
      <c r="X102" s="964"/>
      <c r="Y102" s="964"/>
      <c r="Z102" s="992"/>
      <c r="AA102" s="913"/>
      <c r="AB102" s="8" t="str">
        <f>AB100&amp;".2"</f>
        <v>6.0.2</v>
      </c>
      <c r="AC102" s="105" t="s">
        <v>895</v>
      </c>
      <c r="AD102" s="11" t="s">
        <v>879</v>
      </c>
      <c r="AE102" s="820"/>
      <c r="AF102" s="820"/>
      <c r="AG102" s="820"/>
      <c r="AH102" s="820"/>
      <c r="AI102" s="57"/>
      <c r="AJ102" s="820"/>
      <c r="AK102" s="820"/>
      <c r="AL102" s="820"/>
      <c r="AM102" s="820"/>
      <c r="AN102" s="820"/>
      <c r="AO102" s="820"/>
      <c r="AP102" s="820"/>
      <c r="AQ102" s="820"/>
      <c r="AR102" s="820"/>
      <c r="AS102" s="57"/>
      <c r="AT102" s="820"/>
      <c r="AU102" s="820"/>
      <c r="AV102" s="820"/>
      <c r="AW102" s="820"/>
      <c r="AX102" s="820"/>
      <c r="AY102" s="820"/>
      <c r="AZ102" s="820"/>
      <c r="BA102" s="820"/>
      <c r="BB102" s="820"/>
      <c r="BC102" s="826"/>
      <c r="BD102" s="62"/>
      <c r="BE102" s="62"/>
      <c r="BF102" s="678" t="s">
        <v>896</v>
      </c>
      <c r="BG102" s="678" t="s">
        <v>892</v>
      </c>
      <c r="BH102" s="678" cm="1">
        <f t="array" ref="BH102">BH101</f>
        <v>0</v>
      </c>
      <c r="BI102" s="179"/>
      <c r="BJ102" s="179"/>
    </row>
    <row r="103" spans="1:62" s="326" customFormat="1" ht="34.700000000000003" customHeight="1" x14ac:dyDescent="0.15">
      <c r="A103" s="62"/>
      <c r="C103" s="364"/>
      <c r="D103" s="62"/>
      <c r="E103" s="179">
        <v>11.25</v>
      </c>
      <c r="F103" s="3" t="str" cm="1">
        <f t="array" aca="1" ref="F103" ca="1">OFFSET(E103,-1,1)</f>
        <v>3</v>
      </c>
      <c r="G103" s="42" t="s">
        <v>532</v>
      </c>
      <c r="H103" s="42" t="str" cm="1">
        <f t="array" ref="H103">AC103</f>
        <v>СН2</v>
      </c>
      <c r="I103" s="62"/>
      <c r="J103" s="62"/>
      <c r="K103" s="62"/>
      <c r="L103" s="62"/>
      <c r="M103" s="62"/>
      <c r="N103" s="62"/>
      <c r="O103" s="62"/>
      <c r="P103" s="62"/>
      <c r="Q103" s="62"/>
      <c r="R103" s="62"/>
      <c r="S103" s="62"/>
      <c r="T103" s="353" t="b">
        <f ca="1">AND(F103&gt;0,Y103&gt;0)</f>
        <v>1</v>
      </c>
      <c r="U103" s="62"/>
      <c r="V103" s="62"/>
      <c r="W103" s="517"/>
      <c r="X103" s="964"/>
      <c r="Y103" s="964" t="s">
        <v>275</v>
      </c>
      <c r="Z103" s="992"/>
      <c r="AA103" s="913" t="s">
        <v>173</v>
      </c>
      <c r="AB103" s="8" t="str">
        <f>"6."&amp;Y103</f>
        <v>6.1</v>
      </c>
      <c r="AC103" s="112" t="s">
        <v>923</v>
      </c>
      <c r="AD103" s="8" t="s">
        <v>828</v>
      </c>
      <c r="AE103" s="57">
        <v>4118.42</v>
      </c>
      <c r="AF103" s="57">
        <v>4272.4124135077</v>
      </c>
      <c r="AG103" s="57">
        <v>3891.2199667892</v>
      </c>
      <c r="AH103" s="57">
        <v>4193.6099999999997</v>
      </c>
      <c r="AI103" s="57">
        <v>4842.2209178392004</v>
      </c>
      <c r="AJ103" s="820"/>
      <c r="AK103" s="820"/>
      <c r="AL103" s="57"/>
      <c r="AM103" s="57"/>
      <c r="AN103" s="57"/>
      <c r="AO103" s="57"/>
      <c r="AP103" s="57"/>
      <c r="AQ103" s="57"/>
      <c r="AR103" s="57"/>
      <c r="AS103" s="57">
        <v>4245.9698580841005</v>
      </c>
      <c r="AT103" s="820"/>
      <c r="AU103" s="820"/>
      <c r="AV103" s="57"/>
      <c r="AW103" s="57"/>
      <c r="AX103" s="57"/>
      <c r="AY103" s="57"/>
      <c r="AZ103" s="57"/>
      <c r="BA103" s="57"/>
      <c r="BB103" s="57"/>
      <c r="BC103" s="113" t="s">
        <v>924</v>
      </c>
      <c r="BD103" s="62"/>
      <c r="BE103" s="62"/>
      <c r="BF103" s="678" t="s">
        <v>891</v>
      </c>
      <c r="BG103" s="678" t="s">
        <v>892</v>
      </c>
      <c r="BH103" s="678" t="str" cm="1">
        <f t="array" ref="BH103">AC103</f>
        <v>СН2</v>
      </c>
      <c r="BI103" s="179"/>
      <c r="BJ103" s="179" t="b">
        <v>1</v>
      </c>
    </row>
    <row r="104" spans="1:62" s="326" customFormat="1" ht="43.5" customHeight="1" x14ac:dyDescent="0.15">
      <c r="A104" s="62"/>
      <c r="C104" s="364"/>
      <c r="D104" s="62"/>
      <c r="E104" s="179">
        <v>11.25</v>
      </c>
      <c r="F104" s="3" t="str" cm="1">
        <f t="array" aca="1" ref="F104" ca="1">OFFSET(E104,-1,1)</f>
        <v>3</v>
      </c>
      <c r="G104" s="42" t="s">
        <v>696</v>
      </c>
      <c r="H104" s="42" t="str" cm="1">
        <f t="array" ref="H104">H103</f>
        <v>СН2</v>
      </c>
      <c r="I104" s="62"/>
      <c r="J104" s="62"/>
      <c r="K104" s="62"/>
      <c r="L104" s="62"/>
      <c r="M104" s="62"/>
      <c r="N104" s="62"/>
      <c r="O104" s="62"/>
      <c r="P104" s="62"/>
      <c r="Q104" s="62"/>
      <c r="R104" s="62"/>
      <c r="S104" s="62"/>
      <c r="T104" s="353" t="b" cm="1">
        <f t="array" aca="1" ref="T104" ca="1">T103</f>
        <v>1</v>
      </c>
      <c r="U104" s="62"/>
      <c r="V104" s="62"/>
      <c r="W104" s="62"/>
      <c r="X104" s="964"/>
      <c r="Y104" s="964"/>
      <c r="Z104" s="992"/>
      <c r="AA104" s="913"/>
      <c r="AB104" s="8" t="str">
        <f>AB103&amp;".1"</f>
        <v>6.1.1</v>
      </c>
      <c r="AC104" s="105" t="s">
        <v>893</v>
      </c>
      <c r="AD104" s="11" t="s">
        <v>885</v>
      </c>
      <c r="AE104" s="58">
        <f t="shared" ref="AE104:BB104" si="29">IF(OR(AND(AE103&lt;&gt;0,AE105=0),AND(AE103=0,AE105&lt;&gt;0)),"Ошибка",IF(AE105=0,0,AE103/AE105))</f>
        <v>3.98828234701684</v>
      </c>
      <c r="AF104" s="58">
        <f t="shared" si="29"/>
        <v>3.976716525381879</v>
      </c>
      <c r="AG104" s="58">
        <f t="shared" si="29"/>
        <v>3.9767063056913785</v>
      </c>
      <c r="AH104" s="58">
        <f t="shared" si="29"/>
        <v>4.1104554855277726</v>
      </c>
      <c r="AI104" s="58">
        <f t="shared" si="29"/>
        <v>4.3759828412466009</v>
      </c>
      <c r="AJ104" s="58">
        <f t="shared" si="29"/>
        <v>0</v>
      </c>
      <c r="AK104" s="58">
        <f t="shared" si="29"/>
        <v>0</v>
      </c>
      <c r="AL104" s="58">
        <f t="shared" si="29"/>
        <v>0</v>
      </c>
      <c r="AM104" s="58">
        <f t="shared" si="29"/>
        <v>0</v>
      </c>
      <c r="AN104" s="58">
        <f t="shared" si="29"/>
        <v>0</v>
      </c>
      <c r="AO104" s="58">
        <f t="shared" si="29"/>
        <v>0</v>
      </c>
      <c r="AP104" s="58">
        <f t="shared" si="29"/>
        <v>0</v>
      </c>
      <c r="AQ104" s="58">
        <f t="shared" si="29"/>
        <v>0</v>
      </c>
      <c r="AR104" s="58">
        <f t="shared" si="29"/>
        <v>0</v>
      </c>
      <c r="AS104" s="58">
        <f t="shared" si="29"/>
        <v>4.5410707446357748</v>
      </c>
      <c r="AT104" s="58" t="str">
        <f t="shared" si="29"/>
        <v>Ошибка</v>
      </c>
      <c r="AU104" s="58" t="str">
        <f t="shared" si="29"/>
        <v>Ошибка</v>
      </c>
      <c r="AV104" s="58">
        <f t="shared" si="29"/>
        <v>0</v>
      </c>
      <c r="AW104" s="58">
        <f t="shared" si="29"/>
        <v>0</v>
      </c>
      <c r="AX104" s="58">
        <f t="shared" si="29"/>
        <v>0</v>
      </c>
      <c r="AY104" s="58">
        <f t="shared" si="29"/>
        <v>0</v>
      </c>
      <c r="AZ104" s="58">
        <f t="shared" si="29"/>
        <v>0</v>
      </c>
      <c r="BA104" s="58">
        <f t="shared" si="29"/>
        <v>0</v>
      </c>
      <c r="BB104" s="58">
        <f t="shared" si="29"/>
        <v>0</v>
      </c>
      <c r="BC104" s="113" t="s">
        <v>925</v>
      </c>
      <c r="BD104" s="62"/>
      <c r="BE104" s="62"/>
      <c r="BF104" s="678" t="s">
        <v>894</v>
      </c>
      <c r="BG104" s="678" t="s">
        <v>892</v>
      </c>
      <c r="BH104" s="678" t="str" cm="1">
        <f t="array" ref="BH104">BH103</f>
        <v>СН2</v>
      </c>
      <c r="BI104" s="179"/>
      <c r="BJ104" s="179"/>
    </row>
    <row r="105" spans="1:62" s="326" customFormat="1" ht="50.45" customHeight="1" x14ac:dyDescent="0.15">
      <c r="A105" s="62"/>
      <c r="C105" s="364"/>
      <c r="D105" s="62"/>
      <c r="E105" s="179">
        <v>11.25</v>
      </c>
      <c r="F105" s="3" t="str" cm="1">
        <f t="array" aca="1" ref="F105" ca="1">OFFSET(E105,-1,1)</f>
        <v>3</v>
      </c>
      <c r="G105" s="42" t="s">
        <v>699</v>
      </c>
      <c r="H105" s="42" t="str" cm="1">
        <f t="array" ref="H105">H104</f>
        <v>СН2</v>
      </c>
      <c r="I105" s="62"/>
      <c r="J105" s="62"/>
      <c r="K105" s="62"/>
      <c r="L105" s="62"/>
      <c r="M105" s="62"/>
      <c r="N105" s="62"/>
      <c r="O105" s="62"/>
      <c r="P105" s="62"/>
      <c r="Q105" s="62"/>
      <c r="R105" s="62"/>
      <c r="S105" s="62"/>
      <c r="T105" s="353" t="b" cm="1">
        <f t="array" aca="1" ref="T105" ca="1">T104</f>
        <v>1</v>
      </c>
      <c r="U105" s="62"/>
      <c r="V105" s="62"/>
      <c r="W105" s="62"/>
      <c r="X105" s="964"/>
      <c r="Y105" s="964"/>
      <c r="Z105" s="992"/>
      <c r="AA105" s="913"/>
      <c r="AB105" s="8" t="str">
        <f>AB103&amp;".2"</f>
        <v>6.1.2</v>
      </c>
      <c r="AC105" s="105" t="s">
        <v>895</v>
      </c>
      <c r="AD105" s="11" t="s">
        <v>879</v>
      </c>
      <c r="AE105" s="57">
        <v>1032.6300000000001</v>
      </c>
      <c r="AF105" s="57">
        <v>1074.3567931580001</v>
      </c>
      <c r="AG105" s="57">
        <v>978.50323047999996</v>
      </c>
      <c r="AH105" s="57">
        <v>1020.23</v>
      </c>
      <c r="AI105" s="57">
        <v>1106.544768</v>
      </c>
      <c r="AJ105" s="820"/>
      <c r="AK105" s="820"/>
      <c r="AL105" s="57"/>
      <c r="AM105" s="57"/>
      <c r="AN105" s="57"/>
      <c r="AO105" s="57"/>
      <c r="AP105" s="57"/>
      <c r="AQ105" s="57"/>
      <c r="AR105" s="57"/>
      <c r="AS105" s="57">
        <v>935.01513120000004</v>
      </c>
      <c r="AT105" s="820" cm="1">
        <f t="array" ref="AT105">AS105</f>
        <v>935.01513120000004</v>
      </c>
      <c r="AU105" s="820" cm="1">
        <f t="array" ref="AU105">AS105</f>
        <v>935.01513120000004</v>
      </c>
      <c r="AV105" s="57"/>
      <c r="AW105" s="57"/>
      <c r="AX105" s="57"/>
      <c r="AY105" s="57"/>
      <c r="AZ105" s="57"/>
      <c r="BA105" s="57"/>
      <c r="BB105" s="57"/>
      <c r="BC105" s="113" t="s">
        <v>928</v>
      </c>
      <c r="BD105" s="62"/>
      <c r="BE105" s="62"/>
      <c r="BF105" s="678" t="s">
        <v>896</v>
      </c>
      <c r="BG105" s="678" t="s">
        <v>892</v>
      </c>
      <c r="BH105" s="678" t="str" cm="1">
        <f t="array" ref="BH105">BH104</f>
        <v>СН2</v>
      </c>
      <c r="BI105" s="179"/>
      <c r="BJ105" s="179"/>
    </row>
    <row r="106" spans="1:62" s="59" customFormat="1" ht="14.25" customHeight="1" x14ac:dyDescent="0.15">
      <c r="B106" s="46"/>
      <c r="C106" s="364"/>
      <c r="E106" s="462">
        <v>15</v>
      </c>
      <c r="F106" s="3" t="str" cm="1">
        <f t="array" aca="1" ref="F106" ca="1">OFFSET(E106,-1,1)</f>
        <v>3</v>
      </c>
      <c r="H106" s="632" t="s">
        <v>897</v>
      </c>
      <c r="T106" s="353" t="b">
        <f ca="1">F106&gt;0</f>
        <v>1</v>
      </c>
      <c r="W106" s="517" t="s">
        <v>397</v>
      </c>
      <c r="X106" s="964"/>
      <c r="Z106" s="992"/>
      <c r="AB106" s="477"/>
      <c r="AC106" s="92" t="s">
        <v>176</v>
      </c>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101"/>
      <c r="BF106" s="674"/>
      <c r="BG106" s="674"/>
      <c r="BH106" s="674"/>
      <c r="BI106" s="462" t="s">
        <v>892</v>
      </c>
      <c r="BJ106" s="462"/>
    </row>
    <row r="107" spans="1:62" s="326" customFormat="1" ht="12" customHeight="1" x14ac:dyDescent="0.15">
      <c r="A107" s="62"/>
      <c r="C107" s="364"/>
      <c r="D107" s="62"/>
      <c r="E107" s="179">
        <v>13</v>
      </c>
      <c r="F107" s="3" t="str" cm="1">
        <f t="array" aca="1" ref="F107" ca="1">OFFSET(E107,-1,1)</f>
        <v>3</v>
      </c>
      <c r="G107" s="42"/>
      <c r="H107" s="42"/>
      <c r="I107" s="62"/>
      <c r="J107" s="62"/>
      <c r="K107" s="62"/>
      <c r="L107" s="62"/>
      <c r="M107" s="62"/>
      <c r="N107" s="62"/>
      <c r="O107" s="62"/>
      <c r="P107" s="62"/>
      <c r="Q107" s="62"/>
      <c r="R107" s="62"/>
      <c r="S107" s="62"/>
      <c r="T107" s="353" t="b" cm="1">
        <f t="array" aca="1" ref="T107" ca="1">T106</f>
        <v>1</v>
      </c>
      <c r="U107" s="62"/>
      <c r="V107" s="62"/>
      <c r="W107" s="62"/>
      <c r="X107" s="964"/>
      <c r="Y107" s="62"/>
      <c r="Z107" s="992"/>
      <c r="AA107" s="62"/>
      <c r="AB107" s="476"/>
      <c r="AC107" s="178" t="s">
        <v>898</v>
      </c>
      <c r="AD107" s="179"/>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1"/>
      <c r="BD107" s="62"/>
      <c r="BE107" s="62"/>
      <c r="BF107" s="678"/>
      <c r="BG107" s="678"/>
      <c r="BH107" s="678"/>
      <c r="BI107" s="179"/>
      <c r="BJ107" s="179"/>
    </row>
    <row r="108" spans="1:62" s="326" customFormat="1" ht="10.5" hidden="1" customHeight="1" x14ac:dyDescent="0.15">
      <c r="A108" s="62"/>
      <c r="C108" s="364"/>
      <c r="D108" s="62"/>
      <c r="E108" s="179">
        <v>11.25</v>
      </c>
      <c r="F108" s="3" t="str" cm="1">
        <f t="array" aca="1" ref="F108" ca="1">OFFSET(E108,-1,1)</f>
        <v>3</v>
      </c>
      <c r="G108" s="42" t="s">
        <v>532</v>
      </c>
      <c r="H108" s="42" cm="1">
        <f t="array" ref="H108">AC108</f>
        <v>0</v>
      </c>
      <c r="I108" s="62"/>
      <c r="J108" s="62"/>
      <c r="K108" s="62"/>
      <c r="L108" s="62"/>
      <c r="M108" s="62"/>
      <c r="N108" s="62"/>
      <c r="O108" s="62"/>
      <c r="P108" s="62"/>
      <c r="Q108" s="62"/>
      <c r="R108" s="62"/>
      <c r="S108" s="62"/>
      <c r="T108" s="353" t="b">
        <f ca="1">AND(F108&gt;0,Y108&gt;0)</f>
        <v>0</v>
      </c>
      <c r="U108" s="62"/>
      <c r="V108" s="62"/>
      <c r="W108" s="517" t="s">
        <v>172</v>
      </c>
      <c r="X108" s="964"/>
      <c r="Y108" s="964">
        <v>0</v>
      </c>
      <c r="Z108" s="992"/>
      <c r="AA108" s="913" t="s">
        <v>173</v>
      </c>
      <c r="AB108" s="8" t="str">
        <f>"7."&amp;Y108</f>
        <v>7.0</v>
      </c>
      <c r="AC108" s="851"/>
      <c r="AD108" s="8" t="s">
        <v>828</v>
      </c>
      <c r="AE108" s="58">
        <f t="shared" ref="AE108:BB108" si="30">AE109+AE112</f>
        <v>0</v>
      </c>
      <c r="AF108" s="58">
        <f t="shared" si="30"/>
        <v>0</v>
      </c>
      <c r="AG108" s="58">
        <f t="shared" si="30"/>
        <v>0</v>
      </c>
      <c r="AH108" s="58">
        <f t="shared" si="30"/>
        <v>0</v>
      </c>
      <c r="AI108" s="58">
        <f t="shared" si="30"/>
        <v>0</v>
      </c>
      <c r="AJ108" s="58">
        <f t="shared" si="30"/>
        <v>0</v>
      </c>
      <c r="AK108" s="58">
        <f t="shared" si="30"/>
        <v>0</v>
      </c>
      <c r="AL108" s="58">
        <f t="shared" si="30"/>
        <v>0</v>
      </c>
      <c r="AM108" s="58">
        <f t="shared" si="30"/>
        <v>0</v>
      </c>
      <c r="AN108" s="58">
        <f t="shared" si="30"/>
        <v>0</v>
      </c>
      <c r="AO108" s="58">
        <f t="shared" si="30"/>
        <v>0</v>
      </c>
      <c r="AP108" s="58">
        <f t="shared" si="30"/>
        <v>0</v>
      </c>
      <c r="AQ108" s="58">
        <f t="shared" si="30"/>
        <v>0</v>
      </c>
      <c r="AR108" s="58">
        <f t="shared" si="30"/>
        <v>0</v>
      </c>
      <c r="AS108" s="58">
        <f t="shared" si="30"/>
        <v>0</v>
      </c>
      <c r="AT108" s="58">
        <f t="shared" si="30"/>
        <v>0</v>
      </c>
      <c r="AU108" s="58">
        <f t="shared" si="30"/>
        <v>0</v>
      </c>
      <c r="AV108" s="58">
        <f t="shared" si="30"/>
        <v>0</v>
      </c>
      <c r="AW108" s="58">
        <f t="shared" si="30"/>
        <v>0</v>
      </c>
      <c r="AX108" s="58">
        <f t="shared" si="30"/>
        <v>0</v>
      </c>
      <c r="AY108" s="58">
        <f t="shared" si="30"/>
        <v>0</v>
      </c>
      <c r="AZ108" s="58">
        <f t="shared" si="30"/>
        <v>0</v>
      </c>
      <c r="BA108" s="58">
        <f t="shared" si="30"/>
        <v>0</v>
      </c>
      <c r="BB108" s="58">
        <f t="shared" si="30"/>
        <v>0</v>
      </c>
      <c r="BC108" s="826"/>
      <c r="BD108" s="62"/>
      <c r="BE108" s="62"/>
      <c r="BF108" s="678" t="s">
        <v>899</v>
      </c>
      <c r="BG108" s="678" t="s">
        <v>900</v>
      </c>
      <c r="BH108" s="678" cm="1">
        <f t="array" ref="BH108">AC108</f>
        <v>0</v>
      </c>
      <c r="BI108" s="179"/>
      <c r="BJ108" s="179"/>
    </row>
    <row r="109" spans="1:62" s="326" customFormat="1" ht="10.5" hidden="1" customHeight="1" x14ac:dyDescent="0.15">
      <c r="A109" s="62"/>
      <c r="C109" s="364"/>
      <c r="D109" s="62"/>
      <c r="E109" s="179">
        <v>11.25</v>
      </c>
      <c r="F109" s="3" t="str" cm="1">
        <f t="array" aca="1" ref="F109" ca="1">OFFSET(E109,-1,1)</f>
        <v>3</v>
      </c>
      <c r="G109" s="42" t="s">
        <v>703</v>
      </c>
      <c r="H109" s="42" cm="1">
        <f t="array" ref="H109">H108</f>
        <v>0</v>
      </c>
      <c r="I109" s="62"/>
      <c r="J109" s="62"/>
      <c r="K109" s="62"/>
      <c r="L109" s="62"/>
      <c r="M109" s="62"/>
      <c r="N109" s="62"/>
      <c r="O109" s="62"/>
      <c r="P109" s="62"/>
      <c r="Q109" s="62"/>
      <c r="R109" s="62"/>
      <c r="S109" s="62"/>
      <c r="T109" s="353" t="b" cm="1">
        <f t="array" aca="1" ref="T109" ca="1">T108</f>
        <v>0</v>
      </c>
      <c r="U109" s="62"/>
      <c r="V109" s="62"/>
      <c r="W109" s="62"/>
      <c r="X109" s="964"/>
      <c r="Y109" s="964"/>
      <c r="Z109" s="992"/>
      <c r="AA109" s="913"/>
      <c r="AB109" s="8" t="str">
        <f>AB108&amp;".1"</f>
        <v>7.0.1</v>
      </c>
      <c r="AC109" s="105" t="s">
        <v>901</v>
      </c>
      <c r="AD109" s="8" t="s">
        <v>902</v>
      </c>
      <c r="AE109" s="820"/>
      <c r="AF109" s="820"/>
      <c r="AG109" s="820"/>
      <c r="AH109" s="820"/>
      <c r="AI109" s="57"/>
      <c r="AJ109" s="820"/>
      <c r="AK109" s="820"/>
      <c r="AL109" s="820"/>
      <c r="AM109" s="820"/>
      <c r="AN109" s="820"/>
      <c r="AO109" s="820"/>
      <c r="AP109" s="820"/>
      <c r="AQ109" s="820"/>
      <c r="AR109" s="820"/>
      <c r="AS109" s="57"/>
      <c r="AT109" s="820"/>
      <c r="AU109" s="820"/>
      <c r="AV109" s="820"/>
      <c r="AW109" s="820"/>
      <c r="AX109" s="820"/>
      <c r="AY109" s="820"/>
      <c r="AZ109" s="820"/>
      <c r="BA109" s="820"/>
      <c r="BB109" s="820"/>
      <c r="BC109" s="826"/>
      <c r="BD109" s="62"/>
      <c r="BE109" s="62"/>
      <c r="BF109" s="678" t="s">
        <v>903</v>
      </c>
      <c r="BG109" s="678" t="s">
        <v>900</v>
      </c>
      <c r="BH109" s="678" cm="1">
        <f t="array" ref="BH109">BH108</f>
        <v>0</v>
      </c>
      <c r="BI109" s="179"/>
      <c r="BJ109" s="179"/>
    </row>
    <row r="110" spans="1:62" s="326" customFormat="1" ht="10.5" hidden="1" customHeight="1" x14ac:dyDescent="0.15">
      <c r="A110" s="62"/>
      <c r="C110" s="364"/>
      <c r="D110" s="62"/>
      <c r="E110" s="179">
        <v>11.25</v>
      </c>
      <c r="F110" s="3" t="str" cm="1">
        <f t="array" aca="1" ref="F110" ca="1">OFFSET(E110,-1,1)</f>
        <v>3</v>
      </c>
      <c r="G110" s="42" t="s">
        <v>904</v>
      </c>
      <c r="H110" s="42" cm="1">
        <f t="array" ref="H110">H109</f>
        <v>0</v>
      </c>
      <c r="I110" s="62"/>
      <c r="J110" s="62"/>
      <c r="K110" s="62"/>
      <c r="L110" s="62"/>
      <c r="M110" s="62"/>
      <c r="N110" s="62"/>
      <c r="O110" s="62"/>
      <c r="P110" s="62"/>
      <c r="Q110" s="62"/>
      <c r="R110" s="62"/>
      <c r="S110" s="62"/>
      <c r="T110" s="353" t="b" cm="1">
        <f t="array" aca="1" ref="T110" ca="1">T109</f>
        <v>0</v>
      </c>
      <c r="U110" s="62"/>
      <c r="V110" s="62"/>
      <c r="W110" s="62"/>
      <c r="X110" s="964"/>
      <c r="Y110" s="964"/>
      <c r="Z110" s="992"/>
      <c r="AA110" s="913"/>
      <c r="AB110" s="8" t="str">
        <f>AB108&amp;".1.1"</f>
        <v>7.0.1.1</v>
      </c>
      <c r="AC110" s="237" t="s">
        <v>893</v>
      </c>
      <c r="AD110" s="11" t="s">
        <v>885</v>
      </c>
      <c r="AE110" s="58">
        <f t="shared" ref="AE110:BB110" si="31">IF(OR(AND(AE109&lt;&gt;0,AE111=0),AND(AE109=0,AE111&lt;&gt;0)),"Ошибка",IF(AE111=0,0,AE109/AE111))</f>
        <v>0</v>
      </c>
      <c r="AF110" s="58">
        <f t="shared" si="31"/>
        <v>0</v>
      </c>
      <c r="AG110" s="58">
        <f t="shared" si="31"/>
        <v>0</v>
      </c>
      <c r="AH110" s="58">
        <f t="shared" si="31"/>
        <v>0</v>
      </c>
      <c r="AI110" s="58">
        <f t="shared" si="31"/>
        <v>0</v>
      </c>
      <c r="AJ110" s="58">
        <f t="shared" si="31"/>
        <v>0</v>
      </c>
      <c r="AK110" s="58">
        <f t="shared" si="31"/>
        <v>0</v>
      </c>
      <c r="AL110" s="58">
        <f t="shared" si="31"/>
        <v>0</v>
      </c>
      <c r="AM110" s="58">
        <f t="shared" si="31"/>
        <v>0</v>
      </c>
      <c r="AN110" s="58">
        <f t="shared" si="31"/>
        <v>0</v>
      </c>
      <c r="AO110" s="58">
        <f t="shared" si="31"/>
        <v>0</v>
      </c>
      <c r="AP110" s="58">
        <f t="shared" si="31"/>
        <v>0</v>
      </c>
      <c r="AQ110" s="58">
        <f t="shared" si="31"/>
        <v>0</v>
      </c>
      <c r="AR110" s="58">
        <f t="shared" si="31"/>
        <v>0</v>
      </c>
      <c r="AS110" s="58">
        <f t="shared" si="31"/>
        <v>0</v>
      </c>
      <c r="AT110" s="58">
        <f t="shared" si="31"/>
        <v>0</v>
      </c>
      <c r="AU110" s="58">
        <f t="shared" si="31"/>
        <v>0</v>
      </c>
      <c r="AV110" s="58">
        <f t="shared" si="31"/>
        <v>0</v>
      </c>
      <c r="AW110" s="58">
        <f t="shared" si="31"/>
        <v>0</v>
      </c>
      <c r="AX110" s="58">
        <f t="shared" si="31"/>
        <v>0</v>
      </c>
      <c r="AY110" s="58">
        <f t="shared" si="31"/>
        <v>0</v>
      </c>
      <c r="AZ110" s="58">
        <f t="shared" si="31"/>
        <v>0</v>
      </c>
      <c r="BA110" s="58">
        <f t="shared" si="31"/>
        <v>0</v>
      </c>
      <c r="BB110" s="58">
        <f t="shared" si="31"/>
        <v>0</v>
      </c>
      <c r="BC110" s="826"/>
      <c r="BD110" s="62"/>
      <c r="BE110" s="62"/>
      <c r="BF110" s="678" t="s">
        <v>905</v>
      </c>
      <c r="BG110" s="678" t="s">
        <v>900</v>
      </c>
      <c r="BH110" s="678" cm="1">
        <f t="array" ref="BH110">BH109</f>
        <v>0</v>
      </c>
      <c r="BI110" s="179"/>
      <c r="BJ110" s="179"/>
    </row>
    <row r="111" spans="1:62" s="326" customFormat="1" ht="10.5" hidden="1" customHeight="1" x14ac:dyDescent="0.15">
      <c r="A111" s="62"/>
      <c r="C111" s="364"/>
      <c r="D111" s="62"/>
      <c r="E111" s="179">
        <v>11.25</v>
      </c>
      <c r="F111" s="3" t="str" cm="1">
        <f t="array" aca="1" ref="F111" ca="1">OFFSET(E111,-1,1)</f>
        <v>3</v>
      </c>
      <c r="G111" s="42" t="s">
        <v>906</v>
      </c>
      <c r="H111" s="42" cm="1">
        <f t="array" ref="H111">H110</f>
        <v>0</v>
      </c>
      <c r="I111" s="62"/>
      <c r="J111" s="62"/>
      <c r="K111" s="62"/>
      <c r="L111" s="62"/>
      <c r="M111" s="62"/>
      <c r="N111" s="62"/>
      <c r="O111" s="62"/>
      <c r="P111" s="62"/>
      <c r="Q111" s="62"/>
      <c r="R111" s="62"/>
      <c r="S111" s="62"/>
      <c r="T111" s="353" t="b" cm="1">
        <f t="array" aca="1" ref="T111" ca="1">T110</f>
        <v>0</v>
      </c>
      <c r="U111" s="62"/>
      <c r="V111" s="62"/>
      <c r="W111" s="62"/>
      <c r="X111" s="964"/>
      <c r="Y111" s="964"/>
      <c r="Z111" s="992"/>
      <c r="AA111" s="913"/>
      <c r="AB111" s="8" t="str">
        <f>AB108&amp;".1.2"</f>
        <v>7.0.1.2</v>
      </c>
      <c r="AC111" s="237" t="s">
        <v>895</v>
      </c>
      <c r="AD111" s="11" t="s">
        <v>879</v>
      </c>
      <c r="AE111" s="820"/>
      <c r="AF111" s="820"/>
      <c r="AG111" s="820"/>
      <c r="AH111" s="820"/>
      <c r="AI111" s="57"/>
      <c r="AJ111" s="820"/>
      <c r="AK111" s="820"/>
      <c r="AL111" s="820"/>
      <c r="AM111" s="820"/>
      <c r="AN111" s="820"/>
      <c r="AO111" s="820"/>
      <c r="AP111" s="820"/>
      <c r="AQ111" s="820"/>
      <c r="AR111" s="820"/>
      <c r="AS111" s="57"/>
      <c r="AT111" s="820"/>
      <c r="AU111" s="820"/>
      <c r="AV111" s="820"/>
      <c r="AW111" s="820"/>
      <c r="AX111" s="820"/>
      <c r="AY111" s="820"/>
      <c r="AZ111" s="820"/>
      <c r="BA111" s="820"/>
      <c r="BB111" s="820"/>
      <c r="BC111" s="826"/>
      <c r="BD111" s="62"/>
      <c r="BE111" s="62"/>
      <c r="BF111" s="678" t="s">
        <v>907</v>
      </c>
      <c r="BG111" s="678" t="s">
        <v>900</v>
      </c>
      <c r="BH111" s="678" cm="1">
        <f t="array" ref="BH111">BH110</f>
        <v>0</v>
      </c>
      <c r="BI111" s="179"/>
      <c r="BJ111" s="179"/>
    </row>
    <row r="112" spans="1:62" s="326" customFormat="1" ht="10.5" hidden="1" customHeight="1" x14ac:dyDescent="0.15">
      <c r="A112" s="62"/>
      <c r="C112" s="364"/>
      <c r="D112" s="62"/>
      <c r="E112" s="179">
        <v>11.25</v>
      </c>
      <c r="F112" s="3" t="str" cm="1">
        <f t="array" aca="1" ref="F112" ca="1">OFFSET(E112,-1,1)</f>
        <v>3</v>
      </c>
      <c r="G112" s="42" t="s">
        <v>706</v>
      </c>
      <c r="H112" s="42" cm="1">
        <f t="array" ref="H112">H111</f>
        <v>0</v>
      </c>
      <c r="I112" s="62"/>
      <c r="J112" s="62"/>
      <c r="K112" s="62"/>
      <c r="L112" s="62"/>
      <c r="M112" s="62"/>
      <c r="N112" s="62"/>
      <c r="O112" s="62"/>
      <c r="P112" s="62"/>
      <c r="Q112" s="62"/>
      <c r="R112" s="62"/>
      <c r="S112" s="62"/>
      <c r="T112" s="353" t="b" cm="1">
        <f t="array" aca="1" ref="T112" ca="1">T111</f>
        <v>0</v>
      </c>
      <c r="U112" s="62"/>
      <c r="V112" s="62"/>
      <c r="W112" s="62"/>
      <c r="X112" s="964"/>
      <c r="Y112" s="964"/>
      <c r="Z112" s="992"/>
      <c r="AA112" s="913"/>
      <c r="AB112" s="8" t="str">
        <f>AB108&amp;".2"</f>
        <v>7.0.2</v>
      </c>
      <c r="AC112" s="105" t="s">
        <v>908</v>
      </c>
      <c r="AD112" s="8" t="s">
        <v>902</v>
      </c>
      <c r="AE112" s="820"/>
      <c r="AF112" s="820"/>
      <c r="AG112" s="820"/>
      <c r="AH112" s="820"/>
      <c r="AI112" s="57"/>
      <c r="AJ112" s="820"/>
      <c r="AK112" s="820"/>
      <c r="AL112" s="820"/>
      <c r="AM112" s="820"/>
      <c r="AN112" s="820"/>
      <c r="AO112" s="820"/>
      <c r="AP112" s="820"/>
      <c r="AQ112" s="820"/>
      <c r="AR112" s="820"/>
      <c r="AS112" s="57"/>
      <c r="AT112" s="820"/>
      <c r="AU112" s="820"/>
      <c r="AV112" s="820"/>
      <c r="AW112" s="820"/>
      <c r="AX112" s="820"/>
      <c r="AY112" s="820"/>
      <c r="AZ112" s="820"/>
      <c r="BA112" s="820"/>
      <c r="BB112" s="820"/>
      <c r="BC112" s="826"/>
      <c r="BD112" s="62"/>
      <c r="BE112" s="62"/>
      <c r="BF112" s="678" t="s">
        <v>909</v>
      </c>
      <c r="BG112" s="678" t="s">
        <v>900</v>
      </c>
      <c r="BH112" s="678" cm="1">
        <f t="array" ref="BH112">BH111</f>
        <v>0</v>
      </c>
      <c r="BI112" s="179"/>
      <c r="BJ112" s="179"/>
    </row>
    <row r="113" spans="1:62" s="326" customFormat="1" ht="10.5" hidden="1" customHeight="1" x14ac:dyDescent="0.15">
      <c r="A113" s="62"/>
      <c r="C113" s="364"/>
      <c r="D113" s="62"/>
      <c r="E113" s="179">
        <v>11.25</v>
      </c>
      <c r="F113" s="3" t="str" cm="1">
        <f t="array" aca="1" ref="F113" ca="1">OFFSET(E113,-1,1)</f>
        <v>3</v>
      </c>
      <c r="G113" s="42" t="s">
        <v>910</v>
      </c>
      <c r="H113" s="42" cm="1">
        <f t="array" ref="H113">H112</f>
        <v>0</v>
      </c>
      <c r="I113" s="62"/>
      <c r="J113" s="62"/>
      <c r="K113" s="62"/>
      <c r="L113" s="62"/>
      <c r="M113" s="62"/>
      <c r="N113" s="62"/>
      <c r="O113" s="62"/>
      <c r="P113" s="62"/>
      <c r="Q113" s="62"/>
      <c r="R113" s="62"/>
      <c r="S113" s="62"/>
      <c r="T113" s="353" t="b" cm="1">
        <f t="array" aca="1" ref="T113" ca="1">T112</f>
        <v>0</v>
      </c>
      <c r="U113" s="62"/>
      <c r="V113" s="62"/>
      <c r="W113" s="62"/>
      <c r="X113" s="964"/>
      <c r="Y113" s="964"/>
      <c r="Z113" s="992"/>
      <c r="AA113" s="913"/>
      <c r="AB113" s="8" t="str">
        <f>AB108&amp;".2.1"</f>
        <v>7.0.2.1</v>
      </c>
      <c r="AC113" s="237" t="s">
        <v>911</v>
      </c>
      <c r="AD113" s="11" t="s">
        <v>912</v>
      </c>
      <c r="AE113" s="58">
        <f t="shared" ref="AE113:BB113" si="32">IF(OR(AND(AE112&lt;&gt;0,AE114=0),AND(AE112=0,AE114&lt;&gt;0)),"Ошибка",IF(AE114=0,0,AE112/AE114*1000/12))</f>
        <v>0</v>
      </c>
      <c r="AF113" s="58">
        <f t="shared" si="32"/>
        <v>0</v>
      </c>
      <c r="AG113" s="58">
        <f t="shared" si="32"/>
        <v>0</v>
      </c>
      <c r="AH113" s="58">
        <f t="shared" si="32"/>
        <v>0</v>
      </c>
      <c r="AI113" s="58">
        <f t="shared" si="32"/>
        <v>0</v>
      </c>
      <c r="AJ113" s="58">
        <f t="shared" si="32"/>
        <v>0</v>
      </c>
      <c r="AK113" s="58">
        <f t="shared" si="32"/>
        <v>0</v>
      </c>
      <c r="AL113" s="58">
        <f t="shared" si="32"/>
        <v>0</v>
      </c>
      <c r="AM113" s="58">
        <f t="shared" si="32"/>
        <v>0</v>
      </c>
      <c r="AN113" s="58">
        <f t="shared" si="32"/>
        <v>0</v>
      </c>
      <c r="AO113" s="58">
        <f t="shared" si="32"/>
        <v>0</v>
      </c>
      <c r="AP113" s="58">
        <f t="shared" si="32"/>
        <v>0</v>
      </c>
      <c r="AQ113" s="58">
        <f t="shared" si="32"/>
        <v>0</v>
      </c>
      <c r="AR113" s="58">
        <f t="shared" si="32"/>
        <v>0</v>
      </c>
      <c r="AS113" s="58">
        <f t="shared" si="32"/>
        <v>0</v>
      </c>
      <c r="AT113" s="58">
        <f t="shared" si="32"/>
        <v>0</v>
      </c>
      <c r="AU113" s="58">
        <f t="shared" si="32"/>
        <v>0</v>
      </c>
      <c r="AV113" s="58">
        <f t="shared" si="32"/>
        <v>0</v>
      </c>
      <c r="AW113" s="58">
        <f t="shared" si="32"/>
        <v>0</v>
      </c>
      <c r="AX113" s="58">
        <f t="shared" si="32"/>
        <v>0</v>
      </c>
      <c r="AY113" s="58">
        <f t="shared" si="32"/>
        <v>0</v>
      </c>
      <c r="AZ113" s="58">
        <f t="shared" si="32"/>
        <v>0</v>
      </c>
      <c r="BA113" s="58">
        <f t="shared" si="32"/>
        <v>0</v>
      </c>
      <c r="BB113" s="58">
        <f t="shared" si="32"/>
        <v>0</v>
      </c>
      <c r="BC113" s="826"/>
      <c r="BD113" s="62"/>
      <c r="BE113" s="62"/>
      <c r="BF113" s="678" t="s">
        <v>913</v>
      </c>
      <c r="BG113" s="678" t="s">
        <v>900</v>
      </c>
      <c r="BH113" s="678" cm="1">
        <f t="array" ref="BH113">BH112</f>
        <v>0</v>
      </c>
      <c r="BI113" s="179"/>
      <c r="BJ113" s="179"/>
    </row>
    <row r="114" spans="1:62" s="326" customFormat="1" ht="10.5" hidden="1" customHeight="1" x14ac:dyDescent="0.15">
      <c r="A114" s="62"/>
      <c r="C114" s="364"/>
      <c r="D114" s="62"/>
      <c r="E114" s="179">
        <v>11.25</v>
      </c>
      <c r="F114" s="3" t="str" cm="1">
        <f t="array" aca="1" ref="F114" ca="1">OFFSET(E114,-1,1)</f>
        <v>3</v>
      </c>
      <c r="G114" s="42" t="s">
        <v>914</v>
      </c>
      <c r="H114" s="42" cm="1">
        <f t="array" ref="H114">H113</f>
        <v>0</v>
      </c>
      <c r="I114" s="62"/>
      <c r="J114" s="62"/>
      <c r="K114" s="62"/>
      <c r="L114" s="62"/>
      <c r="M114" s="62"/>
      <c r="N114" s="62"/>
      <c r="O114" s="62"/>
      <c r="P114" s="62"/>
      <c r="Q114" s="62"/>
      <c r="R114" s="62"/>
      <c r="S114" s="62"/>
      <c r="T114" s="353" t="b" cm="1">
        <f t="array" aca="1" ref="T114" ca="1">T113</f>
        <v>0</v>
      </c>
      <c r="U114" s="62"/>
      <c r="V114" s="62"/>
      <c r="W114" s="62"/>
      <c r="X114" s="964"/>
      <c r="Y114" s="964"/>
      <c r="Z114" s="992"/>
      <c r="AA114" s="913"/>
      <c r="AB114" s="8" t="str">
        <f>AB108&amp;".2.2"</f>
        <v>7.0.2.2</v>
      </c>
      <c r="AC114" s="237" t="s">
        <v>915</v>
      </c>
      <c r="AD114" s="11" t="s">
        <v>916</v>
      </c>
      <c r="AE114" s="820"/>
      <c r="AF114" s="820"/>
      <c r="AG114" s="820"/>
      <c r="AH114" s="820"/>
      <c r="AI114" s="57"/>
      <c r="AJ114" s="820"/>
      <c r="AK114" s="820"/>
      <c r="AL114" s="820"/>
      <c r="AM114" s="820"/>
      <c r="AN114" s="820"/>
      <c r="AO114" s="820"/>
      <c r="AP114" s="820"/>
      <c r="AQ114" s="820"/>
      <c r="AR114" s="820"/>
      <c r="AS114" s="57"/>
      <c r="AT114" s="820"/>
      <c r="AU114" s="820"/>
      <c r="AV114" s="820"/>
      <c r="AW114" s="820"/>
      <c r="AX114" s="820"/>
      <c r="AY114" s="820"/>
      <c r="AZ114" s="820"/>
      <c r="BA114" s="820"/>
      <c r="BB114" s="820"/>
      <c r="BC114" s="826"/>
      <c r="BD114" s="62"/>
      <c r="BE114" s="62"/>
      <c r="BF114" s="678" t="s">
        <v>917</v>
      </c>
      <c r="BG114" s="678" t="s">
        <v>900</v>
      </c>
      <c r="BH114" s="678" cm="1">
        <f t="array" ref="BH114">BH113</f>
        <v>0</v>
      </c>
      <c r="BI114" s="179"/>
      <c r="BJ114" s="179"/>
    </row>
    <row r="115" spans="1:62" s="59" customFormat="1" ht="14.25" customHeight="1" x14ac:dyDescent="0.15">
      <c r="B115" s="46"/>
      <c r="C115" s="364"/>
      <c r="E115" s="462">
        <v>15</v>
      </c>
      <c r="F115" s="3" t="str" cm="1">
        <f t="array" aca="1" ref="F115" ca="1">OFFSET(E115,-1,1)</f>
        <v>3</v>
      </c>
      <c r="H115" s="632" t="s">
        <v>918</v>
      </c>
      <c r="T115" s="353" t="b">
        <f ca="1">F115&gt;0</f>
        <v>1</v>
      </c>
      <c r="W115" s="517" t="s">
        <v>919</v>
      </c>
      <c r="X115" s="964"/>
      <c r="Z115" s="992"/>
      <c r="AB115" s="89"/>
      <c r="AC115" s="92" t="s">
        <v>920</v>
      </c>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101"/>
      <c r="BF115" s="674"/>
      <c r="BG115" s="674"/>
      <c r="BH115" s="674"/>
      <c r="BI115" s="462" t="s">
        <v>900</v>
      </c>
      <c r="BJ115" s="462"/>
    </row>
    <row r="116" spans="1:62" ht="10.9" customHeight="1" x14ac:dyDescent="0.15">
      <c r="E116" s="480">
        <v>11.25</v>
      </c>
      <c r="U116" s="17" t="s">
        <v>176</v>
      </c>
      <c r="V116" s="56" t="s">
        <v>929</v>
      </c>
    </row>
    <row r="117" spans="1:62" ht="14.65" customHeight="1" x14ac:dyDescent="0.15">
      <c r="E117" s="461">
        <v>15</v>
      </c>
      <c r="AB117" s="1034" t="s">
        <v>408</v>
      </c>
      <c r="AC117" s="1035"/>
      <c r="AD117" s="1035"/>
      <c r="AE117" s="1035"/>
      <c r="AF117" s="1035"/>
      <c r="AG117" s="1035"/>
      <c r="AH117" s="1035"/>
      <c r="AI117" s="1035"/>
      <c r="AJ117" s="1035"/>
      <c r="AK117" s="1035"/>
      <c r="AL117" s="1035"/>
      <c r="AM117" s="1035"/>
      <c r="AN117" s="1035"/>
      <c r="AO117" s="1035"/>
      <c r="AP117" s="1035"/>
      <c r="AQ117" s="1035"/>
      <c r="AR117" s="1035"/>
      <c r="AS117" s="1035"/>
      <c r="AT117" s="1035"/>
      <c r="AU117" s="1035"/>
      <c r="AV117" s="1035"/>
      <c r="AW117" s="1035"/>
      <c r="AX117" s="1035"/>
      <c r="AY117" s="1035"/>
      <c r="AZ117" s="1035"/>
      <c r="BA117" s="1035"/>
      <c r="BB117" s="1035"/>
      <c r="BC117" s="1036"/>
    </row>
    <row r="118" spans="1:62" ht="40.35" customHeight="1" x14ac:dyDescent="0.15">
      <c r="E118" s="461">
        <v>15</v>
      </c>
      <c r="AA118" s="481"/>
      <c r="AB118" s="1032" t="s">
        <v>930</v>
      </c>
      <c r="AC118" s="1030"/>
      <c r="AD118" s="1030"/>
      <c r="AE118" s="1030"/>
      <c r="AF118" s="1030"/>
      <c r="AG118" s="1030"/>
      <c r="AH118" s="1030"/>
      <c r="AI118" s="1030"/>
      <c r="AJ118" s="1029"/>
      <c r="AK118" s="1029"/>
      <c r="AL118" s="1029"/>
      <c r="AM118" s="1029"/>
      <c r="AN118" s="1029"/>
      <c r="AO118" s="1029"/>
      <c r="AP118" s="1029"/>
      <c r="AQ118" s="1029"/>
      <c r="AR118" s="1029"/>
      <c r="AS118" s="1030"/>
      <c r="AT118" s="1029"/>
      <c r="AU118" s="1029"/>
      <c r="AV118" s="1029"/>
      <c r="AW118" s="1029"/>
      <c r="AX118" s="1029"/>
      <c r="AY118" s="1029"/>
      <c r="AZ118" s="1029"/>
      <c r="BA118" s="1029"/>
      <c r="BB118" s="1029"/>
      <c r="BC118" s="1033"/>
    </row>
    <row r="119" spans="1:62" ht="14.65" hidden="1" customHeight="1" x14ac:dyDescent="0.15">
      <c r="E119" s="461">
        <v>15</v>
      </c>
      <c r="T119" s="353" t="b">
        <f>ROW(W119)&gt;ROW(W$119)</f>
        <v>0</v>
      </c>
      <c r="W119" s="517" t="s">
        <v>172</v>
      </c>
      <c r="AA119" s="489" t="s">
        <v>173</v>
      </c>
      <c r="AB119" s="1028" t="s">
        <v>225</v>
      </c>
      <c r="AC119" s="1029"/>
      <c r="AD119" s="1029"/>
      <c r="AE119" s="1029"/>
      <c r="AF119" s="1029"/>
      <c r="AG119" s="1029"/>
      <c r="AH119" s="1029"/>
      <c r="AI119" s="1030"/>
      <c r="AJ119" s="1029"/>
      <c r="AK119" s="1029"/>
      <c r="AL119" s="1029"/>
      <c r="AM119" s="1029"/>
      <c r="AN119" s="1029"/>
      <c r="AO119" s="1029"/>
      <c r="AP119" s="1029"/>
      <c r="AQ119" s="1029"/>
      <c r="AR119" s="1029"/>
      <c r="AS119" s="1030"/>
      <c r="AT119" s="1029"/>
      <c r="AU119" s="1029"/>
      <c r="AV119" s="1029"/>
      <c r="AW119" s="1029"/>
      <c r="AX119" s="1029"/>
      <c r="AY119" s="1029"/>
      <c r="AZ119" s="1029"/>
      <c r="BA119" s="1029"/>
      <c r="BB119" s="1029"/>
      <c r="BC119" s="1031"/>
    </row>
    <row r="120" spans="1:62" ht="30.95" customHeight="1" x14ac:dyDescent="0.15">
      <c r="E120" s="461">
        <v>15</v>
      </c>
      <c r="T120" s="353" t="b">
        <f>ROW(W120)&gt;ROW(W$119)</f>
        <v>1</v>
      </c>
      <c r="W120" s="517"/>
      <c r="Y120" s="17" t="s">
        <v>225</v>
      </c>
      <c r="AA120" s="489" t="s">
        <v>173</v>
      </c>
      <c r="AB120" s="1032" t="s">
        <v>931</v>
      </c>
      <c r="AC120" s="1030"/>
      <c r="AD120" s="1030"/>
      <c r="AE120" s="1030"/>
      <c r="AF120" s="1030"/>
      <c r="AG120" s="1030"/>
      <c r="AH120" s="1030"/>
      <c r="AI120" s="1030"/>
      <c r="AJ120" s="1029"/>
      <c r="AK120" s="1029"/>
      <c r="AL120" s="1030"/>
      <c r="AM120" s="1030"/>
      <c r="AN120" s="1030"/>
      <c r="AO120" s="1030"/>
      <c r="AP120" s="1030"/>
      <c r="AQ120" s="1030"/>
      <c r="AR120" s="1030"/>
      <c r="AS120" s="1030"/>
      <c r="AT120" s="1029"/>
      <c r="AU120" s="1029"/>
      <c r="AV120" s="1030"/>
      <c r="AW120" s="1030"/>
      <c r="AX120" s="1030"/>
      <c r="AY120" s="1030"/>
      <c r="AZ120" s="1030"/>
      <c r="BA120" s="1030"/>
      <c r="BB120" s="1030"/>
      <c r="BC120" s="1033"/>
    </row>
    <row r="121" spans="1:62" ht="31.7" customHeight="1" x14ac:dyDescent="0.15">
      <c r="E121" s="461">
        <v>15</v>
      </c>
      <c r="T121" s="353" t="b">
        <f>ROW(W121)&gt;ROW(W$119)</f>
        <v>1</v>
      </c>
      <c r="W121" s="517"/>
      <c r="Y121" s="17" t="s">
        <v>225</v>
      </c>
      <c r="AA121" s="489" t="s">
        <v>173</v>
      </c>
      <c r="AB121" s="1032" t="s">
        <v>932</v>
      </c>
      <c r="AC121" s="1030"/>
      <c r="AD121" s="1030"/>
      <c r="AE121" s="1030"/>
      <c r="AF121" s="1030"/>
      <c r="AG121" s="1030"/>
      <c r="AH121" s="1030"/>
      <c r="AI121" s="1030"/>
      <c r="AJ121" s="1029"/>
      <c r="AK121" s="1029"/>
      <c r="AL121" s="1030"/>
      <c r="AM121" s="1030"/>
      <c r="AN121" s="1030"/>
      <c r="AO121" s="1030"/>
      <c r="AP121" s="1030"/>
      <c r="AQ121" s="1030"/>
      <c r="AR121" s="1030"/>
      <c r="AS121" s="1030"/>
      <c r="AT121" s="1029"/>
      <c r="AU121" s="1029"/>
      <c r="AV121" s="1030"/>
      <c r="AW121" s="1030"/>
      <c r="AX121" s="1030"/>
      <c r="AY121" s="1030"/>
      <c r="AZ121" s="1030"/>
      <c r="BA121" s="1030"/>
      <c r="BB121" s="1030"/>
      <c r="BC121" s="1033"/>
    </row>
    <row r="122" spans="1:62" ht="24.75" customHeight="1" x14ac:dyDescent="0.15">
      <c r="E122" s="461">
        <v>15</v>
      </c>
      <c r="T122" s="353" t="b">
        <f>ROW(W122)&gt;ROW(W$119)</f>
        <v>1</v>
      </c>
      <c r="W122" s="517"/>
      <c r="Y122" s="17" t="s">
        <v>225</v>
      </c>
      <c r="AA122" s="489" t="s">
        <v>173</v>
      </c>
      <c r="AB122" s="1032" t="s">
        <v>933</v>
      </c>
      <c r="AC122" s="1030"/>
      <c r="AD122" s="1030"/>
      <c r="AE122" s="1030"/>
      <c r="AF122" s="1030"/>
      <c r="AG122" s="1030"/>
      <c r="AH122" s="1030"/>
      <c r="AI122" s="1030"/>
      <c r="AJ122" s="1029"/>
      <c r="AK122" s="1029"/>
      <c r="AL122" s="1030"/>
      <c r="AM122" s="1030"/>
      <c r="AN122" s="1030"/>
      <c r="AO122" s="1030"/>
      <c r="AP122" s="1030"/>
      <c r="AQ122" s="1030"/>
      <c r="AR122" s="1030"/>
      <c r="AS122" s="1030"/>
      <c r="AT122" s="1029"/>
      <c r="AU122" s="1029"/>
      <c r="AV122" s="1030"/>
      <c r="AW122" s="1030"/>
      <c r="AX122" s="1030"/>
      <c r="AY122" s="1030"/>
      <c r="AZ122" s="1030"/>
      <c r="BA122" s="1030"/>
      <c r="BB122" s="1030"/>
      <c r="BC122" s="1033"/>
    </row>
    <row r="123" spans="1:62" ht="41.1" customHeight="1" x14ac:dyDescent="0.15">
      <c r="E123" s="461">
        <v>15</v>
      </c>
      <c r="T123" s="353" t="b">
        <f>ROW(W123)&gt;ROW(W$119)</f>
        <v>1</v>
      </c>
      <c r="W123" s="517"/>
      <c r="Y123" s="17" t="s">
        <v>225</v>
      </c>
      <c r="AA123" s="489" t="s">
        <v>173</v>
      </c>
      <c r="AB123" s="1032" t="s">
        <v>934</v>
      </c>
      <c r="AC123" s="1030"/>
      <c r="AD123" s="1030"/>
      <c r="AE123" s="1030"/>
      <c r="AF123" s="1030"/>
      <c r="AG123" s="1030"/>
      <c r="AH123" s="1030"/>
      <c r="AI123" s="1030"/>
      <c r="AJ123" s="1029"/>
      <c r="AK123" s="1029"/>
      <c r="AL123" s="1030"/>
      <c r="AM123" s="1030"/>
      <c r="AN123" s="1030"/>
      <c r="AO123" s="1030"/>
      <c r="AP123" s="1030"/>
      <c r="AQ123" s="1030"/>
      <c r="AR123" s="1030"/>
      <c r="AS123" s="1030"/>
      <c r="AT123" s="1029"/>
      <c r="AU123" s="1029"/>
      <c r="AV123" s="1030"/>
      <c r="AW123" s="1030"/>
      <c r="AX123" s="1030"/>
      <c r="AY123" s="1030"/>
      <c r="AZ123" s="1030"/>
      <c r="BA123" s="1030"/>
      <c r="BB123" s="1030"/>
      <c r="BC123" s="1033"/>
    </row>
    <row r="124" spans="1:62" ht="14.65" customHeight="1" x14ac:dyDescent="0.15">
      <c r="E124" s="461">
        <v>15</v>
      </c>
      <c r="W124" s="517" t="s">
        <v>419</v>
      </c>
      <c r="AA124" s="490"/>
      <c r="AB124" s="474"/>
      <c r="AC124" s="382" t="s">
        <v>420</v>
      </c>
      <c r="AD124" s="218"/>
      <c r="AE124" s="218"/>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20"/>
    </row>
    <row r="125" spans="1:62" ht="10.9" customHeight="1" x14ac:dyDescent="0.15">
      <c r="E125" s="461">
        <v>11.25</v>
      </c>
      <c r="AA125" s="526"/>
      <c r="AB125" s="527"/>
      <c r="BD125" s="22"/>
    </row>
  </sheetData>
  <sheetProtection formatColumns="0" formatRows="0" insertRows="0" deleteColumns="0" deleteRows="0" sort="0" autoFilter="0"/>
  <mergeCells count="41">
    <mergeCell ref="AB120:BC120"/>
    <mergeCell ref="AB121:BC121"/>
    <mergeCell ref="AB122:BC122"/>
    <mergeCell ref="AB123:BC123"/>
    <mergeCell ref="X93:X115"/>
    <mergeCell ref="Z93:Z115"/>
    <mergeCell ref="AA100:AA102"/>
    <mergeCell ref="AA108:AA114"/>
    <mergeCell ref="Y100:Y102"/>
    <mergeCell ref="Y108:Y114"/>
    <mergeCell ref="AA103:AA105"/>
    <mergeCell ref="Y103:Y105"/>
    <mergeCell ref="X70:X92"/>
    <mergeCell ref="Z70:Z92"/>
    <mergeCell ref="AA77:AA79"/>
    <mergeCell ref="AA85:AA91"/>
    <mergeCell ref="Y77:Y79"/>
    <mergeCell ref="Y85:Y91"/>
    <mergeCell ref="AA80:AA82"/>
    <mergeCell ref="Y80:Y82"/>
    <mergeCell ref="AB119:BC119"/>
    <mergeCell ref="AB24:AB25"/>
    <mergeCell ref="AC24:AC25"/>
    <mergeCell ref="AD24:AD25"/>
    <mergeCell ref="BC24:BC25"/>
    <mergeCell ref="X27:X46"/>
    <mergeCell ref="Z27:Z46"/>
    <mergeCell ref="AB117:BC117"/>
    <mergeCell ref="AB118:BC118"/>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AE77 AF77 AG77 AH77 AI77 AJ77 AK77 AL77 AM77 AN77 AO77 AP77 AQ77 AR77 AS77 AT77 AU77 AV77 AW77 AX77 AY77 AZ77 BA77 BB77 AE79:AE80 AE82 AF79:AF80 AF82 AG79:AG80 AG82 AH79:AH80 AH82 AI79:AI80 AI82 AJ79:AJ80 AJ82 AK79:AK80 AK82 AL79:AL80 AL82 AM79:AM80 AM82 AN79:AN80 AN82 AO79:AO80 AO82 AP79:AP80 AP82 AQ79:AQ80 AQ82 AR79:AR80 AR82 AS79:AS80 AS82 AT79:AT80 AT82 AU79:AU80 AU82 AV79:AV80 AV82 AW79:AW80 AW82 AX79:AX80 AX82 AY79:AY80 AY82 AZ79:AZ80 AZ82 BA79:BA80 BA82 BB79:BB80 BB82 AE86 AF86 AG86 AH86 AI86 AJ86 AK86 AL86 AM86 AN86 AO86 AP86 AQ86 AR86 AS86 AT86 AU86 AV86 AW86 AX86 AY86 AZ86 BA86 BB86 AE88 AF88 AG88 AH88 AI88 AJ88 AK88 AL88 AM88 AN88 AO88 AP88 AQ88 AR88 AS88 AT88 AU88 AV88 AW88 AX88 AY88 AZ88 BA88 BB88 AE89 AF89 AG89 AH89 AI89 AJ89 AK89 AL89 AM89 AN89 AO89 AP89 AQ89 AR89 AS89 AT89 AU89 AV89 AW89 AX89 AY89 AZ89 BA89 BB89 AE91 AF91 AG91 AH91 AI91 AJ91 AK91 AL91 AM91 AN91 AO91 AP91 AQ91 AR91 AS91 AT91 AU91 AV91 AW91 AX91 AY91 AZ91 BA91 BB91 AE100 AF100 AG100 AH100 AI100 AJ100 AK100 AL100 AM100 AN100 AO100 AP100 AQ100 AR100 AS100 AT100 AU100 AV100 AW100 AX100 AY100 AZ100 BA100 BB100 AE102:AE103 AE105 AF102:AF103 AF105 AG102:AG103 AG105 AH102:AH103 AH105 AI102:AI103 AI105 AJ102:AJ103 AJ105 AK102:AK103 AK105 AL102:AL103 AL105 AM102:AM103 AM105 AN102:AN103 AN105 AO102:AO103 AO105 AP102:AP103 AP105 AQ102:AQ103 AQ105 AR102:AR103 AR105 AS102:AS103 AS105 AT102:AT103 AT105 AU102:AU103 AU105 AV102:AV103 AV105 AW102:AW103 AW105 AX102:AX103 AX105 AY102:AY103 AY105 AZ102:AZ103 AZ105 BA102:BA103 BA105 BB102:BB103 BB105 AE109 AF109 AG109 AH109 AI109 AJ109 AK109 AL109 AM109 AN109 AO109 AP109 AQ109 AR109 AS109 AT109 AU109 AV109 AW109 AX109 AY109 AZ109 BA109 BB109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4 AF114 AG114 AH114 AI114 AJ114 AK114 AL114 AM114 AN114 AO114 AP114 AQ114 AR114 AS114 AT114 AU114 AV114 AW114 AX114 AY114 AZ114 BA114 BB114"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77 AC80 AC100 AC103"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AC85 AC108"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6EF28-8168-0758-CB8F-12AB6540FD1B}">
  <sheetPr>
    <tabColor rgb="FF002060"/>
    <outlinePr summaryBelow="0" summaryRight="0"/>
    <pageSetUpPr fitToPage="1"/>
  </sheetPr>
  <dimension ref="A1:BF232"/>
  <sheetViews>
    <sheetView showGridLines="0" zoomScale="120" workbookViewId="0">
      <pane xSplit="30" ySplit="25" topLeftCell="AE217" activePane="bottomRight" state="frozen"/>
      <selection pane="topRight" activeCell="AE1" sqref="AE1"/>
      <selection pane="bottomLeft" activeCell="A26" sqref="A26"/>
      <selection pane="bottomRight" activeCell="AB230" sqref="AB230:BC230"/>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49"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71.7109375" style="22" customWidth="1"/>
    <col min="56" max="56" width="3" style="22" customWidth="1"/>
    <col min="57" max="57" width="8.7109375" style="22" hidden="1"/>
    <col min="58" max="58" width="8.7109375" style="658" hidden="1"/>
  </cols>
  <sheetData>
    <row r="1" spans="1:58" ht="11.25" hidden="1" customHeight="1" x14ac:dyDescent="0.15">
      <c r="E1" s="22"/>
      <c r="F1" s="22" t="s">
        <v>320</v>
      </c>
      <c r="G1" s="22" t="s">
        <v>330</v>
      </c>
      <c r="T1" s="353" t="s">
        <v>92</v>
      </c>
      <c r="U1" s="353" t="s">
        <v>97</v>
      </c>
      <c r="V1" s="353" t="s">
        <v>93</v>
      </c>
      <c r="W1" s="353" t="s">
        <v>94</v>
      </c>
      <c r="X1" s="353" t="s">
        <v>95</v>
      </c>
      <c r="Y1" s="355" t="s">
        <v>322</v>
      </c>
      <c r="Z1" s="353" t="s">
        <v>99</v>
      </c>
      <c r="AA1" s="354" t="s">
        <v>96</v>
      </c>
      <c r="AB1" s="4"/>
      <c r="AC1" s="354" t="s">
        <v>98</v>
      </c>
      <c r="BF1" s="658" t="s">
        <v>323</v>
      </c>
    </row>
    <row r="2" spans="1:58"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x14ac:dyDescent="0.15">
      <c r="E3" s="22"/>
    </row>
    <row r="4" spans="1:58" ht="11.25" hidden="1" customHeight="1" x14ac:dyDescent="0.15">
      <c r="E4" s="22"/>
    </row>
    <row r="5" spans="1:58" s="449" customFormat="1" ht="11.25" hidden="1" customHeight="1" x14ac:dyDescent="0.15">
      <c r="A5" s="22"/>
      <c r="B5" s="43"/>
      <c r="C5" s="22"/>
      <c r="D5" s="22"/>
      <c r="E5" s="449" t="s">
        <v>19</v>
      </c>
      <c r="AA5" s="449">
        <v>3</v>
      </c>
      <c r="AB5" s="449">
        <v>11</v>
      </c>
      <c r="AC5" s="449">
        <v>41.71</v>
      </c>
      <c r="AD5" s="475">
        <v>11</v>
      </c>
      <c r="AE5" s="475">
        <v>12.57</v>
      </c>
      <c r="AF5" s="475">
        <v>12.57</v>
      </c>
      <c r="AG5" s="475">
        <v>12.57</v>
      </c>
      <c r="AH5" s="475">
        <v>12.57</v>
      </c>
      <c r="AI5" s="475">
        <v>12.57</v>
      </c>
      <c r="AJ5" s="475">
        <v>12.57</v>
      </c>
      <c r="AK5" s="475">
        <v>12.57</v>
      </c>
      <c r="AL5" s="475">
        <v>12.57</v>
      </c>
      <c r="AM5" s="475">
        <v>12.57</v>
      </c>
      <c r="AN5" s="475">
        <v>12.57</v>
      </c>
      <c r="AO5" s="475">
        <v>12.57</v>
      </c>
      <c r="AP5" s="475">
        <v>12.57</v>
      </c>
      <c r="AQ5" s="475">
        <v>12.57</v>
      </c>
      <c r="AR5" s="475">
        <v>12.57</v>
      </c>
      <c r="AS5" s="475">
        <v>12.57</v>
      </c>
      <c r="AT5" s="475">
        <v>12.57</v>
      </c>
      <c r="AU5" s="475">
        <v>12.57</v>
      </c>
      <c r="AV5" s="475">
        <v>12.57</v>
      </c>
      <c r="AW5" s="475">
        <v>12.57</v>
      </c>
      <c r="AX5" s="475">
        <v>12.57</v>
      </c>
      <c r="AY5" s="475">
        <v>12.57</v>
      </c>
      <c r="AZ5" s="475">
        <v>12.57</v>
      </c>
      <c r="BA5" s="475">
        <v>12.57</v>
      </c>
      <c r="BB5" s="475">
        <v>12.57</v>
      </c>
      <c r="BC5" s="449">
        <v>20</v>
      </c>
      <c r="BD5" s="449">
        <v>3</v>
      </c>
      <c r="BF5" s="658"/>
    </row>
    <row r="6" spans="1:58" ht="11.25" hidden="1" customHeight="1" x14ac:dyDescent="0.15">
      <c r="A6" s="22" t="s">
        <v>358</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359</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x14ac:dyDescent="0.15"/>
    <row r="9" spans="1:58" s="658" customFormat="1" ht="11.25" hidden="1" customHeight="1" x14ac:dyDescent="0.15">
      <c r="A9" s="671" t="s">
        <v>363</v>
      </c>
      <c r="B9" s="665"/>
      <c r="AD9" s="675"/>
      <c r="AE9" s="675" cm="1">
        <f t="array" ref="AE9">AE6</f>
        <v>2024</v>
      </c>
      <c r="AF9" s="675" cm="1">
        <f t="array" ref="AF9">AF6</f>
        <v>2024</v>
      </c>
      <c r="AG9" s="675" cm="1">
        <f t="array" ref="AG9">AG6</f>
        <v>2024</v>
      </c>
      <c r="AH9" s="675" cm="1">
        <f t="array" ref="AH9">AH6</f>
        <v>2025</v>
      </c>
      <c r="AI9" s="675" cm="1">
        <f t="array" ref="AI9">AI6</f>
        <v>2026</v>
      </c>
      <c r="AJ9" s="675" cm="1">
        <f t="array" ref="AJ9">AJ6</f>
        <v>2027</v>
      </c>
      <c r="AK9" s="675" cm="1">
        <f t="array" ref="AK9">AK6</f>
        <v>2028</v>
      </c>
      <c r="AL9" s="675" cm="1">
        <f t="array" ref="AL9">AL6</f>
        <v>2029</v>
      </c>
      <c r="AM9" s="675" cm="1">
        <f t="array" ref="AM9">AM6</f>
        <v>2030</v>
      </c>
      <c r="AN9" s="675" cm="1">
        <f t="array" ref="AN9">AN6</f>
        <v>2031</v>
      </c>
      <c r="AO9" s="675" cm="1">
        <f t="array" ref="AO9">AO6</f>
        <v>2032</v>
      </c>
      <c r="AP9" s="675" cm="1">
        <f t="array" ref="AP9">AP6</f>
        <v>2033</v>
      </c>
      <c r="AQ9" s="675" cm="1">
        <f t="array" ref="AQ9">AQ6</f>
        <v>2034</v>
      </c>
      <c r="AR9" s="675" cm="1">
        <f t="array" ref="AR9">AR6</f>
        <v>2035</v>
      </c>
      <c r="AS9" s="675" cm="1">
        <f t="array" ref="AS9">AS6</f>
        <v>2026</v>
      </c>
      <c r="AT9" s="675" cm="1">
        <f t="array" ref="AT9">AT6</f>
        <v>2027</v>
      </c>
      <c r="AU9" s="675" cm="1">
        <f t="array" ref="AU9">AU6</f>
        <v>2028</v>
      </c>
      <c r="AV9" s="675" cm="1">
        <f t="array" ref="AV9">AV6</f>
        <v>2029</v>
      </c>
      <c r="AW9" s="675" cm="1">
        <f t="array" ref="AW9">AW6</f>
        <v>2030</v>
      </c>
      <c r="AX9" s="675" cm="1">
        <f t="array" ref="AX9">AX6</f>
        <v>2031</v>
      </c>
      <c r="AY9" s="675" cm="1">
        <f t="array" ref="AY9">AY6</f>
        <v>2032</v>
      </c>
      <c r="AZ9" s="675" cm="1">
        <f t="array" ref="AZ9">AZ6</f>
        <v>2033</v>
      </c>
      <c r="BA9" s="675" cm="1">
        <f t="array" ref="BA9">BA6</f>
        <v>2034</v>
      </c>
      <c r="BB9" s="675" cm="1">
        <f t="array" ref="BB9">BB6</f>
        <v>2035</v>
      </c>
    </row>
    <row r="10" spans="1:58" s="658" customFormat="1" ht="11.25" hidden="1" customHeight="1" x14ac:dyDescent="0.15">
      <c r="A10" s="671" t="s">
        <v>364</v>
      </c>
      <c r="B10" s="665"/>
      <c r="AD10" s="675"/>
      <c r="AE10" s="675" t="str" cm="1">
        <f t="array" ref="AE10">AE25</f>
        <v>Принято органом регулирования</v>
      </c>
      <c r="AF10" s="675" t="str" cm="1">
        <f t="array" ref="AF10">AF25</f>
        <v>Факт по данным организации</v>
      </c>
      <c r="AG10" s="675" t="str" cm="1">
        <f t="array" ref="AG10">AG25</f>
        <v>Факт, принятый органом регулирования</v>
      </c>
      <c r="AH10" s="675" t="str" cm="1">
        <f t="array" ref="AH10">AH25</f>
        <v>Принято органом регулирования</v>
      </c>
      <c r="AI10" s="675" t="str" cm="1">
        <f t="array" ref="AI10">AI25</f>
        <v>Предложение организации</v>
      </c>
      <c r="AJ10" s="675" t="str" cm="1">
        <f t="array" ref="AJ10">AJ25</f>
        <v>Предложение организации</v>
      </c>
      <c r="AK10" s="675" t="str" cm="1">
        <f t="array" ref="AK10">AK25</f>
        <v>Предложение организации</v>
      </c>
      <c r="AL10" s="675" t="str" cm="1">
        <f t="array" ref="AL10">AL25</f>
        <v>Предложение организации</v>
      </c>
      <c r="AM10" s="675" t="str" cm="1">
        <f t="array" ref="AM10">AM25</f>
        <v>Предложение организации</v>
      </c>
      <c r="AN10" s="675" t="str" cm="1">
        <f t="array" ref="AN10">AN25</f>
        <v>Предложение организации</v>
      </c>
      <c r="AO10" s="675" t="str" cm="1">
        <f t="array" ref="AO10">AO25</f>
        <v>Предложение организации</v>
      </c>
      <c r="AP10" s="675" t="str" cm="1">
        <f t="array" ref="AP10">AP25</f>
        <v>Предложение организации</v>
      </c>
      <c r="AQ10" s="675" t="str" cm="1">
        <f t="array" ref="AQ10">AQ25</f>
        <v>Предложение организации</v>
      </c>
      <c r="AR10" s="675" t="str" cm="1">
        <f t="array" ref="AR10">AR25</f>
        <v>Предложение организации</v>
      </c>
      <c r="AS10" s="675" t="str" cm="1">
        <f t="array" ref="AS10">AS25</f>
        <v>Принято органом регулирования</v>
      </c>
      <c r="AT10" s="675" t="str" cm="1">
        <f t="array" ref="AT10">AT25</f>
        <v>Принято органом регулирования</v>
      </c>
      <c r="AU10" s="675" t="str" cm="1">
        <f t="array" ref="AU10">AU25</f>
        <v>Принято органом регулирования</v>
      </c>
      <c r="AV10" s="675" t="str" cm="1">
        <f t="array" ref="AV10">AV25</f>
        <v>Принято органом регулирования</v>
      </c>
      <c r="AW10" s="675" t="str" cm="1">
        <f t="array" ref="AW10">AW25</f>
        <v>Принято органом регулирования</v>
      </c>
      <c r="AX10" s="675" t="str" cm="1">
        <f t="array" ref="AX10">AX25</f>
        <v>Принято органом регулирования</v>
      </c>
      <c r="AY10" s="675" t="str" cm="1">
        <f t="array" ref="AY10">AY25</f>
        <v>Принято органом регулирования</v>
      </c>
      <c r="AZ10" s="675" t="str" cm="1">
        <f t="array" ref="AZ10">AZ25</f>
        <v>Принято органом регулирования</v>
      </c>
      <c r="BA10" s="675" t="str" cm="1">
        <f t="array" ref="BA10">BA25</f>
        <v>Принято органом регулирования</v>
      </c>
      <c r="BB10" s="675" t="str" cm="1">
        <f t="array" ref="BB10">BB25</f>
        <v>Принято органом регулирования</v>
      </c>
    </row>
    <row r="11" spans="1:58" s="658" customFormat="1" ht="11.25" hidden="1" customHeight="1" x14ac:dyDescent="0.15">
      <c r="A11" s="671" t="s">
        <v>365</v>
      </c>
      <c r="B11" s="66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58"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9">
        <v>15</v>
      </c>
      <c r="AA21" s="325"/>
      <c r="AC21" s="3" t="str" cm="1">
        <f t="array" ref="AC21">tpl_title</f>
        <v>Кемеровская область / 2026 / КАО "Азот" (ИНН:4205000908, КПП:997550001) / ДПР: 2024-2028</v>
      </c>
    </row>
    <row r="22" spans="1:58" ht="19.5" customHeight="1" x14ac:dyDescent="0.25">
      <c r="E22" s="449">
        <v>20</v>
      </c>
      <c r="AB22" s="226" t="s">
        <v>935</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x14ac:dyDescent="0.15">
      <c r="E23" s="449">
        <v>11</v>
      </c>
      <c r="AB23" s="1007"/>
      <c r="AC23" s="1007"/>
      <c r="AD23" s="1007"/>
      <c r="AE23" s="1007"/>
      <c r="AF23" s="1007"/>
      <c r="AG23" s="1007"/>
      <c r="AH23" s="1007"/>
      <c r="AI23" s="1007"/>
      <c r="AJ23" s="1007"/>
      <c r="AK23" s="1007"/>
      <c r="AL23" s="1007"/>
      <c r="AM23" s="1007"/>
      <c r="AN23" s="1007"/>
      <c r="AO23" s="1007"/>
      <c r="AP23" s="1007"/>
      <c r="AQ23" s="1007"/>
      <c r="AR23" s="1007"/>
      <c r="AS23" s="1007"/>
      <c r="AT23" s="1007"/>
      <c r="AU23" s="1007"/>
      <c r="AV23" s="1007"/>
      <c r="AW23" s="1007"/>
      <c r="AX23" s="1007"/>
      <c r="AY23" s="1007"/>
      <c r="AZ23" s="1007"/>
      <c r="BA23" s="1007"/>
      <c r="BB23" s="1007"/>
    </row>
    <row r="24" spans="1:58" ht="14.65" customHeight="1" x14ac:dyDescent="0.15">
      <c r="E24" s="449">
        <v>15</v>
      </c>
      <c r="AB24" s="993" t="s">
        <v>810</v>
      </c>
      <c r="AC24" s="1039" t="s">
        <v>193</v>
      </c>
      <c r="AD24" s="993" t="s">
        <v>368</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0" t="s">
        <v>553</v>
      </c>
    </row>
    <row r="25" spans="1:58" ht="48.75" customHeight="1" x14ac:dyDescent="0.15">
      <c r="E25" s="449">
        <v>50</v>
      </c>
      <c r="AB25" s="993"/>
      <c r="AC25" s="1039"/>
      <c r="AD25" s="993"/>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1041"/>
    </row>
    <row r="26" spans="1:58" ht="11.25" customHeight="1" x14ac:dyDescent="0.15">
      <c r="A26"/>
      <c r="B26" s="327"/>
      <c r="C26"/>
      <c r="D26"/>
      <c r="E26" s="454" t="s">
        <v>371</v>
      </c>
      <c r="F26" s="86" t="s">
        <v>936</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x14ac:dyDescent="0.15">
      <c r="E27" s="449">
        <v>15</v>
      </c>
      <c r="F27" s="519" cm="1">
        <f t="array" ref="F27">X27</f>
        <v>0</v>
      </c>
      <c r="T27" s="353" t="b">
        <f>X27&gt;0</f>
        <v>0</v>
      </c>
      <c r="V27" s="22" t="s">
        <v>264</v>
      </c>
      <c r="X27" s="1022">
        <v>0</v>
      </c>
      <c r="Z27" s="1023"/>
      <c r="AB27" s="97" t="str" cm="1">
        <f t="array" ref="AB27">INDEX('Общие сведения'!$AG$179:$AG$236,MATCH($X27,'Общие сведения'!$Z$179:$Z$236,0))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x14ac:dyDescent="0.15">
      <c r="B28" s="328"/>
      <c r="E28" s="488">
        <v>22.5</v>
      </c>
      <c r="F28" s="3" cm="1">
        <f t="array" aca="1" ref="F28" ca="1">OFFSET(E28,-1,1)</f>
        <v>0</v>
      </c>
      <c r="G28" s="22" t="s">
        <v>331</v>
      </c>
      <c r="T28" s="353" t="b" cm="1">
        <f t="array" ref="T28">T27</f>
        <v>0</v>
      </c>
      <c r="X28" s="1022"/>
      <c r="Z28" s="1023"/>
      <c r="AB28" s="124">
        <v>1</v>
      </c>
      <c r="AC28" s="125" t="s">
        <v>937</v>
      </c>
      <c r="AD28" s="8" t="s">
        <v>828</v>
      </c>
      <c r="AE28" s="774">
        <f t="shared" ref="AE28:BB28" si="1">SUM(AE29:AE33)</f>
        <v>0</v>
      </c>
      <c r="AF28" s="774">
        <f t="shared" si="1"/>
        <v>0</v>
      </c>
      <c r="AG28" s="774">
        <f t="shared" si="1"/>
        <v>0</v>
      </c>
      <c r="AH28" s="774">
        <f t="shared" si="1"/>
        <v>0</v>
      </c>
      <c r="AI28" s="138">
        <f t="shared" si="1"/>
        <v>0</v>
      </c>
      <c r="AJ28" s="774">
        <f t="shared" si="1"/>
        <v>0</v>
      </c>
      <c r="AK28" s="774">
        <f t="shared" si="1"/>
        <v>0</v>
      </c>
      <c r="AL28" s="774">
        <f t="shared" si="1"/>
        <v>0</v>
      </c>
      <c r="AM28" s="774">
        <f t="shared" si="1"/>
        <v>0</v>
      </c>
      <c r="AN28" s="774">
        <f t="shared" si="1"/>
        <v>0</v>
      </c>
      <c r="AO28" s="774">
        <f t="shared" si="1"/>
        <v>0</v>
      </c>
      <c r="AP28" s="774">
        <f t="shared" si="1"/>
        <v>0</v>
      </c>
      <c r="AQ28" s="774">
        <f t="shared" si="1"/>
        <v>0</v>
      </c>
      <c r="AR28" s="774">
        <f t="shared" si="1"/>
        <v>0</v>
      </c>
      <c r="AS28" s="138">
        <f t="shared" si="1"/>
        <v>0</v>
      </c>
      <c r="AT28" s="774">
        <f t="shared" si="1"/>
        <v>0</v>
      </c>
      <c r="AU28" s="774">
        <f t="shared" si="1"/>
        <v>0</v>
      </c>
      <c r="AV28" s="774">
        <f t="shared" si="1"/>
        <v>0</v>
      </c>
      <c r="AW28" s="774">
        <f t="shared" si="1"/>
        <v>0</v>
      </c>
      <c r="AX28" s="774">
        <f t="shared" si="1"/>
        <v>0</v>
      </c>
      <c r="AY28" s="774">
        <f t="shared" si="1"/>
        <v>0</v>
      </c>
      <c r="AZ28" s="774">
        <f t="shared" si="1"/>
        <v>0</v>
      </c>
      <c r="BA28" s="774">
        <f t="shared" si="1"/>
        <v>0</v>
      </c>
      <c r="BB28" s="774">
        <f t="shared" si="1"/>
        <v>0</v>
      </c>
      <c r="BC28" s="826"/>
      <c r="BF28" s="680" t="s">
        <v>938</v>
      </c>
    </row>
    <row r="29" spans="1:58" ht="14.65" hidden="1" customHeight="1" x14ac:dyDescent="0.15">
      <c r="E29" s="449">
        <v>15</v>
      </c>
      <c r="F29" s="3" cm="1">
        <f t="array" aca="1" ref="F29" ca="1">OFFSET(E29,-1,1)</f>
        <v>0</v>
      </c>
      <c r="G29" s="22" t="s">
        <v>482</v>
      </c>
      <c r="T29" s="353" t="b" cm="1">
        <f t="array" ref="T29">T28</f>
        <v>0</v>
      </c>
      <c r="X29" s="1022"/>
      <c r="Z29" s="1023"/>
      <c r="AB29" s="7" t="s">
        <v>939</v>
      </c>
      <c r="AC29" s="127" t="s">
        <v>940</v>
      </c>
      <c r="AD29" s="8" t="s">
        <v>828</v>
      </c>
      <c r="AE29" s="778"/>
      <c r="AF29" s="778"/>
      <c r="AG29" s="778"/>
      <c r="AH29" s="778"/>
      <c r="AI29" s="128"/>
      <c r="AJ29" s="778"/>
      <c r="AK29" s="778"/>
      <c r="AL29" s="778"/>
      <c r="AM29" s="778"/>
      <c r="AN29" s="778"/>
      <c r="AO29" s="778"/>
      <c r="AP29" s="778"/>
      <c r="AQ29" s="778"/>
      <c r="AR29" s="778"/>
      <c r="AS29" s="128"/>
      <c r="AT29" s="778"/>
      <c r="AU29" s="778"/>
      <c r="AV29" s="778"/>
      <c r="AW29" s="778"/>
      <c r="AX29" s="778"/>
      <c r="AY29" s="778"/>
      <c r="AZ29" s="778"/>
      <c r="BA29" s="778"/>
      <c r="BB29" s="778"/>
      <c r="BC29" s="826"/>
      <c r="BF29" s="680" t="s">
        <v>941</v>
      </c>
    </row>
    <row r="30" spans="1:58" ht="14.65" hidden="1" customHeight="1" x14ac:dyDescent="0.15">
      <c r="E30" s="449">
        <v>15</v>
      </c>
      <c r="F30" s="3" cm="1">
        <f t="array" aca="1" ref="F30" ca="1">OFFSET(E30,-1,1)</f>
        <v>0</v>
      </c>
      <c r="G30" s="22" t="s">
        <v>486</v>
      </c>
      <c r="T30" s="353" t="b" cm="1">
        <f t="array" ref="T30">T29</f>
        <v>0</v>
      </c>
      <c r="X30" s="1022"/>
      <c r="Z30" s="1023"/>
      <c r="AB30" s="7" t="s">
        <v>942</v>
      </c>
      <c r="AC30" s="127" t="s">
        <v>943</v>
      </c>
      <c r="AD30" s="8" t="s">
        <v>828</v>
      </c>
      <c r="AE30" s="778"/>
      <c r="AF30" s="778"/>
      <c r="AG30" s="778"/>
      <c r="AH30" s="778"/>
      <c r="AI30" s="128"/>
      <c r="AJ30" s="778"/>
      <c r="AK30" s="778"/>
      <c r="AL30" s="778"/>
      <c r="AM30" s="778"/>
      <c r="AN30" s="778"/>
      <c r="AO30" s="778"/>
      <c r="AP30" s="778"/>
      <c r="AQ30" s="778"/>
      <c r="AR30" s="778"/>
      <c r="AS30" s="128"/>
      <c r="AT30" s="778"/>
      <c r="AU30" s="778"/>
      <c r="AV30" s="778"/>
      <c r="AW30" s="778"/>
      <c r="AX30" s="778"/>
      <c r="AY30" s="778"/>
      <c r="AZ30" s="778"/>
      <c r="BA30" s="778"/>
      <c r="BB30" s="778"/>
      <c r="BC30" s="826"/>
      <c r="BF30" s="680" t="s">
        <v>944</v>
      </c>
    </row>
    <row r="31" spans="1:58" ht="14.65" hidden="1" customHeight="1" x14ac:dyDescent="0.15">
      <c r="E31" s="449">
        <v>15</v>
      </c>
      <c r="F31" s="3" cm="1">
        <f t="array" aca="1" ref="F31" ca="1">OFFSET(E31,-1,1)</f>
        <v>0</v>
      </c>
      <c r="G31" s="22" t="s">
        <v>489</v>
      </c>
      <c r="T31" s="353" t="b" cm="1">
        <f t="array" ref="T31">T30</f>
        <v>0</v>
      </c>
      <c r="X31" s="1022"/>
      <c r="Z31" s="1023"/>
      <c r="AB31" s="7" t="s">
        <v>945</v>
      </c>
      <c r="AC31" s="127" t="s">
        <v>946</v>
      </c>
      <c r="AD31" s="8" t="s">
        <v>828</v>
      </c>
      <c r="AE31" s="778"/>
      <c r="AF31" s="778"/>
      <c r="AG31" s="778"/>
      <c r="AH31" s="778"/>
      <c r="AI31" s="128"/>
      <c r="AJ31" s="778"/>
      <c r="AK31" s="778"/>
      <c r="AL31" s="778"/>
      <c r="AM31" s="778"/>
      <c r="AN31" s="778"/>
      <c r="AO31" s="778"/>
      <c r="AP31" s="778"/>
      <c r="AQ31" s="778"/>
      <c r="AR31" s="778"/>
      <c r="AS31" s="128"/>
      <c r="AT31" s="778"/>
      <c r="AU31" s="778"/>
      <c r="AV31" s="778"/>
      <c r="AW31" s="778"/>
      <c r="AX31" s="778"/>
      <c r="AY31" s="778"/>
      <c r="AZ31" s="778"/>
      <c r="BA31" s="778"/>
      <c r="BB31" s="778"/>
      <c r="BC31" s="826"/>
      <c r="BF31" s="680" t="s">
        <v>947</v>
      </c>
    </row>
    <row r="32" spans="1:58" ht="14.65" hidden="1" customHeight="1" x14ac:dyDescent="0.15">
      <c r="E32" s="449">
        <v>15</v>
      </c>
      <c r="F32" s="3" cm="1">
        <f t="array" aca="1" ref="F32" ca="1">OFFSET(E32,-1,1)</f>
        <v>0</v>
      </c>
      <c r="G32" s="22" t="s">
        <v>493</v>
      </c>
      <c r="T32" s="353" t="b" cm="1">
        <f t="array" ref="T32">T31</f>
        <v>0</v>
      </c>
      <c r="X32" s="1022"/>
      <c r="Z32" s="1023"/>
      <c r="AB32" s="7" t="s">
        <v>948</v>
      </c>
      <c r="AC32" s="127" t="s">
        <v>949</v>
      </c>
      <c r="AD32" s="8" t="s">
        <v>828</v>
      </c>
      <c r="AE32" s="778"/>
      <c r="AF32" s="778"/>
      <c r="AG32" s="778"/>
      <c r="AH32" s="778"/>
      <c r="AI32" s="128"/>
      <c r="AJ32" s="778"/>
      <c r="AK32" s="778"/>
      <c r="AL32" s="778"/>
      <c r="AM32" s="778"/>
      <c r="AN32" s="778"/>
      <c r="AO32" s="778"/>
      <c r="AP32" s="778"/>
      <c r="AQ32" s="778"/>
      <c r="AR32" s="778"/>
      <c r="AS32" s="128"/>
      <c r="AT32" s="778"/>
      <c r="AU32" s="778"/>
      <c r="AV32" s="778"/>
      <c r="AW32" s="778"/>
      <c r="AX32" s="778"/>
      <c r="AY32" s="778"/>
      <c r="AZ32" s="778"/>
      <c r="BA32" s="778"/>
      <c r="BB32" s="778"/>
      <c r="BC32" s="826"/>
      <c r="BF32" s="680" t="s">
        <v>950</v>
      </c>
    </row>
    <row r="33" spans="2:58" ht="14.65" hidden="1" customHeight="1" x14ac:dyDescent="0.15">
      <c r="E33" s="449">
        <v>15</v>
      </c>
      <c r="F33" s="3" cm="1">
        <f t="array" aca="1" ref="F33" ca="1">OFFSET(E33,-1,1)</f>
        <v>0</v>
      </c>
      <c r="G33" s="22" t="s">
        <v>951</v>
      </c>
      <c r="T33" s="353" t="b" cm="1">
        <f t="array" ref="T33">T32</f>
        <v>0</v>
      </c>
      <c r="X33" s="1022"/>
      <c r="Z33" s="1023"/>
      <c r="AB33" s="7" t="s">
        <v>952</v>
      </c>
      <c r="AC33" s="127" t="s">
        <v>953</v>
      </c>
      <c r="AD33" s="8" t="s">
        <v>828</v>
      </c>
      <c r="AE33" s="778"/>
      <c r="AF33" s="778"/>
      <c r="AG33" s="778"/>
      <c r="AH33" s="778"/>
      <c r="AI33" s="128"/>
      <c r="AJ33" s="778"/>
      <c r="AK33" s="778"/>
      <c r="AL33" s="778"/>
      <c r="AM33" s="778"/>
      <c r="AN33" s="778"/>
      <c r="AO33" s="778"/>
      <c r="AP33" s="778"/>
      <c r="AQ33" s="778"/>
      <c r="AR33" s="778"/>
      <c r="AS33" s="128"/>
      <c r="AT33" s="778"/>
      <c r="AU33" s="778"/>
      <c r="AV33" s="778"/>
      <c r="AW33" s="778"/>
      <c r="AX33" s="778"/>
      <c r="AY33" s="778"/>
      <c r="AZ33" s="778"/>
      <c r="BA33" s="778"/>
      <c r="BB33" s="778"/>
      <c r="BC33" s="826"/>
      <c r="BF33" s="680" t="s">
        <v>954</v>
      </c>
    </row>
    <row r="34" spans="2:58" s="63" customFormat="1" ht="14.65" hidden="1" customHeight="1" x14ac:dyDescent="0.15">
      <c r="B34" s="328"/>
      <c r="E34" s="449">
        <v>15</v>
      </c>
      <c r="F34" s="3" cm="1">
        <f t="array" aca="1" ref="F34" ca="1">OFFSET(E34,-1,1)</f>
        <v>0</v>
      </c>
      <c r="G34" s="22" t="s">
        <v>332</v>
      </c>
      <c r="T34" s="353" t="b" cm="1">
        <f t="array" ref="T34">T33</f>
        <v>0</v>
      </c>
      <c r="X34" s="1022"/>
      <c r="Z34" s="1023"/>
      <c r="AB34" s="124">
        <v>2</v>
      </c>
      <c r="AC34" s="125" t="s">
        <v>955</v>
      </c>
      <c r="AD34" s="8" t="s">
        <v>828</v>
      </c>
      <c r="AE34" s="774">
        <f t="shared" ref="AE34:BB34" si="2">SUM(AE35:AE39)</f>
        <v>0</v>
      </c>
      <c r="AF34" s="774">
        <f t="shared" si="2"/>
        <v>0</v>
      </c>
      <c r="AG34" s="774">
        <f t="shared" si="2"/>
        <v>0</v>
      </c>
      <c r="AH34" s="774">
        <f t="shared" si="2"/>
        <v>0</v>
      </c>
      <c r="AI34" s="138">
        <f t="shared" si="2"/>
        <v>0</v>
      </c>
      <c r="AJ34" s="774">
        <f t="shared" si="2"/>
        <v>0</v>
      </c>
      <c r="AK34" s="774">
        <f t="shared" si="2"/>
        <v>0</v>
      </c>
      <c r="AL34" s="774">
        <f t="shared" si="2"/>
        <v>0</v>
      </c>
      <c r="AM34" s="774">
        <f t="shared" si="2"/>
        <v>0</v>
      </c>
      <c r="AN34" s="774">
        <f t="shared" si="2"/>
        <v>0</v>
      </c>
      <c r="AO34" s="774">
        <f t="shared" si="2"/>
        <v>0</v>
      </c>
      <c r="AP34" s="774">
        <f t="shared" si="2"/>
        <v>0</v>
      </c>
      <c r="AQ34" s="774">
        <f t="shared" si="2"/>
        <v>0</v>
      </c>
      <c r="AR34" s="774">
        <f t="shared" si="2"/>
        <v>0</v>
      </c>
      <c r="AS34" s="138">
        <f t="shared" si="2"/>
        <v>0</v>
      </c>
      <c r="AT34" s="774">
        <f t="shared" si="2"/>
        <v>0</v>
      </c>
      <c r="AU34" s="774">
        <f t="shared" si="2"/>
        <v>0</v>
      </c>
      <c r="AV34" s="774">
        <f t="shared" si="2"/>
        <v>0</v>
      </c>
      <c r="AW34" s="774">
        <f t="shared" si="2"/>
        <v>0</v>
      </c>
      <c r="AX34" s="774">
        <f t="shared" si="2"/>
        <v>0</v>
      </c>
      <c r="AY34" s="774">
        <f t="shared" si="2"/>
        <v>0</v>
      </c>
      <c r="AZ34" s="774">
        <f t="shared" si="2"/>
        <v>0</v>
      </c>
      <c r="BA34" s="774">
        <f t="shared" si="2"/>
        <v>0</v>
      </c>
      <c r="BB34" s="774">
        <f t="shared" si="2"/>
        <v>0</v>
      </c>
      <c r="BC34" s="826"/>
      <c r="BF34" s="680" t="s">
        <v>956</v>
      </c>
    </row>
    <row r="35" spans="2:58" ht="14.65" hidden="1" customHeight="1" x14ac:dyDescent="0.15">
      <c r="E35" s="449">
        <v>15</v>
      </c>
      <c r="F35" s="3" cm="1">
        <f t="array" aca="1" ref="F35" ca="1">OFFSET(E35,-1,1)</f>
        <v>0</v>
      </c>
      <c r="G35" s="22" t="s">
        <v>500</v>
      </c>
      <c r="T35" s="353" t="b" cm="1">
        <f t="array" ref="T35">T34</f>
        <v>0</v>
      </c>
      <c r="X35" s="1022"/>
      <c r="Z35" s="1023"/>
      <c r="AB35" s="7" t="s">
        <v>561</v>
      </c>
      <c r="AC35" s="127" t="s">
        <v>940</v>
      </c>
      <c r="AD35" s="8" t="s">
        <v>828</v>
      </c>
      <c r="AE35" s="778"/>
      <c r="AF35" s="778"/>
      <c r="AG35" s="778"/>
      <c r="AH35" s="778"/>
      <c r="AI35" s="128"/>
      <c r="AJ35" s="778"/>
      <c r="AK35" s="778"/>
      <c r="AL35" s="778"/>
      <c r="AM35" s="778"/>
      <c r="AN35" s="778"/>
      <c r="AO35" s="778"/>
      <c r="AP35" s="778"/>
      <c r="AQ35" s="778"/>
      <c r="AR35" s="778"/>
      <c r="AS35" s="128"/>
      <c r="AT35" s="778"/>
      <c r="AU35" s="778"/>
      <c r="AV35" s="778"/>
      <c r="AW35" s="778"/>
      <c r="AX35" s="778"/>
      <c r="AY35" s="778"/>
      <c r="AZ35" s="778"/>
      <c r="BA35" s="778"/>
      <c r="BB35" s="778"/>
      <c r="BC35" s="826"/>
      <c r="BF35" s="680" t="s">
        <v>957</v>
      </c>
    </row>
    <row r="36" spans="2:58" ht="14.65" hidden="1" customHeight="1" x14ac:dyDescent="0.15">
      <c r="E36" s="449">
        <v>15</v>
      </c>
      <c r="F36" s="3" cm="1">
        <f t="array" aca="1" ref="F36" ca="1">OFFSET(E36,-1,1)</f>
        <v>0</v>
      </c>
      <c r="G36" s="22" t="s">
        <v>503</v>
      </c>
      <c r="T36" s="353" t="b" cm="1">
        <f t="array" ref="T36">T35</f>
        <v>0</v>
      </c>
      <c r="X36" s="1022"/>
      <c r="Z36" s="1023"/>
      <c r="AB36" s="7" t="s">
        <v>565</v>
      </c>
      <c r="AC36" s="127" t="s">
        <v>943</v>
      </c>
      <c r="AD36" s="8" t="s">
        <v>828</v>
      </c>
      <c r="AE36" s="778"/>
      <c r="AF36" s="778"/>
      <c r="AG36" s="778"/>
      <c r="AH36" s="778"/>
      <c r="AI36" s="128"/>
      <c r="AJ36" s="778"/>
      <c r="AK36" s="778"/>
      <c r="AL36" s="778"/>
      <c r="AM36" s="778"/>
      <c r="AN36" s="778"/>
      <c r="AO36" s="778"/>
      <c r="AP36" s="778"/>
      <c r="AQ36" s="778"/>
      <c r="AR36" s="778"/>
      <c r="AS36" s="128"/>
      <c r="AT36" s="778"/>
      <c r="AU36" s="778"/>
      <c r="AV36" s="778"/>
      <c r="AW36" s="778"/>
      <c r="AX36" s="778"/>
      <c r="AY36" s="778"/>
      <c r="AZ36" s="778"/>
      <c r="BA36" s="778"/>
      <c r="BB36" s="778"/>
      <c r="BC36" s="826"/>
      <c r="BF36" s="680" t="s">
        <v>958</v>
      </c>
    </row>
    <row r="37" spans="2:58" ht="14.65" hidden="1" customHeight="1" x14ac:dyDescent="0.15">
      <c r="E37" s="449">
        <v>15</v>
      </c>
      <c r="F37" s="3" cm="1">
        <f t="array" aca="1" ref="F37" ca="1">OFFSET(E37,-1,1)</f>
        <v>0</v>
      </c>
      <c r="G37" s="22" t="s">
        <v>959</v>
      </c>
      <c r="T37" s="353" t="b" cm="1">
        <f t="array" ref="T37">T36</f>
        <v>0</v>
      </c>
      <c r="X37" s="1022"/>
      <c r="Z37" s="1023"/>
      <c r="AB37" s="7" t="s">
        <v>569</v>
      </c>
      <c r="AC37" s="127" t="s">
        <v>946</v>
      </c>
      <c r="AD37" s="8" t="s">
        <v>828</v>
      </c>
      <c r="AE37" s="778"/>
      <c r="AF37" s="778"/>
      <c r="AG37" s="778"/>
      <c r="AH37" s="778"/>
      <c r="AI37" s="128"/>
      <c r="AJ37" s="778"/>
      <c r="AK37" s="778"/>
      <c r="AL37" s="778"/>
      <c r="AM37" s="778"/>
      <c r="AN37" s="778"/>
      <c r="AO37" s="778"/>
      <c r="AP37" s="778"/>
      <c r="AQ37" s="778"/>
      <c r="AR37" s="778"/>
      <c r="AS37" s="128"/>
      <c r="AT37" s="778"/>
      <c r="AU37" s="778"/>
      <c r="AV37" s="778"/>
      <c r="AW37" s="778"/>
      <c r="AX37" s="778"/>
      <c r="AY37" s="778"/>
      <c r="AZ37" s="778"/>
      <c r="BA37" s="778"/>
      <c r="BB37" s="778"/>
      <c r="BC37" s="826"/>
      <c r="BF37" s="680" t="s">
        <v>960</v>
      </c>
    </row>
    <row r="38" spans="2:58" ht="14.65" hidden="1" customHeight="1" x14ac:dyDescent="0.15">
      <c r="E38" s="449">
        <v>15</v>
      </c>
      <c r="F38" s="3" cm="1">
        <f t="array" aca="1" ref="F38" ca="1">OFFSET(E38,-1,1)</f>
        <v>0</v>
      </c>
      <c r="G38" s="22" t="s">
        <v>961</v>
      </c>
      <c r="T38" s="353" t="b" cm="1">
        <f t="array" ref="T38">T37</f>
        <v>0</v>
      </c>
      <c r="X38" s="1022"/>
      <c r="Z38" s="1023"/>
      <c r="AB38" s="7" t="s">
        <v>962</v>
      </c>
      <c r="AC38" s="127" t="s">
        <v>949</v>
      </c>
      <c r="AD38" s="8" t="s">
        <v>828</v>
      </c>
      <c r="AE38" s="778"/>
      <c r="AF38" s="778"/>
      <c r="AG38" s="778"/>
      <c r="AH38" s="778"/>
      <c r="AI38" s="128"/>
      <c r="AJ38" s="778"/>
      <c r="AK38" s="778"/>
      <c r="AL38" s="778"/>
      <c r="AM38" s="778"/>
      <c r="AN38" s="778"/>
      <c r="AO38" s="778"/>
      <c r="AP38" s="778"/>
      <c r="AQ38" s="778"/>
      <c r="AR38" s="778"/>
      <c r="AS38" s="128"/>
      <c r="AT38" s="778"/>
      <c r="AU38" s="778"/>
      <c r="AV38" s="778"/>
      <c r="AW38" s="778"/>
      <c r="AX38" s="778"/>
      <c r="AY38" s="778"/>
      <c r="AZ38" s="778"/>
      <c r="BA38" s="778"/>
      <c r="BB38" s="778"/>
      <c r="BC38" s="826"/>
      <c r="BF38" s="680" t="s">
        <v>963</v>
      </c>
    </row>
    <row r="39" spans="2:58" ht="14.65" hidden="1" customHeight="1" x14ac:dyDescent="0.15">
      <c r="E39" s="449">
        <v>15</v>
      </c>
      <c r="F39" s="3" cm="1">
        <f t="array" aca="1" ref="F39" ca="1">OFFSET(E39,-1,1)</f>
        <v>0</v>
      </c>
      <c r="G39" s="22" t="s">
        <v>964</v>
      </c>
      <c r="T39" s="353" t="b" cm="1">
        <f t="array" ref="T39">T38</f>
        <v>0</v>
      </c>
      <c r="X39" s="1022"/>
      <c r="Z39" s="1023"/>
      <c r="AB39" s="7" t="s">
        <v>965</v>
      </c>
      <c r="AC39" s="127" t="s">
        <v>953</v>
      </c>
      <c r="AD39" s="8" t="s">
        <v>828</v>
      </c>
      <c r="AE39" s="778"/>
      <c r="AF39" s="778"/>
      <c r="AG39" s="778"/>
      <c r="AH39" s="778"/>
      <c r="AI39" s="128"/>
      <c r="AJ39" s="778"/>
      <c r="AK39" s="778"/>
      <c r="AL39" s="778"/>
      <c r="AM39" s="778"/>
      <c r="AN39" s="778"/>
      <c r="AO39" s="778"/>
      <c r="AP39" s="778"/>
      <c r="AQ39" s="778"/>
      <c r="AR39" s="778"/>
      <c r="AS39" s="128"/>
      <c r="AT39" s="778"/>
      <c r="AU39" s="778"/>
      <c r="AV39" s="778"/>
      <c r="AW39" s="778"/>
      <c r="AX39" s="778"/>
      <c r="AY39" s="778"/>
      <c r="AZ39" s="778"/>
      <c r="BA39" s="778"/>
      <c r="BB39" s="778"/>
      <c r="BC39" s="826"/>
      <c r="BF39" s="680" t="s">
        <v>966</v>
      </c>
    </row>
    <row r="40" spans="2:58" s="63" customFormat="1" ht="14.65" hidden="1" customHeight="1" x14ac:dyDescent="0.15">
      <c r="B40" s="328"/>
      <c r="E40" s="449">
        <v>15</v>
      </c>
      <c r="F40" s="3" cm="1">
        <f t="array" aca="1" ref="F40" ca="1">OFFSET(E40,-1,1)</f>
        <v>0</v>
      </c>
      <c r="G40" s="22" t="s">
        <v>333</v>
      </c>
      <c r="T40" s="353" t="b" cm="1">
        <f t="array" ref="T40">T39</f>
        <v>0</v>
      </c>
      <c r="X40" s="1022"/>
      <c r="Z40" s="1023"/>
      <c r="AB40" s="124">
        <v>3</v>
      </c>
      <c r="AC40" s="125" t="s">
        <v>967</v>
      </c>
      <c r="AD40" s="8" t="s">
        <v>828</v>
      </c>
      <c r="AE40" s="774">
        <f t="shared" ref="AE40:BB40" si="3">SUM(AE41:AE45)</f>
        <v>0</v>
      </c>
      <c r="AF40" s="774">
        <f t="shared" si="3"/>
        <v>0</v>
      </c>
      <c r="AG40" s="774">
        <f t="shared" si="3"/>
        <v>0</v>
      </c>
      <c r="AH40" s="774">
        <f t="shared" si="3"/>
        <v>0</v>
      </c>
      <c r="AI40" s="138">
        <f t="shared" si="3"/>
        <v>0</v>
      </c>
      <c r="AJ40" s="774">
        <f t="shared" si="3"/>
        <v>0</v>
      </c>
      <c r="AK40" s="774">
        <f t="shared" si="3"/>
        <v>0</v>
      </c>
      <c r="AL40" s="774">
        <f t="shared" si="3"/>
        <v>0</v>
      </c>
      <c r="AM40" s="774">
        <f t="shared" si="3"/>
        <v>0</v>
      </c>
      <c r="AN40" s="774">
        <f t="shared" si="3"/>
        <v>0</v>
      </c>
      <c r="AO40" s="774">
        <f t="shared" si="3"/>
        <v>0</v>
      </c>
      <c r="AP40" s="774">
        <f t="shared" si="3"/>
        <v>0</v>
      </c>
      <c r="AQ40" s="774">
        <f t="shared" si="3"/>
        <v>0</v>
      </c>
      <c r="AR40" s="774">
        <f t="shared" si="3"/>
        <v>0</v>
      </c>
      <c r="AS40" s="138">
        <f t="shared" si="3"/>
        <v>0</v>
      </c>
      <c r="AT40" s="774">
        <f t="shared" si="3"/>
        <v>0</v>
      </c>
      <c r="AU40" s="774">
        <f t="shared" si="3"/>
        <v>0</v>
      </c>
      <c r="AV40" s="774">
        <f t="shared" si="3"/>
        <v>0</v>
      </c>
      <c r="AW40" s="774">
        <f t="shared" si="3"/>
        <v>0</v>
      </c>
      <c r="AX40" s="774">
        <f t="shared" si="3"/>
        <v>0</v>
      </c>
      <c r="AY40" s="774">
        <f t="shared" si="3"/>
        <v>0</v>
      </c>
      <c r="AZ40" s="774">
        <f t="shared" si="3"/>
        <v>0</v>
      </c>
      <c r="BA40" s="774">
        <f t="shared" si="3"/>
        <v>0</v>
      </c>
      <c r="BB40" s="774">
        <f t="shared" si="3"/>
        <v>0</v>
      </c>
      <c r="BC40" s="826"/>
      <c r="BF40" s="680" t="s">
        <v>968</v>
      </c>
    </row>
    <row r="41" spans="2:58" ht="14.65" hidden="1" customHeight="1" x14ac:dyDescent="0.15">
      <c r="E41" s="449">
        <v>15</v>
      </c>
      <c r="F41" s="3" cm="1">
        <f t="array" aca="1" ref="F41" ca="1">OFFSET(E41,-1,1)</f>
        <v>0</v>
      </c>
      <c r="G41" s="22" t="s">
        <v>969</v>
      </c>
      <c r="T41" s="353" t="b" cm="1">
        <f t="array" ref="T41">T40</f>
        <v>0</v>
      </c>
      <c r="X41" s="1022"/>
      <c r="Z41" s="1023"/>
      <c r="AB41" s="7" t="s">
        <v>575</v>
      </c>
      <c r="AC41" s="127" t="s">
        <v>940</v>
      </c>
      <c r="AD41" s="8" t="s">
        <v>828</v>
      </c>
      <c r="AE41" s="778"/>
      <c r="AF41" s="778"/>
      <c r="AG41" s="778"/>
      <c r="AH41" s="778"/>
      <c r="AI41" s="128"/>
      <c r="AJ41" s="778"/>
      <c r="AK41" s="778"/>
      <c r="AL41" s="778"/>
      <c r="AM41" s="778"/>
      <c r="AN41" s="778"/>
      <c r="AO41" s="778"/>
      <c r="AP41" s="778"/>
      <c r="AQ41" s="778"/>
      <c r="AR41" s="778"/>
      <c r="AS41" s="128"/>
      <c r="AT41" s="778"/>
      <c r="AU41" s="778"/>
      <c r="AV41" s="778"/>
      <c r="AW41" s="778"/>
      <c r="AX41" s="778"/>
      <c r="AY41" s="778"/>
      <c r="AZ41" s="778"/>
      <c r="BA41" s="778"/>
      <c r="BB41" s="778"/>
      <c r="BC41" s="826"/>
      <c r="BF41" s="680" t="s">
        <v>970</v>
      </c>
    </row>
    <row r="42" spans="2:58" ht="14.65" hidden="1" customHeight="1" x14ac:dyDescent="0.15">
      <c r="E42" s="449">
        <v>15</v>
      </c>
      <c r="F42" s="3" cm="1">
        <f t="array" aca="1" ref="F42" ca="1">OFFSET(E42,-1,1)</f>
        <v>0</v>
      </c>
      <c r="G42" s="22" t="s">
        <v>971</v>
      </c>
      <c r="T42" s="353" t="b" cm="1">
        <f t="array" ref="T42">T41</f>
        <v>0</v>
      </c>
      <c r="X42" s="1022"/>
      <c r="Z42" s="1023"/>
      <c r="AB42" s="7" t="s">
        <v>579</v>
      </c>
      <c r="AC42" s="127" t="s">
        <v>943</v>
      </c>
      <c r="AD42" s="8" t="s">
        <v>828</v>
      </c>
      <c r="AE42" s="778"/>
      <c r="AF42" s="778"/>
      <c r="AG42" s="778"/>
      <c r="AH42" s="778"/>
      <c r="AI42" s="128"/>
      <c r="AJ42" s="778"/>
      <c r="AK42" s="778"/>
      <c r="AL42" s="778"/>
      <c r="AM42" s="778"/>
      <c r="AN42" s="778"/>
      <c r="AO42" s="778"/>
      <c r="AP42" s="778"/>
      <c r="AQ42" s="778"/>
      <c r="AR42" s="778"/>
      <c r="AS42" s="128"/>
      <c r="AT42" s="778"/>
      <c r="AU42" s="778"/>
      <c r="AV42" s="778"/>
      <c r="AW42" s="778"/>
      <c r="AX42" s="778"/>
      <c r="AY42" s="778"/>
      <c r="AZ42" s="778"/>
      <c r="BA42" s="778"/>
      <c r="BB42" s="778"/>
      <c r="BC42" s="826"/>
      <c r="BF42" s="680" t="s">
        <v>972</v>
      </c>
    </row>
    <row r="43" spans="2:58" ht="14.65" hidden="1" customHeight="1" x14ac:dyDescent="0.15">
      <c r="E43" s="449">
        <v>15</v>
      </c>
      <c r="F43" s="3" cm="1">
        <f t="array" aca="1" ref="F43" ca="1">OFFSET(E43,-1,1)</f>
        <v>0</v>
      </c>
      <c r="G43" s="22" t="s">
        <v>973</v>
      </c>
      <c r="T43" s="353" t="b" cm="1">
        <f t="array" ref="T43">T42</f>
        <v>0</v>
      </c>
      <c r="X43" s="1022"/>
      <c r="Z43" s="1023"/>
      <c r="AB43" s="7" t="s">
        <v>795</v>
      </c>
      <c r="AC43" s="127" t="s">
        <v>946</v>
      </c>
      <c r="AD43" s="8" t="s">
        <v>828</v>
      </c>
      <c r="AE43" s="778"/>
      <c r="AF43" s="778"/>
      <c r="AG43" s="778"/>
      <c r="AH43" s="778"/>
      <c r="AI43" s="128"/>
      <c r="AJ43" s="778"/>
      <c r="AK43" s="778"/>
      <c r="AL43" s="778"/>
      <c r="AM43" s="778"/>
      <c r="AN43" s="778"/>
      <c r="AO43" s="778"/>
      <c r="AP43" s="778"/>
      <c r="AQ43" s="778"/>
      <c r="AR43" s="778"/>
      <c r="AS43" s="128"/>
      <c r="AT43" s="778"/>
      <c r="AU43" s="778"/>
      <c r="AV43" s="778"/>
      <c r="AW43" s="778"/>
      <c r="AX43" s="778"/>
      <c r="AY43" s="778"/>
      <c r="AZ43" s="778"/>
      <c r="BA43" s="778"/>
      <c r="BB43" s="778"/>
      <c r="BC43" s="826"/>
      <c r="BF43" s="680" t="s">
        <v>974</v>
      </c>
    </row>
    <row r="44" spans="2:58" ht="14.65" hidden="1" customHeight="1" x14ac:dyDescent="0.15">
      <c r="E44" s="449">
        <v>15</v>
      </c>
      <c r="F44" s="3" cm="1">
        <f t="array" aca="1" ref="F44" ca="1">OFFSET(E44,-1,1)</f>
        <v>0</v>
      </c>
      <c r="G44" s="22" t="s">
        <v>975</v>
      </c>
      <c r="T44" s="353" t="b" cm="1">
        <f t="array" ref="T44">T43</f>
        <v>0</v>
      </c>
      <c r="X44" s="1022"/>
      <c r="Z44" s="1023"/>
      <c r="AB44" s="7" t="s">
        <v>976</v>
      </c>
      <c r="AC44" s="127" t="s">
        <v>949</v>
      </c>
      <c r="AD44" s="8" t="s">
        <v>828</v>
      </c>
      <c r="AE44" s="778"/>
      <c r="AF44" s="778"/>
      <c r="AG44" s="778"/>
      <c r="AH44" s="778"/>
      <c r="AI44" s="128"/>
      <c r="AJ44" s="778"/>
      <c r="AK44" s="778"/>
      <c r="AL44" s="778"/>
      <c r="AM44" s="778"/>
      <c r="AN44" s="778"/>
      <c r="AO44" s="778"/>
      <c r="AP44" s="778"/>
      <c r="AQ44" s="778"/>
      <c r="AR44" s="778"/>
      <c r="AS44" s="128"/>
      <c r="AT44" s="778"/>
      <c r="AU44" s="778"/>
      <c r="AV44" s="778"/>
      <c r="AW44" s="778"/>
      <c r="AX44" s="778"/>
      <c r="AY44" s="778"/>
      <c r="AZ44" s="778"/>
      <c r="BA44" s="778"/>
      <c r="BB44" s="778"/>
      <c r="BC44" s="826"/>
      <c r="BF44" s="680" t="s">
        <v>977</v>
      </c>
    </row>
    <row r="45" spans="2:58" ht="14.65" hidden="1" customHeight="1" x14ac:dyDescent="0.15">
      <c r="E45" s="449">
        <v>15</v>
      </c>
      <c r="F45" s="3" cm="1">
        <f t="array" aca="1" ref="F45" ca="1">OFFSET(E45,-1,1)</f>
        <v>0</v>
      </c>
      <c r="G45" s="22" t="s">
        <v>978</v>
      </c>
      <c r="T45" s="353" t="b" cm="1">
        <f t="array" ref="T45">T44</f>
        <v>0</v>
      </c>
      <c r="X45" s="1022"/>
      <c r="Z45" s="1023"/>
      <c r="AB45" s="7" t="s">
        <v>979</v>
      </c>
      <c r="AC45" s="127" t="s">
        <v>953</v>
      </c>
      <c r="AD45" s="8" t="s">
        <v>828</v>
      </c>
      <c r="AE45" s="778"/>
      <c r="AF45" s="778"/>
      <c r="AG45" s="778"/>
      <c r="AH45" s="778"/>
      <c r="AI45" s="128"/>
      <c r="AJ45" s="778"/>
      <c r="AK45" s="778"/>
      <c r="AL45" s="778"/>
      <c r="AM45" s="778"/>
      <c r="AN45" s="778"/>
      <c r="AO45" s="778"/>
      <c r="AP45" s="778"/>
      <c r="AQ45" s="778"/>
      <c r="AR45" s="778"/>
      <c r="AS45" s="128"/>
      <c r="AT45" s="778"/>
      <c r="AU45" s="778"/>
      <c r="AV45" s="778"/>
      <c r="AW45" s="778"/>
      <c r="AX45" s="778"/>
      <c r="AY45" s="778"/>
      <c r="AZ45" s="778"/>
      <c r="BA45" s="778"/>
      <c r="BB45" s="778"/>
      <c r="BC45" s="826"/>
      <c r="BF45" s="680" t="s">
        <v>980</v>
      </c>
    </row>
    <row r="46" spans="2:58" s="63" customFormat="1" ht="21.95" hidden="1" customHeight="1" x14ac:dyDescent="0.15">
      <c r="B46" s="328"/>
      <c r="E46" s="488">
        <v>22.5</v>
      </c>
      <c r="F46" s="3" cm="1">
        <f t="array" aca="1" ref="F46" ca="1">OFFSET(E46,-1,1)</f>
        <v>0</v>
      </c>
      <c r="G46" s="22" t="s">
        <v>335</v>
      </c>
      <c r="T46" s="353" t="b" cm="1">
        <f t="array" ref="T46">T45</f>
        <v>0</v>
      </c>
      <c r="X46" s="1022"/>
      <c r="Z46" s="1023"/>
      <c r="AB46" s="124">
        <v>4</v>
      </c>
      <c r="AC46" s="125" t="s">
        <v>981</v>
      </c>
      <c r="AD46" s="8" t="s">
        <v>828</v>
      </c>
      <c r="AE46" s="774">
        <f t="shared" ref="AE46:BB46" si="4">SUM(AE47:AE51)</f>
        <v>0</v>
      </c>
      <c r="AF46" s="774">
        <f t="shared" si="4"/>
        <v>0</v>
      </c>
      <c r="AG46" s="774">
        <f t="shared" si="4"/>
        <v>0</v>
      </c>
      <c r="AH46" s="774">
        <f t="shared" si="4"/>
        <v>0</v>
      </c>
      <c r="AI46" s="138">
        <f t="shared" si="4"/>
        <v>0</v>
      </c>
      <c r="AJ46" s="774">
        <f t="shared" si="4"/>
        <v>0</v>
      </c>
      <c r="AK46" s="774">
        <f t="shared" si="4"/>
        <v>0</v>
      </c>
      <c r="AL46" s="774">
        <f t="shared" si="4"/>
        <v>0</v>
      </c>
      <c r="AM46" s="774">
        <f t="shared" si="4"/>
        <v>0</v>
      </c>
      <c r="AN46" s="774">
        <f t="shared" si="4"/>
        <v>0</v>
      </c>
      <c r="AO46" s="774">
        <f t="shared" si="4"/>
        <v>0</v>
      </c>
      <c r="AP46" s="774">
        <f t="shared" si="4"/>
        <v>0</v>
      </c>
      <c r="AQ46" s="774">
        <f t="shared" si="4"/>
        <v>0</v>
      </c>
      <c r="AR46" s="774">
        <f t="shared" si="4"/>
        <v>0</v>
      </c>
      <c r="AS46" s="138">
        <f t="shared" si="4"/>
        <v>0</v>
      </c>
      <c r="AT46" s="774">
        <f t="shared" si="4"/>
        <v>0</v>
      </c>
      <c r="AU46" s="774">
        <f t="shared" si="4"/>
        <v>0</v>
      </c>
      <c r="AV46" s="774">
        <f t="shared" si="4"/>
        <v>0</v>
      </c>
      <c r="AW46" s="774">
        <f t="shared" si="4"/>
        <v>0</v>
      </c>
      <c r="AX46" s="774">
        <f t="shared" si="4"/>
        <v>0</v>
      </c>
      <c r="AY46" s="774">
        <f t="shared" si="4"/>
        <v>0</v>
      </c>
      <c r="AZ46" s="774">
        <f t="shared" si="4"/>
        <v>0</v>
      </c>
      <c r="BA46" s="774">
        <f t="shared" si="4"/>
        <v>0</v>
      </c>
      <c r="BB46" s="774">
        <f t="shared" si="4"/>
        <v>0</v>
      </c>
      <c r="BC46" s="826"/>
      <c r="BF46" s="680" t="s">
        <v>982</v>
      </c>
    </row>
    <row r="47" spans="2:58" ht="14.65" hidden="1" customHeight="1" x14ac:dyDescent="0.15">
      <c r="E47" s="449">
        <v>15</v>
      </c>
      <c r="F47" s="3" cm="1">
        <f t="array" aca="1" ref="F47" ca="1">OFFSET(E47,-1,1)</f>
        <v>0</v>
      </c>
      <c r="G47" s="22" t="s">
        <v>560</v>
      </c>
      <c r="T47" s="353" t="b" cm="1">
        <f t="array" ref="T47">T46</f>
        <v>0</v>
      </c>
      <c r="X47" s="1022"/>
      <c r="Z47" s="1023"/>
      <c r="AB47" s="7" t="s">
        <v>697</v>
      </c>
      <c r="AC47" s="127" t="s">
        <v>940</v>
      </c>
      <c r="AD47" s="8" t="s">
        <v>828</v>
      </c>
      <c r="AE47" s="778">
        <f t="shared" ref="AE47:BB47" si="5">AE29+AE35-AE41</f>
        <v>0</v>
      </c>
      <c r="AF47" s="778">
        <f t="shared" si="5"/>
        <v>0</v>
      </c>
      <c r="AG47" s="778">
        <f t="shared" si="5"/>
        <v>0</v>
      </c>
      <c r="AH47" s="778">
        <f t="shared" si="5"/>
        <v>0</v>
      </c>
      <c r="AI47" s="128">
        <f t="shared" si="5"/>
        <v>0</v>
      </c>
      <c r="AJ47" s="778">
        <f t="shared" si="5"/>
        <v>0</v>
      </c>
      <c r="AK47" s="778">
        <f t="shared" si="5"/>
        <v>0</v>
      </c>
      <c r="AL47" s="778">
        <f t="shared" si="5"/>
        <v>0</v>
      </c>
      <c r="AM47" s="778">
        <f t="shared" si="5"/>
        <v>0</v>
      </c>
      <c r="AN47" s="778">
        <f t="shared" si="5"/>
        <v>0</v>
      </c>
      <c r="AO47" s="778">
        <f t="shared" si="5"/>
        <v>0</v>
      </c>
      <c r="AP47" s="778">
        <f t="shared" si="5"/>
        <v>0</v>
      </c>
      <c r="AQ47" s="778">
        <f t="shared" si="5"/>
        <v>0</v>
      </c>
      <c r="AR47" s="778">
        <f t="shared" si="5"/>
        <v>0</v>
      </c>
      <c r="AS47" s="128">
        <f t="shared" si="5"/>
        <v>0</v>
      </c>
      <c r="AT47" s="778">
        <f t="shared" si="5"/>
        <v>0</v>
      </c>
      <c r="AU47" s="778">
        <f t="shared" si="5"/>
        <v>0</v>
      </c>
      <c r="AV47" s="778">
        <f t="shared" si="5"/>
        <v>0</v>
      </c>
      <c r="AW47" s="778">
        <f t="shared" si="5"/>
        <v>0</v>
      </c>
      <c r="AX47" s="778">
        <f t="shared" si="5"/>
        <v>0</v>
      </c>
      <c r="AY47" s="778">
        <f t="shared" si="5"/>
        <v>0</v>
      </c>
      <c r="AZ47" s="778">
        <f t="shared" si="5"/>
        <v>0</v>
      </c>
      <c r="BA47" s="778">
        <f t="shared" si="5"/>
        <v>0</v>
      </c>
      <c r="BB47" s="778">
        <f t="shared" si="5"/>
        <v>0</v>
      </c>
      <c r="BC47" s="826"/>
      <c r="BF47" s="680" t="s">
        <v>983</v>
      </c>
    </row>
    <row r="48" spans="2:58" ht="14.65" hidden="1" customHeight="1" x14ac:dyDescent="0.15">
      <c r="E48" s="449">
        <v>15</v>
      </c>
      <c r="F48" s="3" cm="1">
        <f t="array" aca="1" ref="F48" ca="1">OFFSET(E48,-1,1)</f>
        <v>0</v>
      </c>
      <c r="G48" s="22" t="s">
        <v>564</v>
      </c>
      <c r="T48" s="353" t="b" cm="1">
        <f t="array" ref="T48">T47</f>
        <v>0</v>
      </c>
      <c r="X48" s="1022"/>
      <c r="Z48" s="1023"/>
      <c r="AB48" s="7" t="s">
        <v>700</v>
      </c>
      <c r="AC48" s="127" t="s">
        <v>943</v>
      </c>
      <c r="AD48" s="8" t="s">
        <v>828</v>
      </c>
      <c r="AE48" s="778">
        <f t="shared" ref="AE48:BB48" si="6">AE30+AE36-AE42</f>
        <v>0</v>
      </c>
      <c r="AF48" s="778">
        <f t="shared" si="6"/>
        <v>0</v>
      </c>
      <c r="AG48" s="778">
        <f t="shared" si="6"/>
        <v>0</v>
      </c>
      <c r="AH48" s="778">
        <f t="shared" si="6"/>
        <v>0</v>
      </c>
      <c r="AI48" s="128">
        <f t="shared" si="6"/>
        <v>0</v>
      </c>
      <c r="AJ48" s="778">
        <f t="shared" si="6"/>
        <v>0</v>
      </c>
      <c r="AK48" s="778">
        <f t="shared" si="6"/>
        <v>0</v>
      </c>
      <c r="AL48" s="778">
        <f t="shared" si="6"/>
        <v>0</v>
      </c>
      <c r="AM48" s="778">
        <f t="shared" si="6"/>
        <v>0</v>
      </c>
      <c r="AN48" s="778">
        <f t="shared" si="6"/>
        <v>0</v>
      </c>
      <c r="AO48" s="778">
        <f t="shared" si="6"/>
        <v>0</v>
      </c>
      <c r="AP48" s="778">
        <f t="shared" si="6"/>
        <v>0</v>
      </c>
      <c r="AQ48" s="778">
        <f t="shared" si="6"/>
        <v>0</v>
      </c>
      <c r="AR48" s="778">
        <f t="shared" si="6"/>
        <v>0</v>
      </c>
      <c r="AS48" s="128">
        <f t="shared" si="6"/>
        <v>0</v>
      </c>
      <c r="AT48" s="778">
        <f t="shared" si="6"/>
        <v>0</v>
      </c>
      <c r="AU48" s="778">
        <f t="shared" si="6"/>
        <v>0</v>
      </c>
      <c r="AV48" s="778">
        <f t="shared" si="6"/>
        <v>0</v>
      </c>
      <c r="AW48" s="778">
        <f t="shared" si="6"/>
        <v>0</v>
      </c>
      <c r="AX48" s="778">
        <f t="shared" si="6"/>
        <v>0</v>
      </c>
      <c r="AY48" s="778">
        <f t="shared" si="6"/>
        <v>0</v>
      </c>
      <c r="AZ48" s="778">
        <f t="shared" si="6"/>
        <v>0</v>
      </c>
      <c r="BA48" s="778">
        <f t="shared" si="6"/>
        <v>0</v>
      </c>
      <c r="BB48" s="778">
        <f t="shared" si="6"/>
        <v>0</v>
      </c>
      <c r="BC48" s="826"/>
      <c r="BF48" s="680" t="s">
        <v>984</v>
      </c>
    </row>
    <row r="49" spans="2:58" ht="14.65" hidden="1" customHeight="1" x14ac:dyDescent="0.15">
      <c r="E49" s="449">
        <v>15</v>
      </c>
      <c r="F49" s="3" cm="1">
        <f t="array" aca="1" ref="F49" ca="1">OFFSET(E49,-1,1)</f>
        <v>0</v>
      </c>
      <c r="G49" s="22" t="s">
        <v>568</v>
      </c>
      <c r="T49" s="353" t="b" cm="1">
        <f t="array" ref="T49">T48</f>
        <v>0</v>
      </c>
      <c r="X49" s="1022"/>
      <c r="Z49" s="1023"/>
      <c r="AB49" s="7" t="s">
        <v>734</v>
      </c>
      <c r="AC49" s="127" t="s">
        <v>946</v>
      </c>
      <c r="AD49" s="8" t="s">
        <v>828</v>
      </c>
      <c r="AE49" s="778">
        <f t="shared" ref="AE49:BB49" si="7">AE31+AE37-AE43</f>
        <v>0</v>
      </c>
      <c r="AF49" s="778">
        <f t="shared" si="7"/>
        <v>0</v>
      </c>
      <c r="AG49" s="778">
        <f t="shared" si="7"/>
        <v>0</v>
      </c>
      <c r="AH49" s="778">
        <f t="shared" si="7"/>
        <v>0</v>
      </c>
      <c r="AI49" s="128">
        <f t="shared" si="7"/>
        <v>0</v>
      </c>
      <c r="AJ49" s="778">
        <f t="shared" si="7"/>
        <v>0</v>
      </c>
      <c r="AK49" s="778">
        <f t="shared" si="7"/>
        <v>0</v>
      </c>
      <c r="AL49" s="778">
        <f t="shared" si="7"/>
        <v>0</v>
      </c>
      <c r="AM49" s="778">
        <f t="shared" si="7"/>
        <v>0</v>
      </c>
      <c r="AN49" s="778">
        <f t="shared" si="7"/>
        <v>0</v>
      </c>
      <c r="AO49" s="778">
        <f t="shared" si="7"/>
        <v>0</v>
      </c>
      <c r="AP49" s="778">
        <f t="shared" si="7"/>
        <v>0</v>
      </c>
      <c r="AQ49" s="778">
        <f t="shared" si="7"/>
        <v>0</v>
      </c>
      <c r="AR49" s="778">
        <f t="shared" si="7"/>
        <v>0</v>
      </c>
      <c r="AS49" s="128">
        <f t="shared" si="7"/>
        <v>0</v>
      </c>
      <c r="AT49" s="778">
        <f t="shared" si="7"/>
        <v>0</v>
      </c>
      <c r="AU49" s="778">
        <f t="shared" si="7"/>
        <v>0</v>
      </c>
      <c r="AV49" s="778">
        <f t="shared" si="7"/>
        <v>0</v>
      </c>
      <c r="AW49" s="778">
        <f t="shared" si="7"/>
        <v>0</v>
      </c>
      <c r="AX49" s="778">
        <f t="shared" si="7"/>
        <v>0</v>
      </c>
      <c r="AY49" s="778">
        <f t="shared" si="7"/>
        <v>0</v>
      </c>
      <c r="AZ49" s="778">
        <f t="shared" si="7"/>
        <v>0</v>
      </c>
      <c r="BA49" s="778">
        <f t="shared" si="7"/>
        <v>0</v>
      </c>
      <c r="BB49" s="778">
        <f t="shared" si="7"/>
        <v>0</v>
      </c>
      <c r="BC49" s="826"/>
      <c r="BF49" s="680" t="s">
        <v>985</v>
      </c>
    </row>
    <row r="50" spans="2:58" ht="14.65" hidden="1" customHeight="1" x14ac:dyDescent="0.15">
      <c r="E50" s="449">
        <v>15</v>
      </c>
      <c r="F50" s="3" cm="1">
        <f t="array" aca="1" ref="F50" ca="1">OFFSET(E50,-1,1)</f>
        <v>0</v>
      </c>
      <c r="G50" s="22" t="s">
        <v>986</v>
      </c>
      <c r="T50" s="353" t="b" cm="1">
        <f t="array" ref="T50">T49</f>
        <v>0</v>
      </c>
      <c r="X50" s="1022"/>
      <c r="Z50" s="1023"/>
      <c r="AB50" s="7" t="s">
        <v>743</v>
      </c>
      <c r="AC50" s="127" t="s">
        <v>949</v>
      </c>
      <c r="AD50" s="8" t="s">
        <v>828</v>
      </c>
      <c r="AE50" s="778">
        <f t="shared" ref="AE50:BB50" si="8">AE32+AE38-AE44</f>
        <v>0</v>
      </c>
      <c r="AF50" s="778">
        <f t="shared" si="8"/>
        <v>0</v>
      </c>
      <c r="AG50" s="778">
        <f t="shared" si="8"/>
        <v>0</v>
      </c>
      <c r="AH50" s="778">
        <f t="shared" si="8"/>
        <v>0</v>
      </c>
      <c r="AI50" s="128">
        <f t="shared" si="8"/>
        <v>0</v>
      </c>
      <c r="AJ50" s="778">
        <f t="shared" si="8"/>
        <v>0</v>
      </c>
      <c r="AK50" s="778">
        <f t="shared" si="8"/>
        <v>0</v>
      </c>
      <c r="AL50" s="778">
        <f t="shared" si="8"/>
        <v>0</v>
      </c>
      <c r="AM50" s="778">
        <f t="shared" si="8"/>
        <v>0</v>
      </c>
      <c r="AN50" s="778">
        <f t="shared" si="8"/>
        <v>0</v>
      </c>
      <c r="AO50" s="778">
        <f t="shared" si="8"/>
        <v>0</v>
      </c>
      <c r="AP50" s="778">
        <f t="shared" si="8"/>
        <v>0</v>
      </c>
      <c r="AQ50" s="778">
        <f t="shared" si="8"/>
        <v>0</v>
      </c>
      <c r="AR50" s="778">
        <f t="shared" si="8"/>
        <v>0</v>
      </c>
      <c r="AS50" s="128">
        <f t="shared" si="8"/>
        <v>0</v>
      </c>
      <c r="AT50" s="778">
        <f t="shared" si="8"/>
        <v>0</v>
      </c>
      <c r="AU50" s="778">
        <f t="shared" si="8"/>
        <v>0</v>
      </c>
      <c r="AV50" s="778">
        <f t="shared" si="8"/>
        <v>0</v>
      </c>
      <c r="AW50" s="778">
        <f t="shared" si="8"/>
        <v>0</v>
      </c>
      <c r="AX50" s="778">
        <f t="shared" si="8"/>
        <v>0</v>
      </c>
      <c r="AY50" s="778">
        <f t="shared" si="8"/>
        <v>0</v>
      </c>
      <c r="AZ50" s="778">
        <f t="shared" si="8"/>
        <v>0</v>
      </c>
      <c r="BA50" s="778">
        <f t="shared" si="8"/>
        <v>0</v>
      </c>
      <c r="BB50" s="778">
        <f t="shared" si="8"/>
        <v>0</v>
      </c>
      <c r="BC50" s="826"/>
      <c r="BF50" s="680" t="s">
        <v>987</v>
      </c>
    </row>
    <row r="51" spans="2:58" ht="14.65" hidden="1" customHeight="1" x14ac:dyDescent="0.15">
      <c r="E51" s="449">
        <v>15</v>
      </c>
      <c r="F51" s="3" cm="1">
        <f t="array" aca="1" ref="F51" ca="1">OFFSET(E51,-1,1)</f>
        <v>0</v>
      </c>
      <c r="G51" s="22" t="s">
        <v>988</v>
      </c>
      <c r="T51" s="353" t="b" cm="1">
        <f t="array" ref="T51">T50</f>
        <v>0</v>
      </c>
      <c r="X51" s="1022"/>
      <c r="Z51" s="1023"/>
      <c r="AB51" s="7" t="s">
        <v>753</v>
      </c>
      <c r="AC51" s="127" t="s">
        <v>953</v>
      </c>
      <c r="AD51" s="8" t="s">
        <v>828</v>
      </c>
      <c r="AE51" s="778">
        <f t="shared" ref="AE51:BB51" si="9">AE33+AE39-AE45</f>
        <v>0</v>
      </c>
      <c r="AF51" s="778">
        <f t="shared" si="9"/>
        <v>0</v>
      </c>
      <c r="AG51" s="778">
        <f t="shared" si="9"/>
        <v>0</v>
      </c>
      <c r="AH51" s="778">
        <f t="shared" si="9"/>
        <v>0</v>
      </c>
      <c r="AI51" s="128">
        <f t="shared" si="9"/>
        <v>0</v>
      </c>
      <c r="AJ51" s="778">
        <f t="shared" si="9"/>
        <v>0</v>
      </c>
      <c r="AK51" s="778">
        <f t="shared" si="9"/>
        <v>0</v>
      </c>
      <c r="AL51" s="778">
        <f t="shared" si="9"/>
        <v>0</v>
      </c>
      <c r="AM51" s="778">
        <f t="shared" si="9"/>
        <v>0</v>
      </c>
      <c r="AN51" s="778">
        <f t="shared" si="9"/>
        <v>0</v>
      </c>
      <c r="AO51" s="778">
        <f t="shared" si="9"/>
        <v>0</v>
      </c>
      <c r="AP51" s="778">
        <f t="shared" si="9"/>
        <v>0</v>
      </c>
      <c r="AQ51" s="778">
        <f t="shared" si="9"/>
        <v>0</v>
      </c>
      <c r="AR51" s="778">
        <f t="shared" si="9"/>
        <v>0</v>
      </c>
      <c r="AS51" s="128">
        <f t="shared" si="9"/>
        <v>0</v>
      </c>
      <c r="AT51" s="778">
        <f t="shared" si="9"/>
        <v>0</v>
      </c>
      <c r="AU51" s="778">
        <f t="shared" si="9"/>
        <v>0</v>
      </c>
      <c r="AV51" s="778">
        <f t="shared" si="9"/>
        <v>0</v>
      </c>
      <c r="AW51" s="778">
        <f t="shared" si="9"/>
        <v>0</v>
      </c>
      <c r="AX51" s="778">
        <f t="shared" si="9"/>
        <v>0</v>
      </c>
      <c r="AY51" s="778">
        <f t="shared" si="9"/>
        <v>0</v>
      </c>
      <c r="AZ51" s="778">
        <f t="shared" si="9"/>
        <v>0</v>
      </c>
      <c r="BA51" s="778">
        <f t="shared" si="9"/>
        <v>0</v>
      </c>
      <c r="BB51" s="778">
        <f t="shared" si="9"/>
        <v>0</v>
      </c>
      <c r="BC51" s="826"/>
      <c r="BF51" s="680" t="s">
        <v>989</v>
      </c>
    </row>
    <row r="52" spans="2:58" s="63" customFormat="1" ht="14.65" hidden="1" customHeight="1" x14ac:dyDescent="0.15">
      <c r="B52" s="328"/>
      <c r="E52" s="449">
        <v>15</v>
      </c>
      <c r="F52" s="3" cm="1">
        <f t="array" aca="1" ref="F52" ca="1">OFFSET(E52,-1,1)</f>
        <v>0</v>
      </c>
      <c r="G52" s="22" t="s">
        <v>334</v>
      </c>
      <c r="T52" s="353" t="b" cm="1">
        <f t="array" ref="T52">T51</f>
        <v>0</v>
      </c>
      <c r="X52" s="1022"/>
      <c r="Z52" s="1023"/>
      <c r="AB52" s="124">
        <v>5</v>
      </c>
      <c r="AC52" s="125" t="s">
        <v>990</v>
      </c>
      <c r="AD52" s="8" t="s">
        <v>828</v>
      </c>
      <c r="AE52" s="774">
        <f t="shared" ref="AE52:BB52" si="10">SUM(AE53:AE57)</f>
        <v>0</v>
      </c>
      <c r="AF52" s="774">
        <f t="shared" si="10"/>
        <v>0</v>
      </c>
      <c r="AG52" s="774">
        <f t="shared" si="10"/>
        <v>0</v>
      </c>
      <c r="AH52" s="774">
        <f t="shared" si="10"/>
        <v>0</v>
      </c>
      <c r="AI52" s="138">
        <f t="shared" si="10"/>
        <v>0</v>
      </c>
      <c r="AJ52" s="774">
        <f t="shared" si="10"/>
        <v>0</v>
      </c>
      <c r="AK52" s="774">
        <f t="shared" si="10"/>
        <v>0</v>
      </c>
      <c r="AL52" s="774">
        <f t="shared" si="10"/>
        <v>0</v>
      </c>
      <c r="AM52" s="774">
        <f t="shared" si="10"/>
        <v>0</v>
      </c>
      <c r="AN52" s="774">
        <f t="shared" si="10"/>
        <v>0</v>
      </c>
      <c r="AO52" s="774">
        <f t="shared" si="10"/>
        <v>0</v>
      </c>
      <c r="AP52" s="774">
        <f t="shared" si="10"/>
        <v>0</v>
      </c>
      <c r="AQ52" s="774">
        <f t="shared" si="10"/>
        <v>0</v>
      </c>
      <c r="AR52" s="774">
        <f t="shared" si="10"/>
        <v>0</v>
      </c>
      <c r="AS52" s="138">
        <f t="shared" si="10"/>
        <v>0</v>
      </c>
      <c r="AT52" s="774">
        <f t="shared" si="10"/>
        <v>0</v>
      </c>
      <c r="AU52" s="774">
        <f t="shared" si="10"/>
        <v>0</v>
      </c>
      <c r="AV52" s="774">
        <f t="shared" si="10"/>
        <v>0</v>
      </c>
      <c r="AW52" s="774">
        <f t="shared" si="10"/>
        <v>0</v>
      </c>
      <c r="AX52" s="774">
        <f t="shared" si="10"/>
        <v>0</v>
      </c>
      <c r="AY52" s="774">
        <f t="shared" si="10"/>
        <v>0</v>
      </c>
      <c r="AZ52" s="774">
        <f t="shared" si="10"/>
        <v>0</v>
      </c>
      <c r="BA52" s="774">
        <f t="shared" si="10"/>
        <v>0</v>
      </c>
      <c r="BB52" s="774">
        <f t="shared" si="10"/>
        <v>0</v>
      </c>
      <c r="BC52" s="826"/>
      <c r="BF52" s="680" t="s">
        <v>991</v>
      </c>
    </row>
    <row r="53" spans="2:58" ht="14.65" hidden="1" customHeight="1" x14ac:dyDescent="0.15">
      <c r="E53" s="449">
        <v>15</v>
      </c>
      <c r="F53" s="3" cm="1">
        <f t="array" aca="1" ref="F53" ca="1">OFFSET(E53,-1,1)</f>
        <v>0</v>
      </c>
      <c r="G53" s="22" t="s">
        <v>574</v>
      </c>
      <c r="T53" s="353" t="b" cm="1">
        <f t="array" ref="T53">T52</f>
        <v>0</v>
      </c>
      <c r="X53" s="1022"/>
      <c r="Z53" s="1023"/>
      <c r="AB53" s="7" t="s">
        <v>704</v>
      </c>
      <c r="AC53" s="127" t="s">
        <v>940</v>
      </c>
      <c r="AD53" s="8" t="s">
        <v>828</v>
      </c>
      <c r="AE53" s="778">
        <f t="shared" ref="AE53:BB53" si="11">(AE47+AE29)/2</f>
        <v>0</v>
      </c>
      <c r="AF53" s="778">
        <f t="shared" si="11"/>
        <v>0</v>
      </c>
      <c r="AG53" s="778">
        <f t="shared" si="11"/>
        <v>0</v>
      </c>
      <c r="AH53" s="778">
        <f t="shared" si="11"/>
        <v>0</v>
      </c>
      <c r="AI53" s="128">
        <f t="shared" si="11"/>
        <v>0</v>
      </c>
      <c r="AJ53" s="778">
        <f t="shared" si="11"/>
        <v>0</v>
      </c>
      <c r="AK53" s="778">
        <f t="shared" si="11"/>
        <v>0</v>
      </c>
      <c r="AL53" s="778">
        <f t="shared" si="11"/>
        <v>0</v>
      </c>
      <c r="AM53" s="778">
        <f t="shared" si="11"/>
        <v>0</v>
      </c>
      <c r="AN53" s="778">
        <f t="shared" si="11"/>
        <v>0</v>
      </c>
      <c r="AO53" s="778">
        <f t="shared" si="11"/>
        <v>0</v>
      </c>
      <c r="AP53" s="778">
        <f t="shared" si="11"/>
        <v>0</v>
      </c>
      <c r="AQ53" s="778">
        <f t="shared" si="11"/>
        <v>0</v>
      </c>
      <c r="AR53" s="778">
        <f t="shared" si="11"/>
        <v>0</v>
      </c>
      <c r="AS53" s="128">
        <f t="shared" si="11"/>
        <v>0</v>
      </c>
      <c r="AT53" s="778">
        <f t="shared" si="11"/>
        <v>0</v>
      </c>
      <c r="AU53" s="778">
        <f t="shared" si="11"/>
        <v>0</v>
      </c>
      <c r="AV53" s="778">
        <f t="shared" si="11"/>
        <v>0</v>
      </c>
      <c r="AW53" s="778">
        <f t="shared" si="11"/>
        <v>0</v>
      </c>
      <c r="AX53" s="778">
        <f t="shared" si="11"/>
        <v>0</v>
      </c>
      <c r="AY53" s="778">
        <f t="shared" si="11"/>
        <v>0</v>
      </c>
      <c r="AZ53" s="778">
        <f t="shared" si="11"/>
        <v>0</v>
      </c>
      <c r="BA53" s="778">
        <f t="shared" si="11"/>
        <v>0</v>
      </c>
      <c r="BB53" s="778">
        <f t="shared" si="11"/>
        <v>0</v>
      </c>
      <c r="BC53" s="826"/>
      <c r="BF53" s="680" t="s">
        <v>992</v>
      </c>
    </row>
    <row r="54" spans="2:58" ht="14.65" hidden="1" customHeight="1" x14ac:dyDescent="0.15">
      <c r="E54" s="449">
        <v>15</v>
      </c>
      <c r="F54" s="3" cm="1">
        <f t="array" aca="1" ref="F54" ca="1">OFFSET(E54,-1,1)</f>
        <v>0</v>
      </c>
      <c r="G54" s="22" t="s">
        <v>578</v>
      </c>
      <c r="T54" s="353" t="b" cm="1">
        <f t="array" ref="T54">T53</f>
        <v>0</v>
      </c>
      <c r="X54" s="1022"/>
      <c r="Z54" s="1023"/>
      <c r="AB54" s="7" t="s">
        <v>707</v>
      </c>
      <c r="AC54" s="127" t="s">
        <v>943</v>
      </c>
      <c r="AD54" s="8" t="s">
        <v>828</v>
      </c>
      <c r="AE54" s="778">
        <f t="shared" ref="AE54:BB54" si="12">(AE48+AE30)/2</f>
        <v>0</v>
      </c>
      <c r="AF54" s="778">
        <f t="shared" si="12"/>
        <v>0</v>
      </c>
      <c r="AG54" s="778">
        <f t="shared" si="12"/>
        <v>0</v>
      </c>
      <c r="AH54" s="778">
        <f t="shared" si="12"/>
        <v>0</v>
      </c>
      <c r="AI54" s="128">
        <f t="shared" si="12"/>
        <v>0</v>
      </c>
      <c r="AJ54" s="778">
        <f t="shared" si="12"/>
        <v>0</v>
      </c>
      <c r="AK54" s="778">
        <f t="shared" si="12"/>
        <v>0</v>
      </c>
      <c r="AL54" s="778">
        <f t="shared" si="12"/>
        <v>0</v>
      </c>
      <c r="AM54" s="778">
        <f t="shared" si="12"/>
        <v>0</v>
      </c>
      <c r="AN54" s="778">
        <f t="shared" si="12"/>
        <v>0</v>
      </c>
      <c r="AO54" s="778">
        <f t="shared" si="12"/>
        <v>0</v>
      </c>
      <c r="AP54" s="778">
        <f t="shared" si="12"/>
        <v>0</v>
      </c>
      <c r="AQ54" s="778">
        <f t="shared" si="12"/>
        <v>0</v>
      </c>
      <c r="AR54" s="778">
        <f t="shared" si="12"/>
        <v>0</v>
      </c>
      <c r="AS54" s="128">
        <f t="shared" si="12"/>
        <v>0</v>
      </c>
      <c r="AT54" s="778">
        <f t="shared" si="12"/>
        <v>0</v>
      </c>
      <c r="AU54" s="778">
        <f t="shared" si="12"/>
        <v>0</v>
      </c>
      <c r="AV54" s="778">
        <f t="shared" si="12"/>
        <v>0</v>
      </c>
      <c r="AW54" s="778">
        <f t="shared" si="12"/>
        <v>0</v>
      </c>
      <c r="AX54" s="778">
        <f t="shared" si="12"/>
        <v>0</v>
      </c>
      <c r="AY54" s="778">
        <f t="shared" si="12"/>
        <v>0</v>
      </c>
      <c r="AZ54" s="778">
        <f t="shared" si="12"/>
        <v>0</v>
      </c>
      <c r="BA54" s="778">
        <f t="shared" si="12"/>
        <v>0</v>
      </c>
      <c r="BB54" s="778">
        <f t="shared" si="12"/>
        <v>0</v>
      </c>
      <c r="BC54" s="826"/>
      <c r="BF54" s="680" t="s">
        <v>993</v>
      </c>
    </row>
    <row r="55" spans="2:58" ht="14.65" hidden="1" customHeight="1" x14ac:dyDescent="0.15">
      <c r="E55" s="449">
        <v>15</v>
      </c>
      <c r="F55" s="3" cm="1">
        <f t="array" aca="1" ref="F55" ca="1">OFFSET(E55,-1,1)</f>
        <v>0</v>
      </c>
      <c r="G55" s="22" t="s">
        <v>794</v>
      </c>
      <c r="T55" s="353" t="b" cm="1">
        <f t="array" ref="T55">T54</f>
        <v>0</v>
      </c>
      <c r="X55" s="1022"/>
      <c r="Z55" s="1023"/>
      <c r="AB55" s="7" t="s">
        <v>994</v>
      </c>
      <c r="AC55" s="127" t="s">
        <v>946</v>
      </c>
      <c r="AD55" s="8" t="s">
        <v>828</v>
      </c>
      <c r="AE55" s="778">
        <f t="shared" ref="AE55:BB55" si="13">(AE49+AE31)/2</f>
        <v>0</v>
      </c>
      <c r="AF55" s="778">
        <f t="shared" si="13"/>
        <v>0</v>
      </c>
      <c r="AG55" s="778">
        <f t="shared" si="13"/>
        <v>0</v>
      </c>
      <c r="AH55" s="778">
        <f t="shared" si="13"/>
        <v>0</v>
      </c>
      <c r="AI55" s="128">
        <f t="shared" si="13"/>
        <v>0</v>
      </c>
      <c r="AJ55" s="778">
        <f t="shared" si="13"/>
        <v>0</v>
      </c>
      <c r="AK55" s="778">
        <f t="shared" si="13"/>
        <v>0</v>
      </c>
      <c r="AL55" s="778">
        <f t="shared" si="13"/>
        <v>0</v>
      </c>
      <c r="AM55" s="778">
        <f t="shared" si="13"/>
        <v>0</v>
      </c>
      <c r="AN55" s="778">
        <f t="shared" si="13"/>
        <v>0</v>
      </c>
      <c r="AO55" s="778">
        <f t="shared" si="13"/>
        <v>0</v>
      </c>
      <c r="AP55" s="778">
        <f t="shared" si="13"/>
        <v>0</v>
      </c>
      <c r="AQ55" s="778">
        <f t="shared" si="13"/>
        <v>0</v>
      </c>
      <c r="AR55" s="778">
        <f t="shared" si="13"/>
        <v>0</v>
      </c>
      <c r="AS55" s="128">
        <f t="shared" si="13"/>
        <v>0</v>
      </c>
      <c r="AT55" s="778">
        <f t="shared" si="13"/>
        <v>0</v>
      </c>
      <c r="AU55" s="778">
        <f t="shared" si="13"/>
        <v>0</v>
      </c>
      <c r="AV55" s="778">
        <f t="shared" si="13"/>
        <v>0</v>
      </c>
      <c r="AW55" s="778">
        <f t="shared" si="13"/>
        <v>0</v>
      </c>
      <c r="AX55" s="778">
        <f t="shared" si="13"/>
        <v>0</v>
      </c>
      <c r="AY55" s="778">
        <f t="shared" si="13"/>
        <v>0</v>
      </c>
      <c r="AZ55" s="778">
        <f t="shared" si="13"/>
        <v>0</v>
      </c>
      <c r="BA55" s="778">
        <f t="shared" si="13"/>
        <v>0</v>
      </c>
      <c r="BB55" s="778">
        <f t="shared" si="13"/>
        <v>0</v>
      </c>
      <c r="BC55" s="826"/>
      <c r="BF55" s="680" t="s">
        <v>995</v>
      </c>
    </row>
    <row r="56" spans="2:58" ht="14.65" hidden="1" customHeight="1" x14ac:dyDescent="0.15">
      <c r="E56" s="449">
        <v>15</v>
      </c>
      <c r="F56" s="3" cm="1">
        <f t="array" aca="1" ref="F56" ca="1">OFFSET(E56,-1,1)</f>
        <v>0</v>
      </c>
      <c r="G56" s="22" t="s">
        <v>996</v>
      </c>
      <c r="T56" s="353" t="b" cm="1">
        <f t="array" ref="T56">T55</f>
        <v>0</v>
      </c>
      <c r="X56" s="1022"/>
      <c r="Z56" s="1023"/>
      <c r="AB56" s="7" t="s">
        <v>997</v>
      </c>
      <c r="AC56" s="127" t="s">
        <v>949</v>
      </c>
      <c r="AD56" s="8" t="s">
        <v>828</v>
      </c>
      <c r="AE56" s="778">
        <f t="shared" ref="AE56:BB56" si="14">(AE50+AE32)/2</f>
        <v>0</v>
      </c>
      <c r="AF56" s="778">
        <f t="shared" si="14"/>
        <v>0</v>
      </c>
      <c r="AG56" s="778">
        <f t="shared" si="14"/>
        <v>0</v>
      </c>
      <c r="AH56" s="778">
        <f t="shared" si="14"/>
        <v>0</v>
      </c>
      <c r="AI56" s="128">
        <f t="shared" si="14"/>
        <v>0</v>
      </c>
      <c r="AJ56" s="778">
        <f t="shared" si="14"/>
        <v>0</v>
      </c>
      <c r="AK56" s="778">
        <f t="shared" si="14"/>
        <v>0</v>
      </c>
      <c r="AL56" s="778">
        <f t="shared" si="14"/>
        <v>0</v>
      </c>
      <c r="AM56" s="778">
        <f t="shared" si="14"/>
        <v>0</v>
      </c>
      <c r="AN56" s="778">
        <f t="shared" si="14"/>
        <v>0</v>
      </c>
      <c r="AO56" s="778">
        <f t="shared" si="14"/>
        <v>0</v>
      </c>
      <c r="AP56" s="778">
        <f t="shared" si="14"/>
        <v>0</v>
      </c>
      <c r="AQ56" s="778">
        <f t="shared" si="14"/>
        <v>0</v>
      </c>
      <c r="AR56" s="778">
        <f t="shared" si="14"/>
        <v>0</v>
      </c>
      <c r="AS56" s="128">
        <f t="shared" si="14"/>
        <v>0</v>
      </c>
      <c r="AT56" s="778">
        <f t="shared" si="14"/>
        <v>0</v>
      </c>
      <c r="AU56" s="778">
        <f t="shared" si="14"/>
        <v>0</v>
      </c>
      <c r="AV56" s="778">
        <f t="shared" si="14"/>
        <v>0</v>
      </c>
      <c r="AW56" s="778">
        <f t="shared" si="14"/>
        <v>0</v>
      </c>
      <c r="AX56" s="778">
        <f t="shared" si="14"/>
        <v>0</v>
      </c>
      <c r="AY56" s="778">
        <f t="shared" si="14"/>
        <v>0</v>
      </c>
      <c r="AZ56" s="778">
        <f t="shared" si="14"/>
        <v>0</v>
      </c>
      <c r="BA56" s="778">
        <f t="shared" si="14"/>
        <v>0</v>
      </c>
      <c r="BB56" s="778">
        <f t="shared" si="14"/>
        <v>0</v>
      </c>
      <c r="BC56" s="826"/>
      <c r="BF56" s="680" t="s">
        <v>998</v>
      </c>
    </row>
    <row r="57" spans="2:58" ht="14.65" hidden="1" customHeight="1" x14ac:dyDescent="0.15">
      <c r="E57" s="449">
        <v>15</v>
      </c>
      <c r="F57" s="3" cm="1">
        <f t="array" aca="1" ref="F57" ca="1">OFFSET(E57,-1,1)</f>
        <v>0</v>
      </c>
      <c r="G57" s="22" t="s">
        <v>999</v>
      </c>
      <c r="T57" s="353" t="b" cm="1">
        <f t="array" ref="T57">T56</f>
        <v>0</v>
      </c>
      <c r="X57" s="1022"/>
      <c r="Z57" s="1023"/>
      <c r="AB57" s="7" t="s">
        <v>1000</v>
      </c>
      <c r="AC57" s="127" t="s">
        <v>953</v>
      </c>
      <c r="AD57" s="8" t="s">
        <v>828</v>
      </c>
      <c r="AE57" s="778">
        <f t="shared" ref="AE57:BB57" si="15">(AE51+AE33)/2</f>
        <v>0</v>
      </c>
      <c r="AF57" s="778">
        <f t="shared" si="15"/>
        <v>0</v>
      </c>
      <c r="AG57" s="778">
        <f t="shared" si="15"/>
        <v>0</v>
      </c>
      <c r="AH57" s="778">
        <f t="shared" si="15"/>
        <v>0</v>
      </c>
      <c r="AI57" s="128">
        <f t="shared" si="15"/>
        <v>0</v>
      </c>
      <c r="AJ57" s="778">
        <f t="shared" si="15"/>
        <v>0</v>
      </c>
      <c r="AK57" s="778">
        <f t="shared" si="15"/>
        <v>0</v>
      </c>
      <c r="AL57" s="778">
        <f t="shared" si="15"/>
        <v>0</v>
      </c>
      <c r="AM57" s="778">
        <f t="shared" si="15"/>
        <v>0</v>
      </c>
      <c r="AN57" s="778">
        <f t="shared" si="15"/>
        <v>0</v>
      </c>
      <c r="AO57" s="778">
        <f t="shared" si="15"/>
        <v>0</v>
      </c>
      <c r="AP57" s="778">
        <f t="shared" si="15"/>
        <v>0</v>
      </c>
      <c r="AQ57" s="778">
        <f t="shared" si="15"/>
        <v>0</v>
      </c>
      <c r="AR57" s="778">
        <f t="shared" si="15"/>
        <v>0</v>
      </c>
      <c r="AS57" s="128">
        <f t="shared" si="15"/>
        <v>0</v>
      </c>
      <c r="AT57" s="778">
        <f t="shared" si="15"/>
        <v>0</v>
      </c>
      <c r="AU57" s="778">
        <f t="shared" si="15"/>
        <v>0</v>
      </c>
      <c r="AV57" s="778">
        <f t="shared" si="15"/>
        <v>0</v>
      </c>
      <c r="AW57" s="778">
        <f t="shared" si="15"/>
        <v>0</v>
      </c>
      <c r="AX57" s="778">
        <f t="shared" si="15"/>
        <v>0</v>
      </c>
      <c r="AY57" s="778">
        <f t="shared" si="15"/>
        <v>0</v>
      </c>
      <c r="AZ57" s="778">
        <f t="shared" si="15"/>
        <v>0</v>
      </c>
      <c r="BA57" s="778">
        <f t="shared" si="15"/>
        <v>0</v>
      </c>
      <c r="BB57" s="778">
        <f t="shared" si="15"/>
        <v>0</v>
      </c>
      <c r="BC57" s="826"/>
      <c r="BF57" s="680" t="s">
        <v>1001</v>
      </c>
    </row>
    <row r="58" spans="2:58" s="63" customFormat="1" ht="21.95" hidden="1" customHeight="1" x14ac:dyDescent="0.15">
      <c r="B58" s="328"/>
      <c r="E58" s="488">
        <v>22.5</v>
      </c>
      <c r="F58" s="3" cm="1">
        <f t="array" aca="1" ref="F58" ca="1">OFFSET(E58,-1,1)</f>
        <v>0</v>
      </c>
      <c r="G58" s="22" t="s">
        <v>532</v>
      </c>
      <c r="T58" s="353" t="b" cm="1">
        <f t="array" ref="T58">T57</f>
        <v>0</v>
      </c>
      <c r="X58" s="1022"/>
      <c r="Z58" s="1023"/>
      <c r="AB58" s="124">
        <v>6</v>
      </c>
      <c r="AC58" s="125" t="s">
        <v>1002</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6"/>
      <c r="BF58" s="680" t="s">
        <v>1003</v>
      </c>
    </row>
    <row r="59" spans="2:58" ht="14.65" hidden="1" customHeight="1" x14ac:dyDescent="0.15">
      <c r="E59" s="449">
        <v>15</v>
      </c>
      <c r="F59" s="3" cm="1">
        <f t="array" aca="1" ref="F59" ca="1">OFFSET(E59,-1,1)</f>
        <v>0</v>
      </c>
      <c r="G59" s="22" t="s">
        <v>696</v>
      </c>
      <c r="T59" s="353" t="b" cm="1">
        <f t="array" ref="T59">T58</f>
        <v>0</v>
      </c>
      <c r="X59" s="1022"/>
      <c r="Z59" s="1023"/>
      <c r="AB59" s="7" t="s">
        <v>590</v>
      </c>
      <c r="AC59" s="127" t="s">
        <v>940</v>
      </c>
      <c r="AD59" s="7" t="s">
        <v>476</v>
      </c>
      <c r="AE59" s="778">
        <f t="shared" ref="AE59:BB59" si="16">IF(AE53=0,0,AE65/AE53*100)</f>
        <v>0</v>
      </c>
      <c r="AF59" s="778">
        <f t="shared" si="16"/>
        <v>0</v>
      </c>
      <c r="AG59" s="778">
        <f t="shared" si="16"/>
        <v>0</v>
      </c>
      <c r="AH59" s="778">
        <f t="shared" si="16"/>
        <v>0</v>
      </c>
      <c r="AI59" s="128">
        <f t="shared" si="16"/>
        <v>0</v>
      </c>
      <c r="AJ59" s="778">
        <f t="shared" si="16"/>
        <v>0</v>
      </c>
      <c r="AK59" s="778">
        <f t="shared" si="16"/>
        <v>0</v>
      </c>
      <c r="AL59" s="778">
        <f t="shared" si="16"/>
        <v>0</v>
      </c>
      <c r="AM59" s="778">
        <f t="shared" si="16"/>
        <v>0</v>
      </c>
      <c r="AN59" s="778">
        <f t="shared" si="16"/>
        <v>0</v>
      </c>
      <c r="AO59" s="778">
        <f t="shared" si="16"/>
        <v>0</v>
      </c>
      <c r="AP59" s="778">
        <f t="shared" si="16"/>
        <v>0</v>
      </c>
      <c r="AQ59" s="778">
        <f t="shared" si="16"/>
        <v>0</v>
      </c>
      <c r="AR59" s="778">
        <f t="shared" si="16"/>
        <v>0</v>
      </c>
      <c r="AS59" s="128">
        <f t="shared" si="16"/>
        <v>0</v>
      </c>
      <c r="AT59" s="778">
        <f t="shared" si="16"/>
        <v>0</v>
      </c>
      <c r="AU59" s="778">
        <f t="shared" si="16"/>
        <v>0</v>
      </c>
      <c r="AV59" s="778">
        <f t="shared" si="16"/>
        <v>0</v>
      </c>
      <c r="AW59" s="778">
        <f t="shared" si="16"/>
        <v>0</v>
      </c>
      <c r="AX59" s="778">
        <f t="shared" si="16"/>
        <v>0</v>
      </c>
      <c r="AY59" s="778">
        <f t="shared" si="16"/>
        <v>0</v>
      </c>
      <c r="AZ59" s="778">
        <f t="shared" si="16"/>
        <v>0</v>
      </c>
      <c r="BA59" s="778">
        <f t="shared" si="16"/>
        <v>0</v>
      </c>
      <c r="BB59" s="778">
        <f t="shared" si="16"/>
        <v>0</v>
      </c>
      <c r="BC59" s="826"/>
      <c r="BF59" s="680" t="s">
        <v>1004</v>
      </c>
    </row>
    <row r="60" spans="2:58" ht="14.65" hidden="1" customHeight="1" x14ac:dyDescent="0.15">
      <c r="E60" s="449">
        <v>15</v>
      </c>
      <c r="F60" s="3" cm="1">
        <f t="array" aca="1" ref="F60" ca="1">OFFSET(E60,-1,1)</f>
        <v>0</v>
      </c>
      <c r="G60" s="22" t="s">
        <v>699</v>
      </c>
      <c r="T60" s="353" t="b" cm="1">
        <f t="array" ref="T60">T59</f>
        <v>0</v>
      </c>
      <c r="X60" s="1022"/>
      <c r="Z60" s="1023"/>
      <c r="AB60" s="7" t="s">
        <v>594</v>
      </c>
      <c r="AC60" s="127" t="s">
        <v>943</v>
      </c>
      <c r="AD60" s="7" t="s">
        <v>476</v>
      </c>
      <c r="AE60" s="778">
        <f t="shared" ref="AE60:BB60" si="17">IF(AE54=0,0,AE66/AE54*100)</f>
        <v>0</v>
      </c>
      <c r="AF60" s="778">
        <f t="shared" si="17"/>
        <v>0</v>
      </c>
      <c r="AG60" s="778">
        <f t="shared" si="17"/>
        <v>0</v>
      </c>
      <c r="AH60" s="778">
        <f t="shared" si="17"/>
        <v>0</v>
      </c>
      <c r="AI60" s="128">
        <f t="shared" si="17"/>
        <v>0</v>
      </c>
      <c r="AJ60" s="778">
        <f t="shared" si="17"/>
        <v>0</v>
      </c>
      <c r="AK60" s="778">
        <f t="shared" si="17"/>
        <v>0</v>
      </c>
      <c r="AL60" s="778">
        <f t="shared" si="17"/>
        <v>0</v>
      </c>
      <c r="AM60" s="778">
        <f t="shared" si="17"/>
        <v>0</v>
      </c>
      <c r="AN60" s="778">
        <f t="shared" si="17"/>
        <v>0</v>
      </c>
      <c r="AO60" s="778">
        <f t="shared" si="17"/>
        <v>0</v>
      </c>
      <c r="AP60" s="778">
        <f t="shared" si="17"/>
        <v>0</v>
      </c>
      <c r="AQ60" s="778">
        <f t="shared" si="17"/>
        <v>0</v>
      </c>
      <c r="AR60" s="778">
        <f t="shared" si="17"/>
        <v>0</v>
      </c>
      <c r="AS60" s="128">
        <f t="shared" si="17"/>
        <v>0</v>
      </c>
      <c r="AT60" s="778">
        <f t="shared" si="17"/>
        <v>0</v>
      </c>
      <c r="AU60" s="778">
        <f t="shared" si="17"/>
        <v>0</v>
      </c>
      <c r="AV60" s="778">
        <f t="shared" si="17"/>
        <v>0</v>
      </c>
      <c r="AW60" s="778">
        <f t="shared" si="17"/>
        <v>0</v>
      </c>
      <c r="AX60" s="778">
        <f t="shared" si="17"/>
        <v>0</v>
      </c>
      <c r="AY60" s="778">
        <f t="shared" si="17"/>
        <v>0</v>
      </c>
      <c r="AZ60" s="778">
        <f t="shared" si="17"/>
        <v>0</v>
      </c>
      <c r="BA60" s="778">
        <f t="shared" si="17"/>
        <v>0</v>
      </c>
      <c r="BB60" s="778">
        <f t="shared" si="17"/>
        <v>0</v>
      </c>
      <c r="BC60" s="826"/>
      <c r="BF60" s="680" t="s">
        <v>1005</v>
      </c>
    </row>
    <row r="61" spans="2:58" ht="14.65" hidden="1" customHeight="1" x14ac:dyDescent="0.15">
      <c r="E61" s="449">
        <v>15</v>
      </c>
      <c r="F61" s="3" cm="1">
        <f t="array" aca="1" ref="F61" ca="1">OFFSET(E61,-1,1)</f>
        <v>0</v>
      </c>
      <c r="G61" s="22" t="s">
        <v>733</v>
      </c>
      <c r="T61" s="353" t="b" cm="1">
        <f t="array" ref="T61">T60</f>
        <v>0</v>
      </c>
      <c r="X61" s="1022"/>
      <c r="Z61" s="1023"/>
      <c r="AB61" s="7" t="s">
        <v>598</v>
      </c>
      <c r="AC61" s="127" t="s">
        <v>946</v>
      </c>
      <c r="AD61" s="7" t="s">
        <v>476</v>
      </c>
      <c r="AE61" s="778">
        <f t="shared" ref="AE61:BB61" si="18">IF(AE55=0,0,AE67/AE55*100)</f>
        <v>0</v>
      </c>
      <c r="AF61" s="778">
        <f t="shared" si="18"/>
        <v>0</v>
      </c>
      <c r="AG61" s="778">
        <f t="shared" si="18"/>
        <v>0</v>
      </c>
      <c r="AH61" s="778">
        <f t="shared" si="18"/>
        <v>0</v>
      </c>
      <c r="AI61" s="128">
        <f t="shared" si="18"/>
        <v>0</v>
      </c>
      <c r="AJ61" s="778">
        <f t="shared" si="18"/>
        <v>0</v>
      </c>
      <c r="AK61" s="778">
        <f t="shared" si="18"/>
        <v>0</v>
      </c>
      <c r="AL61" s="778">
        <f t="shared" si="18"/>
        <v>0</v>
      </c>
      <c r="AM61" s="778">
        <f t="shared" si="18"/>
        <v>0</v>
      </c>
      <c r="AN61" s="778">
        <f t="shared" si="18"/>
        <v>0</v>
      </c>
      <c r="AO61" s="778">
        <f t="shared" si="18"/>
        <v>0</v>
      </c>
      <c r="AP61" s="778">
        <f t="shared" si="18"/>
        <v>0</v>
      </c>
      <c r="AQ61" s="778">
        <f t="shared" si="18"/>
        <v>0</v>
      </c>
      <c r="AR61" s="778">
        <f t="shared" si="18"/>
        <v>0</v>
      </c>
      <c r="AS61" s="128">
        <f t="shared" si="18"/>
        <v>0</v>
      </c>
      <c r="AT61" s="778">
        <f t="shared" si="18"/>
        <v>0</v>
      </c>
      <c r="AU61" s="778">
        <f t="shared" si="18"/>
        <v>0</v>
      </c>
      <c r="AV61" s="778">
        <f t="shared" si="18"/>
        <v>0</v>
      </c>
      <c r="AW61" s="778">
        <f t="shared" si="18"/>
        <v>0</v>
      </c>
      <c r="AX61" s="778">
        <f t="shared" si="18"/>
        <v>0</v>
      </c>
      <c r="AY61" s="778">
        <f t="shared" si="18"/>
        <v>0</v>
      </c>
      <c r="AZ61" s="778">
        <f t="shared" si="18"/>
        <v>0</v>
      </c>
      <c r="BA61" s="778">
        <f t="shared" si="18"/>
        <v>0</v>
      </c>
      <c r="BB61" s="778">
        <f t="shared" si="18"/>
        <v>0</v>
      </c>
      <c r="BC61" s="826"/>
      <c r="BF61" s="680" t="s">
        <v>1006</v>
      </c>
    </row>
    <row r="62" spans="2:58" ht="14.65" hidden="1" customHeight="1" x14ac:dyDescent="0.15">
      <c r="E62" s="449">
        <v>15</v>
      </c>
      <c r="F62" s="3" cm="1">
        <f t="array" aca="1" ref="F62" ca="1">OFFSET(E62,-1,1)</f>
        <v>0</v>
      </c>
      <c r="G62" s="22" t="s">
        <v>742</v>
      </c>
      <c r="T62" s="353" t="b" cm="1">
        <f t="array" ref="T62">T61</f>
        <v>0</v>
      </c>
      <c r="X62" s="1022"/>
      <c r="Z62" s="1023"/>
      <c r="AB62" s="7" t="s">
        <v>1007</v>
      </c>
      <c r="AC62" s="127" t="s">
        <v>949</v>
      </c>
      <c r="AD62" s="7" t="s">
        <v>476</v>
      </c>
      <c r="AE62" s="778">
        <f t="shared" ref="AE62:BB62" si="19">IF(AE56=0,0,AE68/AE56*100)</f>
        <v>0</v>
      </c>
      <c r="AF62" s="778">
        <f t="shared" si="19"/>
        <v>0</v>
      </c>
      <c r="AG62" s="778">
        <f t="shared" si="19"/>
        <v>0</v>
      </c>
      <c r="AH62" s="778">
        <f t="shared" si="19"/>
        <v>0</v>
      </c>
      <c r="AI62" s="128">
        <f t="shared" si="19"/>
        <v>0</v>
      </c>
      <c r="AJ62" s="778">
        <f t="shared" si="19"/>
        <v>0</v>
      </c>
      <c r="AK62" s="778">
        <f t="shared" si="19"/>
        <v>0</v>
      </c>
      <c r="AL62" s="778">
        <f t="shared" si="19"/>
        <v>0</v>
      </c>
      <c r="AM62" s="778">
        <f t="shared" si="19"/>
        <v>0</v>
      </c>
      <c r="AN62" s="778">
        <f t="shared" si="19"/>
        <v>0</v>
      </c>
      <c r="AO62" s="778">
        <f t="shared" si="19"/>
        <v>0</v>
      </c>
      <c r="AP62" s="778">
        <f t="shared" si="19"/>
        <v>0</v>
      </c>
      <c r="AQ62" s="778">
        <f t="shared" si="19"/>
        <v>0</v>
      </c>
      <c r="AR62" s="778">
        <f t="shared" si="19"/>
        <v>0</v>
      </c>
      <c r="AS62" s="128">
        <f t="shared" si="19"/>
        <v>0</v>
      </c>
      <c r="AT62" s="778">
        <f t="shared" si="19"/>
        <v>0</v>
      </c>
      <c r="AU62" s="778">
        <f t="shared" si="19"/>
        <v>0</v>
      </c>
      <c r="AV62" s="778">
        <f t="shared" si="19"/>
        <v>0</v>
      </c>
      <c r="AW62" s="778">
        <f t="shared" si="19"/>
        <v>0</v>
      </c>
      <c r="AX62" s="778">
        <f t="shared" si="19"/>
        <v>0</v>
      </c>
      <c r="AY62" s="778">
        <f t="shared" si="19"/>
        <v>0</v>
      </c>
      <c r="AZ62" s="778">
        <f t="shared" si="19"/>
        <v>0</v>
      </c>
      <c r="BA62" s="778">
        <f t="shared" si="19"/>
        <v>0</v>
      </c>
      <c r="BB62" s="778">
        <f t="shared" si="19"/>
        <v>0</v>
      </c>
      <c r="BC62" s="826"/>
      <c r="BF62" s="680" t="s">
        <v>1008</v>
      </c>
    </row>
    <row r="63" spans="2:58" ht="14.65" hidden="1" customHeight="1" x14ac:dyDescent="0.15">
      <c r="E63" s="449">
        <v>15</v>
      </c>
      <c r="F63" s="3" cm="1">
        <f t="array" aca="1" ref="F63" ca="1">OFFSET(E63,-1,1)</f>
        <v>0</v>
      </c>
      <c r="G63" s="22" t="s">
        <v>752</v>
      </c>
      <c r="T63" s="353" t="b" cm="1">
        <f t="array" ref="T63">T62</f>
        <v>0</v>
      </c>
      <c r="X63" s="1022"/>
      <c r="Z63" s="1023"/>
      <c r="AB63" s="7" t="s">
        <v>1009</v>
      </c>
      <c r="AC63" s="127" t="s">
        <v>953</v>
      </c>
      <c r="AD63" s="7" t="s">
        <v>476</v>
      </c>
      <c r="AE63" s="778">
        <f t="shared" ref="AE63:BB63" si="20">IF(AE57=0,0,AE69/AE57*100)</f>
        <v>0</v>
      </c>
      <c r="AF63" s="778">
        <f t="shared" si="20"/>
        <v>0</v>
      </c>
      <c r="AG63" s="778">
        <f t="shared" si="20"/>
        <v>0</v>
      </c>
      <c r="AH63" s="778">
        <f t="shared" si="20"/>
        <v>0</v>
      </c>
      <c r="AI63" s="128">
        <f t="shared" si="20"/>
        <v>0</v>
      </c>
      <c r="AJ63" s="778">
        <f t="shared" si="20"/>
        <v>0</v>
      </c>
      <c r="AK63" s="778">
        <f t="shared" si="20"/>
        <v>0</v>
      </c>
      <c r="AL63" s="778">
        <f t="shared" si="20"/>
        <v>0</v>
      </c>
      <c r="AM63" s="778">
        <f t="shared" si="20"/>
        <v>0</v>
      </c>
      <c r="AN63" s="778">
        <f t="shared" si="20"/>
        <v>0</v>
      </c>
      <c r="AO63" s="778">
        <f t="shared" si="20"/>
        <v>0</v>
      </c>
      <c r="AP63" s="778">
        <f t="shared" si="20"/>
        <v>0</v>
      </c>
      <c r="AQ63" s="778">
        <f t="shared" si="20"/>
        <v>0</v>
      </c>
      <c r="AR63" s="778">
        <f t="shared" si="20"/>
        <v>0</v>
      </c>
      <c r="AS63" s="128">
        <f t="shared" si="20"/>
        <v>0</v>
      </c>
      <c r="AT63" s="778">
        <f t="shared" si="20"/>
        <v>0</v>
      </c>
      <c r="AU63" s="778">
        <f t="shared" si="20"/>
        <v>0</v>
      </c>
      <c r="AV63" s="778">
        <f t="shared" si="20"/>
        <v>0</v>
      </c>
      <c r="AW63" s="778">
        <f t="shared" si="20"/>
        <v>0</v>
      </c>
      <c r="AX63" s="778">
        <f t="shared" si="20"/>
        <v>0</v>
      </c>
      <c r="AY63" s="778">
        <f t="shared" si="20"/>
        <v>0</v>
      </c>
      <c r="AZ63" s="778">
        <f t="shared" si="20"/>
        <v>0</v>
      </c>
      <c r="BA63" s="778">
        <f t="shared" si="20"/>
        <v>0</v>
      </c>
      <c r="BB63" s="778">
        <f t="shared" si="20"/>
        <v>0</v>
      </c>
      <c r="BC63" s="826"/>
      <c r="BF63" s="680" t="s">
        <v>1010</v>
      </c>
    </row>
    <row r="64" spans="2:58" s="63" customFormat="1" ht="14.65" hidden="1" customHeight="1" x14ac:dyDescent="0.15">
      <c r="B64" s="328"/>
      <c r="E64" s="449">
        <v>15</v>
      </c>
      <c r="F64" s="3" cm="1">
        <f t="array" aca="1" ref="F64" ca="1">OFFSET(E64,-1,1)</f>
        <v>0</v>
      </c>
      <c r="G64" s="22" t="s">
        <v>535</v>
      </c>
      <c r="K64" s="40" t="str">
        <f ca="1">F64&amp;"komm"</f>
        <v>0komm</v>
      </c>
      <c r="L64" s="609" cm="1">
        <f t="array" ref="L64">BC64</f>
        <v>0</v>
      </c>
      <c r="T64" s="353" t="b" cm="1">
        <f t="array" ref="T64">T63</f>
        <v>0</v>
      </c>
      <c r="X64" s="1022"/>
      <c r="Z64" s="1023"/>
      <c r="AB64" s="124">
        <v>7</v>
      </c>
      <c r="AC64" s="125" t="s">
        <v>1011</v>
      </c>
      <c r="AD64" s="8" t="s">
        <v>828</v>
      </c>
      <c r="AE64" s="774">
        <f t="shared" ref="AE64:BB64" si="21">SUM(AE65:AE69)</f>
        <v>0</v>
      </c>
      <c r="AF64" s="774">
        <f t="shared" si="21"/>
        <v>0</v>
      </c>
      <c r="AG64" s="774">
        <f t="shared" si="21"/>
        <v>0</v>
      </c>
      <c r="AH64" s="774">
        <f t="shared" si="21"/>
        <v>0</v>
      </c>
      <c r="AI64" s="138">
        <f t="shared" si="21"/>
        <v>0</v>
      </c>
      <c r="AJ64" s="774">
        <f t="shared" si="21"/>
        <v>0</v>
      </c>
      <c r="AK64" s="774">
        <f t="shared" si="21"/>
        <v>0</v>
      </c>
      <c r="AL64" s="774">
        <f t="shared" si="21"/>
        <v>0</v>
      </c>
      <c r="AM64" s="774">
        <f t="shared" si="21"/>
        <v>0</v>
      </c>
      <c r="AN64" s="774">
        <f t="shared" si="21"/>
        <v>0</v>
      </c>
      <c r="AO64" s="774">
        <f t="shared" si="21"/>
        <v>0</v>
      </c>
      <c r="AP64" s="774">
        <f t="shared" si="21"/>
        <v>0</v>
      </c>
      <c r="AQ64" s="774">
        <f t="shared" si="21"/>
        <v>0</v>
      </c>
      <c r="AR64" s="774">
        <f t="shared" si="21"/>
        <v>0</v>
      </c>
      <c r="AS64" s="138">
        <f t="shared" si="21"/>
        <v>0</v>
      </c>
      <c r="AT64" s="774">
        <f t="shared" si="21"/>
        <v>0</v>
      </c>
      <c r="AU64" s="774">
        <f t="shared" si="21"/>
        <v>0</v>
      </c>
      <c r="AV64" s="774">
        <f t="shared" si="21"/>
        <v>0</v>
      </c>
      <c r="AW64" s="774">
        <f t="shared" si="21"/>
        <v>0</v>
      </c>
      <c r="AX64" s="774">
        <f t="shared" si="21"/>
        <v>0</v>
      </c>
      <c r="AY64" s="774">
        <f t="shared" si="21"/>
        <v>0</v>
      </c>
      <c r="AZ64" s="774">
        <f t="shared" si="21"/>
        <v>0</v>
      </c>
      <c r="BA64" s="774">
        <f t="shared" si="21"/>
        <v>0</v>
      </c>
      <c r="BB64" s="774">
        <f t="shared" si="21"/>
        <v>0</v>
      </c>
      <c r="BC64" s="826"/>
      <c r="BF64" s="680" t="s">
        <v>1012</v>
      </c>
    </row>
    <row r="65" spans="2:58" ht="14.65" hidden="1" customHeight="1" x14ac:dyDescent="0.15">
      <c r="E65" s="449">
        <v>15</v>
      </c>
      <c r="F65" s="3" cm="1">
        <f t="array" aca="1" ref="F65" ca="1">OFFSET(E65,-1,1)</f>
        <v>0</v>
      </c>
      <c r="G65" s="22" t="s">
        <v>703</v>
      </c>
      <c r="T65" s="353" t="b" cm="1">
        <f t="array" ref="T65">T64</f>
        <v>0</v>
      </c>
      <c r="X65" s="1022"/>
      <c r="Z65" s="1023"/>
      <c r="AB65" s="7" t="s">
        <v>606</v>
      </c>
      <c r="AC65" s="127" t="s">
        <v>940</v>
      </c>
      <c r="AD65" s="8" t="s">
        <v>828</v>
      </c>
      <c r="AE65" s="778"/>
      <c r="AF65" s="778"/>
      <c r="AG65" s="778"/>
      <c r="AH65" s="778"/>
      <c r="AI65" s="128"/>
      <c r="AJ65" s="778"/>
      <c r="AK65" s="778"/>
      <c r="AL65" s="778"/>
      <c r="AM65" s="778"/>
      <c r="AN65" s="778"/>
      <c r="AO65" s="778"/>
      <c r="AP65" s="778"/>
      <c r="AQ65" s="778"/>
      <c r="AR65" s="778"/>
      <c r="AS65" s="128"/>
      <c r="AT65" s="778"/>
      <c r="AU65" s="778"/>
      <c r="AV65" s="778"/>
      <c r="AW65" s="778"/>
      <c r="AX65" s="778"/>
      <c r="AY65" s="778"/>
      <c r="AZ65" s="778"/>
      <c r="BA65" s="778"/>
      <c r="BB65" s="778"/>
      <c r="BC65" s="826"/>
      <c r="BF65" s="680" t="s">
        <v>1013</v>
      </c>
    </row>
    <row r="66" spans="2:58" ht="14.65" hidden="1" customHeight="1" x14ac:dyDescent="0.15">
      <c r="E66" s="449">
        <v>15</v>
      </c>
      <c r="F66" s="3" cm="1">
        <f t="array" aca="1" ref="F66" ca="1">OFFSET(E66,-1,1)</f>
        <v>0</v>
      </c>
      <c r="G66" s="22" t="s">
        <v>706</v>
      </c>
      <c r="T66" s="353" t="b" cm="1">
        <f t="array" ref="T66">T65</f>
        <v>0</v>
      </c>
      <c r="X66" s="1022"/>
      <c r="Z66" s="1023"/>
      <c r="AB66" s="7" t="s">
        <v>1014</v>
      </c>
      <c r="AC66" s="127" t="s">
        <v>943</v>
      </c>
      <c r="AD66" s="8" t="s">
        <v>828</v>
      </c>
      <c r="AE66" s="778"/>
      <c r="AF66" s="778"/>
      <c r="AG66" s="778"/>
      <c r="AH66" s="778"/>
      <c r="AI66" s="128"/>
      <c r="AJ66" s="778"/>
      <c r="AK66" s="778"/>
      <c r="AL66" s="778"/>
      <c r="AM66" s="778"/>
      <c r="AN66" s="778"/>
      <c r="AO66" s="778"/>
      <c r="AP66" s="778"/>
      <c r="AQ66" s="778"/>
      <c r="AR66" s="778"/>
      <c r="AS66" s="128"/>
      <c r="AT66" s="778"/>
      <c r="AU66" s="778"/>
      <c r="AV66" s="778"/>
      <c r="AW66" s="778"/>
      <c r="AX66" s="778"/>
      <c r="AY66" s="778"/>
      <c r="AZ66" s="778"/>
      <c r="BA66" s="778"/>
      <c r="BB66" s="778"/>
      <c r="BC66" s="826"/>
      <c r="BF66" s="680" t="s">
        <v>1015</v>
      </c>
    </row>
    <row r="67" spans="2:58" ht="14.65" hidden="1" customHeight="1" x14ac:dyDescent="0.15">
      <c r="E67" s="449">
        <v>15</v>
      </c>
      <c r="F67" s="3" cm="1">
        <f t="array" aca="1" ref="F67" ca="1">OFFSET(E67,-1,1)</f>
        <v>0</v>
      </c>
      <c r="G67" s="22" t="s">
        <v>1016</v>
      </c>
      <c r="T67" s="353" t="b" cm="1">
        <f t="array" ref="T67">T66</f>
        <v>0</v>
      </c>
      <c r="X67" s="1022"/>
      <c r="Z67" s="1023"/>
      <c r="AB67" s="7" t="s">
        <v>1017</v>
      </c>
      <c r="AC67" s="127" t="s">
        <v>946</v>
      </c>
      <c r="AD67" s="8" t="s">
        <v>828</v>
      </c>
      <c r="AE67" s="778"/>
      <c r="AF67" s="778"/>
      <c r="AG67" s="778"/>
      <c r="AH67" s="778"/>
      <c r="AI67" s="128"/>
      <c r="AJ67" s="778"/>
      <c r="AK67" s="778"/>
      <c r="AL67" s="778"/>
      <c r="AM67" s="778"/>
      <c r="AN67" s="778"/>
      <c r="AO67" s="778"/>
      <c r="AP67" s="778"/>
      <c r="AQ67" s="778"/>
      <c r="AR67" s="778"/>
      <c r="AS67" s="128"/>
      <c r="AT67" s="778"/>
      <c r="AU67" s="778"/>
      <c r="AV67" s="778"/>
      <c r="AW67" s="778"/>
      <c r="AX67" s="778"/>
      <c r="AY67" s="778"/>
      <c r="AZ67" s="778"/>
      <c r="BA67" s="778"/>
      <c r="BB67" s="778"/>
      <c r="BC67" s="826"/>
      <c r="BF67" s="680" t="s">
        <v>1018</v>
      </c>
    </row>
    <row r="68" spans="2:58" ht="14.65" hidden="1" customHeight="1" x14ac:dyDescent="0.15">
      <c r="E68" s="449">
        <v>15</v>
      </c>
      <c r="F68" s="3" cm="1">
        <f t="array" aca="1" ref="F68" ca="1">OFFSET(E68,-1,1)</f>
        <v>0</v>
      </c>
      <c r="G68" s="22" t="s">
        <v>1019</v>
      </c>
      <c r="T68" s="353" t="b" cm="1">
        <f t="array" ref="T68">T67</f>
        <v>0</v>
      </c>
      <c r="X68" s="1022"/>
      <c r="Z68" s="1023"/>
      <c r="AB68" s="7" t="s">
        <v>1020</v>
      </c>
      <c r="AC68" s="127" t="s">
        <v>949</v>
      </c>
      <c r="AD68" s="8" t="s">
        <v>828</v>
      </c>
      <c r="AE68" s="778"/>
      <c r="AF68" s="778"/>
      <c r="AG68" s="778"/>
      <c r="AH68" s="778"/>
      <c r="AI68" s="128"/>
      <c r="AJ68" s="778"/>
      <c r="AK68" s="778"/>
      <c r="AL68" s="778"/>
      <c r="AM68" s="778"/>
      <c r="AN68" s="778"/>
      <c r="AO68" s="778"/>
      <c r="AP68" s="778"/>
      <c r="AQ68" s="778"/>
      <c r="AR68" s="778"/>
      <c r="AS68" s="128"/>
      <c r="AT68" s="778"/>
      <c r="AU68" s="778"/>
      <c r="AV68" s="778"/>
      <c r="AW68" s="778"/>
      <c r="AX68" s="778"/>
      <c r="AY68" s="778"/>
      <c r="AZ68" s="778"/>
      <c r="BA68" s="778"/>
      <c r="BB68" s="778"/>
      <c r="BC68" s="826"/>
      <c r="BF68" s="680" t="s">
        <v>1021</v>
      </c>
    </row>
    <row r="69" spans="2:58" ht="14.65" hidden="1" customHeight="1" x14ac:dyDescent="0.15">
      <c r="E69" s="449">
        <v>15</v>
      </c>
      <c r="F69" s="3" cm="1">
        <f t="array" aca="1" ref="F69" ca="1">OFFSET(E69,-1,1)</f>
        <v>0</v>
      </c>
      <c r="G69" s="22" t="s">
        <v>1022</v>
      </c>
      <c r="T69" s="353" t="b" cm="1">
        <f t="array" ref="T69">T68</f>
        <v>0</v>
      </c>
      <c r="X69" s="1022"/>
      <c r="Z69" s="1023"/>
      <c r="AB69" s="7" t="s">
        <v>1023</v>
      </c>
      <c r="AC69" s="127" t="s">
        <v>953</v>
      </c>
      <c r="AD69" s="8" t="s">
        <v>828</v>
      </c>
      <c r="AE69" s="778"/>
      <c r="AF69" s="778"/>
      <c r="AG69" s="778"/>
      <c r="AH69" s="778"/>
      <c r="AI69" s="128"/>
      <c r="AJ69" s="778"/>
      <c r="AK69" s="778"/>
      <c r="AL69" s="778"/>
      <c r="AM69" s="778"/>
      <c r="AN69" s="778"/>
      <c r="AO69" s="778"/>
      <c r="AP69" s="778"/>
      <c r="AQ69" s="778"/>
      <c r="AR69" s="778"/>
      <c r="AS69" s="128"/>
      <c r="AT69" s="778"/>
      <c r="AU69" s="778"/>
      <c r="AV69" s="778"/>
      <c r="AW69" s="778"/>
      <c r="AX69" s="778"/>
      <c r="AY69" s="778"/>
      <c r="AZ69" s="778"/>
      <c r="BA69" s="778"/>
      <c r="BB69" s="778"/>
      <c r="BC69" s="826"/>
      <c r="BF69" s="680" t="s">
        <v>1024</v>
      </c>
    </row>
    <row r="70" spans="2:58" s="63" customFormat="1" ht="14.65" hidden="1" customHeight="1" x14ac:dyDescent="0.15">
      <c r="B70" s="328"/>
      <c r="E70" s="449">
        <v>15</v>
      </c>
      <c r="F70" s="3" cm="1">
        <f t="array" aca="1" ref="F70" ca="1">OFFSET(E70,-1,1)</f>
        <v>0</v>
      </c>
      <c r="G70" s="22" t="s">
        <v>586</v>
      </c>
      <c r="T70" s="353" t="b" cm="1">
        <f t="array" ref="T70">T69</f>
        <v>0</v>
      </c>
      <c r="X70" s="1022"/>
      <c r="Z70" s="1023"/>
      <c r="AB70" s="124">
        <v>8</v>
      </c>
      <c r="AC70" s="125" t="s">
        <v>1025</v>
      </c>
      <c r="AD70" s="8" t="s">
        <v>828</v>
      </c>
      <c r="AE70" s="774">
        <f t="shared" ref="AE70:BB70" si="22">SUM(AE71:AE75)</f>
        <v>0</v>
      </c>
      <c r="AF70" s="774">
        <f t="shared" si="22"/>
        <v>0</v>
      </c>
      <c r="AG70" s="774">
        <f t="shared" si="22"/>
        <v>0</v>
      </c>
      <c r="AH70" s="774">
        <f t="shared" si="22"/>
        <v>0</v>
      </c>
      <c r="AI70" s="138">
        <f t="shared" si="22"/>
        <v>0</v>
      </c>
      <c r="AJ70" s="774">
        <f t="shared" si="22"/>
        <v>0</v>
      </c>
      <c r="AK70" s="774">
        <f t="shared" si="22"/>
        <v>0</v>
      </c>
      <c r="AL70" s="774">
        <f t="shared" si="22"/>
        <v>0</v>
      </c>
      <c r="AM70" s="774">
        <f t="shared" si="22"/>
        <v>0</v>
      </c>
      <c r="AN70" s="774">
        <f t="shared" si="22"/>
        <v>0</v>
      </c>
      <c r="AO70" s="774">
        <f t="shared" si="22"/>
        <v>0</v>
      </c>
      <c r="AP70" s="774">
        <f t="shared" si="22"/>
        <v>0</v>
      </c>
      <c r="AQ70" s="774">
        <f t="shared" si="22"/>
        <v>0</v>
      </c>
      <c r="AR70" s="774">
        <f t="shared" si="22"/>
        <v>0</v>
      </c>
      <c r="AS70" s="138">
        <f t="shared" si="22"/>
        <v>0</v>
      </c>
      <c r="AT70" s="774">
        <f t="shared" si="22"/>
        <v>0</v>
      </c>
      <c r="AU70" s="774">
        <f t="shared" si="22"/>
        <v>0</v>
      </c>
      <c r="AV70" s="774">
        <f t="shared" si="22"/>
        <v>0</v>
      </c>
      <c r="AW70" s="774">
        <f t="shared" si="22"/>
        <v>0</v>
      </c>
      <c r="AX70" s="774">
        <f t="shared" si="22"/>
        <v>0</v>
      </c>
      <c r="AY70" s="774">
        <f t="shared" si="22"/>
        <v>0</v>
      </c>
      <c r="AZ70" s="774">
        <f t="shared" si="22"/>
        <v>0</v>
      </c>
      <c r="BA70" s="774">
        <f t="shared" si="22"/>
        <v>0</v>
      </c>
      <c r="BB70" s="774">
        <f t="shared" si="22"/>
        <v>0</v>
      </c>
      <c r="BC70" s="826"/>
      <c r="BF70" s="680" t="s">
        <v>1026</v>
      </c>
    </row>
    <row r="71" spans="2:58" ht="14.65" hidden="1" customHeight="1" x14ac:dyDescent="0.15">
      <c r="E71" s="449">
        <v>15</v>
      </c>
      <c r="F71" s="3" cm="1">
        <f t="array" aca="1" ref="F71" ca="1">OFFSET(E71,-1,1)</f>
        <v>0</v>
      </c>
      <c r="G71" s="22" t="s">
        <v>589</v>
      </c>
      <c r="T71" s="353" t="b" cm="1">
        <f t="array" ref="T71">T70</f>
        <v>0</v>
      </c>
      <c r="X71" s="1022"/>
      <c r="Z71" s="1023"/>
      <c r="AB71" s="7" t="s">
        <v>614</v>
      </c>
      <c r="AC71" s="127" t="s">
        <v>940</v>
      </c>
      <c r="AD71" s="8" t="s">
        <v>828</v>
      </c>
      <c r="AE71" s="778"/>
      <c r="AF71" s="778"/>
      <c r="AG71" s="778"/>
      <c r="AH71" s="778"/>
      <c r="AI71" s="128"/>
      <c r="AJ71" s="778"/>
      <c r="AK71" s="778"/>
      <c r="AL71" s="778"/>
      <c r="AM71" s="778"/>
      <c r="AN71" s="778"/>
      <c r="AO71" s="778"/>
      <c r="AP71" s="778"/>
      <c r="AQ71" s="778"/>
      <c r="AR71" s="778"/>
      <c r="AS71" s="128"/>
      <c r="AT71" s="778"/>
      <c r="AU71" s="778"/>
      <c r="AV71" s="778"/>
      <c r="AW71" s="778"/>
      <c r="AX71" s="778"/>
      <c r="AY71" s="778"/>
      <c r="AZ71" s="778"/>
      <c r="BA71" s="778"/>
      <c r="BB71" s="778"/>
      <c r="BC71" s="826"/>
      <c r="BF71" s="680" t="s">
        <v>1027</v>
      </c>
    </row>
    <row r="72" spans="2:58" ht="14.65" hidden="1" customHeight="1" x14ac:dyDescent="0.15">
      <c r="E72" s="449">
        <v>15</v>
      </c>
      <c r="F72" s="3" cm="1">
        <f t="array" aca="1" ref="F72" ca="1">OFFSET(E72,-1,1)</f>
        <v>0</v>
      </c>
      <c r="G72" s="22" t="s">
        <v>593</v>
      </c>
      <c r="T72" s="353" t="b" cm="1">
        <f t="array" ref="T72">T71</f>
        <v>0</v>
      </c>
      <c r="X72" s="1022"/>
      <c r="Z72" s="1023"/>
      <c r="AB72" s="7" t="s">
        <v>631</v>
      </c>
      <c r="AC72" s="127" t="s">
        <v>943</v>
      </c>
      <c r="AD72" s="8" t="s">
        <v>828</v>
      </c>
      <c r="AE72" s="778"/>
      <c r="AF72" s="778"/>
      <c r="AG72" s="778"/>
      <c r="AH72" s="778"/>
      <c r="AI72" s="128"/>
      <c r="AJ72" s="778"/>
      <c r="AK72" s="778"/>
      <c r="AL72" s="778"/>
      <c r="AM72" s="778"/>
      <c r="AN72" s="778"/>
      <c r="AO72" s="778"/>
      <c r="AP72" s="778"/>
      <c r="AQ72" s="778"/>
      <c r="AR72" s="778"/>
      <c r="AS72" s="128"/>
      <c r="AT72" s="778"/>
      <c r="AU72" s="778"/>
      <c r="AV72" s="778"/>
      <c r="AW72" s="778"/>
      <c r="AX72" s="778"/>
      <c r="AY72" s="778"/>
      <c r="AZ72" s="778"/>
      <c r="BA72" s="778"/>
      <c r="BB72" s="778"/>
      <c r="BC72" s="826"/>
      <c r="BF72" s="680" t="s">
        <v>1028</v>
      </c>
    </row>
    <row r="73" spans="2:58" ht="14.65" hidden="1" customHeight="1" x14ac:dyDescent="0.15">
      <c r="E73" s="449">
        <v>15</v>
      </c>
      <c r="F73" s="3" cm="1">
        <f t="array" aca="1" ref="F73" ca="1">OFFSET(E73,-1,1)</f>
        <v>0</v>
      </c>
      <c r="G73" s="22" t="s">
        <v>597</v>
      </c>
      <c r="T73" s="353" t="b" cm="1">
        <f t="array" ref="T73">T72</f>
        <v>0</v>
      </c>
      <c r="X73" s="1022"/>
      <c r="Z73" s="1023"/>
      <c r="AB73" s="7" t="s">
        <v>643</v>
      </c>
      <c r="AC73" s="127" t="s">
        <v>946</v>
      </c>
      <c r="AD73" s="8" t="s">
        <v>828</v>
      </c>
      <c r="AE73" s="778"/>
      <c r="AF73" s="778"/>
      <c r="AG73" s="778"/>
      <c r="AH73" s="778"/>
      <c r="AI73" s="128"/>
      <c r="AJ73" s="778"/>
      <c r="AK73" s="778"/>
      <c r="AL73" s="778"/>
      <c r="AM73" s="778"/>
      <c r="AN73" s="778"/>
      <c r="AO73" s="778"/>
      <c r="AP73" s="778"/>
      <c r="AQ73" s="778"/>
      <c r="AR73" s="778"/>
      <c r="AS73" s="128"/>
      <c r="AT73" s="778"/>
      <c r="AU73" s="778"/>
      <c r="AV73" s="778"/>
      <c r="AW73" s="778"/>
      <c r="AX73" s="778"/>
      <c r="AY73" s="778"/>
      <c r="AZ73" s="778"/>
      <c r="BA73" s="778"/>
      <c r="BB73" s="778"/>
      <c r="BC73" s="826"/>
      <c r="BF73" s="680" t="s">
        <v>1029</v>
      </c>
    </row>
    <row r="74" spans="2:58" ht="14.65" hidden="1" customHeight="1" x14ac:dyDescent="0.15">
      <c r="E74" s="449">
        <v>15</v>
      </c>
      <c r="F74" s="3" cm="1">
        <f t="array" aca="1" ref="F74" ca="1">OFFSET(E74,-1,1)</f>
        <v>0</v>
      </c>
      <c r="G74" s="22" t="s">
        <v>1030</v>
      </c>
      <c r="T74" s="353" t="b" cm="1">
        <f t="array" ref="T74">T73</f>
        <v>0</v>
      </c>
      <c r="X74" s="1022"/>
      <c r="Z74" s="1023"/>
      <c r="AB74" s="7" t="s">
        <v>678</v>
      </c>
      <c r="AC74" s="127" t="s">
        <v>949</v>
      </c>
      <c r="AD74" s="8" t="s">
        <v>828</v>
      </c>
      <c r="AE74" s="778"/>
      <c r="AF74" s="778"/>
      <c r="AG74" s="778"/>
      <c r="AH74" s="778"/>
      <c r="AI74" s="128"/>
      <c r="AJ74" s="778"/>
      <c r="AK74" s="778"/>
      <c r="AL74" s="778"/>
      <c r="AM74" s="778"/>
      <c r="AN74" s="778"/>
      <c r="AO74" s="778"/>
      <c r="AP74" s="778"/>
      <c r="AQ74" s="778"/>
      <c r="AR74" s="778"/>
      <c r="AS74" s="128"/>
      <c r="AT74" s="778"/>
      <c r="AU74" s="778"/>
      <c r="AV74" s="778"/>
      <c r="AW74" s="778"/>
      <c r="AX74" s="778"/>
      <c r="AY74" s="778"/>
      <c r="AZ74" s="778"/>
      <c r="BA74" s="778"/>
      <c r="BB74" s="778"/>
      <c r="BC74" s="826"/>
      <c r="BF74" s="680" t="s">
        <v>1031</v>
      </c>
    </row>
    <row r="75" spans="2:58" ht="14.65" hidden="1" customHeight="1" x14ac:dyDescent="0.15">
      <c r="E75" s="449">
        <v>15</v>
      </c>
      <c r="F75" s="3" cm="1">
        <f t="array" aca="1" ref="F75" ca="1">OFFSET(E75,-1,1)</f>
        <v>0</v>
      </c>
      <c r="G75" s="22" t="s">
        <v>1032</v>
      </c>
      <c r="T75" s="353" t="b" cm="1">
        <f t="array" ref="T75">T74</f>
        <v>0</v>
      </c>
      <c r="X75" s="1022"/>
      <c r="Z75" s="1023"/>
      <c r="AB75" s="7" t="s">
        <v>681</v>
      </c>
      <c r="AC75" s="127" t="s">
        <v>953</v>
      </c>
      <c r="AD75" s="8" t="s">
        <v>828</v>
      </c>
      <c r="AE75" s="778"/>
      <c r="AF75" s="778"/>
      <c r="AG75" s="778"/>
      <c r="AH75" s="778"/>
      <c r="AI75" s="128"/>
      <c r="AJ75" s="778"/>
      <c r="AK75" s="778"/>
      <c r="AL75" s="778"/>
      <c r="AM75" s="778"/>
      <c r="AN75" s="778"/>
      <c r="AO75" s="778"/>
      <c r="AP75" s="778"/>
      <c r="AQ75" s="778"/>
      <c r="AR75" s="778"/>
      <c r="AS75" s="128"/>
      <c r="AT75" s="778"/>
      <c r="AU75" s="778"/>
      <c r="AV75" s="778"/>
      <c r="AW75" s="778"/>
      <c r="AX75" s="778"/>
      <c r="AY75" s="778"/>
      <c r="AZ75" s="778"/>
      <c r="BA75" s="778"/>
      <c r="BB75" s="778"/>
      <c r="BC75" s="826"/>
      <c r="BF75" s="680" t="s">
        <v>1033</v>
      </c>
    </row>
    <row r="76" spans="2:58" ht="24.75" customHeight="1" x14ac:dyDescent="0.15">
      <c r="E76" s="449">
        <v>15</v>
      </c>
      <c r="F76" s="519" t="str" cm="1">
        <f t="array" ref="F76">X76</f>
        <v>1</v>
      </c>
      <c r="T76" s="353" t="b">
        <f>X76&gt;0</f>
        <v>1</v>
      </c>
      <c r="V76" s="22" t="str" cm="1">
        <f t="array" ref="V76">ЭЭ!$AB$47</f>
        <v>Тариф 1 (Водоснабжение) - тариф на техническую воду</v>
      </c>
      <c r="X76" s="1022" t="s">
        <v>275</v>
      </c>
      <c r="Z76" s="1023"/>
      <c r="AB76" s="97" t="str" cm="1">
        <f t="array" ref="AB76">ЭЭ!$AB$47</f>
        <v>Тариф 1 (Водоснабжение) - тариф на техническую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56.1" customHeight="1" x14ac:dyDescent="0.15">
      <c r="B77" s="328"/>
      <c r="E77" s="488">
        <v>22.5</v>
      </c>
      <c r="F77" s="3" t="str" cm="1">
        <f t="array" aca="1" ref="F77" ca="1">OFFSET(E77,-1,1)</f>
        <v>1</v>
      </c>
      <c r="G77" s="22" t="s">
        <v>331</v>
      </c>
      <c r="T77" s="353" t="b" cm="1">
        <f t="array" ref="T77">T76</f>
        <v>1</v>
      </c>
      <c r="X77" s="1022"/>
      <c r="Z77" s="1023"/>
      <c r="AB77" s="124">
        <v>1</v>
      </c>
      <c r="AC77" s="125" t="s">
        <v>937</v>
      </c>
      <c r="AD77" s="8" t="s">
        <v>828</v>
      </c>
      <c r="AE77" s="138">
        <v>122320.74985832001</v>
      </c>
      <c r="AF77" s="138">
        <v>274687.89373000001</v>
      </c>
      <c r="AG77" s="138">
        <v>202900.51973</v>
      </c>
      <c r="AH77" s="138">
        <v>71228.9893008254</v>
      </c>
      <c r="AI77" s="138">
        <v>274590.29537000001</v>
      </c>
      <c r="AJ77" s="774">
        <f t="shared" ref="AJ77:AR77" si="23">SUM(AJ78:AJ82)</f>
        <v>0</v>
      </c>
      <c r="AK77" s="774">
        <f t="shared" si="23"/>
        <v>0</v>
      </c>
      <c r="AL77" s="138">
        <f t="shared" si="23"/>
        <v>0</v>
      </c>
      <c r="AM77" s="138">
        <f t="shared" si="23"/>
        <v>0</v>
      </c>
      <c r="AN77" s="138">
        <f t="shared" si="23"/>
        <v>0</v>
      </c>
      <c r="AO77" s="138">
        <f t="shared" si="23"/>
        <v>0</v>
      </c>
      <c r="AP77" s="138">
        <f t="shared" si="23"/>
        <v>0</v>
      </c>
      <c r="AQ77" s="138">
        <f t="shared" si="23"/>
        <v>0</v>
      </c>
      <c r="AR77" s="138">
        <f t="shared" si="23"/>
        <v>0</v>
      </c>
      <c r="AS77" s="138">
        <v>202938.72510000001</v>
      </c>
      <c r="AT77" s="774">
        <f t="shared" ref="AT77:BB77" si="24">SUM(AT78:AT82)</f>
        <v>0</v>
      </c>
      <c r="AU77" s="774">
        <f t="shared" si="24"/>
        <v>0</v>
      </c>
      <c r="AV77" s="138">
        <f t="shared" si="24"/>
        <v>0</v>
      </c>
      <c r="AW77" s="138">
        <f t="shared" si="24"/>
        <v>0</v>
      </c>
      <c r="AX77" s="138">
        <f t="shared" si="24"/>
        <v>0</v>
      </c>
      <c r="AY77" s="138">
        <f t="shared" si="24"/>
        <v>0</v>
      </c>
      <c r="AZ77" s="138">
        <f t="shared" si="24"/>
        <v>0</v>
      </c>
      <c r="BA77" s="138">
        <f t="shared" si="24"/>
        <v>0</v>
      </c>
      <c r="BB77" s="138">
        <f t="shared" si="24"/>
        <v>0</v>
      </c>
      <c r="BC77" s="113" t="s">
        <v>1034</v>
      </c>
      <c r="BF77" s="680" t="s">
        <v>938</v>
      </c>
    </row>
    <row r="78" spans="2:58" ht="27.2" customHeight="1" x14ac:dyDescent="0.15">
      <c r="E78" s="449">
        <v>15</v>
      </c>
      <c r="F78" s="3" t="str" cm="1">
        <f t="array" aca="1" ref="F78" ca="1">OFFSET(E78,-1,1)</f>
        <v>1</v>
      </c>
      <c r="G78" s="22" t="s">
        <v>482</v>
      </c>
      <c r="T78" s="353" t="b" cm="1">
        <f t="array" ref="T78">T77</f>
        <v>1</v>
      </c>
      <c r="X78" s="1022"/>
      <c r="Z78" s="1023"/>
      <c r="AB78" s="7" t="s">
        <v>939</v>
      </c>
      <c r="AC78" s="127" t="s">
        <v>940</v>
      </c>
      <c r="AD78" s="8" t="s">
        <v>828</v>
      </c>
      <c r="AE78" s="128"/>
      <c r="AF78" s="128">
        <v>510.029</v>
      </c>
      <c r="AG78" s="128">
        <v>0</v>
      </c>
      <c r="AH78" s="128">
        <v>165.50030573999999</v>
      </c>
      <c r="AI78" s="128">
        <v>510.029</v>
      </c>
      <c r="AJ78" s="778"/>
      <c r="AK78" s="778"/>
      <c r="AL78" s="128"/>
      <c r="AM78" s="128"/>
      <c r="AN78" s="128"/>
      <c r="AO78" s="128"/>
      <c r="AP78" s="128"/>
      <c r="AQ78" s="128"/>
      <c r="AR78" s="128"/>
      <c r="AS78" s="128">
        <v>0</v>
      </c>
      <c r="AT78" s="778"/>
      <c r="AU78" s="778"/>
      <c r="AV78" s="128"/>
      <c r="AW78" s="128"/>
      <c r="AX78" s="128"/>
      <c r="AY78" s="128"/>
      <c r="AZ78" s="128"/>
      <c r="BA78" s="128"/>
      <c r="BB78" s="128"/>
      <c r="BC78" s="113" t="s">
        <v>1035</v>
      </c>
      <c r="BF78" s="680" t="s">
        <v>941</v>
      </c>
    </row>
    <row r="79" spans="2:58" ht="41.1" customHeight="1" x14ac:dyDescent="0.15">
      <c r="E79" s="449">
        <v>15</v>
      </c>
      <c r="F79" s="3" t="str" cm="1">
        <f t="array" aca="1" ref="F79" ca="1">OFFSET(E79,-1,1)</f>
        <v>1</v>
      </c>
      <c r="G79" s="22" t="s">
        <v>486</v>
      </c>
      <c r="T79" s="353" t="b" cm="1">
        <f t="array" ref="T79">T78</f>
        <v>1</v>
      </c>
      <c r="X79" s="1022"/>
      <c r="Z79" s="1023"/>
      <c r="AB79" s="7" t="s">
        <v>942</v>
      </c>
      <c r="AC79" s="127" t="s">
        <v>943</v>
      </c>
      <c r="AD79" s="8" t="s">
        <v>828</v>
      </c>
      <c r="AE79" s="128"/>
      <c r="AF79" s="128">
        <v>215400.992</v>
      </c>
      <c r="AG79" s="128">
        <v>145252.54</v>
      </c>
      <c r="AH79" s="128">
        <v>46507.826949711402</v>
      </c>
      <c r="AI79" s="128">
        <v>215400.992</v>
      </c>
      <c r="AJ79" s="778"/>
      <c r="AK79" s="778"/>
      <c r="AL79" s="128"/>
      <c r="AM79" s="128"/>
      <c r="AN79" s="128"/>
      <c r="AO79" s="128"/>
      <c r="AP79" s="128"/>
      <c r="AQ79" s="128"/>
      <c r="AR79" s="128"/>
      <c r="AS79" s="128">
        <v>145252.54</v>
      </c>
      <c r="AT79" s="778"/>
      <c r="AU79" s="778"/>
      <c r="AV79" s="128"/>
      <c r="AW79" s="128"/>
      <c r="AX79" s="128"/>
      <c r="AY79" s="128"/>
      <c r="AZ79" s="128"/>
      <c r="BA79" s="128"/>
      <c r="BB79" s="128"/>
      <c r="BC79" s="113" t="s">
        <v>1036</v>
      </c>
      <c r="BF79" s="680" t="s">
        <v>944</v>
      </c>
    </row>
    <row r="80" spans="2:58" ht="29.85" customHeight="1" x14ac:dyDescent="0.15">
      <c r="E80" s="449">
        <v>15</v>
      </c>
      <c r="F80" s="3" t="str" cm="1">
        <f t="array" aca="1" ref="F80" ca="1">OFFSET(E80,-1,1)</f>
        <v>1</v>
      </c>
      <c r="G80" s="22" t="s">
        <v>489</v>
      </c>
      <c r="T80" s="353" t="b" cm="1">
        <f t="array" ref="T80">T79</f>
        <v>1</v>
      </c>
      <c r="X80" s="1022"/>
      <c r="Z80" s="1023"/>
      <c r="AB80" s="7" t="s">
        <v>945</v>
      </c>
      <c r="AC80" s="127" t="s">
        <v>946</v>
      </c>
      <c r="AD80" s="8" t="s">
        <v>828</v>
      </c>
      <c r="AE80" s="128"/>
      <c r="AF80" s="128">
        <v>57202.002999999997</v>
      </c>
      <c r="AG80" s="128">
        <v>56073.11</v>
      </c>
      <c r="AH80" s="128">
        <v>24506.578211764001</v>
      </c>
      <c r="AI80" s="128">
        <v>57079.084000000003</v>
      </c>
      <c r="AJ80" s="778"/>
      <c r="AK80" s="778"/>
      <c r="AL80" s="128"/>
      <c r="AM80" s="128"/>
      <c r="AN80" s="128"/>
      <c r="AO80" s="128"/>
      <c r="AP80" s="128"/>
      <c r="AQ80" s="128"/>
      <c r="AR80" s="128"/>
      <c r="AS80" s="128">
        <v>56085.99</v>
      </c>
      <c r="AT80" s="778"/>
      <c r="AU80" s="778"/>
      <c r="AV80" s="128"/>
      <c r="AW80" s="128"/>
      <c r="AX80" s="128"/>
      <c r="AY80" s="128"/>
      <c r="AZ80" s="128"/>
      <c r="BA80" s="128"/>
      <c r="BB80" s="128"/>
      <c r="BC80" s="113" t="s">
        <v>1035</v>
      </c>
      <c r="BF80" s="680" t="s">
        <v>947</v>
      </c>
    </row>
    <row r="81" spans="2:58" ht="14.65" customHeight="1" x14ac:dyDescent="0.15">
      <c r="E81" s="449">
        <v>15</v>
      </c>
      <c r="F81" s="3" t="str" cm="1">
        <f t="array" aca="1" ref="F81" ca="1">OFFSET(E81,-1,1)</f>
        <v>1</v>
      </c>
      <c r="G81" s="22" t="s">
        <v>493</v>
      </c>
      <c r="T81" s="353" t="b" cm="1">
        <f t="array" ref="T81">T80</f>
        <v>1</v>
      </c>
      <c r="X81" s="1022"/>
      <c r="Z81" s="1023"/>
      <c r="AB81" s="7" t="s">
        <v>948</v>
      </c>
      <c r="AC81" s="127" t="s">
        <v>949</v>
      </c>
      <c r="AD81" s="8" t="s">
        <v>828</v>
      </c>
      <c r="AE81" s="128"/>
      <c r="AF81" s="128"/>
      <c r="AG81" s="128"/>
      <c r="AH81" s="128">
        <v>0</v>
      </c>
      <c r="AI81" s="128">
        <v>0</v>
      </c>
      <c r="AJ81" s="778"/>
      <c r="AK81" s="778"/>
      <c r="AL81" s="128"/>
      <c r="AM81" s="128"/>
      <c r="AN81" s="128"/>
      <c r="AO81" s="128"/>
      <c r="AP81" s="128"/>
      <c r="AQ81" s="128"/>
      <c r="AR81" s="128"/>
      <c r="AS81" s="128">
        <v>0</v>
      </c>
      <c r="AT81" s="778"/>
      <c r="AU81" s="778"/>
      <c r="AV81" s="128"/>
      <c r="AW81" s="128"/>
      <c r="AX81" s="128"/>
      <c r="AY81" s="128"/>
      <c r="AZ81" s="128"/>
      <c r="BA81" s="128"/>
      <c r="BB81" s="128"/>
      <c r="BC81" s="113"/>
      <c r="BF81" s="680" t="s">
        <v>950</v>
      </c>
    </row>
    <row r="82" spans="2:58" ht="14.65" customHeight="1" x14ac:dyDescent="0.15">
      <c r="E82" s="449">
        <v>15</v>
      </c>
      <c r="F82" s="3" t="str" cm="1">
        <f t="array" aca="1" ref="F82" ca="1">OFFSET(E82,-1,1)</f>
        <v>1</v>
      </c>
      <c r="G82" s="22" t="s">
        <v>951</v>
      </c>
      <c r="T82" s="353" t="b" cm="1">
        <f t="array" ref="T82">T81</f>
        <v>1</v>
      </c>
      <c r="X82" s="1022"/>
      <c r="Z82" s="1023"/>
      <c r="AB82" s="7" t="s">
        <v>952</v>
      </c>
      <c r="AC82" s="127" t="s">
        <v>953</v>
      </c>
      <c r="AD82" s="8" t="s">
        <v>828</v>
      </c>
      <c r="AE82" s="128">
        <v>122320.74985832001</v>
      </c>
      <c r="AF82" s="128">
        <v>1574.8697299999999</v>
      </c>
      <c r="AG82" s="128">
        <v>1574.8697299999999</v>
      </c>
      <c r="AH82" s="128">
        <v>49.083833609999999</v>
      </c>
      <c r="AI82" s="128">
        <v>1600.19037</v>
      </c>
      <c r="AJ82" s="778"/>
      <c r="AK82" s="778"/>
      <c r="AL82" s="128"/>
      <c r="AM82" s="128"/>
      <c r="AN82" s="128"/>
      <c r="AO82" s="128"/>
      <c r="AP82" s="128"/>
      <c r="AQ82" s="128"/>
      <c r="AR82" s="128"/>
      <c r="AS82" s="128">
        <v>1600.1950999999999</v>
      </c>
      <c r="AT82" s="778"/>
      <c r="AU82" s="778"/>
      <c r="AV82" s="128"/>
      <c r="AW82" s="128"/>
      <c r="AX82" s="128"/>
      <c r="AY82" s="128"/>
      <c r="AZ82" s="128"/>
      <c r="BA82" s="128"/>
      <c r="BB82" s="128"/>
      <c r="BC82" s="113"/>
      <c r="BF82" s="680" t="s">
        <v>954</v>
      </c>
    </row>
    <row r="83" spans="2:58" s="63" customFormat="1" ht="14.65" customHeight="1" x14ac:dyDescent="0.15">
      <c r="B83" s="328"/>
      <c r="E83" s="449">
        <v>15</v>
      </c>
      <c r="F83" s="3" t="str" cm="1">
        <f t="array" aca="1" ref="F83" ca="1">OFFSET(E83,-1,1)</f>
        <v>1</v>
      </c>
      <c r="G83" s="22" t="s">
        <v>332</v>
      </c>
      <c r="T83" s="353" t="b" cm="1">
        <f t="array" ref="T83">T82</f>
        <v>1</v>
      </c>
      <c r="X83" s="1022"/>
      <c r="Z83" s="1023"/>
      <c r="AB83" s="124">
        <v>2</v>
      </c>
      <c r="AC83" s="125" t="s">
        <v>955</v>
      </c>
      <c r="AD83" s="8" t="s">
        <v>828</v>
      </c>
      <c r="AE83" s="138">
        <f>SUM(AE84:AE88)</f>
        <v>0</v>
      </c>
      <c r="AF83" s="138">
        <v>2147.0003700000002</v>
      </c>
      <c r="AG83" s="138">
        <v>2019.6393700000001</v>
      </c>
      <c r="AH83" s="138">
        <f>SUM(AH84:AH88)</f>
        <v>0</v>
      </c>
      <c r="AI83" s="138">
        <v>278276.96110999997</v>
      </c>
      <c r="AJ83" s="774">
        <f t="shared" ref="AJ83:BB83" si="25">SUM(AJ84:AJ88)</f>
        <v>0</v>
      </c>
      <c r="AK83" s="774">
        <f t="shared" si="25"/>
        <v>0</v>
      </c>
      <c r="AL83" s="138">
        <f t="shared" si="25"/>
        <v>0</v>
      </c>
      <c r="AM83" s="138">
        <f t="shared" si="25"/>
        <v>0</v>
      </c>
      <c r="AN83" s="138">
        <f t="shared" si="25"/>
        <v>0</v>
      </c>
      <c r="AO83" s="138">
        <f t="shared" si="25"/>
        <v>0</v>
      </c>
      <c r="AP83" s="138">
        <f t="shared" si="25"/>
        <v>0</v>
      </c>
      <c r="AQ83" s="138">
        <f t="shared" si="25"/>
        <v>0</v>
      </c>
      <c r="AR83" s="138">
        <f t="shared" si="25"/>
        <v>0</v>
      </c>
      <c r="AS83" s="138">
        <f t="shared" si="25"/>
        <v>0</v>
      </c>
      <c r="AT83" s="774">
        <f t="shared" si="25"/>
        <v>0</v>
      </c>
      <c r="AU83" s="774">
        <f t="shared" si="25"/>
        <v>0</v>
      </c>
      <c r="AV83" s="138">
        <f t="shared" si="25"/>
        <v>0</v>
      </c>
      <c r="AW83" s="138">
        <f t="shared" si="25"/>
        <v>0</v>
      </c>
      <c r="AX83" s="138">
        <f t="shared" si="25"/>
        <v>0</v>
      </c>
      <c r="AY83" s="138">
        <f t="shared" si="25"/>
        <v>0</v>
      </c>
      <c r="AZ83" s="138">
        <f t="shared" si="25"/>
        <v>0</v>
      </c>
      <c r="BA83" s="138">
        <f t="shared" si="25"/>
        <v>0</v>
      </c>
      <c r="BB83" s="138">
        <f t="shared" si="25"/>
        <v>0</v>
      </c>
      <c r="BC83" s="113"/>
      <c r="BF83" s="680" t="s">
        <v>956</v>
      </c>
    </row>
    <row r="84" spans="2:58" ht="14.65" customHeight="1" x14ac:dyDescent="0.15">
      <c r="E84" s="449">
        <v>15</v>
      </c>
      <c r="F84" s="3" t="str" cm="1">
        <f t="array" aca="1" ref="F84" ca="1">OFFSET(E84,-1,1)</f>
        <v>1</v>
      </c>
      <c r="G84" s="22" t="s">
        <v>500</v>
      </c>
      <c r="T84" s="353" t="b" cm="1">
        <f t="array" ref="T84">T83</f>
        <v>1</v>
      </c>
      <c r="X84" s="1022"/>
      <c r="Z84" s="1023"/>
      <c r="AB84" s="7" t="s">
        <v>561</v>
      </c>
      <c r="AC84" s="127" t="s">
        <v>940</v>
      </c>
      <c r="AD84" s="8" t="s">
        <v>828</v>
      </c>
      <c r="AE84" s="128"/>
      <c r="AF84" s="128"/>
      <c r="AG84" s="128"/>
      <c r="AH84" s="128">
        <v>0</v>
      </c>
      <c r="AI84" s="128"/>
      <c r="AJ84" s="778"/>
      <c r="AK84" s="778"/>
      <c r="AL84" s="128"/>
      <c r="AM84" s="128"/>
      <c r="AN84" s="128"/>
      <c r="AO84" s="128"/>
      <c r="AP84" s="128"/>
      <c r="AQ84" s="128"/>
      <c r="AR84" s="128"/>
      <c r="AS84" s="128">
        <v>0</v>
      </c>
      <c r="AT84" s="778"/>
      <c r="AU84" s="778"/>
      <c r="AV84" s="128"/>
      <c r="AW84" s="128"/>
      <c r="AX84" s="128"/>
      <c r="AY84" s="128"/>
      <c r="AZ84" s="128"/>
      <c r="BA84" s="128"/>
      <c r="BB84" s="128"/>
      <c r="BC84" s="113"/>
      <c r="BF84" s="680" t="s">
        <v>957</v>
      </c>
    </row>
    <row r="85" spans="2:58" ht="14.65" customHeight="1" x14ac:dyDescent="0.15">
      <c r="E85" s="449">
        <v>15</v>
      </c>
      <c r="F85" s="3" t="str" cm="1">
        <f t="array" aca="1" ref="F85" ca="1">OFFSET(E85,-1,1)</f>
        <v>1</v>
      </c>
      <c r="G85" s="22" t="s">
        <v>503</v>
      </c>
      <c r="T85" s="353" t="b" cm="1">
        <f t="array" ref="T85">T84</f>
        <v>1</v>
      </c>
      <c r="X85" s="1022"/>
      <c r="Z85" s="1023"/>
      <c r="AB85" s="7" t="s">
        <v>565</v>
      </c>
      <c r="AC85" s="127" t="s">
        <v>943</v>
      </c>
      <c r="AD85" s="8" t="s">
        <v>828</v>
      </c>
      <c r="AE85" s="128"/>
      <c r="AF85" s="128"/>
      <c r="AG85" s="128"/>
      <c r="AH85" s="128">
        <v>0</v>
      </c>
      <c r="AI85" s="128"/>
      <c r="AJ85" s="778"/>
      <c r="AK85" s="778"/>
      <c r="AL85" s="128"/>
      <c r="AM85" s="128"/>
      <c r="AN85" s="128"/>
      <c r="AO85" s="128"/>
      <c r="AP85" s="128"/>
      <c r="AQ85" s="128"/>
      <c r="AR85" s="128"/>
      <c r="AS85" s="128">
        <v>0</v>
      </c>
      <c r="AT85" s="778"/>
      <c r="AU85" s="778"/>
      <c r="AV85" s="128"/>
      <c r="AW85" s="128"/>
      <c r="AX85" s="128"/>
      <c r="AY85" s="128"/>
      <c r="AZ85" s="128"/>
      <c r="BA85" s="128"/>
      <c r="BB85" s="128"/>
      <c r="BC85" s="113"/>
      <c r="BF85" s="680" t="s">
        <v>958</v>
      </c>
    </row>
    <row r="86" spans="2:58" ht="29.1" customHeight="1" x14ac:dyDescent="0.15">
      <c r="E86" s="449">
        <v>15</v>
      </c>
      <c r="F86" s="3" t="str" cm="1">
        <f t="array" aca="1" ref="F86" ca="1">OFFSET(E86,-1,1)</f>
        <v>1</v>
      </c>
      <c r="G86" s="22" t="s">
        <v>959</v>
      </c>
      <c r="T86" s="353" t="b" cm="1">
        <f t="array" ref="T86">T85</f>
        <v>1</v>
      </c>
      <c r="X86" s="1022"/>
      <c r="Z86" s="1023"/>
      <c r="AB86" s="7" t="s">
        <v>569</v>
      </c>
      <c r="AC86" s="127" t="s">
        <v>946</v>
      </c>
      <c r="AD86" s="8" t="s">
        <v>828</v>
      </c>
      <c r="AE86" s="128"/>
      <c r="AF86" s="128">
        <v>1861.365</v>
      </c>
      <c r="AG86" s="128">
        <v>1734.0039999999999</v>
      </c>
      <c r="AH86" s="128">
        <v>0</v>
      </c>
      <c r="AI86" s="128"/>
      <c r="AJ86" s="778"/>
      <c r="AK86" s="778"/>
      <c r="AL86" s="128"/>
      <c r="AM86" s="128"/>
      <c r="AN86" s="128"/>
      <c r="AO86" s="128"/>
      <c r="AP86" s="128"/>
      <c r="AQ86" s="128"/>
      <c r="AR86" s="128"/>
      <c r="AS86" s="128">
        <v>0</v>
      </c>
      <c r="AT86" s="778"/>
      <c r="AU86" s="778"/>
      <c r="AV86" s="128"/>
      <c r="AW86" s="128"/>
      <c r="AX86" s="128"/>
      <c r="AY86" s="128"/>
      <c r="AZ86" s="128"/>
      <c r="BA86" s="128"/>
      <c r="BB86" s="128"/>
      <c r="BC86" s="113" t="s">
        <v>1035</v>
      </c>
      <c r="BF86" s="680" t="s">
        <v>960</v>
      </c>
    </row>
    <row r="87" spans="2:58" ht="14.65" customHeight="1" x14ac:dyDescent="0.15">
      <c r="E87" s="449">
        <v>15</v>
      </c>
      <c r="F87" s="3" t="str" cm="1">
        <f t="array" aca="1" ref="F87" ca="1">OFFSET(E87,-1,1)</f>
        <v>1</v>
      </c>
      <c r="G87" s="22" t="s">
        <v>961</v>
      </c>
      <c r="T87" s="353" t="b" cm="1">
        <f t="array" ref="T87">T86</f>
        <v>1</v>
      </c>
      <c r="X87" s="1022"/>
      <c r="Z87" s="1023"/>
      <c r="AB87" s="7" t="s">
        <v>962</v>
      </c>
      <c r="AC87" s="127" t="s">
        <v>949</v>
      </c>
      <c r="AD87" s="8" t="s">
        <v>828</v>
      </c>
      <c r="AE87" s="128"/>
      <c r="AF87" s="128"/>
      <c r="AG87" s="128"/>
      <c r="AH87" s="128">
        <v>0</v>
      </c>
      <c r="AI87" s="128"/>
      <c r="AJ87" s="778"/>
      <c r="AK87" s="778"/>
      <c r="AL87" s="128"/>
      <c r="AM87" s="128"/>
      <c r="AN87" s="128"/>
      <c r="AO87" s="128"/>
      <c r="AP87" s="128"/>
      <c r="AQ87" s="128"/>
      <c r="AR87" s="128"/>
      <c r="AS87" s="128">
        <v>0</v>
      </c>
      <c r="AT87" s="778"/>
      <c r="AU87" s="778"/>
      <c r="AV87" s="128"/>
      <c r="AW87" s="128"/>
      <c r="AX87" s="128"/>
      <c r="AY87" s="128"/>
      <c r="AZ87" s="128"/>
      <c r="BA87" s="128"/>
      <c r="BB87" s="128"/>
      <c r="BC87" s="113"/>
      <c r="BF87" s="680" t="s">
        <v>963</v>
      </c>
    </row>
    <row r="88" spans="2:58" ht="14.65" customHeight="1" x14ac:dyDescent="0.15">
      <c r="E88" s="449">
        <v>15</v>
      </c>
      <c r="F88" s="3" t="str" cm="1">
        <f t="array" aca="1" ref="F88" ca="1">OFFSET(E88,-1,1)</f>
        <v>1</v>
      </c>
      <c r="G88" s="22" t="s">
        <v>964</v>
      </c>
      <c r="T88" s="353" t="b" cm="1">
        <f t="array" ref="T88">T87</f>
        <v>1</v>
      </c>
      <c r="X88" s="1022"/>
      <c r="Z88" s="1023"/>
      <c r="AB88" s="7" t="s">
        <v>965</v>
      </c>
      <c r="AC88" s="127" t="s">
        <v>953</v>
      </c>
      <c r="AD88" s="8" t="s">
        <v>828</v>
      </c>
      <c r="AE88" s="128">
        <v>0</v>
      </c>
      <c r="AF88" s="128">
        <v>285.63537000000002</v>
      </c>
      <c r="AG88" s="128">
        <v>285.63537000000002</v>
      </c>
      <c r="AH88" s="128">
        <v>0</v>
      </c>
      <c r="AI88" s="128">
        <v>278276.96110999997</v>
      </c>
      <c r="AJ88" s="778"/>
      <c r="AK88" s="778"/>
      <c r="AL88" s="128"/>
      <c r="AM88" s="128"/>
      <c r="AN88" s="128"/>
      <c r="AO88" s="128"/>
      <c r="AP88" s="128"/>
      <c r="AQ88" s="128"/>
      <c r="AR88" s="128"/>
      <c r="AS88" s="128">
        <v>0</v>
      </c>
      <c r="AT88" s="778"/>
      <c r="AU88" s="778"/>
      <c r="AV88" s="128"/>
      <c r="AW88" s="128"/>
      <c r="AX88" s="128"/>
      <c r="AY88" s="128"/>
      <c r="AZ88" s="128"/>
      <c r="BA88" s="128"/>
      <c r="BB88" s="128"/>
      <c r="BC88" s="113"/>
      <c r="BF88" s="680" t="s">
        <v>966</v>
      </c>
    </row>
    <row r="89" spans="2:58" s="63" customFormat="1" ht="14.65" customHeight="1" x14ac:dyDescent="0.15">
      <c r="B89" s="328"/>
      <c r="E89" s="449">
        <v>15</v>
      </c>
      <c r="F89" s="3" t="str" cm="1">
        <f t="array" aca="1" ref="F89" ca="1">OFFSET(E89,-1,1)</f>
        <v>1</v>
      </c>
      <c r="G89" s="22" t="s">
        <v>333</v>
      </c>
      <c r="T89" s="353" t="b" cm="1">
        <f t="array" ref="T89">T88</f>
        <v>1</v>
      </c>
      <c r="X89" s="1022"/>
      <c r="Z89" s="1023"/>
      <c r="AB89" s="124">
        <v>3</v>
      </c>
      <c r="AC89" s="125" t="s">
        <v>967</v>
      </c>
      <c r="AD89" s="8" t="s">
        <v>828</v>
      </c>
      <c r="AE89" s="138">
        <f>SUM(AE90:AE94)</f>
        <v>0</v>
      </c>
      <c r="AF89" s="138">
        <v>2244.6</v>
      </c>
      <c r="AG89" s="138">
        <v>1981.434</v>
      </c>
      <c r="AH89" s="138">
        <f t="shared" ref="AH89:BB89" si="26">SUM(AH90:AH94)</f>
        <v>0</v>
      </c>
      <c r="AI89" s="138">
        <f t="shared" si="26"/>
        <v>0</v>
      </c>
      <c r="AJ89" s="774">
        <f t="shared" si="26"/>
        <v>0</v>
      </c>
      <c r="AK89" s="774">
        <f t="shared" si="26"/>
        <v>0</v>
      </c>
      <c r="AL89" s="138">
        <f t="shared" si="26"/>
        <v>0</v>
      </c>
      <c r="AM89" s="138">
        <f t="shared" si="26"/>
        <v>0</v>
      </c>
      <c r="AN89" s="138">
        <f t="shared" si="26"/>
        <v>0</v>
      </c>
      <c r="AO89" s="138">
        <f t="shared" si="26"/>
        <v>0</v>
      </c>
      <c r="AP89" s="138">
        <f t="shared" si="26"/>
        <v>0</v>
      </c>
      <c r="AQ89" s="138">
        <f t="shared" si="26"/>
        <v>0</v>
      </c>
      <c r="AR89" s="138">
        <f t="shared" si="26"/>
        <v>0</v>
      </c>
      <c r="AS89" s="138">
        <f t="shared" si="26"/>
        <v>0</v>
      </c>
      <c r="AT89" s="774">
        <f t="shared" si="26"/>
        <v>0</v>
      </c>
      <c r="AU89" s="774">
        <f t="shared" si="26"/>
        <v>0</v>
      </c>
      <c r="AV89" s="138">
        <f t="shared" si="26"/>
        <v>0</v>
      </c>
      <c r="AW89" s="138">
        <f t="shared" si="26"/>
        <v>0</v>
      </c>
      <c r="AX89" s="138">
        <f t="shared" si="26"/>
        <v>0</v>
      </c>
      <c r="AY89" s="138">
        <f t="shared" si="26"/>
        <v>0</v>
      </c>
      <c r="AZ89" s="138">
        <f t="shared" si="26"/>
        <v>0</v>
      </c>
      <c r="BA89" s="138">
        <f t="shared" si="26"/>
        <v>0</v>
      </c>
      <c r="BB89" s="138">
        <f t="shared" si="26"/>
        <v>0</v>
      </c>
      <c r="BC89" s="113"/>
      <c r="BF89" s="680" t="s">
        <v>968</v>
      </c>
    </row>
    <row r="90" spans="2:58" ht="14.65" customHeight="1" x14ac:dyDescent="0.15">
      <c r="E90" s="449">
        <v>15</v>
      </c>
      <c r="F90" s="3" t="str" cm="1">
        <f t="array" aca="1" ref="F90" ca="1">OFFSET(E90,-1,1)</f>
        <v>1</v>
      </c>
      <c r="G90" s="22" t="s">
        <v>969</v>
      </c>
      <c r="T90" s="353" t="b" cm="1">
        <f t="array" ref="T90">T89</f>
        <v>1</v>
      </c>
      <c r="X90" s="1022"/>
      <c r="Z90" s="1023"/>
      <c r="AB90" s="7" t="s">
        <v>575</v>
      </c>
      <c r="AC90" s="127" t="s">
        <v>940</v>
      </c>
      <c r="AD90" s="8" t="s">
        <v>828</v>
      </c>
      <c r="AE90" s="128"/>
      <c r="AF90" s="128">
        <v>0</v>
      </c>
      <c r="AG90" s="128"/>
      <c r="AH90" s="128">
        <v>0</v>
      </c>
      <c r="AI90" s="128"/>
      <c r="AJ90" s="778"/>
      <c r="AK90" s="778"/>
      <c r="AL90" s="128"/>
      <c r="AM90" s="128"/>
      <c r="AN90" s="128"/>
      <c r="AO90" s="128"/>
      <c r="AP90" s="128"/>
      <c r="AQ90" s="128"/>
      <c r="AR90" s="128"/>
      <c r="AS90" s="128">
        <v>0</v>
      </c>
      <c r="AT90" s="778"/>
      <c r="AU90" s="778"/>
      <c r="AV90" s="128"/>
      <c r="AW90" s="128"/>
      <c r="AX90" s="128"/>
      <c r="AY90" s="128"/>
      <c r="AZ90" s="128"/>
      <c r="BA90" s="128"/>
      <c r="BB90" s="128"/>
      <c r="BC90" s="113"/>
      <c r="BF90" s="680" t="s">
        <v>970</v>
      </c>
    </row>
    <row r="91" spans="2:58" ht="14.65" customHeight="1" x14ac:dyDescent="0.15">
      <c r="E91" s="449">
        <v>15</v>
      </c>
      <c r="F91" s="3" t="str" cm="1">
        <f t="array" aca="1" ref="F91" ca="1">OFFSET(E91,-1,1)</f>
        <v>1</v>
      </c>
      <c r="G91" s="22" t="s">
        <v>971</v>
      </c>
      <c r="T91" s="353" t="b" cm="1">
        <f t="array" ref="T91">T90</f>
        <v>1</v>
      </c>
      <c r="X91" s="1022"/>
      <c r="Z91" s="1023"/>
      <c r="AB91" s="7" t="s">
        <v>579</v>
      </c>
      <c r="AC91" s="127" t="s">
        <v>943</v>
      </c>
      <c r="AD91" s="8" t="s">
        <v>828</v>
      </c>
      <c r="AE91" s="128"/>
      <c r="AF91" s="128">
        <v>0</v>
      </c>
      <c r="AG91" s="128"/>
      <c r="AH91" s="128">
        <v>0</v>
      </c>
      <c r="AI91" s="128"/>
      <c r="AJ91" s="778"/>
      <c r="AK91" s="778"/>
      <c r="AL91" s="128"/>
      <c r="AM91" s="128"/>
      <c r="AN91" s="128"/>
      <c r="AO91" s="128"/>
      <c r="AP91" s="128"/>
      <c r="AQ91" s="128"/>
      <c r="AR91" s="128"/>
      <c r="AS91" s="128">
        <v>0</v>
      </c>
      <c r="AT91" s="778"/>
      <c r="AU91" s="778"/>
      <c r="AV91" s="128"/>
      <c r="AW91" s="128"/>
      <c r="AX91" s="128"/>
      <c r="AY91" s="128"/>
      <c r="AZ91" s="128"/>
      <c r="BA91" s="128"/>
      <c r="BB91" s="128"/>
      <c r="BC91" s="113"/>
      <c r="BF91" s="680" t="s">
        <v>972</v>
      </c>
    </row>
    <row r="92" spans="2:58" ht="14.65" customHeight="1" x14ac:dyDescent="0.15">
      <c r="E92" s="449">
        <v>15</v>
      </c>
      <c r="F92" s="3" t="str" cm="1">
        <f t="array" aca="1" ref="F92" ca="1">OFFSET(E92,-1,1)</f>
        <v>1</v>
      </c>
      <c r="G92" s="22" t="s">
        <v>973</v>
      </c>
      <c r="T92" s="353" t="b" cm="1">
        <f t="array" ref="T92">T91</f>
        <v>1</v>
      </c>
      <c r="X92" s="1022"/>
      <c r="Z92" s="1023"/>
      <c r="AB92" s="7" t="s">
        <v>795</v>
      </c>
      <c r="AC92" s="127" t="s">
        <v>946</v>
      </c>
      <c r="AD92" s="8" t="s">
        <v>828</v>
      </c>
      <c r="AE92" s="128"/>
      <c r="AF92" s="128">
        <v>1984.29</v>
      </c>
      <c r="AG92" s="128">
        <v>1721.124</v>
      </c>
      <c r="AH92" s="128">
        <v>0</v>
      </c>
      <c r="AI92" s="128"/>
      <c r="AJ92" s="778"/>
      <c r="AK92" s="778"/>
      <c r="AL92" s="128"/>
      <c r="AM92" s="128"/>
      <c r="AN92" s="128"/>
      <c r="AO92" s="128"/>
      <c r="AP92" s="128"/>
      <c r="AQ92" s="128"/>
      <c r="AR92" s="128"/>
      <c r="AS92" s="128">
        <v>0</v>
      </c>
      <c r="AT92" s="778"/>
      <c r="AU92" s="778"/>
      <c r="AV92" s="128"/>
      <c r="AW92" s="128"/>
      <c r="AX92" s="128"/>
      <c r="AY92" s="128"/>
      <c r="AZ92" s="128"/>
      <c r="BA92" s="128"/>
      <c r="BB92" s="128"/>
      <c r="BC92" s="113"/>
      <c r="BF92" s="680" t="s">
        <v>974</v>
      </c>
    </row>
    <row r="93" spans="2:58" ht="14.65" customHeight="1" x14ac:dyDescent="0.15">
      <c r="E93" s="449">
        <v>15</v>
      </c>
      <c r="F93" s="3" t="str" cm="1">
        <f t="array" aca="1" ref="F93" ca="1">OFFSET(E93,-1,1)</f>
        <v>1</v>
      </c>
      <c r="G93" s="22" t="s">
        <v>975</v>
      </c>
      <c r="T93" s="353" t="b" cm="1">
        <f t="array" ref="T93">T92</f>
        <v>1</v>
      </c>
      <c r="X93" s="1022"/>
      <c r="Z93" s="1023"/>
      <c r="AB93" s="7" t="s">
        <v>976</v>
      </c>
      <c r="AC93" s="127" t="s">
        <v>949</v>
      </c>
      <c r="AD93" s="8" t="s">
        <v>828</v>
      </c>
      <c r="AE93" s="128"/>
      <c r="AF93" s="128"/>
      <c r="AG93" s="128"/>
      <c r="AH93" s="128">
        <v>0</v>
      </c>
      <c r="AI93" s="128"/>
      <c r="AJ93" s="778"/>
      <c r="AK93" s="778"/>
      <c r="AL93" s="128"/>
      <c r="AM93" s="128"/>
      <c r="AN93" s="128"/>
      <c r="AO93" s="128"/>
      <c r="AP93" s="128"/>
      <c r="AQ93" s="128"/>
      <c r="AR93" s="128"/>
      <c r="AS93" s="128">
        <v>0</v>
      </c>
      <c r="AT93" s="778"/>
      <c r="AU93" s="778"/>
      <c r="AV93" s="128"/>
      <c r="AW93" s="128"/>
      <c r="AX93" s="128"/>
      <c r="AY93" s="128"/>
      <c r="AZ93" s="128"/>
      <c r="BA93" s="128"/>
      <c r="BB93" s="128"/>
      <c r="BC93" s="113"/>
      <c r="BF93" s="680" t="s">
        <v>977</v>
      </c>
    </row>
    <row r="94" spans="2:58" ht="14.65" customHeight="1" x14ac:dyDescent="0.15">
      <c r="E94" s="449">
        <v>15</v>
      </c>
      <c r="F94" s="3" t="str" cm="1">
        <f t="array" aca="1" ref="F94" ca="1">OFFSET(E94,-1,1)</f>
        <v>1</v>
      </c>
      <c r="G94" s="22" t="s">
        <v>978</v>
      </c>
      <c r="T94" s="353" t="b" cm="1">
        <f t="array" ref="T94">T93</f>
        <v>1</v>
      </c>
      <c r="X94" s="1022"/>
      <c r="Z94" s="1023"/>
      <c r="AB94" s="7" t="s">
        <v>979</v>
      </c>
      <c r="AC94" s="127" t="s">
        <v>953</v>
      </c>
      <c r="AD94" s="8" t="s">
        <v>828</v>
      </c>
      <c r="AE94" s="128"/>
      <c r="AF94" s="128">
        <v>260.31</v>
      </c>
      <c r="AG94" s="128">
        <v>260.31</v>
      </c>
      <c r="AH94" s="128">
        <v>0</v>
      </c>
      <c r="AI94" s="128"/>
      <c r="AJ94" s="778"/>
      <c r="AK94" s="778"/>
      <c r="AL94" s="128"/>
      <c r="AM94" s="128"/>
      <c r="AN94" s="128"/>
      <c r="AO94" s="128"/>
      <c r="AP94" s="128"/>
      <c r="AQ94" s="128"/>
      <c r="AR94" s="128"/>
      <c r="AS94" s="128">
        <v>0</v>
      </c>
      <c r="AT94" s="778"/>
      <c r="AU94" s="778"/>
      <c r="AV94" s="128"/>
      <c r="AW94" s="128"/>
      <c r="AX94" s="128"/>
      <c r="AY94" s="128"/>
      <c r="AZ94" s="128"/>
      <c r="BA94" s="128"/>
      <c r="BB94" s="128"/>
      <c r="BC94" s="113"/>
      <c r="BF94" s="680" t="s">
        <v>980</v>
      </c>
    </row>
    <row r="95" spans="2:58" s="63" customFormat="1" ht="23.25" customHeight="1" x14ac:dyDescent="0.15">
      <c r="B95" s="328"/>
      <c r="E95" s="488">
        <v>22.5</v>
      </c>
      <c r="F95" s="3" t="str" cm="1">
        <f t="array" aca="1" ref="F95" ca="1">OFFSET(E95,-1,1)</f>
        <v>1</v>
      </c>
      <c r="G95" s="22" t="s">
        <v>335</v>
      </c>
      <c r="T95" s="353" t="b" cm="1">
        <f t="array" ref="T95">T94</f>
        <v>1</v>
      </c>
      <c r="X95" s="1022"/>
      <c r="Z95" s="1023"/>
      <c r="AB95" s="124">
        <v>4</v>
      </c>
      <c r="AC95" s="125" t="s">
        <v>981</v>
      </c>
      <c r="AD95" s="8" t="s">
        <v>828</v>
      </c>
      <c r="AE95" s="138">
        <v>122320.74985832001</v>
      </c>
      <c r="AF95" s="138">
        <v>274590.29537000001</v>
      </c>
      <c r="AG95" s="138">
        <v>202938.72510000001</v>
      </c>
      <c r="AH95" s="138">
        <v>71228.9893008254</v>
      </c>
      <c r="AI95" s="138">
        <v>552867.25647999998</v>
      </c>
      <c r="AJ95" s="774">
        <f t="shared" ref="AJ95:AR95" si="27">SUM(AJ96:AJ100)</f>
        <v>0</v>
      </c>
      <c r="AK95" s="774">
        <f t="shared" si="27"/>
        <v>0</v>
      </c>
      <c r="AL95" s="138">
        <f t="shared" si="27"/>
        <v>0</v>
      </c>
      <c r="AM95" s="138">
        <f t="shared" si="27"/>
        <v>0</v>
      </c>
      <c r="AN95" s="138">
        <f t="shared" si="27"/>
        <v>0</v>
      </c>
      <c r="AO95" s="138">
        <f t="shared" si="27"/>
        <v>0</v>
      </c>
      <c r="AP95" s="138">
        <f t="shared" si="27"/>
        <v>0</v>
      </c>
      <c r="AQ95" s="138">
        <f t="shared" si="27"/>
        <v>0</v>
      </c>
      <c r="AR95" s="138">
        <f t="shared" si="27"/>
        <v>0</v>
      </c>
      <c r="AS95" s="138">
        <v>202938.72510000001</v>
      </c>
      <c r="AT95" s="774">
        <f t="shared" ref="AT95:BB95" si="28">SUM(AT96:AT100)</f>
        <v>0</v>
      </c>
      <c r="AU95" s="774">
        <f t="shared" si="28"/>
        <v>0</v>
      </c>
      <c r="AV95" s="138">
        <f t="shared" si="28"/>
        <v>0</v>
      </c>
      <c r="AW95" s="138">
        <f t="shared" si="28"/>
        <v>0</v>
      </c>
      <c r="AX95" s="138">
        <f t="shared" si="28"/>
        <v>0</v>
      </c>
      <c r="AY95" s="138">
        <f t="shared" si="28"/>
        <v>0</v>
      </c>
      <c r="AZ95" s="138">
        <f t="shared" si="28"/>
        <v>0</v>
      </c>
      <c r="BA95" s="138">
        <f t="shared" si="28"/>
        <v>0</v>
      </c>
      <c r="BB95" s="138">
        <f t="shared" si="28"/>
        <v>0</v>
      </c>
      <c r="BC95" s="113"/>
      <c r="BF95" s="680" t="s">
        <v>982</v>
      </c>
    </row>
    <row r="96" spans="2:58" ht="14.65" customHeight="1" x14ac:dyDescent="0.15">
      <c r="E96" s="449">
        <v>15</v>
      </c>
      <c r="F96" s="3" t="str" cm="1">
        <f t="array" aca="1" ref="F96" ca="1">OFFSET(E96,-1,1)</f>
        <v>1</v>
      </c>
      <c r="G96" s="22" t="s">
        <v>560</v>
      </c>
      <c r="T96" s="353" t="b" cm="1">
        <f t="array" ref="T96">T95</f>
        <v>1</v>
      </c>
      <c r="X96" s="1022"/>
      <c r="Z96" s="1023"/>
      <c r="AB96" s="7" t="s">
        <v>697</v>
      </c>
      <c r="AC96" s="127" t="s">
        <v>940</v>
      </c>
      <c r="AD96" s="8" t="s">
        <v>828</v>
      </c>
      <c r="AE96" s="128">
        <f>AE78+AE84-AE90</f>
        <v>0</v>
      </c>
      <c r="AF96" s="128">
        <v>510.029</v>
      </c>
      <c r="AG96" s="128">
        <f>AG78+AG84-AG90</f>
        <v>0</v>
      </c>
      <c r="AH96" s="128">
        <v>165.50030573999999</v>
      </c>
      <c r="AI96" s="128">
        <v>510.029</v>
      </c>
      <c r="AJ96" s="778">
        <f t="shared" ref="AJ96:BB96" si="29">AJ78+AJ84-AJ90</f>
        <v>0</v>
      </c>
      <c r="AK96" s="778">
        <f t="shared" si="29"/>
        <v>0</v>
      </c>
      <c r="AL96" s="128">
        <f t="shared" si="29"/>
        <v>0</v>
      </c>
      <c r="AM96" s="128">
        <f t="shared" si="29"/>
        <v>0</v>
      </c>
      <c r="AN96" s="128">
        <f t="shared" si="29"/>
        <v>0</v>
      </c>
      <c r="AO96" s="128">
        <f t="shared" si="29"/>
        <v>0</v>
      </c>
      <c r="AP96" s="128">
        <f t="shared" si="29"/>
        <v>0</v>
      </c>
      <c r="AQ96" s="128">
        <f t="shared" si="29"/>
        <v>0</v>
      </c>
      <c r="AR96" s="128">
        <f t="shared" si="29"/>
        <v>0</v>
      </c>
      <c r="AS96" s="128">
        <f t="shared" si="29"/>
        <v>0</v>
      </c>
      <c r="AT96" s="778">
        <f t="shared" si="29"/>
        <v>0</v>
      </c>
      <c r="AU96" s="778">
        <f t="shared" si="29"/>
        <v>0</v>
      </c>
      <c r="AV96" s="128">
        <f t="shared" si="29"/>
        <v>0</v>
      </c>
      <c r="AW96" s="128">
        <f t="shared" si="29"/>
        <v>0</v>
      </c>
      <c r="AX96" s="128">
        <f t="shared" si="29"/>
        <v>0</v>
      </c>
      <c r="AY96" s="128">
        <f t="shared" si="29"/>
        <v>0</v>
      </c>
      <c r="AZ96" s="128">
        <f t="shared" si="29"/>
        <v>0</v>
      </c>
      <c r="BA96" s="128">
        <f t="shared" si="29"/>
        <v>0</v>
      </c>
      <c r="BB96" s="128">
        <f t="shared" si="29"/>
        <v>0</v>
      </c>
      <c r="BC96" s="113"/>
      <c r="BF96" s="680" t="s">
        <v>983</v>
      </c>
    </row>
    <row r="97" spans="2:58" ht="14.65" customHeight="1" x14ac:dyDescent="0.15">
      <c r="E97" s="449">
        <v>15</v>
      </c>
      <c r="F97" s="3" t="str" cm="1">
        <f t="array" aca="1" ref="F97" ca="1">OFFSET(E97,-1,1)</f>
        <v>1</v>
      </c>
      <c r="G97" s="22" t="s">
        <v>564</v>
      </c>
      <c r="T97" s="353" t="b" cm="1">
        <f t="array" ref="T97">T96</f>
        <v>1</v>
      </c>
      <c r="X97" s="1022"/>
      <c r="Z97" s="1023"/>
      <c r="AB97" s="7" t="s">
        <v>700</v>
      </c>
      <c r="AC97" s="127" t="s">
        <v>943</v>
      </c>
      <c r="AD97" s="8" t="s">
        <v>828</v>
      </c>
      <c r="AE97" s="128">
        <f>AE79+AE85-AE91</f>
        <v>0</v>
      </c>
      <c r="AF97" s="128">
        <v>215400.992</v>
      </c>
      <c r="AG97" s="128">
        <v>145252.54</v>
      </c>
      <c r="AH97" s="128">
        <v>46507.826949711402</v>
      </c>
      <c r="AI97" s="128">
        <v>215400.992</v>
      </c>
      <c r="AJ97" s="778">
        <f t="shared" ref="AJ97:AR97" si="30">AJ79+AJ85-AJ91</f>
        <v>0</v>
      </c>
      <c r="AK97" s="778">
        <f t="shared" si="30"/>
        <v>0</v>
      </c>
      <c r="AL97" s="128">
        <f t="shared" si="30"/>
        <v>0</v>
      </c>
      <c r="AM97" s="128">
        <f t="shared" si="30"/>
        <v>0</v>
      </c>
      <c r="AN97" s="128">
        <f t="shared" si="30"/>
        <v>0</v>
      </c>
      <c r="AO97" s="128">
        <f t="shared" si="30"/>
        <v>0</v>
      </c>
      <c r="AP97" s="128">
        <f t="shared" si="30"/>
        <v>0</v>
      </c>
      <c r="AQ97" s="128">
        <f t="shared" si="30"/>
        <v>0</v>
      </c>
      <c r="AR97" s="128">
        <f t="shared" si="30"/>
        <v>0</v>
      </c>
      <c r="AS97" s="128">
        <v>145252.54</v>
      </c>
      <c r="AT97" s="778">
        <f t="shared" ref="AT97:BB97" si="31">AT79+AT85-AT91</f>
        <v>0</v>
      </c>
      <c r="AU97" s="778">
        <f t="shared" si="31"/>
        <v>0</v>
      </c>
      <c r="AV97" s="128">
        <f t="shared" si="31"/>
        <v>0</v>
      </c>
      <c r="AW97" s="128">
        <f t="shared" si="31"/>
        <v>0</v>
      </c>
      <c r="AX97" s="128">
        <f t="shared" si="31"/>
        <v>0</v>
      </c>
      <c r="AY97" s="128">
        <f t="shared" si="31"/>
        <v>0</v>
      </c>
      <c r="AZ97" s="128">
        <f t="shared" si="31"/>
        <v>0</v>
      </c>
      <c r="BA97" s="128">
        <f t="shared" si="31"/>
        <v>0</v>
      </c>
      <c r="BB97" s="128">
        <f t="shared" si="31"/>
        <v>0</v>
      </c>
      <c r="BC97" s="113"/>
      <c r="BF97" s="680" t="s">
        <v>984</v>
      </c>
    </row>
    <row r="98" spans="2:58" ht="14.65" customHeight="1" x14ac:dyDescent="0.15">
      <c r="E98" s="449">
        <v>15</v>
      </c>
      <c r="F98" s="3" t="str" cm="1">
        <f t="array" aca="1" ref="F98" ca="1">OFFSET(E98,-1,1)</f>
        <v>1</v>
      </c>
      <c r="G98" s="22" t="s">
        <v>568</v>
      </c>
      <c r="T98" s="353" t="b" cm="1">
        <f t="array" ref="T98">T97</f>
        <v>1</v>
      </c>
      <c r="X98" s="1022"/>
      <c r="Z98" s="1023"/>
      <c r="AB98" s="7" t="s">
        <v>734</v>
      </c>
      <c r="AC98" s="127" t="s">
        <v>946</v>
      </c>
      <c r="AD98" s="8" t="s">
        <v>828</v>
      </c>
      <c r="AE98" s="128">
        <f>AE80+AE86-AE92</f>
        <v>0</v>
      </c>
      <c r="AF98" s="128">
        <v>57079.084000000003</v>
      </c>
      <c r="AG98" s="128">
        <v>56085.99</v>
      </c>
      <c r="AH98" s="128">
        <v>24506.578211764001</v>
      </c>
      <c r="AI98" s="128">
        <v>57079.084000000003</v>
      </c>
      <c r="AJ98" s="778">
        <f t="shared" ref="AJ98:AR98" si="32">AJ80+AJ86-AJ92</f>
        <v>0</v>
      </c>
      <c r="AK98" s="778">
        <f t="shared" si="32"/>
        <v>0</v>
      </c>
      <c r="AL98" s="128">
        <f t="shared" si="32"/>
        <v>0</v>
      </c>
      <c r="AM98" s="128">
        <f t="shared" si="32"/>
        <v>0</v>
      </c>
      <c r="AN98" s="128">
        <f t="shared" si="32"/>
        <v>0</v>
      </c>
      <c r="AO98" s="128">
        <f t="shared" si="32"/>
        <v>0</v>
      </c>
      <c r="AP98" s="128">
        <f t="shared" si="32"/>
        <v>0</v>
      </c>
      <c r="AQ98" s="128">
        <f t="shared" si="32"/>
        <v>0</v>
      </c>
      <c r="AR98" s="128">
        <f t="shared" si="32"/>
        <v>0</v>
      </c>
      <c r="AS98" s="128">
        <v>56085.99</v>
      </c>
      <c r="AT98" s="778">
        <f t="shared" ref="AT98:BB98" si="33">AT80+AT86-AT92</f>
        <v>0</v>
      </c>
      <c r="AU98" s="778">
        <f t="shared" si="33"/>
        <v>0</v>
      </c>
      <c r="AV98" s="128">
        <f t="shared" si="33"/>
        <v>0</v>
      </c>
      <c r="AW98" s="128">
        <f t="shared" si="33"/>
        <v>0</v>
      </c>
      <c r="AX98" s="128">
        <f t="shared" si="33"/>
        <v>0</v>
      </c>
      <c r="AY98" s="128">
        <f t="shared" si="33"/>
        <v>0</v>
      </c>
      <c r="AZ98" s="128">
        <f t="shared" si="33"/>
        <v>0</v>
      </c>
      <c r="BA98" s="128">
        <f t="shared" si="33"/>
        <v>0</v>
      </c>
      <c r="BB98" s="128">
        <f t="shared" si="33"/>
        <v>0</v>
      </c>
      <c r="BC98" s="113"/>
      <c r="BF98" s="680" t="s">
        <v>985</v>
      </c>
    </row>
    <row r="99" spans="2:58" ht="14.25" customHeight="1" x14ac:dyDescent="0.15">
      <c r="E99" s="449">
        <v>15</v>
      </c>
      <c r="F99" s="3" t="str" cm="1">
        <f t="array" aca="1" ref="F99" ca="1">OFFSET(E99,-1,1)</f>
        <v>1</v>
      </c>
      <c r="G99" s="22" t="s">
        <v>986</v>
      </c>
      <c r="T99" s="353" t="b" cm="1">
        <f t="array" ref="T99">T98</f>
        <v>1</v>
      </c>
      <c r="X99" s="1022"/>
      <c r="Z99" s="1023"/>
      <c r="AB99" s="7" t="s">
        <v>743</v>
      </c>
      <c r="AC99" s="127" t="s">
        <v>949</v>
      </c>
      <c r="AD99" s="8" t="s">
        <v>828</v>
      </c>
      <c r="AE99" s="128">
        <f>AE81+AE87-AE93</f>
        <v>0</v>
      </c>
      <c r="AF99" s="128">
        <f>AF81+AF87-AF93</f>
        <v>0</v>
      </c>
      <c r="AG99" s="128">
        <f>AG81+AG87-AG93</f>
        <v>0</v>
      </c>
      <c r="AH99" s="128">
        <f>AH81+AH87-AH93</f>
        <v>0</v>
      </c>
      <c r="AI99" s="128">
        <f>AI81+AI87-AI93</f>
        <v>0</v>
      </c>
      <c r="AJ99" s="778">
        <f t="shared" ref="AJ99:AR99" si="34">AJ81+AJ87-AJ93</f>
        <v>0</v>
      </c>
      <c r="AK99" s="778">
        <f t="shared" si="34"/>
        <v>0</v>
      </c>
      <c r="AL99" s="128">
        <f t="shared" si="34"/>
        <v>0</v>
      </c>
      <c r="AM99" s="128">
        <f t="shared" si="34"/>
        <v>0</v>
      </c>
      <c r="AN99" s="128">
        <f t="shared" si="34"/>
        <v>0</v>
      </c>
      <c r="AO99" s="128">
        <f t="shared" si="34"/>
        <v>0</v>
      </c>
      <c r="AP99" s="128">
        <f t="shared" si="34"/>
        <v>0</v>
      </c>
      <c r="AQ99" s="128">
        <f t="shared" si="34"/>
        <v>0</v>
      </c>
      <c r="AR99" s="128">
        <f t="shared" si="34"/>
        <v>0</v>
      </c>
      <c r="AS99" s="128">
        <f>AS81+AS87-AS93</f>
        <v>0</v>
      </c>
      <c r="AT99" s="778">
        <f t="shared" ref="AT99:BB99" si="35">AT81+AT87-AT93</f>
        <v>0</v>
      </c>
      <c r="AU99" s="778">
        <f t="shared" si="35"/>
        <v>0</v>
      </c>
      <c r="AV99" s="128">
        <f t="shared" si="35"/>
        <v>0</v>
      </c>
      <c r="AW99" s="128">
        <f t="shared" si="35"/>
        <v>0</v>
      </c>
      <c r="AX99" s="128">
        <f t="shared" si="35"/>
        <v>0</v>
      </c>
      <c r="AY99" s="128">
        <f t="shared" si="35"/>
        <v>0</v>
      </c>
      <c r="AZ99" s="128">
        <f t="shared" si="35"/>
        <v>0</v>
      </c>
      <c r="BA99" s="128">
        <f t="shared" si="35"/>
        <v>0</v>
      </c>
      <c r="BB99" s="128">
        <f t="shared" si="35"/>
        <v>0</v>
      </c>
      <c r="BC99" s="113"/>
      <c r="BF99" s="680" t="s">
        <v>987</v>
      </c>
    </row>
    <row r="100" spans="2:58" ht="14.65" customHeight="1" x14ac:dyDescent="0.15">
      <c r="E100" s="449">
        <v>15</v>
      </c>
      <c r="F100" s="3" t="str" cm="1">
        <f t="array" aca="1" ref="F100" ca="1">OFFSET(E100,-1,1)</f>
        <v>1</v>
      </c>
      <c r="G100" s="22" t="s">
        <v>988</v>
      </c>
      <c r="T100" s="353" t="b" cm="1">
        <f t="array" ref="T100">T99</f>
        <v>1</v>
      </c>
      <c r="X100" s="1022"/>
      <c r="Z100" s="1023"/>
      <c r="AB100" s="7" t="s">
        <v>753</v>
      </c>
      <c r="AC100" s="127" t="s">
        <v>953</v>
      </c>
      <c r="AD100" s="8" t="s">
        <v>828</v>
      </c>
      <c r="AE100" s="128">
        <v>122320.74985832001</v>
      </c>
      <c r="AF100" s="128">
        <v>1600.19037</v>
      </c>
      <c r="AG100" s="128">
        <v>1600.1950999999999</v>
      </c>
      <c r="AH100" s="128">
        <v>49.083833609999999</v>
      </c>
      <c r="AI100" s="128">
        <v>279877.15148</v>
      </c>
      <c r="AJ100" s="778">
        <f t="shared" ref="AJ100:AR100" si="36">AJ82+AJ88-AJ94</f>
        <v>0</v>
      </c>
      <c r="AK100" s="778">
        <f t="shared" si="36"/>
        <v>0</v>
      </c>
      <c r="AL100" s="128">
        <f t="shared" si="36"/>
        <v>0</v>
      </c>
      <c r="AM100" s="128">
        <f t="shared" si="36"/>
        <v>0</v>
      </c>
      <c r="AN100" s="128">
        <f t="shared" si="36"/>
        <v>0</v>
      </c>
      <c r="AO100" s="128">
        <f t="shared" si="36"/>
        <v>0</v>
      </c>
      <c r="AP100" s="128">
        <f t="shared" si="36"/>
        <v>0</v>
      </c>
      <c r="AQ100" s="128">
        <f t="shared" si="36"/>
        <v>0</v>
      </c>
      <c r="AR100" s="128">
        <f t="shared" si="36"/>
        <v>0</v>
      </c>
      <c r="AS100" s="128">
        <v>1600.1950999999999</v>
      </c>
      <c r="AT100" s="778">
        <f t="shared" ref="AT100:BB100" si="37">AT82+AT88-AT94</f>
        <v>0</v>
      </c>
      <c r="AU100" s="778">
        <f t="shared" si="37"/>
        <v>0</v>
      </c>
      <c r="AV100" s="128">
        <f t="shared" si="37"/>
        <v>0</v>
      </c>
      <c r="AW100" s="128">
        <f t="shared" si="37"/>
        <v>0</v>
      </c>
      <c r="AX100" s="128">
        <f t="shared" si="37"/>
        <v>0</v>
      </c>
      <c r="AY100" s="128">
        <f t="shared" si="37"/>
        <v>0</v>
      </c>
      <c r="AZ100" s="128">
        <f t="shared" si="37"/>
        <v>0</v>
      </c>
      <c r="BA100" s="128">
        <f t="shared" si="37"/>
        <v>0</v>
      </c>
      <c r="BB100" s="128">
        <f t="shared" si="37"/>
        <v>0</v>
      </c>
      <c r="BC100" s="113"/>
      <c r="BF100" s="680" t="s">
        <v>989</v>
      </c>
    </row>
    <row r="101" spans="2:58" s="63" customFormat="1" ht="14.65" customHeight="1" x14ac:dyDescent="0.15">
      <c r="B101" s="328"/>
      <c r="E101" s="449">
        <v>15</v>
      </c>
      <c r="F101" s="3" t="str" cm="1">
        <f t="array" aca="1" ref="F101" ca="1">OFFSET(E101,-1,1)</f>
        <v>1</v>
      </c>
      <c r="G101" s="22" t="s">
        <v>334</v>
      </c>
      <c r="T101" s="353" t="b" cm="1">
        <f t="array" ref="T101">T100</f>
        <v>1</v>
      </c>
      <c r="X101" s="1022"/>
      <c r="Z101" s="1023"/>
      <c r="AB101" s="124">
        <v>5</v>
      </c>
      <c r="AC101" s="125" t="s">
        <v>990</v>
      </c>
      <c r="AD101" s="8" t="s">
        <v>828</v>
      </c>
      <c r="AE101" s="138">
        <v>122320.74985832001</v>
      </c>
      <c r="AF101" s="138">
        <v>274639.09454999998</v>
      </c>
      <c r="AG101" s="138">
        <v>202919.62241499999</v>
      </c>
      <c r="AH101" s="138">
        <v>71228.9893008254</v>
      </c>
      <c r="AI101" s="138">
        <v>413728.77592500002</v>
      </c>
      <c r="AJ101" s="774">
        <f t="shared" ref="AJ101:AR101" si="38">SUM(AJ102:AJ106)</f>
        <v>0</v>
      </c>
      <c r="AK101" s="774">
        <f t="shared" si="38"/>
        <v>0</v>
      </c>
      <c r="AL101" s="138">
        <f t="shared" si="38"/>
        <v>0</v>
      </c>
      <c r="AM101" s="138">
        <f t="shared" si="38"/>
        <v>0</v>
      </c>
      <c r="AN101" s="138">
        <f t="shared" si="38"/>
        <v>0</v>
      </c>
      <c r="AO101" s="138">
        <f t="shared" si="38"/>
        <v>0</v>
      </c>
      <c r="AP101" s="138">
        <f t="shared" si="38"/>
        <v>0</v>
      </c>
      <c r="AQ101" s="138">
        <f t="shared" si="38"/>
        <v>0</v>
      </c>
      <c r="AR101" s="138">
        <f t="shared" si="38"/>
        <v>0</v>
      </c>
      <c r="AS101" s="138">
        <v>202938.72510000001</v>
      </c>
      <c r="AT101" s="774">
        <f t="shared" ref="AT101:BB101" si="39">SUM(AT102:AT106)</f>
        <v>0</v>
      </c>
      <c r="AU101" s="774">
        <f t="shared" si="39"/>
        <v>0</v>
      </c>
      <c r="AV101" s="138">
        <f t="shared" si="39"/>
        <v>0</v>
      </c>
      <c r="AW101" s="138">
        <f t="shared" si="39"/>
        <v>0</v>
      </c>
      <c r="AX101" s="138">
        <f t="shared" si="39"/>
        <v>0</v>
      </c>
      <c r="AY101" s="138">
        <f t="shared" si="39"/>
        <v>0</v>
      </c>
      <c r="AZ101" s="138">
        <f t="shared" si="39"/>
        <v>0</v>
      </c>
      <c r="BA101" s="138">
        <f t="shared" si="39"/>
        <v>0</v>
      </c>
      <c r="BB101" s="138">
        <f t="shared" si="39"/>
        <v>0</v>
      </c>
      <c r="BC101" s="113"/>
      <c r="BF101" s="680" t="s">
        <v>991</v>
      </c>
    </row>
    <row r="102" spans="2:58" ht="14.65" customHeight="1" x14ac:dyDescent="0.15">
      <c r="E102" s="449">
        <v>15</v>
      </c>
      <c r="F102" s="3" t="str" cm="1">
        <f t="array" aca="1" ref="F102" ca="1">OFFSET(E102,-1,1)</f>
        <v>1</v>
      </c>
      <c r="G102" s="22" t="s">
        <v>574</v>
      </c>
      <c r="T102" s="353" t="b" cm="1">
        <f t="array" ref="T102">T101</f>
        <v>1</v>
      </c>
      <c r="X102" s="1022"/>
      <c r="Z102" s="1023"/>
      <c r="AB102" s="7" t="s">
        <v>704</v>
      </c>
      <c r="AC102" s="127" t="s">
        <v>940</v>
      </c>
      <c r="AD102" s="8" t="s">
        <v>828</v>
      </c>
      <c r="AE102" s="128">
        <f>(AE96+AE78)/2</f>
        <v>0</v>
      </c>
      <c r="AF102" s="128">
        <v>510.029</v>
      </c>
      <c r="AG102" s="128">
        <f>(AG96+AG78)/2</f>
        <v>0</v>
      </c>
      <c r="AH102" s="128">
        <v>165.50030573999999</v>
      </c>
      <c r="AI102" s="128">
        <v>510.029</v>
      </c>
      <c r="AJ102" s="778">
        <f t="shared" ref="AJ102:BB102" si="40">(AJ96+AJ78)/2</f>
        <v>0</v>
      </c>
      <c r="AK102" s="778">
        <f t="shared" si="40"/>
        <v>0</v>
      </c>
      <c r="AL102" s="128">
        <f t="shared" si="40"/>
        <v>0</v>
      </c>
      <c r="AM102" s="128">
        <f t="shared" si="40"/>
        <v>0</v>
      </c>
      <c r="AN102" s="128">
        <f t="shared" si="40"/>
        <v>0</v>
      </c>
      <c r="AO102" s="128">
        <f t="shared" si="40"/>
        <v>0</v>
      </c>
      <c r="AP102" s="128">
        <f t="shared" si="40"/>
        <v>0</v>
      </c>
      <c r="AQ102" s="128">
        <f t="shared" si="40"/>
        <v>0</v>
      </c>
      <c r="AR102" s="128">
        <f t="shared" si="40"/>
        <v>0</v>
      </c>
      <c r="AS102" s="128">
        <f t="shared" si="40"/>
        <v>0</v>
      </c>
      <c r="AT102" s="778">
        <f t="shared" si="40"/>
        <v>0</v>
      </c>
      <c r="AU102" s="778">
        <f t="shared" si="40"/>
        <v>0</v>
      </c>
      <c r="AV102" s="128">
        <f t="shared" si="40"/>
        <v>0</v>
      </c>
      <c r="AW102" s="128">
        <f t="shared" si="40"/>
        <v>0</v>
      </c>
      <c r="AX102" s="128">
        <f t="shared" si="40"/>
        <v>0</v>
      </c>
      <c r="AY102" s="128">
        <f t="shared" si="40"/>
        <v>0</v>
      </c>
      <c r="AZ102" s="128">
        <f t="shared" si="40"/>
        <v>0</v>
      </c>
      <c r="BA102" s="128">
        <f t="shared" si="40"/>
        <v>0</v>
      </c>
      <c r="BB102" s="128">
        <f t="shared" si="40"/>
        <v>0</v>
      </c>
      <c r="BC102" s="113"/>
      <c r="BF102" s="680" t="s">
        <v>992</v>
      </c>
    </row>
    <row r="103" spans="2:58" ht="14.65" customHeight="1" x14ac:dyDescent="0.15">
      <c r="E103" s="449">
        <v>15</v>
      </c>
      <c r="F103" s="3" t="str" cm="1">
        <f t="array" aca="1" ref="F103" ca="1">OFFSET(E103,-1,1)</f>
        <v>1</v>
      </c>
      <c r="G103" s="22" t="s">
        <v>578</v>
      </c>
      <c r="T103" s="353" t="b" cm="1">
        <f t="array" ref="T103">T102</f>
        <v>1</v>
      </c>
      <c r="X103" s="1022"/>
      <c r="Z103" s="1023"/>
      <c r="AB103" s="7" t="s">
        <v>707</v>
      </c>
      <c r="AC103" s="127" t="s">
        <v>943</v>
      </c>
      <c r="AD103" s="8" t="s">
        <v>828</v>
      </c>
      <c r="AE103" s="128">
        <f>(AE97+AE79)/2</f>
        <v>0</v>
      </c>
      <c r="AF103" s="128">
        <v>215400.992</v>
      </c>
      <c r="AG103" s="128">
        <v>145252.54</v>
      </c>
      <c r="AH103" s="128">
        <v>46507.826949711402</v>
      </c>
      <c r="AI103" s="128">
        <v>215400.992</v>
      </c>
      <c r="AJ103" s="778">
        <f t="shared" ref="AJ103:AR103" si="41">(AJ97+AJ79)/2</f>
        <v>0</v>
      </c>
      <c r="AK103" s="778">
        <f t="shared" si="41"/>
        <v>0</v>
      </c>
      <c r="AL103" s="128">
        <f t="shared" si="41"/>
        <v>0</v>
      </c>
      <c r="AM103" s="128">
        <f t="shared" si="41"/>
        <v>0</v>
      </c>
      <c r="AN103" s="128">
        <f t="shared" si="41"/>
        <v>0</v>
      </c>
      <c r="AO103" s="128">
        <f t="shared" si="41"/>
        <v>0</v>
      </c>
      <c r="AP103" s="128">
        <f t="shared" si="41"/>
        <v>0</v>
      </c>
      <c r="AQ103" s="128">
        <f t="shared" si="41"/>
        <v>0</v>
      </c>
      <c r="AR103" s="128">
        <f t="shared" si="41"/>
        <v>0</v>
      </c>
      <c r="AS103" s="128">
        <v>145252.54</v>
      </c>
      <c r="AT103" s="778">
        <f t="shared" ref="AT103:BB103" si="42">(AT97+AT79)/2</f>
        <v>0</v>
      </c>
      <c r="AU103" s="778">
        <f t="shared" si="42"/>
        <v>0</v>
      </c>
      <c r="AV103" s="128">
        <f t="shared" si="42"/>
        <v>0</v>
      </c>
      <c r="AW103" s="128">
        <f t="shared" si="42"/>
        <v>0</v>
      </c>
      <c r="AX103" s="128">
        <f t="shared" si="42"/>
        <v>0</v>
      </c>
      <c r="AY103" s="128">
        <f t="shared" si="42"/>
        <v>0</v>
      </c>
      <c r="AZ103" s="128">
        <f t="shared" si="42"/>
        <v>0</v>
      </c>
      <c r="BA103" s="128">
        <f t="shared" si="42"/>
        <v>0</v>
      </c>
      <c r="BB103" s="128">
        <f t="shared" si="42"/>
        <v>0</v>
      </c>
      <c r="BC103" s="113"/>
      <c r="BF103" s="680" t="s">
        <v>993</v>
      </c>
    </row>
    <row r="104" spans="2:58" ht="14.65" customHeight="1" x14ac:dyDescent="0.15">
      <c r="E104" s="449">
        <v>15</v>
      </c>
      <c r="F104" s="3" t="str" cm="1">
        <f t="array" aca="1" ref="F104" ca="1">OFFSET(E104,-1,1)</f>
        <v>1</v>
      </c>
      <c r="G104" s="22" t="s">
        <v>794</v>
      </c>
      <c r="T104" s="353" t="b" cm="1">
        <f t="array" ref="T104">T103</f>
        <v>1</v>
      </c>
      <c r="X104" s="1022"/>
      <c r="Z104" s="1023"/>
      <c r="AB104" s="7" t="s">
        <v>994</v>
      </c>
      <c r="AC104" s="127" t="s">
        <v>946</v>
      </c>
      <c r="AD104" s="8" t="s">
        <v>828</v>
      </c>
      <c r="AE104" s="128">
        <f>(AE98+AE80)/2</f>
        <v>0</v>
      </c>
      <c r="AF104" s="128">
        <v>57140.5435</v>
      </c>
      <c r="AG104" s="128">
        <v>56079.55</v>
      </c>
      <c r="AH104" s="128">
        <v>24506.578211764001</v>
      </c>
      <c r="AI104" s="128">
        <v>57079.084000000003</v>
      </c>
      <c r="AJ104" s="778">
        <f t="shared" ref="AJ104:AR104" si="43">(AJ98+AJ80)/2</f>
        <v>0</v>
      </c>
      <c r="AK104" s="778">
        <f t="shared" si="43"/>
        <v>0</v>
      </c>
      <c r="AL104" s="128">
        <f t="shared" si="43"/>
        <v>0</v>
      </c>
      <c r="AM104" s="128">
        <f t="shared" si="43"/>
        <v>0</v>
      </c>
      <c r="AN104" s="128">
        <f t="shared" si="43"/>
        <v>0</v>
      </c>
      <c r="AO104" s="128">
        <f t="shared" si="43"/>
        <v>0</v>
      </c>
      <c r="AP104" s="128">
        <f t="shared" si="43"/>
        <v>0</v>
      </c>
      <c r="AQ104" s="128">
        <f t="shared" si="43"/>
        <v>0</v>
      </c>
      <c r="AR104" s="128">
        <f t="shared" si="43"/>
        <v>0</v>
      </c>
      <c r="AS104" s="128">
        <v>56085.99</v>
      </c>
      <c r="AT104" s="778">
        <f t="shared" ref="AT104:BB104" si="44">(AT98+AT80)/2</f>
        <v>0</v>
      </c>
      <c r="AU104" s="778">
        <f t="shared" si="44"/>
        <v>0</v>
      </c>
      <c r="AV104" s="128">
        <f t="shared" si="44"/>
        <v>0</v>
      </c>
      <c r="AW104" s="128">
        <f t="shared" si="44"/>
        <v>0</v>
      </c>
      <c r="AX104" s="128">
        <f t="shared" si="44"/>
        <v>0</v>
      </c>
      <c r="AY104" s="128">
        <f t="shared" si="44"/>
        <v>0</v>
      </c>
      <c r="AZ104" s="128">
        <f t="shared" si="44"/>
        <v>0</v>
      </c>
      <c r="BA104" s="128">
        <f t="shared" si="44"/>
        <v>0</v>
      </c>
      <c r="BB104" s="128">
        <f t="shared" si="44"/>
        <v>0</v>
      </c>
      <c r="BC104" s="113"/>
      <c r="BF104" s="680" t="s">
        <v>995</v>
      </c>
    </row>
    <row r="105" spans="2:58" ht="14.25" customHeight="1" x14ac:dyDescent="0.15">
      <c r="E105" s="449">
        <v>15</v>
      </c>
      <c r="F105" s="3" t="str" cm="1">
        <f t="array" aca="1" ref="F105" ca="1">OFFSET(E105,-1,1)</f>
        <v>1</v>
      </c>
      <c r="G105" s="22" t="s">
        <v>996</v>
      </c>
      <c r="T105" s="353" t="b" cm="1">
        <f t="array" ref="T105">T104</f>
        <v>1</v>
      </c>
      <c r="X105" s="1022"/>
      <c r="Z105" s="1023"/>
      <c r="AB105" s="7" t="s">
        <v>997</v>
      </c>
      <c r="AC105" s="127" t="s">
        <v>949</v>
      </c>
      <c r="AD105" s="8" t="s">
        <v>828</v>
      </c>
      <c r="AE105" s="128">
        <f>(AE99+AE81)/2</f>
        <v>0</v>
      </c>
      <c r="AF105" s="128">
        <f>(AF99+AF81)/2</f>
        <v>0</v>
      </c>
      <c r="AG105" s="128">
        <f>(AG99+AG81)/2</f>
        <v>0</v>
      </c>
      <c r="AH105" s="128">
        <f>(AH99+AH81)/2</f>
        <v>0</v>
      </c>
      <c r="AI105" s="128">
        <f>(AI99+AI81)/2</f>
        <v>0</v>
      </c>
      <c r="AJ105" s="778">
        <f t="shared" ref="AJ105:AR105" si="45">(AJ99+AJ81)/2</f>
        <v>0</v>
      </c>
      <c r="AK105" s="778">
        <f t="shared" si="45"/>
        <v>0</v>
      </c>
      <c r="AL105" s="128">
        <f t="shared" si="45"/>
        <v>0</v>
      </c>
      <c r="AM105" s="128">
        <f t="shared" si="45"/>
        <v>0</v>
      </c>
      <c r="AN105" s="128">
        <f t="shared" si="45"/>
        <v>0</v>
      </c>
      <c r="AO105" s="128">
        <f t="shared" si="45"/>
        <v>0</v>
      </c>
      <c r="AP105" s="128">
        <f t="shared" si="45"/>
        <v>0</v>
      </c>
      <c r="AQ105" s="128">
        <f t="shared" si="45"/>
        <v>0</v>
      </c>
      <c r="AR105" s="128">
        <f t="shared" si="45"/>
        <v>0</v>
      </c>
      <c r="AS105" s="128">
        <f>(AS99+AS81)/2</f>
        <v>0</v>
      </c>
      <c r="AT105" s="778">
        <f t="shared" ref="AT105:BB105" si="46">(AT99+AT81)/2</f>
        <v>0</v>
      </c>
      <c r="AU105" s="778">
        <f t="shared" si="46"/>
        <v>0</v>
      </c>
      <c r="AV105" s="128">
        <f t="shared" si="46"/>
        <v>0</v>
      </c>
      <c r="AW105" s="128">
        <f t="shared" si="46"/>
        <v>0</v>
      </c>
      <c r="AX105" s="128">
        <f t="shared" si="46"/>
        <v>0</v>
      </c>
      <c r="AY105" s="128">
        <f t="shared" si="46"/>
        <v>0</v>
      </c>
      <c r="AZ105" s="128">
        <f t="shared" si="46"/>
        <v>0</v>
      </c>
      <c r="BA105" s="128">
        <f t="shared" si="46"/>
        <v>0</v>
      </c>
      <c r="BB105" s="128">
        <f t="shared" si="46"/>
        <v>0</v>
      </c>
      <c r="BC105" s="113"/>
      <c r="BF105" s="680" t="s">
        <v>998</v>
      </c>
    </row>
    <row r="106" spans="2:58" ht="14.65" customHeight="1" x14ac:dyDescent="0.15">
      <c r="E106" s="449">
        <v>15</v>
      </c>
      <c r="F106" s="3" t="str" cm="1">
        <f t="array" aca="1" ref="F106" ca="1">OFFSET(E106,-1,1)</f>
        <v>1</v>
      </c>
      <c r="G106" s="22" t="s">
        <v>999</v>
      </c>
      <c r="T106" s="353" t="b" cm="1">
        <f t="array" ref="T106">T105</f>
        <v>1</v>
      </c>
      <c r="X106" s="1022"/>
      <c r="Z106" s="1023"/>
      <c r="AB106" s="7" t="s">
        <v>1000</v>
      </c>
      <c r="AC106" s="127" t="s">
        <v>953</v>
      </c>
      <c r="AD106" s="8" t="s">
        <v>828</v>
      </c>
      <c r="AE106" s="128">
        <v>122320.74985832001</v>
      </c>
      <c r="AF106" s="128">
        <v>1587.5300500000001</v>
      </c>
      <c r="AG106" s="128">
        <v>1587.5324149999999</v>
      </c>
      <c r="AH106" s="128">
        <v>49.083833609999999</v>
      </c>
      <c r="AI106" s="128">
        <v>140738.67092500001</v>
      </c>
      <c r="AJ106" s="778">
        <f t="shared" ref="AJ106:AR106" si="47">(AJ100+AJ82)/2</f>
        <v>0</v>
      </c>
      <c r="AK106" s="778">
        <f t="shared" si="47"/>
        <v>0</v>
      </c>
      <c r="AL106" s="128">
        <f t="shared" si="47"/>
        <v>0</v>
      </c>
      <c r="AM106" s="128">
        <f t="shared" si="47"/>
        <v>0</v>
      </c>
      <c r="AN106" s="128">
        <f t="shared" si="47"/>
        <v>0</v>
      </c>
      <c r="AO106" s="128">
        <f t="shared" si="47"/>
        <v>0</v>
      </c>
      <c r="AP106" s="128">
        <f t="shared" si="47"/>
        <v>0</v>
      </c>
      <c r="AQ106" s="128">
        <f t="shared" si="47"/>
        <v>0</v>
      </c>
      <c r="AR106" s="128">
        <f t="shared" si="47"/>
        <v>0</v>
      </c>
      <c r="AS106" s="128">
        <v>1600.1950999999999</v>
      </c>
      <c r="AT106" s="778">
        <f t="shared" ref="AT106:BB106" si="48">(AT100+AT82)/2</f>
        <v>0</v>
      </c>
      <c r="AU106" s="778">
        <f t="shared" si="48"/>
        <v>0</v>
      </c>
      <c r="AV106" s="128">
        <f t="shared" si="48"/>
        <v>0</v>
      </c>
      <c r="AW106" s="128">
        <f t="shared" si="48"/>
        <v>0</v>
      </c>
      <c r="AX106" s="128">
        <f t="shared" si="48"/>
        <v>0</v>
      </c>
      <c r="AY106" s="128">
        <f t="shared" si="48"/>
        <v>0</v>
      </c>
      <c r="AZ106" s="128">
        <f t="shared" si="48"/>
        <v>0</v>
      </c>
      <c r="BA106" s="128">
        <f t="shared" si="48"/>
        <v>0</v>
      </c>
      <c r="BB106" s="128">
        <f t="shared" si="48"/>
        <v>0</v>
      </c>
      <c r="BC106" s="113"/>
      <c r="BF106" s="680" t="s">
        <v>1001</v>
      </c>
    </row>
    <row r="107" spans="2:58" s="63" customFormat="1" ht="21.75" customHeight="1" x14ac:dyDescent="0.15">
      <c r="B107" s="328"/>
      <c r="E107" s="488">
        <v>22.5</v>
      </c>
      <c r="F107" s="3" t="str" cm="1">
        <f t="array" aca="1" ref="F107" ca="1">OFFSET(E107,-1,1)</f>
        <v>1</v>
      </c>
      <c r="G107" s="22" t="s">
        <v>532</v>
      </c>
      <c r="T107" s="353" t="b" cm="1">
        <f t="array" ref="T107">T106</f>
        <v>1</v>
      </c>
      <c r="X107" s="1022"/>
      <c r="Z107" s="1023"/>
      <c r="AB107" s="124">
        <v>6</v>
      </c>
      <c r="AC107" s="125" t="s">
        <v>1002</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80" t="s">
        <v>1003</v>
      </c>
    </row>
    <row r="108" spans="2:58" ht="14.25" customHeight="1" x14ac:dyDescent="0.15">
      <c r="E108" s="449">
        <v>15</v>
      </c>
      <c r="F108" s="3" t="str" cm="1">
        <f t="array" aca="1" ref="F108" ca="1">OFFSET(E108,-1,1)</f>
        <v>1</v>
      </c>
      <c r="G108" s="22" t="s">
        <v>696</v>
      </c>
      <c r="T108" s="353" t="b" cm="1">
        <f t="array" ref="T108">T107</f>
        <v>1</v>
      </c>
      <c r="X108" s="1022"/>
      <c r="Z108" s="1023"/>
      <c r="AB108" s="7" t="s">
        <v>590</v>
      </c>
      <c r="AC108" s="127" t="s">
        <v>940</v>
      </c>
      <c r="AD108" s="7" t="s">
        <v>476</v>
      </c>
      <c r="AE108" s="128">
        <f t="shared" ref="AE108:BB108" si="49">IF(AE102=0,0,AE114/AE102*100)</f>
        <v>0</v>
      </c>
      <c r="AF108" s="128">
        <f t="shared" si="49"/>
        <v>0</v>
      </c>
      <c r="AG108" s="128">
        <f t="shared" si="49"/>
        <v>0</v>
      </c>
      <c r="AH108" s="128">
        <f t="shared" si="49"/>
        <v>0</v>
      </c>
      <c r="AI108" s="128">
        <f t="shared" si="49"/>
        <v>0</v>
      </c>
      <c r="AJ108" s="778">
        <f t="shared" si="49"/>
        <v>0</v>
      </c>
      <c r="AK108" s="778">
        <f t="shared" si="49"/>
        <v>0</v>
      </c>
      <c r="AL108" s="128">
        <f t="shared" si="49"/>
        <v>0</v>
      </c>
      <c r="AM108" s="128">
        <f t="shared" si="49"/>
        <v>0</v>
      </c>
      <c r="AN108" s="128">
        <f t="shared" si="49"/>
        <v>0</v>
      </c>
      <c r="AO108" s="128">
        <f t="shared" si="49"/>
        <v>0</v>
      </c>
      <c r="AP108" s="128">
        <f t="shared" si="49"/>
        <v>0</v>
      </c>
      <c r="AQ108" s="128">
        <f t="shared" si="49"/>
        <v>0</v>
      </c>
      <c r="AR108" s="128">
        <f t="shared" si="49"/>
        <v>0</v>
      </c>
      <c r="AS108" s="128">
        <f t="shared" si="49"/>
        <v>0</v>
      </c>
      <c r="AT108" s="778">
        <f t="shared" si="49"/>
        <v>0</v>
      </c>
      <c r="AU108" s="778">
        <f t="shared" si="49"/>
        <v>0</v>
      </c>
      <c r="AV108" s="128">
        <f t="shared" si="49"/>
        <v>0</v>
      </c>
      <c r="AW108" s="128">
        <f t="shared" si="49"/>
        <v>0</v>
      </c>
      <c r="AX108" s="128">
        <f t="shared" si="49"/>
        <v>0</v>
      </c>
      <c r="AY108" s="128">
        <f t="shared" si="49"/>
        <v>0</v>
      </c>
      <c r="AZ108" s="128">
        <f t="shared" si="49"/>
        <v>0</v>
      </c>
      <c r="BA108" s="128">
        <f t="shared" si="49"/>
        <v>0</v>
      </c>
      <c r="BB108" s="128">
        <f t="shared" si="49"/>
        <v>0</v>
      </c>
      <c r="BC108" s="113"/>
      <c r="BF108" s="680" t="s">
        <v>1004</v>
      </c>
    </row>
    <row r="109" spans="2:58" ht="14.65" customHeight="1" x14ac:dyDescent="0.15">
      <c r="E109" s="449">
        <v>15</v>
      </c>
      <c r="F109" s="3" t="str" cm="1">
        <f t="array" aca="1" ref="F109" ca="1">OFFSET(E109,-1,1)</f>
        <v>1</v>
      </c>
      <c r="G109" s="22" t="s">
        <v>699</v>
      </c>
      <c r="T109" s="353" t="b" cm="1">
        <f t="array" ref="T109">T108</f>
        <v>1</v>
      </c>
      <c r="X109" s="1022"/>
      <c r="Z109" s="1023"/>
      <c r="AB109" s="7" t="s">
        <v>594</v>
      </c>
      <c r="AC109" s="127" t="s">
        <v>943</v>
      </c>
      <c r="AD109" s="7" t="s">
        <v>476</v>
      </c>
      <c r="AE109" s="128">
        <f t="shared" ref="AE109:AF111" si="50">IF(AE103=0,0,AE115/AE103*100)</f>
        <v>0</v>
      </c>
      <c r="AF109" s="128">
        <f t="shared" si="50"/>
        <v>0</v>
      </c>
      <c r="AG109" s="128">
        <v>2.0241200001999999</v>
      </c>
      <c r="AH109" s="128">
        <f t="shared" ref="AH109:AR109" si="51">IF(AH103=0,0,AH115/AH103*100)</f>
        <v>0</v>
      </c>
      <c r="AI109" s="128">
        <f t="shared" si="51"/>
        <v>0</v>
      </c>
      <c r="AJ109" s="778">
        <f t="shared" si="51"/>
        <v>0</v>
      </c>
      <c r="AK109" s="778">
        <f t="shared" si="51"/>
        <v>0</v>
      </c>
      <c r="AL109" s="128">
        <f t="shared" si="51"/>
        <v>0</v>
      </c>
      <c r="AM109" s="128">
        <f t="shared" si="51"/>
        <v>0</v>
      </c>
      <c r="AN109" s="128">
        <f t="shared" si="51"/>
        <v>0</v>
      </c>
      <c r="AO109" s="128">
        <f t="shared" si="51"/>
        <v>0</v>
      </c>
      <c r="AP109" s="128">
        <f t="shared" si="51"/>
        <v>0</v>
      </c>
      <c r="AQ109" s="128">
        <f t="shared" si="51"/>
        <v>0</v>
      </c>
      <c r="AR109" s="128">
        <f t="shared" si="51"/>
        <v>0</v>
      </c>
      <c r="AS109" s="128">
        <v>2.0241200001999999</v>
      </c>
      <c r="AT109" s="778">
        <f t="shared" ref="AT109:BB109" si="52">IF(AT103=0,0,AT115/AT103*100)</f>
        <v>0</v>
      </c>
      <c r="AU109" s="778">
        <f t="shared" si="52"/>
        <v>0</v>
      </c>
      <c r="AV109" s="128">
        <f t="shared" si="52"/>
        <v>0</v>
      </c>
      <c r="AW109" s="128">
        <f t="shared" si="52"/>
        <v>0</v>
      </c>
      <c r="AX109" s="128">
        <f t="shared" si="52"/>
        <v>0</v>
      </c>
      <c r="AY109" s="128">
        <f t="shared" si="52"/>
        <v>0</v>
      </c>
      <c r="AZ109" s="128">
        <f t="shared" si="52"/>
        <v>0</v>
      </c>
      <c r="BA109" s="128">
        <f t="shared" si="52"/>
        <v>0</v>
      </c>
      <c r="BB109" s="128">
        <f t="shared" si="52"/>
        <v>0</v>
      </c>
      <c r="BC109" s="113"/>
      <c r="BF109" s="680" t="s">
        <v>1005</v>
      </c>
    </row>
    <row r="110" spans="2:58" ht="14.65" customHeight="1" x14ac:dyDescent="0.15">
      <c r="E110" s="449">
        <v>15</v>
      </c>
      <c r="F110" s="3" t="str" cm="1">
        <f t="array" aca="1" ref="F110" ca="1">OFFSET(E110,-1,1)</f>
        <v>1</v>
      </c>
      <c r="G110" s="22" t="s">
        <v>733</v>
      </c>
      <c r="T110" s="353" t="b" cm="1">
        <f t="array" ref="T110">T109</f>
        <v>1</v>
      </c>
      <c r="X110" s="1022"/>
      <c r="Z110" s="1023"/>
      <c r="AB110" s="7" t="s">
        <v>598</v>
      </c>
      <c r="AC110" s="127" t="s">
        <v>946</v>
      </c>
      <c r="AD110" s="7" t="s">
        <v>476</v>
      </c>
      <c r="AE110" s="128">
        <f t="shared" si="50"/>
        <v>0</v>
      </c>
      <c r="AF110" s="128">
        <f t="shared" si="50"/>
        <v>0</v>
      </c>
      <c r="AG110" s="128">
        <v>1.0094279332</v>
      </c>
      <c r="AH110" s="128">
        <f t="shared" ref="AH110:AR110" si="53">IF(AH104=0,0,AH116/AH104*100)</f>
        <v>0</v>
      </c>
      <c r="AI110" s="128">
        <f t="shared" si="53"/>
        <v>0</v>
      </c>
      <c r="AJ110" s="778">
        <f t="shared" si="53"/>
        <v>0</v>
      </c>
      <c r="AK110" s="778">
        <f t="shared" si="53"/>
        <v>0</v>
      </c>
      <c r="AL110" s="128">
        <f t="shared" si="53"/>
        <v>0</v>
      </c>
      <c r="AM110" s="128">
        <f t="shared" si="53"/>
        <v>0</v>
      </c>
      <c r="AN110" s="128">
        <f t="shared" si="53"/>
        <v>0</v>
      </c>
      <c r="AO110" s="128">
        <f t="shared" si="53"/>
        <v>0</v>
      </c>
      <c r="AP110" s="128">
        <f t="shared" si="53"/>
        <v>0</v>
      </c>
      <c r="AQ110" s="128">
        <f t="shared" si="53"/>
        <v>0</v>
      </c>
      <c r="AR110" s="128">
        <f t="shared" si="53"/>
        <v>0</v>
      </c>
      <c r="AS110" s="128">
        <v>0.88809955429999998</v>
      </c>
      <c r="AT110" s="778">
        <f t="shared" ref="AT110:BB110" si="54">IF(AT104=0,0,AT116/AT104*100)</f>
        <v>0</v>
      </c>
      <c r="AU110" s="778">
        <f t="shared" si="54"/>
        <v>0</v>
      </c>
      <c r="AV110" s="128">
        <f t="shared" si="54"/>
        <v>0</v>
      </c>
      <c r="AW110" s="128">
        <f t="shared" si="54"/>
        <v>0</v>
      </c>
      <c r="AX110" s="128">
        <f t="shared" si="54"/>
        <v>0</v>
      </c>
      <c r="AY110" s="128">
        <f t="shared" si="54"/>
        <v>0</v>
      </c>
      <c r="AZ110" s="128">
        <f t="shared" si="54"/>
        <v>0</v>
      </c>
      <c r="BA110" s="128">
        <f t="shared" si="54"/>
        <v>0</v>
      </c>
      <c r="BB110" s="128">
        <f t="shared" si="54"/>
        <v>0</v>
      </c>
      <c r="BC110" s="113"/>
      <c r="BF110" s="680" t="s">
        <v>1006</v>
      </c>
    </row>
    <row r="111" spans="2:58" ht="14.25" customHeight="1" x14ac:dyDescent="0.15">
      <c r="E111" s="449">
        <v>15</v>
      </c>
      <c r="F111" s="3" t="str" cm="1">
        <f t="array" aca="1" ref="F111" ca="1">OFFSET(E111,-1,1)</f>
        <v>1</v>
      </c>
      <c r="G111" s="22" t="s">
        <v>742</v>
      </c>
      <c r="T111" s="353" t="b" cm="1">
        <f t="array" ref="T111">T110</f>
        <v>1</v>
      </c>
      <c r="X111" s="1022"/>
      <c r="Z111" s="1023"/>
      <c r="AB111" s="7" t="s">
        <v>1007</v>
      </c>
      <c r="AC111" s="127" t="s">
        <v>949</v>
      </c>
      <c r="AD111" s="7" t="s">
        <v>476</v>
      </c>
      <c r="AE111" s="128">
        <f t="shared" si="50"/>
        <v>0</v>
      </c>
      <c r="AF111" s="128">
        <f t="shared" si="50"/>
        <v>0</v>
      </c>
      <c r="AG111" s="128">
        <f>IF(AG105=0,0,AG117/AG105*100)</f>
        <v>0</v>
      </c>
      <c r="AH111" s="128">
        <f t="shared" ref="AH111:AR111" si="55">IF(AH105=0,0,AH117/AH105*100)</f>
        <v>0</v>
      </c>
      <c r="AI111" s="128">
        <f t="shared" si="55"/>
        <v>0</v>
      </c>
      <c r="AJ111" s="778">
        <f t="shared" si="55"/>
        <v>0</v>
      </c>
      <c r="AK111" s="778">
        <f t="shared" si="55"/>
        <v>0</v>
      </c>
      <c r="AL111" s="128">
        <f t="shared" si="55"/>
        <v>0</v>
      </c>
      <c r="AM111" s="128">
        <f t="shared" si="55"/>
        <v>0</v>
      </c>
      <c r="AN111" s="128">
        <f t="shared" si="55"/>
        <v>0</v>
      </c>
      <c r="AO111" s="128">
        <f t="shared" si="55"/>
        <v>0</v>
      </c>
      <c r="AP111" s="128">
        <f t="shared" si="55"/>
        <v>0</v>
      </c>
      <c r="AQ111" s="128">
        <f t="shared" si="55"/>
        <v>0</v>
      </c>
      <c r="AR111" s="128">
        <f t="shared" si="55"/>
        <v>0</v>
      </c>
      <c r="AS111" s="128">
        <f>IF(AS105=0,0,AS117/AS105*100)</f>
        <v>0</v>
      </c>
      <c r="AT111" s="778">
        <f t="shared" ref="AT111:BB111" si="56">IF(AT105=0,0,AT117/AT105*100)</f>
        <v>0</v>
      </c>
      <c r="AU111" s="778">
        <f t="shared" si="56"/>
        <v>0</v>
      </c>
      <c r="AV111" s="128">
        <f t="shared" si="56"/>
        <v>0</v>
      </c>
      <c r="AW111" s="128">
        <f t="shared" si="56"/>
        <v>0</v>
      </c>
      <c r="AX111" s="128">
        <f t="shared" si="56"/>
        <v>0</v>
      </c>
      <c r="AY111" s="128">
        <f t="shared" si="56"/>
        <v>0</v>
      </c>
      <c r="AZ111" s="128">
        <f t="shared" si="56"/>
        <v>0</v>
      </c>
      <c r="BA111" s="128">
        <f t="shared" si="56"/>
        <v>0</v>
      </c>
      <c r="BB111" s="128">
        <f t="shared" si="56"/>
        <v>0</v>
      </c>
      <c r="BC111" s="113"/>
      <c r="BF111" s="680" t="s">
        <v>1008</v>
      </c>
    </row>
    <row r="112" spans="2:58" ht="14.65" customHeight="1" x14ac:dyDescent="0.15">
      <c r="E112" s="449">
        <v>15</v>
      </c>
      <c r="F112" s="3" t="str" cm="1">
        <f t="array" aca="1" ref="F112" ca="1">OFFSET(E112,-1,1)</f>
        <v>1</v>
      </c>
      <c r="G112" s="22" t="s">
        <v>752</v>
      </c>
      <c r="T112" s="353" t="b" cm="1">
        <f t="array" ref="T112">T111</f>
        <v>1</v>
      </c>
      <c r="X112" s="1022"/>
      <c r="Z112" s="1023"/>
      <c r="AB112" s="7" t="s">
        <v>1009</v>
      </c>
      <c r="AC112" s="127" t="s">
        <v>953</v>
      </c>
      <c r="AD112" s="7" t="s">
        <v>476</v>
      </c>
      <c r="AE112" s="128">
        <v>1.8124415493999999</v>
      </c>
      <c r="AF112" s="128">
        <v>345.40948769689999</v>
      </c>
      <c r="AG112" s="128">
        <v>1.6417632669</v>
      </c>
      <c r="AH112" s="128">
        <v>1.8124415493999999</v>
      </c>
      <c r="AI112" s="128">
        <v>4.4411859931000004</v>
      </c>
      <c r="AJ112" s="778">
        <f t="shared" ref="AJ112:AR112" si="57">IF(AJ106=0,0,AJ118/AJ106*100)</f>
        <v>0</v>
      </c>
      <c r="AK112" s="778">
        <f t="shared" si="57"/>
        <v>0</v>
      </c>
      <c r="AL112" s="128">
        <f t="shared" si="57"/>
        <v>0</v>
      </c>
      <c r="AM112" s="128">
        <f t="shared" si="57"/>
        <v>0</v>
      </c>
      <c r="AN112" s="128">
        <f t="shared" si="57"/>
        <v>0</v>
      </c>
      <c r="AO112" s="128">
        <f t="shared" si="57"/>
        <v>0</v>
      </c>
      <c r="AP112" s="128">
        <f t="shared" si="57"/>
        <v>0</v>
      </c>
      <c r="AQ112" s="128">
        <f t="shared" si="57"/>
        <v>0</v>
      </c>
      <c r="AR112" s="128">
        <f t="shared" si="57"/>
        <v>0</v>
      </c>
      <c r="AS112" s="128">
        <v>1.1674569106999999</v>
      </c>
      <c r="AT112" s="778">
        <f t="shared" ref="AT112:BB112" si="58">IF(AT106=0,0,AT118/AT106*100)</f>
        <v>0</v>
      </c>
      <c r="AU112" s="778">
        <f t="shared" si="58"/>
        <v>0</v>
      </c>
      <c r="AV112" s="128">
        <f t="shared" si="58"/>
        <v>0</v>
      </c>
      <c r="AW112" s="128">
        <f t="shared" si="58"/>
        <v>0</v>
      </c>
      <c r="AX112" s="128">
        <f t="shared" si="58"/>
        <v>0</v>
      </c>
      <c r="AY112" s="128">
        <f t="shared" si="58"/>
        <v>0</v>
      </c>
      <c r="AZ112" s="128">
        <f t="shared" si="58"/>
        <v>0</v>
      </c>
      <c r="BA112" s="128">
        <f t="shared" si="58"/>
        <v>0</v>
      </c>
      <c r="BB112" s="128">
        <f t="shared" si="58"/>
        <v>0</v>
      </c>
      <c r="BC112" s="113"/>
      <c r="BF112" s="680" t="s">
        <v>1010</v>
      </c>
    </row>
    <row r="113" spans="2:58" s="63" customFormat="1" ht="52.35" customHeight="1" x14ac:dyDescent="0.15">
      <c r="B113" s="328"/>
      <c r="E113" s="449">
        <v>15</v>
      </c>
      <c r="F113" s="3" t="str" cm="1">
        <f t="array" aca="1" ref="F113" ca="1">OFFSET(E113,-1,1)</f>
        <v>1</v>
      </c>
      <c r="G113" s="22" t="s">
        <v>535</v>
      </c>
      <c r="K113" s="40" t="str">
        <f ca="1">F113&amp;"komm"</f>
        <v>1komm</v>
      </c>
      <c r="L113" s="609" t="str" cm="1">
        <f t="array" ref="L113">BC113</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T113" s="353" t="b" cm="1">
        <f t="array" ref="T113">T112</f>
        <v>1</v>
      </c>
      <c r="X113" s="1022"/>
      <c r="Z113" s="1023"/>
      <c r="AB113" s="124">
        <v>7</v>
      </c>
      <c r="AC113" s="125" t="s">
        <v>1011</v>
      </c>
      <c r="AD113" s="8" t="s">
        <v>828</v>
      </c>
      <c r="AE113" s="138">
        <v>2216.9920940237998</v>
      </c>
      <c r="AF113" s="138">
        <v>5483.4794127398</v>
      </c>
      <c r="AG113" s="138">
        <v>3532.2318795599999</v>
      </c>
      <c r="AH113" s="138">
        <v>2256.276065</v>
      </c>
      <c r="AI113" s="138">
        <v>6250.4661400595996</v>
      </c>
      <c r="AJ113" s="774">
        <f t="shared" ref="AJ113:AR113" si="59">SUM(AJ114:AJ118)</f>
        <v>0</v>
      </c>
      <c r="AK113" s="774">
        <f t="shared" si="59"/>
        <v>0</v>
      </c>
      <c r="AL113" s="138">
        <f t="shared" si="59"/>
        <v>0</v>
      </c>
      <c r="AM113" s="138">
        <f t="shared" si="59"/>
        <v>0</v>
      </c>
      <c r="AN113" s="138">
        <f t="shared" si="59"/>
        <v>0</v>
      </c>
      <c r="AO113" s="138">
        <f t="shared" si="59"/>
        <v>0</v>
      </c>
      <c r="AP113" s="138">
        <f t="shared" si="59"/>
        <v>0</v>
      </c>
      <c r="AQ113" s="138">
        <f t="shared" si="59"/>
        <v>0</v>
      </c>
      <c r="AR113" s="138">
        <f t="shared" si="59"/>
        <v>0</v>
      </c>
      <c r="AS113" s="138">
        <v>3456.8667285199999</v>
      </c>
      <c r="AT113" s="774">
        <f t="shared" ref="AT113:BB113" si="60">SUM(AT114:AT118)</f>
        <v>0</v>
      </c>
      <c r="AU113" s="774">
        <f t="shared" si="60"/>
        <v>0</v>
      </c>
      <c r="AV113" s="138">
        <f t="shared" si="60"/>
        <v>0</v>
      </c>
      <c r="AW113" s="138">
        <f t="shared" si="60"/>
        <v>0</v>
      </c>
      <c r="AX113" s="138">
        <f t="shared" si="60"/>
        <v>0</v>
      </c>
      <c r="AY113" s="138">
        <f t="shared" si="60"/>
        <v>0</v>
      </c>
      <c r="AZ113" s="138">
        <f t="shared" si="60"/>
        <v>0</v>
      </c>
      <c r="BA113" s="138">
        <f t="shared" si="60"/>
        <v>0</v>
      </c>
      <c r="BB113" s="138">
        <f t="shared" si="60"/>
        <v>0</v>
      </c>
      <c r="BC113" s="113" t="s">
        <v>1037</v>
      </c>
      <c r="BF113" s="680" t="s">
        <v>1012</v>
      </c>
    </row>
    <row r="114" spans="2:58" ht="41.65" customHeight="1" x14ac:dyDescent="0.15">
      <c r="E114" s="449">
        <v>15</v>
      </c>
      <c r="F114" s="3" t="str" cm="1">
        <f t="array" aca="1" ref="F114" ca="1">OFFSET(E114,-1,1)</f>
        <v>1</v>
      </c>
      <c r="G114" s="22" t="s">
        <v>703</v>
      </c>
      <c r="T114" s="353" t="b" cm="1">
        <f t="array" ref="T114">T113</f>
        <v>1</v>
      </c>
      <c r="X114" s="1022"/>
      <c r="Z114" s="1023"/>
      <c r="AB114" s="7" t="s">
        <v>606</v>
      </c>
      <c r="AC114" s="127" t="s">
        <v>940</v>
      </c>
      <c r="AD114" s="8" t="s">
        <v>828</v>
      </c>
      <c r="AE114" s="128"/>
      <c r="AF114" s="128"/>
      <c r="AG114" s="128">
        <v>0</v>
      </c>
      <c r="AH114" s="128"/>
      <c r="AI114" s="128"/>
      <c r="AJ114" s="778"/>
      <c r="AK114" s="778"/>
      <c r="AL114" s="128"/>
      <c r="AM114" s="128"/>
      <c r="AN114" s="128"/>
      <c r="AO114" s="128"/>
      <c r="AP114" s="128"/>
      <c r="AQ114" s="128"/>
      <c r="AR114" s="128"/>
      <c r="AS114" s="128">
        <v>0</v>
      </c>
      <c r="AT114" s="778"/>
      <c r="AU114" s="778"/>
      <c r="AV114" s="128"/>
      <c r="AW114" s="128"/>
      <c r="AX114" s="128"/>
      <c r="AY114" s="128"/>
      <c r="AZ114" s="128"/>
      <c r="BA114" s="128"/>
      <c r="BB114" s="128"/>
      <c r="BC114" s="113" t="s">
        <v>1038</v>
      </c>
      <c r="BF114" s="680" t="s">
        <v>1013</v>
      </c>
    </row>
    <row r="115" spans="2:58" ht="47.25" customHeight="1" x14ac:dyDescent="0.15">
      <c r="E115" s="449">
        <v>15</v>
      </c>
      <c r="F115" s="3" t="str" cm="1">
        <f t="array" aca="1" ref="F115" ca="1">OFFSET(E115,-1,1)</f>
        <v>1</v>
      </c>
      <c r="G115" s="22" t="s">
        <v>706</v>
      </c>
      <c r="T115" s="353" t="b" cm="1">
        <f t="array" ref="T115">T114</f>
        <v>1</v>
      </c>
      <c r="X115" s="1022"/>
      <c r="Z115" s="1023"/>
      <c r="AB115" s="7" t="s">
        <v>1014</v>
      </c>
      <c r="AC115" s="127" t="s">
        <v>943</v>
      </c>
      <c r="AD115" s="8" t="s">
        <v>828</v>
      </c>
      <c r="AE115" s="128"/>
      <c r="AF115" s="128"/>
      <c r="AG115" s="128">
        <v>2940.0857129999999</v>
      </c>
      <c r="AH115" s="128"/>
      <c r="AI115" s="128"/>
      <c r="AJ115" s="778"/>
      <c r="AK115" s="778"/>
      <c r="AL115" s="128"/>
      <c r="AM115" s="128"/>
      <c r="AN115" s="128"/>
      <c r="AO115" s="128"/>
      <c r="AP115" s="128"/>
      <c r="AQ115" s="128"/>
      <c r="AR115" s="128"/>
      <c r="AS115" s="128">
        <v>2940.0857129999999</v>
      </c>
      <c r="AT115" s="778"/>
      <c r="AU115" s="778"/>
      <c r="AV115" s="128"/>
      <c r="AW115" s="128"/>
      <c r="AX115" s="128"/>
      <c r="AY115" s="128"/>
      <c r="AZ115" s="128"/>
      <c r="BA115" s="128"/>
      <c r="BB115" s="128"/>
      <c r="BC115" s="113" t="s">
        <v>1039</v>
      </c>
      <c r="BF115" s="680" t="s">
        <v>1015</v>
      </c>
    </row>
    <row r="116" spans="2:58" ht="74.099999999999994" customHeight="1" x14ac:dyDescent="0.15">
      <c r="E116" s="449">
        <v>15</v>
      </c>
      <c r="F116" s="3" t="str" cm="1">
        <f t="array" aca="1" ref="F116" ca="1">OFFSET(E116,-1,1)</f>
        <v>1</v>
      </c>
      <c r="G116" s="22" t="s">
        <v>1016</v>
      </c>
      <c r="T116" s="353" t="b" cm="1">
        <f t="array" ref="T116">T115</f>
        <v>1</v>
      </c>
      <c r="X116" s="1022"/>
      <c r="Z116" s="1023"/>
      <c r="AB116" s="7" t="s">
        <v>1017</v>
      </c>
      <c r="AC116" s="127" t="s">
        <v>946</v>
      </c>
      <c r="AD116" s="8" t="s">
        <v>828</v>
      </c>
      <c r="AE116" s="128"/>
      <c r="AF116" s="128"/>
      <c r="AG116" s="128">
        <v>566.08264252000004</v>
      </c>
      <c r="AH116" s="128"/>
      <c r="AI116" s="128"/>
      <c r="AJ116" s="778"/>
      <c r="AK116" s="778"/>
      <c r="AL116" s="128"/>
      <c r="AM116" s="128"/>
      <c r="AN116" s="128"/>
      <c r="AO116" s="128"/>
      <c r="AP116" s="128"/>
      <c r="AQ116" s="128"/>
      <c r="AR116" s="128"/>
      <c r="AS116" s="128">
        <v>498.09942724000001</v>
      </c>
      <c r="AT116" s="778"/>
      <c r="AU116" s="778"/>
      <c r="AV116" s="128"/>
      <c r="AW116" s="128"/>
      <c r="AX116" s="128"/>
      <c r="AY116" s="128"/>
      <c r="AZ116" s="128"/>
      <c r="BA116" s="128"/>
      <c r="BB116" s="128"/>
      <c r="BC116" s="113" t="s">
        <v>1040</v>
      </c>
      <c r="BF116" s="680" t="s">
        <v>1018</v>
      </c>
    </row>
    <row r="117" spans="2:58" ht="14.65" customHeight="1" x14ac:dyDescent="0.15">
      <c r="E117" s="449">
        <v>15</v>
      </c>
      <c r="F117" s="3" t="str" cm="1">
        <f t="array" aca="1" ref="F117" ca="1">OFFSET(E117,-1,1)</f>
        <v>1</v>
      </c>
      <c r="G117" s="22" t="s">
        <v>1019</v>
      </c>
      <c r="T117" s="353" t="b" cm="1">
        <f t="array" ref="T117">T116</f>
        <v>1</v>
      </c>
      <c r="X117" s="1022"/>
      <c r="Z117" s="1023"/>
      <c r="AB117" s="7" t="s">
        <v>1020</v>
      </c>
      <c r="AC117" s="127" t="s">
        <v>949</v>
      </c>
      <c r="AD117" s="8" t="s">
        <v>828</v>
      </c>
      <c r="AE117" s="128"/>
      <c r="AF117" s="128"/>
      <c r="AG117" s="128">
        <v>0</v>
      </c>
      <c r="AH117" s="128"/>
      <c r="AI117" s="128"/>
      <c r="AJ117" s="778"/>
      <c r="AK117" s="778"/>
      <c r="AL117" s="128"/>
      <c r="AM117" s="128"/>
      <c r="AN117" s="128"/>
      <c r="AO117" s="128"/>
      <c r="AP117" s="128"/>
      <c r="AQ117" s="128"/>
      <c r="AR117" s="128"/>
      <c r="AS117" s="128">
        <v>0</v>
      </c>
      <c r="AT117" s="778"/>
      <c r="AU117" s="778"/>
      <c r="AV117" s="128"/>
      <c r="AW117" s="128"/>
      <c r="AX117" s="128"/>
      <c r="AY117" s="128"/>
      <c r="AZ117" s="128"/>
      <c r="BA117" s="128"/>
      <c r="BB117" s="128"/>
      <c r="BC117" s="113"/>
      <c r="BF117" s="680" t="s">
        <v>1021</v>
      </c>
    </row>
    <row r="118" spans="2:58" ht="50.45" customHeight="1" x14ac:dyDescent="0.15">
      <c r="E118" s="449">
        <v>15</v>
      </c>
      <c r="F118" s="3" t="str" cm="1">
        <f t="array" aca="1" ref="F118" ca="1">OFFSET(E118,-1,1)</f>
        <v>1</v>
      </c>
      <c r="G118" s="22" t="s">
        <v>1022</v>
      </c>
      <c r="T118" s="353" t="b" cm="1">
        <f t="array" ref="T118">T117</f>
        <v>1</v>
      </c>
      <c r="X118" s="1022"/>
      <c r="Z118" s="1023"/>
      <c r="AB118" s="7" t="s">
        <v>1023</v>
      </c>
      <c r="AC118" s="127" t="s">
        <v>953</v>
      </c>
      <c r="AD118" s="8" t="s">
        <v>828</v>
      </c>
      <c r="AE118" s="128">
        <v>2216.9920940237998</v>
      </c>
      <c r="AF118" s="128">
        <v>5483.4794127398</v>
      </c>
      <c r="AG118" s="128">
        <v>26.063524040000001</v>
      </c>
      <c r="AH118" s="128">
        <v>2256.276065</v>
      </c>
      <c r="AI118" s="128">
        <v>6250.4661400595996</v>
      </c>
      <c r="AJ118" s="778"/>
      <c r="AK118" s="778"/>
      <c r="AL118" s="128"/>
      <c r="AM118" s="128"/>
      <c r="AN118" s="128"/>
      <c r="AO118" s="128"/>
      <c r="AP118" s="128"/>
      <c r="AQ118" s="128"/>
      <c r="AR118" s="128"/>
      <c r="AS118" s="128">
        <v>18.68158828</v>
      </c>
      <c r="AT118" s="778"/>
      <c r="AU118" s="778"/>
      <c r="AV118" s="128"/>
      <c r="AW118" s="128"/>
      <c r="AX118" s="128"/>
      <c r="AY118" s="128"/>
      <c r="AZ118" s="128"/>
      <c r="BA118" s="128"/>
      <c r="BB118" s="128"/>
      <c r="BC118" s="113" t="s">
        <v>1041</v>
      </c>
      <c r="BF118" s="680" t="s">
        <v>1024</v>
      </c>
    </row>
    <row r="119" spans="2:58" s="63" customFormat="1" ht="14.25" customHeight="1" x14ac:dyDescent="0.15">
      <c r="B119" s="328"/>
      <c r="E119" s="449">
        <v>15</v>
      </c>
      <c r="F119" s="3" t="str" cm="1">
        <f t="array" aca="1" ref="F119" ca="1">OFFSET(E119,-1,1)</f>
        <v>1</v>
      </c>
      <c r="G119" s="22" t="s">
        <v>586</v>
      </c>
      <c r="T119" s="353" t="b" cm="1">
        <f t="array" ref="T119">T118</f>
        <v>1</v>
      </c>
      <c r="X119" s="1022"/>
      <c r="Z119" s="1023"/>
      <c r="AB119" s="124">
        <v>8</v>
      </c>
      <c r="AC119" s="125" t="s">
        <v>1025</v>
      </c>
      <c r="AD119" s="8" t="s">
        <v>828</v>
      </c>
      <c r="AE119" s="138">
        <f t="shared" ref="AE119:BB119" si="61">SUM(AE120:AE124)</f>
        <v>0</v>
      </c>
      <c r="AF119" s="138">
        <f t="shared" si="61"/>
        <v>0</v>
      </c>
      <c r="AG119" s="138">
        <f t="shared" si="61"/>
        <v>0</v>
      </c>
      <c r="AH119" s="138">
        <f t="shared" si="61"/>
        <v>0</v>
      </c>
      <c r="AI119" s="138">
        <f t="shared" si="61"/>
        <v>0</v>
      </c>
      <c r="AJ119" s="774">
        <f t="shared" si="61"/>
        <v>0</v>
      </c>
      <c r="AK119" s="774">
        <f t="shared" si="61"/>
        <v>0</v>
      </c>
      <c r="AL119" s="138">
        <f t="shared" si="61"/>
        <v>0</v>
      </c>
      <c r="AM119" s="138">
        <f t="shared" si="61"/>
        <v>0</v>
      </c>
      <c r="AN119" s="138">
        <f t="shared" si="61"/>
        <v>0</v>
      </c>
      <c r="AO119" s="138">
        <f t="shared" si="61"/>
        <v>0</v>
      </c>
      <c r="AP119" s="138">
        <f t="shared" si="61"/>
        <v>0</v>
      </c>
      <c r="AQ119" s="138">
        <f t="shared" si="61"/>
        <v>0</v>
      </c>
      <c r="AR119" s="138">
        <f t="shared" si="61"/>
        <v>0</v>
      </c>
      <c r="AS119" s="138">
        <f t="shared" si="61"/>
        <v>0</v>
      </c>
      <c r="AT119" s="774">
        <f t="shared" si="61"/>
        <v>0</v>
      </c>
      <c r="AU119" s="774">
        <f t="shared" si="61"/>
        <v>0</v>
      </c>
      <c r="AV119" s="138">
        <f t="shared" si="61"/>
        <v>0</v>
      </c>
      <c r="AW119" s="138">
        <f t="shared" si="61"/>
        <v>0</v>
      </c>
      <c r="AX119" s="138">
        <f t="shared" si="61"/>
        <v>0</v>
      </c>
      <c r="AY119" s="138">
        <f t="shared" si="61"/>
        <v>0</v>
      </c>
      <c r="AZ119" s="138">
        <f t="shared" si="61"/>
        <v>0</v>
      </c>
      <c r="BA119" s="138">
        <f t="shared" si="61"/>
        <v>0</v>
      </c>
      <c r="BB119" s="138">
        <f t="shared" si="61"/>
        <v>0</v>
      </c>
      <c r="BC119" s="113"/>
      <c r="BF119" s="680" t="s">
        <v>1026</v>
      </c>
    </row>
    <row r="120" spans="2:58" ht="14.25" customHeight="1" x14ac:dyDescent="0.15">
      <c r="E120" s="449">
        <v>15</v>
      </c>
      <c r="F120" s="3" t="str" cm="1">
        <f t="array" aca="1" ref="F120" ca="1">OFFSET(E120,-1,1)</f>
        <v>1</v>
      </c>
      <c r="G120" s="22" t="s">
        <v>589</v>
      </c>
      <c r="T120" s="353" t="b" cm="1">
        <f t="array" ref="T120">T119</f>
        <v>1</v>
      </c>
      <c r="X120" s="1022"/>
      <c r="Z120" s="1023"/>
      <c r="AB120" s="7" t="s">
        <v>614</v>
      </c>
      <c r="AC120" s="127" t="s">
        <v>940</v>
      </c>
      <c r="AD120" s="8" t="s">
        <v>828</v>
      </c>
      <c r="AE120" s="128"/>
      <c r="AF120" s="128"/>
      <c r="AG120" s="128"/>
      <c r="AH120" s="128"/>
      <c r="AI120" s="128"/>
      <c r="AJ120" s="778"/>
      <c r="AK120" s="778"/>
      <c r="AL120" s="128"/>
      <c r="AM120" s="128"/>
      <c r="AN120" s="128"/>
      <c r="AO120" s="128"/>
      <c r="AP120" s="128"/>
      <c r="AQ120" s="128"/>
      <c r="AR120" s="128"/>
      <c r="AS120" s="128"/>
      <c r="AT120" s="778"/>
      <c r="AU120" s="778"/>
      <c r="AV120" s="128"/>
      <c r="AW120" s="128"/>
      <c r="AX120" s="128"/>
      <c r="AY120" s="128"/>
      <c r="AZ120" s="128"/>
      <c r="BA120" s="128"/>
      <c r="BB120" s="128"/>
      <c r="BC120" s="113"/>
      <c r="BF120" s="680" t="s">
        <v>1027</v>
      </c>
    </row>
    <row r="121" spans="2:58" ht="14.25" customHeight="1" x14ac:dyDescent="0.15">
      <c r="E121" s="449">
        <v>15</v>
      </c>
      <c r="F121" s="3" t="str" cm="1">
        <f t="array" aca="1" ref="F121" ca="1">OFFSET(E121,-1,1)</f>
        <v>1</v>
      </c>
      <c r="G121" s="22" t="s">
        <v>593</v>
      </c>
      <c r="T121" s="353" t="b" cm="1">
        <f t="array" ref="T121">T120</f>
        <v>1</v>
      </c>
      <c r="X121" s="1022"/>
      <c r="Z121" s="1023"/>
      <c r="AB121" s="7" t="s">
        <v>631</v>
      </c>
      <c r="AC121" s="127" t="s">
        <v>943</v>
      </c>
      <c r="AD121" s="8" t="s">
        <v>828</v>
      </c>
      <c r="AE121" s="128"/>
      <c r="AF121" s="128"/>
      <c r="AG121" s="128"/>
      <c r="AH121" s="128"/>
      <c r="AI121" s="128"/>
      <c r="AJ121" s="778"/>
      <c r="AK121" s="778"/>
      <c r="AL121" s="128"/>
      <c r="AM121" s="128"/>
      <c r="AN121" s="128"/>
      <c r="AO121" s="128"/>
      <c r="AP121" s="128"/>
      <c r="AQ121" s="128"/>
      <c r="AR121" s="128"/>
      <c r="AS121" s="128"/>
      <c r="AT121" s="778"/>
      <c r="AU121" s="778"/>
      <c r="AV121" s="128"/>
      <c r="AW121" s="128"/>
      <c r="AX121" s="128"/>
      <c r="AY121" s="128"/>
      <c r="AZ121" s="128"/>
      <c r="BA121" s="128"/>
      <c r="BB121" s="128"/>
      <c r="BC121" s="113"/>
      <c r="BF121" s="680" t="s">
        <v>1028</v>
      </c>
    </row>
    <row r="122" spans="2:58" ht="14.25" customHeight="1" x14ac:dyDescent="0.15">
      <c r="E122" s="449">
        <v>15</v>
      </c>
      <c r="F122" s="3" t="str" cm="1">
        <f t="array" aca="1" ref="F122" ca="1">OFFSET(E122,-1,1)</f>
        <v>1</v>
      </c>
      <c r="G122" s="22" t="s">
        <v>597</v>
      </c>
      <c r="T122" s="353" t="b" cm="1">
        <f t="array" ref="T122">T121</f>
        <v>1</v>
      </c>
      <c r="X122" s="1022"/>
      <c r="Z122" s="1023"/>
      <c r="AB122" s="7" t="s">
        <v>643</v>
      </c>
      <c r="AC122" s="127" t="s">
        <v>946</v>
      </c>
      <c r="AD122" s="8" t="s">
        <v>828</v>
      </c>
      <c r="AE122" s="128"/>
      <c r="AF122" s="128"/>
      <c r="AG122" s="128"/>
      <c r="AH122" s="128"/>
      <c r="AI122" s="128"/>
      <c r="AJ122" s="778"/>
      <c r="AK122" s="778"/>
      <c r="AL122" s="128"/>
      <c r="AM122" s="128"/>
      <c r="AN122" s="128"/>
      <c r="AO122" s="128"/>
      <c r="AP122" s="128"/>
      <c r="AQ122" s="128"/>
      <c r="AR122" s="128"/>
      <c r="AS122" s="128"/>
      <c r="AT122" s="778"/>
      <c r="AU122" s="778"/>
      <c r="AV122" s="128"/>
      <c r="AW122" s="128"/>
      <c r="AX122" s="128"/>
      <c r="AY122" s="128"/>
      <c r="AZ122" s="128"/>
      <c r="BA122" s="128"/>
      <c r="BB122" s="128"/>
      <c r="BC122" s="113"/>
      <c r="BF122" s="680" t="s">
        <v>1029</v>
      </c>
    </row>
    <row r="123" spans="2:58" ht="14.25" customHeight="1" x14ac:dyDescent="0.15">
      <c r="E123" s="449">
        <v>15</v>
      </c>
      <c r="F123" s="3" t="str" cm="1">
        <f t="array" aca="1" ref="F123" ca="1">OFFSET(E123,-1,1)</f>
        <v>1</v>
      </c>
      <c r="G123" s="22" t="s">
        <v>1030</v>
      </c>
      <c r="T123" s="353" t="b" cm="1">
        <f t="array" ref="T123">T122</f>
        <v>1</v>
      </c>
      <c r="X123" s="1022"/>
      <c r="Z123" s="1023"/>
      <c r="AB123" s="7" t="s">
        <v>678</v>
      </c>
      <c r="AC123" s="127" t="s">
        <v>949</v>
      </c>
      <c r="AD123" s="8" t="s">
        <v>828</v>
      </c>
      <c r="AE123" s="128"/>
      <c r="AF123" s="128"/>
      <c r="AG123" s="128"/>
      <c r="AH123" s="128"/>
      <c r="AI123" s="128"/>
      <c r="AJ123" s="778"/>
      <c r="AK123" s="778"/>
      <c r="AL123" s="128"/>
      <c r="AM123" s="128"/>
      <c r="AN123" s="128"/>
      <c r="AO123" s="128"/>
      <c r="AP123" s="128"/>
      <c r="AQ123" s="128"/>
      <c r="AR123" s="128"/>
      <c r="AS123" s="128"/>
      <c r="AT123" s="778"/>
      <c r="AU123" s="778"/>
      <c r="AV123" s="128"/>
      <c r="AW123" s="128"/>
      <c r="AX123" s="128"/>
      <c r="AY123" s="128"/>
      <c r="AZ123" s="128"/>
      <c r="BA123" s="128"/>
      <c r="BB123" s="128"/>
      <c r="BC123" s="113"/>
      <c r="BF123" s="680" t="s">
        <v>1031</v>
      </c>
    </row>
    <row r="124" spans="2:58" ht="14.25" customHeight="1" x14ac:dyDescent="0.15">
      <c r="E124" s="449">
        <v>15</v>
      </c>
      <c r="F124" s="3" t="str" cm="1">
        <f t="array" aca="1" ref="F124" ca="1">OFFSET(E124,-1,1)</f>
        <v>1</v>
      </c>
      <c r="G124" s="22" t="s">
        <v>1032</v>
      </c>
      <c r="T124" s="353" t="b" cm="1">
        <f t="array" ref="T124">T123</f>
        <v>1</v>
      </c>
      <c r="X124" s="1022"/>
      <c r="Z124" s="1023"/>
      <c r="AB124" s="7" t="s">
        <v>681</v>
      </c>
      <c r="AC124" s="127" t="s">
        <v>953</v>
      </c>
      <c r="AD124" s="8" t="s">
        <v>828</v>
      </c>
      <c r="AE124" s="128"/>
      <c r="AF124" s="128"/>
      <c r="AG124" s="128"/>
      <c r="AH124" s="128"/>
      <c r="AI124" s="128"/>
      <c r="AJ124" s="778"/>
      <c r="AK124" s="778"/>
      <c r="AL124" s="128"/>
      <c r="AM124" s="128"/>
      <c r="AN124" s="128"/>
      <c r="AO124" s="128"/>
      <c r="AP124" s="128"/>
      <c r="AQ124" s="128"/>
      <c r="AR124" s="128"/>
      <c r="AS124" s="128"/>
      <c r="AT124" s="778"/>
      <c r="AU124" s="778"/>
      <c r="AV124" s="128"/>
      <c r="AW124" s="128"/>
      <c r="AX124" s="128"/>
      <c r="AY124" s="128"/>
      <c r="AZ124" s="128"/>
      <c r="BA124" s="128"/>
      <c r="BB124" s="128"/>
      <c r="BC124" s="113"/>
      <c r="BF124" s="680" t="s">
        <v>1033</v>
      </c>
    </row>
    <row r="125" spans="2:58" ht="30.4" customHeight="1" x14ac:dyDescent="0.15">
      <c r="E125" s="449">
        <v>15</v>
      </c>
      <c r="F125" s="519" t="str" cm="1">
        <f t="array" ref="F125">X125</f>
        <v>2</v>
      </c>
      <c r="T125" s="353" t="b">
        <f>X125&gt;0</f>
        <v>1</v>
      </c>
      <c r="V125" s="22" t="str" cm="1">
        <f t="array" ref="V125">ЭЭ!$AB$70</f>
        <v>Тариф 2 (Водоотведение) - тариф на водоотведение</v>
      </c>
      <c r="X125" s="1022" t="s">
        <v>285</v>
      </c>
      <c r="Z125" s="1023"/>
      <c r="AB125" s="97" t="str" cm="1">
        <f t="array" ref="AB125">ЭЭ!$AB$70</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51.6" customHeight="1" x14ac:dyDescent="0.15">
      <c r="B126" s="328"/>
      <c r="E126" s="488">
        <v>22.5</v>
      </c>
      <c r="F126" s="3" t="str" cm="1">
        <f t="array" aca="1" ref="F126" ca="1">OFFSET(E126,-1,1)</f>
        <v>2</v>
      </c>
      <c r="G126" s="22" t="s">
        <v>331</v>
      </c>
      <c r="T126" s="353" t="b" cm="1">
        <f t="array" ref="T126">T125</f>
        <v>1</v>
      </c>
      <c r="X126" s="1022"/>
      <c r="Z126" s="1023"/>
      <c r="AB126" s="124">
        <v>1</v>
      </c>
      <c r="AC126" s="125" t="s">
        <v>937</v>
      </c>
      <c r="AD126" s="8" t="s">
        <v>828</v>
      </c>
      <c r="AE126" s="138">
        <v>28101.496106459901</v>
      </c>
      <c r="AF126" s="138">
        <v>242901.34662999999</v>
      </c>
      <c r="AG126" s="138">
        <v>131306.93887000001</v>
      </c>
      <c r="AH126" s="138">
        <v>14549.179839010099</v>
      </c>
      <c r="AI126" s="138">
        <v>486060.77580000099</v>
      </c>
      <c r="AJ126" s="774">
        <f t="shared" ref="AJ126:AR126" si="62">SUM(AJ127:AJ131)</f>
        <v>0</v>
      </c>
      <c r="AK126" s="774">
        <f t="shared" si="62"/>
        <v>0</v>
      </c>
      <c r="AL126" s="138">
        <f t="shared" si="62"/>
        <v>0</v>
      </c>
      <c r="AM126" s="138">
        <f t="shared" si="62"/>
        <v>0</v>
      </c>
      <c r="AN126" s="138">
        <f t="shared" si="62"/>
        <v>0</v>
      </c>
      <c r="AO126" s="138">
        <f t="shared" si="62"/>
        <v>0</v>
      </c>
      <c r="AP126" s="138">
        <f t="shared" si="62"/>
        <v>0</v>
      </c>
      <c r="AQ126" s="138">
        <f t="shared" si="62"/>
        <v>0</v>
      </c>
      <c r="AR126" s="138">
        <f t="shared" si="62"/>
        <v>0</v>
      </c>
      <c r="AS126" s="138">
        <v>128489.08087000001</v>
      </c>
      <c r="AT126" s="774">
        <f t="shared" ref="AT126:BB126" si="63">SUM(AT127:AT131)</f>
        <v>0</v>
      </c>
      <c r="AU126" s="774">
        <f t="shared" si="63"/>
        <v>0</v>
      </c>
      <c r="AV126" s="138">
        <f t="shared" si="63"/>
        <v>0</v>
      </c>
      <c r="AW126" s="138">
        <f t="shared" si="63"/>
        <v>0</v>
      </c>
      <c r="AX126" s="138">
        <f t="shared" si="63"/>
        <v>0</v>
      </c>
      <c r="AY126" s="138">
        <f t="shared" si="63"/>
        <v>0</v>
      </c>
      <c r="AZ126" s="138">
        <f t="shared" si="63"/>
        <v>0</v>
      </c>
      <c r="BA126" s="138">
        <f t="shared" si="63"/>
        <v>0</v>
      </c>
      <c r="BB126" s="138">
        <f t="shared" si="63"/>
        <v>0</v>
      </c>
      <c r="BC126" s="113" t="s">
        <v>1034</v>
      </c>
      <c r="BF126" s="680" t="s">
        <v>938</v>
      </c>
    </row>
    <row r="127" spans="2:58" ht="40.35" customHeight="1" x14ac:dyDescent="0.15">
      <c r="E127" s="449">
        <v>15</v>
      </c>
      <c r="F127" s="3" t="str" cm="1">
        <f t="array" aca="1" ref="F127" ca="1">OFFSET(E127,-1,1)</f>
        <v>2</v>
      </c>
      <c r="G127" s="22" t="s">
        <v>482</v>
      </c>
      <c r="T127" s="353" t="b" cm="1">
        <f t="array" ref="T127">T126</f>
        <v>1</v>
      </c>
      <c r="X127" s="1022"/>
      <c r="Z127" s="1023"/>
      <c r="AB127" s="7" t="s">
        <v>939</v>
      </c>
      <c r="AC127" s="127" t="s">
        <v>940</v>
      </c>
      <c r="AD127" s="8" t="s">
        <v>828</v>
      </c>
      <c r="AE127" s="128"/>
      <c r="AF127" s="128">
        <v>29821.978999999999</v>
      </c>
      <c r="AG127" s="128">
        <v>28049.294999999998</v>
      </c>
      <c r="AH127" s="128">
        <v>3113.4717194700002</v>
      </c>
      <c r="AI127" s="128"/>
      <c r="AJ127" s="778"/>
      <c r="AK127" s="778"/>
      <c r="AL127" s="128"/>
      <c r="AM127" s="128"/>
      <c r="AN127" s="128"/>
      <c r="AO127" s="128"/>
      <c r="AP127" s="128"/>
      <c r="AQ127" s="128"/>
      <c r="AR127" s="128"/>
      <c r="AS127" s="128">
        <v>28049.294999999998</v>
      </c>
      <c r="AT127" s="778"/>
      <c r="AU127" s="778"/>
      <c r="AV127" s="128"/>
      <c r="AW127" s="128"/>
      <c r="AX127" s="128"/>
      <c r="AY127" s="128"/>
      <c r="AZ127" s="128"/>
      <c r="BA127" s="128"/>
      <c r="BB127" s="128"/>
      <c r="BC127" s="113" t="s">
        <v>1038</v>
      </c>
      <c r="BF127" s="680" t="s">
        <v>941</v>
      </c>
    </row>
    <row r="128" spans="2:58" ht="37.9" customHeight="1" x14ac:dyDescent="0.15">
      <c r="E128" s="449">
        <v>15</v>
      </c>
      <c r="F128" s="3" t="str" cm="1">
        <f t="array" aca="1" ref="F128" ca="1">OFFSET(E128,-1,1)</f>
        <v>2</v>
      </c>
      <c r="G128" s="22" t="s">
        <v>486</v>
      </c>
      <c r="T128" s="353" t="b" cm="1">
        <f t="array" ref="T128">T127</f>
        <v>1</v>
      </c>
      <c r="X128" s="1022"/>
      <c r="Z128" s="1023"/>
      <c r="AB128" s="7" t="s">
        <v>942</v>
      </c>
      <c r="AC128" s="127" t="s">
        <v>943</v>
      </c>
      <c r="AD128" s="8" t="s">
        <v>828</v>
      </c>
      <c r="AE128" s="128"/>
      <c r="AF128" s="128">
        <v>175204.027</v>
      </c>
      <c r="AG128" s="128">
        <v>83028.498000000007</v>
      </c>
      <c r="AH128" s="128">
        <v>9216.1635699300004</v>
      </c>
      <c r="AI128" s="128"/>
      <c r="AJ128" s="778"/>
      <c r="AK128" s="778"/>
      <c r="AL128" s="128"/>
      <c r="AM128" s="128"/>
      <c r="AN128" s="128"/>
      <c r="AO128" s="128"/>
      <c r="AP128" s="128"/>
      <c r="AQ128" s="128"/>
      <c r="AR128" s="128"/>
      <c r="AS128" s="128">
        <v>79947.472999999998</v>
      </c>
      <c r="AT128" s="778"/>
      <c r="AU128" s="778"/>
      <c r="AV128" s="128"/>
      <c r="AW128" s="128"/>
      <c r="AX128" s="128"/>
      <c r="AY128" s="128"/>
      <c r="AZ128" s="128"/>
      <c r="BA128" s="128"/>
      <c r="BB128" s="128"/>
      <c r="BC128" s="113" t="s">
        <v>1042</v>
      </c>
      <c r="BF128" s="680" t="s">
        <v>944</v>
      </c>
    </row>
    <row r="129" spans="2:58" ht="42.2" customHeight="1" x14ac:dyDescent="0.15">
      <c r="E129" s="449">
        <v>15</v>
      </c>
      <c r="F129" s="3" t="str" cm="1">
        <f t="array" aca="1" ref="F129" ca="1">OFFSET(E129,-1,1)</f>
        <v>2</v>
      </c>
      <c r="G129" s="22" t="s">
        <v>489</v>
      </c>
      <c r="T129" s="353" t="b" cm="1">
        <f t="array" ref="T129">T128</f>
        <v>1</v>
      </c>
      <c r="X129" s="1022"/>
      <c r="Z129" s="1023"/>
      <c r="AB129" s="7" t="s">
        <v>945</v>
      </c>
      <c r="AC129" s="127" t="s">
        <v>946</v>
      </c>
      <c r="AD129" s="8" t="s">
        <v>828</v>
      </c>
      <c r="AE129" s="128"/>
      <c r="AF129" s="128">
        <v>13148.39688</v>
      </c>
      <c r="AG129" s="128">
        <v>11853.89688</v>
      </c>
      <c r="AH129" s="128">
        <v>2219.5445496101001</v>
      </c>
      <c r="AI129" s="128"/>
      <c r="AJ129" s="778"/>
      <c r="AK129" s="778"/>
      <c r="AL129" s="128"/>
      <c r="AM129" s="128"/>
      <c r="AN129" s="128"/>
      <c r="AO129" s="128"/>
      <c r="AP129" s="128"/>
      <c r="AQ129" s="128"/>
      <c r="AR129" s="128"/>
      <c r="AS129" s="128">
        <v>12117.06388</v>
      </c>
      <c r="AT129" s="778"/>
      <c r="AU129" s="778"/>
      <c r="AV129" s="128"/>
      <c r="AW129" s="128"/>
      <c r="AX129" s="128"/>
      <c r="AY129" s="128"/>
      <c r="AZ129" s="128"/>
      <c r="BA129" s="128"/>
      <c r="BB129" s="128"/>
      <c r="BC129" s="113" t="s">
        <v>1042</v>
      </c>
      <c r="BF129" s="680" t="s">
        <v>947</v>
      </c>
    </row>
    <row r="130" spans="2:58" ht="32.25" customHeight="1" x14ac:dyDescent="0.15">
      <c r="E130" s="449">
        <v>15</v>
      </c>
      <c r="F130" s="3" t="str" cm="1">
        <f t="array" aca="1" ref="F130" ca="1">OFFSET(E130,-1,1)</f>
        <v>2</v>
      </c>
      <c r="G130" s="22" t="s">
        <v>493</v>
      </c>
      <c r="T130" s="353" t="b" cm="1">
        <f t="array" ref="T130">T129</f>
        <v>1</v>
      </c>
      <c r="X130" s="1022"/>
      <c r="Z130" s="1023"/>
      <c r="AB130" s="7" t="s">
        <v>948</v>
      </c>
      <c r="AC130" s="127" t="s">
        <v>949</v>
      </c>
      <c r="AD130" s="8" t="s">
        <v>828</v>
      </c>
      <c r="AE130" s="128"/>
      <c r="AF130" s="128">
        <v>24170.701000000001</v>
      </c>
      <c r="AG130" s="128">
        <v>8375.24899</v>
      </c>
      <c r="AH130" s="128">
        <v>0</v>
      </c>
      <c r="AI130" s="128"/>
      <c r="AJ130" s="778"/>
      <c r="AK130" s="778"/>
      <c r="AL130" s="128"/>
      <c r="AM130" s="128"/>
      <c r="AN130" s="128"/>
      <c r="AO130" s="128"/>
      <c r="AP130" s="128"/>
      <c r="AQ130" s="128"/>
      <c r="AR130" s="128"/>
      <c r="AS130" s="128">
        <v>8375.24899</v>
      </c>
      <c r="AT130" s="778"/>
      <c r="AU130" s="778"/>
      <c r="AV130" s="128"/>
      <c r="AW130" s="128"/>
      <c r="AX130" s="128"/>
      <c r="AY130" s="128"/>
      <c r="AZ130" s="128"/>
      <c r="BA130" s="128"/>
      <c r="BB130" s="128"/>
      <c r="BC130" s="113" t="s">
        <v>1043</v>
      </c>
      <c r="BF130" s="680" t="s">
        <v>950</v>
      </c>
    </row>
    <row r="131" spans="2:58" ht="14.65" customHeight="1" x14ac:dyDescent="0.15">
      <c r="E131" s="449">
        <v>15</v>
      </c>
      <c r="F131" s="3" t="str" cm="1">
        <f t="array" aca="1" ref="F131" ca="1">OFFSET(E131,-1,1)</f>
        <v>2</v>
      </c>
      <c r="G131" s="22" t="s">
        <v>951</v>
      </c>
      <c r="T131" s="353" t="b" cm="1">
        <f t="array" ref="T131">T130</f>
        <v>1</v>
      </c>
      <c r="X131" s="1022"/>
      <c r="Z131" s="1023"/>
      <c r="AB131" s="7" t="s">
        <v>952</v>
      </c>
      <c r="AC131" s="127" t="s">
        <v>953</v>
      </c>
      <c r="AD131" s="8" t="s">
        <v>828</v>
      </c>
      <c r="AE131" s="128">
        <v>28101.496106459901</v>
      </c>
      <c r="AF131" s="128">
        <v>556.24275</v>
      </c>
      <c r="AG131" s="128">
        <v>0</v>
      </c>
      <c r="AH131" s="128">
        <v>0</v>
      </c>
      <c r="AI131" s="128">
        <v>486060.77580000099</v>
      </c>
      <c r="AJ131" s="778"/>
      <c r="AK131" s="778"/>
      <c r="AL131" s="128"/>
      <c r="AM131" s="128"/>
      <c r="AN131" s="128"/>
      <c r="AO131" s="128"/>
      <c r="AP131" s="128"/>
      <c r="AQ131" s="128"/>
      <c r="AR131" s="128"/>
      <c r="AS131" s="128">
        <v>0</v>
      </c>
      <c r="AT131" s="778"/>
      <c r="AU131" s="778"/>
      <c r="AV131" s="128"/>
      <c r="AW131" s="128"/>
      <c r="AX131" s="128"/>
      <c r="AY131" s="128"/>
      <c r="AZ131" s="128"/>
      <c r="BA131" s="128"/>
      <c r="BB131" s="128"/>
      <c r="BC131" s="113"/>
      <c r="BF131" s="680" t="s">
        <v>954</v>
      </c>
    </row>
    <row r="132" spans="2:58" s="63" customFormat="1" ht="33.75" customHeight="1" x14ac:dyDescent="0.15">
      <c r="B132" s="328"/>
      <c r="E132" s="449">
        <v>15</v>
      </c>
      <c r="F132" s="3" t="str" cm="1">
        <f t="array" aca="1" ref="F132" ca="1">OFFSET(E132,-1,1)</f>
        <v>2</v>
      </c>
      <c r="G132" s="22" t="s">
        <v>332</v>
      </c>
      <c r="T132" s="353" t="b" cm="1">
        <f t="array" ref="T132">T131</f>
        <v>1</v>
      </c>
      <c r="X132" s="1022"/>
      <c r="Z132" s="1023"/>
      <c r="AB132" s="124">
        <v>2</v>
      </c>
      <c r="AC132" s="125" t="s">
        <v>955</v>
      </c>
      <c r="AD132" s="8" t="s">
        <v>828</v>
      </c>
      <c r="AE132" s="138">
        <f>SUM(AE133:AE137)</f>
        <v>0</v>
      </c>
      <c r="AF132" s="138">
        <v>242162.87100000001</v>
      </c>
      <c r="AG132" s="138">
        <v>3344.1909999999998</v>
      </c>
      <c r="AH132" s="138">
        <f t="shared" ref="AH132:BB132" si="64">SUM(AH133:AH137)</f>
        <v>0</v>
      </c>
      <c r="AI132" s="138">
        <f t="shared" si="64"/>
        <v>0</v>
      </c>
      <c r="AJ132" s="774">
        <f t="shared" si="64"/>
        <v>0</v>
      </c>
      <c r="AK132" s="774">
        <f t="shared" si="64"/>
        <v>0</v>
      </c>
      <c r="AL132" s="138">
        <f t="shared" si="64"/>
        <v>0</v>
      </c>
      <c r="AM132" s="138">
        <f t="shared" si="64"/>
        <v>0</v>
      </c>
      <c r="AN132" s="138">
        <f t="shared" si="64"/>
        <v>0</v>
      </c>
      <c r="AO132" s="138">
        <f t="shared" si="64"/>
        <v>0</v>
      </c>
      <c r="AP132" s="138">
        <f t="shared" si="64"/>
        <v>0</v>
      </c>
      <c r="AQ132" s="138">
        <f t="shared" si="64"/>
        <v>0</v>
      </c>
      <c r="AR132" s="138">
        <f t="shared" si="64"/>
        <v>0</v>
      </c>
      <c r="AS132" s="138">
        <f t="shared" si="64"/>
        <v>0</v>
      </c>
      <c r="AT132" s="774">
        <f t="shared" si="64"/>
        <v>0</v>
      </c>
      <c r="AU132" s="774">
        <f t="shared" si="64"/>
        <v>0</v>
      </c>
      <c r="AV132" s="138">
        <f t="shared" si="64"/>
        <v>0</v>
      </c>
      <c r="AW132" s="138">
        <f t="shared" si="64"/>
        <v>0</v>
      </c>
      <c r="AX132" s="138">
        <f t="shared" si="64"/>
        <v>0</v>
      </c>
      <c r="AY132" s="138">
        <f t="shared" si="64"/>
        <v>0</v>
      </c>
      <c r="AZ132" s="138">
        <f t="shared" si="64"/>
        <v>0</v>
      </c>
      <c r="BA132" s="138">
        <f t="shared" si="64"/>
        <v>0</v>
      </c>
      <c r="BB132" s="138">
        <f t="shared" si="64"/>
        <v>0</v>
      </c>
      <c r="BC132" s="113" t="s">
        <v>1044</v>
      </c>
      <c r="BF132" s="680" t="s">
        <v>956</v>
      </c>
    </row>
    <row r="133" spans="2:58" ht="14.65" customHeight="1" x14ac:dyDescent="0.15">
      <c r="E133" s="449">
        <v>15</v>
      </c>
      <c r="F133" s="3" t="str" cm="1">
        <f t="array" aca="1" ref="F133" ca="1">OFFSET(E133,-1,1)</f>
        <v>2</v>
      </c>
      <c r="G133" s="22" t="s">
        <v>500</v>
      </c>
      <c r="T133" s="353" t="b" cm="1">
        <f t="array" ref="T133">T132</f>
        <v>1</v>
      </c>
      <c r="X133" s="1022"/>
      <c r="Z133" s="1023"/>
      <c r="AB133" s="7" t="s">
        <v>561</v>
      </c>
      <c r="AC133" s="127" t="s">
        <v>940</v>
      </c>
      <c r="AD133" s="8" t="s">
        <v>828</v>
      </c>
      <c r="AE133" s="128">
        <v>0</v>
      </c>
      <c r="AF133" s="128"/>
      <c r="AG133" s="128"/>
      <c r="AH133" s="128">
        <v>0</v>
      </c>
      <c r="AI133" s="128"/>
      <c r="AJ133" s="778"/>
      <c r="AK133" s="778"/>
      <c r="AL133" s="128"/>
      <c r="AM133" s="128"/>
      <c r="AN133" s="128"/>
      <c r="AO133" s="128"/>
      <c r="AP133" s="128"/>
      <c r="AQ133" s="128"/>
      <c r="AR133" s="128"/>
      <c r="AS133" s="128"/>
      <c r="AT133" s="778"/>
      <c r="AU133" s="778"/>
      <c r="AV133" s="128"/>
      <c r="AW133" s="128"/>
      <c r="AX133" s="128"/>
      <c r="AY133" s="128"/>
      <c r="AZ133" s="128"/>
      <c r="BA133" s="128"/>
      <c r="BB133" s="128"/>
      <c r="BC133" s="113"/>
      <c r="BF133" s="680" t="s">
        <v>957</v>
      </c>
    </row>
    <row r="134" spans="2:58" ht="41.65" customHeight="1" x14ac:dyDescent="0.15">
      <c r="E134" s="449">
        <v>15</v>
      </c>
      <c r="F134" s="3" t="str" cm="1">
        <f t="array" aca="1" ref="F134" ca="1">OFFSET(E134,-1,1)</f>
        <v>2</v>
      </c>
      <c r="G134" s="22" t="s">
        <v>503</v>
      </c>
      <c r="T134" s="353" t="b" cm="1">
        <f t="array" ref="T134">T133</f>
        <v>1</v>
      </c>
      <c r="X134" s="1022"/>
      <c r="Z134" s="1023"/>
      <c r="AB134" s="7" t="s">
        <v>565</v>
      </c>
      <c r="AC134" s="127" t="s">
        <v>943</v>
      </c>
      <c r="AD134" s="8" t="s">
        <v>828</v>
      </c>
      <c r="AE134" s="128">
        <v>0</v>
      </c>
      <c r="AF134" s="128">
        <v>215112.85200000001</v>
      </c>
      <c r="AG134" s="128">
        <v>3081.0239999999999</v>
      </c>
      <c r="AH134" s="128">
        <v>0</v>
      </c>
      <c r="AI134" s="128"/>
      <c r="AJ134" s="778"/>
      <c r="AK134" s="778"/>
      <c r="AL134" s="128"/>
      <c r="AM134" s="128"/>
      <c r="AN134" s="128"/>
      <c r="AO134" s="128"/>
      <c r="AP134" s="128"/>
      <c r="AQ134" s="128"/>
      <c r="AR134" s="128"/>
      <c r="AS134" s="128"/>
      <c r="AT134" s="778"/>
      <c r="AU134" s="778"/>
      <c r="AV134" s="128"/>
      <c r="AW134" s="128"/>
      <c r="AX134" s="128"/>
      <c r="AY134" s="128"/>
      <c r="AZ134" s="128"/>
      <c r="BA134" s="128"/>
      <c r="BB134" s="128"/>
      <c r="BC134" s="113" t="s">
        <v>1045</v>
      </c>
      <c r="BF134" s="680" t="s">
        <v>958</v>
      </c>
    </row>
    <row r="135" spans="2:58" ht="52.35" customHeight="1" x14ac:dyDescent="0.15">
      <c r="E135" s="449">
        <v>15</v>
      </c>
      <c r="F135" s="3" t="str" cm="1">
        <f t="array" aca="1" ref="F135" ca="1">OFFSET(E135,-1,1)</f>
        <v>2</v>
      </c>
      <c r="G135" s="22" t="s">
        <v>959</v>
      </c>
      <c r="T135" s="353" t="b" cm="1">
        <f t="array" ref="T135">T134</f>
        <v>1</v>
      </c>
      <c r="X135" s="1022"/>
      <c r="Z135" s="1023"/>
      <c r="AB135" s="7" t="s">
        <v>569</v>
      </c>
      <c r="AC135" s="127" t="s">
        <v>946</v>
      </c>
      <c r="AD135" s="8" t="s">
        <v>828</v>
      </c>
      <c r="AE135" s="128">
        <v>0</v>
      </c>
      <c r="AF135" s="128">
        <v>27050.019</v>
      </c>
      <c r="AG135" s="128">
        <v>263.16699999999997</v>
      </c>
      <c r="AH135" s="128">
        <v>0</v>
      </c>
      <c r="AI135" s="128"/>
      <c r="AJ135" s="778"/>
      <c r="AK135" s="778"/>
      <c r="AL135" s="128"/>
      <c r="AM135" s="128"/>
      <c r="AN135" s="128"/>
      <c r="AO135" s="128"/>
      <c r="AP135" s="128"/>
      <c r="AQ135" s="128"/>
      <c r="AR135" s="128"/>
      <c r="AS135" s="128"/>
      <c r="AT135" s="778"/>
      <c r="AU135" s="778"/>
      <c r="AV135" s="128"/>
      <c r="AW135" s="128"/>
      <c r="AX135" s="128"/>
      <c r="AY135" s="128"/>
      <c r="AZ135" s="128"/>
      <c r="BA135" s="128"/>
      <c r="BB135" s="128"/>
      <c r="BC135" s="113" t="s">
        <v>1046</v>
      </c>
      <c r="BF135" s="680" t="s">
        <v>960</v>
      </c>
    </row>
    <row r="136" spans="2:58" ht="14.65" customHeight="1" x14ac:dyDescent="0.15">
      <c r="E136" s="449">
        <v>15</v>
      </c>
      <c r="F136" s="3" t="str" cm="1">
        <f t="array" aca="1" ref="F136" ca="1">OFFSET(E136,-1,1)</f>
        <v>2</v>
      </c>
      <c r="G136" s="22" t="s">
        <v>961</v>
      </c>
      <c r="T136" s="353" t="b" cm="1">
        <f t="array" ref="T136">T135</f>
        <v>1</v>
      </c>
      <c r="X136" s="1022"/>
      <c r="Z136" s="1023"/>
      <c r="AB136" s="7" t="s">
        <v>962</v>
      </c>
      <c r="AC136" s="127" t="s">
        <v>949</v>
      </c>
      <c r="AD136" s="8" t="s">
        <v>828</v>
      </c>
      <c r="AE136" s="128">
        <v>0</v>
      </c>
      <c r="AF136" s="128"/>
      <c r="AG136" s="128"/>
      <c r="AH136" s="128">
        <v>0</v>
      </c>
      <c r="AI136" s="128"/>
      <c r="AJ136" s="778"/>
      <c r="AK136" s="778"/>
      <c r="AL136" s="128"/>
      <c r="AM136" s="128"/>
      <c r="AN136" s="128"/>
      <c r="AO136" s="128"/>
      <c r="AP136" s="128"/>
      <c r="AQ136" s="128"/>
      <c r="AR136" s="128"/>
      <c r="AS136" s="128"/>
      <c r="AT136" s="778"/>
      <c r="AU136" s="778"/>
      <c r="AV136" s="128"/>
      <c r="AW136" s="128"/>
      <c r="AX136" s="128"/>
      <c r="AY136" s="128"/>
      <c r="AZ136" s="128"/>
      <c r="BA136" s="128"/>
      <c r="BB136" s="128"/>
      <c r="BC136" s="113"/>
      <c r="BF136" s="680" t="s">
        <v>963</v>
      </c>
    </row>
    <row r="137" spans="2:58" ht="14.65" customHeight="1" x14ac:dyDescent="0.15">
      <c r="E137" s="449">
        <v>15</v>
      </c>
      <c r="F137" s="3" t="str" cm="1">
        <f t="array" aca="1" ref="F137" ca="1">OFFSET(E137,-1,1)</f>
        <v>2</v>
      </c>
      <c r="G137" s="22" t="s">
        <v>964</v>
      </c>
      <c r="T137" s="353" t="b" cm="1">
        <f t="array" ref="T137">T136</f>
        <v>1</v>
      </c>
      <c r="X137" s="1022"/>
      <c r="Z137" s="1023"/>
      <c r="AB137" s="7" t="s">
        <v>965</v>
      </c>
      <c r="AC137" s="127" t="s">
        <v>953</v>
      </c>
      <c r="AD137" s="8" t="s">
        <v>828</v>
      </c>
      <c r="AE137" s="128">
        <v>0</v>
      </c>
      <c r="AF137" s="128"/>
      <c r="AG137" s="128"/>
      <c r="AH137" s="128">
        <v>0</v>
      </c>
      <c r="AI137" s="128"/>
      <c r="AJ137" s="778"/>
      <c r="AK137" s="778"/>
      <c r="AL137" s="128"/>
      <c r="AM137" s="128"/>
      <c r="AN137" s="128"/>
      <c r="AO137" s="128"/>
      <c r="AP137" s="128"/>
      <c r="AQ137" s="128"/>
      <c r="AR137" s="128"/>
      <c r="AS137" s="128"/>
      <c r="AT137" s="778"/>
      <c r="AU137" s="778"/>
      <c r="AV137" s="128"/>
      <c r="AW137" s="128"/>
      <c r="AX137" s="128"/>
      <c r="AY137" s="128"/>
      <c r="AZ137" s="128"/>
      <c r="BA137" s="128"/>
      <c r="BB137" s="128"/>
      <c r="BC137" s="113"/>
      <c r="BF137" s="680" t="s">
        <v>966</v>
      </c>
    </row>
    <row r="138" spans="2:58" s="63" customFormat="1" ht="14.65" customHeight="1" x14ac:dyDescent="0.15">
      <c r="B138" s="328"/>
      <c r="E138" s="449">
        <v>15</v>
      </c>
      <c r="F138" s="3" t="str" cm="1">
        <f t="array" aca="1" ref="F138" ca="1">OFFSET(E138,-1,1)</f>
        <v>2</v>
      </c>
      <c r="G138" s="22" t="s">
        <v>333</v>
      </c>
      <c r="T138" s="353" t="b" cm="1">
        <f t="array" ref="T138">T137</f>
        <v>1</v>
      </c>
      <c r="X138" s="1022"/>
      <c r="Z138" s="1023"/>
      <c r="AB138" s="124">
        <v>3</v>
      </c>
      <c r="AC138" s="125" t="s">
        <v>967</v>
      </c>
      <c r="AD138" s="8" t="s">
        <v>828</v>
      </c>
      <c r="AE138" s="138">
        <f>SUM(AE139:AE143)</f>
        <v>0</v>
      </c>
      <c r="AF138" s="138">
        <v>6162.049</v>
      </c>
      <c r="AG138" s="138">
        <v>6162.049</v>
      </c>
      <c r="AH138" s="138">
        <f t="shared" ref="AH138:BB138" si="65">SUM(AH139:AH143)</f>
        <v>0</v>
      </c>
      <c r="AI138" s="138">
        <f t="shared" si="65"/>
        <v>0</v>
      </c>
      <c r="AJ138" s="774">
        <f t="shared" si="65"/>
        <v>0</v>
      </c>
      <c r="AK138" s="774">
        <f t="shared" si="65"/>
        <v>0</v>
      </c>
      <c r="AL138" s="138">
        <f t="shared" si="65"/>
        <v>0</v>
      </c>
      <c r="AM138" s="138">
        <f t="shared" si="65"/>
        <v>0</v>
      </c>
      <c r="AN138" s="138">
        <f t="shared" si="65"/>
        <v>0</v>
      </c>
      <c r="AO138" s="138">
        <f t="shared" si="65"/>
        <v>0</v>
      </c>
      <c r="AP138" s="138">
        <f t="shared" si="65"/>
        <v>0</v>
      </c>
      <c r="AQ138" s="138">
        <f t="shared" si="65"/>
        <v>0</v>
      </c>
      <c r="AR138" s="138">
        <f t="shared" si="65"/>
        <v>0</v>
      </c>
      <c r="AS138" s="138">
        <f t="shared" si="65"/>
        <v>0</v>
      </c>
      <c r="AT138" s="774">
        <f t="shared" si="65"/>
        <v>0</v>
      </c>
      <c r="AU138" s="774">
        <f t="shared" si="65"/>
        <v>0</v>
      </c>
      <c r="AV138" s="138">
        <f t="shared" si="65"/>
        <v>0</v>
      </c>
      <c r="AW138" s="138">
        <f t="shared" si="65"/>
        <v>0</v>
      </c>
      <c r="AX138" s="138">
        <f t="shared" si="65"/>
        <v>0</v>
      </c>
      <c r="AY138" s="138">
        <f t="shared" si="65"/>
        <v>0</v>
      </c>
      <c r="AZ138" s="138">
        <f t="shared" si="65"/>
        <v>0</v>
      </c>
      <c r="BA138" s="138">
        <f t="shared" si="65"/>
        <v>0</v>
      </c>
      <c r="BB138" s="138">
        <f t="shared" si="65"/>
        <v>0</v>
      </c>
      <c r="BC138" s="113"/>
      <c r="BF138" s="680" t="s">
        <v>968</v>
      </c>
    </row>
    <row r="139" spans="2:58" ht="14.65" customHeight="1" x14ac:dyDescent="0.15">
      <c r="E139" s="449">
        <v>15</v>
      </c>
      <c r="F139" s="3" t="str" cm="1">
        <f t="array" aca="1" ref="F139" ca="1">OFFSET(E139,-1,1)</f>
        <v>2</v>
      </c>
      <c r="G139" s="22" t="s">
        <v>969</v>
      </c>
      <c r="T139" s="353" t="b" cm="1">
        <f t="array" ref="T139">T138</f>
        <v>1</v>
      </c>
      <c r="X139" s="1022"/>
      <c r="Z139" s="1023"/>
      <c r="AB139" s="7" t="s">
        <v>575</v>
      </c>
      <c r="AC139" s="127" t="s">
        <v>940</v>
      </c>
      <c r="AD139" s="8" t="s">
        <v>828</v>
      </c>
      <c r="AE139" s="128">
        <v>0</v>
      </c>
      <c r="AF139" s="128"/>
      <c r="AG139" s="128"/>
      <c r="AH139" s="128">
        <v>0</v>
      </c>
      <c r="AI139" s="128"/>
      <c r="AJ139" s="778"/>
      <c r="AK139" s="778"/>
      <c r="AL139" s="128"/>
      <c r="AM139" s="128"/>
      <c r="AN139" s="128"/>
      <c r="AO139" s="128"/>
      <c r="AP139" s="128"/>
      <c r="AQ139" s="128"/>
      <c r="AR139" s="128"/>
      <c r="AS139" s="128"/>
      <c r="AT139" s="778"/>
      <c r="AU139" s="778"/>
      <c r="AV139" s="128"/>
      <c r="AW139" s="128"/>
      <c r="AX139" s="128"/>
      <c r="AY139" s="128"/>
      <c r="AZ139" s="128"/>
      <c r="BA139" s="128"/>
      <c r="BB139" s="128"/>
      <c r="BC139" s="113"/>
      <c r="BF139" s="680" t="s">
        <v>970</v>
      </c>
    </row>
    <row r="140" spans="2:58" ht="14.65" customHeight="1" x14ac:dyDescent="0.15">
      <c r="E140" s="449">
        <v>15</v>
      </c>
      <c r="F140" s="3" t="str" cm="1">
        <f t="array" aca="1" ref="F140" ca="1">OFFSET(E140,-1,1)</f>
        <v>2</v>
      </c>
      <c r="G140" s="22" t="s">
        <v>971</v>
      </c>
      <c r="T140" s="353" t="b" cm="1">
        <f t="array" ref="T140">T139</f>
        <v>1</v>
      </c>
      <c r="X140" s="1022"/>
      <c r="Z140" s="1023"/>
      <c r="AB140" s="7" t="s">
        <v>579</v>
      </c>
      <c r="AC140" s="127" t="s">
        <v>943</v>
      </c>
      <c r="AD140" s="8" t="s">
        <v>828</v>
      </c>
      <c r="AE140" s="128">
        <v>0</v>
      </c>
      <c r="AF140" s="128">
        <v>6162.049</v>
      </c>
      <c r="AG140" s="128">
        <v>6162.049</v>
      </c>
      <c r="AH140" s="128">
        <v>0</v>
      </c>
      <c r="AI140" s="128"/>
      <c r="AJ140" s="778"/>
      <c r="AK140" s="778"/>
      <c r="AL140" s="128"/>
      <c r="AM140" s="128"/>
      <c r="AN140" s="128"/>
      <c r="AO140" s="128"/>
      <c r="AP140" s="128"/>
      <c r="AQ140" s="128"/>
      <c r="AR140" s="128"/>
      <c r="AS140" s="128"/>
      <c r="AT140" s="778"/>
      <c r="AU140" s="778"/>
      <c r="AV140" s="128"/>
      <c r="AW140" s="128"/>
      <c r="AX140" s="128"/>
      <c r="AY140" s="128"/>
      <c r="AZ140" s="128"/>
      <c r="BA140" s="128"/>
      <c r="BB140" s="128"/>
      <c r="BC140" s="113"/>
      <c r="BF140" s="680" t="s">
        <v>972</v>
      </c>
    </row>
    <row r="141" spans="2:58" ht="14.65" customHeight="1" x14ac:dyDescent="0.15">
      <c r="E141" s="449">
        <v>15</v>
      </c>
      <c r="F141" s="3" t="str" cm="1">
        <f t="array" aca="1" ref="F141" ca="1">OFFSET(E141,-1,1)</f>
        <v>2</v>
      </c>
      <c r="G141" s="22" t="s">
        <v>973</v>
      </c>
      <c r="T141" s="353" t="b" cm="1">
        <f t="array" ref="T141">T140</f>
        <v>1</v>
      </c>
      <c r="X141" s="1022"/>
      <c r="Z141" s="1023"/>
      <c r="AB141" s="7" t="s">
        <v>795</v>
      </c>
      <c r="AC141" s="127" t="s">
        <v>946</v>
      </c>
      <c r="AD141" s="8" t="s">
        <v>828</v>
      </c>
      <c r="AE141" s="128">
        <v>0</v>
      </c>
      <c r="AF141" s="128"/>
      <c r="AG141" s="128"/>
      <c r="AH141" s="128">
        <v>0</v>
      </c>
      <c r="AI141" s="128"/>
      <c r="AJ141" s="778"/>
      <c r="AK141" s="778"/>
      <c r="AL141" s="128"/>
      <c r="AM141" s="128"/>
      <c r="AN141" s="128"/>
      <c r="AO141" s="128"/>
      <c r="AP141" s="128"/>
      <c r="AQ141" s="128"/>
      <c r="AR141" s="128"/>
      <c r="AS141" s="128"/>
      <c r="AT141" s="778"/>
      <c r="AU141" s="778"/>
      <c r="AV141" s="128"/>
      <c r="AW141" s="128"/>
      <c r="AX141" s="128"/>
      <c r="AY141" s="128"/>
      <c r="AZ141" s="128"/>
      <c r="BA141" s="128"/>
      <c r="BB141" s="128"/>
      <c r="BC141" s="113"/>
      <c r="BF141" s="680" t="s">
        <v>974</v>
      </c>
    </row>
    <row r="142" spans="2:58" ht="14.65" customHeight="1" x14ac:dyDescent="0.15">
      <c r="E142" s="449">
        <v>15</v>
      </c>
      <c r="F142" s="3" t="str" cm="1">
        <f t="array" aca="1" ref="F142" ca="1">OFFSET(E142,-1,1)</f>
        <v>2</v>
      </c>
      <c r="G142" s="22" t="s">
        <v>975</v>
      </c>
      <c r="T142" s="353" t="b" cm="1">
        <f t="array" ref="T142">T141</f>
        <v>1</v>
      </c>
      <c r="X142" s="1022"/>
      <c r="Z142" s="1023"/>
      <c r="AB142" s="7" t="s">
        <v>976</v>
      </c>
      <c r="AC142" s="127" t="s">
        <v>949</v>
      </c>
      <c r="AD142" s="8" t="s">
        <v>828</v>
      </c>
      <c r="AE142" s="128">
        <v>0</v>
      </c>
      <c r="AF142" s="128"/>
      <c r="AG142" s="128"/>
      <c r="AH142" s="128">
        <v>0</v>
      </c>
      <c r="AI142" s="128"/>
      <c r="AJ142" s="778"/>
      <c r="AK142" s="778"/>
      <c r="AL142" s="128"/>
      <c r="AM142" s="128"/>
      <c r="AN142" s="128"/>
      <c r="AO142" s="128"/>
      <c r="AP142" s="128"/>
      <c r="AQ142" s="128"/>
      <c r="AR142" s="128"/>
      <c r="AS142" s="128"/>
      <c r="AT142" s="778"/>
      <c r="AU142" s="778"/>
      <c r="AV142" s="128"/>
      <c r="AW142" s="128"/>
      <c r="AX142" s="128"/>
      <c r="AY142" s="128"/>
      <c r="AZ142" s="128"/>
      <c r="BA142" s="128"/>
      <c r="BB142" s="128"/>
      <c r="BC142" s="113"/>
      <c r="BF142" s="680" t="s">
        <v>977</v>
      </c>
    </row>
    <row r="143" spans="2:58" ht="14.65" customHeight="1" x14ac:dyDescent="0.15">
      <c r="E143" s="449">
        <v>15</v>
      </c>
      <c r="F143" s="3" t="str" cm="1">
        <f t="array" aca="1" ref="F143" ca="1">OFFSET(E143,-1,1)</f>
        <v>2</v>
      </c>
      <c r="G143" s="22" t="s">
        <v>978</v>
      </c>
      <c r="T143" s="353" t="b" cm="1">
        <f t="array" ref="T143">T142</f>
        <v>1</v>
      </c>
      <c r="X143" s="1022"/>
      <c r="Z143" s="1023"/>
      <c r="AB143" s="7" t="s">
        <v>979</v>
      </c>
      <c r="AC143" s="127" t="s">
        <v>953</v>
      </c>
      <c r="AD143" s="8" t="s">
        <v>828</v>
      </c>
      <c r="AE143" s="128">
        <v>0</v>
      </c>
      <c r="AF143" s="128"/>
      <c r="AG143" s="128"/>
      <c r="AH143" s="128">
        <v>0</v>
      </c>
      <c r="AI143" s="128"/>
      <c r="AJ143" s="778"/>
      <c r="AK143" s="778"/>
      <c r="AL143" s="128"/>
      <c r="AM143" s="128"/>
      <c r="AN143" s="128"/>
      <c r="AO143" s="128"/>
      <c r="AP143" s="128"/>
      <c r="AQ143" s="128"/>
      <c r="AR143" s="128"/>
      <c r="AS143" s="128"/>
      <c r="AT143" s="778"/>
      <c r="AU143" s="778"/>
      <c r="AV143" s="128"/>
      <c r="AW143" s="128"/>
      <c r="AX143" s="128"/>
      <c r="AY143" s="128"/>
      <c r="AZ143" s="128"/>
      <c r="BA143" s="128"/>
      <c r="BB143" s="128"/>
      <c r="BC143" s="113"/>
      <c r="BF143" s="680" t="s">
        <v>980</v>
      </c>
    </row>
    <row r="144" spans="2:58" s="63" customFormat="1" ht="23.25" customHeight="1" x14ac:dyDescent="0.15">
      <c r="B144" s="328"/>
      <c r="E144" s="488">
        <v>22.5</v>
      </c>
      <c r="F144" s="3" t="str" cm="1">
        <f t="array" aca="1" ref="F144" ca="1">OFFSET(E144,-1,1)</f>
        <v>2</v>
      </c>
      <c r="G144" s="22" t="s">
        <v>335</v>
      </c>
      <c r="T144" s="353" t="b" cm="1">
        <f t="array" ref="T144">T143</f>
        <v>1</v>
      </c>
      <c r="X144" s="1022"/>
      <c r="Z144" s="1023"/>
      <c r="AB144" s="124">
        <v>4</v>
      </c>
      <c r="AC144" s="125" t="s">
        <v>981</v>
      </c>
      <c r="AD144" s="8" t="s">
        <v>828</v>
      </c>
      <c r="AE144" s="138">
        <v>28101.496106459901</v>
      </c>
      <c r="AF144" s="138">
        <v>478902.16862999997</v>
      </c>
      <c r="AG144" s="138">
        <v>128489.08087000001</v>
      </c>
      <c r="AH144" s="138">
        <v>14549.179839010099</v>
      </c>
      <c r="AI144" s="138">
        <v>486060.77580000099</v>
      </c>
      <c r="AJ144" s="774">
        <f t="shared" ref="AJ144:AR144" si="66">SUM(AJ145:AJ149)</f>
        <v>0</v>
      </c>
      <c r="AK144" s="774">
        <f t="shared" si="66"/>
        <v>0</v>
      </c>
      <c r="AL144" s="138">
        <f t="shared" si="66"/>
        <v>0</v>
      </c>
      <c r="AM144" s="138">
        <f t="shared" si="66"/>
        <v>0</v>
      </c>
      <c r="AN144" s="138">
        <f t="shared" si="66"/>
        <v>0</v>
      </c>
      <c r="AO144" s="138">
        <f t="shared" si="66"/>
        <v>0</v>
      </c>
      <c r="AP144" s="138">
        <f t="shared" si="66"/>
        <v>0</v>
      </c>
      <c r="AQ144" s="138">
        <f t="shared" si="66"/>
        <v>0</v>
      </c>
      <c r="AR144" s="138">
        <f t="shared" si="66"/>
        <v>0</v>
      </c>
      <c r="AS144" s="138">
        <v>128489.08087000001</v>
      </c>
      <c r="AT144" s="774">
        <f t="shared" ref="AT144:BB144" si="67">SUM(AT145:AT149)</f>
        <v>0</v>
      </c>
      <c r="AU144" s="774">
        <f t="shared" si="67"/>
        <v>0</v>
      </c>
      <c r="AV144" s="138">
        <f t="shared" si="67"/>
        <v>0</v>
      </c>
      <c r="AW144" s="138">
        <f t="shared" si="67"/>
        <v>0</v>
      </c>
      <c r="AX144" s="138">
        <f t="shared" si="67"/>
        <v>0</v>
      </c>
      <c r="AY144" s="138">
        <f t="shared" si="67"/>
        <v>0</v>
      </c>
      <c r="AZ144" s="138">
        <f t="shared" si="67"/>
        <v>0</v>
      </c>
      <c r="BA144" s="138">
        <f t="shared" si="67"/>
        <v>0</v>
      </c>
      <c r="BB144" s="138">
        <f t="shared" si="67"/>
        <v>0</v>
      </c>
      <c r="BC144" s="113"/>
      <c r="BF144" s="680" t="s">
        <v>982</v>
      </c>
    </row>
    <row r="145" spans="2:58" ht="14.65" customHeight="1" x14ac:dyDescent="0.15">
      <c r="E145" s="449">
        <v>15</v>
      </c>
      <c r="F145" s="3" t="str" cm="1">
        <f t="array" aca="1" ref="F145" ca="1">OFFSET(E145,-1,1)</f>
        <v>2</v>
      </c>
      <c r="G145" s="22" t="s">
        <v>560</v>
      </c>
      <c r="T145" s="353" t="b" cm="1">
        <f t="array" ref="T145">T144</f>
        <v>1</v>
      </c>
      <c r="X145" s="1022"/>
      <c r="Z145" s="1023"/>
      <c r="AB145" s="7" t="s">
        <v>697</v>
      </c>
      <c r="AC145" s="127" t="s">
        <v>940</v>
      </c>
      <c r="AD145" s="8" t="s">
        <v>828</v>
      </c>
      <c r="AE145" s="128">
        <f>AE127+AE133-AE139</f>
        <v>0</v>
      </c>
      <c r="AF145" s="128">
        <v>29821.978999999999</v>
      </c>
      <c r="AG145" s="128">
        <v>28049.294999999998</v>
      </c>
      <c r="AH145" s="128">
        <v>3113.4717194700002</v>
      </c>
      <c r="AI145" s="128">
        <f t="shared" ref="AI145:AR145" si="68">AI127+AI133-AI139</f>
        <v>0</v>
      </c>
      <c r="AJ145" s="778">
        <f t="shared" si="68"/>
        <v>0</v>
      </c>
      <c r="AK145" s="778">
        <f t="shared" si="68"/>
        <v>0</v>
      </c>
      <c r="AL145" s="128">
        <f t="shared" si="68"/>
        <v>0</v>
      </c>
      <c r="AM145" s="128">
        <f t="shared" si="68"/>
        <v>0</v>
      </c>
      <c r="AN145" s="128">
        <f t="shared" si="68"/>
        <v>0</v>
      </c>
      <c r="AO145" s="128">
        <f t="shared" si="68"/>
        <v>0</v>
      </c>
      <c r="AP145" s="128">
        <f t="shared" si="68"/>
        <v>0</v>
      </c>
      <c r="AQ145" s="128">
        <f t="shared" si="68"/>
        <v>0</v>
      </c>
      <c r="AR145" s="128">
        <f t="shared" si="68"/>
        <v>0</v>
      </c>
      <c r="AS145" s="128">
        <v>28049.294999999998</v>
      </c>
      <c r="AT145" s="778">
        <f t="shared" ref="AT145:BB145" si="69">AT127+AT133-AT139</f>
        <v>0</v>
      </c>
      <c r="AU145" s="778">
        <f t="shared" si="69"/>
        <v>0</v>
      </c>
      <c r="AV145" s="128">
        <f t="shared" si="69"/>
        <v>0</v>
      </c>
      <c r="AW145" s="128">
        <f t="shared" si="69"/>
        <v>0</v>
      </c>
      <c r="AX145" s="128">
        <f t="shared" si="69"/>
        <v>0</v>
      </c>
      <c r="AY145" s="128">
        <f t="shared" si="69"/>
        <v>0</v>
      </c>
      <c r="AZ145" s="128">
        <f t="shared" si="69"/>
        <v>0</v>
      </c>
      <c r="BA145" s="128">
        <f t="shared" si="69"/>
        <v>0</v>
      </c>
      <c r="BB145" s="128">
        <f t="shared" si="69"/>
        <v>0</v>
      </c>
      <c r="BC145" s="113"/>
      <c r="BF145" s="680" t="s">
        <v>983</v>
      </c>
    </row>
    <row r="146" spans="2:58" ht="14.65" customHeight="1" x14ac:dyDescent="0.15">
      <c r="E146" s="449">
        <v>15</v>
      </c>
      <c r="F146" s="3" t="str" cm="1">
        <f t="array" aca="1" ref="F146" ca="1">OFFSET(E146,-1,1)</f>
        <v>2</v>
      </c>
      <c r="G146" s="22" t="s">
        <v>564</v>
      </c>
      <c r="T146" s="353" t="b" cm="1">
        <f t="array" ref="T146">T145</f>
        <v>1</v>
      </c>
      <c r="X146" s="1022"/>
      <c r="Z146" s="1023"/>
      <c r="AB146" s="7" t="s">
        <v>700</v>
      </c>
      <c r="AC146" s="127" t="s">
        <v>943</v>
      </c>
      <c r="AD146" s="8" t="s">
        <v>828</v>
      </c>
      <c r="AE146" s="128">
        <f>AE128+AE134-AE140</f>
        <v>0</v>
      </c>
      <c r="AF146" s="128">
        <v>384154.83</v>
      </c>
      <c r="AG146" s="128">
        <v>79947.472999999998</v>
      </c>
      <c r="AH146" s="128">
        <v>9216.1635699300004</v>
      </c>
      <c r="AI146" s="128">
        <f t="shared" ref="AI146:AR146" si="70">AI128+AI134-AI140</f>
        <v>0</v>
      </c>
      <c r="AJ146" s="778">
        <f t="shared" si="70"/>
        <v>0</v>
      </c>
      <c r="AK146" s="778">
        <f t="shared" si="70"/>
        <v>0</v>
      </c>
      <c r="AL146" s="128">
        <f t="shared" si="70"/>
        <v>0</v>
      </c>
      <c r="AM146" s="128">
        <f t="shared" si="70"/>
        <v>0</v>
      </c>
      <c r="AN146" s="128">
        <f t="shared" si="70"/>
        <v>0</v>
      </c>
      <c r="AO146" s="128">
        <f t="shared" si="70"/>
        <v>0</v>
      </c>
      <c r="AP146" s="128">
        <f t="shared" si="70"/>
        <v>0</v>
      </c>
      <c r="AQ146" s="128">
        <f t="shared" si="70"/>
        <v>0</v>
      </c>
      <c r="AR146" s="128">
        <f t="shared" si="70"/>
        <v>0</v>
      </c>
      <c r="AS146" s="128">
        <v>79947.472999999998</v>
      </c>
      <c r="AT146" s="778">
        <f t="shared" ref="AT146:BB146" si="71">AT128+AT134-AT140</f>
        <v>0</v>
      </c>
      <c r="AU146" s="778">
        <f t="shared" si="71"/>
        <v>0</v>
      </c>
      <c r="AV146" s="128">
        <f t="shared" si="71"/>
        <v>0</v>
      </c>
      <c r="AW146" s="128">
        <f t="shared" si="71"/>
        <v>0</v>
      </c>
      <c r="AX146" s="128">
        <f t="shared" si="71"/>
        <v>0</v>
      </c>
      <c r="AY146" s="128">
        <f t="shared" si="71"/>
        <v>0</v>
      </c>
      <c r="AZ146" s="128">
        <f t="shared" si="71"/>
        <v>0</v>
      </c>
      <c r="BA146" s="128">
        <f t="shared" si="71"/>
        <v>0</v>
      </c>
      <c r="BB146" s="128">
        <f t="shared" si="71"/>
        <v>0</v>
      </c>
      <c r="BC146" s="113"/>
      <c r="BF146" s="680" t="s">
        <v>984</v>
      </c>
    </row>
    <row r="147" spans="2:58" ht="14.65" customHeight="1" x14ac:dyDescent="0.15">
      <c r="E147" s="449">
        <v>15</v>
      </c>
      <c r="F147" s="3" t="str" cm="1">
        <f t="array" aca="1" ref="F147" ca="1">OFFSET(E147,-1,1)</f>
        <v>2</v>
      </c>
      <c r="G147" s="22" t="s">
        <v>568</v>
      </c>
      <c r="T147" s="353" t="b" cm="1">
        <f t="array" ref="T147">T146</f>
        <v>1</v>
      </c>
      <c r="X147" s="1022"/>
      <c r="Z147" s="1023"/>
      <c r="AB147" s="7" t="s">
        <v>734</v>
      </c>
      <c r="AC147" s="127" t="s">
        <v>946</v>
      </c>
      <c r="AD147" s="8" t="s">
        <v>828</v>
      </c>
      <c r="AE147" s="128">
        <f>AE129+AE135-AE141</f>
        <v>0</v>
      </c>
      <c r="AF147" s="128">
        <v>40198.41588</v>
      </c>
      <c r="AG147" s="128">
        <v>12117.06388</v>
      </c>
      <c r="AH147" s="128">
        <v>2219.5445496101001</v>
      </c>
      <c r="AI147" s="128">
        <f t="shared" ref="AI147:AR147" si="72">AI129+AI135-AI141</f>
        <v>0</v>
      </c>
      <c r="AJ147" s="778">
        <f t="shared" si="72"/>
        <v>0</v>
      </c>
      <c r="AK147" s="778">
        <f t="shared" si="72"/>
        <v>0</v>
      </c>
      <c r="AL147" s="128">
        <f t="shared" si="72"/>
        <v>0</v>
      </c>
      <c r="AM147" s="128">
        <f t="shared" si="72"/>
        <v>0</v>
      </c>
      <c r="AN147" s="128">
        <f t="shared" si="72"/>
        <v>0</v>
      </c>
      <c r="AO147" s="128">
        <f t="shared" si="72"/>
        <v>0</v>
      </c>
      <c r="AP147" s="128">
        <f t="shared" si="72"/>
        <v>0</v>
      </c>
      <c r="AQ147" s="128">
        <f t="shared" si="72"/>
        <v>0</v>
      </c>
      <c r="AR147" s="128">
        <f t="shared" si="72"/>
        <v>0</v>
      </c>
      <c r="AS147" s="128">
        <v>12117.06388</v>
      </c>
      <c r="AT147" s="778">
        <f t="shared" ref="AT147:BB147" si="73">AT129+AT135-AT141</f>
        <v>0</v>
      </c>
      <c r="AU147" s="778">
        <f t="shared" si="73"/>
        <v>0</v>
      </c>
      <c r="AV147" s="128">
        <f t="shared" si="73"/>
        <v>0</v>
      </c>
      <c r="AW147" s="128">
        <f t="shared" si="73"/>
        <v>0</v>
      </c>
      <c r="AX147" s="128">
        <f t="shared" si="73"/>
        <v>0</v>
      </c>
      <c r="AY147" s="128">
        <f t="shared" si="73"/>
        <v>0</v>
      </c>
      <c r="AZ147" s="128">
        <f t="shared" si="73"/>
        <v>0</v>
      </c>
      <c r="BA147" s="128">
        <f t="shared" si="73"/>
        <v>0</v>
      </c>
      <c r="BB147" s="128">
        <f t="shared" si="73"/>
        <v>0</v>
      </c>
      <c r="BC147" s="113"/>
      <c r="BF147" s="680" t="s">
        <v>985</v>
      </c>
    </row>
    <row r="148" spans="2:58" ht="14.65" customHeight="1" x14ac:dyDescent="0.15">
      <c r="E148" s="449">
        <v>15</v>
      </c>
      <c r="F148" s="3" t="str" cm="1">
        <f t="array" aca="1" ref="F148" ca="1">OFFSET(E148,-1,1)</f>
        <v>2</v>
      </c>
      <c r="G148" s="22" t="s">
        <v>986</v>
      </c>
      <c r="T148" s="353" t="b" cm="1">
        <f t="array" ref="T148">T147</f>
        <v>1</v>
      </c>
      <c r="X148" s="1022"/>
      <c r="Z148" s="1023"/>
      <c r="AB148" s="7" t="s">
        <v>743</v>
      </c>
      <c r="AC148" s="127" t="s">
        <v>949</v>
      </c>
      <c r="AD148" s="8" t="s">
        <v>828</v>
      </c>
      <c r="AE148" s="128">
        <f>AE130+AE136-AE142</f>
        <v>0</v>
      </c>
      <c r="AF148" s="128">
        <v>24170.701000000001</v>
      </c>
      <c r="AG148" s="128">
        <v>8375.24899</v>
      </c>
      <c r="AH148" s="128">
        <f>AH130+AH136-AH142</f>
        <v>0</v>
      </c>
      <c r="AI148" s="128">
        <f t="shared" ref="AI148:AR148" si="74">AI130+AI136-AI142</f>
        <v>0</v>
      </c>
      <c r="AJ148" s="778">
        <f t="shared" si="74"/>
        <v>0</v>
      </c>
      <c r="AK148" s="778">
        <f t="shared" si="74"/>
        <v>0</v>
      </c>
      <c r="AL148" s="128">
        <f t="shared" si="74"/>
        <v>0</v>
      </c>
      <c r="AM148" s="128">
        <f t="shared" si="74"/>
        <v>0</v>
      </c>
      <c r="AN148" s="128">
        <f t="shared" si="74"/>
        <v>0</v>
      </c>
      <c r="AO148" s="128">
        <f t="shared" si="74"/>
        <v>0</v>
      </c>
      <c r="AP148" s="128">
        <f t="shared" si="74"/>
        <v>0</v>
      </c>
      <c r="AQ148" s="128">
        <f t="shared" si="74"/>
        <v>0</v>
      </c>
      <c r="AR148" s="128">
        <f t="shared" si="74"/>
        <v>0</v>
      </c>
      <c r="AS148" s="128">
        <v>8375.24899</v>
      </c>
      <c r="AT148" s="778">
        <f t="shared" ref="AT148:BB148" si="75">AT130+AT136-AT142</f>
        <v>0</v>
      </c>
      <c r="AU148" s="778">
        <f t="shared" si="75"/>
        <v>0</v>
      </c>
      <c r="AV148" s="128">
        <f t="shared" si="75"/>
        <v>0</v>
      </c>
      <c r="AW148" s="128">
        <f t="shared" si="75"/>
        <v>0</v>
      </c>
      <c r="AX148" s="128">
        <f t="shared" si="75"/>
        <v>0</v>
      </c>
      <c r="AY148" s="128">
        <f t="shared" si="75"/>
        <v>0</v>
      </c>
      <c r="AZ148" s="128">
        <f t="shared" si="75"/>
        <v>0</v>
      </c>
      <c r="BA148" s="128">
        <f t="shared" si="75"/>
        <v>0</v>
      </c>
      <c r="BB148" s="128">
        <f t="shared" si="75"/>
        <v>0</v>
      </c>
      <c r="BC148" s="113"/>
      <c r="BF148" s="680" t="s">
        <v>987</v>
      </c>
    </row>
    <row r="149" spans="2:58" ht="14.65" customHeight="1" x14ac:dyDescent="0.15">
      <c r="E149" s="449">
        <v>15</v>
      </c>
      <c r="F149" s="3" t="str" cm="1">
        <f t="array" aca="1" ref="F149" ca="1">OFFSET(E149,-1,1)</f>
        <v>2</v>
      </c>
      <c r="G149" s="22" t="s">
        <v>988</v>
      </c>
      <c r="T149" s="353" t="b" cm="1">
        <f t="array" ref="T149">T148</f>
        <v>1</v>
      </c>
      <c r="X149" s="1022"/>
      <c r="Z149" s="1023"/>
      <c r="AB149" s="7" t="s">
        <v>753</v>
      </c>
      <c r="AC149" s="127" t="s">
        <v>953</v>
      </c>
      <c r="AD149" s="8" t="s">
        <v>828</v>
      </c>
      <c r="AE149" s="128">
        <v>28101.496106459901</v>
      </c>
      <c r="AF149" s="128">
        <v>556.24275</v>
      </c>
      <c r="AG149" s="128">
        <f>AG131+AG137-AG143</f>
        <v>0</v>
      </c>
      <c r="AH149" s="128">
        <f>AH131+AH137-AH143</f>
        <v>0</v>
      </c>
      <c r="AI149" s="128">
        <v>486060.77580000099</v>
      </c>
      <c r="AJ149" s="778">
        <f t="shared" ref="AJ149:AS149" si="76">AJ131+AJ137-AJ143</f>
        <v>0</v>
      </c>
      <c r="AK149" s="778">
        <f t="shared" si="76"/>
        <v>0</v>
      </c>
      <c r="AL149" s="128">
        <f t="shared" si="76"/>
        <v>0</v>
      </c>
      <c r="AM149" s="128">
        <f t="shared" si="76"/>
        <v>0</v>
      </c>
      <c r="AN149" s="128">
        <f t="shared" si="76"/>
        <v>0</v>
      </c>
      <c r="AO149" s="128">
        <f t="shared" si="76"/>
        <v>0</v>
      </c>
      <c r="AP149" s="128">
        <f t="shared" si="76"/>
        <v>0</v>
      </c>
      <c r="AQ149" s="128">
        <f t="shared" si="76"/>
        <v>0</v>
      </c>
      <c r="AR149" s="128">
        <f t="shared" si="76"/>
        <v>0</v>
      </c>
      <c r="AS149" s="128">
        <f t="shared" si="76"/>
        <v>0</v>
      </c>
      <c r="AT149" s="778">
        <f t="shared" ref="AT149:BB149" si="77">AT131+AT137-AT143</f>
        <v>0</v>
      </c>
      <c r="AU149" s="778">
        <f t="shared" si="77"/>
        <v>0</v>
      </c>
      <c r="AV149" s="128">
        <f t="shared" si="77"/>
        <v>0</v>
      </c>
      <c r="AW149" s="128">
        <f t="shared" si="77"/>
        <v>0</v>
      </c>
      <c r="AX149" s="128">
        <f t="shared" si="77"/>
        <v>0</v>
      </c>
      <c r="AY149" s="128">
        <f t="shared" si="77"/>
        <v>0</v>
      </c>
      <c r="AZ149" s="128">
        <f t="shared" si="77"/>
        <v>0</v>
      </c>
      <c r="BA149" s="128">
        <f t="shared" si="77"/>
        <v>0</v>
      </c>
      <c r="BB149" s="128">
        <f t="shared" si="77"/>
        <v>0</v>
      </c>
      <c r="BC149" s="113"/>
      <c r="BF149" s="680" t="s">
        <v>989</v>
      </c>
    </row>
    <row r="150" spans="2:58" s="63" customFormat="1" ht="14.65" customHeight="1" x14ac:dyDescent="0.15">
      <c r="B150" s="328"/>
      <c r="E150" s="449">
        <v>15</v>
      </c>
      <c r="F150" s="3" t="str" cm="1">
        <f t="array" aca="1" ref="F150" ca="1">OFFSET(E150,-1,1)</f>
        <v>2</v>
      </c>
      <c r="G150" s="22" t="s">
        <v>334</v>
      </c>
      <c r="T150" s="353" t="b" cm="1">
        <f t="array" ref="T150">T149</f>
        <v>1</v>
      </c>
      <c r="X150" s="1022"/>
      <c r="Z150" s="1023"/>
      <c r="AB150" s="124">
        <v>5</v>
      </c>
      <c r="AC150" s="125" t="s">
        <v>990</v>
      </c>
      <c r="AD150" s="8" t="s">
        <v>828</v>
      </c>
      <c r="AE150" s="138">
        <v>28101.496106459901</v>
      </c>
      <c r="AF150" s="138">
        <v>360901.75763000001</v>
      </c>
      <c r="AG150" s="138">
        <v>129898.00986999999</v>
      </c>
      <c r="AH150" s="138">
        <v>14549.179839010099</v>
      </c>
      <c r="AI150" s="138">
        <v>486060.77580000099</v>
      </c>
      <c r="AJ150" s="774">
        <f t="shared" ref="AJ150:AR150" si="78">SUM(AJ151:AJ155)</f>
        <v>0</v>
      </c>
      <c r="AK150" s="774">
        <f t="shared" si="78"/>
        <v>0</v>
      </c>
      <c r="AL150" s="138">
        <f t="shared" si="78"/>
        <v>0</v>
      </c>
      <c r="AM150" s="138">
        <f t="shared" si="78"/>
        <v>0</v>
      </c>
      <c r="AN150" s="138">
        <f t="shared" si="78"/>
        <v>0</v>
      </c>
      <c r="AO150" s="138">
        <f t="shared" si="78"/>
        <v>0</v>
      </c>
      <c r="AP150" s="138">
        <f t="shared" si="78"/>
        <v>0</v>
      </c>
      <c r="AQ150" s="138">
        <f t="shared" si="78"/>
        <v>0</v>
      </c>
      <c r="AR150" s="138">
        <f t="shared" si="78"/>
        <v>0</v>
      </c>
      <c r="AS150" s="138">
        <v>128489.08087000001</v>
      </c>
      <c r="AT150" s="774">
        <f t="shared" ref="AT150:BB150" si="79">SUM(AT151:AT155)</f>
        <v>0</v>
      </c>
      <c r="AU150" s="774">
        <f t="shared" si="79"/>
        <v>0</v>
      </c>
      <c r="AV150" s="138">
        <f t="shared" si="79"/>
        <v>0</v>
      </c>
      <c r="AW150" s="138">
        <f t="shared" si="79"/>
        <v>0</v>
      </c>
      <c r="AX150" s="138">
        <f t="shared" si="79"/>
        <v>0</v>
      </c>
      <c r="AY150" s="138">
        <f t="shared" si="79"/>
        <v>0</v>
      </c>
      <c r="AZ150" s="138">
        <f t="shared" si="79"/>
        <v>0</v>
      </c>
      <c r="BA150" s="138">
        <f t="shared" si="79"/>
        <v>0</v>
      </c>
      <c r="BB150" s="138">
        <f t="shared" si="79"/>
        <v>0</v>
      </c>
      <c r="BC150" s="113"/>
      <c r="BF150" s="680" t="s">
        <v>991</v>
      </c>
    </row>
    <row r="151" spans="2:58" ht="14.65" customHeight="1" x14ac:dyDescent="0.15">
      <c r="E151" s="449">
        <v>15</v>
      </c>
      <c r="F151" s="3" t="str" cm="1">
        <f t="array" aca="1" ref="F151" ca="1">OFFSET(E151,-1,1)</f>
        <v>2</v>
      </c>
      <c r="G151" s="22" t="s">
        <v>574</v>
      </c>
      <c r="T151" s="353" t="b" cm="1">
        <f t="array" ref="T151">T150</f>
        <v>1</v>
      </c>
      <c r="X151" s="1022"/>
      <c r="Z151" s="1023"/>
      <c r="AB151" s="7" t="s">
        <v>704</v>
      </c>
      <c r="AC151" s="127" t="s">
        <v>940</v>
      </c>
      <c r="AD151" s="8" t="s">
        <v>828</v>
      </c>
      <c r="AE151" s="128">
        <f>(AE145+AE127)/2</f>
        <v>0</v>
      </c>
      <c r="AF151" s="128">
        <v>29821.978999999999</v>
      </c>
      <c r="AG151" s="128">
        <v>28049.294999999998</v>
      </c>
      <c r="AH151" s="128">
        <v>3113.4717194700002</v>
      </c>
      <c r="AI151" s="128">
        <f t="shared" ref="AI151:AR151" si="80">(AI145+AI127)/2</f>
        <v>0</v>
      </c>
      <c r="AJ151" s="778">
        <f t="shared" si="80"/>
        <v>0</v>
      </c>
      <c r="AK151" s="778">
        <f t="shared" si="80"/>
        <v>0</v>
      </c>
      <c r="AL151" s="128">
        <f t="shared" si="80"/>
        <v>0</v>
      </c>
      <c r="AM151" s="128">
        <f t="shared" si="80"/>
        <v>0</v>
      </c>
      <c r="AN151" s="128">
        <f t="shared" si="80"/>
        <v>0</v>
      </c>
      <c r="AO151" s="128">
        <f t="shared" si="80"/>
        <v>0</v>
      </c>
      <c r="AP151" s="128">
        <f t="shared" si="80"/>
        <v>0</v>
      </c>
      <c r="AQ151" s="128">
        <f t="shared" si="80"/>
        <v>0</v>
      </c>
      <c r="AR151" s="128">
        <f t="shared" si="80"/>
        <v>0</v>
      </c>
      <c r="AS151" s="128">
        <v>28049.294999999998</v>
      </c>
      <c r="AT151" s="778">
        <f t="shared" ref="AT151:BB151" si="81">(AT145+AT127)/2</f>
        <v>0</v>
      </c>
      <c r="AU151" s="778">
        <f t="shared" si="81"/>
        <v>0</v>
      </c>
      <c r="AV151" s="128">
        <f t="shared" si="81"/>
        <v>0</v>
      </c>
      <c r="AW151" s="128">
        <f t="shared" si="81"/>
        <v>0</v>
      </c>
      <c r="AX151" s="128">
        <f t="shared" si="81"/>
        <v>0</v>
      </c>
      <c r="AY151" s="128">
        <f t="shared" si="81"/>
        <v>0</v>
      </c>
      <c r="AZ151" s="128">
        <f t="shared" si="81"/>
        <v>0</v>
      </c>
      <c r="BA151" s="128">
        <f t="shared" si="81"/>
        <v>0</v>
      </c>
      <c r="BB151" s="128">
        <f t="shared" si="81"/>
        <v>0</v>
      </c>
      <c r="BC151" s="113"/>
      <c r="BF151" s="680" t="s">
        <v>992</v>
      </c>
    </row>
    <row r="152" spans="2:58" ht="14.65" customHeight="1" x14ac:dyDescent="0.15">
      <c r="E152" s="449">
        <v>15</v>
      </c>
      <c r="F152" s="3" t="str" cm="1">
        <f t="array" aca="1" ref="F152" ca="1">OFFSET(E152,-1,1)</f>
        <v>2</v>
      </c>
      <c r="G152" s="22" t="s">
        <v>578</v>
      </c>
      <c r="T152" s="353" t="b" cm="1">
        <f t="array" ref="T152">T151</f>
        <v>1</v>
      </c>
      <c r="X152" s="1022"/>
      <c r="Z152" s="1023"/>
      <c r="AB152" s="7" t="s">
        <v>707</v>
      </c>
      <c r="AC152" s="127" t="s">
        <v>943</v>
      </c>
      <c r="AD152" s="8" t="s">
        <v>828</v>
      </c>
      <c r="AE152" s="128">
        <f>(AE146+AE128)/2</f>
        <v>0</v>
      </c>
      <c r="AF152" s="128">
        <v>279679.42849999998</v>
      </c>
      <c r="AG152" s="128">
        <v>81487.985499999995</v>
      </c>
      <c r="AH152" s="128">
        <v>9216.1635699300004</v>
      </c>
      <c r="AI152" s="128">
        <f t="shared" ref="AI152:AR152" si="82">(AI146+AI128)/2</f>
        <v>0</v>
      </c>
      <c r="AJ152" s="778">
        <f t="shared" si="82"/>
        <v>0</v>
      </c>
      <c r="AK152" s="778">
        <f t="shared" si="82"/>
        <v>0</v>
      </c>
      <c r="AL152" s="128">
        <f t="shared" si="82"/>
        <v>0</v>
      </c>
      <c r="AM152" s="128">
        <f t="shared" si="82"/>
        <v>0</v>
      </c>
      <c r="AN152" s="128">
        <f t="shared" si="82"/>
        <v>0</v>
      </c>
      <c r="AO152" s="128">
        <f t="shared" si="82"/>
        <v>0</v>
      </c>
      <c r="AP152" s="128">
        <f t="shared" si="82"/>
        <v>0</v>
      </c>
      <c r="AQ152" s="128">
        <f t="shared" si="82"/>
        <v>0</v>
      </c>
      <c r="AR152" s="128">
        <f t="shared" si="82"/>
        <v>0</v>
      </c>
      <c r="AS152" s="128">
        <v>79947.472999999998</v>
      </c>
      <c r="AT152" s="778">
        <f t="shared" ref="AT152:BB152" si="83">(AT146+AT128)/2</f>
        <v>0</v>
      </c>
      <c r="AU152" s="778">
        <f t="shared" si="83"/>
        <v>0</v>
      </c>
      <c r="AV152" s="128">
        <f t="shared" si="83"/>
        <v>0</v>
      </c>
      <c r="AW152" s="128">
        <f t="shared" si="83"/>
        <v>0</v>
      </c>
      <c r="AX152" s="128">
        <f t="shared" si="83"/>
        <v>0</v>
      </c>
      <c r="AY152" s="128">
        <f t="shared" si="83"/>
        <v>0</v>
      </c>
      <c r="AZ152" s="128">
        <f t="shared" si="83"/>
        <v>0</v>
      </c>
      <c r="BA152" s="128">
        <f t="shared" si="83"/>
        <v>0</v>
      </c>
      <c r="BB152" s="128">
        <f t="shared" si="83"/>
        <v>0</v>
      </c>
      <c r="BC152" s="113"/>
      <c r="BF152" s="680" t="s">
        <v>993</v>
      </c>
    </row>
    <row r="153" spans="2:58" ht="14.65" customHeight="1" x14ac:dyDescent="0.15">
      <c r="E153" s="449">
        <v>15</v>
      </c>
      <c r="F153" s="3" t="str" cm="1">
        <f t="array" aca="1" ref="F153" ca="1">OFFSET(E153,-1,1)</f>
        <v>2</v>
      </c>
      <c r="G153" s="22" t="s">
        <v>794</v>
      </c>
      <c r="T153" s="353" t="b" cm="1">
        <f t="array" ref="T153">T152</f>
        <v>1</v>
      </c>
      <c r="X153" s="1022"/>
      <c r="Z153" s="1023"/>
      <c r="AB153" s="7" t="s">
        <v>994</v>
      </c>
      <c r="AC153" s="127" t="s">
        <v>946</v>
      </c>
      <c r="AD153" s="8" t="s">
        <v>828</v>
      </c>
      <c r="AE153" s="128">
        <f>(AE147+AE129)/2</f>
        <v>0</v>
      </c>
      <c r="AF153" s="128">
        <v>26673.40638</v>
      </c>
      <c r="AG153" s="128">
        <v>11985.480380000001</v>
      </c>
      <c r="AH153" s="128">
        <v>2219.5445496101001</v>
      </c>
      <c r="AI153" s="128">
        <f t="shared" ref="AI153:AR153" si="84">(AI147+AI129)/2</f>
        <v>0</v>
      </c>
      <c r="AJ153" s="778">
        <f t="shared" si="84"/>
        <v>0</v>
      </c>
      <c r="AK153" s="778">
        <f t="shared" si="84"/>
        <v>0</v>
      </c>
      <c r="AL153" s="128">
        <f t="shared" si="84"/>
        <v>0</v>
      </c>
      <c r="AM153" s="128">
        <f t="shared" si="84"/>
        <v>0</v>
      </c>
      <c r="AN153" s="128">
        <f t="shared" si="84"/>
        <v>0</v>
      </c>
      <c r="AO153" s="128">
        <f t="shared" si="84"/>
        <v>0</v>
      </c>
      <c r="AP153" s="128">
        <f t="shared" si="84"/>
        <v>0</v>
      </c>
      <c r="AQ153" s="128">
        <f t="shared" si="84"/>
        <v>0</v>
      </c>
      <c r="AR153" s="128">
        <f t="shared" si="84"/>
        <v>0</v>
      </c>
      <c r="AS153" s="128">
        <v>12117.06388</v>
      </c>
      <c r="AT153" s="778">
        <f t="shared" ref="AT153:BB153" si="85">(AT147+AT129)/2</f>
        <v>0</v>
      </c>
      <c r="AU153" s="778">
        <f t="shared" si="85"/>
        <v>0</v>
      </c>
      <c r="AV153" s="128">
        <f t="shared" si="85"/>
        <v>0</v>
      </c>
      <c r="AW153" s="128">
        <f t="shared" si="85"/>
        <v>0</v>
      </c>
      <c r="AX153" s="128">
        <f t="shared" si="85"/>
        <v>0</v>
      </c>
      <c r="AY153" s="128">
        <f t="shared" si="85"/>
        <v>0</v>
      </c>
      <c r="AZ153" s="128">
        <f t="shared" si="85"/>
        <v>0</v>
      </c>
      <c r="BA153" s="128">
        <f t="shared" si="85"/>
        <v>0</v>
      </c>
      <c r="BB153" s="128">
        <f t="shared" si="85"/>
        <v>0</v>
      </c>
      <c r="BC153" s="113"/>
      <c r="BF153" s="680" t="s">
        <v>995</v>
      </c>
    </row>
    <row r="154" spans="2:58" ht="14.65" customHeight="1" x14ac:dyDescent="0.15">
      <c r="E154" s="449">
        <v>15</v>
      </c>
      <c r="F154" s="3" t="str" cm="1">
        <f t="array" aca="1" ref="F154" ca="1">OFFSET(E154,-1,1)</f>
        <v>2</v>
      </c>
      <c r="G154" s="22" t="s">
        <v>996</v>
      </c>
      <c r="T154" s="353" t="b" cm="1">
        <f t="array" ref="T154">T153</f>
        <v>1</v>
      </c>
      <c r="X154" s="1022"/>
      <c r="Z154" s="1023"/>
      <c r="AB154" s="7" t="s">
        <v>997</v>
      </c>
      <c r="AC154" s="127" t="s">
        <v>949</v>
      </c>
      <c r="AD154" s="8" t="s">
        <v>828</v>
      </c>
      <c r="AE154" s="128">
        <f>(AE148+AE130)/2</f>
        <v>0</v>
      </c>
      <c r="AF154" s="128">
        <v>24170.701000000001</v>
      </c>
      <c r="AG154" s="128">
        <v>8375.24899</v>
      </c>
      <c r="AH154" s="128">
        <f>(AH148+AH130)/2</f>
        <v>0</v>
      </c>
      <c r="AI154" s="128">
        <f t="shared" ref="AI154:AR154" si="86">(AI148+AI130)/2</f>
        <v>0</v>
      </c>
      <c r="AJ154" s="778">
        <f t="shared" si="86"/>
        <v>0</v>
      </c>
      <c r="AK154" s="778">
        <f t="shared" si="86"/>
        <v>0</v>
      </c>
      <c r="AL154" s="128">
        <f t="shared" si="86"/>
        <v>0</v>
      </c>
      <c r="AM154" s="128">
        <f t="shared" si="86"/>
        <v>0</v>
      </c>
      <c r="AN154" s="128">
        <f t="shared" si="86"/>
        <v>0</v>
      </c>
      <c r="AO154" s="128">
        <f t="shared" si="86"/>
        <v>0</v>
      </c>
      <c r="AP154" s="128">
        <f t="shared" si="86"/>
        <v>0</v>
      </c>
      <c r="AQ154" s="128">
        <f t="shared" si="86"/>
        <v>0</v>
      </c>
      <c r="AR154" s="128">
        <f t="shared" si="86"/>
        <v>0</v>
      </c>
      <c r="AS154" s="128">
        <v>8375.24899</v>
      </c>
      <c r="AT154" s="778">
        <f t="shared" ref="AT154:BB154" si="87">(AT148+AT130)/2</f>
        <v>0</v>
      </c>
      <c r="AU154" s="778">
        <f t="shared" si="87"/>
        <v>0</v>
      </c>
      <c r="AV154" s="128">
        <f t="shared" si="87"/>
        <v>0</v>
      </c>
      <c r="AW154" s="128">
        <f t="shared" si="87"/>
        <v>0</v>
      </c>
      <c r="AX154" s="128">
        <f t="shared" si="87"/>
        <v>0</v>
      </c>
      <c r="AY154" s="128">
        <f t="shared" si="87"/>
        <v>0</v>
      </c>
      <c r="AZ154" s="128">
        <f t="shared" si="87"/>
        <v>0</v>
      </c>
      <c r="BA154" s="128">
        <f t="shared" si="87"/>
        <v>0</v>
      </c>
      <c r="BB154" s="128">
        <f t="shared" si="87"/>
        <v>0</v>
      </c>
      <c r="BC154" s="113"/>
      <c r="BF154" s="680" t="s">
        <v>998</v>
      </c>
    </row>
    <row r="155" spans="2:58" ht="14.65" customHeight="1" x14ac:dyDescent="0.15">
      <c r="E155" s="449">
        <v>15</v>
      </c>
      <c r="F155" s="3" t="str" cm="1">
        <f t="array" aca="1" ref="F155" ca="1">OFFSET(E155,-1,1)</f>
        <v>2</v>
      </c>
      <c r="G155" s="22" t="s">
        <v>999</v>
      </c>
      <c r="T155" s="353" t="b" cm="1">
        <f t="array" ref="T155">T154</f>
        <v>1</v>
      </c>
      <c r="X155" s="1022"/>
      <c r="Z155" s="1023"/>
      <c r="AB155" s="7" t="s">
        <v>1000</v>
      </c>
      <c r="AC155" s="127" t="s">
        <v>953</v>
      </c>
      <c r="AD155" s="8" t="s">
        <v>828</v>
      </c>
      <c r="AE155" s="128">
        <v>28101.496106459901</v>
      </c>
      <c r="AF155" s="128">
        <v>556.24275</v>
      </c>
      <c r="AG155" s="128">
        <f>(AG149+AG131)/2</f>
        <v>0</v>
      </c>
      <c r="AH155" s="128">
        <f>(AH149+AH131)/2</f>
        <v>0</v>
      </c>
      <c r="AI155" s="128">
        <v>486060.77580000099</v>
      </c>
      <c r="AJ155" s="778">
        <f t="shared" ref="AJ155:AS155" si="88">(AJ149+AJ131)/2</f>
        <v>0</v>
      </c>
      <c r="AK155" s="778">
        <f t="shared" si="88"/>
        <v>0</v>
      </c>
      <c r="AL155" s="128">
        <f t="shared" si="88"/>
        <v>0</v>
      </c>
      <c r="AM155" s="128">
        <f t="shared" si="88"/>
        <v>0</v>
      </c>
      <c r="AN155" s="128">
        <f t="shared" si="88"/>
        <v>0</v>
      </c>
      <c r="AO155" s="128">
        <f t="shared" si="88"/>
        <v>0</v>
      </c>
      <c r="AP155" s="128">
        <f t="shared" si="88"/>
        <v>0</v>
      </c>
      <c r="AQ155" s="128">
        <f t="shared" si="88"/>
        <v>0</v>
      </c>
      <c r="AR155" s="128">
        <f t="shared" si="88"/>
        <v>0</v>
      </c>
      <c r="AS155" s="128">
        <f t="shared" si="88"/>
        <v>0</v>
      </c>
      <c r="AT155" s="778">
        <f t="shared" ref="AT155:BB155" si="89">(AT149+AT131)/2</f>
        <v>0</v>
      </c>
      <c r="AU155" s="778">
        <f t="shared" si="89"/>
        <v>0</v>
      </c>
      <c r="AV155" s="128">
        <f t="shared" si="89"/>
        <v>0</v>
      </c>
      <c r="AW155" s="128">
        <f t="shared" si="89"/>
        <v>0</v>
      </c>
      <c r="AX155" s="128">
        <f t="shared" si="89"/>
        <v>0</v>
      </c>
      <c r="AY155" s="128">
        <f t="shared" si="89"/>
        <v>0</v>
      </c>
      <c r="AZ155" s="128">
        <f t="shared" si="89"/>
        <v>0</v>
      </c>
      <c r="BA155" s="128">
        <f t="shared" si="89"/>
        <v>0</v>
      </c>
      <c r="BB155" s="128">
        <f t="shared" si="89"/>
        <v>0</v>
      </c>
      <c r="BC155" s="113"/>
      <c r="BF155" s="680" t="s">
        <v>1001</v>
      </c>
    </row>
    <row r="156" spans="2:58" s="63" customFormat="1" ht="21.75" customHeight="1" x14ac:dyDescent="0.15">
      <c r="B156" s="328"/>
      <c r="E156" s="488">
        <v>22.5</v>
      </c>
      <c r="F156" s="3" t="str" cm="1">
        <f t="array" aca="1" ref="F156" ca="1">OFFSET(E156,-1,1)</f>
        <v>2</v>
      </c>
      <c r="G156" s="22" t="s">
        <v>532</v>
      </c>
      <c r="T156" s="353" t="b" cm="1">
        <f t="array" ref="T156">T155</f>
        <v>1</v>
      </c>
      <c r="X156" s="1022"/>
      <c r="Z156" s="1023"/>
      <c r="AB156" s="124">
        <v>6</v>
      </c>
      <c r="AC156" s="125" t="s">
        <v>1002</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80" t="s">
        <v>1003</v>
      </c>
    </row>
    <row r="157" spans="2:58" ht="14.65" customHeight="1" x14ac:dyDescent="0.15">
      <c r="E157" s="449">
        <v>15</v>
      </c>
      <c r="F157" s="3" t="str" cm="1">
        <f t="array" aca="1" ref="F157" ca="1">OFFSET(E157,-1,1)</f>
        <v>2</v>
      </c>
      <c r="G157" s="22" t="s">
        <v>696</v>
      </c>
      <c r="T157" s="353" t="b" cm="1">
        <f t="array" ref="T157">T156</f>
        <v>1</v>
      </c>
      <c r="X157" s="1022"/>
      <c r="Z157" s="1023"/>
      <c r="AB157" s="7" t="s">
        <v>590</v>
      </c>
      <c r="AC157" s="127" t="s">
        <v>940</v>
      </c>
      <c r="AD157" s="7" t="s">
        <v>476</v>
      </c>
      <c r="AE157" s="128">
        <f t="shared" ref="AE157:AF160" si="90">IF(AE151=0,0,AE163/AE151*100)</f>
        <v>0</v>
      </c>
      <c r="AF157" s="128">
        <f t="shared" si="90"/>
        <v>0</v>
      </c>
      <c r="AG157" s="128">
        <v>0.34341765099999999</v>
      </c>
      <c r="AH157" s="128">
        <f t="shared" ref="AH157:AR157" si="91">IF(AH151=0,0,AH163/AH151*100)</f>
        <v>2.6892724696806671</v>
      </c>
      <c r="AI157" s="128">
        <f t="shared" si="91"/>
        <v>0</v>
      </c>
      <c r="AJ157" s="778">
        <f t="shared" si="91"/>
        <v>0</v>
      </c>
      <c r="AK157" s="778">
        <f t="shared" si="91"/>
        <v>0</v>
      </c>
      <c r="AL157" s="128">
        <f t="shared" si="91"/>
        <v>0</v>
      </c>
      <c r="AM157" s="128">
        <f t="shared" si="91"/>
        <v>0</v>
      </c>
      <c r="AN157" s="128">
        <f t="shared" si="91"/>
        <v>0</v>
      </c>
      <c r="AO157" s="128">
        <f t="shared" si="91"/>
        <v>0</v>
      </c>
      <c r="AP157" s="128">
        <f t="shared" si="91"/>
        <v>0</v>
      </c>
      <c r="AQ157" s="128">
        <f t="shared" si="91"/>
        <v>0</v>
      </c>
      <c r="AR157" s="128">
        <f t="shared" si="91"/>
        <v>0</v>
      </c>
      <c r="AS157" s="128">
        <v>0.34341765099999999</v>
      </c>
      <c r="AT157" s="778">
        <f t="shared" ref="AT157:BB157" si="92">IF(AT151=0,0,AT163/AT151*100)</f>
        <v>0</v>
      </c>
      <c r="AU157" s="778">
        <f t="shared" si="92"/>
        <v>0</v>
      </c>
      <c r="AV157" s="128">
        <f t="shared" si="92"/>
        <v>0</v>
      </c>
      <c r="AW157" s="128">
        <f t="shared" si="92"/>
        <v>0</v>
      </c>
      <c r="AX157" s="128">
        <f t="shared" si="92"/>
        <v>0</v>
      </c>
      <c r="AY157" s="128">
        <f t="shared" si="92"/>
        <v>0</v>
      </c>
      <c r="AZ157" s="128">
        <f t="shared" si="92"/>
        <v>0</v>
      </c>
      <c r="BA157" s="128">
        <f t="shared" si="92"/>
        <v>0</v>
      </c>
      <c r="BB157" s="128">
        <f t="shared" si="92"/>
        <v>0</v>
      </c>
      <c r="BC157" s="113"/>
      <c r="BF157" s="680" t="s">
        <v>1004</v>
      </c>
    </row>
    <row r="158" spans="2:58" ht="14.65" customHeight="1" x14ac:dyDescent="0.15">
      <c r="E158" s="449">
        <v>15</v>
      </c>
      <c r="F158" s="3" t="str" cm="1">
        <f t="array" aca="1" ref="F158" ca="1">OFFSET(E158,-1,1)</f>
        <v>2</v>
      </c>
      <c r="G158" s="22" t="s">
        <v>699</v>
      </c>
      <c r="T158" s="353" t="b" cm="1">
        <f t="array" ref="T158">T157</f>
        <v>1</v>
      </c>
      <c r="X158" s="1022"/>
      <c r="Z158" s="1023"/>
      <c r="AB158" s="7" t="s">
        <v>594</v>
      </c>
      <c r="AC158" s="127" t="s">
        <v>943</v>
      </c>
      <c r="AD158" s="7" t="s">
        <v>476</v>
      </c>
      <c r="AE158" s="128">
        <f t="shared" si="90"/>
        <v>0</v>
      </c>
      <c r="AF158" s="128">
        <f t="shared" si="90"/>
        <v>0</v>
      </c>
      <c r="AG158" s="128">
        <v>0.4013348598</v>
      </c>
      <c r="AH158" s="128">
        <f t="shared" ref="AH158:AR158" si="93">IF(AH152=0,0,AH164/AH152*100)</f>
        <v>2.5670062858193918</v>
      </c>
      <c r="AI158" s="128">
        <f t="shared" si="93"/>
        <v>0</v>
      </c>
      <c r="AJ158" s="778">
        <f t="shared" si="93"/>
        <v>0</v>
      </c>
      <c r="AK158" s="778">
        <f t="shared" si="93"/>
        <v>0</v>
      </c>
      <c r="AL158" s="128">
        <f t="shared" si="93"/>
        <v>0</v>
      </c>
      <c r="AM158" s="128">
        <f t="shared" si="93"/>
        <v>0</v>
      </c>
      <c r="AN158" s="128">
        <f t="shared" si="93"/>
        <v>0</v>
      </c>
      <c r="AO158" s="128">
        <f t="shared" si="93"/>
        <v>0</v>
      </c>
      <c r="AP158" s="128">
        <f t="shared" si="93"/>
        <v>0</v>
      </c>
      <c r="AQ158" s="128">
        <f t="shared" si="93"/>
        <v>0</v>
      </c>
      <c r="AR158" s="128">
        <f t="shared" si="93"/>
        <v>0</v>
      </c>
      <c r="AS158" s="128">
        <v>0.39890318219999998</v>
      </c>
      <c r="AT158" s="778">
        <f t="shared" ref="AT158:BB158" si="94">IF(AT152=0,0,AT164/AT152*100)</f>
        <v>0</v>
      </c>
      <c r="AU158" s="778">
        <f t="shared" si="94"/>
        <v>0</v>
      </c>
      <c r="AV158" s="128">
        <f t="shared" si="94"/>
        <v>0</v>
      </c>
      <c r="AW158" s="128">
        <f t="shared" si="94"/>
        <v>0</v>
      </c>
      <c r="AX158" s="128">
        <f t="shared" si="94"/>
        <v>0</v>
      </c>
      <c r="AY158" s="128">
        <f t="shared" si="94"/>
        <v>0</v>
      </c>
      <c r="AZ158" s="128">
        <f t="shared" si="94"/>
        <v>0</v>
      </c>
      <c r="BA158" s="128">
        <f t="shared" si="94"/>
        <v>0</v>
      </c>
      <c r="BB158" s="128">
        <f t="shared" si="94"/>
        <v>0</v>
      </c>
      <c r="BC158" s="113"/>
      <c r="BF158" s="680" t="s">
        <v>1005</v>
      </c>
    </row>
    <row r="159" spans="2:58" ht="14.65" customHeight="1" x14ac:dyDescent="0.15">
      <c r="E159" s="449">
        <v>15</v>
      </c>
      <c r="F159" s="3" t="str" cm="1">
        <f t="array" aca="1" ref="F159" ca="1">OFFSET(E159,-1,1)</f>
        <v>2</v>
      </c>
      <c r="G159" s="22" t="s">
        <v>733</v>
      </c>
      <c r="T159" s="353" t="b" cm="1">
        <f t="array" ref="T159">T158</f>
        <v>1</v>
      </c>
      <c r="X159" s="1022"/>
      <c r="Z159" s="1023"/>
      <c r="AB159" s="7" t="s">
        <v>598</v>
      </c>
      <c r="AC159" s="127" t="s">
        <v>946</v>
      </c>
      <c r="AD159" s="7" t="s">
        <v>476</v>
      </c>
      <c r="AE159" s="128">
        <f t="shared" si="90"/>
        <v>0</v>
      </c>
      <c r="AF159" s="128">
        <f t="shared" si="90"/>
        <v>0</v>
      </c>
      <c r="AG159" s="128">
        <v>0.60895807000000002</v>
      </c>
      <c r="AH159" s="128">
        <f t="shared" ref="AH159:AR159" si="95">IF(AH153=0,0,AH165/AH153*100)</f>
        <v>8.7720013996205672</v>
      </c>
      <c r="AI159" s="128">
        <f t="shared" si="95"/>
        <v>0</v>
      </c>
      <c r="AJ159" s="778">
        <f t="shared" si="95"/>
        <v>0</v>
      </c>
      <c r="AK159" s="778">
        <f t="shared" si="95"/>
        <v>0</v>
      </c>
      <c r="AL159" s="128">
        <f t="shared" si="95"/>
        <v>0</v>
      </c>
      <c r="AM159" s="128">
        <f t="shared" si="95"/>
        <v>0</v>
      </c>
      <c r="AN159" s="128">
        <f t="shared" si="95"/>
        <v>0</v>
      </c>
      <c r="AO159" s="128">
        <f t="shared" si="95"/>
        <v>0</v>
      </c>
      <c r="AP159" s="128">
        <f t="shared" si="95"/>
        <v>0</v>
      </c>
      <c r="AQ159" s="128">
        <f t="shared" si="95"/>
        <v>0</v>
      </c>
      <c r="AR159" s="128">
        <f t="shared" si="95"/>
        <v>0</v>
      </c>
      <c r="AS159" s="128">
        <v>0.60234517799999998</v>
      </c>
      <c r="AT159" s="778">
        <f t="shared" ref="AT159:BB159" si="96">IF(AT153=0,0,AT165/AT153*100)</f>
        <v>0</v>
      </c>
      <c r="AU159" s="778">
        <f t="shared" si="96"/>
        <v>0</v>
      </c>
      <c r="AV159" s="128">
        <f t="shared" si="96"/>
        <v>0</v>
      </c>
      <c r="AW159" s="128">
        <f t="shared" si="96"/>
        <v>0</v>
      </c>
      <c r="AX159" s="128">
        <f t="shared" si="96"/>
        <v>0</v>
      </c>
      <c r="AY159" s="128">
        <f t="shared" si="96"/>
        <v>0</v>
      </c>
      <c r="AZ159" s="128">
        <f t="shared" si="96"/>
        <v>0</v>
      </c>
      <c r="BA159" s="128">
        <f t="shared" si="96"/>
        <v>0</v>
      </c>
      <c r="BB159" s="128">
        <f t="shared" si="96"/>
        <v>0</v>
      </c>
      <c r="BC159" s="113"/>
      <c r="BF159" s="680" t="s">
        <v>1006</v>
      </c>
    </row>
    <row r="160" spans="2:58" ht="14.65" customHeight="1" x14ac:dyDescent="0.15">
      <c r="E160" s="449">
        <v>15</v>
      </c>
      <c r="F160" s="3" t="str" cm="1">
        <f t="array" aca="1" ref="F160" ca="1">OFFSET(E160,-1,1)</f>
        <v>2</v>
      </c>
      <c r="G160" s="22" t="s">
        <v>742</v>
      </c>
      <c r="T160" s="353" t="b" cm="1">
        <f t="array" ref="T160">T159</f>
        <v>1</v>
      </c>
      <c r="X160" s="1022"/>
      <c r="Z160" s="1023"/>
      <c r="AB160" s="7" t="s">
        <v>1007</v>
      </c>
      <c r="AC160" s="127" t="s">
        <v>949</v>
      </c>
      <c r="AD160" s="7" t="s">
        <v>476</v>
      </c>
      <c r="AE160" s="128">
        <f t="shared" si="90"/>
        <v>0</v>
      </c>
      <c r="AF160" s="128">
        <f t="shared" si="90"/>
        <v>0</v>
      </c>
      <c r="AG160" s="128">
        <v>0.51568735509999997</v>
      </c>
      <c r="AH160" s="128">
        <f t="shared" ref="AH160:AR160" si="97">IF(AH154=0,0,AH166/AH154*100)</f>
        <v>0</v>
      </c>
      <c r="AI160" s="128">
        <f t="shared" si="97"/>
        <v>0</v>
      </c>
      <c r="AJ160" s="778">
        <f t="shared" si="97"/>
        <v>0</v>
      </c>
      <c r="AK160" s="778">
        <f t="shared" si="97"/>
        <v>0</v>
      </c>
      <c r="AL160" s="128">
        <f t="shared" si="97"/>
        <v>0</v>
      </c>
      <c r="AM160" s="128">
        <f t="shared" si="97"/>
        <v>0</v>
      </c>
      <c r="AN160" s="128">
        <f t="shared" si="97"/>
        <v>0</v>
      </c>
      <c r="AO160" s="128">
        <f t="shared" si="97"/>
        <v>0</v>
      </c>
      <c r="AP160" s="128">
        <f t="shared" si="97"/>
        <v>0</v>
      </c>
      <c r="AQ160" s="128">
        <f t="shared" si="97"/>
        <v>0</v>
      </c>
      <c r="AR160" s="128">
        <f t="shared" si="97"/>
        <v>0</v>
      </c>
      <c r="AS160" s="128">
        <v>0.51568735509999997</v>
      </c>
      <c r="AT160" s="778">
        <f t="shared" ref="AT160:BB160" si="98">IF(AT154=0,0,AT166/AT154*100)</f>
        <v>0</v>
      </c>
      <c r="AU160" s="778">
        <f t="shared" si="98"/>
        <v>0</v>
      </c>
      <c r="AV160" s="128">
        <f t="shared" si="98"/>
        <v>0</v>
      </c>
      <c r="AW160" s="128">
        <f t="shared" si="98"/>
        <v>0</v>
      </c>
      <c r="AX160" s="128">
        <f t="shared" si="98"/>
        <v>0</v>
      </c>
      <c r="AY160" s="128">
        <f t="shared" si="98"/>
        <v>0</v>
      </c>
      <c r="AZ160" s="128">
        <f t="shared" si="98"/>
        <v>0</v>
      </c>
      <c r="BA160" s="128">
        <f t="shared" si="98"/>
        <v>0</v>
      </c>
      <c r="BB160" s="128">
        <f t="shared" si="98"/>
        <v>0</v>
      </c>
      <c r="BC160" s="113"/>
      <c r="BF160" s="680" t="s">
        <v>1008</v>
      </c>
    </row>
    <row r="161" spans="2:58" ht="14.65" customHeight="1" x14ac:dyDescent="0.15">
      <c r="E161" s="449">
        <v>15</v>
      </c>
      <c r="F161" s="3" t="str" cm="1">
        <f t="array" aca="1" ref="F161" ca="1">OFFSET(E161,-1,1)</f>
        <v>2</v>
      </c>
      <c r="G161" s="22" t="s">
        <v>752</v>
      </c>
      <c r="T161" s="353" t="b" cm="1">
        <f t="array" ref="T161">T160</f>
        <v>1</v>
      </c>
      <c r="X161" s="1022"/>
      <c r="Z161" s="1023"/>
      <c r="AB161" s="7" t="s">
        <v>1009</v>
      </c>
      <c r="AC161" s="127" t="s">
        <v>953</v>
      </c>
      <c r="AD161" s="7" t="s">
        <v>476</v>
      </c>
      <c r="AE161" s="128">
        <v>1.0126617989</v>
      </c>
      <c r="AF161" s="128">
        <v>574.67915001560004</v>
      </c>
      <c r="AG161" s="128">
        <f>IF(AG155=0,0,AG167/AG155*100)</f>
        <v>0</v>
      </c>
      <c r="AH161" s="128">
        <v>1.0126617989</v>
      </c>
      <c r="AI161" s="128">
        <v>1.061387788</v>
      </c>
      <c r="AJ161" s="778">
        <f t="shared" ref="AJ161:AS161" si="99">IF(AJ155=0,0,AJ167/AJ155*100)</f>
        <v>0</v>
      </c>
      <c r="AK161" s="778">
        <f t="shared" si="99"/>
        <v>0</v>
      </c>
      <c r="AL161" s="128">
        <f t="shared" si="99"/>
        <v>0</v>
      </c>
      <c r="AM161" s="128">
        <f t="shared" si="99"/>
        <v>0</v>
      </c>
      <c r="AN161" s="128">
        <f t="shared" si="99"/>
        <v>0</v>
      </c>
      <c r="AO161" s="128">
        <f t="shared" si="99"/>
        <v>0</v>
      </c>
      <c r="AP161" s="128">
        <f t="shared" si="99"/>
        <v>0</v>
      </c>
      <c r="AQ161" s="128">
        <f t="shared" si="99"/>
        <v>0</v>
      </c>
      <c r="AR161" s="128">
        <f t="shared" si="99"/>
        <v>0</v>
      </c>
      <c r="AS161" s="128">
        <f t="shared" si="99"/>
        <v>0</v>
      </c>
      <c r="AT161" s="778">
        <f t="shared" ref="AT161:BB161" si="100">IF(AT155=0,0,AT167/AT155*100)</f>
        <v>0</v>
      </c>
      <c r="AU161" s="778">
        <f t="shared" si="100"/>
        <v>0</v>
      </c>
      <c r="AV161" s="128">
        <f t="shared" si="100"/>
        <v>0</v>
      </c>
      <c r="AW161" s="128">
        <f t="shared" si="100"/>
        <v>0</v>
      </c>
      <c r="AX161" s="128">
        <f t="shared" si="100"/>
        <v>0</v>
      </c>
      <c r="AY161" s="128">
        <f t="shared" si="100"/>
        <v>0</v>
      </c>
      <c r="AZ161" s="128">
        <f t="shared" si="100"/>
        <v>0</v>
      </c>
      <c r="BA161" s="128">
        <f t="shared" si="100"/>
        <v>0</v>
      </c>
      <c r="BB161" s="128">
        <f t="shared" si="100"/>
        <v>0</v>
      </c>
      <c r="BC161" s="113"/>
      <c r="BF161" s="680" t="s">
        <v>1010</v>
      </c>
    </row>
    <row r="162" spans="2:58" s="63" customFormat="1" ht="51.6" customHeight="1" x14ac:dyDescent="0.15">
      <c r="B162" s="328"/>
      <c r="E162" s="449">
        <v>15</v>
      </c>
      <c r="F162" s="3" t="str" cm="1">
        <f t="array" aca="1" ref="F162" ca="1">OFFSET(E162,-1,1)</f>
        <v>2</v>
      </c>
      <c r="G162" s="22" t="s">
        <v>535</v>
      </c>
      <c r="K162" s="40" t="str">
        <f ca="1">F162&amp;"komm"</f>
        <v>2komm</v>
      </c>
      <c r="L162" s="609" t="str" cm="1">
        <f t="array" ref="L162">BC162</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T162" s="353" t="b" cm="1">
        <f t="array" ref="T162">T161</f>
        <v>1</v>
      </c>
      <c r="X162" s="1022"/>
      <c r="Z162" s="1023"/>
      <c r="AB162" s="124">
        <v>7</v>
      </c>
      <c r="AC162" s="125" t="s">
        <v>1011</v>
      </c>
      <c r="AD162" s="8" t="s">
        <v>828</v>
      </c>
      <c r="AE162" s="138">
        <v>284.57311600000003</v>
      </c>
      <c r="AF162" s="138">
        <v>3196.6111077234</v>
      </c>
      <c r="AG162" s="138">
        <v>539.54257240000004</v>
      </c>
      <c r="AH162" s="138">
        <v>515.00771491149999</v>
      </c>
      <c r="AI162" s="138">
        <v>5158.9897164878003</v>
      </c>
      <c r="AJ162" s="774">
        <f t="shared" ref="AJ162:AR162" si="101">SUM(AJ163:AJ167)</f>
        <v>0</v>
      </c>
      <c r="AK162" s="774">
        <f t="shared" si="101"/>
        <v>0</v>
      </c>
      <c r="AL162" s="138">
        <f t="shared" si="101"/>
        <v>0</v>
      </c>
      <c r="AM162" s="138">
        <f t="shared" si="101"/>
        <v>0</v>
      </c>
      <c r="AN162" s="138">
        <f t="shared" si="101"/>
        <v>0</v>
      </c>
      <c r="AO162" s="138">
        <f t="shared" si="101"/>
        <v>0</v>
      </c>
      <c r="AP162" s="138">
        <f t="shared" si="101"/>
        <v>0</v>
      </c>
      <c r="AQ162" s="138">
        <f t="shared" si="101"/>
        <v>0</v>
      </c>
      <c r="AR162" s="138">
        <f t="shared" si="101"/>
        <v>0</v>
      </c>
      <c r="AS162" s="138">
        <v>531.41589390000001</v>
      </c>
      <c r="AT162" s="774">
        <f t="shared" ref="AT162:BB162" si="102">SUM(AT163:AT167)</f>
        <v>0</v>
      </c>
      <c r="AU162" s="774">
        <f t="shared" si="102"/>
        <v>0</v>
      </c>
      <c r="AV162" s="138">
        <f t="shared" si="102"/>
        <v>0</v>
      </c>
      <c r="AW162" s="138">
        <f t="shared" si="102"/>
        <v>0</v>
      </c>
      <c r="AX162" s="138">
        <f t="shared" si="102"/>
        <v>0</v>
      </c>
      <c r="AY162" s="138">
        <f t="shared" si="102"/>
        <v>0</v>
      </c>
      <c r="AZ162" s="138">
        <f t="shared" si="102"/>
        <v>0</v>
      </c>
      <c r="BA162" s="138">
        <f t="shared" si="102"/>
        <v>0</v>
      </c>
      <c r="BB162" s="138">
        <f t="shared" si="102"/>
        <v>0</v>
      </c>
      <c r="BC162" s="113" t="s">
        <v>1037</v>
      </c>
      <c r="BF162" s="680" t="s">
        <v>1012</v>
      </c>
    </row>
    <row r="163" spans="2:58" ht="40.35" customHeight="1" x14ac:dyDescent="0.15">
      <c r="E163" s="449">
        <v>15</v>
      </c>
      <c r="F163" s="3" t="str" cm="1">
        <f t="array" aca="1" ref="F163" ca="1">OFFSET(E163,-1,1)</f>
        <v>2</v>
      </c>
      <c r="G163" s="22" t="s">
        <v>703</v>
      </c>
      <c r="T163" s="353" t="b" cm="1">
        <f t="array" ref="T163">T162</f>
        <v>1</v>
      </c>
      <c r="X163" s="1022"/>
      <c r="Z163" s="1023"/>
      <c r="AB163" s="7" t="s">
        <v>606</v>
      </c>
      <c r="AC163" s="127" t="s">
        <v>940</v>
      </c>
      <c r="AD163" s="8" t="s">
        <v>828</v>
      </c>
      <c r="AE163" s="128"/>
      <c r="AF163" s="128"/>
      <c r="AG163" s="128">
        <v>96.326229999999995</v>
      </c>
      <c r="AH163" s="128">
        <v>83.729737803000006</v>
      </c>
      <c r="AI163" s="128"/>
      <c r="AJ163" s="778"/>
      <c r="AK163" s="778"/>
      <c r="AL163" s="128"/>
      <c r="AM163" s="128"/>
      <c r="AN163" s="128"/>
      <c r="AO163" s="128"/>
      <c r="AP163" s="128"/>
      <c r="AQ163" s="128"/>
      <c r="AR163" s="128"/>
      <c r="AS163" s="128">
        <v>96.326229999999995</v>
      </c>
      <c r="AT163" s="778"/>
      <c r="AU163" s="778"/>
      <c r="AV163" s="128"/>
      <c r="AW163" s="128"/>
      <c r="AX163" s="128"/>
      <c r="AY163" s="128"/>
      <c r="AZ163" s="128"/>
      <c r="BA163" s="128"/>
      <c r="BB163" s="128"/>
      <c r="BC163" s="113" t="s">
        <v>1047</v>
      </c>
      <c r="BF163" s="680" t="s">
        <v>1013</v>
      </c>
    </row>
    <row r="164" spans="2:58" ht="71.099999999999994" customHeight="1" x14ac:dyDescent="0.15">
      <c r="E164" s="449">
        <v>15</v>
      </c>
      <c r="F164" s="3" t="str" cm="1">
        <f t="array" aca="1" ref="F164" ca="1">OFFSET(E164,-1,1)</f>
        <v>2</v>
      </c>
      <c r="G164" s="22" t="s">
        <v>706</v>
      </c>
      <c r="T164" s="353" t="b" cm="1">
        <f t="array" ref="T164">T163</f>
        <v>1</v>
      </c>
      <c r="X164" s="1022"/>
      <c r="Z164" s="1023"/>
      <c r="AB164" s="7" t="s">
        <v>1014</v>
      </c>
      <c r="AC164" s="127" t="s">
        <v>943</v>
      </c>
      <c r="AD164" s="8" t="s">
        <v>828</v>
      </c>
      <c r="AE164" s="128"/>
      <c r="AF164" s="128"/>
      <c r="AG164" s="128">
        <v>327.03969239999998</v>
      </c>
      <c r="AH164" s="128">
        <v>236.57949815149999</v>
      </c>
      <c r="AI164" s="128"/>
      <c r="AJ164" s="778"/>
      <c r="AK164" s="778"/>
      <c r="AL164" s="128"/>
      <c r="AM164" s="128"/>
      <c r="AN164" s="128"/>
      <c r="AO164" s="128"/>
      <c r="AP164" s="128"/>
      <c r="AQ164" s="128"/>
      <c r="AR164" s="128"/>
      <c r="AS164" s="128">
        <v>318.91301390000001</v>
      </c>
      <c r="AT164" s="778"/>
      <c r="AU164" s="778"/>
      <c r="AV164" s="128"/>
      <c r="AW164" s="128"/>
      <c r="AX164" s="128"/>
      <c r="AY164" s="128"/>
      <c r="AZ164" s="128"/>
      <c r="BA164" s="128"/>
      <c r="BB164" s="128"/>
      <c r="BC164" s="113" t="s">
        <v>1048</v>
      </c>
      <c r="BF164" s="680" t="s">
        <v>1015</v>
      </c>
    </row>
    <row r="165" spans="2:58" ht="53.45" customHeight="1" x14ac:dyDescent="0.15">
      <c r="E165" s="449">
        <v>15</v>
      </c>
      <c r="F165" s="3" t="str" cm="1">
        <f t="array" aca="1" ref="F165" ca="1">OFFSET(E165,-1,1)</f>
        <v>2</v>
      </c>
      <c r="G165" s="22" t="s">
        <v>1016</v>
      </c>
      <c r="T165" s="353" t="b" cm="1">
        <f t="array" ref="T165">T164</f>
        <v>1</v>
      </c>
      <c r="X165" s="1022"/>
      <c r="Z165" s="1023"/>
      <c r="AB165" s="7" t="s">
        <v>1017</v>
      </c>
      <c r="AC165" s="127" t="s">
        <v>946</v>
      </c>
      <c r="AD165" s="8" t="s">
        <v>828</v>
      </c>
      <c r="AE165" s="128"/>
      <c r="AF165" s="128"/>
      <c r="AG165" s="128">
        <v>72.986549999999994</v>
      </c>
      <c r="AH165" s="128">
        <v>194.69847895699999</v>
      </c>
      <c r="AI165" s="128"/>
      <c r="AJ165" s="778"/>
      <c r="AK165" s="778"/>
      <c r="AL165" s="128"/>
      <c r="AM165" s="128"/>
      <c r="AN165" s="128"/>
      <c r="AO165" s="128"/>
      <c r="AP165" s="128"/>
      <c r="AQ165" s="128"/>
      <c r="AR165" s="128"/>
      <c r="AS165" s="128">
        <v>72.986549999999994</v>
      </c>
      <c r="AT165" s="778"/>
      <c r="AU165" s="778"/>
      <c r="AV165" s="128"/>
      <c r="AW165" s="128"/>
      <c r="AX165" s="128"/>
      <c r="AY165" s="128"/>
      <c r="AZ165" s="128"/>
      <c r="BA165" s="128"/>
      <c r="BB165" s="128"/>
      <c r="BC165" s="113" t="s">
        <v>1049</v>
      </c>
      <c r="BF165" s="680" t="s">
        <v>1018</v>
      </c>
    </row>
    <row r="166" spans="2:58" ht="44.1" customHeight="1" x14ac:dyDescent="0.15">
      <c r="E166" s="449">
        <v>15</v>
      </c>
      <c r="F166" s="3" t="str" cm="1">
        <f t="array" aca="1" ref="F166" ca="1">OFFSET(E166,-1,1)</f>
        <v>2</v>
      </c>
      <c r="G166" s="22" t="s">
        <v>1019</v>
      </c>
      <c r="T166" s="353" t="b" cm="1">
        <f t="array" ref="T166">T165</f>
        <v>1</v>
      </c>
      <c r="X166" s="1022"/>
      <c r="Z166" s="1023"/>
      <c r="AB166" s="7" t="s">
        <v>1020</v>
      </c>
      <c r="AC166" s="127" t="s">
        <v>949</v>
      </c>
      <c r="AD166" s="8" t="s">
        <v>828</v>
      </c>
      <c r="AE166" s="128"/>
      <c r="AF166" s="128"/>
      <c r="AG166" s="128">
        <v>43.190100000000001</v>
      </c>
      <c r="AH166" s="128">
        <v>0</v>
      </c>
      <c r="AI166" s="128"/>
      <c r="AJ166" s="778"/>
      <c r="AK166" s="778"/>
      <c r="AL166" s="128"/>
      <c r="AM166" s="128"/>
      <c r="AN166" s="128"/>
      <c r="AO166" s="128"/>
      <c r="AP166" s="128"/>
      <c r="AQ166" s="128"/>
      <c r="AR166" s="128"/>
      <c r="AS166" s="128">
        <v>43.190100000000001</v>
      </c>
      <c r="AT166" s="778"/>
      <c r="AU166" s="778"/>
      <c r="AV166" s="128"/>
      <c r="AW166" s="128"/>
      <c r="AX166" s="128"/>
      <c r="AY166" s="128"/>
      <c r="AZ166" s="128"/>
      <c r="BA166" s="128"/>
      <c r="BB166" s="128"/>
      <c r="BC166" s="113" t="s">
        <v>1050</v>
      </c>
      <c r="BF166" s="680" t="s">
        <v>1021</v>
      </c>
    </row>
    <row r="167" spans="2:58" ht="14.65" customHeight="1" x14ac:dyDescent="0.15">
      <c r="E167" s="449">
        <v>15</v>
      </c>
      <c r="F167" s="3" t="str" cm="1">
        <f t="array" aca="1" ref="F167" ca="1">OFFSET(E167,-1,1)</f>
        <v>2</v>
      </c>
      <c r="G167" s="22" t="s">
        <v>1022</v>
      </c>
      <c r="T167" s="353" t="b" cm="1">
        <f t="array" ref="T167">T166</f>
        <v>1</v>
      </c>
      <c r="X167" s="1022"/>
      <c r="Z167" s="1023"/>
      <c r="AB167" s="7" t="s">
        <v>1023</v>
      </c>
      <c r="AC167" s="127" t="s">
        <v>953</v>
      </c>
      <c r="AD167" s="8" t="s">
        <v>828</v>
      </c>
      <c r="AE167" s="128">
        <v>284.57311600000003</v>
      </c>
      <c r="AF167" s="128">
        <v>3196.6111077234</v>
      </c>
      <c r="AG167" s="128">
        <v>0</v>
      </c>
      <c r="AH167" s="128">
        <v>0</v>
      </c>
      <c r="AI167" s="128">
        <v>5158.9897164878003</v>
      </c>
      <c r="AJ167" s="778"/>
      <c r="AK167" s="778"/>
      <c r="AL167" s="128"/>
      <c r="AM167" s="128"/>
      <c r="AN167" s="128"/>
      <c r="AO167" s="128"/>
      <c r="AP167" s="128"/>
      <c r="AQ167" s="128"/>
      <c r="AR167" s="128"/>
      <c r="AS167" s="128">
        <v>0</v>
      </c>
      <c r="AT167" s="778"/>
      <c r="AU167" s="778"/>
      <c r="AV167" s="128"/>
      <c r="AW167" s="128"/>
      <c r="AX167" s="128"/>
      <c r="AY167" s="128"/>
      <c r="AZ167" s="128"/>
      <c r="BA167" s="128"/>
      <c r="BB167" s="128"/>
      <c r="BC167" s="113"/>
      <c r="BF167" s="680" t="s">
        <v>1024</v>
      </c>
    </row>
    <row r="168" spans="2:58" s="63" customFormat="1" ht="14.65" customHeight="1" x14ac:dyDescent="0.15">
      <c r="B168" s="328"/>
      <c r="E168" s="449">
        <v>15</v>
      </c>
      <c r="F168" s="3" t="str" cm="1">
        <f t="array" aca="1" ref="F168" ca="1">OFFSET(E168,-1,1)</f>
        <v>2</v>
      </c>
      <c r="G168" s="22" t="s">
        <v>586</v>
      </c>
      <c r="T168" s="353" t="b" cm="1">
        <f t="array" ref="T168">T167</f>
        <v>1</v>
      </c>
      <c r="X168" s="1022"/>
      <c r="Z168" s="1023"/>
      <c r="AB168" s="124">
        <v>8</v>
      </c>
      <c r="AC168" s="125" t="s">
        <v>1025</v>
      </c>
      <c r="AD168" s="8" t="s">
        <v>828</v>
      </c>
      <c r="AE168" s="138">
        <f>SUM(AE169:AE173)</f>
        <v>0</v>
      </c>
      <c r="AF168" s="138">
        <v>212031.82800000001</v>
      </c>
      <c r="AG168" s="138">
        <f t="shared" ref="AG168:BB168" si="103">SUM(AG169:AG173)</f>
        <v>0</v>
      </c>
      <c r="AH168" s="138">
        <f t="shared" si="103"/>
        <v>0</v>
      </c>
      <c r="AI168" s="138">
        <f t="shared" si="103"/>
        <v>0</v>
      </c>
      <c r="AJ168" s="774">
        <f t="shared" si="103"/>
        <v>0</v>
      </c>
      <c r="AK168" s="774">
        <f t="shared" si="103"/>
        <v>0</v>
      </c>
      <c r="AL168" s="138">
        <f t="shared" si="103"/>
        <v>0</v>
      </c>
      <c r="AM168" s="138">
        <f t="shared" si="103"/>
        <v>0</v>
      </c>
      <c r="AN168" s="138">
        <f t="shared" si="103"/>
        <v>0</v>
      </c>
      <c r="AO168" s="138">
        <f t="shared" si="103"/>
        <v>0</v>
      </c>
      <c r="AP168" s="138">
        <f t="shared" si="103"/>
        <v>0</v>
      </c>
      <c r="AQ168" s="138">
        <f t="shared" si="103"/>
        <v>0</v>
      </c>
      <c r="AR168" s="138">
        <f t="shared" si="103"/>
        <v>0</v>
      </c>
      <c r="AS168" s="138">
        <f t="shared" si="103"/>
        <v>0</v>
      </c>
      <c r="AT168" s="774">
        <f t="shared" si="103"/>
        <v>0</v>
      </c>
      <c r="AU168" s="774">
        <f t="shared" si="103"/>
        <v>0</v>
      </c>
      <c r="AV168" s="138">
        <f t="shared" si="103"/>
        <v>0</v>
      </c>
      <c r="AW168" s="138">
        <f t="shared" si="103"/>
        <v>0</v>
      </c>
      <c r="AX168" s="138">
        <f t="shared" si="103"/>
        <v>0</v>
      </c>
      <c r="AY168" s="138">
        <f t="shared" si="103"/>
        <v>0</v>
      </c>
      <c r="AZ168" s="138">
        <f t="shared" si="103"/>
        <v>0</v>
      </c>
      <c r="BA168" s="138">
        <f t="shared" si="103"/>
        <v>0</v>
      </c>
      <c r="BB168" s="138">
        <f t="shared" si="103"/>
        <v>0</v>
      </c>
      <c r="BC168" s="113"/>
      <c r="BF168" s="680" t="s">
        <v>1026</v>
      </c>
    </row>
    <row r="169" spans="2:58" ht="14.25" customHeight="1" x14ac:dyDescent="0.15">
      <c r="E169" s="449">
        <v>15</v>
      </c>
      <c r="F169" s="3" t="str" cm="1">
        <f t="array" aca="1" ref="F169" ca="1">OFFSET(E169,-1,1)</f>
        <v>2</v>
      </c>
      <c r="G169" s="22" t="s">
        <v>589</v>
      </c>
      <c r="T169" s="353" t="b" cm="1">
        <f t="array" ref="T169">T168</f>
        <v>1</v>
      </c>
      <c r="X169" s="1022"/>
      <c r="Z169" s="1023"/>
      <c r="AB169" s="7" t="s">
        <v>614</v>
      </c>
      <c r="AC169" s="127" t="s">
        <v>940</v>
      </c>
      <c r="AD169" s="8" t="s">
        <v>828</v>
      </c>
      <c r="AE169" s="128"/>
      <c r="AF169" s="128"/>
      <c r="AG169" s="128"/>
      <c r="AH169" s="128"/>
      <c r="AI169" s="128"/>
      <c r="AJ169" s="778"/>
      <c r="AK169" s="778"/>
      <c r="AL169" s="128"/>
      <c r="AM169" s="128"/>
      <c r="AN169" s="128"/>
      <c r="AO169" s="128"/>
      <c r="AP169" s="128"/>
      <c r="AQ169" s="128"/>
      <c r="AR169" s="128"/>
      <c r="AS169" s="128"/>
      <c r="AT169" s="778"/>
      <c r="AU169" s="778"/>
      <c r="AV169" s="128"/>
      <c r="AW169" s="128"/>
      <c r="AX169" s="128"/>
      <c r="AY169" s="128"/>
      <c r="AZ169" s="128"/>
      <c r="BA169" s="128"/>
      <c r="BB169" s="128"/>
      <c r="BC169" s="113"/>
      <c r="BF169" s="680" t="s">
        <v>1027</v>
      </c>
    </row>
    <row r="170" spans="2:58" ht="39.200000000000003" customHeight="1" x14ac:dyDescent="0.15">
      <c r="E170" s="449">
        <v>15</v>
      </c>
      <c r="F170" s="3" t="str" cm="1">
        <f t="array" aca="1" ref="F170" ca="1">OFFSET(E170,-1,1)</f>
        <v>2</v>
      </c>
      <c r="G170" s="22" t="s">
        <v>593</v>
      </c>
      <c r="T170" s="353" t="b" cm="1">
        <f t="array" ref="T170">T169</f>
        <v>1</v>
      </c>
      <c r="X170" s="1022"/>
      <c r="Z170" s="1023"/>
      <c r="AB170" s="7" t="s">
        <v>631</v>
      </c>
      <c r="AC170" s="127" t="s">
        <v>943</v>
      </c>
      <c r="AD170" s="8" t="s">
        <v>828</v>
      </c>
      <c r="AE170" s="128"/>
      <c r="AF170" s="128">
        <v>212031.82800000001</v>
      </c>
      <c r="AG170" s="128">
        <v>0</v>
      </c>
      <c r="AH170" s="128"/>
      <c r="AI170" s="128"/>
      <c r="AJ170" s="778"/>
      <c r="AK170" s="778"/>
      <c r="AL170" s="128"/>
      <c r="AM170" s="128"/>
      <c r="AN170" s="128"/>
      <c r="AO170" s="128"/>
      <c r="AP170" s="128"/>
      <c r="AQ170" s="128"/>
      <c r="AR170" s="128"/>
      <c r="AS170" s="128"/>
      <c r="AT170" s="778"/>
      <c r="AU170" s="778"/>
      <c r="AV170" s="128"/>
      <c r="AW170" s="128"/>
      <c r="AX170" s="128"/>
      <c r="AY170" s="128"/>
      <c r="AZ170" s="128"/>
      <c r="BA170" s="128"/>
      <c r="BB170" s="128"/>
      <c r="BC170" s="113" t="s">
        <v>1051</v>
      </c>
      <c r="BF170" s="680" t="s">
        <v>1028</v>
      </c>
    </row>
    <row r="171" spans="2:58" ht="14.25" customHeight="1" x14ac:dyDescent="0.15">
      <c r="E171" s="449">
        <v>15</v>
      </c>
      <c r="F171" s="3" t="str" cm="1">
        <f t="array" aca="1" ref="F171" ca="1">OFFSET(E171,-1,1)</f>
        <v>2</v>
      </c>
      <c r="G171" s="22" t="s">
        <v>597</v>
      </c>
      <c r="T171" s="353" t="b" cm="1">
        <f t="array" ref="T171">T170</f>
        <v>1</v>
      </c>
      <c r="X171" s="1022"/>
      <c r="Z171" s="1023"/>
      <c r="AB171" s="7" t="s">
        <v>643</v>
      </c>
      <c r="AC171" s="127" t="s">
        <v>946</v>
      </c>
      <c r="AD171" s="8" t="s">
        <v>828</v>
      </c>
      <c r="AE171" s="128"/>
      <c r="AF171" s="128"/>
      <c r="AG171" s="128"/>
      <c r="AH171" s="128"/>
      <c r="AI171" s="128"/>
      <c r="AJ171" s="778"/>
      <c r="AK171" s="778"/>
      <c r="AL171" s="128"/>
      <c r="AM171" s="128"/>
      <c r="AN171" s="128"/>
      <c r="AO171" s="128"/>
      <c r="AP171" s="128"/>
      <c r="AQ171" s="128"/>
      <c r="AR171" s="128"/>
      <c r="AS171" s="128"/>
      <c r="AT171" s="778"/>
      <c r="AU171" s="778"/>
      <c r="AV171" s="128"/>
      <c r="AW171" s="128"/>
      <c r="AX171" s="128"/>
      <c r="AY171" s="128"/>
      <c r="AZ171" s="128"/>
      <c r="BA171" s="128"/>
      <c r="BB171" s="128"/>
      <c r="BC171" s="113"/>
      <c r="BF171" s="680" t="s">
        <v>1029</v>
      </c>
    </row>
    <row r="172" spans="2:58" ht="14.25" customHeight="1" x14ac:dyDescent="0.15">
      <c r="E172" s="449">
        <v>15</v>
      </c>
      <c r="F172" s="3" t="str" cm="1">
        <f t="array" aca="1" ref="F172" ca="1">OFFSET(E172,-1,1)</f>
        <v>2</v>
      </c>
      <c r="G172" s="22" t="s">
        <v>1030</v>
      </c>
      <c r="T172" s="353" t="b" cm="1">
        <f t="array" ref="T172">T171</f>
        <v>1</v>
      </c>
      <c r="X172" s="1022"/>
      <c r="Z172" s="1023"/>
      <c r="AB172" s="7" t="s">
        <v>678</v>
      </c>
      <c r="AC172" s="127" t="s">
        <v>949</v>
      </c>
      <c r="AD172" s="8" t="s">
        <v>828</v>
      </c>
      <c r="AE172" s="128"/>
      <c r="AF172" s="128"/>
      <c r="AG172" s="128"/>
      <c r="AH172" s="128"/>
      <c r="AI172" s="128"/>
      <c r="AJ172" s="778"/>
      <c r="AK172" s="778"/>
      <c r="AL172" s="128"/>
      <c r="AM172" s="128"/>
      <c r="AN172" s="128"/>
      <c r="AO172" s="128"/>
      <c r="AP172" s="128"/>
      <c r="AQ172" s="128"/>
      <c r="AR172" s="128"/>
      <c r="AS172" s="128"/>
      <c r="AT172" s="778"/>
      <c r="AU172" s="778"/>
      <c r="AV172" s="128"/>
      <c r="AW172" s="128"/>
      <c r="AX172" s="128"/>
      <c r="AY172" s="128"/>
      <c r="AZ172" s="128"/>
      <c r="BA172" s="128"/>
      <c r="BB172" s="128"/>
      <c r="BC172" s="113"/>
      <c r="BF172" s="680" t="s">
        <v>1031</v>
      </c>
    </row>
    <row r="173" spans="2:58" ht="14.25" customHeight="1" x14ac:dyDescent="0.15">
      <c r="E173" s="449">
        <v>15</v>
      </c>
      <c r="F173" s="3" t="str" cm="1">
        <f t="array" aca="1" ref="F173" ca="1">OFFSET(E173,-1,1)</f>
        <v>2</v>
      </c>
      <c r="G173" s="22" t="s">
        <v>1032</v>
      </c>
      <c r="T173" s="353" t="b" cm="1">
        <f t="array" ref="T173">T172</f>
        <v>1</v>
      </c>
      <c r="X173" s="1022"/>
      <c r="Z173" s="1023"/>
      <c r="AB173" s="7" t="s">
        <v>681</v>
      </c>
      <c r="AC173" s="127" t="s">
        <v>953</v>
      </c>
      <c r="AD173" s="8" t="s">
        <v>828</v>
      </c>
      <c r="AE173" s="128"/>
      <c r="AF173" s="128"/>
      <c r="AG173" s="128"/>
      <c r="AH173" s="128"/>
      <c r="AI173" s="128"/>
      <c r="AJ173" s="778"/>
      <c r="AK173" s="778"/>
      <c r="AL173" s="128"/>
      <c r="AM173" s="128"/>
      <c r="AN173" s="128"/>
      <c r="AO173" s="128"/>
      <c r="AP173" s="128"/>
      <c r="AQ173" s="128"/>
      <c r="AR173" s="128"/>
      <c r="AS173" s="128"/>
      <c r="AT173" s="778"/>
      <c r="AU173" s="778"/>
      <c r="AV173" s="128"/>
      <c r="AW173" s="128"/>
      <c r="AX173" s="128"/>
      <c r="AY173" s="128"/>
      <c r="AZ173" s="128"/>
      <c r="BA173" s="128"/>
      <c r="BB173" s="128"/>
      <c r="BC173" s="113"/>
      <c r="BF173" s="680" t="s">
        <v>1033</v>
      </c>
    </row>
    <row r="174" spans="2:58" ht="26.1" customHeight="1" x14ac:dyDescent="0.15">
      <c r="E174" s="449">
        <v>15</v>
      </c>
      <c r="F174" s="519" t="str" cm="1">
        <f t="array" ref="F174">X174</f>
        <v>3</v>
      </c>
      <c r="T174" s="353" t="b">
        <f>X174&gt;0</f>
        <v>1</v>
      </c>
      <c r="V174" s="22" t="str" cm="1">
        <f t="array" ref="V174">ЭЭ!$AB$93</f>
        <v>Тариф 3 (Водоотведение) - тариф на транспортировку сточных вод</v>
      </c>
      <c r="X174" s="1022" t="s">
        <v>291</v>
      </c>
      <c r="Z174" s="1023"/>
      <c r="AB174" s="97" t="str" cm="1">
        <f t="array" ref="AB174">ЭЭ!$AB$93</f>
        <v>Тариф 3 (Водоотведение) - тариф на транспортировку сточных вод</v>
      </c>
      <c r="AC174" s="94"/>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123"/>
    </row>
    <row r="175" spans="2:58" s="63" customFormat="1" ht="52.9" customHeight="1" x14ac:dyDescent="0.15">
      <c r="B175" s="328"/>
      <c r="E175" s="488">
        <v>22.5</v>
      </c>
      <c r="F175" s="3" t="str" cm="1">
        <f t="array" aca="1" ref="F175" ca="1">OFFSET(E175,-1,1)</f>
        <v>3</v>
      </c>
      <c r="G175" s="22" t="s">
        <v>331</v>
      </c>
      <c r="T175" s="353" t="b" cm="1">
        <f t="array" ref="T175">T174</f>
        <v>1</v>
      </c>
      <c r="X175" s="1022"/>
      <c r="Z175" s="1023"/>
      <c r="AB175" s="124">
        <v>1</v>
      </c>
      <c r="AC175" s="125" t="s">
        <v>937</v>
      </c>
      <c r="AD175" s="8" t="s">
        <v>828</v>
      </c>
      <c r="AE175" s="138">
        <v>138850.12264508</v>
      </c>
      <c r="AF175" s="138">
        <v>180208.33411</v>
      </c>
      <c r="AG175" s="138">
        <v>168873.56111000001</v>
      </c>
      <c r="AH175" s="138">
        <v>122095.58343174</v>
      </c>
      <c r="AI175" s="138">
        <v>195156.43031</v>
      </c>
      <c r="AJ175" s="774">
        <f t="shared" ref="AJ175:AR175" si="104">SUM(AJ176:AJ180)</f>
        <v>0</v>
      </c>
      <c r="AK175" s="774">
        <f t="shared" si="104"/>
        <v>0</v>
      </c>
      <c r="AL175" s="138">
        <f t="shared" si="104"/>
        <v>0</v>
      </c>
      <c r="AM175" s="138">
        <f t="shared" si="104"/>
        <v>0</v>
      </c>
      <c r="AN175" s="138">
        <f t="shared" si="104"/>
        <v>0</v>
      </c>
      <c r="AO175" s="138">
        <f t="shared" si="104"/>
        <v>0</v>
      </c>
      <c r="AP175" s="138">
        <f t="shared" si="104"/>
        <v>0</v>
      </c>
      <c r="AQ175" s="138">
        <f t="shared" si="104"/>
        <v>0</v>
      </c>
      <c r="AR175" s="138">
        <f t="shared" si="104"/>
        <v>0</v>
      </c>
      <c r="AS175" s="138">
        <v>168652.12211</v>
      </c>
      <c r="AT175" s="774">
        <f t="shared" ref="AT175:BB175" si="105">SUM(AT176:AT180)</f>
        <v>0</v>
      </c>
      <c r="AU175" s="774">
        <f t="shared" si="105"/>
        <v>0</v>
      </c>
      <c r="AV175" s="138">
        <f t="shared" si="105"/>
        <v>0</v>
      </c>
      <c r="AW175" s="138">
        <f t="shared" si="105"/>
        <v>0</v>
      </c>
      <c r="AX175" s="138">
        <f t="shared" si="105"/>
        <v>0</v>
      </c>
      <c r="AY175" s="138">
        <f t="shared" si="105"/>
        <v>0</v>
      </c>
      <c r="AZ175" s="138">
        <f t="shared" si="105"/>
        <v>0</v>
      </c>
      <c r="BA175" s="138">
        <f t="shared" si="105"/>
        <v>0</v>
      </c>
      <c r="BB175" s="138">
        <f t="shared" si="105"/>
        <v>0</v>
      </c>
      <c r="BC175" s="113" t="s">
        <v>1034</v>
      </c>
      <c r="BF175" s="680" t="s">
        <v>938</v>
      </c>
    </row>
    <row r="176" spans="2:58" ht="14.65" customHeight="1" x14ac:dyDescent="0.15">
      <c r="E176" s="449">
        <v>15</v>
      </c>
      <c r="F176" s="3" t="str" cm="1">
        <f t="array" aca="1" ref="F176" ca="1">OFFSET(E176,-1,1)</f>
        <v>3</v>
      </c>
      <c r="G176" s="22" t="s">
        <v>482</v>
      </c>
      <c r="T176" s="353" t="b" cm="1">
        <f t="array" ref="T176">T175</f>
        <v>1</v>
      </c>
      <c r="X176" s="1022"/>
      <c r="Z176" s="1023"/>
      <c r="AB176" s="7" t="s">
        <v>939</v>
      </c>
      <c r="AC176" s="127" t="s">
        <v>940</v>
      </c>
      <c r="AD176" s="8" t="s">
        <v>828</v>
      </c>
      <c r="AE176" s="128"/>
      <c r="AF176" s="128">
        <v>734.05011000000002</v>
      </c>
      <c r="AG176" s="128">
        <v>734.05011000000002</v>
      </c>
      <c r="AH176" s="128">
        <v>530.71822953000003</v>
      </c>
      <c r="AI176" s="128"/>
      <c r="AJ176" s="778"/>
      <c r="AK176" s="778"/>
      <c r="AL176" s="128"/>
      <c r="AM176" s="128"/>
      <c r="AN176" s="128"/>
      <c r="AO176" s="128"/>
      <c r="AP176" s="128"/>
      <c r="AQ176" s="128"/>
      <c r="AR176" s="128"/>
      <c r="AS176" s="128">
        <v>734.05011000000002</v>
      </c>
      <c r="AT176" s="778"/>
      <c r="AU176" s="778"/>
      <c r="AV176" s="128"/>
      <c r="AW176" s="128"/>
      <c r="AX176" s="128"/>
      <c r="AY176" s="128"/>
      <c r="AZ176" s="128"/>
      <c r="BA176" s="128"/>
      <c r="BB176" s="128"/>
      <c r="BC176" s="113"/>
      <c r="BF176" s="680" t="s">
        <v>941</v>
      </c>
    </row>
    <row r="177" spans="2:58" ht="51.6" customHeight="1" x14ac:dyDescent="0.15">
      <c r="E177" s="449">
        <v>15</v>
      </c>
      <c r="F177" s="3" t="str" cm="1">
        <f t="array" aca="1" ref="F177" ca="1">OFFSET(E177,-1,1)</f>
        <v>3</v>
      </c>
      <c r="G177" s="22" t="s">
        <v>486</v>
      </c>
      <c r="T177" s="353" t="b" cm="1">
        <f t="array" ref="T177">T176</f>
        <v>1</v>
      </c>
      <c r="X177" s="1022"/>
      <c r="Z177" s="1023"/>
      <c r="AB177" s="7" t="s">
        <v>942</v>
      </c>
      <c r="AC177" s="127" t="s">
        <v>943</v>
      </c>
      <c r="AD177" s="8" t="s">
        <v>828</v>
      </c>
      <c r="AE177" s="128"/>
      <c r="AF177" s="128">
        <v>176585.67300000001</v>
      </c>
      <c r="AG177" s="128">
        <v>167445.296</v>
      </c>
      <c r="AH177" s="128">
        <v>121062.94879833001</v>
      </c>
      <c r="AI177" s="128"/>
      <c r="AJ177" s="778"/>
      <c r="AK177" s="778"/>
      <c r="AL177" s="128"/>
      <c r="AM177" s="128"/>
      <c r="AN177" s="128"/>
      <c r="AO177" s="128"/>
      <c r="AP177" s="128"/>
      <c r="AQ177" s="128"/>
      <c r="AR177" s="128"/>
      <c r="AS177" s="128">
        <v>166898.073</v>
      </c>
      <c r="AT177" s="778"/>
      <c r="AU177" s="778"/>
      <c r="AV177" s="128"/>
      <c r="AW177" s="128"/>
      <c r="AX177" s="128"/>
      <c r="AY177" s="128"/>
      <c r="AZ177" s="128"/>
      <c r="BA177" s="128"/>
      <c r="BB177" s="128"/>
      <c r="BC177" s="113" t="s">
        <v>1052</v>
      </c>
      <c r="BF177" s="680" t="s">
        <v>944</v>
      </c>
    </row>
    <row r="178" spans="2:58" ht="34.700000000000003" customHeight="1" x14ac:dyDescent="0.15">
      <c r="E178" s="449">
        <v>15</v>
      </c>
      <c r="F178" s="3" t="str" cm="1">
        <f t="array" aca="1" ref="F178" ca="1">OFFSET(E178,-1,1)</f>
        <v>3</v>
      </c>
      <c r="G178" s="22" t="s">
        <v>489</v>
      </c>
      <c r="T178" s="353" t="b" cm="1">
        <f t="array" ref="T178">T177</f>
        <v>1</v>
      </c>
      <c r="X178" s="1022"/>
      <c r="Z178" s="1023"/>
      <c r="AB178" s="7" t="s">
        <v>945</v>
      </c>
      <c r="AC178" s="127" t="s">
        <v>946</v>
      </c>
      <c r="AD178" s="8" t="s">
        <v>828</v>
      </c>
      <c r="AE178" s="128"/>
      <c r="AF178" s="128">
        <v>1541.8150000000001</v>
      </c>
      <c r="AG178" s="128">
        <v>694.21500000000003</v>
      </c>
      <c r="AH178" s="128">
        <v>501.91640388000002</v>
      </c>
      <c r="AI178" s="128"/>
      <c r="AJ178" s="778"/>
      <c r="AK178" s="778"/>
      <c r="AL178" s="128"/>
      <c r="AM178" s="128"/>
      <c r="AN178" s="128"/>
      <c r="AO178" s="128"/>
      <c r="AP178" s="128"/>
      <c r="AQ178" s="128"/>
      <c r="AR178" s="128"/>
      <c r="AS178" s="128">
        <v>1019.999</v>
      </c>
      <c r="AT178" s="778"/>
      <c r="AU178" s="778"/>
      <c r="AV178" s="128"/>
      <c r="AW178" s="128"/>
      <c r="AX178" s="128"/>
      <c r="AY178" s="128"/>
      <c r="AZ178" s="128"/>
      <c r="BA178" s="128"/>
      <c r="BB178" s="128"/>
      <c r="BC178" s="113" t="s">
        <v>1035</v>
      </c>
      <c r="BF178" s="680" t="s">
        <v>947</v>
      </c>
    </row>
    <row r="179" spans="2:58" ht="30.95" customHeight="1" x14ac:dyDescent="0.15">
      <c r="E179" s="449">
        <v>15</v>
      </c>
      <c r="F179" s="3" t="str" cm="1">
        <f t="array" aca="1" ref="F179" ca="1">OFFSET(E179,-1,1)</f>
        <v>3</v>
      </c>
      <c r="G179" s="22" t="s">
        <v>493</v>
      </c>
      <c r="T179" s="353" t="b" cm="1">
        <f t="array" ref="T179">T178</f>
        <v>1</v>
      </c>
      <c r="X179" s="1022"/>
      <c r="Z179" s="1023"/>
      <c r="AB179" s="7" t="s">
        <v>948</v>
      </c>
      <c r="AC179" s="127" t="s">
        <v>949</v>
      </c>
      <c r="AD179" s="8" t="s">
        <v>828</v>
      </c>
      <c r="AE179" s="128"/>
      <c r="AF179" s="128">
        <v>1029.3219999999999</v>
      </c>
      <c r="AG179" s="128">
        <v>0</v>
      </c>
      <c r="AH179" s="128">
        <v>0</v>
      </c>
      <c r="AI179" s="128"/>
      <c r="AJ179" s="778"/>
      <c r="AK179" s="778"/>
      <c r="AL179" s="128"/>
      <c r="AM179" s="128"/>
      <c r="AN179" s="128"/>
      <c r="AO179" s="128"/>
      <c r="AP179" s="128"/>
      <c r="AQ179" s="128"/>
      <c r="AR179" s="128"/>
      <c r="AS179" s="128">
        <v>0</v>
      </c>
      <c r="AT179" s="778"/>
      <c r="AU179" s="778"/>
      <c r="AV179" s="128"/>
      <c r="AW179" s="128"/>
      <c r="AX179" s="128"/>
      <c r="AY179" s="128"/>
      <c r="AZ179" s="128"/>
      <c r="BA179" s="128"/>
      <c r="BB179" s="128"/>
      <c r="BC179" s="113" t="s">
        <v>1035</v>
      </c>
      <c r="BF179" s="680" t="s">
        <v>950</v>
      </c>
    </row>
    <row r="180" spans="2:58" ht="35.450000000000003" customHeight="1" x14ac:dyDescent="0.15">
      <c r="E180" s="449">
        <v>15</v>
      </c>
      <c r="F180" s="3" t="str" cm="1">
        <f t="array" aca="1" ref="F180" ca="1">OFFSET(E180,-1,1)</f>
        <v>3</v>
      </c>
      <c r="G180" s="22" t="s">
        <v>951</v>
      </c>
      <c r="T180" s="353" t="b" cm="1">
        <f t="array" ref="T180">T179</f>
        <v>1</v>
      </c>
      <c r="X180" s="1022"/>
      <c r="Z180" s="1023"/>
      <c r="AB180" s="7" t="s">
        <v>952</v>
      </c>
      <c r="AC180" s="127" t="s">
        <v>953</v>
      </c>
      <c r="AD180" s="8" t="s">
        <v>828</v>
      </c>
      <c r="AE180" s="128">
        <v>138850.12264508</v>
      </c>
      <c r="AF180" s="128">
        <v>317.47399999999999</v>
      </c>
      <c r="AG180" s="128">
        <v>0</v>
      </c>
      <c r="AH180" s="128">
        <v>0</v>
      </c>
      <c r="AI180" s="128">
        <v>195156.43031</v>
      </c>
      <c r="AJ180" s="778"/>
      <c r="AK180" s="778"/>
      <c r="AL180" s="128"/>
      <c r="AM180" s="128"/>
      <c r="AN180" s="128"/>
      <c r="AO180" s="128"/>
      <c r="AP180" s="128"/>
      <c r="AQ180" s="128"/>
      <c r="AR180" s="128"/>
      <c r="AS180" s="128">
        <v>0</v>
      </c>
      <c r="AT180" s="778"/>
      <c r="AU180" s="778"/>
      <c r="AV180" s="128"/>
      <c r="AW180" s="128"/>
      <c r="AX180" s="128"/>
      <c r="AY180" s="128"/>
      <c r="AZ180" s="128"/>
      <c r="BA180" s="128"/>
      <c r="BB180" s="128"/>
      <c r="BC180" s="113" t="s">
        <v>1035</v>
      </c>
      <c r="BF180" s="680" t="s">
        <v>954</v>
      </c>
    </row>
    <row r="181" spans="2:58" s="63" customFormat="1" ht="22.35" customHeight="1" x14ac:dyDescent="0.15">
      <c r="B181" s="328"/>
      <c r="E181" s="449">
        <v>15</v>
      </c>
      <c r="F181" s="3" t="str" cm="1">
        <f t="array" aca="1" ref="F181" ca="1">OFFSET(E181,-1,1)</f>
        <v>3</v>
      </c>
      <c r="G181" s="22" t="s">
        <v>332</v>
      </c>
      <c r="T181" s="353" t="b" cm="1">
        <f t="array" ref="T181">T180</f>
        <v>1</v>
      </c>
      <c r="X181" s="1022"/>
      <c r="Z181" s="1023"/>
      <c r="AB181" s="124">
        <v>2</v>
      </c>
      <c r="AC181" s="125" t="s">
        <v>955</v>
      </c>
      <c r="AD181" s="8" t="s">
        <v>828</v>
      </c>
      <c r="AE181" s="138">
        <f>SUM(AE182:AE186)</f>
        <v>0</v>
      </c>
      <c r="AF181" s="138">
        <v>11184.356</v>
      </c>
      <c r="AG181" s="138">
        <v>325.78399999999999</v>
      </c>
      <c r="AH181" s="138">
        <f t="shared" ref="AH181:BB181" si="106">SUM(AH182:AH186)</f>
        <v>0</v>
      </c>
      <c r="AI181" s="138">
        <f t="shared" si="106"/>
        <v>0</v>
      </c>
      <c r="AJ181" s="774">
        <f t="shared" si="106"/>
        <v>0</v>
      </c>
      <c r="AK181" s="774">
        <f t="shared" si="106"/>
        <v>0</v>
      </c>
      <c r="AL181" s="138">
        <f t="shared" si="106"/>
        <v>0</v>
      </c>
      <c r="AM181" s="138">
        <f t="shared" si="106"/>
        <v>0</v>
      </c>
      <c r="AN181" s="138">
        <f t="shared" si="106"/>
        <v>0</v>
      </c>
      <c r="AO181" s="138">
        <f t="shared" si="106"/>
        <v>0</v>
      </c>
      <c r="AP181" s="138">
        <f t="shared" si="106"/>
        <v>0</v>
      </c>
      <c r="AQ181" s="138">
        <f t="shared" si="106"/>
        <v>0</v>
      </c>
      <c r="AR181" s="138">
        <f t="shared" si="106"/>
        <v>0</v>
      </c>
      <c r="AS181" s="138">
        <f t="shared" si="106"/>
        <v>0</v>
      </c>
      <c r="AT181" s="774">
        <f t="shared" si="106"/>
        <v>0</v>
      </c>
      <c r="AU181" s="774">
        <f t="shared" si="106"/>
        <v>0</v>
      </c>
      <c r="AV181" s="138">
        <f t="shared" si="106"/>
        <v>0</v>
      </c>
      <c r="AW181" s="138">
        <f t="shared" si="106"/>
        <v>0</v>
      </c>
      <c r="AX181" s="138">
        <f t="shared" si="106"/>
        <v>0</v>
      </c>
      <c r="AY181" s="138">
        <f t="shared" si="106"/>
        <v>0</v>
      </c>
      <c r="AZ181" s="138">
        <f t="shared" si="106"/>
        <v>0</v>
      </c>
      <c r="BA181" s="138">
        <f t="shared" si="106"/>
        <v>0</v>
      </c>
      <c r="BB181" s="138">
        <f t="shared" si="106"/>
        <v>0</v>
      </c>
      <c r="BC181" s="113"/>
      <c r="BF181" s="680" t="s">
        <v>956</v>
      </c>
    </row>
    <row r="182" spans="2:58" ht="14.65" customHeight="1" x14ac:dyDescent="0.15">
      <c r="E182" s="449">
        <v>15</v>
      </c>
      <c r="F182" s="3" t="str" cm="1">
        <f t="array" aca="1" ref="F182" ca="1">OFFSET(E182,-1,1)</f>
        <v>3</v>
      </c>
      <c r="G182" s="22" t="s">
        <v>500</v>
      </c>
      <c r="T182" s="353" t="b" cm="1">
        <f t="array" ref="T182">T181</f>
        <v>1</v>
      </c>
      <c r="X182" s="1022"/>
      <c r="Z182" s="1023"/>
      <c r="AB182" s="7" t="s">
        <v>561</v>
      </c>
      <c r="AC182" s="127" t="s">
        <v>940</v>
      </c>
      <c r="AD182" s="8" t="s">
        <v>828</v>
      </c>
      <c r="AE182" s="128"/>
      <c r="AF182" s="128"/>
      <c r="AG182" s="128"/>
      <c r="AH182" s="128">
        <v>0</v>
      </c>
      <c r="AI182" s="128"/>
      <c r="AJ182" s="778"/>
      <c r="AK182" s="778"/>
      <c r="AL182" s="128"/>
      <c r="AM182" s="128"/>
      <c r="AN182" s="128"/>
      <c r="AO182" s="128"/>
      <c r="AP182" s="128"/>
      <c r="AQ182" s="128"/>
      <c r="AR182" s="128"/>
      <c r="AS182" s="128"/>
      <c r="AT182" s="778"/>
      <c r="AU182" s="778"/>
      <c r="AV182" s="128"/>
      <c r="AW182" s="128"/>
      <c r="AX182" s="128"/>
      <c r="AY182" s="128"/>
      <c r="AZ182" s="128"/>
      <c r="BA182" s="128"/>
      <c r="BB182" s="128"/>
      <c r="BC182" s="113"/>
      <c r="BF182" s="680" t="s">
        <v>957</v>
      </c>
    </row>
    <row r="183" spans="2:58" ht="55.35" customHeight="1" x14ac:dyDescent="0.15">
      <c r="E183" s="449">
        <v>15</v>
      </c>
      <c r="F183" s="3" t="str" cm="1">
        <f t="array" aca="1" ref="F183" ca="1">OFFSET(E183,-1,1)</f>
        <v>3</v>
      </c>
      <c r="G183" s="22" t="s">
        <v>503</v>
      </c>
      <c r="T183" s="353" t="b" cm="1">
        <f t="array" ref="T183">T182</f>
        <v>1</v>
      </c>
      <c r="X183" s="1022"/>
      <c r="Z183" s="1023"/>
      <c r="AB183" s="7" t="s">
        <v>565</v>
      </c>
      <c r="AC183" s="127" t="s">
        <v>943</v>
      </c>
      <c r="AD183" s="8" t="s">
        <v>828</v>
      </c>
      <c r="AE183" s="128"/>
      <c r="AF183" s="128">
        <v>10858.572</v>
      </c>
      <c r="AG183" s="128">
        <v>0</v>
      </c>
      <c r="AH183" s="128">
        <v>0</v>
      </c>
      <c r="AI183" s="128"/>
      <c r="AJ183" s="778"/>
      <c r="AK183" s="778"/>
      <c r="AL183" s="128"/>
      <c r="AM183" s="128"/>
      <c r="AN183" s="128"/>
      <c r="AO183" s="128"/>
      <c r="AP183" s="128"/>
      <c r="AQ183" s="128"/>
      <c r="AR183" s="128"/>
      <c r="AS183" s="128"/>
      <c r="AT183" s="778"/>
      <c r="AU183" s="778"/>
      <c r="AV183" s="128"/>
      <c r="AW183" s="128"/>
      <c r="AX183" s="128"/>
      <c r="AY183" s="128"/>
      <c r="AZ183" s="128"/>
      <c r="BA183" s="128"/>
      <c r="BB183" s="128"/>
      <c r="BC183" s="113" t="s">
        <v>1053</v>
      </c>
      <c r="BF183" s="680" t="s">
        <v>958</v>
      </c>
    </row>
    <row r="184" spans="2:58" ht="14.65" customHeight="1" x14ac:dyDescent="0.15">
      <c r="E184" s="449">
        <v>15</v>
      </c>
      <c r="F184" s="3" t="str" cm="1">
        <f t="array" aca="1" ref="F184" ca="1">OFFSET(E184,-1,1)</f>
        <v>3</v>
      </c>
      <c r="G184" s="22" t="s">
        <v>959</v>
      </c>
      <c r="T184" s="353" t="b" cm="1">
        <f t="array" ref="T184">T183</f>
        <v>1</v>
      </c>
      <c r="X184" s="1022"/>
      <c r="Z184" s="1023"/>
      <c r="AB184" s="7" t="s">
        <v>569</v>
      </c>
      <c r="AC184" s="127" t="s">
        <v>946</v>
      </c>
      <c r="AD184" s="8" t="s">
        <v>828</v>
      </c>
      <c r="AE184" s="128"/>
      <c r="AF184" s="128">
        <v>325.78399999999999</v>
      </c>
      <c r="AG184" s="128">
        <v>325.78399999999999</v>
      </c>
      <c r="AH184" s="128">
        <v>0</v>
      </c>
      <c r="AI184" s="128"/>
      <c r="AJ184" s="778"/>
      <c r="AK184" s="778"/>
      <c r="AL184" s="128"/>
      <c r="AM184" s="128"/>
      <c r="AN184" s="128"/>
      <c r="AO184" s="128"/>
      <c r="AP184" s="128"/>
      <c r="AQ184" s="128"/>
      <c r="AR184" s="128"/>
      <c r="AS184" s="128"/>
      <c r="AT184" s="778"/>
      <c r="AU184" s="778"/>
      <c r="AV184" s="128"/>
      <c r="AW184" s="128"/>
      <c r="AX184" s="128"/>
      <c r="AY184" s="128"/>
      <c r="AZ184" s="128"/>
      <c r="BA184" s="128"/>
      <c r="BB184" s="128"/>
      <c r="BC184" s="113"/>
      <c r="BF184" s="680" t="s">
        <v>960</v>
      </c>
    </row>
    <row r="185" spans="2:58" ht="14.65" customHeight="1" x14ac:dyDescent="0.15">
      <c r="E185" s="449">
        <v>15</v>
      </c>
      <c r="F185" s="3" t="str" cm="1">
        <f t="array" aca="1" ref="F185" ca="1">OFFSET(E185,-1,1)</f>
        <v>3</v>
      </c>
      <c r="G185" s="22" t="s">
        <v>961</v>
      </c>
      <c r="T185" s="353" t="b" cm="1">
        <f t="array" ref="T185">T184</f>
        <v>1</v>
      </c>
      <c r="X185" s="1022"/>
      <c r="Z185" s="1023"/>
      <c r="AB185" s="7" t="s">
        <v>962</v>
      </c>
      <c r="AC185" s="127" t="s">
        <v>949</v>
      </c>
      <c r="AD185" s="8" t="s">
        <v>828</v>
      </c>
      <c r="AE185" s="128"/>
      <c r="AF185" s="128"/>
      <c r="AG185" s="128"/>
      <c r="AH185" s="128">
        <v>0</v>
      </c>
      <c r="AI185" s="128"/>
      <c r="AJ185" s="778"/>
      <c r="AK185" s="778"/>
      <c r="AL185" s="128"/>
      <c r="AM185" s="128"/>
      <c r="AN185" s="128"/>
      <c r="AO185" s="128"/>
      <c r="AP185" s="128"/>
      <c r="AQ185" s="128"/>
      <c r="AR185" s="128"/>
      <c r="AS185" s="128"/>
      <c r="AT185" s="778"/>
      <c r="AU185" s="778"/>
      <c r="AV185" s="128"/>
      <c r="AW185" s="128"/>
      <c r="AX185" s="128"/>
      <c r="AY185" s="128"/>
      <c r="AZ185" s="128"/>
      <c r="BA185" s="128"/>
      <c r="BB185" s="128"/>
      <c r="BC185" s="113"/>
      <c r="BF185" s="680" t="s">
        <v>963</v>
      </c>
    </row>
    <row r="186" spans="2:58" ht="14.65" customHeight="1" x14ac:dyDescent="0.15">
      <c r="E186" s="449">
        <v>15</v>
      </c>
      <c r="F186" s="3" t="str" cm="1">
        <f t="array" aca="1" ref="F186" ca="1">OFFSET(E186,-1,1)</f>
        <v>3</v>
      </c>
      <c r="G186" s="22" t="s">
        <v>964</v>
      </c>
      <c r="T186" s="353" t="b" cm="1">
        <f t="array" ref="T186">T185</f>
        <v>1</v>
      </c>
      <c r="X186" s="1022"/>
      <c r="Z186" s="1023"/>
      <c r="AB186" s="7" t="s">
        <v>965</v>
      </c>
      <c r="AC186" s="127" t="s">
        <v>953</v>
      </c>
      <c r="AD186" s="8" t="s">
        <v>828</v>
      </c>
      <c r="AE186" s="128"/>
      <c r="AF186" s="128"/>
      <c r="AG186" s="128"/>
      <c r="AH186" s="128">
        <v>0</v>
      </c>
      <c r="AI186" s="128"/>
      <c r="AJ186" s="778"/>
      <c r="AK186" s="778"/>
      <c r="AL186" s="128"/>
      <c r="AM186" s="128"/>
      <c r="AN186" s="128"/>
      <c r="AO186" s="128"/>
      <c r="AP186" s="128"/>
      <c r="AQ186" s="128"/>
      <c r="AR186" s="128"/>
      <c r="AS186" s="128"/>
      <c r="AT186" s="778"/>
      <c r="AU186" s="778"/>
      <c r="AV186" s="128"/>
      <c r="AW186" s="128"/>
      <c r="AX186" s="128"/>
      <c r="AY186" s="128"/>
      <c r="AZ186" s="128"/>
      <c r="BA186" s="128"/>
      <c r="BB186" s="128"/>
      <c r="BC186" s="113"/>
      <c r="BF186" s="680" t="s">
        <v>966</v>
      </c>
    </row>
    <row r="187" spans="2:58" s="63" customFormat="1" ht="14.65" customHeight="1" x14ac:dyDescent="0.15">
      <c r="B187" s="328"/>
      <c r="E187" s="449">
        <v>15</v>
      </c>
      <c r="F187" s="3" t="str" cm="1">
        <f t="array" aca="1" ref="F187" ca="1">OFFSET(E187,-1,1)</f>
        <v>3</v>
      </c>
      <c r="G187" s="22" t="s">
        <v>333</v>
      </c>
      <c r="T187" s="353" t="b" cm="1">
        <f t="array" ref="T187">T186</f>
        <v>1</v>
      </c>
      <c r="X187" s="1022"/>
      <c r="Z187" s="1023"/>
      <c r="AB187" s="124">
        <v>3</v>
      </c>
      <c r="AC187" s="125" t="s">
        <v>967</v>
      </c>
      <c r="AD187" s="8" t="s">
        <v>828</v>
      </c>
      <c r="AE187" s="138">
        <f>SUM(AE188:AE192)</f>
        <v>0</v>
      </c>
      <c r="AF187" s="138">
        <v>547.22299999999996</v>
      </c>
      <c r="AG187" s="138">
        <v>547.22299999999996</v>
      </c>
      <c r="AH187" s="138">
        <f t="shared" ref="AH187:BB187" si="107">SUM(AH188:AH192)</f>
        <v>0</v>
      </c>
      <c r="AI187" s="138">
        <f t="shared" si="107"/>
        <v>0</v>
      </c>
      <c r="AJ187" s="774">
        <f t="shared" si="107"/>
        <v>0</v>
      </c>
      <c r="AK187" s="774">
        <f t="shared" si="107"/>
        <v>0</v>
      </c>
      <c r="AL187" s="138">
        <f t="shared" si="107"/>
        <v>0</v>
      </c>
      <c r="AM187" s="138">
        <f t="shared" si="107"/>
        <v>0</v>
      </c>
      <c r="AN187" s="138">
        <f t="shared" si="107"/>
        <v>0</v>
      </c>
      <c r="AO187" s="138">
        <f t="shared" si="107"/>
        <v>0</v>
      </c>
      <c r="AP187" s="138">
        <f t="shared" si="107"/>
        <v>0</v>
      </c>
      <c r="AQ187" s="138">
        <f t="shared" si="107"/>
        <v>0</v>
      </c>
      <c r="AR187" s="138">
        <f t="shared" si="107"/>
        <v>0</v>
      </c>
      <c r="AS187" s="138">
        <f t="shared" si="107"/>
        <v>0</v>
      </c>
      <c r="AT187" s="774">
        <f t="shared" si="107"/>
        <v>0</v>
      </c>
      <c r="AU187" s="774">
        <f t="shared" si="107"/>
        <v>0</v>
      </c>
      <c r="AV187" s="138">
        <f t="shared" si="107"/>
        <v>0</v>
      </c>
      <c r="AW187" s="138">
        <f t="shared" si="107"/>
        <v>0</v>
      </c>
      <c r="AX187" s="138">
        <f t="shared" si="107"/>
        <v>0</v>
      </c>
      <c r="AY187" s="138">
        <f t="shared" si="107"/>
        <v>0</v>
      </c>
      <c r="AZ187" s="138">
        <f t="shared" si="107"/>
        <v>0</v>
      </c>
      <c r="BA187" s="138">
        <f t="shared" si="107"/>
        <v>0</v>
      </c>
      <c r="BB187" s="138">
        <f t="shared" si="107"/>
        <v>0</v>
      </c>
      <c r="BC187" s="113"/>
      <c r="BF187" s="680" t="s">
        <v>968</v>
      </c>
    </row>
    <row r="188" spans="2:58" ht="14.65" customHeight="1" x14ac:dyDescent="0.15">
      <c r="E188" s="449">
        <v>15</v>
      </c>
      <c r="F188" s="3" t="str" cm="1">
        <f t="array" aca="1" ref="F188" ca="1">OFFSET(E188,-1,1)</f>
        <v>3</v>
      </c>
      <c r="G188" s="22" t="s">
        <v>969</v>
      </c>
      <c r="T188" s="353" t="b" cm="1">
        <f t="array" ref="T188">T187</f>
        <v>1</v>
      </c>
      <c r="X188" s="1022"/>
      <c r="Z188" s="1023"/>
      <c r="AB188" s="7" t="s">
        <v>575</v>
      </c>
      <c r="AC188" s="127" t="s">
        <v>940</v>
      </c>
      <c r="AD188" s="8" t="s">
        <v>828</v>
      </c>
      <c r="AE188" s="128"/>
      <c r="AF188" s="128"/>
      <c r="AG188" s="128"/>
      <c r="AH188" s="128">
        <v>0</v>
      </c>
      <c r="AI188" s="128"/>
      <c r="AJ188" s="778"/>
      <c r="AK188" s="778"/>
      <c r="AL188" s="128"/>
      <c r="AM188" s="128"/>
      <c r="AN188" s="128"/>
      <c r="AO188" s="128"/>
      <c r="AP188" s="128"/>
      <c r="AQ188" s="128"/>
      <c r="AR188" s="128"/>
      <c r="AS188" s="128"/>
      <c r="AT188" s="778"/>
      <c r="AU188" s="778"/>
      <c r="AV188" s="128"/>
      <c r="AW188" s="128"/>
      <c r="AX188" s="128"/>
      <c r="AY188" s="128"/>
      <c r="AZ188" s="128"/>
      <c r="BA188" s="128"/>
      <c r="BB188" s="128"/>
      <c r="BC188" s="113"/>
      <c r="BF188" s="680" t="s">
        <v>970</v>
      </c>
    </row>
    <row r="189" spans="2:58" ht="14.65" customHeight="1" x14ac:dyDescent="0.15">
      <c r="E189" s="449">
        <v>15</v>
      </c>
      <c r="F189" s="3" t="str" cm="1">
        <f t="array" aca="1" ref="F189" ca="1">OFFSET(E189,-1,1)</f>
        <v>3</v>
      </c>
      <c r="G189" s="22" t="s">
        <v>971</v>
      </c>
      <c r="T189" s="353" t="b" cm="1">
        <f t="array" ref="T189">T188</f>
        <v>1</v>
      </c>
      <c r="X189" s="1022"/>
      <c r="Z189" s="1023"/>
      <c r="AB189" s="7" t="s">
        <v>579</v>
      </c>
      <c r="AC189" s="127" t="s">
        <v>943</v>
      </c>
      <c r="AD189" s="8" t="s">
        <v>828</v>
      </c>
      <c r="AE189" s="128"/>
      <c r="AF189" s="128">
        <v>547.22299999999996</v>
      </c>
      <c r="AG189" s="128">
        <v>547.22299999999996</v>
      </c>
      <c r="AH189" s="128">
        <v>0</v>
      </c>
      <c r="AI189" s="128"/>
      <c r="AJ189" s="778"/>
      <c r="AK189" s="778"/>
      <c r="AL189" s="128"/>
      <c r="AM189" s="128"/>
      <c r="AN189" s="128"/>
      <c r="AO189" s="128"/>
      <c r="AP189" s="128"/>
      <c r="AQ189" s="128"/>
      <c r="AR189" s="128"/>
      <c r="AS189" s="128"/>
      <c r="AT189" s="778"/>
      <c r="AU189" s="778"/>
      <c r="AV189" s="128"/>
      <c r="AW189" s="128"/>
      <c r="AX189" s="128"/>
      <c r="AY189" s="128"/>
      <c r="AZ189" s="128"/>
      <c r="BA189" s="128"/>
      <c r="BB189" s="128"/>
      <c r="BC189" s="113"/>
      <c r="BF189" s="680" t="s">
        <v>972</v>
      </c>
    </row>
    <row r="190" spans="2:58" ht="14.65" customHeight="1" x14ac:dyDescent="0.15">
      <c r="E190" s="449">
        <v>15</v>
      </c>
      <c r="F190" s="3" t="str" cm="1">
        <f t="array" aca="1" ref="F190" ca="1">OFFSET(E190,-1,1)</f>
        <v>3</v>
      </c>
      <c r="G190" s="22" t="s">
        <v>973</v>
      </c>
      <c r="T190" s="353" t="b" cm="1">
        <f t="array" ref="T190">T189</f>
        <v>1</v>
      </c>
      <c r="X190" s="1022"/>
      <c r="Z190" s="1023"/>
      <c r="AB190" s="7" t="s">
        <v>795</v>
      </c>
      <c r="AC190" s="127" t="s">
        <v>946</v>
      </c>
      <c r="AD190" s="8" t="s">
        <v>828</v>
      </c>
      <c r="AE190" s="128"/>
      <c r="AF190" s="128"/>
      <c r="AG190" s="128"/>
      <c r="AH190" s="128">
        <v>0</v>
      </c>
      <c r="AI190" s="128"/>
      <c r="AJ190" s="778"/>
      <c r="AK190" s="778"/>
      <c r="AL190" s="128"/>
      <c r="AM190" s="128"/>
      <c r="AN190" s="128"/>
      <c r="AO190" s="128"/>
      <c r="AP190" s="128"/>
      <c r="AQ190" s="128"/>
      <c r="AR190" s="128"/>
      <c r="AS190" s="128"/>
      <c r="AT190" s="778"/>
      <c r="AU190" s="778"/>
      <c r="AV190" s="128"/>
      <c r="AW190" s="128"/>
      <c r="AX190" s="128"/>
      <c r="AY190" s="128"/>
      <c r="AZ190" s="128"/>
      <c r="BA190" s="128"/>
      <c r="BB190" s="128"/>
      <c r="BC190" s="113"/>
      <c r="BF190" s="680" t="s">
        <v>974</v>
      </c>
    </row>
    <row r="191" spans="2:58" ht="14.65" customHeight="1" x14ac:dyDescent="0.15">
      <c r="E191" s="449">
        <v>15</v>
      </c>
      <c r="F191" s="3" t="str" cm="1">
        <f t="array" aca="1" ref="F191" ca="1">OFFSET(E191,-1,1)</f>
        <v>3</v>
      </c>
      <c r="G191" s="22" t="s">
        <v>975</v>
      </c>
      <c r="T191" s="353" t="b" cm="1">
        <f t="array" ref="T191">T190</f>
        <v>1</v>
      </c>
      <c r="X191" s="1022"/>
      <c r="Z191" s="1023"/>
      <c r="AB191" s="7" t="s">
        <v>976</v>
      </c>
      <c r="AC191" s="127" t="s">
        <v>949</v>
      </c>
      <c r="AD191" s="8" t="s">
        <v>828</v>
      </c>
      <c r="AE191" s="128"/>
      <c r="AF191" s="128"/>
      <c r="AG191" s="128"/>
      <c r="AH191" s="128">
        <v>0</v>
      </c>
      <c r="AI191" s="128"/>
      <c r="AJ191" s="778"/>
      <c r="AK191" s="778"/>
      <c r="AL191" s="128"/>
      <c r="AM191" s="128"/>
      <c r="AN191" s="128"/>
      <c r="AO191" s="128"/>
      <c r="AP191" s="128"/>
      <c r="AQ191" s="128"/>
      <c r="AR191" s="128"/>
      <c r="AS191" s="128"/>
      <c r="AT191" s="778"/>
      <c r="AU191" s="778"/>
      <c r="AV191" s="128"/>
      <c r="AW191" s="128"/>
      <c r="AX191" s="128"/>
      <c r="AY191" s="128"/>
      <c r="AZ191" s="128"/>
      <c r="BA191" s="128"/>
      <c r="BB191" s="128"/>
      <c r="BC191" s="113"/>
      <c r="BF191" s="680" t="s">
        <v>977</v>
      </c>
    </row>
    <row r="192" spans="2:58" ht="14.65" customHeight="1" x14ac:dyDescent="0.15">
      <c r="E192" s="449">
        <v>15</v>
      </c>
      <c r="F192" s="3" t="str" cm="1">
        <f t="array" aca="1" ref="F192" ca="1">OFFSET(E192,-1,1)</f>
        <v>3</v>
      </c>
      <c r="G192" s="22" t="s">
        <v>978</v>
      </c>
      <c r="T192" s="353" t="b" cm="1">
        <f t="array" ref="T192">T191</f>
        <v>1</v>
      </c>
      <c r="X192" s="1022"/>
      <c r="Z192" s="1023"/>
      <c r="AB192" s="7" t="s">
        <v>979</v>
      </c>
      <c r="AC192" s="127" t="s">
        <v>953</v>
      </c>
      <c r="AD192" s="8" t="s">
        <v>828</v>
      </c>
      <c r="AE192" s="128"/>
      <c r="AF192" s="128"/>
      <c r="AG192" s="128"/>
      <c r="AH192" s="128">
        <v>0</v>
      </c>
      <c r="AI192" s="128"/>
      <c r="AJ192" s="778"/>
      <c r="AK192" s="778"/>
      <c r="AL192" s="128"/>
      <c r="AM192" s="128"/>
      <c r="AN192" s="128"/>
      <c r="AO192" s="128"/>
      <c r="AP192" s="128"/>
      <c r="AQ192" s="128"/>
      <c r="AR192" s="128"/>
      <c r="AS192" s="128"/>
      <c r="AT192" s="778"/>
      <c r="AU192" s="778"/>
      <c r="AV192" s="128"/>
      <c r="AW192" s="128"/>
      <c r="AX192" s="128"/>
      <c r="AY192" s="128"/>
      <c r="AZ192" s="128"/>
      <c r="BA192" s="128"/>
      <c r="BB192" s="128"/>
      <c r="BC192" s="113"/>
      <c r="BF192" s="680" t="s">
        <v>980</v>
      </c>
    </row>
    <row r="193" spans="2:58" s="63" customFormat="1" ht="27.2" customHeight="1" x14ac:dyDescent="0.15">
      <c r="B193" s="328"/>
      <c r="E193" s="488">
        <v>22.5</v>
      </c>
      <c r="F193" s="3" t="str" cm="1">
        <f t="array" aca="1" ref="F193" ca="1">OFFSET(E193,-1,1)</f>
        <v>3</v>
      </c>
      <c r="G193" s="22" t="s">
        <v>335</v>
      </c>
      <c r="T193" s="353" t="b" cm="1">
        <f t="array" ref="T193">T192</f>
        <v>1</v>
      </c>
      <c r="X193" s="1022"/>
      <c r="Z193" s="1023"/>
      <c r="AB193" s="124">
        <v>4</v>
      </c>
      <c r="AC193" s="125" t="s">
        <v>981</v>
      </c>
      <c r="AD193" s="8" t="s">
        <v>828</v>
      </c>
      <c r="AE193" s="138">
        <v>138850.12264508</v>
      </c>
      <c r="AF193" s="138">
        <v>190845.46711</v>
      </c>
      <c r="AG193" s="138">
        <v>168652.12211</v>
      </c>
      <c r="AH193" s="138">
        <v>122095.58343174</v>
      </c>
      <c r="AI193" s="138">
        <v>195156.43031</v>
      </c>
      <c r="AJ193" s="774">
        <f t="shared" ref="AJ193:AR193" si="108">SUM(AJ194:AJ198)</f>
        <v>0</v>
      </c>
      <c r="AK193" s="774">
        <f t="shared" si="108"/>
        <v>0</v>
      </c>
      <c r="AL193" s="138">
        <f t="shared" si="108"/>
        <v>0</v>
      </c>
      <c r="AM193" s="138">
        <f t="shared" si="108"/>
        <v>0</v>
      </c>
      <c r="AN193" s="138">
        <f t="shared" si="108"/>
        <v>0</v>
      </c>
      <c r="AO193" s="138">
        <f t="shared" si="108"/>
        <v>0</v>
      </c>
      <c r="AP193" s="138">
        <f t="shared" si="108"/>
        <v>0</v>
      </c>
      <c r="AQ193" s="138">
        <f t="shared" si="108"/>
        <v>0</v>
      </c>
      <c r="AR193" s="138">
        <f t="shared" si="108"/>
        <v>0</v>
      </c>
      <c r="AS193" s="138">
        <v>168652.12211</v>
      </c>
      <c r="AT193" s="774">
        <f t="shared" ref="AT193:BB193" si="109">SUM(AT194:AT198)</f>
        <v>0</v>
      </c>
      <c r="AU193" s="774">
        <f t="shared" si="109"/>
        <v>0</v>
      </c>
      <c r="AV193" s="138">
        <f t="shared" si="109"/>
        <v>0</v>
      </c>
      <c r="AW193" s="138">
        <f t="shared" si="109"/>
        <v>0</v>
      </c>
      <c r="AX193" s="138">
        <f t="shared" si="109"/>
        <v>0</v>
      </c>
      <c r="AY193" s="138">
        <f t="shared" si="109"/>
        <v>0</v>
      </c>
      <c r="AZ193" s="138">
        <f t="shared" si="109"/>
        <v>0</v>
      </c>
      <c r="BA193" s="138">
        <f t="shared" si="109"/>
        <v>0</v>
      </c>
      <c r="BB193" s="138">
        <f t="shared" si="109"/>
        <v>0</v>
      </c>
      <c r="BC193" s="113"/>
      <c r="BF193" s="680" t="s">
        <v>982</v>
      </c>
    </row>
    <row r="194" spans="2:58" ht="27.2" customHeight="1" x14ac:dyDescent="0.15">
      <c r="E194" s="449">
        <v>15</v>
      </c>
      <c r="F194" s="3" t="str" cm="1">
        <f t="array" aca="1" ref="F194" ca="1">OFFSET(E194,-1,1)</f>
        <v>3</v>
      </c>
      <c r="G194" s="22" t="s">
        <v>560</v>
      </c>
      <c r="T194" s="353" t="b" cm="1">
        <f t="array" ref="T194">T193</f>
        <v>1</v>
      </c>
      <c r="X194" s="1022"/>
      <c r="Z194" s="1023"/>
      <c r="AB194" s="7" t="s">
        <v>697</v>
      </c>
      <c r="AC194" s="127" t="s">
        <v>940</v>
      </c>
      <c r="AD194" s="8" t="s">
        <v>828</v>
      </c>
      <c r="AE194" s="128">
        <f>AE176+AE182-AE188</f>
        <v>0</v>
      </c>
      <c r="AF194" s="128">
        <v>734.05011000000002</v>
      </c>
      <c r="AG194" s="128">
        <v>734.05011000000002</v>
      </c>
      <c r="AH194" s="128">
        <v>530.71822953000003</v>
      </c>
      <c r="AI194" s="128">
        <f t="shared" ref="AI194:AR194" si="110">AI176+AI182-AI188</f>
        <v>0</v>
      </c>
      <c r="AJ194" s="778">
        <f t="shared" si="110"/>
        <v>0</v>
      </c>
      <c r="AK194" s="778">
        <f t="shared" si="110"/>
        <v>0</v>
      </c>
      <c r="AL194" s="128">
        <f t="shared" si="110"/>
        <v>0</v>
      </c>
      <c r="AM194" s="128">
        <f t="shared" si="110"/>
        <v>0</v>
      </c>
      <c r="AN194" s="128">
        <f t="shared" si="110"/>
        <v>0</v>
      </c>
      <c r="AO194" s="128">
        <f t="shared" si="110"/>
        <v>0</v>
      </c>
      <c r="AP194" s="128">
        <f t="shared" si="110"/>
        <v>0</v>
      </c>
      <c r="AQ194" s="128">
        <f t="shared" si="110"/>
        <v>0</v>
      </c>
      <c r="AR194" s="128">
        <f t="shared" si="110"/>
        <v>0</v>
      </c>
      <c r="AS194" s="128">
        <v>734.05011000000002</v>
      </c>
      <c r="AT194" s="778">
        <f t="shared" ref="AT194:BB194" si="111">AT176+AT182-AT188</f>
        <v>0</v>
      </c>
      <c r="AU194" s="778">
        <f t="shared" si="111"/>
        <v>0</v>
      </c>
      <c r="AV194" s="128">
        <f t="shared" si="111"/>
        <v>0</v>
      </c>
      <c r="AW194" s="128">
        <f t="shared" si="111"/>
        <v>0</v>
      </c>
      <c r="AX194" s="128">
        <f t="shared" si="111"/>
        <v>0</v>
      </c>
      <c r="AY194" s="128">
        <f t="shared" si="111"/>
        <v>0</v>
      </c>
      <c r="AZ194" s="128">
        <f t="shared" si="111"/>
        <v>0</v>
      </c>
      <c r="BA194" s="128">
        <f t="shared" si="111"/>
        <v>0</v>
      </c>
      <c r="BB194" s="128">
        <f t="shared" si="111"/>
        <v>0</v>
      </c>
      <c r="BC194" s="113"/>
      <c r="BF194" s="680" t="s">
        <v>983</v>
      </c>
    </row>
    <row r="195" spans="2:58" ht="45.4" customHeight="1" x14ac:dyDescent="0.15">
      <c r="E195" s="449">
        <v>15</v>
      </c>
      <c r="F195" s="3" t="str" cm="1">
        <f t="array" aca="1" ref="F195" ca="1">OFFSET(E195,-1,1)</f>
        <v>3</v>
      </c>
      <c r="G195" s="22" t="s">
        <v>564</v>
      </c>
      <c r="T195" s="353" t="b" cm="1">
        <f t="array" ref="T195">T194</f>
        <v>1</v>
      </c>
      <c r="X195" s="1022"/>
      <c r="Z195" s="1023"/>
      <c r="AB195" s="7" t="s">
        <v>700</v>
      </c>
      <c r="AC195" s="127" t="s">
        <v>943</v>
      </c>
      <c r="AD195" s="8" t="s">
        <v>828</v>
      </c>
      <c r="AE195" s="128">
        <f>AE177+AE183-AE189</f>
        <v>0</v>
      </c>
      <c r="AF195" s="128">
        <v>186897.022</v>
      </c>
      <c r="AG195" s="128">
        <v>166898.073</v>
      </c>
      <c r="AH195" s="128">
        <v>121062.94879833001</v>
      </c>
      <c r="AI195" s="128">
        <f t="shared" ref="AI195:AR195" si="112">AI177+AI183-AI189</f>
        <v>0</v>
      </c>
      <c r="AJ195" s="778">
        <f t="shared" si="112"/>
        <v>0</v>
      </c>
      <c r="AK195" s="778">
        <f t="shared" si="112"/>
        <v>0</v>
      </c>
      <c r="AL195" s="128">
        <f t="shared" si="112"/>
        <v>0</v>
      </c>
      <c r="AM195" s="128">
        <f t="shared" si="112"/>
        <v>0</v>
      </c>
      <c r="AN195" s="128">
        <f t="shared" si="112"/>
        <v>0</v>
      </c>
      <c r="AO195" s="128">
        <f t="shared" si="112"/>
        <v>0</v>
      </c>
      <c r="AP195" s="128">
        <f t="shared" si="112"/>
        <v>0</v>
      </c>
      <c r="AQ195" s="128">
        <f t="shared" si="112"/>
        <v>0</v>
      </c>
      <c r="AR195" s="128">
        <f t="shared" si="112"/>
        <v>0</v>
      </c>
      <c r="AS195" s="128">
        <v>166898.073</v>
      </c>
      <c r="AT195" s="778">
        <f t="shared" ref="AT195:BB195" si="113">AT177+AT183-AT189</f>
        <v>0</v>
      </c>
      <c r="AU195" s="778">
        <f t="shared" si="113"/>
        <v>0</v>
      </c>
      <c r="AV195" s="128">
        <f t="shared" si="113"/>
        <v>0</v>
      </c>
      <c r="AW195" s="128">
        <f t="shared" si="113"/>
        <v>0</v>
      </c>
      <c r="AX195" s="128">
        <f t="shared" si="113"/>
        <v>0</v>
      </c>
      <c r="AY195" s="128">
        <f t="shared" si="113"/>
        <v>0</v>
      </c>
      <c r="AZ195" s="128">
        <f t="shared" si="113"/>
        <v>0</v>
      </c>
      <c r="BA195" s="128">
        <f t="shared" si="113"/>
        <v>0</v>
      </c>
      <c r="BB195" s="128">
        <f t="shared" si="113"/>
        <v>0</v>
      </c>
      <c r="BC195" s="113" t="s">
        <v>1054</v>
      </c>
      <c r="BF195" s="680" t="s">
        <v>984</v>
      </c>
    </row>
    <row r="196" spans="2:58" ht="33.6" customHeight="1" x14ac:dyDescent="0.15">
      <c r="E196" s="449">
        <v>15</v>
      </c>
      <c r="F196" s="3" t="str" cm="1">
        <f t="array" aca="1" ref="F196" ca="1">OFFSET(E196,-1,1)</f>
        <v>3</v>
      </c>
      <c r="G196" s="22" t="s">
        <v>568</v>
      </c>
      <c r="T196" s="353" t="b" cm="1">
        <f t="array" ref="T196">T195</f>
        <v>1</v>
      </c>
      <c r="X196" s="1022"/>
      <c r="Z196" s="1023"/>
      <c r="AB196" s="7" t="s">
        <v>734</v>
      </c>
      <c r="AC196" s="127" t="s">
        <v>946</v>
      </c>
      <c r="AD196" s="8" t="s">
        <v>828</v>
      </c>
      <c r="AE196" s="128">
        <f>AE178+AE184-AE190</f>
        <v>0</v>
      </c>
      <c r="AF196" s="128">
        <v>1867.5989999999999</v>
      </c>
      <c r="AG196" s="128">
        <v>1019.999</v>
      </c>
      <c r="AH196" s="128">
        <v>501.91640388000002</v>
      </c>
      <c r="AI196" s="128">
        <f t="shared" ref="AI196:AR196" si="114">AI178+AI184-AI190</f>
        <v>0</v>
      </c>
      <c r="AJ196" s="778">
        <f t="shared" si="114"/>
        <v>0</v>
      </c>
      <c r="AK196" s="778">
        <f t="shared" si="114"/>
        <v>0</v>
      </c>
      <c r="AL196" s="128">
        <f t="shared" si="114"/>
        <v>0</v>
      </c>
      <c r="AM196" s="128">
        <f t="shared" si="114"/>
        <v>0</v>
      </c>
      <c r="AN196" s="128">
        <f t="shared" si="114"/>
        <v>0</v>
      </c>
      <c r="AO196" s="128">
        <f t="shared" si="114"/>
        <v>0</v>
      </c>
      <c r="AP196" s="128">
        <f t="shared" si="114"/>
        <v>0</v>
      </c>
      <c r="AQ196" s="128">
        <f t="shared" si="114"/>
        <v>0</v>
      </c>
      <c r="AR196" s="128">
        <f t="shared" si="114"/>
        <v>0</v>
      </c>
      <c r="AS196" s="128">
        <v>1019.999</v>
      </c>
      <c r="AT196" s="778">
        <f t="shared" ref="AT196:BB196" si="115">AT178+AT184-AT190</f>
        <v>0</v>
      </c>
      <c r="AU196" s="778">
        <f t="shared" si="115"/>
        <v>0</v>
      </c>
      <c r="AV196" s="128">
        <f t="shared" si="115"/>
        <v>0</v>
      </c>
      <c r="AW196" s="128">
        <f t="shared" si="115"/>
        <v>0</v>
      </c>
      <c r="AX196" s="128">
        <f t="shared" si="115"/>
        <v>0</v>
      </c>
      <c r="AY196" s="128">
        <f t="shared" si="115"/>
        <v>0</v>
      </c>
      <c r="AZ196" s="128">
        <f t="shared" si="115"/>
        <v>0</v>
      </c>
      <c r="BA196" s="128">
        <f t="shared" si="115"/>
        <v>0</v>
      </c>
      <c r="BB196" s="128">
        <f t="shared" si="115"/>
        <v>0</v>
      </c>
      <c r="BC196" s="113" t="s">
        <v>1035</v>
      </c>
      <c r="BF196" s="680" t="s">
        <v>985</v>
      </c>
    </row>
    <row r="197" spans="2:58" ht="26.65" customHeight="1" x14ac:dyDescent="0.15">
      <c r="E197" s="449">
        <v>15</v>
      </c>
      <c r="F197" s="3" t="str" cm="1">
        <f t="array" aca="1" ref="F197" ca="1">OFFSET(E197,-1,1)</f>
        <v>3</v>
      </c>
      <c r="G197" s="22" t="s">
        <v>986</v>
      </c>
      <c r="T197" s="353" t="b" cm="1">
        <f t="array" ref="T197">T196</f>
        <v>1</v>
      </c>
      <c r="X197" s="1022"/>
      <c r="Z197" s="1023"/>
      <c r="AB197" s="7" t="s">
        <v>743</v>
      </c>
      <c r="AC197" s="127" t="s">
        <v>949</v>
      </c>
      <c r="AD197" s="8" t="s">
        <v>828</v>
      </c>
      <c r="AE197" s="128">
        <f>AE179+AE185-AE191</f>
        <v>0</v>
      </c>
      <c r="AF197" s="128">
        <v>1029.3219999999999</v>
      </c>
      <c r="AG197" s="128">
        <f>AG179+AG185-AG191</f>
        <v>0</v>
      </c>
      <c r="AH197" s="128">
        <f>AH179+AH185-AH191</f>
        <v>0</v>
      </c>
      <c r="AI197" s="128">
        <f t="shared" ref="AI197:AR197" si="116">AI179+AI185-AI191</f>
        <v>0</v>
      </c>
      <c r="AJ197" s="778">
        <f t="shared" si="116"/>
        <v>0</v>
      </c>
      <c r="AK197" s="778">
        <f t="shared" si="116"/>
        <v>0</v>
      </c>
      <c r="AL197" s="128">
        <f t="shared" si="116"/>
        <v>0</v>
      </c>
      <c r="AM197" s="128">
        <f t="shared" si="116"/>
        <v>0</v>
      </c>
      <c r="AN197" s="128">
        <f t="shared" si="116"/>
        <v>0</v>
      </c>
      <c r="AO197" s="128">
        <f t="shared" si="116"/>
        <v>0</v>
      </c>
      <c r="AP197" s="128">
        <f t="shared" si="116"/>
        <v>0</v>
      </c>
      <c r="AQ197" s="128">
        <f t="shared" si="116"/>
        <v>0</v>
      </c>
      <c r="AR197" s="128">
        <f t="shared" si="116"/>
        <v>0</v>
      </c>
      <c r="AS197" s="128">
        <f>AS179+AS185-AS191</f>
        <v>0</v>
      </c>
      <c r="AT197" s="778">
        <f t="shared" ref="AT197:BB197" si="117">AT179+AT185-AT191</f>
        <v>0</v>
      </c>
      <c r="AU197" s="778">
        <f t="shared" si="117"/>
        <v>0</v>
      </c>
      <c r="AV197" s="128">
        <f t="shared" si="117"/>
        <v>0</v>
      </c>
      <c r="AW197" s="128">
        <f t="shared" si="117"/>
        <v>0</v>
      </c>
      <c r="AX197" s="128">
        <f t="shared" si="117"/>
        <v>0</v>
      </c>
      <c r="AY197" s="128">
        <f t="shared" si="117"/>
        <v>0</v>
      </c>
      <c r="AZ197" s="128">
        <f t="shared" si="117"/>
        <v>0</v>
      </c>
      <c r="BA197" s="128">
        <f t="shared" si="117"/>
        <v>0</v>
      </c>
      <c r="BB197" s="128">
        <f t="shared" si="117"/>
        <v>0</v>
      </c>
      <c r="BC197" s="113" t="s">
        <v>1035</v>
      </c>
      <c r="BF197" s="680" t="s">
        <v>987</v>
      </c>
    </row>
    <row r="198" spans="2:58" ht="29.85" customHeight="1" x14ac:dyDescent="0.15">
      <c r="E198" s="449">
        <v>15</v>
      </c>
      <c r="F198" s="3" t="str" cm="1">
        <f t="array" aca="1" ref="F198" ca="1">OFFSET(E198,-1,1)</f>
        <v>3</v>
      </c>
      <c r="G198" s="22" t="s">
        <v>988</v>
      </c>
      <c r="T198" s="353" t="b" cm="1">
        <f t="array" ref="T198">T197</f>
        <v>1</v>
      </c>
      <c r="X198" s="1022"/>
      <c r="Z198" s="1023"/>
      <c r="AB198" s="7" t="s">
        <v>753</v>
      </c>
      <c r="AC198" s="127" t="s">
        <v>953</v>
      </c>
      <c r="AD198" s="8" t="s">
        <v>828</v>
      </c>
      <c r="AE198" s="128">
        <v>138850.12264508</v>
      </c>
      <c r="AF198" s="128">
        <v>317.47399999999999</v>
      </c>
      <c r="AG198" s="128">
        <f>AG180+AG186-AG192</f>
        <v>0</v>
      </c>
      <c r="AH198" s="128">
        <f>AH180+AH186-AH192</f>
        <v>0</v>
      </c>
      <c r="AI198" s="128">
        <v>195156.43031</v>
      </c>
      <c r="AJ198" s="778">
        <f t="shared" ref="AJ198:AR198" si="118">AJ180+AJ186-AJ192</f>
        <v>0</v>
      </c>
      <c r="AK198" s="778">
        <f t="shared" si="118"/>
        <v>0</v>
      </c>
      <c r="AL198" s="128">
        <f t="shared" si="118"/>
        <v>0</v>
      </c>
      <c r="AM198" s="128">
        <f t="shared" si="118"/>
        <v>0</v>
      </c>
      <c r="AN198" s="128">
        <f t="shared" si="118"/>
        <v>0</v>
      </c>
      <c r="AO198" s="128">
        <f t="shared" si="118"/>
        <v>0</v>
      </c>
      <c r="AP198" s="128">
        <f t="shared" si="118"/>
        <v>0</v>
      </c>
      <c r="AQ198" s="128">
        <f t="shared" si="118"/>
        <v>0</v>
      </c>
      <c r="AR198" s="128">
        <f t="shared" si="118"/>
        <v>0</v>
      </c>
      <c r="AS198" s="128">
        <f>AS180+AS186-AS192</f>
        <v>0</v>
      </c>
      <c r="AT198" s="778">
        <f t="shared" ref="AT198:BB198" si="119">AT180+AT186-AT192</f>
        <v>0</v>
      </c>
      <c r="AU198" s="778">
        <f t="shared" si="119"/>
        <v>0</v>
      </c>
      <c r="AV198" s="128">
        <f t="shared" si="119"/>
        <v>0</v>
      </c>
      <c r="AW198" s="128">
        <f t="shared" si="119"/>
        <v>0</v>
      </c>
      <c r="AX198" s="128">
        <f t="shared" si="119"/>
        <v>0</v>
      </c>
      <c r="AY198" s="128">
        <f t="shared" si="119"/>
        <v>0</v>
      </c>
      <c r="AZ198" s="128">
        <f t="shared" si="119"/>
        <v>0</v>
      </c>
      <c r="BA198" s="128">
        <f t="shared" si="119"/>
        <v>0</v>
      </c>
      <c r="BB198" s="128">
        <f t="shared" si="119"/>
        <v>0</v>
      </c>
      <c r="BC198" s="113" t="s">
        <v>1035</v>
      </c>
      <c r="BF198" s="680" t="s">
        <v>989</v>
      </c>
    </row>
    <row r="199" spans="2:58" s="63" customFormat="1" ht="25.35" customHeight="1" x14ac:dyDescent="0.15">
      <c r="B199" s="328"/>
      <c r="E199" s="449">
        <v>15</v>
      </c>
      <c r="F199" s="3" t="str" cm="1">
        <f t="array" aca="1" ref="F199" ca="1">OFFSET(E199,-1,1)</f>
        <v>3</v>
      </c>
      <c r="G199" s="22" t="s">
        <v>334</v>
      </c>
      <c r="T199" s="353" t="b" cm="1">
        <f t="array" ref="T199">T198</f>
        <v>1</v>
      </c>
      <c r="X199" s="1022"/>
      <c r="Z199" s="1023"/>
      <c r="AB199" s="124">
        <v>5</v>
      </c>
      <c r="AC199" s="125" t="s">
        <v>990</v>
      </c>
      <c r="AD199" s="8" t="s">
        <v>828</v>
      </c>
      <c r="AE199" s="138">
        <v>138850.12264508</v>
      </c>
      <c r="AF199" s="138">
        <v>185526.90061000001</v>
      </c>
      <c r="AG199" s="138">
        <v>168762.84161</v>
      </c>
      <c r="AH199" s="138">
        <v>138850.12264508</v>
      </c>
      <c r="AI199" s="138">
        <v>195156.43031</v>
      </c>
      <c r="AJ199" s="774">
        <f t="shared" ref="AJ199:AR199" si="120">SUM(AJ200:AJ204)</f>
        <v>0</v>
      </c>
      <c r="AK199" s="774">
        <f t="shared" si="120"/>
        <v>0</v>
      </c>
      <c r="AL199" s="138">
        <f t="shared" si="120"/>
        <v>0</v>
      </c>
      <c r="AM199" s="138">
        <f t="shared" si="120"/>
        <v>0</v>
      </c>
      <c r="AN199" s="138">
        <f t="shared" si="120"/>
        <v>0</v>
      </c>
      <c r="AO199" s="138">
        <f t="shared" si="120"/>
        <v>0</v>
      </c>
      <c r="AP199" s="138">
        <f t="shared" si="120"/>
        <v>0</v>
      </c>
      <c r="AQ199" s="138">
        <f t="shared" si="120"/>
        <v>0</v>
      </c>
      <c r="AR199" s="138">
        <f t="shared" si="120"/>
        <v>0</v>
      </c>
      <c r="AS199" s="138">
        <v>168652.12211</v>
      </c>
      <c r="AT199" s="774">
        <f t="shared" ref="AT199:BB199" si="121">SUM(AT200:AT204)</f>
        <v>0</v>
      </c>
      <c r="AU199" s="774">
        <f t="shared" si="121"/>
        <v>0</v>
      </c>
      <c r="AV199" s="138">
        <f t="shared" si="121"/>
        <v>0</v>
      </c>
      <c r="AW199" s="138">
        <f t="shared" si="121"/>
        <v>0</v>
      </c>
      <c r="AX199" s="138">
        <f t="shared" si="121"/>
        <v>0</v>
      </c>
      <c r="AY199" s="138">
        <f t="shared" si="121"/>
        <v>0</v>
      </c>
      <c r="AZ199" s="138">
        <f t="shared" si="121"/>
        <v>0</v>
      </c>
      <c r="BA199" s="138">
        <f t="shared" si="121"/>
        <v>0</v>
      </c>
      <c r="BB199" s="138">
        <f t="shared" si="121"/>
        <v>0</v>
      </c>
      <c r="BC199" s="113"/>
      <c r="BF199" s="680" t="s">
        <v>991</v>
      </c>
    </row>
    <row r="200" spans="2:58" ht="14.65" customHeight="1" x14ac:dyDescent="0.15">
      <c r="E200" s="449">
        <v>15</v>
      </c>
      <c r="F200" s="3" t="str" cm="1">
        <f t="array" aca="1" ref="F200" ca="1">OFFSET(E200,-1,1)</f>
        <v>3</v>
      </c>
      <c r="G200" s="22" t="s">
        <v>574</v>
      </c>
      <c r="T200" s="353" t="b" cm="1">
        <f t="array" ref="T200">T199</f>
        <v>1</v>
      </c>
      <c r="X200" s="1022"/>
      <c r="Z200" s="1023"/>
      <c r="AB200" s="7" t="s">
        <v>704</v>
      </c>
      <c r="AC200" s="127" t="s">
        <v>940</v>
      </c>
      <c r="AD200" s="8" t="s">
        <v>828</v>
      </c>
      <c r="AE200" s="128">
        <f>(AE194+AE176)/2</f>
        <v>0</v>
      </c>
      <c r="AF200" s="128">
        <v>734.05011000000002</v>
      </c>
      <c r="AG200" s="128">
        <v>734.05011000000002</v>
      </c>
      <c r="AH200" s="128">
        <f t="shared" ref="AH200:AR200" si="122">(AH194+AH176)/2</f>
        <v>530.71822953000003</v>
      </c>
      <c r="AI200" s="128">
        <f t="shared" si="122"/>
        <v>0</v>
      </c>
      <c r="AJ200" s="778">
        <f t="shared" si="122"/>
        <v>0</v>
      </c>
      <c r="AK200" s="778">
        <f t="shared" si="122"/>
        <v>0</v>
      </c>
      <c r="AL200" s="128">
        <f t="shared" si="122"/>
        <v>0</v>
      </c>
      <c r="AM200" s="128">
        <f t="shared" si="122"/>
        <v>0</v>
      </c>
      <c r="AN200" s="128">
        <f t="shared" si="122"/>
        <v>0</v>
      </c>
      <c r="AO200" s="128">
        <f t="shared" si="122"/>
        <v>0</v>
      </c>
      <c r="AP200" s="128">
        <f t="shared" si="122"/>
        <v>0</v>
      </c>
      <c r="AQ200" s="128">
        <f t="shared" si="122"/>
        <v>0</v>
      </c>
      <c r="AR200" s="128">
        <f t="shared" si="122"/>
        <v>0</v>
      </c>
      <c r="AS200" s="128">
        <v>734.05011000000002</v>
      </c>
      <c r="AT200" s="778">
        <f t="shared" ref="AT200:BB200" si="123">(AT194+AT176)/2</f>
        <v>0</v>
      </c>
      <c r="AU200" s="778">
        <f t="shared" si="123"/>
        <v>0</v>
      </c>
      <c r="AV200" s="128">
        <f t="shared" si="123"/>
        <v>0</v>
      </c>
      <c r="AW200" s="128">
        <f t="shared" si="123"/>
        <v>0</v>
      </c>
      <c r="AX200" s="128">
        <f t="shared" si="123"/>
        <v>0</v>
      </c>
      <c r="AY200" s="128">
        <f t="shared" si="123"/>
        <v>0</v>
      </c>
      <c r="AZ200" s="128">
        <f t="shared" si="123"/>
        <v>0</v>
      </c>
      <c r="BA200" s="128">
        <f t="shared" si="123"/>
        <v>0</v>
      </c>
      <c r="BB200" s="128">
        <f t="shared" si="123"/>
        <v>0</v>
      </c>
      <c r="BC200" s="113"/>
      <c r="BF200" s="680" t="s">
        <v>992</v>
      </c>
    </row>
    <row r="201" spans="2:58" ht="14.65" customHeight="1" x14ac:dyDescent="0.15">
      <c r="E201" s="449">
        <v>15</v>
      </c>
      <c r="F201" s="3" t="str" cm="1">
        <f t="array" aca="1" ref="F201" ca="1">OFFSET(E201,-1,1)</f>
        <v>3</v>
      </c>
      <c r="G201" s="22" t="s">
        <v>578</v>
      </c>
      <c r="T201" s="353" t="b" cm="1">
        <f t="array" ref="T201">T200</f>
        <v>1</v>
      </c>
      <c r="X201" s="1022"/>
      <c r="Z201" s="1023"/>
      <c r="AB201" s="7" t="s">
        <v>707</v>
      </c>
      <c r="AC201" s="127" t="s">
        <v>943</v>
      </c>
      <c r="AD201" s="8" t="s">
        <v>828</v>
      </c>
      <c r="AE201" s="128">
        <f>(AE195+AE177)/2</f>
        <v>0</v>
      </c>
      <c r="AF201" s="128">
        <v>181741.3475</v>
      </c>
      <c r="AG201" s="128">
        <v>167171.6845</v>
      </c>
      <c r="AH201" s="128">
        <f t="shared" ref="AH201:AR201" si="124">(AH195+AH177)/2</f>
        <v>121062.94879833001</v>
      </c>
      <c r="AI201" s="128">
        <f t="shared" si="124"/>
        <v>0</v>
      </c>
      <c r="AJ201" s="778">
        <f t="shared" si="124"/>
        <v>0</v>
      </c>
      <c r="AK201" s="778">
        <f t="shared" si="124"/>
        <v>0</v>
      </c>
      <c r="AL201" s="128">
        <f t="shared" si="124"/>
        <v>0</v>
      </c>
      <c r="AM201" s="128">
        <f t="shared" si="124"/>
        <v>0</v>
      </c>
      <c r="AN201" s="128">
        <f t="shared" si="124"/>
        <v>0</v>
      </c>
      <c r="AO201" s="128">
        <f t="shared" si="124"/>
        <v>0</v>
      </c>
      <c r="AP201" s="128">
        <f t="shared" si="124"/>
        <v>0</v>
      </c>
      <c r="AQ201" s="128">
        <f t="shared" si="124"/>
        <v>0</v>
      </c>
      <c r="AR201" s="128">
        <f t="shared" si="124"/>
        <v>0</v>
      </c>
      <c r="AS201" s="128">
        <v>166898.073</v>
      </c>
      <c r="AT201" s="778">
        <f t="shared" ref="AT201:BB201" si="125">(AT195+AT177)/2</f>
        <v>0</v>
      </c>
      <c r="AU201" s="778">
        <f t="shared" si="125"/>
        <v>0</v>
      </c>
      <c r="AV201" s="128">
        <f t="shared" si="125"/>
        <v>0</v>
      </c>
      <c r="AW201" s="128">
        <f t="shared" si="125"/>
        <v>0</v>
      </c>
      <c r="AX201" s="128">
        <f t="shared" si="125"/>
        <v>0</v>
      </c>
      <c r="AY201" s="128">
        <f t="shared" si="125"/>
        <v>0</v>
      </c>
      <c r="AZ201" s="128">
        <f t="shared" si="125"/>
        <v>0</v>
      </c>
      <c r="BA201" s="128">
        <f t="shared" si="125"/>
        <v>0</v>
      </c>
      <c r="BB201" s="128">
        <f t="shared" si="125"/>
        <v>0</v>
      </c>
      <c r="BC201" s="113"/>
      <c r="BF201" s="680" t="s">
        <v>993</v>
      </c>
    </row>
    <row r="202" spans="2:58" ht="14.65" customHeight="1" x14ac:dyDescent="0.15">
      <c r="E202" s="449">
        <v>15</v>
      </c>
      <c r="F202" s="3" t="str" cm="1">
        <f t="array" aca="1" ref="F202" ca="1">OFFSET(E202,-1,1)</f>
        <v>3</v>
      </c>
      <c r="G202" s="22" t="s">
        <v>794</v>
      </c>
      <c r="T202" s="353" t="b" cm="1">
        <f t="array" ref="T202">T201</f>
        <v>1</v>
      </c>
      <c r="X202" s="1022"/>
      <c r="Z202" s="1023"/>
      <c r="AB202" s="7" t="s">
        <v>994</v>
      </c>
      <c r="AC202" s="127" t="s">
        <v>946</v>
      </c>
      <c r="AD202" s="8" t="s">
        <v>828</v>
      </c>
      <c r="AE202" s="128">
        <f>(AE196+AE178)/2</f>
        <v>0</v>
      </c>
      <c r="AF202" s="128">
        <v>1704.7070000000001</v>
      </c>
      <c r="AG202" s="128">
        <v>857.10699999999997</v>
      </c>
      <c r="AH202" s="128">
        <f t="shared" ref="AH202:AR202" si="126">(AH196+AH178)/2</f>
        <v>501.91640388000002</v>
      </c>
      <c r="AI202" s="128">
        <f t="shared" si="126"/>
        <v>0</v>
      </c>
      <c r="AJ202" s="778">
        <f t="shared" si="126"/>
        <v>0</v>
      </c>
      <c r="AK202" s="778">
        <f t="shared" si="126"/>
        <v>0</v>
      </c>
      <c r="AL202" s="128">
        <f t="shared" si="126"/>
        <v>0</v>
      </c>
      <c r="AM202" s="128">
        <f t="shared" si="126"/>
        <v>0</v>
      </c>
      <c r="AN202" s="128">
        <f t="shared" si="126"/>
        <v>0</v>
      </c>
      <c r="AO202" s="128">
        <f t="shared" si="126"/>
        <v>0</v>
      </c>
      <c r="AP202" s="128">
        <f t="shared" si="126"/>
        <v>0</v>
      </c>
      <c r="AQ202" s="128">
        <f t="shared" si="126"/>
        <v>0</v>
      </c>
      <c r="AR202" s="128">
        <f t="shared" si="126"/>
        <v>0</v>
      </c>
      <c r="AS202" s="128">
        <v>1019.999</v>
      </c>
      <c r="AT202" s="778">
        <f t="shared" ref="AT202:BB202" si="127">(AT196+AT178)/2</f>
        <v>0</v>
      </c>
      <c r="AU202" s="778">
        <f t="shared" si="127"/>
        <v>0</v>
      </c>
      <c r="AV202" s="128">
        <f t="shared" si="127"/>
        <v>0</v>
      </c>
      <c r="AW202" s="128">
        <f t="shared" si="127"/>
        <v>0</v>
      </c>
      <c r="AX202" s="128">
        <f t="shared" si="127"/>
        <v>0</v>
      </c>
      <c r="AY202" s="128">
        <f t="shared" si="127"/>
        <v>0</v>
      </c>
      <c r="AZ202" s="128">
        <f t="shared" si="127"/>
        <v>0</v>
      </c>
      <c r="BA202" s="128">
        <f t="shared" si="127"/>
        <v>0</v>
      </c>
      <c r="BB202" s="128">
        <f t="shared" si="127"/>
        <v>0</v>
      </c>
      <c r="BC202" s="113"/>
      <c r="BF202" s="680" t="s">
        <v>995</v>
      </c>
    </row>
    <row r="203" spans="2:58" ht="14.65" customHeight="1" x14ac:dyDescent="0.15">
      <c r="E203" s="449">
        <v>15</v>
      </c>
      <c r="F203" s="3" t="str" cm="1">
        <f t="array" aca="1" ref="F203" ca="1">OFFSET(E203,-1,1)</f>
        <v>3</v>
      </c>
      <c r="G203" s="22" t="s">
        <v>996</v>
      </c>
      <c r="T203" s="353" t="b" cm="1">
        <f t="array" ref="T203">T202</f>
        <v>1</v>
      </c>
      <c r="X203" s="1022"/>
      <c r="Z203" s="1023"/>
      <c r="AB203" s="7" t="s">
        <v>997</v>
      </c>
      <c r="AC203" s="127" t="s">
        <v>949</v>
      </c>
      <c r="AD203" s="8" t="s">
        <v>828</v>
      </c>
      <c r="AE203" s="128">
        <f>(AE197+AE179)/2</f>
        <v>0</v>
      </c>
      <c r="AF203" s="128">
        <v>1029.3219999999999</v>
      </c>
      <c r="AG203" s="128">
        <f>(AG197+AG179)/2</f>
        <v>0</v>
      </c>
      <c r="AH203" s="128">
        <f t="shared" ref="AH203:AR203" si="128">(AH197+AH179)/2</f>
        <v>0</v>
      </c>
      <c r="AI203" s="128">
        <f t="shared" si="128"/>
        <v>0</v>
      </c>
      <c r="AJ203" s="778">
        <f t="shared" si="128"/>
        <v>0</v>
      </c>
      <c r="AK203" s="778">
        <f t="shared" si="128"/>
        <v>0</v>
      </c>
      <c r="AL203" s="128">
        <f t="shared" si="128"/>
        <v>0</v>
      </c>
      <c r="AM203" s="128">
        <f t="shared" si="128"/>
        <v>0</v>
      </c>
      <c r="AN203" s="128">
        <f t="shared" si="128"/>
        <v>0</v>
      </c>
      <c r="AO203" s="128">
        <f t="shared" si="128"/>
        <v>0</v>
      </c>
      <c r="AP203" s="128">
        <f t="shared" si="128"/>
        <v>0</v>
      </c>
      <c r="AQ203" s="128">
        <f t="shared" si="128"/>
        <v>0</v>
      </c>
      <c r="AR203" s="128">
        <f t="shared" si="128"/>
        <v>0</v>
      </c>
      <c r="AS203" s="128">
        <f>(AS197+AS179)/2</f>
        <v>0</v>
      </c>
      <c r="AT203" s="778">
        <f t="shared" ref="AT203:BB203" si="129">(AT197+AT179)/2</f>
        <v>0</v>
      </c>
      <c r="AU203" s="778">
        <f t="shared" si="129"/>
        <v>0</v>
      </c>
      <c r="AV203" s="128">
        <f t="shared" si="129"/>
        <v>0</v>
      </c>
      <c r="AW203" s="128">
        <f t="shared" si="129"/>
        <v>0</v>
      </c>
      <c r="AX203" s="128">
        <f t="shared" si="129"/>
        <v>0</v>
      </c>
      <c r="AY203" s="128">
        <f t="shared" si="129"/>
        <v>0</v>
      </c>
      <c r="AZ203" s="128">
        <f t="shared" si="129"/>
        <v>0</v>
      </c>
      <c r="BA203" s="128">
        <f t="shared" si="129"/>
        <v>0</v>
      </c>
      <c r="BB203" s="128">
        <f t="shared" si="129"/>
        <v>0</v>
      </c>
      <c r="BC203" s="113"/>
      <c r="BF203" s="680" t="s">
        <v>998</v>
      </c>
    </row>
    <row r="204" spans="2:58" ht="14.65" customHeight="1" x14ac:dyDescent="0.15">
      <c r="E204" s="449">
        <v>15</v>
      </c>
      <c r="F204" s="3" t="str" cm="1">
        <f t="array" aca="1" ref="F204" ca="1">OFFSET(E204,-1,1)</f>
        <v>3</v>
      </c>
      <c r="G204" s="22" t="s">
        <v>999</v>
      </c>
      <c r="T204" s="353" t="b" cm="1">
        <f t="array" ref="T204">T203</f>
        <v>1</v>
      </c>
      <c r="X204" s="1022"/>
      <c r="Z204" s="1023"/>
      <c r="AB204" s="7" t="s">
        <v>1000</v>
      </c>
      <c r="AC204" s="127" t="s">
        <v>953</v>
      </c>
      <c r="AD204" s="8" t="s">
        <v>828</v>
      </c>
      <c r="AE204" s="128">
        <v>138850.12264508</v>
      </c>
      <c r="AF204" s="128">
        <v>317.47399999999999</v>
      </c>
      <c r="AG204" s="128">
        <f>(AG198+AG180)/2</f>
        <v>0</v>
      </c>
      <c r="AH204" s="128">
        <v>138850.12264508</v>
      </c>
      <c r="AI204" s="128">
        <v>195156.43031</v>
      </c>
      <c r="AJ204" s="778">
        <f t="shared" ref="AJ204:AR204" si="130">(AJ198+AJ180)/2</f>
        <v>0</v>
      </c>
      <c r="AK204" s="778">
        <f t="shared" si="130"/>
        <v>0</v>
      </c>
      <c r="AL204" s="128">
        <f t="shared" si="130"/>
        <v>0</v>
      </c>
      <c r="AM204" s="128">
        <f t="shared" si="130"/>
        <v>0</v>
      </c>
      <c r="AN204" s="128">
        <f t="shared" si="130"/>
        <v>0</v>
      </c>
      <c r="AO204" s="128">
        <f t="shared" si="130"/>
        <v>0</v>
      </c>
      <c r="AP204" s="128">
        <f t="shared" si="130"/>
        <v>0</v>
      </c>
      <c r="AQ204" s="128">
        <f t="shared" si="130"/>
        <v>0</v>
      </c>
      <c r="AR204" s="128">
        <f t="shared" si="130"/>
        <v>0</v>
      </c>
      <c r="AS204" s="128">
        <f>(AS198+AS180)/2</f>
        <v>0</v>
      </c>
      <c r="AT204" s="778">
        <f t="shared" ref="AT204:BB204" si="131">(AT198+AT180)/2</f>
        <v>0</v>
      </c>
      <c r="AU204" s="778">
        <f t="shared" si="131"/>
        <v>0</v>
      </c>
      <c r="AV204" s="128">
        <f t="shared" si="131"/>
        <v>0</v>
      </c>
      <c r="AW204" s="128">
        <f t="shared" si="131"/>
        <v>0</v>
      </c>
      <c r="AX204" s="128">
        <f t="shared" si="131"/>
        <v>0</v>
      </c>
      <c r="AY204" s="128">
        <f t="shared" si="131"/>
        <v>0</v>
      </c>
      <c r="AZ204" s="128">
        <f t="shared" si="131"/>
        <v>0</v>
      </c>
      <c r="BA204" s="128">
        <f t="shared" si="131"/>
        <v>0</v>
      </c>
      <c r="BB204" s="128">
        <f t="shared" si="131"/>
        <v>0</v>
      </c>
      <c r="BC204" s="113"/>
      <c r="BF204" s="680" t="s">
        <v>1001</v>
      </c>
    </row>
    <row r="205" spans="2:58" s="63" customFormat="1" ht="21.75" customHeight="1" x14ac:dyDescent="0.15">
      <c r="B205" s="328"/>
      <c r="E205" s="488">
        <v>22.5</v>
      </c>
      <c r="F205" s="3" t="str" cm="1">
        <f t="array" aca="1" ref="F205" ca="1">OFFSET(E205,-1,1)</f>
        <v>3</v>
      </c>
      <c r="G205" s="22" t="s">
        <v>532</v>
      </c>
      <c r="T205" s="353" t="b" cm="1">
        <f t="array" ref="T205">T204</f>
        <v>1</v>
      </c>
      <c r="X205" s="1022"/>
      <c r="Z205" s="1023"/>
      <c r="AB205" s="124">
        <v>6</v>
      </c>
      <c r="AC205" s="125" t="s">
        <v>1002</v>
      </c>
      <c r="AD205" s="124"/>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13"/>
      <c r="BF205" s="680" t="s">
        <v>1003</v>
      </c>
    </row>
    <row r="206" spans="2:58" ht="14.65" customHeight="1" x14ac:dyDescent="0.15">
      <c r="E206" s="449">
        <v>15</v>
      </c>
      <c r="F206" s="3" t="str" cm="1">
        <f t="array" aca="1" ref="F206" ca="1">OFFSET(E206,-1,1)</f>
        <v>3</v>
      </c>
      <c r="G206" s="22" t="s">
        <v>696</v>
      </c>
      <c r="T206" s="353" t="b" cm="1">
        <f t="array" ref="T206">T205</f>
        <v>1</v>
      </c>
      <c r="X206" s="1022"/>
      <c r="Z206" s="1023"/>
      <c r="AB206" s="7" t="s">
        <v>590</v>
      </c>
      <c r="AC206" s="127" t="s">
        <v>940</v>
      </c>
      <c r="AD206" s="7" t="s">
        <v>476</v>
      </c>
      <c r="AE206" s="128">
        <f>IF(AE200=0,0,AE212/AE200*100)</f>
        <v>0</v>
      </c>
      <c r="AF206" s="128">
        <v>0.39173960479999997</v>
      </c>
      <c r="AG206" s="128">
        <v>0.39173960479999997</v>
      </c>
      <c r="AH206" s="128">
        <f t="shared" ref="AH206:AR206" si="132">IF(AH200=0,0,AH212/AH200*100)</f>
        <v>3.8142292696308693</v>
      </c>
      <c r="AI206" s="128">
        <f t="shared" si="132"/>
        <v>0</v>
      </c>
      <c r="AJ206" s="778">
        <f t="shared" si="132"/>
        <v>0</v>
      </c>
      <c r="AK206" s="778">
        <f t="shared" si="132"/>
        <v>0</v>
      </c>
      <c r="AL206" s="128">
        <f t="shared" si="132"/>
        <v>0</v>
      </c>
      <c r="AM206" s="128">
        <f t="shared" si="132"/>
        <v>0</v>
      </c>
      <c r="AN206" s="128">
        <f t="shared" si="132"/>
        <v>0</v>
      </c>
      <c r="AO206" s="128">
        <f t="shared" si="132"/>
        <v>0</v>
      </c>
      <c r="AP206" s="128">
        <f t="shared" si="132"/>
        <v>0</v>
      </c>
      <c r="AQ206" s="128">
        <f t="shared" si="132"/>
        <v>0</v>
      </c>
      <c r="AR206" s="128">
        <f t="shared" si="132"/>
        <v>0</v>
      </c>
      <c r="AS206" s="128">
        <v>0.39173960479999997</v>
      </c>
      <c r="AT206" s="778">
        <f t="shared" ref="AT206:BB206" si="133">IF(AT200=0,0,AT212/AT200*100)</f>
        <v>0</v>
      </c>
      <c r="AU206" s="778">
        <f t="shared" si="133"/>
        <v>0</v>
      </c>
      <c r="AV206" s="128">
        <f t="shared" si="133"/>
        <v>0</v>
      </c>
      <c r="AW206" s="128">
        <f t="shared" si="133"/>
        <v>0</v>
      </c>
      <c r="AX206" s="128">
        <f t="shared" si="133"/>
        <v>0</v>
      </c>
      <c r="AY206" s="128">
        <f t="shared" si="133"/>
        <v>0</v>
      </c>
      <c r="AZ206" s="128">
        <f t="shared" si="133"/>
        <v>0</v>
      </c>
      <c r="BA206" s="128">
        <f t="shared" si="133"/>
        <v>0</v>
      </c>
      <c r="BB206" s="128">
        <f t="shared" si="133"/>
        <v>0</v>
      </c>
      <c r="BC206" s="113"/>
      <c r="BF206" s="680" t="s">
        <v>1004</v>
      </c>
    </row>
    <row r="207" spans="2:58" ht="14.65" customHeight="1" x14ac:dyDescent="0.15">
      <c r="E207" s="449">
        <v>15</v>
      </c>
      <c r="F207" s="3" t="str" cm="1">
        <f t="array" aca="1" ref="F207" ca="1">OFFSET(E207,-1,1)</f>
        <v>3</v>
      </c>
      <c r="G207" s="22" t="s">
        <v>699</v>
      </c>
      <c r="T207" s="353" t="b" cm="1">
        <f t="array" ref="T207">T206</f>
        <v>1</v>
      </c>
      <c r="X207" s="1022"/>
      <c r="Z207" s="1023"/>
      <c r="AB207" s="7" t="s">
        <v>594</v>
      </c>
      <c r="AC207" s="127" t="s">
        <v>943</v>
      </c>
      <c r="AD207" s="7" t="s">
        <v>476</v>
      </c>
      <c r="AE207" s="128">
        <f>IF(AE201=0,0,AE213/AE201*100)</f>
        <v>0</v>
      </c>
      <c r="AF207" s="128">
        <v>1.7142546967000001</v>
      </c>
      <c r="AG207" s="128">
        <v>1.6520494279</v>
      </c>
      <c r="AH207" s="128">
        <f t="shared" ref="AH207:AR207" si="134">IF(AH201=0,0,AH213/AH201*100)</f>
        <v>2.4028956990500205</v>
      </c>
      <c r="AI207" s="128">
        <f t="shared" si="134"/>
        <v>0</v>
      </c>
      <c r="AJ207" s="778">
        <f t="shared" si="134"/>
        <v>0</v>
      </c>
      <c r="AK207" s="778">
        <f t="shared" si="134"/>
        <v>0</v>
      </c>
      <c r="AL207" s="128">
        <f t="shared" si="134"/>
        <v>0</v>
      </c>
      <c r="AM207" s="128">
        <f t="shared" si="134"/>
        <v>0</v>
      </c>
      <c r="AN207" s="128">
        <f t="shared" si="134"/>
        <v>0</v>
      </c>
      <c r="AO207" s="128">
        <f t="shared" si="134"/>
        <v>0</v>
      </c>
      <c r="AP207" s="128">
        <f t="shared" si="134"/>
        <v>0</v>
      </c>
      <c r="AQ207" s="128">
        <f t="shared" si="134"/>
        <v>0</v>
      </c>
      <c r="AR207" s="128">
        <f t="shared" si="134"/>
        <v>0</v>
      </c>
      <c r="AS207" s="128">
        <v>1.6500210092000001</v>
      </c>
      <c r="AT207" s="778">
        <f t="shared" ref="AT207:BB207" si="135">IF(AT201=0,0,AT213/AT201*100)</f>
        <v>0</v>
      </c>
      <c r="AU207" s="778">
        <f t="shared" si="135"/>
        <v>0</v>
      </c>
      <c r="AV207" s="128">
        <f t="shared" si="135"/>
        <v>0</v>
      </c>
      <c r="AW207" s="128">
        <f t="shared" si="135"/>
        <v>0</v>
      </c>
      <c r="AX207" s="128">
        <f t="shared" si="135"/>
        <v>0</v>
      </c>
      <c r="AY207" s="128">
        <f t="shared" si="135"/>
        <v>0</v>
      </c>
      <c r="AZ207" s="128">
        <f t="shared" si="135"/>
        <v>0</v>
      </c>
      <c r="BA207" s="128">
        <f t="shared" si="135"/>
        <v>0</v>
      </c>
      <c r="BB207" s="128">
        <f t="shared" si="135"/>
        <v>0</v>
      </c>
      <c r="BC207" s="113"/>
      <c r="BF207" s="680" t="s">
        <v>1005</v>
      </c>
    </row>
    <row r="208" spans="2:58" ht="14.65" customHeight="1" x14ac:dyDescent="0.15">
      <c r="E208" s="449">
        <v>15</v>
      </c>
      <c r="F208" s="3" t="str" cm="1">
        <f t="array" aca="1" ref="F208" ca="1">OFFSET(E208,-1,1)</f>
        <v>3</v>
      </c>
      <c r="G208" s="22" t="s">
        <v>733</v>
      </c>
      <c r="T208" s="353" t="b" cm="1">
        <f t="array" ref="T208">T207</f>
        <v>1</v>
      </c>
      <c r="X208" s="1022"/>
      <c r="Z208" s="1023"/>
      <c r="AB208" s="7" t="s">
        <v>598</v>
      </c>
      <c r="AC208" s="127" t="s">
        <v>946</v>
      </c>
      <c r="AD208" s="7" t="s">
        <v>476</v>
      </c>
      <c r="AE208" s="128">
        <f>IF(AE202=0,0,AE214/AE202*100)</f>
        <v>0</v>
      </c>
      <c r="AF208" s="128">
        <v>15.9345262852</v>
      </c>
      <c r="AG208" s="128">
        <v>25.0345437617</v>
      </c>
      <c r="AH208" s="128">
        <f t="shared" ref="AH208:AR208" si="136">IF(AH202=0,0,AH214/AH202*100)</f>
        <v>11.054297277613017</v>
      </c>
      <c r="AI208" s="128">
        <f t="shared" si="136"/>
        <v>0</v>
      </c>
      <c r="AJ208" s="778">
        <f t="shared" si="136"/>
        <v>0</v>
      </c>
      <c r="AK208" s="778">
        <f t="shared" si="136"/>
        <v>0</v>
      </c>
      <c r="AL208" s="128">
        <f t="shared" si="136"/>
        <v>0</v>
      </c>
      <c r="AM208" s="128">
        <f t="shared" si="136"/>
        <v>0</v>
      </c>
      <c r="AN208" s="128">
        <f t="shared" si="136"/>
        <v>0</v>
      </c>
      <c r="AO208" s="128">
        <f t="shared" si="136"/>
        <v>0</v>
      </c>
      <c r="AP208" s="128">
        <f t="shared" si="136"/>
        <v>0</v>
      </c>
      <c r="AQ208" s="128">
        <f t="shared" si="136"/>
        <v>0</v>
      </c>
      <c r="AR208" s="128">
        <f t="shared" si="136"/>
        <v>0</v>
      </c>
      <c r="AS208" s="128">
        <v>6.3267551243</v>
      </c>
      <c r="AT208" s="778">
        <f t="shared" ref="AT208:BB208" si="137">IF(AT202=0,0,AT214/AT202*100)</f>
        <v>0</v>
      </c>
      <c r="AU208" s="778">
        <f t="shared" si="137"/>
        <v>0</v>
      </c>
      <c r="AV208" s="128">
        <f t="shared" si="137"/>
        <v>0</v>
      </c>
      <c r="AW208" s="128">
        <f t="shared" si="137"/>
        <v>0</v>
      </c>
      <c r="AX208" s="128">
        <f t="shared" si="137"/>
        <v>0</v>
      </c>
      <c r="AY208" s="128">
        <f t="shared" si="137"/>
        <v>0</v>
      </c>
      <c r="AZ208" s="128">
        <f t="shared" si="137"/>
        <v>0</v>
      </c>
      <c r="BA208" s="128">
        <f t="shared" si="137"/>
        <v>0</v>
      </c>
      <c r="BB208" s="128">
        <f t="shared" si="137"/>
        <v>0</v>
      </c>
      <c r="BC208" s="113"/>
      <c r="BF208" s="680" t="s">
        <v>1006</v>
      </c>
    </row>
    <row r="209" spans="2:58" ht="14.65" customHeight="1" x14ac:dyDescent="0.15">
      <c r="E209" s="449">
        <v>15</v>
      </c>
      <c r="F209" s="3" t="str" cm="1">
        <f t="array" aca="1" ref="F209" ca="1">OFFSET(E209,-1,1)</f>
        <v>3</v>
      </c>
      <c r="G209" s="22" t="s">
        <v>742</v>
      </c>
      <c r="T209" s="353" t="b" cm="1">
        <f t="array" ref="T209">T208</f>
        <v>1</v>
      </c>
      <c r="X209" s="1022"/>
      <c r="Z209" s="1023"/>
      <c r="AB209" s="7" t="s">
        <v>1007</v>
      </c>
      <c r="AC209" s="127" t="s">
        <v>949</v>
      </c>
      <c r="AD209" s="7" t="s">
        <v>476</v>
      </c>
      <c r="AE209" s="128">
        <f>IF(AE203=0,0,AE215/AE203*100)</f>
        <v>0</v>
      </c>
      <c r="AF209" s="128">
        <v>2.0779871605000002</v>
      </c>
      <c r="AG209" s="128">
        <f>IF(AG203=0,0,AG215/AG203*100)</f>
        <v>0</v>
      </c>
      <c r="AH209" s="128">
        <f t="shared" ref="AH209:AR209" si="138">IF(AH203=0,0,AH215/AH203*100)</f>
        <v>0</v>
      </c>
      <c r="AI209" s="128">
        <f t="shared" si="138"/>
        <v>0</v>
      </c>
      <c r="AJ209" s="778">
        <f t="shared" si="138"/>
        <v>0</v>
      </c>
      <c r="AK209" s="778">
        <f t="shared" si="138"/>
        <v>0</v>
      </c>
      <c r="AL209" s="128">
        <f t="shared" si="138"/>
        <v>0</v>
      </c>
      <c r="AM209" s="128">
        <f t="shared" si="138"/>
        <v>0</v>
      </c>
      <c r="AN209" s="128">
        <f t="shared" si="138"/>
        <v>0</v>
      </c>
      <c r="AO209" s="128">
        <f t="shared" si="138"/>
        <v>0</v>
      </c>
      <c r="AP209" s="128">
        <f t="shared" si="138"/>
        <v>0</v>
      </c>
      <c r="AQ209" s="128">
        <f t="shared" si="138"/>
        <v>0</v>
      </c>
      <c r="AR209" s="128">
        <f t="shared" si="138"/>
        <v>0</v>
      </c>
      <c r="AS209" s="128">
        <f>IF(AS203=0,0,AS215/AS203*100)</f>
        <v>0</v>
      </c>
      <c r="AT209" s="778">
        <f t="shared" ref="AT209:BB209" si="139">IF(AT203=0,0,AT215/AT203*100)</f>
        <v>0</v>
      </c>
      <c r="AU209" s="778">
        <f t="shared" si="139"/>
        <v>0</v>
      </c>
      <c r="AV209" s="128">
        <f t="shared" si="139"/>
        <v>0</v>
      </c>
      <c r="AW209" s="128">
        <f t="shared" si="139"/>
        <v>0</v>
      </c>
      <c r="AX209" s="128">
        <f t="shared" si="139"/>
        <v>0</v>
      </c>
      <c r="AY209" s="128">
        <f t="shared" si="139"/>
        <v>0</v>
      </c>
      <c r="AZ209" s="128">
        <f t="shared" si="139"/>
        <v>0</v>
      </c>
      <c r="BA209" s="128">
        <f t="shared" si="139"/>
        <v>0</v>
      </c>
      <c r="BB209" s="128">
        <f t="shared" si="139"/>
        <v>0</v>
      </c>
      <c r="BC209" s="113"/>
      <c r="BF209" s="680" t="s">
        <v>1008</v>
      </c>
    </row>
    <row r="210" spans="2:58" ht="14.65" customHeight="1" x14ac:dyDescent="0.15">
      <c r="E210" s="449">
        <v>15</v>
      </c>
      <c r="F210" s="3" t="str" cm="1">
        <f t="array" aca="1" ref="F210" ca="1">OFFSET(E210,-1,1)</f>
        <v>3</v>
      </c>
      <c r="G210" s="22" t="s">
        <v>752</v>
      </c>
      <c r="T210" s="353" t="b" cm="1">
        <f t="array" ref="T210">T209</f>
        <v>1</v>
      </c>
      <c r="X210" s="1022"/>
      <c r="Z210" s="1023"/>
      <c r="AB210" s="7" t="s">
        <v>1009</v>
      </c>
      <c r="AC210" s="127" t="s">
        <v>953</v>
      </c>
      <c r="AD210" s="7" t="s">
        <v>476</v>
      </c>
      <c r="AE210" s="128">
        <v>1.6540627289000001</v>
      </c>
      <c r="AF210" s="128">
        <v>1.3119140465000001</v>
      </c>
      <c r="AG210" s="128">
        <f>IF(AG204=0,0,AG216/AG204*100)</f>
        <v>0</v>
      </c>
      <c r="AH210" s="128">
        <v>1.6540627289000001</v>
      </c>
      <c r="AI210" s="128">
        <v>1.9147116789</v>
      </c>
      <c r="AJ210" s="778">
        <f t="shared" ref="AJ210:AR210" si="140">IF(AJ204=0,0,AJ216/AJ204*100)</f>
        <v>0</v>
      </c>
      <c r="AK210" s="778">
        <f t="shared" si="140"/>
        <v>0</v>
      </c>
      <c r="AL210" s="128">
        <f t="shared" si="140"/>
        <v>0</v>
      </c>
      <c r="AM210" s="128">
        <f t="shared" si="140"/>
        <v>0</v>
      </c>
      <c r="AN210" s="128">
        <f t="shared" si="140"/>
        <v>0</v>
      </c>
      <c r="AO210" s="128">
        <f t="shared" si="140"/>
        <v>0</v>
      </c>
      <c r="AP210" s="128">
        <f t="shared" si="140"/>
        <v>0</v>
      </c>
      <c r="AQ210" s="128">
        <f t="shared" si="140"/>
        <v>0</v>
      </c>
      <c r="AR210" s="128">
        <f t="shared" si="140"/>
        <v>0</v>
      </c>
      <c r="AS210" s="128">
        <f>IF(AS204=0,0,AS216/AS204*100)</f>
        <v>0</v>
      </c>
      <c r="AT210" s="778">
        <f t="shared" ref="AT210:BB210" si="141">IF(AT204=0,0,AT216/AT204*100)</f>
        <v>0</v>
      </c>
      <c r="AU210" s="778">
        <f t="shared" si="141"/>
        <v>0</v>
      </c>
      <c r="AV210" s="128">
        <f t="shared" si="141"/>
        <v>0</v>
      </c>
      <c r="AW210" s="128">
        <f t="shared" si="141"/>
        <v>0</v>
      </c>
      <c r="AX210" s="128">
        <f t="shared" si="141"/>
        <v>0</v>
      </c>
      <c r="AY210" s="128">
        <f t="shared" si="141"/>
        <v>0</v>
      </c>
      <c r="AZ210" s="128">
        <f t="shared" si="141"/>
        <v>0</v>
      </c>
      <c r="BA210" s="128">
        <f t="shared" si="141"/>
        <v>0</v>
      </c>
      <c r="BB210" s="128">
        <f t="shared" si="141"/>
        <v>0</v>
      </c>
      <c r="BC210" s="113"/>
      <c r="BF210" s="680" t="s">
        <v>1010</v>
      </c>
    </row>
    <row r="211" spans="2:58" s="63" customFormat="1" ht="50.45" customHeight="1" x14ac:dyDescent="0.15">
      <c r="B211" s="328"/>
      <c r="E211" s="449">
        <v>15</v>
      </c>
      <c r="F211" s="3" t="str" cm="1">
        <f t="array" aca="1" ref="F211" ca="1">OFFSET(E211,-1,1)</f>
        <v>3</v>
      </c>
      <c r="G211" s="22" t="s">
        <v>535</v>
      </c>
      <c r="K211" s="40" t="str">
        <f ca="1">F211&amp;"komm"</f>
        <v>3komm</v>
      </c>
      <c r="L211" s="609" t="str" cm="1">
        <f t="array" ref="L211">BC211</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T211" s="353" t="b" cm="1">
        <f t="array" ref="T211">T210</f>
        <v>1</v>
      </c>
      <c r="X211" s="1022"/>
      <c r="Z211" s="1023"/>
      <c r="AB211" s="124">
        <v>7</v>
      </c>
      <c r="AC211" s="125" t="s">
        <v>1011</v>
      </c>
      <c r="AD211" s="8" t="s">
        <v>828</v>
      </c>
      <c r="AE211" s="138">
        <v>2296.6681277419002</v>
      </c>
      <c r="AF211" s="138">
        <v>3415.5763004400001</v>
      </c>
      <c r="AG211" s="138">
        <v>2979.2072494399999</v>
      </c>
      <c r="AH211" s="138">
        <v>2984.7425312382002</v>
      </c>
      <c r="AI211" s="138">
        <v>3736.6829633222001</v>
      </c>
      <c r="AJ211" s="774">
        <f t="shared" ref="AJ211:AR211" si="142">SUM(AJ212:AJ216)</f>
        <v>0</v>
      </c>
      <c r="AK211" s="774">
        <f t="shared" si="142"/>
        <v>0</v>
      </c>
      <c r="AL211" s="138">
        <f t="shared" si="142"/>
        <v>0</v>
      </c>
      <c r="AM211" s="138">
        <f t="shared" si="142"/>
        <v>0</v>
      </c>
      <c r="AN211" s="138">
        <f t="shared" si="142"/>
        <v>0</v>
      </c>
      <c r="AO211" s="138">
        <f t="shared" si="142"/>
        <v>0</v>
      </c>
      <c r="AP211" s="138">
        <f t="shared" si="142"/>
        <v>0</v>
      </c>
      <c r="AQ211" s="138">
        <f t="shared" si="142"/>
        <v>0</v>
      </c>
      <c r="AR211" s="138">
        <f t="shared" si="142"/>
        <v>0</v>
      </c>
      <c r="AS211" s="138">
        <v>2821.26167244</v>
      </c>
      <c r="AT211" s="774">
        <f t="shared" ref="AT211:BB211" si="143">SUM(AT212:AT216)</f>
        <v>0</v>
      </c>
      <c r="AU211" s="774">
        <f t="shared" si="143"/>
        <v>0</v>
      </c>
      <c r="AV211" s="138">
        <f t="shared" si="143"/>
        <v>0</v>
      </c>
      <c r="AW211" s="138">
        <f t="shared" si="143"/>
        <v>0</v>
      </c>
      <c r="AX211" s="138">
        <f t="shared" si="143"/>
        <v>0</v>
      </c>
      <c r="AY211" s="138">
        <f t="shared" si="143"/>
        <v>0</v>
      </c>
      <c r="AZ211" s="138">
        <f t="shared" si="143"/>
        <v>0</v>
      </c>
      <c r="BA211" s="138">
        <f t="shared" si="143"/>
        <v>0</v>
      </c>
      <c r="BB211" s="138">
        <f t="shared" si="143"/>
        <v>0</v>
      </c>
      <c r="BC211" s="113" t="s">
        <v>1037</v>
      </c>
      <c r="BF211" s="680" t="s">
        <v>1012</v>
      </c>
    </row>
    <row r="212" spans="2:58" ht="14.65" customHeight="1" x14ac:dyDescent="0.15">
      <c r="E212" s="449">
        <v>15</v>
      </c>
      <c r="F212" s="3" t="str" cm="1">
        <f t="array" aca="1" ref="F212" ca="1">OFFSET(E212,-1,1)</f>
        <v>3</v>
      </c>
      <c r="G212" s="22" t="s">
        <v>703</v>
      </c>
      <c r="T212" s="353" t="b" cm="1">
        <f t="array" ref="T212">T211</f>
        <v>1</v>
      </c>
      <c r="X212" s="1022"/>
      <c r="Z212" s="1023"/>
      <c r="AB212" s="7" t="s">
        <v>606</v>
      </c>
      <c r="AC212" s="127" t="s">
        <v>940</v>
      </c>
      <c r="AD212" s="8" t="s">
        <v>828</v>
      </c>
      <c r="AE212" s="128"/>
      <c r="AF212" s="128">
        <v>2.8755649999999999</v>
      </c>
      <c r="AG212" s="128">
        <v>2.8755649999999999</v>
      </c>
      <c r="AH212" s="128">
        <v>20.242810049999999</v>
      </c>
      <c r="AI212" s="128"/>
      <c r="AJ212" s="778"/>
      <c r="AK212" s="778"/>
      <c r="AL212" s="128"/>
      <c r="AM212" s="128"/>
      <c r="AN212" s="128"/>
      <c r="AO212" s="128"/>
      <c r="AP212" s="128"/>
      <c r="AQ212" s="128"/>
      <c r="AR212" s="128"/>
      <c r="AS212" s="128">
        <v>2.8755649999999999</v>
      </c>
      <c r="AT212" s="778"/>
      <c r="AU212" s="778"/>
      <c r="AV212" s="128"/>
      <c r="AW212" s="128"/>
      <c r="AX212" s="128"/>
      <c r="AY212" s="128"/>
      <c r="AZ212" s="128"/>
      <c r="BA212" s="128"/>
      <c r="BB212" s="128"/>
      <c r="BC212" s="113"/>
      <c r="BF212" s="680" t="s">
        <v>1013</v>
      </c>
    </row>
    <row r="213" spans="2:58" ht="58.5" customHeight="1" x14ac:dyDescent="0.15">
      <c r="E213" s="449">
        <v>15</v>
      </c>
      <c r="F213" s="3" t="str" cm="1">
        <f t="array" aca="1" ref="F213" ca="1">OFFSET(E213,-1,1)</f>
        <v>3</v>
      </c>
      <c r="G213" s="22" t="s">
        <v>706</v>
      </c>
      <c r="T213" s="353" t="b" cm="1">
        <f t="array" ref="T213">T212</f>
        <v>1</v>
      </c>
      <c r="X213" s="1022"/>
      <c r="Z213" s="1023"/>
      <c r="AB213" s="7" t="s">
        <v>1014</v>
      </c>
      <c r="AC213" s="127" t="s">
        <v>943</v>
      </c>
      <c r="AD213" s="8" t="s">
        <v>828</v>
      </c>
      <c r="AE213" s="128"/>
      <c r="AF213" s="128">
        <v>3115.5095854400001</v>
      </c>
      <c r="AG213" s="128">
        <v>2761.7588574400002</v>
      </c>
      <c r="AH213" s="128">
        <v>2909.0163898182</v>
      </c>
      <c r="AI213" s="128"/>
      <c r="AJ213" s="778"/>
      <c r="AK213" s="778"/>
      <c r="AL213" s="128"/>
      <c r="AM213" s="128"/>
      <c r="AN213" s="128"/>
      <c r="AO213" s="128"/>
      <c r="AP213" s="128"/>
      <c r="AQ213" s="128"/>
      <c r="AR213" s="128"/>
      <c r="AS213" s="128">
        <v>2753.8532684400002</v>
      </c>
      <c r="AT213" s="778"/>
      <c r="AU213" s="778"/>
      <c r="AV213" s="128"/>
      <c r="AW213" s="128"/>
      <c r="AX213" s="128"/>
      <c r="AY213" s="128"/>
      <c r="AZ213" s="128"/>
      <c r="BA213" s="128"/>
      <c r="BB213" s="128"/>
      <c r="BC213" s="113" t="s">
        <v>1055</v>
      </c>
      <c r="BF213" s="680" t="s">
        <v>1015</v>
      </c>
    </row>
    <row r="214" spans="2:58" ht="39.200000000000003" customHeight="1" x14ac:dyDescent="0.15">
      <c r="E214" s="449">
        <v>15</v>
      </c>
      <c r="F214" s="3" t="str" cm="1">
        <f t="array" aca="1" ref="F214" ca="1">OFFSET(E214,-1,1)</f>
        <v>3</v>
      </c>
      <c r="G214" s="22" t="s">
        <v>1016</v>
      </c>
      <c r="T214" s="353" t="b" cm="1">
        <f t="array" ref="T214">T213</f>
        <v>1</v>
      </c>
      <c r="X214" s="1022"/>
      <c r="Z214" s="1023"/>
      <c r="AB214" s="7" t="s">
        <v>1017</v>
      </c>
      <c r="AC214" s="127" t="s">
        <v>946</v>
      </c>
      <c r="AD214" s="8" t="s">
        <v>828</v>
      </c>
      <c r="AE214" s="128"/>
      <c r="AF214" s="128">
        <v>271.63698499999998</v>
      </c>
      <c r="AG214" s="128">
        <v>214.57282699999999</v>
      </c>
      <c r="AH214" s="128">
        <v>55.483331370000002</v>
      </c>
      <c r="AI214" s="128"/>
      <c r="AJ214" s="778"/>
      <c r="AK214" s="778"/>
      <c r="AL214" s="128"/>
      <c r="AM214" s="128"/>
      <c r="AN214" s="128"/>
      <c r="AO214" s="128"/>
      <c r="AP214" s="128"/>
      <c r="AQ214" s="128"/>
      <c r="AR214" s="128"/>
      <c r="AS214" s="128">
        <v>64.532838999999996</v>
      </c>
      <c r="AT214" s="778"/>
      <c r="AU214" s="778"/>
      <c r="AV214" s="128"/>
      <c r="AW214" s="128"/>
      <c r="AX214" s="128"/>
      <c r="AY214" s="128"/>
      <c r="AZ214" s="128"/>
      <c r="BA214" s="128"/>
      <c r="BB214" s="128"/>
      <c r="BC214" s="113" t="s">
        <v>1056</v>
      </c>
      <c r="BF214" s="680" t="s">
        <v>1018</v>
      </c>
    </row>
    <row r="215" spans="2:58" ht="36" customHeight="1" x14ac:dyDescent="0.15">
      <c r="E215" s="449">
        <v>15</v>
      </c>
      <c r="F215" s="3" t="str" cm="1">
        <f t="array" aca="1" ref="F215" ca="1">OFFSET(E215,-1,1)</f>
        <v>3</v>
      </c>
      <c r="G215" s="22" t="s">
        <v>1019</v>
      </c>
      <c r="T215" s="353" t="b" cm="1">
        <f t="array" ref="T215">T214</f>
        <v>1</v>
      </c>
      <c r="X215" s="1022"/>
      <c r="Z215" s="1023"/>
      <c r="AB215" s="7" t="s">
        <v>1020</v>
      </c>
      <c r="AC215" s="127" t="s">
        <v>949</v>
      </c>
      <c r="AD215" s="8" t="s">
        <v>828</v>
      </c>
      <c r="AE215" s="128"/>
      <c r="AF215" s="128">
        <v>21.389178999999999</v>
      </c>
      <c r="AG215" s="128">
        <v>0</v>
      </c>
      <c r="AH215" s="128">
        <v>0</v>
      </c>
      <c r="AI215" s="128"/>
      <c r="AJ215" s="778"/>
      <c r="AK215" s="778"/>
      <c r="AL215" s="128"/>
      <c r="AM215" s="128"/>
      <c r="AN215" s="128"/>
      <c r="AO215" s="128"/>
      <c r="AP215" s="128"/>
      <c r="AQ215" s="128"/>
      <c r="AR215" s="128"/>
      <c r="AS215" s="128">
        <v>0</v>
      </c>
      <c r="AT215" s="778"/>
      <c r="AU215" s="778"/>
      <c r="AV215" s="128"/>
      <c r="AW215" s="128"/>
      <c r="AX215" s="128"/>
      <c r="AY215" s="128"/>
      <c r="AZ215" s="128"/>
      <c r="BA215" s="128"/>
      <c r="BB215" s="128"/>
      <c r="BC215" s="113" t="s">
        <v>1057</v>
      </c>
      <c r="BF215" s="680" t="s">
        <v>1021</v>
      </c>
    </row>
    <row r="216" spans="2:58" ht="51.6" customHeight="1" x14ac:dyDescent="0.15">
      <c r="E216" s="449">
        <v>15</v>
      </c>
      <c r="F216" s="3" t="str" cm="1">
        <f t="array" aca="1" ref="F216" ca="1">OFFSET(E216,-1,1)</f>
        <v>3</v>
      </c>
      <c r="G216" s="22" t="s">
        <v>1022</v>
      </c>
      <c r="T216" s="353" t="b" cm="1">
        <f t="array" ref="T216">T215</f>
        <v>1</v>
      </c>
      <c r="X216" s="1022"/>
      <c r="Z216" s="1023"/>
      <c r="AB216" s="7" t="s">
        <v>1023</v>
      </c>
      <c r="AC216" s="127" t="s">
        <v>953</v>
      </c>
      <c r="AD216" s="8" t="s">
        <v>828</v>
      </c>
      <c r="AE216" s="128">
        <v>2296.6681277419002</v>
      </c>
      <c r="AF216" s="128">
        <v>4.1649859999999999</v>
      </c>
      <c r="AG216" s="128">
        <v>0</v>
      </c>
      <c r="AH216" s="128">
        <v>0</v>
      </c>
      <c r="AI216" s="128">
        <v>3736.6829633222001</v>
      </c>
      <c r="AJ216" s="778"/>
      <c r="AK216" s="778"/>
      <c r="AL216" s="128"/>
      <c r="AM216" s="128"/>
      <c r="AN216" s="128"/>
      <c r="AO216" s="128"/>
      <c r="AP216" s="128"/>
      <c r="AQ216" s="128"/>
      <c r="AR216" s="128"/>
      <c r="AS216" s="128">
        <v>0</v>
      </c>
      <c r="AT216" s="778"/>
      <c r="AU216" s="778"/>
      <c r="AV216" s="128"/>
      <c r="AW216" s="128"/>
      <c r="AX216" s="128"/>
      <c r="AY216" s="128"/>
      <c r="AZ216" s="128"/>
      <c r="BA216" s="128"/>
      <c r="BB216" s="128"/>
      <c r="BC216" s="113" t="s">
        <v>1057</v>
      </c>
      <c r="BF216" s="680" t="s">
        <v>1024</v>
      </c>
    </row>
    <row r="217" spans="2:58" s="63" customFormat="1" ht="14.25" customHeight="1" x14ac:dyDescent="0.15">
      <c r="B217" s="328"/>
      <c r="E217" s="449">
        <v>15</v>
      </c>
      <c r="F217" s="3" t="str" cm="1">
        <f t="array" aca="1" ref="F217" ca="1">OFFSET(E217,-1,1)</f>
        <v>3</v>
      </c>
      <c r="G217" s="22" t="s">
        <v>586</v>
      </c>
      <c r="T217" s="353" t="b" cm="1">
        <f t="array" ref="T217">T216</f>
        <v>1</v>
      </c>
      <c r="X217" s="1022"/>
      <c r="Z217" s="1023"/>
      <c r="AB217" s="124">
        <v>8</v>
      </c>
      <c r="AC217" s="125" t="s">
        <v>1025</v>
      </c>
      <c r="AD217" s="8" t="s">
        <v>828</v>
      </c>
      <c r="AE217" s="138">
        <f t="shared" ref="AE217:BB217" si="144">SUM(AE218:AE222)</f>
        <v>0</v>
      </c>
      <c r="AF217" s="138">
        <f t="shared" si="144"/>
        <v>0</v>
      </c>
      <c r="AG217" s="138">
        <f t="shared" si="144"/>
        <v>0</v>
      </c>
      <c r="AH217" s="138">
        <f t="shared" si="144"/>
        <v>0</v>
      </c>
      <c r="AI217" s="138">
        <f t="shared" si="144"/>
        <v>0</v>
      </c>
      <c r="AJ217" s="774">
        <f t="shared" si="144"/>
        <v>0</v>
      </c>
      <c r="AK217" s="774">
        <f t="shared" si="144"/>
        <v>0</v>
      </c>
      <c r="AL217" s="138">
        <f t="shared" si="144"/>
        <v>0</v>
      </c>
      <c r="AM217" s="138">
        <f t="shared" si="144"/>
        <v>0</v>
      </c>
      <c r="AN217" s="138">
        <f t="shared" si="144"/>
        <v>0</v>
      </c>
      <c r="AO217" s="138">
        <f t="shared" si="144"/>
        <v>0</v>
      </c>
      <c r="AP217" s="138">
        <f t="shared" si="144"/>
        <v>0</v>
      </c>
      <c r="AQ217" s="138">
        <f t="shared" si="144"/>
        <v>0</v>
      </c>
      <c r="AR217" s="138">
        <f t="shared" si="144"/>
        <v>0</v>
      </c>
      <c r="AS217" s="138">
        <f t="shared" si="144"/>
        <v>0</v>
      </c>
      <c r="AT217" s="774">
        <f t="shared" si="144"/>
        <v>0</v>
      </c>
      <c r="AU217" s="774">
        <f t="shared" si="144"/>
        <v>0</v>
      </c>
      <c r="AV217" s="138">
        <f t="shared" si="144"/>
        <v>0</v>
      </c>
      <c r="AW217" s="138">
        <f t="shared" si="144"/>
        <v>0</v>
      </c>
      <c r="AX217" s="138">
        <f t="shared" si="144"/>
        <v>0</v>
      </c>
      <c r="AY217" s="138">
        <f t="shared" si="144"/>
        <v>0</v>
      </c>
      <c r="AZ217" s="138">
        <f t="shared" si="144"/>
        <v>0</v>
      </c>
      <c r="BA217" s="138">
        <f t="shared" si="144"/>
        <v>0</v>
      </c>
      <c r="BB217" s="138">
        <f t="shared" si="144"/>
        <v>0</v>
      </c>
      <c r="BC217" s="113"/>
      <c r="BF217" s="680" t="s">
        <v>1026</v>
      </c>
    </row>
    <row r="218" spans="2:58" ht="14.25" customHeight="1" x14ac:dyDescent="0.15">
      <c r="E218" s="449">
        <v>15</v>
      </c>
      <c r="F218" s="3" t="str" cm="1">
        <f t="array" aca="1" ref="F218" ca="1">OFFSET(E218,-1,1)</f>
        <v>3</v>
      </c>
      <c r="G218" s="22" t="s">
        <v>589</v>
      </c>
      <c r="T218" s="353" t="b" cm="1">
        <f t="array" ref="T218">T217</f>
        <v>1</v>
      </c>
      <c r="X218" s="1022"/>
      <c r="Z218" s="1023"/>
      <c r="AB218" s="7" t="s">
        <v>614</v>
      </c>
      <c r="AC218" s="127" t="s">
        <v>940</v>
      </c>
      <c r="AD218" s="8" t="s">
        <v>828</v>
      </c>
      <c r="AE218" s="128"/>
      <c r="AF218" s="128"/>
      <c r="AG218" s="128"/>
      <c r="AH218" s="128"/>
      <c r="AI218" s="128"/>
      <c r="AJ218" s="778"/>
      <c r="AK218" s="778"/>
      <c r="AL218" s="128"/>
      <c r="AM218" s="128"/>
      <c r="AN218" s="128"/>
      <c r="AO218" s="128"/>
      <c r="AP218" s="128"/>
      <c r="AQ218" s="128"/>
      <c r="AR218" s="128"/>
      <c r="AS218" s="128"/>
      <c r="AT218" s="778"/>
      <c r="AU218" s="778"/>
      <c r="AV218" s="128"/>
      <c r="AW218" s="128"/>
      <c r="AX218" s="128"/>
      <c r="AY218" s="128"/>
      <c r="AZ218" s="128"/>
      <c r="BA218" s="128"/>
      <c r="BB218" s="128"/>
      <c r="BC218" s="113"/>
      <c r="BF218" s="680" t="s">
        <v>1027</v>
      </c>
    </row>
    <row r="219" spans="2:58" ht="14.25" customHeight="1" x14ac:dyDescent="0.15">
      <c r="E219" s="449">
        <v>15</v>
      </c>
      <c r="F219" s="3" t="str" cm="1">
        <f t="array" aca="1" ref="F219" ca="1">OFFSET(E219,-1,1)</f>
        <v>3</v>
      </c>
      <c r="G219" s="22" t="s">
        <v>593</v>
      </c>
      <c r="T219" s="353" t="b" cm="1">
        <f t="array" ref="T219">T218</f>
        <v>1</v>
      </c>
      <c r="X219" s="1022"/>
      <c r="Z219" s="1023"/>
      <c r="AB219" s="7" t="s">
        <v>631</v>
      </c>
      <c r="AC219" s="127" t="s">
        <v>943</v>
      </c>
      <c r="AD219" s="8" t="s">
        <v>828</v>
      </c>
      <c r="AE219" s="128"/>
      <c r="AF219" s="128"/>
      <c r="AG219" s="128"/>
      <c r="AH219" s="128"/>
      <c r="AI219" s="128"/>
      <c r="AJ219" s="778"/>
      <c r="AK219" s="778"/>
      <c r="AL219" s="128"/>
      <c r="AM219" s="128"/>
      <c r="AN219" s="128"/>
      <c r="AO219" s="128"/>
      <c r="AP219" s="128"/>
      <c r="AQ219" s="128"/>
      <c r="AR219" s="128"/>
      <c r="AS219" s="128"/>
      <c r="AT219" s="778"/>
      <c r="AU219" s="778"/>
      <c r="AV219" s="128"/>
      <c r="AW219" s="128"/>
      <c r="AX219" s="128"/>
      <c r="AY219" s="128"/>
      <c r="AZ219" s="128"/>
      <c r="BA219" s="128"/>
      <c r="BB219" s="128"/>
      <c r="BC219" s="113"/>
      <c r="BF219" s="680" t="s">
        <v>1028</v>
      </c>
    </row>
    <row r="220" spans="2:58" ht="14.25" customHeight="1" x14ac:dyDescent="0.15">
      <c r="E220" s="449">
        <v>15</v>
      </c>
      <c r="F220" s="3" t="str" cm="1">
        <f t="array" aca="1" ref="F220" ca="1">OFFSET(E220,-1,1)</f>
        <v>3</v>
      </c>
      <c r="G220" s="22" t="s">
        <v>597</v>
      </c>
      <c r="T220" s="353" t="b" cm="1">
        <f t="array" ref="T220">T219</f>
        <v>1</v>
      </c>
      <c r="X220" s="1022"/>
      <c r="Z220" s="1023"/>
      <c r="AB220" s="7" t="s">
        <v>643</v>
      </c>
      <c r="AC220" s="127" t="s">
        <v>946</v>
      </c>
      <c r="AD220" s="8" t="s">
        <v>828</v>
      </c>
      <c r="AE220" s="128"/>
      <c r="AF220" s="128"/>
      <c r="AG220" s="128"/>
      <c r="AH220" s="128"/>
      <c r="AI220" s="128"/>
      <c r="AJ220" s="778"/>
      <c r="AK220" s="778"/>
      <c r="AL220" s="128"/>
      <c r="AM220" s="128"/>
      <c r="AN220" s="128"/>
      <c r="AO220" s="128"/>
      <c r="AP220" s="128"/>
      <c r="AQ220" s="128"/>
      <c r="AR220" s="128"/>
      <c r="AS220" s="128"/>
      <c r="AT220" s="778"/>
      <c r="AU220" s="778"/>
      <c r="AV220" s="128"/>
      <c r="AW220" s="128"/>
      <c r="AX220" s="128"/>
      <c r="AY220" s="128"/>
      <c r="AZ220" s="128"/>
      <c r="BA220" s="128"/>
      <c r="BB220" s="128"/>
      <c r="BC220" s="113"/>
      <c r="BF220" s="680" t="s">
        <v>1029</v>
      </c>
    </row>
    <row r="221" spans="2:58" ht="14.25" customHeight="1" x14ac:dyDescent="0.15">
      <c r="E221" s="449">
        <v>15</v>
      </c>
      <c r="F221" s="3" t="str" cm="1">
        <f t="array" aca="1" ref="F221" ca="1">OFFSET(E221,-1,1)</f>
        <v>3</v>
      </c>
      <c r="G221" s="22" t="s">
        <v>1030</v>
      </c>
      <c r="T221" s="353" t="b" cm="1">
        <f t="array" ref="T221">T220</f>
        <v>1</v>
      </c>
      <c r="X221" s="1022"/>
      <c r="Z221" s="1023"/>
      <c r="AB221" s="7" t="s">
        <v>678</v>
      </c>
      <c r="AC221" s="127" t="s">
        <v>949</v>
      </c>
      <c r="AD221" s="8" t="s">
        <v>828</v>
      </c>
      <c r="AE221" s="128"/>
      <c r="AF221" s="128"/>
      <c r="AG221" s="128"/>
      <c r="AH221" s="128"/>
      <c r="AI221" s="128"/>
      <c r="AJ221" s="778"/>
      <c r="AK221" s="778"/>
      <c r="AL221" s="128"/>
      <c r="AM221" s="128"/>
      <c r="AN221" s="128"/>
      <c r="AO221" s="128"/>
      <c r="AP221" s="128"/>
      <c r="AQ221" s="128"/>
      <c r="AR221" s="128"/>
      <c r="AS221" s="128"/>
      <c r="AT221" s="778"/>
      <c r="AU221" s="778"/>
      <c r="AV221" s="128"/>
      <c r="AW221" s="128"/>
      <c r="AX221" s="128"/>
      <c r="AY221" s="128"/>
      <c r="AZ221" s="128"/>
      <c r="BA221" s="128"/>
      <c r="BB221" s="128"/>
      <c r="BC221" s="113"/>
      <c r="BF221" s="680" t="s">
        <v>1031</v>
      </c>
    </row>
    <row r="222" spans="2:58" ht="14.25" customHeight="1" x14ac:dyDescent="0.15">
      <c r="E222" s="449">
        <v>15</v>
      </c>
      <c r="F222" s="3" t="str" cm="1">
        <f t="array" aca="1" ref="F222" ca="1">OFFSET(E222,-1,1)</f>
        <v>3</v>
      </c>
      <c r="G222" s="22" t="s">
        <v>1032</v>
      </c>
      <c r="T222" s="353" t="b" cm="1">
        <f t="array" ref="T222">T221</f>
        <v>1</v>
      </c>
      <c r="X222" s="1022"/>
      <c r="Z222" s="1023"/>
      <c r="AB222" s="7" t="s">
        <v>681</v>
      </c>
      <c r="AC222" s="127" t="s">
        <v>953</v>
      </c>
      <c r="AD222" s="8" t="s">
        <v>828</v>
      </c>
      <c r="AE222" s="128"/>
      <c r="AF222" s="128"/>
      <c r="AG222" s="128"/>
      <c r="AH222" s="128"/>
      <c r="AI222" s="128"/>
      <c r="AJ222" s="778"/>
      <c r="AK222" s="778"/>
      <c r="AL222" s="128"/>
      <c r="AM222" s="128"/>
      <c r="AN222" s="128"/>
      <c r="AO222" s="128"/>
      <c r="AP222" s="128"/>
      <c r="AQ222" s="128"/>
      <c r="AR222" s="128"/>
      <c r="AS222" s="128"/>
      <c r="AT222" s="778"/>
      <c r="AU222" s="778"/>
      <c r="AV222" s="128"/>
      <c r="AW222" s="128"/>
      <c r="AX222" s="128"/>
      <c r="AY222" s="128"/>
      <c r="AZ222" s="128"/>
      <c r="BA222" s="128"/>
      <c r="BB222" s="128"/>
      <c r="BC222" s="113"/>
      <c r="BF222" s="680" t="s">
        <v>1033</v>
      </c>
    </row>
    <row r="223" spans="2:58" ht="10.7" customHeight="1" x14ac:dyDescent="0.15">
      <c r="E223" s="449">
        <v>11</v>
      </c>
      <c r="F223" s="253"/>
      <c r="U223" s="22" t="s">
        <v>176</v>
      </c>
      <c r="V223" s="56" t="s">
        <v>1058</v>
      </c>
      <c r="AB223" s="64"/>
      <c r="AC223" s="64"/>
      <c r="AD223" s="64"/>
      <c r="AE223" s="64"/>
      <c r="AF223" s="64"/>
      <c r="AG223" s="64"/>
      <c r="AH223" s="64"/>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row>
    <row r="224" spans="2:58" ht="14.65" customHeight="1" x14ac:dyDescent="0.15">
      <c r="E224" s="449">
        <v>15</v>
      </c>
      <c r="AA224" s="17"/>
      <c r="AB224" s="993" t="s">
        <v>408</v>
      </c>
      <c r="AC224" s="993"/>
      <c r="AD224" s="993"/>
      <c r="AE224" s="993"/>
      <c r="AF224" s="993"/>
      <c r="AG224" s="993"/>
      <c r="AH224" s="993"/>
      <c r="AI224" s="1024"/>
      <c r="AJ224" s="1024"/>
      <c r="AK224" s="1024"/>
      <c r="AL224" s="1024"/>
      <c r="AM224" s="1024"/>
      <c r="AN224" s="1024"/>
      <c r="AO224" s="1024"/>
      <c r="AP224" s="1024"/>
      <c r="AQ224" s="1024"/>
      <c r="AR224" s="1024"/>
      <c r="AS224" s="1024"/>
      <c r="AT224" s="1024"/>
      <c r="AU224" s="1024"/>
      <c r="AV224" s="1024"/>
      <c r="AW224" s="1024"/>
      <c r="AX224" s="1024"/>
      <c r="AY224" s="1024"/>
      <c r="AZ224" s="1024"/>
      <c r="BA224" s="1024"/>
      <c r="BB224" s="1024"/>
      <c r="BC224" s="1024"/>
      <c r="BD224" s="17"/>
    </row>
    <row r="225" spans="5:56" ht="44.1" customHeight="1" x14ac:dyDescent="0.15">
      <c r="E225" s="449">
        <v>15</v>
      </c>
      <c r="T225" s="17"/>
      <c r="AA225" s="87"/>
      <c r="AB225" s="1025" t="s">
        <v>1059</v>
      </c>
      <c r="AC225" s="1025"/>
      <c r="AD225" s="1025"/>
      <c r="AE225" s="1025"/>
      <c r="AF225" s="1025"/>
      <c r="AG225" s="1025"/>
      <c r="AH225" s="1025"/>
      <c r="AI225" s="1026"/>
      <c r="AJ225" s="1038"/>
      <c r="AK225" s="1038"/>
      <c r="AL225" s="1038"/>
      <c r="AM225" s="1038"/>
      <c r="AN225" s="1038"/>
      <c r="AO225" s="1038"/>
      <c r="AP225" s="1038"/>
      <c r="AQ225" s="1038"/>
      <c r="AR225" s="1038"/>
      <c r="AS225" s="1026"/>
      <c r="AT225" s="1038"/>
      <c r="AU225" s="1038"/>
      <c r="AV225" s="1038"/>
      <c r="AW225" s="1038"/>
      <c r="AX225" s="1038"/>
      <c r="AY225" s="1038"/>
      <c r="AZ225" s="1038"/>
      <c r="BA225" s="1038"/>
      <c r="BB225" s="1038"/>
      <c r="BC225" s="1026"/>
      <c r="BD225" s="17"/>
    </row>
    <row r="226" spans="5:56" ht="14.65" hidden="1" customHeight="1" x14ac:dyDescent="0.15">
      <c r="E226" s="449">
        <v>15</v>
      </c>
      <c r="T226" s="353" t="b">
        <f>ROW(W226)&gt;ROW(W$226)</f>
        <v>0</v>
      </c>
      <c r="W226" s="517" t="s">
        <v>172</v>
      </c>
      <c r="AA226" s="489" t="s">
        <v>173</v>
      </c>
      <c r="AB226" s="1037" t="s">
        <v>225</v>
      </c>
      <c r="AC226" s="1037"/>
      <c r="AD226" s="1037"/>
      <c r="AE226" s="1037"/>
      <c r="AF226" s="1037"/>
      <c r="AG226" s="1037"/>
      <c r="AH226" s="1037"/>
      <c r="AI226" s="1026"/>
      <c r="AJ226" s="1038"/>
      <c r="AK226" s="1038"/>
      <c r="AL226" s="1038"/>
      <c r="AM226" s="1038"/>
      <c r="AN226" s="1038"/>
      <c r="AO226" s="1038"/>
      <c r="AP226" s="1038"/>
      <c r="AQ226" s="1038"/>
      <c r="AR226" s="1038"/>
      <c r="AS226" s="1026"/>
      <c r="AT226" s="1038"/>
      <c r="AU226" s="1038"/>
      <c r="AV226" s="1038"/>
      <c r="AW226" s="1038"/>
      <c r="AX226" s="1038"/>
      <c r="AY226" s="1038"/>
      <c r="AZ226" s="1038"/>
      <c r="BA226" s="1038"/>
      <c r="BB226" s="1038"/>
      <c r="BC226" s="1038"/>
      <c r="BD226" s="17"/>
    </row>
    <row r="227" spans="5:56" ht="33.6" customHeight="1" x14ac:dyDescent="0.15">
      <c r="E227" s="449">
        <v>15</v>
      </c>
      <c r="T227" s="353" t="b">
        <f>ROW(W227)&gt;ROW(W$226)</f>
        <v>1</v>
      </c>
      <c r="W227" s="517"/>
      <c r="Y227" s="22" t="s">
        <v>225</v>
      </c>
      <c r="AA227" s="489" t="s">
        <v>173</v>
      </c>
      <c r="AB227" s="1025" t="s">
        <v>1060</v>
      </c>
      <c r="AC227" s="1025"/>
      <c r="AD227" s="1025"/>
      <c r="AE227" s="1025"/>
      <c r="AF227" s="1025"/>
      <c r="AG227" s="1025"/>
      <c r="AH227" s="1025"/>
      <c r="AI227" s="1026"/>
      <c r="AJ227" s="1038"/>
      <c r="AK227" s="1038"/>
      <c r="AL227" s="1026"/>
      <c r="AM227" s="1026"/>
      <c r="AN227" s="1026"/>
      <c r="AO227" s="1026"/>
      <c r="AP227" s="1026"/>
      <c r="AQ227" s="1026"/>
      <c r="AR227" s="1026"/>
      <c r="AS227" s="1026"/>
      <c r="AT227" s="1038"/>
      <c r="AU227" s="1038"/>
      <c r="AV227" s="1026"/>
      <c r="AW227" s="1026"/>
      <c r="AX227" s="1026"/>
      <c r="AY227" s="1026"/>
      <c r="AZ227" s="1026"/>
      <c r="BA227" s="1026"/>
      <c r="BB227" s="1026"/>
      <c r="BC227" s="1026"/>
      <c r="BD227" s="17"/>
    </row>
    <row r="228" spans="5:56" ht="54.75" customHeight="1" x14ac:dyDescent="0.15">
      <c r="E228" s="449">
        <v>15</v>
      </c>
      <c r="T228" s="353" t="b">
        <f>ROW(W228)&gt;ROW(W$226)</f>
        <v>1</v>
      </c>
      <c r="W228" s="517"/>
      <c r="Y228" s="22" t="s">
        <v>225</v>
      </c>
      <c r="AA228" s="489" t="s">
        <v>173</v>
      </c>
      <c r="AB228" s="1025" t="s">
        <v>1061</v>
      </c>
      <c r="AC228" s="1025"/>
      <c r="AD228" s="1025"/>
      <c r="AE228" s="1025"/>
      <c r="AF228" s="1025"/>
      <c r="AG228" s="1025"/>
      <c r="AH228" s="1025"/>
      <c r="AI228" s="1026"/>
      <c r="AJ228" s="1038"/>
      <c r="AK228" s="1038"/>
      <c r="AL228" s="1026"/>
      <c r="AM228" s="1026"/>
      <c r="AN228" s="1026"/>
      <c r="AO228" s="1026"/>
      <c r="AP228" s="1026"/>
      <c r="AQ228" s="1026"/>
      <c r="AR228" s="1026"/>
      <c r="AS228" s="1026"/>
      <c r="AT228" s="1038"/>
      <c r="AU228" s="1038"/>
      <c r="AV228" s="1026"/>
      <c r="AW228" s="1026"/>
      <c r="AX228" s="1026"/>
      <c r="AY228" s="1026"/>
      <c r="AZ228" s="1026"/>
      <c r="BA228" s="1026"/>
      <c r="BB228" s="1026"/>
      <c r="BC228" s="1026"/>
      <c r="BD228" s="17"/>
    </row>
    <row r="229" spans="5:56" ht="28.5" customHeight="1" x14ac:dyDescent="0.15">
      <c r="E229" s="449">
        <v>15</v>
      </c>
      <c r="T229" s="353" t="b">
        <f>ROW(W229)&gt;ROW(W$226)</f>
        <v>1</v>
      </c>
      <c r="W229" s="517"/>
      <c r="Y229" s="22" t="s">
        <v>225</v>
      </c>
      <c r="AA229" s="489" t="s">
        <v>173</v>
      </c>
      <c r="AB229" s="1025" t="s">
        <v>1062</v>
      </c>
      <c r="AC229" s="1025"/>
      <c r="AD229" s="1025"/>
      <c r="AE229" s="1025"/>
      <c r="AF229" s="1025"/>
      <c r="AG229" s="1025"/>
      <c r="AH229" s="1025"/>
      <c r="AI229" s="1026"/>
      <c r="AJ229" s="1038"/>
      <c r="AK229" s="1038"/>
      <c r="AL229" s="1026"/>
      <c r="AM229" s="1026"/>
      <c r="AN229" s="1026"/>
      <c r="AO229" s="1026"/>
      <c r="AP229" s="1026"/>
      <c r="AQ229" s="1026"/>
      <c r="AR229" s="1026"/>
      <c r="AS229" s="1026"/>
      <c r="AT229" s="1038"/>
      <c r="AU229" s="1038"/>
      <c r="AV229" s="1026"/>
      <c r="AW229" s="1026"/>
      <c r="AX229" s="1026"/>
      <c r="AY229" s="1026"/>
      <c r="AZ229" s="1026"/>
      <c r="BA229" s="1026"/>
      <c r="BB229" s="1026"/>
      <c r="BC229" s="1026"/>
      <c r="BD229" s="17"/>
    </row>
    <row r="230" spans="5:56" ht="14.25" customHeight="1" x14ac:dyDescent="0.15">
      <c r="E230" s="449">
        <v>15</v>
      </c>
      <c r="T230" s="353" t="b">
        <f>ROW(W230)&gt;ROW(W$226)</f>
        <v>1</v>
      </c>
      <c r="W230" s="517"/>
      <c r="Y230" s="22" t="s">
        <v>225</v>
      </c>
      <c r="AA230" s="489" t="s">
        <v>173</v>
      </c>
      <c r="AB230" s="1025" t="s">
        <v>225</v>
      </c>
      <c r="AC230" s="1025"/>
      <c r="AD230" s="1025"/>
      <c r="AE230" s="1025"/>
      <c r="AF230" s="1025"/>
      <c r="AG230" s="1025"/>
      <c r="AH230" s="1025"/>
      <c r="AI230" s="1026"/>
      <c r="AJ230" s="1038"/>
      <c r="AK230" s="1038"/>
      <c r="AL230" s="1026"/>
      <c r="AM230" s="1026"/>
      <c r="AN230" s="1026"/>
      <c r="AO230" s="1026"/>
      <c r="AP230" s="1026"/>
      <c r="AQ230" s="1026"/>
      <c r="AR230" s="1026"/>
      <c r="AS230" s="1026"/>
      <c r="AT230" s="1038"/>
      <c r="AU230" s="1038"/>
      <c r="AV230" s="1026"/>
      <c r="AW230" s="1026"/>
      <c r="AX230" s="1026"/>
      <c r="AY230" s="1026"/>
      <c r="AZ230" s="1026"/>
      <c r="BA230" s="1026"/>
      <c r="BB230" s="1026"/>
      <c r="BC230" s="1026"/>
      <c r="BD230" s="17"/>
    </row>
    <row r="231" spans="5:56" ht="14.65" customHeight="1" x14ac:dyDescent="0.15">
      <c r="E231" s="449">
        <v>15</v>
      </c>
      <c r="W231" s="517" t="s">
        <v>419</v>
      </c>
      <c r="AA231" s="17"/>
      <c r="AB231" s="474"/>
      <c r="AC231" s="382" t="s">
        <v>420</v>
      </c>
      <c r="AD231" s="218"/>
      <c r="AE231" s="218"/>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20"/>
      <c r="BD231" s="17"/>
    </row>
    <row r="232" spans="5:56" ht="10.9" customHeight="1" x14ac:dyDescent="0.15">
      <c r="E232" s="449">
        <v>11.25</v>
      </c>
    </row>
  </sheetData>
  <sheetProtection formatColumns="0" formatRows="0" insertRows="0" deleteColumns="0" deleteRows="0" sort="0" autoFilter="0"/>
  <mergeCells count="20">
    <mergeCell ref="AB227:BC227"/>
    <mergeCell ref="AB228:BC228"/>
    <mergeCell ref="AB229:BC229"/>
    <mergeCell ref="AB230:BC230"/>
    <mergeCell ref="AB23:BB23"/>
    <mergeCell ref="AB24:AB25"/>
    <mergeCell ref="AC24:AC25"/>
    <mergeCell ref="AD24:AD25"/>
    <mergeCell ref="BC24:BC25"/>
    <mergeCell ref="AB226:BC226"/>
    <mergeCell ref="X27:X75"/>
    <mergeCell ref="Z27:Z75"/>
    <mergeCell ref="AB225:BC225"/>
    <mergeCell ref="AB224:BC224"/>
    <mergeCell ref="X76:X124"/>
    <mergeCell ref="Z76:Z124"/>
    <mergeCell ref="X125:X173"/>
    <mergeCell ref="Z125:Z173"/>
    <mergeCell ref="X174:X222"/>
    <mergeCell ref="Z174:Z222"/>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3 BB176:BB180 BB182:BB186 BB188:BB192 BB194:BB198 BB200:BB204 BB206:BB210 BB212:BB216 BB218:BB223 BA71:BA75 BA78:BA82 BA84:BA88 BA90:BA94 BA96:BA100 BA102:BA106 BA108:BA112 BA114:BA118 BA120:BA124 BA127:BA131 BA133:BA137 BA139:BA143 BA145:BA149 BA151:BA155 BA157:BA161 BA163:BA167 BA169:BA173 BA176:BA180 BA182:BA186 BA188:BA192 BA194:BA198 BA200:BA204 BA206:BA210 BA212:BA216 BA218:BA223 AZ71:AZ75 AZ78:AZ82 AZ84:AZ88 AZ90:AZ94 AZ96:AZ100 AZ102:AZ106 AZ108:AZ112 AZ114:AZ118 AZ120:AZ124 AZ127:AZ131 AZ133:AZ137 AZ139:AZ143 AZ145:AZ149 AZ151:AZ155 AZ157:AZ161 AZ163:AZ167 AZ169:AZ173 AZ176:AZ180 AZ182:AZ186 AZ188:AZ192 AZ194:AZ198 AZ200:AZ204 AZ206:AZ210 AZ212:AZ216 AZ218:AZ223 AY71:AY75 AY78:AY82 AY84:AY88 AY90:AY94 AY96:AY100 AY102:AY106 AY108:AY112 AY114:AY118 AY120:AY124 AY127:AY131 AY133:AY137 AY139:AY143 AY145:AY149 AY151:AY155 AY157:AY161 AY163:AY167 AY169:AY173 AY176:AY180 AY182:AY186 AY188:AY192 AY194:AY198 AY200:AY204 AY206:AY210 AY212:AY216 AY218:AY223 AX71:AX75 AX78:AX82 AX84:AX88 AX90:AX94 AX96:AX100 AX102:AX106 AX108:AX112 AX114:AX118 AX120:AX124 AX127:AX131 AX133:AX137 AX139:AX143 AX145:AX149 AX151:AX155 AX157:AX161 AX163:AX167 AX169:AX173 AX176:AX180 AX182:AX186 AX188:AX192 AX194:AX198 AX200:AX204 AX206:AX210 AX212:AX216 AX218:AX223 AW71:AW75 AW78:AW82 AW84:AW88 AW90:AW94 AW96:AW100 AW102:AW106 AW108:AW112 AW114:AW118 AW120:AW124 AW127:AW131 AW133:AW137 AW139:AW143 AW145:AW149 AW151:AW155 AW157:AW161 AW163:AW167 AW169:AW173 AW176:AW180 AW182:AW186 AW188:AW192 AW194:AW198 AW200:AW204 AW206:AW210 AW212:AW216 AW218:AW223 AV71:AV75 AV78:AV82 AV84:AV88 AV90:AV94 AV96:AV100 AV102:AV106 AV108:AV112 AV114:AV118 AV120:AV124 AV127:AV131 AV133:AV137 AV139:AV143 AV145:AV149 AV151:AV155 AV157:AV161 AV163:AV167 AV169:AV173 AV176:AV180 AV182:AV186 AV188:AV192 AV194:AV198 AV200:AV204 AV206:AV210 AV212:AV216 AV218:AV223 AU71:AU75 AU78:AU82 AU84:AU88 AU90:AU94 AU96:AU100 AU102:AU106 AU108:AU112 AU114:AU118 AU120:AU124 AU127:AU131 AU133:AU137 AU139:AU143 AU145:AU149 AU151:AU155 AU157:AU161 AU163:AU167 AU169:AU173 AU176:AU180 AU182:AU186 AU188:AU192 AU194:AU198 AU200:AU204 AU206:AU210 AU212:AU216 AU218:AU223 AT71:AT75 AT78:AT82 AT84:AT88 AT90:AT94 AT96:AT100 AT102:AT106 AT108:AT112 AT114:AT118 AT120:AT124 AT127:AT131 AT133:AT137 AT139:AT143 AT145:AT149 AT151:AT155 AT157:AT161 AT163:AT167 AT169:AT173 AT176:AT180 AT182:AT186 AT188:AT192 AT194:AT198 AT200:AT204 AT206:AT210 AT212:AT216 AT218:AT223 AS71:AS75 AS78:AS82 AS84:AS88 AS90:AS94 AS96:AS100 AS102:AS106 AS108:AS112 AS114:AS118 AS120:AS124 AS127:AS131 AS133:AS137 AS139:AS143 AS145:AS149 AS151:AS155 AS157:AS161 AS163:AS167 AS169:AS173 AS176:AS180 AS182:AS186 AS188:AS192 AS194:AS198 AS200:AS204 AS206:AS210 AS212:AS216 AS218:AS223 AR71:AR75 AR78:AR82 AR84:AR88 AR90:AR94 AR96:AR100 AR102:AR106 AR108:AR112 AR114:AR118 AR120:AR124 AR127:AR131 AR133:AR137 AR139:AR143 AR145:AR149 AR151:AR155 AR157:AR161 AR163:AR167 AR169:AR173 AR176:AR180 AR182:AR186 AR188:AR192 AR194:AR198 AR200:AR204 AR206:AR210 AR212:AR216 AR218:AR223 AQ71:AQ75 AQ78:AQ82 AQ84:AQ88 AQ90:AQ94 AQ96:AQ100 AQ102:AQ106 AQ108:AQ112 AQ114:AQ118 AQ120:AQ124 AQ127:AQ131 AQ133:AQ137 AQ139:AQ143 AQ145:AQ149 AQ151:AQ155 AQ157:AQ161 AQ163:AQ167 AQ169:AQ173 AQ176:AQ180 AQ182:AQ186 AQ188:AQ192 AQ194:AQ198 AQ200:AQ204 AQ206:AQ210 AQ212:AQ216 AQ218:AQ223 AP71:AP75 AP78:AP82 AP84:AP88 AP90:AP94 AP96:AP100 AP102:AP106 AP108:AP112 AP114:AP118 AP120:AP124 AP127:AP131 AP133:AP137 AP139:AP143 AP145:AP149 AP151:AP155 AP157:AP161 AP163:AP167 AP169:AP173 AP176:AP180 AP182:AP186 AP188:AP192 AP194:AP198 AP200:AP204 AP206:AP210 AP212:AP216 AP218:AP223 AO71:AO75 AO78:AO82 AO84:AO88 AO90:AO94 AO96:AO100 AO102:AO106 AO108:AO112 AO114:AO118 AO120:AO124 AO127:AO131 AO133:AO137 AO139:AO143 AO145:AO149 AO151:AO155 AO157:AO161 AO163:AO167 AO169:AO173 AO176:AO180 AO182:AO186 AO188:AO192 AO194:AO198 AO200:AO204 AO206:AO210 AO212:AO216 AO218:AO223 AN71:AN75 AN78:AN82 AN84:AN88 AN90:AN94 AN96:AN100 AN102:AN106 AN108:AN112 AN114:AN118 AN120:AN124 AN127:AN131 AN133:AN137 AN139:AN143 AN145:AN149 AN151:AN155 AN157:AN161 AN163:AN167 AN169:AN173 AN176:AN180 AN182:AN186 AN188:AN192 AN194:AN198 AN200:AN204 AN206:AN210 AN212:AN216 AN218:AN223 AM71:AM75 AM78:AM82 AM84:AM88 AM90:AM94 AM96:AM100 AM102:AM106 AM108:AM112 AM114:AM118 AM120:AM124 AM127:AM131 AM133:AM137 AM139:AM143 AM145:AM149 AM151:AM155 AM157:AM161 AM163:AM167 AM169:AM173 AM176:AM180 AM182:AM186 AM188:AM192 AM194:AM198 AM200:AM204 AM206:AM210 AM212:AM216 AM218:AM223 AL71:AL75 AL78:AL82 AL84:AL88 AL90:AL94 AL96:AL100 AL102:AL106 AL108:AL112 AL114:AL118 AL120:AL124 AL127:AL131 AL133:AL137 AL139:AL143 AL145:AL149 AL151:AL155 AL157:AL161 AL163:AL167 AL169:AL173 AL176:AL180 AL182:AL186 AL188:AL192 AL194:AL198 AL200:AL204 AL206:AL210 AL212:AL216 AL218:AL223 AK71:AK75 AK78:AK82 AK84:AK88 AK90:AK94 AK96:AK100 AK102:AK106 AK108:AK112 AK114:AK118 AK120:AK124 AK127:AK131 AK133:AK137 AK139:AK143 AK145:AK149 AK151:AK155 AK157:AK161 AK163:AK167 AK169:AK173 AK176:AK180 AK182:AK186 AK188:AK192 AK194:AK198 AK200:AK204 AK206:AK210 AK212:AK216 AK218:AK223 AJ71:AJ75 AJ78:AJ82 AJ84:AJ88 AJ90:AJ94 AJ96:AJ100 AJ102:AJ106 AJ108:AJ112 AJ114:AJ118 AJ120:AJ124 AJ127:AJ131 AJ133:AJ137 AJ139:AJ143 AJ145:AJ149 AJ151:AJ155 AJ157:AJ161 AJ163:AJ167 AJ169:AJ173 AJ176:AJ180 AJ182:AJ186 AJ188:AJ192 AJ194:AJ198 AJ200:AJ204 AJ206:AJ210 AJ212:AJ216 AJ218:AJ223 AI71:AI75 AI78:AI82 AI84:AI88 AI90:AI94 AI96:AI100 AI102:AI106 AI108:AI112 AI114:AI118 AI120:AI124 AI127:AI131 AI133:AI137 AI139:AI143 AI145:AI149 AI151:AI155 AI157:AI161 AI163:AI167 AI169:AI173 AI176:AI180 AI182:AI186 AI188:AI192 AI194:AI198 AI200:AI204 AI206:AI210 AI212:AI216 AI218:AI223 AH71:AH75 AH78:AH82 AH84:AH88 AH90:AH94 AH96:AH100 AH102:AH106 AH108:AH112 AH114:AH118 AH120:AH124 AH127:AH131 AH133:AH137 AH139:AH143 AH145:AH149 AH151:AH155 AH157:AH161 AH163:AH167 AH169:AH173 AH176:AH180 AH182:AH186 AH188:AH192 AH194:AH198 AH200:AH204 AH206:AH210 AH212:AH216 AH218:AH223 AG71:AG75 AG78:AG82 AG84:AG88 AG90:AG94 AG96:AG100 AG102:AG106 AG108:AG112 AG114:AG118 AG120:AG124 AG127:AG131 AG133:AG137 AG139:AG143 AG145:AG149 AG151:AG155 AG157:AG161 AG163:AG167 AG169:AG173 AG176:AG180 AG182:AG186 AG188:AG192 AG194:AG198 AG200:AG204 AG206:AG210 AG212:AG216 AG218:AG223 AF71:AF75 AF78:AF82 AF84:AF88 AF90:AF94 AF96:AF100 AF102:AF106 AF108:AF112 AF114:AF118 AF120:AF124 AF127:AF131 AF133:AF137 AF139:AF143 AF145:AF149 AF151:AF155 AF157:AF161 AF163:AF167 AF169:AF173 AF176:AF180 AF182:AF186 AF188:AF192 AF194:AF198 AF200:AF204 AF206:AF210 AF212:AF216 AF218:AF223 AE71:AE75 AE78:AE82 AE84:AE88 AE90:AE94 AE96:AE100 AE102:AE106 AE108:AE112 AE114:AE118 AE120:AE124 AE127:AE131 AE133:AE137 AE139:AE143 AE145:AE149 AE151:AE155 AE157:AE161 AE163:AE167 AE169:AE173 AE176:AE180 AE182:AE186 AE188:AE192 AE194:AE198 AE200:AE204 AE206:AE210 AE212:AE216 AE218:AE223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6DE88-A7D1-DF48-5EFE-FDA846BF917B}">
  <sheetPr>
    <tabColor rgb="FF002060"/>
    <outlinePr summaryBelow="0" summaryRight="0"/>
    <pageSetUpPr fitToPage="1"/>
  </sheetPr>
  <dimension ref="A1:BF74"/>
  <sheetViews>
    <sheetView showGridLines="0" zoomScale="130" workbookViewId="0">
      <pane xSplit="30" ySplit="25" topLeftCell="AE60" activePane="bottomRight" state="frozen"/>
      <selection pane="topRight" activeCell="AE1" sqref="AE1"/>
      <selection pane="bottomLeft" activeCell="A26" sqref="A26"/>
      <selection pane="bottomRight" activeCell="AA73" sqref="AA73"/>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42.710937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46.140625" style="38" customWidth="1"/>
    <col min="56" max="56" width="3" style="38" customWidth="1"/>
    <col min="57" max="57" width="9.140625" style="38" hidden="1"/>
    <col min="58" max="58" width="9.140625" style="656" hidden="1"/>
  </cols>
  <sheetData>
    <row r="1" spans="1:58" ht="11.25" hidden="1" customHeight="1" x14ac:dyDescent="0.15">
      <c r="E1" s="38"/>
      <c r="F1" s="38" t="s">
        <v>320</v>
      </c>
      <c r="H1" s="38" t="s">
        <v>330</v>
      </c>
      <c r="T1" s="353" t="s">
        <v>92</v>
      </c>
      <c r="U1" s="353" t="s">
        <v>97</v>
      </c>
      <c r="V1" s="353" t="s">
        <v>93</v>
      </c>
      <c r="W1" s="353" t="s">
        <v>94</v>
      </c>
      <c r="X1" s="353" t="s">
        <v>95</v>
      </c>
      <c r="Y1" s="355" t="s">
        <v>322</v>
      </c>
      <c r="Z1" s="353" t="s">
        <v>99</v>
      </c>
      <c r="AA1" s="354" t="s">
        <v>96</v>
      </c>
      <c r="AB1" s="4"/>
      <c r="AC1" s="354" t="s">
        <v>98</v>
      </c>
      <c r="BF1" s="656" t="s">
        <v>323</v>
      </c>
    </row>
    <row r="2" spans="1:58"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x14ac:dyDescent="0.15">
      <c r="E3" s="38"/>
      <c r="AI3" s="373"/>
      <c r="AJ3" s="373"/>
      <c r="AK3" s="373"/>
      <c r="AL3" s="373"/>
      <c r="AM3" s="373"/>
      <c r="AN3" s="373"/>
      <c r="AO3" s="373"/>
      <c r="AP3" s="373"/>
      <c r="AQ3" s="373"/>
      <c r="AR3" s="373"/>
      <c r="AS3" s="373"/>
      <c r="AT3" s="373"/>
      <c r="AU3" s="373"/>
      <c r="AV3" s="373"/>
      <c r="AW3" s="373"/>
      <c r="AX3" s="373"/>
      <c r="AY3" s="373"/>
      <c r="AZ3" s="373"/>
      <c r="BA3" s="373"/>
      <c r="BB3" s="373"/>
    </row>
    <row r="4" spans="1:58" ht="11.25" hidden="1" customHeight="1" x14ac:dyDescent="0.15">
      <c r="E4" s="38"/>
    </row>
    <row r="5" spans="1:58" s="448" customFormat="1" ht="11.25" hidden="1" customHeight="1" x14ac:dyDescent="0.15">
      <c r="A5" s="38"/>
      <c r="B5" s="43"/>
      <c r="C5" s="38"/>
      <c r="D5" s="38"/>
      <c r="E5" s="448" t="s">
        <v>19</v>
      </c>
      <c r="AA5" s="448">
        <v>3</v>
      </c>
      <c r="AB5" s="448">
        <v>11</v>
      </c>
      <c r="AC5" s="448">
        <v>35</v>
      </c>
      <c r="AD5" s="448">
        <v>12</v>
      </c>
      <c r="AE5" s="458">
        <v>13</v>
      </c>
      <c r="AF5" s="448">
        <v>13</v>
      </c>
      <c r="AG5" s="448">
        <v>13</v>
      </c>
      <c r="AH5" s="448">
        <v>13</v>
      </c>
      <c r="AI5" s="448">
        <v>13</v>
      </c>
      <c r="AJ5" s="448">
        <v>13</v>
      </c>
      <c r="AK5" s="448">
        <v>13</v>
      </c>
      <c r="AL5" s="448">
        <v>13</v>
      </c>
      <c r="AM5" s="448">
        <v>13</v>
      </c>
      <c r="AN5" s="448">
        <v>13</v>
      </c>
      <c r="AO5" s="448">
        <v>13</v>
      </c>
      <c r="AP5" s="448">
        <v>13</v>
      </c>
      <c r="AQ5" s="448">
        <v>13</v>
      </c>
      <c r="AR5" s="448">
        <v>13</v>
      </c>
      <c r="AS5" s="448">
        <v>13</v>
      </c>
      <c r="AT5" s="448">
        <v>13</v>
      </c>
      <c r="AU5" s="448">
        <v>13</v>
      </c>
      <c r="AV5" s="448">
        <v>13</v>
      </c>
      <c r="AW5" s="448">
        <v>13</v>
      </c>
      <c r="AX5" s="448">
        <v>13</v>
      </c>
      <c r="AY5" s="448">
        <v>13</v>
      </c>
      <c r="AZ5" s="448">
        <v>13</v>
      </c>
      <c r="BA5" s="448">
        <v>13</v>
      </c>
      <c r="BB5" s="448">
        <v>13</v>
      </c>
      <c r="BC5" s="448">
        <v>20</v>
      </c>
      <c r="BD5" s="448">
        <v>3</v>
      </c>
      <c r="BF5" s="656"/>
    </row>
    <row r="6" spans="1:58" ht="11.25" hidden="1" customHeight="1" x14ac:dyDescent="0.15">
      <c r="A6" s="38" t="s">
        <v>358</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359</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56" customFormat="1" ht="11.25" hidden="1" customHeight="1" x14ac:dyDescent="0.15">
      <c r="A9" s="671" t="s">
        <v>363</v>
      </c>
      <c r="B9" s="665"/>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row>
    <row r="10" spans="1:58" s="656" customFormat="1" ht="11.25" hidden="1" customHeight="1" x14ac:dyDescent="0.15">
      <c r="A10" s="671" t="s">
        <v>364</v>
      </c>
      <c r="B10" s="665"/>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row>
    <row r="11" spans="1:58" s="656" customFormat="1" ht="11.25" hidden="1" customHeight="1" x14ac:dyDescent="0.15">
      <c r="A11" s="671" t="s">
        <v>365</v>
      </c>
      <c r="B11" s="665"/>
      <c r="AE11" s="668"/>
      <c r="BC11" s="656"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48">
        <v>15</v>
      </c>
      <c r="AA21" s="325"/>
      <c r="AC21" s="267" t="str" cm="1">
        <f t="array" ref="AC21">tpl_title</f>
        <v>Кемеровская область / 2026 / КАО "Азот" (ИНН:4205000908, КПП:997550001) / ДПР: 2024-2028</v>
      </c>
    </row>
    <row r="22" spans="1:58" s="38" customFormat="1" ht="19.5" customHeight="1" x14ac:dyDescent="0.15">
      <c r="B22" s="43"/>
      <c r="E22" s="448">
        <v>20</v>
      </c>
      <c r="AB22" s="226"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6"/>
    </row>
    <row r="23" spans="1:58" s="38" customFormat="1" ht="10.9" customHeight="1" x14ac:dyDescent="0.15">
      <c r="B23" s="43"/>
      <c r="E23" s="448">
        <v>11.25</v>
      </c>
      <c r="AB23" s="65"/>
      <c r="AE23" s="48"/>
      <c r="BF23" s="656"/>
    </row>
    <row r="24" spans="1:58" s="38" customFormat="1" ht="14.65" customHeight="1" x14ac:dyDescent="0.15">
      <c r="B24" s="43"/>
      <c r="E24" s="448">
        <v>15</v>
      </c>
      <c r="AB24" s="993" t="s">
        <v>21</v>
      </c>
      <c r="AC24" s="993" t="s">
        <v>367</v>
      </c>
      <c r="AD24" s="993" t="s">
        <v>1063</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6" t="s">
        <v>553</v>
      </c>
      <c r="BF24" s="656"/>
    </row>
    <row r="25" spans="1:58" s="38" customFormat="1" ht="48.75" customHeight="1" x14ac:dyDescent="0.15">
      <c r="B25" s="43"/>
      <c r="E25" s="448">
        <v>50</v>
      </c>
      <c r="AB25" s="993"/>
      <c r="AC25" s="993"/>
      <c r="AD25" s="993"/>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1016"/>
      <c r="BF25" s="656"/>
    </row>
    <row r="26" spans="1:58" ht="11.25" hidden="1" customHeight="1" x14ac:dyDescent="0.15">
      <c r="A26" s="315"/>
      <c r="B26" s="479"/>
      <c r="C26" s="315"/>
      <c r="D26" s="315"/>
      <c r="E26" s="480">
        <v>0</v>
      </c>
      <c r="F26" s="478" t="s">
        <v>1064</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s="38" customFormat="1" ht="14.65" hidden="1" customHeight="1" x14ac:dyDescent="0.15">
      <c r="B27" s="43"/>
      <c r="E27" s="448">
        <v>15</v>
      </c>
      <c r="F27" s="17" cm="1">
        <f t="array" ref="F27">X27</f>
        <v>0</v>
      </c>
      <c r="T27" s="353" t="b">
        <f>X27&gt;0</f>
        <v>0</v>
      </c>
      <c r="V27" s="38" t="s">
        <v>264</v>
      </c>
      <c r="X27" s="990">
        <v>0</v>
      </c>
      <c r="Z27" s="1022"/>
      <c r="AB27" s="135" t="str" cm="1">
        <f t="array" ref="AB27">INDEX('Общие сведения'!$AG$179:$AG$236,MATCH($X27,'Общие сведения'!$Z$179:$Z$236,0))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6"/>
    </row>
    <row r="28" spans="1:58" s="38" customFormat="1" ht="71.650000000000006" hidden="1" customHeight="1" x14ac:dyDescent="0.15">
      <c r="B28" s="43"/>
      <c r="E28" s="448">
        <v>73.5</v>
      </c>
      <c r="F28" s="3" cm="1">
        <f t="array" aca="1" ref="F28" ca="1">OFFSET(E28,-1,1)</f>
        <v>0</v>
      </c>
      <c r="G28" s="372" t="s">
        <v>1065</v>
      </c>
      <c r="H28" s="38" t="s">
        <v>331</v>
      </c>
      <c r="K28" s="40" t="str">
        <f ca="1">F28&amp;"komm"</f>
        <v>0komm</v>
      </c>
      <c r="L28" s="609" cm="1">
        <f t="array" ref="L28">BC28</f>
        <v>0</v>
      </c>
      <c r="T28" s="353" t="b" cm="1">
        <f t="array" ref="T28">T27</f>
        <v>0</v>
      </c>
      <c r="X28" s="990"/>
      <c r="Z28" s="1022"/>
      <c r="AB28" s="131" t="s">
        <v>275</v>
      </c>
      <c r="AC28" s="132" t="s">
        <v>1066</v>
      </c>
      <c r="AD28" s="118" t="s">
        <v>828</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6"/>
      <c r="BF28" s="680" t="s">
        <v>1067</v>
      </c>
    </row>
    <row r="29" spans="1:58" s="38" customFormat="1" ht="14.65" hidden="1" customHeight="1" x14ac:dyDescent="0.15">
      <c r="B29" s="43"/>
      <c r="D29" s="38" t="s">
        <v>1068</v>
      </c>
      <c r="E29" s="448">
        <v>15</v>
      </c>
      <c r="F29" s="3" cm="1">
        <f t="array" aca="1" ref="F29" ca="1">OFFSET(E29,-1,1)</f>
        <v>0</v>
      </c>
      <c r="H29" s="38" t="s">
        <v>482</v>
      </c>
      <c r="T29" s="353" t="b" cm="1">
        <f t="array" ref="T29">T28</f>
        <v>0</v>
      </c>
      <c r="X29" s="990"/>
      <c r="Z29" s="1022"/>
      <c r="AB29" s="133" t="s">
        <v>939</v>
      </c>
      <c r="AC29" s="127" t="s">
        <v>1068</v>
      </c>
      <c r="AD29" s="8" t="s">
        <v>828</v>
      </c>
      <c r="AE29" s="778">
        <f t="shared" ref="AE29:BB29" si="2">SUM(AE30:AE31)</f>
        <v>0</v>
      </c>
      <c r="AF29" s="778">
        <f t="shared" si="2"/>
        <v>0</v>
      </c>
      <c r="AG29" s="778">
        <f t="shared" si="2"/>
        <v>0</v>
      </c>
      <c r="AH29" s="778">
        <f t="shared" si="2"/>
        <v>0</v>
      </c>
      <c r="AI29" s="128">
        <f t="shared" si="2"/>
        <v>0</v>
      </c>
      <c r="AJ29" s="778">
        <f t="shared" si="2"/>
        <v>0</v>
      </c>
      <c r="AK29" s="778">
        <f t="shared" si="2"/>
        <v>0</v>
      </c>
      <c r="AL29" s="778">
        <f t="shared" si="2"/>
        <v>0</v>
      </c>
      <c r="AM29" s="778">
        <f t="shared" si="2"/>
        <v>0</v>
      </c>
      <c r="AN29" s="778">
        <f t="shared" si="2"/>
        <v>0</v>
      </c>
      <c r="AO29" s="778">
        <f t="shared" si="2"/>
        <v>0</v>
      </c>
      <c r="AP29" s="778">
        <f t="shared" si="2"/>
        <v>0</v>
      </c>
      <c r="AQ29" s="778">
        <f t="shared" si="2"/>
        <v>0</v>
      </c>
      <c r="AR29" s="778">
        <f t="shared" si="2"/>
        <v>0</v>
      </c>
      <c r="AS29" s="128">
        <f t="shared" si="2"/>
        <v>0</v>
      </c>
      <c r="AT29" s="778">
        <f t="shared" si="2"/>
        <v>0</v>
      </c>
      <c r="AU29" s="778">
        <f t="shared" si="2"/>
        <v>0</v>
      </c>
      <c r="AV29" s="778">
        <f t="shared" si="2"/>
        <v>0</v>
      </c>
      <c r="AW29" s="778">
        <f t="shared" si="2"/>
        <v>0</v>
      </c>
      <c r="AX29" s="778">
        <f t="shared" si="2"/>
        <v>0</v>
      </c>
      <c r="AY29" s="778">
        <f t="shared" si="2"/>
        <v>0</v>
      </c>
      <c r="AZ29" s="778">
        <f t="shared" si="2"/>
        <v>0</v>
      </c>
      <c r="BA29" s="778">
        <f t="shared" si="2"/>
        <v>0</v>
      </c>
      <c r="BB29" s="778">
        <f t="shared" si="2"/>
        <v>0</v>
      </c>
      <c r="BC29" s="826"/>
      <c r="BF29" s="680" t="s">
        <v>1069</v>
      </c>
    </row>
    <row r="30" spans="1:58" s="38" customFormat="1" ht="23.45" hidden="1" customHeight="1" x14ac:dyDescent="0.15">
      <c r="B30" s="43"/>
      <c r="E30" s="448">
        <v>24</v>
      </c>
      <c r="F30" s="3" cm="1">
        <f t="array" aca="1" ref="F30" ca="1">OFFSET(E30,-1,1)</f>
        <v>0</v>
      </c>
      <c r="H30" s="38" t="s">
        <v>1070</v>
      </c>
      <c r="T30" s="353" t="b" cm="1">
        <f t="array" ref="T30">T29</f>
        <v>0</v>
      </c>
      <c r="X30" s="990"/>
      <c r="Z30" s="1022"/>
      <c r="AB30" s="133" t="s">
        <v>1071</v>
      </c>
      <c r="AC30" s="134" t="s">
        <v>1072</v>
      </c>
      <c r="AD30" s="8" t="s">
        <v>828</v>
      </c>
      <c r="AE30" s="778"/>
      <c r="AF30" s="778"/>
      <c r="AG30" s="778"/>
      <c r="AH30" s="778"/>
      <c r="AI30" s="128"/>
      <c r="AJ30" s="778"/>
      <c r="AK30" s="778"/>
      <c r="AL30" s="778"/>
      <c r="AM30" s="778"/>
      <c r="AN30" s="778"/>
      <c r="AO30" s="778"/>
      <c r="AP30" s="778"/>
      <c r="AQ30" s="778"/>
      <c r="AR30" s="778"/>
      <c r="AS30" s="128"/>
      <c r="AT30" s="778"/>
      <c r="AU30" s="778"/>
      <c r="AV30" s="778"/>
      <c r="AW30" s="778"/>
      <c r="AX30" s="778"/>
      <c r="AY30" s="778"/>
      <c r="AZ30" s="778"/>
      <c r="BA30" s="778"/>
      <c r="BB30" s="778"/>
      <c r="BC30" s="826"/>
      <c r="BF30" s="656" t="s">
        <v>1073</v>
      </c>
    </row>
    <row r="31" spans="1:58" s="38" customFormat="1" ht="14.65" hidden="1" customHeight="1" x14ac:dyDescent="0.15">
      <c r="B31" s="43"/>
      <c r="E31" s="448">
        <v>15</v>
      </c>
      <c r="F31" s="3" cm="1">
        <f t="array" aca="1" ref="F31" ca="1">OFFSET(E31,-1,1)</f>
        <v>0</v>
      </c>
      <c r="H31" s="38" t="s">
        <v>1074</v>
      </c>
      <c r="T31" s="353" t="b" cm="1">
        <f t="array" ref="T31">T30</f>
        <v>0</v>
      </c>
      <c r="X31" s="990"/>
      <c r="Z31" s="1022"/>
      <c r="AB31" s="133" t="s">
        <v>1075</v>
      </c>
      <c r="AC31" s="134" t="s">
        <v>1076</v>
      </c>
      <c r="AD31" s="8" t="s">
        <v>828</v>
      </c>
      <c r="AE31" s="778"/>
      <c r="AF31" s="778"/>
      <c r="AG31" s="778"/>
      <c r="AH31" s="778"/>
      <c r="AI31" s="128"/>
      <c r="AJ31" s="778"/>
      <c r="AK31" s="778"/>
      <c r="AL31" s="778"/>
      <c r="AM31" s="778"/>
      <c r="AN31" s="778"/>
      <c r="AO31" s="778"/>
      <c r="AP31" s="778"/>
      <c r="AQ31" s="778"/>
      <c r="AR31" s="778"/>
      <c r="AS31" s="128"/>
      <c r="AT31" s="778"/>
      <c r="AU31" s="778"/>
      <c r="AV31" s="778"/>
      <c r="AW31" s="778"/>
      <c r="AX31" s="778"/>
      <c r="AY31" s="778"/>
      <c r="AZ31" s="778"/>
      <c r="BA31" s="778"/>
      <c r="BB31" s="778"/>
      <c r="BC31" s="826"/>
      <c r="BF31" s="656" t="s">
        <v>1077</v>
      </c>
    </row>
    <row r="32" spans="1:58" s="38" customFormat="1" ht="14.65" hidden="1" customHeight="1" x14ac:dyDescent="0.15">
      <c r="B32" s="43"/>
      <c r="D32" s="38" t="s">
        <v>1078</v>
      </c>
      <c r="E32" s="448">
        <v>15</v>
      </c>
      <c r="F32" s="3" cm="1">
        <f t="array" aca="1" ref="F32" ca="1">OFFSET(E32,-1,1)</f>
        <v>0</v>
      </c>
      <c r="H32" s="38" t="s">
        <v>486</v>
      </c>
      <c r="T32" s="353" t="b" cm="1">
        <f t="array" ref="T32">T31</f>
        <v>0</v>
      </c>
      <c r="X32" s="990"/>
      <c r="Z32" s="1022"/>
      <c r="AB32" s="133" t="s">
        <v>942</v>
      </c>
      <c r="AC32" s="617" t="s">
        <v>1079</v>
      </c>
      <c r="AD32" s="8" t="s">
        <v>828</v>
      </c>
      <c r="AE32" s="778"/>
      <c r="AF32" s="778"/>
      <c r="AG32" s="778"/>
      <c r="AH32" s="778"/>
      <c r="AI32" s="128"/>
      <c r="AJ32" s="778"/>
      <c r="AK32" s="778"/>
      <c r="AL32" s="778"/>
      <c r="AM32" s="778"/>
      <c r="AN32" s="778"/>
      <c r="AO32" s="778"/>
      <c r="AP32" s="778"/>
      <c r="AQ32" s="778"/>
      <c r="AR32" s="778"/>
      <c r="AS32" s="128"/>
      <c r="AT32" s="778"/>
      <c r="AU32" s="778"/>
      <c r="AV32" s="778"/>
      <c r="AW32" s="778"/>
      <c r="AX32" s="778"/>
      <c r="AY32" s="778"/>
      <c r="AZ32" s="778"/>
      <c r="BA32" s="778"/>
      <c r="BB32" s="778"/>
      <c r="BC32" s="826"/>
      <c r="BF32" s="656" t="s">
        <v>1080</v>
      </c>
    </row>
    <row r="33" spans="1:58" s="38" customFormat="1" ht="14.65" hidden="1" customHeight="1" x14ac:dyDescent="0.15">
      <c r="B33" s="43"/>
      <c r="D33" s="38" t="s">
        <v>1081</v>
      </c>
      <c r="E33" s="448">
        <v>15</v>
      </c>
      <c r="F33" s="3" cm="1">
        <f t="array" aca="1" ref="F33" ca="1">OFFSET(E33,-1,1)</f>
        <v>0</v>
      </c>
      <c r="H33" s="38" t="s">
        <v>489</v>
      </c>
      <c r="T33" s="353" t="b" cm="1">
        <f t="array" ref="T33">T32</f>
        <v>0</v>
      </c>
      <c r="X33" s="990"/>
      <c r="Z33" s="1022"/>
      <c r="AB33" s="133" t="s">
        <v>945</v>
      </c>
      <c r="AC33" s="127" t="s">
        <v>1082</v>
      </c>
      <c r="AD33" s="8" t="s">
        <v>828</v>
      </c>
      <c r="AE33" s="778"/>
      <c r="AF33" s="778"/>
      <c r="AG33" s="778"/>
      <c r="AH33" s="778"/>
      <c r="AI33" s="128"/>
      <c r="AJ33" s="778"/>
      <c r="AK33" s="778"/>
      <c r="AL33" s="778"/>
      <c r="AM33" s="778"/>
      <c r="AN33" s="778"/>
      <c r="AO33" s="778"/>
      <c r="AP33" s="778"/>
      <c r="AQ33" s="778"/>
      <c r="AR33" s="778"/>
      <c r="AS33" s="128"/>
      <c r="AT33" s="778"/>
      <c r="AU33" s="778"/>
      <c r="AV33" s="778"/>
      <c r="AW33" s="778"/>
      <c r="AX33" s="778"/>
      <c r="AY33" s="778"/>
      <c r="AZ33" s="778"/>
      <c r="BA33" s="778"/>
      <c r="BB33" s="778"/>
      <c r="BC33" s="826"/>
      <c r="BF33" s="656" t="s">
        <v>1083</v>
      </c>
    </row>
    <row r="34" spans="1:58" s="38" customFormat="1" ht="14.65" hidden="1" customHeight="1" x14ac:dyDescent="0.15">
      <c r="B34" s="43"/>
      <c r="D34" s="38" t="s">
        <v>1084</v>
      </c>
      <c r="E34" s="448">
        <v>15</v>
      </c>
      <c r="F34" s="3" cm="1">
        <f t="array" aca="1" ref="F34" ca="1">OFFSET(E34,-1,1)</f>
        <v>0</v>
      </c>
      <c r="H34" s="38" t="s">
        <v>493</v>
      </c>
      <c r="T34" s="353" t="b" cm="1">
        <f t="array" ref="T34">T33</f>
        <v>0</v>
      </c>
      <c r="X34" s="990"/>
      <c r="Z34" s="1022"/>
      <c r="AB34" s="133" t="s">
        <v>948</v>
      </c>
      <c r="AC34" s="127" t="s">
        <v>1085</v>
      </c>
      <c r="AD34" s="8" t="s">
        <v>828</v>
      </c>
      <c r="AE34" s="778">
        <f t="shared" ref="AE34:BB34" si="3">SUM(AE35:AE36)</f>
        <v>0</v>
      </c>
      <c r="AF34" s="778">
        <f t="shared" si="3"/>
        <v>0</v>
      </c>
      <c r="AG34" s="778">
        <f t="shared" si="3"/>
        <v>0</v>
      </c>
      <c r="AH34" s="778">
        <f t="shared" si="3"/>
        <v>0</v>
      </c>
      <c r="AI34" s="128">
        <f t="shared" si="3"/>
        <v>0</v>
      </c>
      <c r="AJ34" s="778">
        <f t="shared" si="3"/>
        <v>0</v>
      </c>
      <c r="AK34" s="778">
        <f t="shared" si="3"/>
        <v>0</v>
      </c>
      <c r="AL34" s="778">
        <f t="shared" si="3"/>
        <v>0</v>
      </c>
      <c r="AM34" s="778">
        <f t="shared" si="3"/>
        <v>0</v>
      </c>
      <c r="AN34" s="778">
        <f t="shared" si="3"/>
        <v>0</v>
      </c>
      <c r="AO34" s="778">
        <f t="shared" si="3"/>
        <v>0</v>
      </c>
      <c r="AP34" s="778">
        <f t="shared" si="3"/>
        <v>0</v>
      </c>
      <c r="AQ34" s="778">
        <f t="shared" si="3"/>
        <v>0</v>
      </c>
      <c r="AR34" s="778">
        <f t="shared" si="3"/>
        <v>0</v>
      </c>
      <c r="AS34" s="128">
        <f t="shared" si="3"/>
        <v>0</v>
      </c>
      <c r="AT34" s="778">
        <f t="shared" si="3"/>
        <v>0</v>
      </c>
      <c r="AU34" s="778">
        <f t="shared" si="3"/>
        <v>0</v>
      </c>
      <c r="AV34" s="778">
        <f t="shared" si="3"/>
        <v>0</v>
      </c>
      <c r="AW34" s="778">
        <f t="shared" si="3"/>
        <v>0</v>
      </c>
      <c r="AX34" s="778">
        <f t="shared" si="3"/>
        <v>0</v>
      </c>
      <c r="AY34" s="778">
        <f t="shared" si="3"/>
        <v>0</v>
      </c>
      <c r="AZ34" s="778">
        <f t="shared" si="3"/>
        <v>0</v>
      </c>
      <c r="BA34" s="778">
        <f t="shared" si="3"/>
        <v>0</v>
      </c>
      <c r="BB34" s="778">
        <f t="shared" si="3"/>
        <v>0</v>
      </c>
      <c r="BC34" s="826"/>
      <c r="BF34" s="656" t="s">
        <v>1086</v>
      </c>
    </row>
    <row r="35" spans="1:58" s="38" customFormat="1" ht="35.1" hidden="1" customHeight="1" x14ac:dyDescent="0.15">
      <c r="B35" s="43"/>
      <c r="E35" s="448">
        <v>36</v>
      </c>
      <c r="F35" s="3" cm="1">
        <f t="array" aca="1" ref="F35" ca="1">OFFSET(E35,-1,1)</f>
        <v>0</v>
      </c>
      <c r="T35" s="353" t="b" cm="1">
        <f t="array" ref="T35">T34</f>
        <v>0</v>
      </c>
      <c r="X35" s="990"/>
      <c r="Z35" s="1022"/>
      <c r="AB35" s="133" t="s">
        <v>1087</v>
      </c>
      <c r="AC35" s="127" t="s">
        <v>1088</v>
      </c>
      <c r="AD35" s="8" t="s">
        <v>828</v>
      </c>
      <c r="AE35" s="778"/>
      <c r="AF35" s="778"/>
      <c r="AG35" s="778"/>
      <c r="AH35" s="778"/>
      <c r="AI35" s="128"/>
      <c r="AJ35" s="778"/>
      <c r="AK35" s="778"/>
      <c r="AL35" s="778"/>
      <c r="AM35" s="778"/>
      <c r="AN35" s="778"/>
      <c r="AO35" s="778"/>
      <c r="AP35" s="778"/>
      <c r="AQ35" s="778"/>
      <c r="AR35" s="778"/>
      <c r="AS35" s="128"/>
      <c r="AT35" s="778"/>
      <c r="AU35" s="778"/>
      <c r="AV35" s="778"/>
      <c r="AW35" s="778"/>
      <c r="AX35" s="778"/>
      <c r="AY35" s="778"/>
      <c r="AZ35" s="778"/>
      <c r="BA35" s="778"/>
      <c r="BB35" s="778"/>
      <c r="BC35" s="826"/>
      <c r="BF35" s="656" t="s">
        <v>1089</v>
      </c>
    </row>
    <row r="36" spans="1:58" s="38" customFormat="1" ht="35.1" hidden="1" customHeight="1" x14ac:dyDescent="0.15">
      <c r="B36" s="43"/>
      <c r="E36" s="448">
        <v>36</v>
      </c>
      <c r="F36" s="3" cm="1">
        <f t="array" aca="1" ref="F36" ca="1">OFFSET(E36,-1,1)</f>
        <v>0</v>
      </c>
      <c r="T36" s="353" t="b" cm="1">
        <f t="array" ref="T36">T35</f>
        <v>0</v>
      </c>
      <c r="X36" s="990"/>
      <c r="Z36" s="1022"/>
      <c r="AB36" s="133" t="s">
        <v>1090</v>
      </c>
      <c r="AC36" s="127" t="s">
        <v>1091</v>
      </c>
      <c r="AD36" s="8" t="s">
        <v>828</v>
      </c>
      <c r="AE36" s="778"/>
      <c r="AF36" s="778"/>
      <c r="AG36" s="778"/>
      <c r="AH36" s="778"/>
      <c r="AI36" s="128"/>
      <c r="AJ36" s="778"/>
      <c r="AK36" s="778"/>
      <c r="AL36" s="778"/>
      <c r="AM36" s="778"/>
      <c r="AN36" s="778"/>
      <c r="AO36" s="778"/>
      <c r="AP36" s="778"/>
      <c r="AQ36" s="778"/>
      <c r="AR36" s="778"/>
      <c r="AS36" s="128"/>
      <c r="AT36" s="778"/>
      <c r="AU36" s="778"/>
      <c r="AV36" s="778"/>
      <c r="AW36" s="778"/>
      <c r="AX36" s="778"/>
      <c r="AY36" s="778"/>
      <c r="AZ36" s="778"/>
      <c r="BA36" s="778"/>
      <c r="BB36" s="778"/>
      <c r="BC36" s="826"/>
      <c r="BF36" s="656" t="s">
        <v>1092</v>
      </c>
    </row>
    <row r="37" spans="1:58" s="396" customFormat="1" ht="23.1" customHeight="1" x14ac:dyDescent="0.15">
      <c r="A37" s="38"/>
      <c r="B37" s="43"/>
      <c r="C37" s="38"/>
      <c r="D37" s="38"/>
      <c r="E37" s="448">
        <v>15</v>
      </c>
      <c r="F37" s="17" t="str" cm="1">
        <f t="array" ref="F37">X37</f>
        <v>1</v>
      </c>
      <c r="G37" s="38"/>
      <c r="H37" s="38"/>
      <c r="I37" s="38"/>
      <c r="J37" s="38"/>
      <c r="K37" s="38"/>
      <c r="L37" s="38"/>
      <c r="M37" s="38"/>
      <c r="N37" s="38"/>
      <c r="O37" s="38"/>
      <c r="P37" s="38"/>
      <c r="Q37" s="38"/>
      <c r="R37" s="38"/>
      <c r="S37" s="38"/>
      <c r="T37" s="353" t="b">
        <f>X37&gt;0</f>
        <v>1</v>
      </c>
      <c r="U37" s="38"/>
      <c r="V37" s="38" t="str" cm="1">
        <f t="array" ref="V37">'Амортизация (аналог)'!$AB$34</f>
        <v>Тариф 1 (Водоснабжение) - тариф на техническую воду</v>
      </c>
      <c r="W37" s="38"/>
      <c r="X37" s="990" t="s">
        <v>275</v>
      </c>
      <c r="Y37" s="38"/>
      <c r="Z37" s="1022"/>
      <c r="AA37" s="38"/>
      <c r="AB37" s="135" t="str" cm="1">
        <f t="array" ref="AB37">'Амортизация (аналог)'!$AB$34</f>
        <v>Тариф 1 (Водоснабжение) - тариф на техническую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6"/>
    </row>
    <row r="38" spans="1:58" s="396" customFormat="1" ht="0" hidden="1" customHeight="1" x14ac:dyDescent="0.15">
      <c r="A38" s="38"/>
      <c r="B38" s="43"/>
      <c r="C38" s="38"/>
      <c r="D38" s="38"/>
      <c r="E38" s="448">
        <v>73.5</v>
      </c>
      <c r="F38" s="3" t="str" cm="1">
        <f t="array" aca="1" ref="F38" ca="1">OFFSET(E38,-1,1)</f>
        <v>1</v>
      </c>
      <c r="G38" s="372" t="s">
        <v>1065</v>
      </c>
      <c r="H38" s="38" t="s">
        <v>331</v>
      </c>
      <c r="I38" s="38"/>
      <c r="J38" s="38"/>
      <c r="K38" s="40" t="str">
        <f ca="1">F38&amp;"komm"</f>
        <v>1komm</v>
      </c>
      <c r="L38" s="609" cm="1">
        <f t="array" ref="L38">BC38</f>
        <v>0</v>
      </c>
      <c r="M38" s="38"/>
      <c r="N38" s="38"/>
      <c r="O38" s="38"/>
      <c r="P38" s="38"/>
      <c r="Q38" s="38"/>
      <c r="R38" s="38"/>
      <c r="S38" s="38"/>
      <c r="T38" s="353" t="b" cm="1">
        <f t="array" ref="T38">T37</f>
        <v>1</v>
      </c>
      <c r="U38" s="38"/>
      <c r="V38" s="38"/>
      <c r="W38" s="38"/>
      <c r="X38" s="990"/>
      <c r="Y38" s="38"/>
      <c r="Z38" s="1022"/>
      <c r="AA38" s="38"/>
      <c r="AB38" s="131" t="s">
        <v>275</v>
      </c>
      <c r="AC38" s="132" t="s">
        <v>1066</v>
      </c>
      <c r="AD38" s="118" t="s">
        <v>828</v>
      </c>
      <c r="AE38" s="171">
        <f t="shared" ref="AE38:BB38" si="4">AE39+AE42+AE43+AE44</f>
        <v>0</v>
      </c>
      <c r="AF38" s="171">
        <f t="shared" si="4"/>
        <v>0</v>
      </c>
      <c r="AG38" s="171">
        <f t="shared" si="4"/>
        <v>0</v>
      </c>
      <c r="AH38" s="171">
        <f t="shared" si="4"/>
        <v>0</v>
      </c>
      <c r="AI38" s="171">
        <f t="shared" si="4"/>
        <v>0</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0</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c r="BD38" s="38"/>
      <c r="BE38" s="38"/>
      <c r="BF38" s="680" t="s">
        <v>1067</v>
      </c>
    </row>
    <row r="39" spans="1:58" s="396" customFormat="1" ht="0" hidden="1" customHeight="1" x14ac:dyDescent="0.15">
      <c r="A39" s="38"/>
      <c r="B39" s="43"/>
      <c r="C39" s="38"/>
      <c r="D39" s="38" t="s">
        <v>1068</v>
      </c>
      <c r="E39" s="448">
        <v>15</v>
      </c>
      <c r="F39" s="3" t="str" cm="1">
        <f t="array" aca="1" ref="F39" ca="1">OFFSET(E39,-1,1)</f>
        <v>1</v>
      </c>
      <c r="G39" s="38"/>
      <c r="H39" s="38" t="s">
        <v>482</v>
      </c>
      <c r="I39" s="38"/>
      <c r="J39" s="38"/>
      <c r="K39" s="38"/>
      <c r="L39" s="38"/>
      <c r="M39" s="38"/>
      <c r="N39" s="38"/>
      <c r="O39" s="38"/>
      <c r="P39" s="38"/>
      <c r="Q39" s="38"/>
      <c r="R39" s="38"/>
      <c r="S39" s="38"/>
      <c r="T39" s="353" t="b" cm="1">
        <f t="array" ref="T39">T38</f>
        <v>1</v>
      </c>
      <c r="U39" s="38"/>
      <c r="V39" s="38"/>
      <c r="W39" s="38"/>
      <c r="X39" s="990"/>
      <c r="Y39" s="38"/>
      <c r="Z39" s="1022"/>
      <c r="AA39" s="38"/>
      <c r="AB39" s="133" t="s">
        <v>939</v>
      </c>
      <c r="AC39" s="127" t="s">
        <v>1068</v>
      </c>
      <c r="AD39" s="8" t="s">
        <v>828</v>
      </c>
      <c r="AE39" s="128">
        <f t="shared" ref="AE39:BB39" si="5">SUM(AE40:AE41)</f>
        <v>0</v>
      </c>
      <c r="AF39" s="128">
        <f t="shared" si="5"/>
        <v>0</v>
      </c>
      <c r="AG39" s="128">
        <f t="shared" si="5"/>
        <v>0</v>
      </c>
      <c r="AH39" s="128">
        <f t="shared" si="5"/>
        <v>0</v>
      </c>
      <c r="AI39" s="128">
        <f t="shared" si="5"/>
        <v>0</v>
      </c>
      <c r="AJ39" s="778">
        <f t="shared" si="5"/>
        <v>0</v>
      </c>
      <c r="AK39" s="778">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0</v>
      </c>
      <c r="AT39" s="778">
        <f t="shared" si="5"/>
        <v>0</v>
      </c>
      <c r="AU39" s="778">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80" t="s">
        <v>1069</v>
      </c>
    </row>
    <row r="40" spans="1:58" s="396" customFormat="1" ht="0" hidden="1" customHeight="1" x14ac:dyDescent="0.15">
      <c r="A40" s="38"/>
      <c r="B40" s="43"/>
      <c r="C40" s="38"/>
      <c r="D40" s="38"/>
      <c r="E40" s="448">
        <v>24</v>
      </c>
      <c r="F40" s="3" t="str" cm="1">
        <f t="array" aca="1" ref="F40" ca="1">OFFSET(E40,-1,1)</f>
        <v>1</v>
      </c>
      <c r="G40" s="38"/>
      <c r="H40" s="38" t="s">
        <v>1070</v>
      </c>
      <c r="I40" s="38"/>
      <c r="J40" s="38"/>
      <c r="K40" s="38"/>
      <c r="L40" s="38"/>
      <c r="M40" s="38"/>
      <c r="N40" s="38"/>
      <c r="O40" s="38"/>
      <c r="P40" s="38"/>
      <c r="Q40" s="38"/>
      <c r="R40" s="38"/>
      <c r="S40" s="38"/>
      <c r="T40" s="353" t="b" cm="1">
        <f t="array" ref="T40">T39</f>
        <v>1</v>
      </c>
      <c r="U40" s="38"/>
      <c r="V40" s="38"/>
      <c r="W40" s="38"/>
      <c r="X40" s="990"/>
      <c r="Y40" s="38"/>
      <c r="Z40" s="1022"/>
      <c r="AA40" s="38"/>
      <c r="AB40" s="133" t="s">
        <v>1071</v>
      </c>
      <c r="AC40" s="134" t="s">
        <v>1072</v>
      </c>
      <c r="AD40" s="8" t="s">
        <v>828</v>
      </c>
      <c r="AE40" s="128"/>
      <c r="AF40" s="128"/>
      <c r="AG40" s="128"/>
      <c r="AH40" s="128"/>
      <c r="AI40" s="128"/>
      <c r="AJ40" s="778"/>
      <c r="AK40" s="778"/>
      <c r="AL40" s="128"/>
      <c r="AM40" s="128"/>
      <c r="AN40" s="128"/>
      <c r="AO40" s="128"/>
      <c r="AP40" s="128"/>
      <c r="AQ40" s="128"/>
      <c r="AR40" s="128"/>
      <c r="AS40" s="128"/>
      <c r="AT40" s="778"/>
      <c r="AU40" s="778"/>
      <c r="AV40" s="128"/>
      <c r="AW40" s="128"/>
      <c r="AX40" s="128"/>
      <c r="AY40" s="128"/>
      <c r="AZ40" s="128"/>
      <c r="BA40" s="128"/>
      <c r="BB40" s="128"/>
      <c r="BC40" s="113"/>
      <c r="BD40" s="38"/>
      <c r="BE40" s="38"/>
      <c r="BF40" s="656" t="s">
        <v>1073</v>
      </c>
    </row>
    <row r="41" spans="1:58" s="396" customFormat="1" ht="0" hidden="1" customHeight="1" x14ac:dyDescent="0.15">
      <c r="A41" s="38"/>
      <c r="B41" s="43"/>
      <c r="C41" s="38"/>
      <c r="D41" s="38"/>
      <c r="E41" s="448">
        <v>15</v>
      </c>
      <c r="F41" s="3" t="str" cm="1">
        <f t="array" aca="1" ref="F41" ca="1">OFFSET(E41,-1,1)</f>
        <v>1</v>
      </c>
      <c r="G41" s="38"/>
      <c r="H41" s="38" t="s">
        <v>1074</v>
      </c>
      <c r="I41" s="38"/>
      <c r="J41" s="38"/>
      <c r="K41" s="38"/>
      <c r="L41" s="38"/>
      <c r="M41" s="38"/>
      <c r="N41" s="38"/>
      <c r="O41" s="38"/>
      <c r="P41" s="38"/>
      <c r="Q41" s="38"/>
      <c r="R41" s="38"/>
      <c r="S41" s="38"/>
      <c r="T41" s="353" t="b" cm="1">
        <f t="array" ref="T41">T40</f>
        <v>1</v>
      </c>
      <c r="U41" s="38"/>
      <c r="V41" s="38"/>
      <c r="W41" s="38"/>
      <c r="X41" s="990"/>
      <c r="Y41" s="38"/>
      <c r="Z41" s="1022"/>
      <c r="AA41" s="38"/>
      <c r="AB41" s="133" t="s">
        <v>1075</v>
      </c>
      <c r="AC41" s="134" t="s">
        <v>1076</v>
      </c>
      <c r="AD41" s="8" t="s">
        <v>828</v>
      </c>
      <c r="AE41" s="128"/>
      <c r="AF41" s="128"/>
      <c r="AG41" s="128"/>
      <c r="AH41" s="128"/>
      <c r="AI41" s="128"/>
      <c r="AJ41" s="778"/>
      <c r="AK41" s="778"/>
      <c r="AL41" s="128"/>
      <c r="AM41" s="128"/>
      <c r="AN41" s="128"/>
      <c r="AO41" s="128"/>
      <c r="AP41" s="128"/>
      <c r="AQ41" s="128"/>
      <c r="AR41" s="128"/>
      <c r="AS41" s="128"/>
      <c r="AT41" s="778"/>
      <c r="AU41" s="778"/>
      <c r="AV41" s="128"/>
      <c r="AW41" s="128"/>
      <c r="AX41" s="128"/>
      <c r="AY41" s="128"/>
      <c r="AZ41" s="128"/>
      <c r="BA41" s="128"/>
      <c r="BB41" s="128"/>
      <c r="BC41" s="113"/>
      <c r="BD41" s="38"/>
      <c r="BE41" s="38"/>
      <c r="BF41" s="656" t="s">
        <v>1077</v>
      </c>
    </row>
    <row r="42" spans="1:58" s="396" customFormat="1" ht="0" hidden="1" customHeight="1" x14ac:dyDescent="0.15">
      <c r="A42" s="38"/>
      <c r="B42" s="43"/>
      <c r="C42" s="38"/>
      <c r="D42" s="38" t="s">
        <v>1078</v>
      </c>
      <c r="E42" s="448">
        <v>15</v>
      </c>
      <c r="F42" s="3" t="str" cm="1">
        <f t="array" aca="1" ref="F42" ca="1">OFFSET(E42,-1,1)</f>
        <v>1</v>
      </c>
      <c r="G42" s="38"/>
      <c r="H42" s="38" t="s">
        <v>486</v>
      </c>
      <c r="I42" s="38"/>
      <c r="J42" s="38"/>
      <c r="K42" s="38"/>
      <c r="L42" s="38"/>
      <c r="M42" s="38"/>
      <c r="N42" s="38"/>
      <c r="O42" s="38"/>
      <c r="P42" s="38"/>
      <c r="Q42" s="38"/>
      <c r="R42" s="38"/>
      <c r="S42" s="38"/>
      <c r="T42" s="353" t="b" cm="1">
        <f t="array" ref="T42">T41</f>
        <v>1</v>
      </c>
      <c r="U42" s="38"/>
      <c r="V42" s="38"/>
      <c r="W42" s="38"/>
      <c r="X42" s="990"/>
      <c r="Y42" s="38"/>
      <c r="Z42" s="1022"/>
      <c r="AA42" s="38"/>
      <c r="AB42" s="133" t="s">
        <v>942</v>
      </c>
      <c r="AC42" s="617" t="s">
        <v>1079</v>
      </c>
      <c r="AD42" s="8" t="s">
        <v>828</v>
      </c>
      <c r="AE42" s="128"/>
      <c r="AF42" s="128"/>
      <c r="AG42" s="128"/>
      <c r="AH42" s="128"/>
      <c r="AI42" s="128"/>
      <c r="AJ42" s="778"/>
      <c r="AK42" s="778"/>
      <c r="AL42" s="128"/>
      <c r="AM42" s="128"/>
      <c r="AN42" s="128"/>
      <c r="AO42" s="128"/>
      <c r="AP42" s="128"/>
      <c r="AQ42" s="128"/>
      <c r="AR42" s="128"/>
      <c r="AS42" s="128"/>
      <c r="AT42" s="778"/>
      <c r="AU42" s="778"/>
      <c r="AV42" s="128"/>
      <c r="AW42" s="128"/>
      <c r="AX42" s="128"/>
      <c r="AY42" s="128"/>
      <c r="AZ42" s="128"/>
      <c r="BA42" s="128"/>
      <c r="BB42" s="128"/>
      <c r="BC42" s="113"/>
      <c r="BD42" s="38"/>
      <c r="BE42" s="38"/>
      <c r="BF42" s="656" t="s">
        <v>1080</v>
      </c>
    </row>
    <row r="43" spans="1:58" s="396" customFormat="1" ht="0" hidden="1" customHeight="1" x14ac:dyDescent="0.15">
      <c r="A43" s="38"/>
      <c r="B43" s="43"/>
      <c r="C43" s="38"/>
      <c r="D43" s="38" t="s">
        <v>1081</v>
      </c>
      <c r="E43" s="448">
        <v>15</v>
      </c>
      <c r="F43" s="3" t="str" cm="1">
        <f t="array" aca="1" ref="F43" ca="1">OFFSET(E43,-1,1)</f>
        <v>1</v>
      </c>
      <c r="G43" s="38"/>
      <c r="H43" s="38" t="s">
        <v>489</v>
      </c>
      <c r="I43" s="38"/>
      <c r="J43" s="38"/>
      <c r="K43" s="38"/>
      <c r="L43" s="38"/>
      <c r="M43" s="38"/>
      <c r="N43" s="38"/>
      <c r="O43" s="38"/>
      <c r="P43" s="38"/>
      <c r="Q43" s="38"/>
      <c r="R43" s="38"/>
      <c r="S43" s="38"/>
      <c r="T43" s="353" t="b" cm="1">
        <f t="array" ref="T43">T42</f>
        <v>1</v>
      </c>
      <c r="U43" s="38"/>
      <c r="V43" s="38"/>
      <c r="W43" s="38"/>
      <c r="X43" s="990"/>
      <c r="Y43" s="38"/>
      <c r="Z43" s="1022"/>
      <c r="AA43" s="38"/>
      <c r="AB43" s="133" t="s">
        <v>945</v>
      </c>
      <c r="AC43" s="127" t="s">
        <v>1082</v>
      </c>
      <c r="AD43" s="8" t="s">
        <v>828</v>
      </c>
      <c r="AE43" s="128"/>
      <c r="AF43" s="128"/>
      <c r="AG43" s="128"/>
      <c r="AH43" s="128"/>
      <c r="AI43" s="128"/>
      <c r="AJ43" s="778"/>
      <c r="AK43" s="778"/>
      <c r="AL43" s="128"/>
      <c r="AM43" s="128"/>
      <c r="AN43" s="128"/>
      <c r="AO43" s="128"/>
      <c r="AP43" s="128"/>
      <c r="AQ43" s="128"/>
      <c r="AR43" s="128"/>
      <c r="AS43" s="128"/>
      <c r="AT43" s="778"/>
      <c r="AU43" s="778"/>
      <c r="AV43" s="128"/>
      <c r="AW43" s="128"/>
      <c r="AX43" s="128"/>
      <c r="AY43" s="128"/>
      <c r="AZ43" s="128"/>
      <c r="BA43" s="128"/>
      <c r="BB43" s="128"/>
      <c r="BC43" s="113"/>
      <c r="BD43" s="38"/>
      <c r="BE43" s="38"/>
      <c r="BF43" s="656" t="s">
        <v>1083</v>
      </c>
    </row>
    <row r="44" spans="1:58" s="396" customFormat="1" ht="0" hidden="1" customHeight="1" x14ac:dyDescent="0.15">
      <c r="A44" s="38"/>
      <c r="B44" s="43"/>
      <c r="C44" s="38"/>
      <c r="D44" s="38" t="s">
        <v>1084</v>
      </c>
      <c r="E44" s="448">
        <v>15</v>
      </c>
      <c r="F44" s="3" t="str" cm="1">
        <f t="array" aca="1" ref="F44" ca="1">OFFSET(E44,-1,1)</f>
        <v>1</v>
      </c>
      <c r="G44" s="38"/>
      <c r="H44" s="38" t="s">
        <v>493</v>
      </c>
      <c r="I44" s="38"/>
      <c r="J44" s="38"/>
      <c r="K44" s="38"/>
      <c r="L44" s="38"/>
      <c r="M44" s="38"/>
      <c r="N44" s="38"/>
      <c r="O44" s="38"/>
      <c r="P44" s="38"/>
      <c r="Q44" s="38"/>
      <c r="R44" s="38"/>
      <c r="S44" s="38"/>
      <c r="T44" s="353" t="b" cm="1">
        <f t="array" ref="T44">T43</f>
        <v>1</v>
      </c>
      <c r="U44" s="38"/>
      <c r="V44" s="38"/>
      <c r="W44" s="38"/>
      <c r="X44" s="990"/>
      <c r="Y44" s="38"/>
      <c r="Z44" s="1022"/>
      <c r="AA44" s="38"/>
      <c r="AB44" s="133" t="s">
        <v>948</v>
      </c>
      <c r="AC44" s="127" t="s">
        <v>1085</v>
      </c>
      <c r="AD44" s="8" t="s">
        <v>828</v>
      </c>
      <c r="AE44" s="128">
        <f t="shared" ref="AE44:BB44" si="6">SUM(AE45:AE46)</f>
        <v>0</v>
      </c>
      <c r="AF44" s="128">
        <f t="shared" si="6"/>
        <v>0</v>
      </c>
      <c r="AG44" s="128">
        <f t="shared" si="6"/>
        <v>0</v>
      </c>
      <c r="AH44" s="128">
        <f t="shared" si="6"/>
        <v>0</v>
      </c>
      <c r="AI44" s="128">
        <f t="shared" si="6"/>
        <v>0</v>
      </c>
      <c r="AJ44" s="778">
        <f t="shared" si="6"/>
        <v>0</v>
      </c>
      <c r="AK44" s="778">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0</v>
      </c>
      <c r="AT44" s="778">
        <f t="shared" si="6"/>
        <v>0</v>
      </c>
      <c r="AU44" s="778">
        <f t="shared" si="6"/>
        <v>0</v>
      </c>
      <c r="AV44" s="128">
        <f t="shared" si="6"/>
        <v>0</v>
      </c>
      <c r="AW44" s="128">
        <f t="shared" si="6"/>
        <v>0</v>
      </c>
      <c r="AX44" s="128">
        <f t="shared" si="6"/>
        <v>0</v>
      </c>
      <c r="AY44" s="128">
        <f t="shared" si="6"/>
        <v>0</v>
      </c>
      <c r="AZ44" s="128">
        <f t="shared" si="6"/>
        <v>0</v>
      </c>
      <c r="BA44" s="128">
        <f t="shared" si="6"/>
        <v>0</v>
      </c>
      <c r="BB44" s="128">
        <f t="shared" si="6"/>
        <v>0</v>
      </c>
      <c r="BC44" s="113"/>
      <c r="BD44" s="38"/>
      <c r="BE44" s="38"/>
      <c r="BF44" s="656" t="s">
        <v>1086</v>
      </c>
    </row>
    <row r="45" spans="1:58" s="396" customFormat="1" ht="0" hidden="1" customHeight="1" x14ac:dyDescent="0.15">
      <c r="A45" s="38"/>
      <c r="B45" s="43"/>
      <c r="C45" s="38"/>
      <c r="D45" s="38"/>
      <c r="E45" s="448">
        <v>36</v>
      </c>
      <c r="F45" s="3" t="str" cm="1">
        <f t="array" aca="1" ref="F45" ca="1">OFFSET(E45,-1,1)</f>
        <v>1</v>
      </c>
      <c r="G45" s="38"/>
      <c r="H45" s="38"/>
      <c r="I45" s="38"/>
      <c r="J45" s="38"/>
      <c r="K45" s="38"/>
      <c r="L45" s="38"/>
      <c r="M45" s="38"/>
      <c r="N45" s="38"/>
      <c r="O45" s="38"/>
      <c r="P45" s="38"/>
      <c r="Q45" s="38"/>
      <c r="R45" s="38"/>
      <c r="S45" s="38"/>
      <c r="T45" s="353" t="b" cm="1">
        <f t="array" ref="T45">T44</f>
        <v>1</v>
      </c>
      <c r="U45" s="38"/>
      <c r="V45" s="38"/>
      <c r="W45" s="38"/>
      <c r="X45" s="990"/>
      <c r="Y45" s="38"/>
      <c r="Z45" s="1022"/>
      <c r="AA45" s="38"/>
      <c r="AB45" s="133" t="s">
        <v>1087</v>
      </c>
      <c r="AC45" s="127" t="s">
        <v>1088</v>
      </c>
      <c r="AD45" s="8" t="s">
        <v>828</v>
      </c>
      <c r="AE45" s="128"/>
      <c r="AF45" s="128"/>
      <c r="AG45" s="128"/>
      <c r="AH45" s="128"/>
      <c r="AI45" s="128"/>
      <c r="AJ45" s="778"/>
      <c r="AK45" s="778"/>
      <c r="AL45" s="128"/>
      <c r="AM45" s="128"/>
      <c r="AN45" s="128"/>
      <c r="AO45" s="128"/>
      <c r="AP45" s="128"/>
      <c r="AQ45" s="128"/>
      <c r="AR45" s="128"/>
      <c r="AS45" s="128"/>
      <c r="AT45" s="778"/>
      <c r="AU45" s="778"/>
      <c r="AV45" s="128"/>
      <c r="AW45" s="128"/>
      <c r="AX45" s="128"/>
      <c r="AY45" s="128"/>
      <c r="AZ45" s="128"/>
      <c r="BA45" s="128"/>
      <c r="BB45" s="128"/>
      <c r="BC45" s="113"/>
      <c r="BD45" s="38"/>
      <c r="BE45" s="38"/>
      <c r="BF45" s="656" t="s">
        <v>1089</v>
      </c>
    </row>
    <row r="46" spans="1:58" s="396" customFormat="1" ht="0" hidden="1" customHeight="1" x14ac:dyDescent="0.15">
      <c r="A46" s="38"/>
      <c r="B46" s="43"/>
      <c r="C46" s="38"/>
      <c r="D46" s="38"/>
      <c r="E46" s="448">
        <v>36</v>
      </c>
      <c r="F46" s="3" t="str" cm="1">
        <f t="array" aca="1" ref="F46" ca="1">OFFSET(E46,-1,1)</f>
        <v>1</v>
      </c>
      <c r="G46" s="38"/>
      <c r="H46" s="38"/>
      <c r="I46" s="38"/>
      <c r="J46" s="38"/>
      <c r="K46" s="38"/>
      <c r="L46" s="38"/>
      <c r="M46" s="38"/>
      <c r="N46" s="38"/>
      <c r="O46" s="38"/>
      <c r="P46" s="38"/>
      <c r="Q46" s="38"/>
      <c r="R46" s="38"/>
      <c r="S46" s="38"/>
      <c r="T46" s="353" t="b" cm="1">
        <f t="array" ref="T46">T45</f>
        <v>1</v>
      </c>
      <c r="U46" s="38"/>
      <c r="V46" s="38"/>
      <c r="W46" s="38"/>
      <c r="X46" s="990"/>
      <c r="Y46" s="38"/>
      <c r="Z46" s="1022"/>
      <c r="AA46" s="38"/>
      <c r="AB46" s="133" t="s">
        <v>1090</v>
      </c>
      <c r="AC46" s="127" t="s">
        <v>1091</v>
      </c>
      <c r="AD46" s="8" t="s">
        <v>828</v>
      </c>
      <c r="AE46" s="128"/>
      <c r="AF46" s="128"/>
      <c r="AG46" s="128"/>
      <c r="AH46" s="128"/>
      <c r="AI46" s="128"/>
      <c r="AJ46" s="778"/>
      <c r="AK46" s="778"/>
      <c r="AL46" s="128"/>
      <c r="AM46" s="128"/>
      <c r="AN46" s="128"/>
      <c r="AO46" s="128"/>
      <c r="AP46" s="128"/>
      <c r="AQ46" s="128"/>
      <c r="AR46" s="128"/>
      <c r="AS46" s="128"/>
      <c r="AT46" s="778"/>
      <c r="AU46" s="778"/>
      <c r="AV46" s="128"/>
      <c r="AW46" s="128"/>
      <c r="AX46" s="128"/>
      <c r="AY46" s="128"/>
      <c r="AZ46" s="128"/>
      <c r="BA46" s="128"/>
      <c r="BB46" s="128"/>
      <c r="BC46" s="113"/>
      <c r="BD46" s="38"/>
      <c r="BE46" s="38"/>
      <c r="BF46" s="656" t="s">
        <v>1092</v>
      </c>
    </row>
    <row r="47" spans="1:58" s="396" customFormat="1" ht="26.85" customHeight="1" x14ac:dyDescent="0.15">
      <c r="A47" s="38"/>
      <c r="B47" s="43"/>
      <c r="C47" s="38"/>
      <c r="D47" s="38"/>
      <c r="E47" s="448">
        <v>15</v>
      </c>
      <c r="F47" s="17" t="str" cm="1">
        <f t="array" ref="F47">X47</f>
        <v>2</v>
      </c>
      <c r="G47" s="38"/>
      <c r="H47" s="38"/>
      <c r="I47" s="38"/>
      <c r="J47" s="38"/>
      <c r="K47" s="38"/>
      <c r="L47" s="38"/>
      <c r="M47" s="38"/>
      <c r="N47" s="38"/>
      <c r="O47" s="38"/>
      <c r="P47" s="38"/>
      <c r="Q47" s="38"/>
      <c r="R47" s="38"/>
      <c r="S47" s="38"/>
      <c r="T47" s="353" t="b">
        <f>X47&gt;0</f>
        <v>1</v>
      </c>
      <c r="U47" s="38"/>
      <c r="V47" s="38" t="str" cm="1">
        <f t="array" ref="V47">'Амортизация (аналог)'!$AB$41</f>
        <v>Тариф 2 (Водоотведение) - тариф на водоотведение</v>
      </c>
      <c r="W47" s="38"/>
      <c r="X47" s="990" t="s">
        <v>285</v>
      </c>
      <c r="Y47" s="38"/>
      <c r="Z47" s="1022"/>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6"/>
    </row>
    <row r="48" spans="1:58" s="396" customFormat="1" ht="0" hidden="1" customHeight="1" x14ac:dyDescent="0.15">
      <c r="A48" s="38"/>
      <c r="B48" s="43"/>
      <c r="C48" s="38"/>
      <c r="D48" s="38"/>
      <c r="E48" s="448">
        <v>73.5</v>
      </c>
      <c r="F48" s="3" t="str" cm="1">
        <f t="array" aca="1" ref="F48" ca="1">OFFSET(E48,-1,1)</f>
        <v>2</v>
      </c>
      <c r="G48" s="372" t="s">
        <v>1065</v>
      </c>
      <c r="H48" s="38" t="s">
        <v>331</v>
      </c>
      <c r="I48" s="38"/>
      <c r="J48" s="38"/>
      <c r="K48" s="40" t="str">
        <f ca="1">F48&amp;"komm"</f>
        <v>2komm</v>
      </c>
      <c r="L48" s="609" cm="1">
        <f t="array" ref="L48">BC48</f>
        <v>0</v>
      </c>
      <c r="M48" s="38"/>
      <c r="N48" s="38"/>
      <c r="O48" s="38"/>
      <c r="P48" s="38"/>
      <c r="Q48" s="38"/>
      <c r="R48" s="38"/>
      <c r="S48" s="38"/>
      <c r="T48" s="353" t="b" cm="1">
        <f t="array" ref="T48">T47</f>
        <v>1</v>
      </c>
      <c r="U48" s="38"/>
      <c r="V48" s="38"/>
      <c r="W48" s="38"/>
      <c r="X48" s="990"/>
      <c r="Y48" s="38"/>
      <c r="Z48" s="1022"/>
      <c r="AA48" s="38"/>
      <c r="AB48" s="131" t="s">
        <v>275</v>
      </c>
      <c r="AC48" s="132" t="s">
        <v>1066</v>
      </c>
      <c r="AD48" s="118" t="s">
        <v>828</v>
      </c>
      <c r="AE48" s="171">
        <f t="shared" ref="AE48:BB48" si="7">AE49+AE52+AE53+AE54</f>
        <v>0</v>
      </c>
      <c r="AF48" s="171">
        <f t="shared" si="7"/>
        <v>0</v>
      </c>
      <c r="AG48" s="171">
        <f t="shared" si="7"/>
        <v>0</v>
      </c>
      <c r="AH48" s="171">
        <f t="shared" si="7"/>
        <v>0</v>
      </c>
      <c r="AI48" s="171">
        <f t="shared" si="7"/>
        <v>0</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0</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c r="BD48" s="38"/>
      <c r="BE48" s="38"/>
      <c r="BF48" s="680" t="s">
        <v>1067</v>
      </c>
    </row>
    <row r="49" spans="1:58" s="396" customFormat="1" ht="0" hidden="1" customHeight="1" x14ac:dyDescent="0.15">
      <c r="A49" s="38"/>
      <c r="B49" s="43"/>
      <c r="C49" s="38"/>
      <c r="D49" s="38" t="s">
        <v>1068</v>
      </c>
      <c r="E49" s="448">
        <v>15</v>
      </c>
      <c r="F49" s="3" t="str" cm="1">
        <f t="array" aca="1" ref="F49" ca="1">OFFSET(E49,-1,1)</f>
        <v>2</v>
      </c>
      <c r="G49" s="38"/>
      <c r="H49" s="38" t="s">
        <v>482</v>
      </c>
      <c r="I49" s="38"/>
      <c r="J49" s="38"/>
      <c r="K49" s="38"/>
      <c r="L49" s="38"/>
      <c r="M49" s="38"/>
      <c r="N49" s="38"/>
      <c r="O49" s="38"/>
      <c r="P49" s="38"/>
      <c r="Q49" s="38"/>
      <c r="R49" s="38"/>
      <c r="S49" s="38"/>
      <c r="T49" s="353" t="b" cm="1">
        <f t="array" ref="T49">T48</f>
        <v>1</v>
      </c>
      <c r="U49" s="38"/>
      <c r="V49" s="38"/>
      <c r="W49" s="38"/>
      <c r="X49" s="990"/>
      <c r="Y49" s="38"/>
      <c r="Z49" s="1022"/>
      <c r="AA49" s="38"/>
      <c r="AB49" s="133" t="s">
        <v>939</v>
      </c>
      <c r="AC49" s="127" t="s">
        <v>1068</v>
      </c>
      <c r="AD49" s="8" t="s">
        <v>828</v>
      </c>
      <c r="AE49" s="128">
        <f t="shared" ref="AE49:BB49" si="8">SUM(AE50:AE51)</f>
        <v>0</v>
      </c>
      <c r="AF49" s="128">
        <f t="shared" si="8"/>
        <v>0</v>
      </c>
      <c r="AG49" s="128">
        <f t="shared" si="8"/>
        <v>0</v>
      </c>
      <c r="AH49" s="128">
        <f t="shared" si="8"/>
        <v>0</v>
      </c>
      <c r="AI49" s="128">
        <f t="shared" si="8"/>
        <v>0</v>
      </c>
      <c r="AJ49" s="778">
        <f t="shared" si="8"/>
        <v>0</v>
      </c>
      <c r="AK49" s="778">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0</v>
      </c>
      <c r="AT49" s="778">
        <f t="shared" si="8"/>
        <v>0</v>
      </c>
      <c r="AU49" s="778">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80" t="s">
        <v>1069</v>
      </c>
    </row>
    <row r="50" spans="1:58" s="396" customFormat="1" ht="0" hidden="1" customHeight="1" x14ac:dyDescent="0.15">
      <c r="A50" s="38"/>
      <c r="B50" s="43"/>
      <c r="C50" s="38"/>
      <c r="D50" s="38"/>
      <c r="E50" s="448">
        <v>24</v>
      </c>
      <c r="F50" s="3" t="str" cm="1">
        <f t="array" aca="1" ref="F50" ca="1">OFFSET(E50,-1,1)</f>
        <v>2</v>
      </c>
      <c r="G50" s="38"/>
      <c r="H50" s="38" t="s">
        <v>1070</v>
      </c>
      <c r="I50" s="38"/>
      <c r="J50" s="38"/>
      <c r="K50" s="38"/>
      <c r="L50" s="38"/>
      <c r="M50" s="38"/>
      <c r="N50" s="38"/>
      <c r="O50" s="38"/>
      <c r="P50" s="38"/>
      <c r="Q50" s="38"/>
      <c r="R50" s="38"/>
      <c r="S50" s="38"/>
      <c r="T50" s="353" t="b" cm="1">
        <f t="array" ref="T50">T49</f>
        <v>1</v>
      </c>
      <c r="U50" s="38"/>
      <c r="V50" s="38"/>
      <c r="W50" s="38"/>
      <c r="X50" s="990"/>
      <c r="Y50" s="38"/>
      <c r="Z50" s="1022"/>
      <c r="AA50" s="38"/>
      <c r="AB50" s="133" t="s">
        <v>1071</v>
      </c>
      <c r="AC50" s="134" t="s">
        <v>1072</v>
      </c>
      <c r="AD50" s="8" t="s">
        <v>828</v>
      </c>
      <c r="AE50" s="128"/>
      <c r="AF50" s="128"/>
      <c r="AG50" s="128"/>
      <c r="AH50" s="128"/>
      <c r="AI50" s="128"/>
      <c r="AJ50" s="778"/>
      <c r="AK50" s="778"/>
      <c r="AL50" s="128"/>
      <c r="AM50" s="128"/>
      <c r="AN50" s="128"/>
      <c r="AO50" s="128"/>
      <c r="AP50" s="128"/>
      <c r="AQ50" s="128"/>
      <c r="AR50" s="128"/>
      <c r="AS50" s="128"/>
      <c r="AT50" s="778"/>
      <c r="AU50" s="778"/>
      <c r="AV50" s="128"/>
      <c r="AW50" s="128"/>
      <c r="AX50" s="128"/>
      <c r="AY50" s="128"/>
      <c r="AZ50" s="128"/>
      <c r="BA50" s="128"/>
      <c r="BB50" s="128"/>
      <c r="BC50" s="113"/>
      <c r="BD50" s="38"/>
      <c r="BE50" s="38"/>
      <c r="BF50" s="656" t="s">
        <v>1073</v>
      </c>
    </row>
    <row r="51" spans="1:58" s="396" customFormat="1" ht="0" hidden="1" customHeight="1" x14ac:dyDescent="0.15">
      <c r="A51" s="38"/>
      <c r="B51" s="43"/>
      <c r="C51" s="38"/>
      <c r="D51" s="38"/>
      <c r="E51" s="448">
        <v>15</v>
      </c>
      <c r="F51" s="3" t="str" cm="1">
        <f t="array" aca="1" ref="F51" ca="1">OFFSET(E51,-1,1)</f>
        <v>2</v>
      </c>
      <c r="G51" s="38"/>
      <c r="H51" s="38" t="s">
        <v>1074</v>
      </c>
      <c r="I51" s="38"/>
      <c r="J51" s="38"/>
      <c r="K51" s="38"/>
      <c r="L51" s="38"/>
      <c r="M51" s="38"/>
      <c r="N51" s="38"/>
      <c r="O51" s="38"/>
      <c r="P51" s="38"/>
      <c r="Q51" s="38"/>
      <c r="R51" s="38"/>
      <c r="S51" s="38"/>
      <c r="T51" s="353" t="b" cm="1">
        <f t="array" ref="T51">T50</f>
        <v>1</v>
      </c>
      <c r="U51" s="38"/>
      <c r="V51" s="38"/>
      <c r="W51" s="38"/>
      <c r="X51" s="990"/>
      <c r="Y51" s="38"/>
      <c r="Z51" s="1022"/>
      <c r="AA51" s="38"/>
      <c r="AB51" s="133" t="s">
        <v>1075</v>
      </c>
      <c r="AC51" s="134" t="s">
        <v>1076</v>
      </c>
      <c r="AD51" s="8" t="s">
        <v>828</v>
      </c>
      <c r="AE51" s="128"/>
      <c r="AF51" s="128"/>
      <c r="AG51" s="128"/>
      <c r="AH51" s="128"/>
      <c r="AI51" s="128"/>
      <c r="AJ51" s="778"/>
      <c r="AK51" s="778"/>
      <c r="AL51" s="128"/>
      <c r="AM51" s="128"/>
      <c r="AN51" s="128"/>
      <c r="AO51" s="128"/>
      <c r="AP51" s="128"/>
      <c r="AQ51" s="128"/>
      <c r="AR51" s="128"/>
      <c r="AS51" s="128"/>
      <c r="AT51" s="778"/>
      <c r="AU51" s="778"/>
      <c r="AV51" s="128"/>
      <c r="AW51" s="128"/>
      <c r="AX51" s="128"/>
      <c r="AY51" s="128"/>
      <c r="AZ51" s="128"/>
      <c r="BA51" s="128"/>
      <c r="BB51" s="128"/>
      <c r="BC51" s="113"/>
      <c r="BD51" s="38"/>
      <c r="BE51" s="38"/>
      <c r="BF51" s="656" t="s">
        <v>1077</v>
      </c>
    </row>
    <row r="52" spans="1:58" s="396" customFormat="1" ht="0" hidden="1" customHeight="1" x14ac:dyDescent="0.15">
      <c r="A52" s="38"/>
      <c r="B52" s="43"/>
      <c r="C52" s="38"/>
      <c r="D52" s="38" t="s">
        <v>1078</v>
      </c>
      <c r="E52" s="448">
        <v>15</v>
      </c>
      <c r="F52" s="3" t="str" cm="1">
        <f t="array" aca="1" ref="F52" ca="1">OFFSET(E52,-1,1)</f>
        <v>2</v>
      </c>
      <c r="G52" s="38"/>
      <c r="H52" s="38" t="s">
        <v>486</v>
      </c>
      <c r="I52" s="38"/>
      <c r="J52" s="38"/>
      <c r="K52" s="38"/>
      <c r="L52" s="38"/>
      <c r="M52" s="38"/>
      <c r="N52" s="38"/>
      <c r="O52" s="38"/>
      <c r="P52" s="38"/>
      <c r="Q52" s="38"/>
      <c r="R52" s="38"/>
      <c r="S52" s="38"/>
      <c r="T52" s="353" t="b" cm="1">
        <f t="array" ref="T52">T51</f>
        <v>1</v>
      </c>
      <c r="U52" s="38"/>
      <c r="V52" s="38"/>
      <c r="W52" s="38"/>
      <c r="X52" s="990"/>
      <c r="Y52" s="38"/>
      <c r="Z52" s="1022"/>
      <c r="AA52" s="38"/>
      <c r="AB52" s="133" t="s">
        <v>942</v>
      </c>
      <c r="AC52" s="617" t="s">
        <v>1079</v>
      </c>
      <c r="AD52" s="8" t="s">
        <v>828</v>
      </c>
      <c r="AE52" s="128"/>
      <c r="AF52" s="128"/>
      <c r="AG52" s="128"/>
      <c r="AH52" s="128"/>
      <c r="AI52" s="128"/>
      <c r="AJ52" s="778"/>
      <c r="AK52" s="778"/>
      <c r="AL52" s="128"/>
      <c r="AM52" s="128"/>
      <c r="AN52" s="128"/>
      <c r="AO52" s="128"/>
      <c r="AP52" s="128"/>
      <c r="AQ52" s="128"/>
      <c r="AR52" s="128"/>
      <c r="AS52" s="128"/>
      <c r="AT52" s="778"/>
      <c r="AU52" s="778"/>
      <c r="AV52" s="128"/>
      <c r="AW52" s="128"/>
      <c r="AX52" s="128"/>
      <c r="AY52" s="128"/>
      <c r="AZ52" s="128"/>
      <c r="BA52" s="128"/>
      <c r="BB52" s="128"/>
      <c r="BC52" s="113"/>
      <c r="BD52" s="38"/>
      <c r="BE52" s="38"/>
      <c r="BF52" s="656" t="s">
        <v>1080</v>
      </c>
    </row>
    <row r="53" spans="1:58" s="396" customFormat="1" ht="0" hidden="1" customHeight="1" x14ac:dyDescent="0.15">
      <c r="A53" s="38"/>
      <c r="B53" s="43"/>
      <c r="C53" s="38"/>
      <c r="D53" s="38" t="s">
        <v>1081</v>
      </c>
      <c r="E53" s="448">
        <v>15</v>
      </c>
      <c r="F53" s="3" t="str" cm="1">
        <f t="array" aca="1" ref="F53" ca="1">OFFSET(E53,-1,1)</f>
        <v>2</v>
      </c>
      <c r="G53" s="38"/>
      <c r="H53" s="38" t="s">
        <v>489</v>
      </c>
      <c r="I53" s="38"/>
      <c r="J53" s="38"/>
      <c r="K53" s="38"/>
      <c r="L53" s="38"/>
      <c r="M53" s="38"/>
      <c r="N53" s="38"/>
      <c r="O53" s="38"/>
      <c r="P53" s="38"/>
      <c r="Q53" s="38"/>
      <c r="R53" s="38"/>
      <c r="S53" s="38"/>
      <c r="T53" s="353" t="b" cm="1">
        <f t="array" ref="T53">T52</f>
        <v>1</v>
      </c>
      <c r="U53" s="38"/>
      <c r="V53" s="38"/>
      <c r="W53" s="38"/>
      <c r="X53" s="990"/>
      <c r="Y53" s="38"/>
      <c r="Z53" s="1022"/>
      <c r="AA53" s="38"/>
      <c r="AB53" s="133" t="s">
        <v>945</v>
      </c>
      <c r="AC53" s="127" t="s">
        <v>1082</v>
      </c>
      <c r="AD53" s="8" t="s">
        <v>828</v>
      </c>
      <c r="AE53" s="128"/>
      <c r="AF53" s="128"/>
      <c r="AG53" s="128"/>
      <c r="AH53" s="128"/>
      <c r="AI53" s="128"/>
      <c r="AJ53" s="778"/>
      <c r="AK53" s="778"/>
      <c r="AL53" s="128"/>
      <c r="AM53" s="128"/>
      <c r="AN53" s="128"/>
      <c r="AO53" s="128"/>
      <c r="AP53" s="128"/>
      <c r="AQ53" s="128"/>
      <c r="AR53" s="128"/>
      <c r="AS53" s="128"/>
      <c r="AT53" s="778"/>
      <c r="AU53" s="778"/>
      <c r="AV53" s="128"/>
      <c r="AW53" s="128"/>
      <c r="AX53" s="128"/>
      <c r="AY53" s="128"/>
      <c r="AZ53" s="128"/>
      <c r="BA53" s="128"/>
      <c r="BB53" s="128"/>
      <c r="BC53" s="113"/>
      <c r="BD53" s="38"/>
      <c r="BE53" s="38"/>
      <c r="BF53" s="656" t="s">
        <v>1083</v>
      </c>
    </row>
    <row r="54" spans="1:58" s="396" customFormat="1" ht="0" hidden="1" customHeight="1" x14ac:dyDescent="0.15">
      <c r="A54" s="38"/>
      <c r="B54" s="43"/>
      <c r="C54" s="38"/>
      <c r="D54" s="38" t="s">
        <v>1084</v>
      </c>
      <c r="E54" s="448">
        <v>15</v>
      </c>
      <c r="F54" s="3" t="str" cm="1">
        <f t="array" aca="1" ref="F54" ca="1">OFFSET(E54,-1,1)</f>
        <v>2</v>
      </c>
      <c r="G54" s="38"/>
      <c r="H54" s="38" t="s">
        <v>493</v>
      </c>
      <c r="I54" s="38"/>
      <c r="J54" s="38"/>
      <c r="K54" s="38"/>
      <c r="L54" s="38"/>
      <c r="M54" s="38"/>
      <c r="N54" s="38"/>
      <c r="O54" s="38"/>
      <c r="P54" s="38"/>
      <c r="Q54" s="38"/>
      <c r="R54" s="38"/>
      <c r="S54" s="38"/>
      <c r="T54" s="353" t="b" cm="1">
        <f t="array" ref="T54">T53</f>
        <v>1</v>
      </c>
      <c r="U54" s="38"/>
      <c r="V54" s="38"/>
      <c r="W54" s="38"/>
      <c r="X54" s="990"/>
      <c r="Y54" s="38"/>
      <c r="Z54" s="1022"/>
      <c r="AA54" s="38"/>
      <c r="AB54" s="133" t="s">
        <v>948</v>
      </c>
      <c r="AC54" s="127" t="s">
        <v>1085</v>
      </c>
      <c r="AD54" s="8" t="s">
        <v>828</v>
      </c>
      <c r="AE54" s="128">
        <f t="shared" ref="AE54:BB54" si="9">SUM(AE55:AE56)</f>
        <v>0</v>
      </c>
      <c r="AF54" s="128">
        <f t="shared" si="9"/>
        <v>0</v>
      </c>
      <c r="AG54" s="128">
        <f t="shared" si="9"/>
        <v>0</v>
      </c>
      <c r="AH54" s="128">
        <f t="shared" si="9"/>
        <v>0</v>
      </c>
      <c r="AI54" s="128">
        <f t="shared" si="9"/>
        <v>0</v>
      </c>
      <c r="AJ54" s="778">
        <f t="shared" si="9"/>
        <v>0</v>
      </c>
      <c r="AK54" s="778">
        <f t="shared" si="9"/>
        <v>0</v>
      </c>
      <c r="AL54" s="128">
        <f t="shared" si="9"/>
        <v>0</v>
      </c>
      <c r="AM54" s="128">
        <f t="shared" si="9"/>
        <v>0</v>
      </c>
      <c r="AN54" s="128">
        <f t="shared" si="9"/>
        <v>0</v>
      </c>
      <c r="AO54" s="128">
        <f t="shared" si="9"/>
        <v>0</v>
      </c>
      <c r="AP54" s="128">
        <f t="shared" si="9"/>
        <v>0</v>
      </c>
      <c r="AQ54" s="128">
        <f t="shared" si="9"/>
        <v>0</v>
      </c>
      <c r="AR54" s="128">
        <f t="shared" si="9"/>
        <v>0</v>
      </c>
      <c r="AS54" s="128">
        <f t="shared" si="9"/>
        <v>0</v>
      </c>
      <c r="AT54" s="778">
        <f t="shared" si="9"/>
        <v>0</v>
      </c>
      <c r="AU54" s="778">
        <f t="shared" si="9"/>
        <v>0</v>
      </c>
      <c r="AV54" s="128">
        <f t="shared" si="9"/>
        <v>0</v>
      </c>
      <c r="AW54" s="128">
        <f t="shared" si="9"/>
        <v>0</v>
      </c>
      <c r="AX54" s="128">
        <f t="shared" si="9"/>
        <v>0</v>
      </c>
      <c r="AY54" s="128">
        <f t="shared" si="9"/>
        <v>0</v>
      </c>
      <c r="AZ54" s="128">
        <f t="shared" si="9"/>
        <v>0</v>
      </c>
      <c r="BA54" s="128">
        <f t="shared" si="9"/>
        <v>0</v>
      </c>
      <c r="BB54" s="128">
        <f t="shared" si="9"/>
        <v>0</v>
      </c>
      <c r="BC54" s="113"/>
      <c r="BD54" s="38"/>
      <c r="BE54" s="38"/>
      <c r="BF54" s="656" t="s">
        <v>1086</v>
      </c>
    </row>
    <row r="55" spans="1:58" s="396" customFormat="1" ht="0" hidden="1" customHeight="1" x14ac:dyDescent="0.15">
      <c r="A55" s="38"/>
      <c r="B55" s="43"/>
      <c r="C55" s="38"/>
      <c r="D55" s="38"/>
      <c r="E55" s="448">
        <v>36</v>
      </c>
      <c r="F55" s="3" t="str" cm="1">
        <f t="array" aca="1" ref="F55" ca="1">OFFSET(E55,-1,1)</f>
        <v>2</v>
      </c>
      <c r="G55" s="38"/>
      <c r="H55" s="38"/>
      <c r="I55" s="38"/>
      <c r="J55" s="38"/>
      <c r="K55" s="38"/>
      <c r="L55" s="38"/>
      <c r="M55" s="38"/>
      <c r="N55" s="38"/>
      <c r="O55" s="38"/>
      <c r="P55" s="38"/>
      <c r="Q55" s="38"/>
      <c r="R55" s="38"/>
      <c r="S55" s="38"/>
      <c r="T55" s="353" t="b" cm="1">
        <f t="array" ref="T55">T54</f>
        <v>1</v>
      </c>
      <c r="U55" s="38"/>
      <c r="V55" s="38"/>
      <c r="W55" s="38"/>
      <c r="X55" s="990"/>
      <c r="Y55" s="38"/>
      <c r="Z55" s="1022"/>
      <c r="AA55" s="38"/>
      <c r="AB55" s="133" t="s">
        <v>1087</v>
      </c>
      <c r="AC55" s="127" t="s">
        <v>1088</v>
      </c>
      <c r="AD55" s="8" t="s">
        <v>828</v>
      </c>
      <c r="AE55" s="128"/>
      <c r="AF55" s="128"/>
      <c r="AG55" s="128"/>
      <c r="AH55" s="128"/>
      <c r="AI55" s="128"/>
      <c r="AJ55" s="778"/>
      <c r="AK55" s="778"/>
      <c r="AL55" s="128"/>
      <c r="AM55" s="128"/>
      <c r="AN55" s="128"/>
      <c r="AO55" s="128"/>
      <c r="AP55" s="128"/>
      <c r="AQ55" s="128"/>
      <c r="AR55" s="128"/>
      <c r="AS55" s="128"/>
      <c r="AT55" s="778"/>
      <c r="AU55" s="778"/>
      <c r="AV55" s="128"/>
      <c r="AW55" s="128"/>
      <c r="AX55" s="128"/>
      <c r="AY55" s="128"/>
      <c r="AZ55" s="128"/>
      <c r="BA55" s="128"/>
      <c r="BB55" s="128"/>
      <c r="BC55" s="113"/>
      <c r="BD55" s="38"/>
      <c r="BE55" s="38"/>
      <c r="BF55" s="656" t="s">
        <v>1089</v>
      </c>
    </row>
    <row r="56" spans="1:58" s="396" customFormat="1" ht="0" hidden="1" customHeight="1" x14ac:dyDescent="0.15">
      <c r="A56" s="38"/>
      <c r="B56" s="43"/>
      <c r="C56" s="38"/>
      <c r="D56" s="38"/>
      <c r="E56" s="448">
        <v>36</v>
      </c>
      <c r="F56" s="3" t="str" cm="1">
        <f t="array" aca="1" ref="F56" ca="1">OFFSET(E56,-1,1)</f>
        <v>2</v>
      </c>
      <c r="G56" s="38"/>
      <c r="H56" s="38"/>
      <c r="I56" s="38"/>
      <c r="J56" s="38"/>
      <c r="K56" s="38"/>
      <c r="L56" s="38"/>
      <c r="M56" s="38"/>
      <c r="N56" s="38"/>
      <c r="O56" s="38"/>
      <c r="P56" s="38"/>
      <c r="Q56" s="38"/>
      <c r="R56" s="38"/>
      <c r="S56" s="38"/>
      <c r="T56" s="353" t="b" cm="1">
        <f t="array" ref="T56">T55</f>
        <v>1</v>
      </c>
      <c r="U56" s="38"/>
      <c r="V56" s="38"/>
      <c r="W56" s="38"/>
      <c r="X56" s="990"/>
      <c r="Y56" s="38"/>
      <c r="Z56" s="1022"/>
      <c r="AA56" s="38"/>
      <c r="AB56" s="133" t="s">
        <v>1090</v>
      </c>
      <c r="AC56" s="127" t="s">
        <v>1091</v>
      </c>
      <c r="AD56" s="8" t="s">
        <v>828</v>
      </c>
      <c r="AE56" s="128"/>
      <c r="AF56" s="128"/>
      <c r="AG56" s="128"/>
      <c r="AH56" s="128"/>
      <c r="AI56" s="128"/>
      <c r="AJ56" s="778"/>
      <c r="AK56" s="778"/>
      <c r="AL56" s="128"/>
      <c r="AM56" s="128"/>
      <c r="AN56" s="128"/>
      <c r="AO56" s="128"/>
      <c r="AP56" s="128"/>
      <c r="AQ56" s="128"/>
      <c r="AR56" s="128"/>
      <c r="AS56" s="128"/>
      <c r="AT56" s="778"/>
      <c r="AU56" s="778"/>
      <c r="AV56" s="128"/>
      <c r="AW56" s="128"/>
      <c r="AX56" s="128"/>
      <c r="AY56" s="128"/>
      <c r="AZ56" s="128"/>
      <c r="BA56" s="128"/>
      <c r="BB56" s="128"/>
      <c r="BC56" s="113"/>
      <c r="BD56" s="38"/>
      <c r="BE56" s="38"/>
      <c r="BF56" s="656" t="s">
        <v>1092</v>
      </c>
    </row>
    <row r="57" spans="1:58" s="396" customFormat="1" ht="37.35" customHeight="1" x14ac:dyDescent="0.15">
      <c r="A57" s="38"/>
      <c r="B57" s="43"/>
      <c r="C57" s="38"/>
      <c r="D57" s="38"/>
      <c r="E57" s="448">
        <v>15</v>
      </c>
      <c r="F57" s="17" t="str" cm="1">
        <f t="array" ref="F57">X57</f>
        <v>3</v>
      </c>
      <c r="G57" s="38"/>
      <c r="H57" s="38"/>
      <c r="I57" s="38"/>
      <c r="J57" s="38"/>
      <c r="K57" s="38"/>
      <c r="L57" s="38"/>
      <c r="M57" s="38"/>
      <c r="N57" s="38"/>
      <c r="O57" s="38"/>
      <c r="P57" s="38"/>
      <c r="Q57" s="38"/>
      <c r="R57" s="38"/>
      <c r="S57" s="38"/>
      <c r="T57" s="353" t="b">
        <f>X57&gt;0</f>
        <v>1</v>
      </c>
      <c r="U57" s="38"/>
      <c r="V57" s="38" t="str" cm="1">
        <f t="array" ref="V57">'Амортизация (аналог)'!$AB$48</f>
        <v>Тариф 3 (Водоотведение) - тариф на транспортировку сточных вод</v>
      </c>
      <c r="W57" s="38"/>
      <c r="X57" s="990" t="s">
        <v>291</v>
      </c>
      <c r="Y57" s="38"/>
      <c r="Z57" s="1022"/>
      <c r="AA57" s="38"/>
      <c r="AB57" s="135" t="str" cm="1">
        <f t="array" ref="AB57">'Амортизация (аналог)'!$AB$48</f>
        <v>Тариф 3 (Водоотведение) - тариф на транспортировку сточных вод</v>
      </c>
      <c r="AC57" s="94"/>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123"/>
      <c r="BD57" s="38"/>
      <c r="BE57" s="38"/>
      <c r="BF57" s="656"/>
    </row>
    <row r="58" spans="1:58" s="396" customFormat="1" ht="65.45" customHeight="1" x14ac:dyDescent="0.15">
      <c r="A58" s="38"/>
      <c r="B58" s="43"/>
      <c r="C58" s="38"/>
      <c r="D58" s="38"/>
      <c r="E58" s="448">
        <v>73.5</v>
      </c>
      <c r="F58" s="3" t="str" cm="1">
        <f t="array" aca="1" ref="F58" ca="1">OFFSET(E58,-1,1)</f>
        <v>3</v>
      </c>
      <c r="G58" s="372" t="s">
        <v>1065</v>
      </c>
      <c r="H58" s="38" t="s">
        <v>331</v>
      </c>
      <c r="I58" s="38"/>
      <c r="J58" s="38"/>
      <c r="K58" s="40" t="str">
        <f ca="1">F58&amp;"komm"</f>
        <v>3komm</v>
      </c>
      <c r="L58" s="609" t="str" cm="1">
        <f t="array" ref="L58">BC58</f>
        <v>П. 49(3), п. 29 Методических указаний ФСТ № 1746-э.</v>
      </c>
      <c r="M58" s="38"/>
      <c r="N58" s="38"/>
      <c r="O58" s="38"/>
      <c r="P58" s="38"/>
      <c r="Q58" s="38"/>
      <c r="R58" s="38"/>
      <c r="S58" s="38"/>
      <c r="T58" s="353" t="b" cm="1">
        <f t="array" ref="T58">T57</f>
        <v>1</v>
      </c>
      <c r="U58" s="38"/>
      <c r="V58" s="38"/>
      <c r="W58" s="38"/>
      <c r="X58" s="990"/>
      <c r="Y58" s="38"/>
      <c r="Z58" s="1022"/>
      <c r="AA58" s="38"/>
      <c r="AB58" s="131" t="s">
        <v>275</v>
      </c>
      <c r="AC58" s="132" t="s">
        <v>1066</v>
      </c>
      <c r="AD58" s="118" t="s">
        <v>828</v>
      </c>
      <c r="AE58" s="171">
        <f t="shared" ref="AE58:BB58" si="10">AE59+AE62+AE63+AE64</f>
        <v>6302.4111457999998</v>
      </c>
      <c r="AF58" s="171">
        <f t="shared" si="10"/>
        <v>9602.5820699933993</v>
      </c>
      <c r="AG58" s="171">
        <f t="shared" si="10"/>
        <v>5752.7428782670004</v>
      </c>
      <c r="AH58" s="171">
        <f t="shared" si="10"/>
        <v>6074.6931470083</v>
      </c>
      <c r="AI58" s="171">
        <f t="shared" si="10"/>
        <v>18173.700702943301</v>
      </c>
      <c r="AJ58" s="171">
        <f t="shared" si="10"/>
        <v>0</v>
      </c>
      <c r="AK58" s="171">
        <f t="shared" si="10"/>
        <v>0</v>
      </c>
      <c r="AL58" s="171">
        <f t="shared" si="10"/>
        <v>0</v>
      </c>
      <c r="AM58" s="171">
        <f t="shared" si="10"/>
        <v>0</v>
      </c>
      <c r="AN58" s="171">
        <f t="shared" si="10"/>
        <v>0</v>
      </c>
      <c r="AO58" s="171">
        <f t="shared" si="10"/>
        <v>0</v>
      </c>
      <c r="AP58" s="171">
        <f t="shared" si="10"/>
        <v>0</v>
      </c>
      <c r="AQ58" s="171">
        <f t="shared" si="10"/>
        <v>0</v>
      </c>
      <c r="AR58" s="171">
        <f t="shared" si="10"/>
        <v>0</v>
      </c>
      <c r="AS58" s="171">
        <f t="shared" si="10"/>
        <v>5752.7428782670004</v>
      </c>
      <c r="AT58" s="171">
        <f t="shared" si="10"/>
        <v>0</v>
      </c>
      <c r="AU58" s="171">
        <f t="shared" si="10"/>
        <v>0</v>
      </c>
      <c r="AV58" s="171">
        <f t="shared" si="10"/>
        <v>0</v>
      </c>
      <c r="AW58" s="171">
        <f t="shared" si="10"/>
        <v>0</v>
      </c>
      <c r="AX58" s="171">
        <f t="shared" si="10"/>
        <v>0</v>
      </c>
      <c r="AY58" s="171">
        <f t="shared" si="10"/>
        <v>0</v>
      </c>
      <c r="AZ58" s="171">
        <f t="shared" si="10"/>
        <v>0</v>
      </c>
      <c r="BA58" s="171">
        <f t="shared" si="10"/>
        <v>0</v>
      </c>
      <c r="BB58" s="171">
        <f t="shared" si="10"/>
        <v>0</v>
      </c>
      <c r="BC58" s="113" t="s">
        <v>1093</v>
      </c>
      <c r="BD58" s="38"/>
      <c r="BE58" s="38"/>
      <c r="BF58" s="680" t="s">
        <v>1067</v>
      </c>
    </row>
    <row r="59" spans="1:58" s="396" customFormat="1" ht="14.25" customHeight="1" x14ac:dyDescent="0.15">
      <c r="A59" s="38"/>
      <c r="B59" s="43"/>
      <c r="C59" s="38"/>
      <c r="D59" s="38" t="s">
        <v>1068</v>
      </c>
      <c r="E59" s="448">
        <v>15</v>
      </c>
      <c r="F59" s="3" t="str" cm="1">
        <f t="array" aca="1" ref="F59" ca="1">OFFSET(E59,-1,1)</f>
        <v>3</v>
      </c>
      <c r="G59" s="38"/>
      <c r="H59" s="38" t="s">
        <v>482</v>
      </c>
      <c r="I59" s="38"/>
      <c r="J59" s="38"/>
      <c r="K59" s="38"/>
      <c r="L59" s="38"/>
      <c r="M59" s="38"/>
      <c r="N59" s="38"/>
      <c r="O59" s="38"/>
      <c r="P59" s="38"/>
      <c r="Q59" s="38"/>
      <c r="R59" s="38"/>
      <c r="S59" s="38"/>
      <c r="T59" s="353" t="b" cm="1">
        <f t="array" ref="T59">T58</f>
        <v>1</v>
      </c>
      <c r="U59" s="38"/>
      <c r="V59" s="38"/>
      <c r="W59" s="38"/>
      <c r="X59" s="990"/>
      <c r="Y59" s="38"/>
      <c r="Z59" s="1022"/>
      <c r="AA59" s="38"/>
      <c r="AB59" s="133" t="s">
        <v>939</v>
      </c>
      <c r="AC59" s="127" t="s">
        <v>1068</v>
      </c>
      <c r="AD59" s="8" t="s">
        <v>828</v>
      </c>
      <c r="AE59" s="128">
        <f t="shared" ref="AE59:BB59" si="11">SUM(AE60:AE61)</f>
        <v>0</v>
      </c>
      <c r="AF59" s="128">
        <f t="shared" si="11"/>
        <v>0</v>
      </c>
      <c r="AG59" s="128">
        <f t="shared" si="11"/>
        <v>0</v>
      </c>
      <c r="AH59" s="128">
        <f t="shared" si="11"/>
        <v>0</v>
      </c>
      <c r="AI59" s="128">
        <f t="shared" si="11"/>
        <v>0</v>
      </c>
      <c r="AJ59" s="778">
        <f t="shared" si="11"/>
        <v>0</v>
      </c>
      <c r="AK59" s="778">
        <f t="shared" si="11"/>
        <v>0</v>
      </c>
      <c r="AL59" s="128">
        <f t="shared" si="11"/>
        <v>0</v>
      </c>
      <c r="AM59" s="128">
        <f t="shared" si="11"/>
        <v>0</v>
      </c>
      <c r="AN59" s="128">
        <f t="shared" si="11"/>
        <v>0</v>
      </c>
      <c r="AO59" s="128">
        <f t="shared" si="11"/>
        <v>0</v>
      </c>
      <c r="AP59" s="128">
        <f t="shared" si="11"/>
        <v>0</v>
      </c>
      <c r="AQ59" s="128">
        <f t="shared" si="11"/>
        <v>0</v>
      </c>
      <c r="AR59" s="128">
        <f t="shared" si="11"/>
        <v>0</v>
      </c>
      <c r="AS59" s="128">
        <f t="shared" si="11"/>
        <v>0</v>
      </c>
      <c r="AT59" s="778">
        <f t="shared" si="11"/>
        <v>0</v>
      </c>
      <c r="AU59" s="778">
        <f t="shared" si="11"/>
        <v>0</v>
      </c>
      <c r="AV59" s="128">
        <f t="shared" si="11"/>
        <v>0</v>
      </c>
      <c r="AW59" s="128">
        <f t="shared" si="11"/>
        <v>0</v>
      </c>
      <c r="AX59" s="128">
        <f t="shared" si="11"/>
        <v>0</v>
      </c>
      <c r="AY59" s="128">
        <f t="shared" si="11"/>
        <v>0</v>
      </c>
      <c r="AZ59" s="128">
        <f t="shared" si="11"/>
        <v>0</v>
      </c>
      <c r="BA59" s="128">
        <f t="shared" si="11"/>
        <v>0</v>
      </c>
      <c r="BB59" s="128">
        <f t="shared" si="11"/>
        <v>0</v>
      </c>
      <c r="BC59" s="113"/>
      <c r="BD59" s="38"/>
      <c r="BE59" s="38"/>
      <c r="BF59" s="680" t="s">
        <v>1069</v>
      </c>
    </row>
    <row r="60" spans="1:58" s="396" customFormat="1" ht="23.25" customHeight="1" x14ac:dyDescent="0.15">
      <c r="A60" s="38"/>
      <c r="B60" s="43"/>
      <c r="C60" s="38"/>
      <c r="D60" s="38"/>
      <c r="E60" s="448">
        <v>24</v>
      </c>
      <c r="F60" s="3" t="str" cm="1">
        <f t="array" aca="1" ref="F60" ca="1">OFFSET(E60,-1,1)</f>
        <v>3</v>
      </c>
      <c r="G60" s="38"/>
      <c r="H60" s="38" t="s">
        <v>1070</v>
      </c>
      <c r="I60" s="38"/>
      <c r="J60" s="38"/>
      <c r="K60" s="38"/>
      <c r="L60" s="38"/>
      <c r="M60" s="38"/>
      <c r="N60" s="38"/>
      <c r="O60" s="38"/>
      <c r="P60" s="38"/>
      <c r="Q60" s="38"/>
      <c r="R60" s="38"/>
      <c r="S60" s="38"/>
      <c r="T60" s="353" t="b" cm="1">
        <f t="array" ref="T60">T59</f>
        <v>1</v>
      </c>
      <c r="U60" s="38"/>
      <c r="V60" s="38"/>
      <c r="W60" s="38"/>
      <c r="X60" s="990"/>
      <c r="Y60" s="38"/>
      <c r="Z60" s="1022"/>
      <c r="AA60" s="38"/>
      <c r="AB60" s="133" t="s">
        <v>1071</v>
      </c>
      <c r="AC60" s="134" t="s">
        <v>1072</v>
      </c>
      <c r="AD60" s="8" t="s">
        <v>828</v>
      </c>
      <c r="AE60" s="128"/>
      <c r="AF60" s="128"/>
      <c r="AG60" s="128"/>
      <c r="AH60" s="128"/>
      <c r="AI60" s="128"/>
      <c r="AJ60" s="778"/>
      <c r="AK60" s="778"/>
      <c r="AL60" s="128"/>
      <c r="AM60" s="128"/>
      <c r="AN60" s="128"/>
      <c r="AO60" s="128"/>
      <c r="AP60" s="128"/>
      <c r="AQ60" s="128"/>
      <c r="AR60" s="128"/>
      <c r="AS60" s="128"/>
      <c r="AT60" s="778"/>
      <c r="AU60" s="778"/>
      <c r="AV60" s="128"/>
      <c r="AW60" s="128"/>
      <c r="AX60" s="128"/>
      <c r="AY60" s="128"/>
      <c r="AZ60" s="128"/>
      <c r="BA60" s="128"/>
      <c r="BB60" s="128"/>
      <c r="BC60" s="113"/>
      <c r="BD60" s="38"/>
      <c r="BE60" s="38"/>
      <c r="BF60" s="656" t="s">
        <v>1073</v>
      </c>
    </row>
    <row r="61" spans="1:58" s="396" customFormat="1" ht="14.25" customHeight="1" x14ac:dyDescent="0.15">
      <c r="A61" s="38"/>
      <c r="B61" s="43"/>
      <c r="C61" s="38"/>
      <c r="D61" s="38"/>
      <c r="E61" s="448">
        <v>15</v>
      </c>
      <c r="F61" s="3" t="str" cm="1">
        <f t="array" aca="1" ref="F61" ca="1">OFFSET(E61,-1,1)</f>
        <v>3</v>
      </c>
      <c r="G61" s="38"/>
      <c r="H61" s="38" t="s">
        <v>1074</v>
      </c>
      <c r="I61" s="38"/>
      <c r="J61" s="38"/>
      <c r="K61" s="38"/>
      <c r="L61" s="38"/>
      <c r="M61" s="38"/>
      <c r="N61" s="38"/>
      <c r="O61" s="38"/>
      <c r="P61" s="38"/>
      <c r="Q61" s="38"/>
      <c r="R61" s="38"/>
      <c r="S61" s="38"/>
      <c r="T61" s="353" t="b" cm="1">
        <f t="array" ref="T61">T60</f>
        <v>1</v>
      </c>
      <c r="U61" s="38"/>
      <c r="V61" s="38"/>
      <c r="W61" s="38"/>
      <c r="X61" s="990"/>
      <c r="Y61" s="38"/>
      <c r="Z61" s="1022"/>
      <c r="AA61" s="38"/>
      <c r="AB61" s="133" t="s">
        <v>1075</v>
      </c>
      <c r="AC61" s="134" t="s">
        <v>1076</v>
      </c>
      <c r="AD61" s="8" t="s">
        <v>828</v>
      </c>
      <c r="AE61" s="128"/>
      <c r="AF61" s="128"/>
      <c r="AG61" s="128"/>
      <c r="AH61" s="128"/>
      <c r="AI61" s="128"/>
      <c r="AJ61" s="778"/>
      <c r="AK61" s="778"/>
      <c r="AL61" s="128"/>
      <c r="AM61" s="128"/>
      <c r="AN61" s="128"/>
      <c r="AO61" s="128"/>
      <c r="AP61" s="128"/>
      <c r="AQ61" s="128"/>
      <c r="AR61" s="128"/>
      <c r="AS61" s="128"/>
      <c r="AT61" s="778"/>
      <c r="AU61" s="778"/>
      <c r="AV61" s="128"/>
      <c r="AW61" s="128"/>
      <c r="AX61" s="128"/>
      <c r="AY61" s="128"/>
      <c r="AZ61" s="128"/>
      <c r="BA61" s="128"/>
      <c r="BB61" s="128"/>
      <c r="BC61" s="113"/>
      <c r="BD61" s="38"/>
      <c r="BE61" s="38"/>
      <c r="BF61" s="656" t="s">
        <v>1077</v>
      </c>
    </row>
    <row r="62" spans="1:58" s="396" customFormat="1" ht="14.25" customHeight="1" x14ac:dyDescent="0.15">
      <c r="A62" s="38"/>
      <c r="B62" s="43"/>
      <c r="C62" s="38"/>
      <c r="D62" s="38" t="s">
        <v>1078</v>
      </c>
      <c r="E62" s="448">
        <v>15</v>
      </c>
      <c r="F62" s="3" t="str" cm="1">
        <f t="array" aca="1" ref="F62" ca="1">OFFSET(E62,-1,1)</f>
        <v>3</v>
      </c>
      <c r="G62" s="38"/>
      <c r="H62" s="38" t="s">
        <v>486</v>
      </c>
      <c r="I62" s="38"/>
      <c r="J62" s="38"/>
      <c r="K62" s="38"/>
      <c r="L62" s="38"/>
      <c r="M62" s="38"/>
      <c r="N62" s="38"/>
      <c r="O62" s="38"/>
      <c r="P62" s="38"/>
      <c r="Q62" s="38"/>
      <c r="R62" s="38"/>
      <c r="S62" s="38"/>
      <c r="T62" s="353" t="b" cm="1">
        <f t="array" ref="T62">T61</f>
        <v>1</v>
      </c>
      <c r="U62" s="38"/>
      <c r="V62" s="38"/>
      <c r="W62" s="38"/>
      <c r="X62" s="990"/>
      <c r="Y62" s="38"/>
      <c r="Z62" s="1022"/>
      <c r="AA62" s="38"/>
      <c r="AB62" s="133" t="s">
        <v>942</v>
      </c>
      <c r="AC62" s="617" t="s">
        <v>1079</v>
      </c>
      <c r="AD62" s="8" t="s">
        <v>828</v>
      </c>
      <c r="AE62" s="128"/>
      <c r="AF62" s="128"/>
      <c r="AG62" s="128"/>
      <c r="AH62" s="128"/>
      <c r="AI62" s="128"/>
      <c r="AJ62" s="778"/>
      <c r="AK62" s="778"/>
      <c r="AL62" s="128"/>
      <c r="AM62" s="128"/>
      <c r="AN62" s="128"/>
      <c r="AO62" s="128"/>
      <c r="AP62" s="128"/>
      <c r="AQ62" s="128"/>
      <c r="AR62" s="128"/>
      <c r="AS62" s="128"/>
      <c r="AT62" s="778"/>
      <c r="AU62" s="778"/>
      <c r="AV62" s="128"/>
      <c r="AW62" s="128"/>
      <c r="AX62" s="128"/>
      <c r="AY62" s="128"/>
      <c r="AZ62" s="128"/>
      <c r="BA62" s="128"/>
      <c r="BB62" s="128"/>
      <c r="BC62" s="113"/>
      <c r="BD62" s="38"/>
      <c r="BE62" s="38"/>
      <c r="BF62" s="656" t="s">
        <v>1080</v>
      </c>
    </row>
    <row r="63" spans="1:58" s="396" customFormat="1" ht="14.25" customHeight="1" x14ac:dyDescent="0.15">
      <c r="A63" s="38"/>
      <c r="B63" s="43"/>
      <c r="C63" s="38"/>
      <c r="D63" s="38" t="s">
        <v>1081</v>
      </c>
      <c r="E63" s="448">
        <v>15</v>
      </c>
      <c r="F63" s="3" t="str" cm="1">
        <f t="array" aca="1" ref="F63" ca="1">OFFSET(E63,-1,1)</f>
        <v>3</v>
      </c>
      <c r="G63" s="38"/>
      <c r="H63" s="38" t="s">
        <v>489</v>
      </c>
      <c r="I63" s="38"/>
      <c r="J63" s="38"/>
      <c r="K63" s="38"/>
      <c r="L63" s="38"/>
      <c r="M63" s="38"/>
      <c r="N63" s="38"/>
      <c r="O63" s="38"/>
      <c r="P63" s="38"/>
      <c r="Q63" s="38"/>
      <c r="R63" s="38"/>
      <c r="S63" s="38"/>
      <c r="T63" s="353" t="b" cm="1">
        <f t="array" ref="T63">T62</f>
        <v>1</v>
      </c>
      <c r="U63" s="38"/>
      <c r="V63" s="38"/>
      <c r="W63" s="38"/>
      <c r="X63" s="990"/>
      <c r="Y63" s="38"/>
      <c r="Z63" s="1022"/>
      <c r="AA63" s="38"/>
      <c r="AB63" s="133" t="s">
        <v>945</v>
      </c>
      <c r="AC63" s="127" t="s">
        <v>1082</v>
      </c>
      <c r="AD63" s="8" t="s">
        <v>828</v>
      </c>
      <c r="AE63" s="128"/>
      <c r="AF63" s="128"/>
      <c r="AG63" s="128"/>
      <c r="AH63" s="128"/>
      <c r="AI63" s="128"/>
      <c r="AJ63" s="778"/>
      <c r="AK63" s="778"/>
      <c r="AL63" s="128"/>
      <c r="AM63" s="128"/>
      <c r="AN63" s="128"/>
      <c r="AO63" s="128"/>
      <c r="AP63" s="128"/>
      <c r="AQ63" s="128"/>
      <c r="AR63" s="128"/>
      <c r="AS63" s="128"/>
      <c r="AT63" s="778"/>
      <c r="AU63" s="778"/>
      <c r="AV63" s="128"/>
      <c r="AW63" s="128"/>
      <c r="AX63" s="128"/>
      <c r="AY63" s="128"/>
      <c r="AZ63" s="128"/>
      <c r="BA63" s="128"/>
      <c r="BB63" s="128"/>
      <c r="BC63" s="113"/>
      <c r="BD63" s="38"/>
      <c r="BE63" s="38"/>
      <c r="BF63" s="656" t="s">
        <v>1083</v>
      </c>
    </row>
    <row r="64" spans="1:58" s="396" customFormat="1" ht="24.75" customHeight="1" x14ac:dyDescent="0.15">
      <c r="A64" s="38"/>
      <c r="B64" s="43"/>
      <c r="C64" s="38"/>
      <c r="D64" s="38" t="s">
        <v>1084</v>
      </c>
      <c r="E64" s="448">
        <v>15</v>
      </c>
      <c r="F64" s="3" t="str" cm="1">
        <f t="array" aca="1" ref="F64" ca="1">OFFSET(E64,-1,1)</f>
        <v>3</v>
      </c>
      <c r="G64" s="38"/>
      <c r="H64" s="38" t="s">
        <v>493</v>
      </c>
      <c r="I64" s="38"/>
      <c r="J64" s="38"/>
      <c r="K64" s="38"/>
      <c r="L64" s="38"/>
      <c r="M64" s="38"/>
      <c r="N64" s="38"/>
      <c r="O64" s="38"/>
      <c r="P64" s="38"/>
      <c r="Q64" s="38"/>
      <c r="R64" s="38"/>
      <c r="S64" s="38"/>
      <c r="T64" s="353" t="b" cm="1">
        <f t="array" ref="T64">T63</f>
        <v>1</v>
      </c>
      <c r="U64" s="38"/>
      <c r="V64" s="38"/>
      <c r="W64" s="38"/>
      <c r="X64" s="990"/>
      <c r="Y64" s="38"/>
      <c r="Z64" s="1022"/>
      <c r="AA64" s="38"/>
      <c r="AB64" s="133" t="s">
        <v>948</v>
      </c>
      <c r="AC64" s="127" t="s">
        <v>1085</v>
      </c>
      <c r="AD64" s="8" t="s">
        <v>828</v>
      </c>
      <c r="AE64" s="128">
        <v>6302.4111457999998</v>
      </c>
      <c r="AF64" s="128">
        <v>9602.5820699933993</v>
      </c>
      <c r="AG64" s="128">
        <v>5752.7428782670004</v>
      </c>
      <c r="AH64" s="128">
        <v>6074.6931470083</v>
      </c>
      <c r="AI64" s="128">
        <v>18173.700702943301</v>
      </c>
      <c r="AJ64" s="778">
        <f t="shared" ref="AJ64:AR64" si="12">SUM(AJ65:AJ66)</f>
        <v>0</v>
      </c>
      <c r="AK64" s="778">
        <f t="shared" si="12"/>
        <v>0</v>
      </c>
      <c r="AL64" s="128">
        <f t="shared" si="12"/>
        <v>0</v>
      </c>
      <c r="AM64" s="128">
        <f t="shared" si="12"/>
        <v>0</v>
      </c>
      <c r="AN64" s="128">
        <f t="shared" si="12"/>
        <v>0</v>
      </c>
      <c r="AO64" s="128">
        <f t="shared" si="12"/>
        <v>0</v>
      </c>
      <c r="AP64" s="128">
        <f t="shared" si="12"/>
        <v>0</v>
      </c>
      <c r="AQ64" s="128">
        <f t="shared" si="12"/>
        <v>0</v>
      </c>
      <c r="AR64" s="128">
        <f t="shared" si="12"/>
        <v>0</v>
      </c>
      <c r="AS64" s="128">
        <v>5752.7428782670004</v>
      </c>
      <c r="AT64" s="778">
        <f t="shared" ref="AT64:BB64" si="13">SUM(AT65:AT66)</f>
        <v>0</v>
      </c>
      <c r="AU64" s="778">
        <f t="shared" si="13"/>
        <v>0</v>
      </c>
      <c r="AV64" s="128">
        <f t="shared" si="13"/>
        <v>0</v>
      </c>
      <c r="AW64" s="128">
        <f t="shared" si="13"/>
        <v>0</v>
      </c>
      <c r="AX64" s="128">
        <f t="shared" si="13"/>
        <v>0</v>
      </c>
      <c r="AY64" s="128">
        <f t="shared" si="13"/>
        <v>0</v>
      </c>
      <c r="AZ64" s="128">
        <f t="shared" si="13"/>
        <v>0</v>
      </c>
      <c r="BA64" s="128">
        <f t="shared" si="13"/>
        <v>0</v>
      </c>
      <c r="BB64" s="128">
        <f t="shared" si="13"/>
        <v>0</v>
      </c>
      <c r="BC64" s="113"/>
      <c r="BD64" s="38"/>
      <c r="BE64" s="38"/>
      <c r="BF64" s="656" t="s">
        <v>1086</v>
      </c>
    </row>
    <row r="65" spans="1:58" s="396" customFormat="1" ht="34.5" customHeight="1" x14ac:dyDescent="0.15">
      <c r="A65" s="38"/>
      <c r="B65" s="43"/>
      <c r="C65" s="38"/>
      <c r="D65" s="38"/>
      <c r="E65" s="448">
        <v>36</v>
      </c>
      <c r="F65" s="3" t="str" cm="1">
        <f t="array" aca="1" ref="F65" ca="1">OFFSET(E65,-1,1)</f>
        <v>3</v>
      </c>
      <c r="G65" s="38"/>
      <c r="H65" s="38"/>
      <c r="I65" s="38"/>
      <c r="J65" s="38"/>
      <c r="K65" s="38"/>
      <c r="L65" s="38"/>
      <c r="M65" s="38"/>
      <c r="N65" s="38"/>
      <c r="O65" s="38"/>
      <c r="P65" s="38"/>
      <c r="Q65" s="38"/>
      <c r="R65" s="38"/>
      <c r="S65" s="38"/>
      <c r="T65" s="353" t="b" cm="1">
        <f t="array" ref="T65">T64</f>
        <v>1</v>
      </c>
      <c r="U65" s="38"/>
      <c r="V65" s="38"/>
      <c r="W65" s="38"/>
      <c r="X65" s="990"/>
      <c r="Y65" s="38"/>
      <c r="Z65" s="1022"/>
      <c r="AA65" s="38"/>
      <c r="AB65" s="133" t="s">
        <v>1087</v>
      </c>
      <c r="AC65" s="127" t="s">
        <v>1088</v>
      </c>
      <c r="AD65" s="8" t="s">
        <v>828</v>
      </c>
      <c r="AE65" s="128"/>
      <c r="AF65" s="128"/>
      <c r="AG65" s="128"/>
      <c r="AH65" s="128"/>
      <c r="AI65" s="128"/>
      <c r="AJ65" s="778"/>
      <c r="AK65" s="778"/>
      <c r="AL65" s="128"/>
      <c r="AM65" s="128"/>
      <c r="AN65" s="128"/>
      <c r="AO65" s="128"/>
      <c r="AP65" s="128"/>
      <c r="AQ65" s="128"/>
      <c r="AR65" s="128"/>
      <c r="AS65" s="128"/>
      <c r="AT65" s="778"/>
      <c r="AU65" s="778"/>
      <c r="AV65" s="128"/>
      <c r="AW65" s="128"/>
      <c r="AX65" s="128"/>
      <c r="AY65" s="128"/>
      <c r="AZ65" s="128"/>
      <c r="BA65" s="128"/>
      <c r="BB65" s="128"/>
      <c r="BC65" s="113"/>
      <c r="BD65" s="38"/>
      <c r="BE65" s="38"/>
      <c r="BF65" s="656" t="s">
        <v>1089</v>
      </c>
    </row>
    <row r="66" spans="1:58" s="396" customFormat="1" ht="34.5" customHeight="1" x14ac:dyDescent="0.15">
      <c r="A66" s="38"/>
      <c r="B66" s="43"/>
      <c r="C66" s="38"/>
      <c r="D66" s="38"/>
      <c r="E66" s="448">
        <v>36</v>
      </c>
      <c r="F66" s="3" t="str" cm="1">
        <f t="array" aca="1" ref="F66" ca="1">OFFSET(E66,-1,1)</f>
        <v>3</v>
      </c>
      <c r="G66" s="38"/>
      <c r="H66" s="38"/>
      <c r="I66" s="38"/>
      <c r="J66" s="38"/>
      <c r="K66" s="38"/>
      <c r="L66" s="38"/>
      <c r="M66" s="38"/>
      <c r="N66" s="38"/>
      <c r="O66" s="38"/>
      <c r="P66" s="38"/>
      <c r="Q66" s="38"/>
      <c r="R66" s="38"/>
      <c r="S66" s="38"/>
      <c r="T66" s="353" t="b" cm="1">
        <f t="array" ref="T66">T65</f>
        <v>1</v>
      </c>
      <c r="U66" s="38"/>
      <c r="V66" s="38"/>
      <c r="W66" s="38"/>
      <c r="X66" s="990"/>
      <c r="Y66" s="38"/>
      <c r="Z66" s="1022"/>
      <c r="AA66" s="38"/>
      <c r="AB66" s="133" t="s">
        <v>1090</v>
      </c>
      <c r="AC66" s="127" t="s">
        <v>1091</v>
      </c>
      <c r="AD66" s="8" t="s">
        <v>828</v>
      </c>
      <c r="AE66" s="128"/>
      <c r="AF66" s="128"/>
      <c r="AG66" s="128"/>
      <c r="AH66" s="128"/>
      <c r="AI66" s="128"/>
      <c r="AJ66" s="778"/>
      <c r="AK66" s="778"/>
      <c r="AL66" s="128"/>
      <c r="AM66" s="128"/>
      <c r="AN66" s="128"/>
      <c r="AO66" s="128"/>
      <c r="AP66" s="128"/>
      <c r="AQ66" s="128"/>
      <c r="AR66" s="128"/>
      <c r="AS66" s="128"/>
      <c r="AT66" s="778"/>
      <c r="AU66" s="778"/>
      <c r="AV66" s="128"/>
      <c r="AW66" s="128"/>
      <c r="AX66" s="128"/>
      <c r="AY66" s="128"/>
      <c r="AZ66" s="128"/>
      <c r="BA66" s="128"/>
      <c r="BB66" s="128"/>
      <c r="BC66" s="113"/>
      <c r="BD66" s="38"/>
      <c r="BE66" s="38"/>
      <c r="BF66" s="656" t="s">
        <v>1092</v>
      </c>
    </row>
    <row r="67" spans="1:58" ht="10.9" customHeight="1" x14ac:dyDescent="0.15">
      <c r="E67" s="448">
        <v>11.25</v>
      </c>
      <c r="U67" s="38" t="s">
        <v>176</v>
      </c>
      <c r="V67" s="56" t="s">
        <v>1094</v>
      </c>
    </row>
    <row r="68" spans="1:58" ht="14.65" customHeight="1" x14ac:dyDescent="0.15">
      <c r="E68" s="448">
        <v>15</v>
      </c>
      <c r="AA68" s="17"/>
      <c r="AB68" s="993" t="s">
        <v>408</v>
      </c>
      <c r="AC68" s="993"/>
      <c r="AD68" s="993"/>
      <c r="AE68" s="993"/>
      <c r="AF68" s="993"/>
      <c r="AG68" s="993"/>
      <c r="AH68" s="993"/>
      <c r="AI68" s="1024"/>
      <c r="AJ68" s="1024"/>
      <c r="AK68" s="1024"/>
      <c r="AL68" s="1024"/>
      <c r="AM68" s="1024"/>
      <c r="AN68" s="1024"/>
      <c r="AO68" s="1024"/>
      <c r="AP68" s="1024"/>
      <c r="AQ68" s="1024"/>
      <c r="AR68" s="1024"/>
      <c r="AS68" s="1024"/>
      <c r="AT68" s="1024"/>
      <c r="AU68" s="1024"/>
      <c r="AV68" s="1024"/>
      <c r="AW68" s="1024"/>
      <c r="AX68" s="1024"/>
      <c r="AY68" s="1024"/>
      <c r="AZ68" s="1024"/>
      <c r="BA68" s="1024"/>
      <c r="BB68" s="1024"/>
      <c r="BC68" s="1024"/>
      <c r="BD68" s="17"/>
    </row>
    <row r="69" spans="1:58" ht="36" customHeight="1" x14ac:dyDescent="0.15">
      <c r="E69" s="448">
        <v>15</v>
      </c>
      <c r="AA69" s="87"/>
      <c r="AB69" s="1025" t="s">
        <v>1095</v>
      </c>
      <c r="AC69" s="1025"/>
      <c r="AD69" s="1025"/>
      <c r="AE69" s="1025"/>
      <c r="AF69" s="1025"/>
      <c r="AG69" s="1025"/>
      <c r="AH69" s="1025"/>
      <c r="AI69" s="1026"/>
      <c r="AJ69" s="1038"/>
      <c r="AK69" s="1038"/>
      <c r="AL69" s="1038"/>
      <c r="AM69" s="1038"/>
      <c r="AN69" s="1038"/>
      <c r="AO69" s="1038"/>
      <c r="AP69" s="1038"/>
      <c r="AQ69" s="1038"/>
      <c r="AR69" s="1038"/>
      <c r="AS69" s="1026"/>
      <c r="AT69" s="1038"/>
      <c r="AU69" s="1038"/>
      <c r="AV69" s="1038"/>
      <c r="AW69" s="1038"/>
      <c r="AX69" s="1038"/>
      <c r="AY69" s="1038"/>
      <c r="AZ69" s="1038"/>
      <c r="BA69" s="1038"/>
      <c r="BB69" s="1038"/>
      <c r="BC69" s="1026"/>
      <c r="BD69" s="17"/>
    </row>
    <row r="70" spans="1:58" ht="14.65" hidden="1" customHeight="1" x14ac:dyDescent="0.15">
      <c r="E70" s="448">
        <v>15</v>
      </c>
      <c r="T70" s="353" t="b">
        <f>ROW(W70)&gt;ROW(W$70)</f>
        <v>0</v>
      </c>
      <c r="W70" s="517" t="s">
        <v>172</v>
      </c>
      <c r="AA70" s="489" t="s">
        <v>173</v>
      </c>
      <c r="AB70" s="1037" t="s">
        <v>225</v>
      </c>
      <c r="AC70" s="1037"/>
      <c r="AD70" s="1037"/>
      <c r="AE70" s="1037"/>
      <c r="AF70" s="1037"/>
      <c r="AG70" s="1037"/>
      <c r="AH70" s="1037"/>
      <c r="AI70" s="1026"/>
      <c r="AJ70" s="1038"/>
      <c r="AK70" s="1038"/>
      <c r="AL70" s="1038"/>
      <c r="AM70" s="1038"/>
      <c r="AN70" s="1038"/>
      <c r="AO70" s="1038"/>
      <c r="AP70" s="1038"/>
      <c r="AQ70" s="1038"/>
      <c r="AR70" s="1038"/>
      <c r="AS70" s="1026"/>
      <c r="AT70" s="1038"/>
      <c r="AU70" s="1038"/>
      <c r="AV70" s="1038"/>
      <c r="AW70" s="1038"/>
      <c r="AX70" s="1038"/>
      <c r="AY70" s="1038"/>
      <c r="AZ70" s="1038"/>
      <c r="BA70" s="1038"/>
      <c r="BB70" s="1038"/>
      <c r="BC70" s="1038"/>
      <c r="BD70" s="17"/>
    </row>
    <row r="71" spans="1:58" ht="47.85" customHeight="1" x14ac:dyDescent="0.15">
      <c r="E71" s="448">
        <v>15</v>
      </c>
      <c r="T71" s="353" t="b">
        <f>ROW(W71)&gt;ROW(W$70)</f>
        <v>1</v>
      </c>
      <c r="W71" s="517"/>
      <c r="Y71" s="38" t="s">
        <v>225</v>
      </c>
      <c r="AA71" s="489" t="s">
        <v>173</v>
      </c>
      <c r="AB71" s="1025" t="s">
        <v>1096</v>
      </c>
      <c r="AC71" s="1025"/>
      <c r="AD71" s="1025"/>
      <c r="AE71" s="1025"/>
      <c r="AF71" s="1025"/>
      <c r="AG71" s="1025"/>
      <c r="AH71" s="1025"/>
      <c r="AI71" s="1026"/>
      <c r="AJ71" s="1038"/>
      <c r="AK71" s="1038"/>
      <c r="AL71" s="1026"/>
      <c r="AM71" s="1026"/>
      <c r="AN71" s="1026"/>
      <c r="AO71" s="1026"/>
      <c r="AP71" s="1026"/>
      <c r="AQ71" s="1026"/>
      <c r="AR71" s="1026"/>
      <c r="AS71" s="1026"/>
      <c r="AT71" s="1038"/>
      <c r="AU71" s="1038"/>
      <c r="AV71" s="1026"/>
      <c r="AW71" s="1026"/>
      <c r="AX71" s="1026"/>
      <c r="AY71" s="1026"/>
      <c r="AZ71" s="1026"/>
      <c r="BA71" s="1026"/>
      <c r="BB71" s="1026"/>
      <c r="BC71" s="1026"/>
      <c r="BD71" s="17"/>
    </row>
    <row r="72" spans="1:58" ht="31.7" customHeight="1" x14ac:dyDescent="0.15">
      <c r="E72" s="448">
        <v>15</v>
      </c>
      <c r="T72" s="353" t="b">
        <f>ROW(W72)&gt;ROW(W$70)</f>
        <v>1</v>
      </c>
      <c r="W72" s="517"/>
      <c r="Y72" s="38" t="s">
        <v>225</v>
      </c>
      <c r="AA72" s="489" t="s">
        <v>173</v>
      </c>
      <c r="AB72" s="1025" t="s">
        <v>1097</v>
      </c>
      <c r="AC72" s="1025"/>
      <c r="AD72" s="1025"/>
      <c r="AE72" s="1025"/>
      <c r="AF72" s="1025"/>
      <c r="AG72" s="1025"/>
      <c r="AH72" s="1025"/>
      <c r="AI72" s="1026"/>
      <c r="AJ72" s="1038"/>
      <c r="AK72" s="1038"/>
      <c r="AL72" s="1026"/>
      <c r="AM72" s="1026"/>
      <c r="AN72" s="1026"/>
      <c r="AO72" s="1026"/>
      <c r="AP72" s="1026"/>
      <c r="AQ72" s="1026"/>
      <c r="AR72" s="1026"/>
      <c r="AS72" s="1026"/>
      <c r="AT72" s="1038"/>
      <c r="AU72" s="1038"/>
      <c r="AV72" s="1026"/>
      <c r="AW72" s="1026"/>
      <c r="AX72" s="1026"/>
      <c r="AY72" s="1026"/>
      <c r="AZ72" s="1026"/>
      <c r="BA72" s="1026"/>
      <c r="BB72" s="1026"/>
      <c r="BC72" s="1026"/>
      <c r="BD72" s="17"/>
    </row>
    <row r="73" spans="1:58" ht="14.65" customHeight="1" x14ac:dyDescent="0.15">
      <c r="E73" s="448">
        <v>15</v>
      </c>
      <c r="W73" s="517" t="s">
        <v>419</v>
      </c>
      <c r="AA73" s="17"/>
      <c r="AB73" s="474"/>
      <c r="AC73" s="382" t="s">
        <v>420</v>
      </c>
      <c r="AD73" s="218"/>
      <c r="AE73" s="218"/>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20"/>
      <c r="BD73" s="17"/>
    </row>
    <row r="74" spans="1:58" ht="10.9" customHeight="1" x14ac:dyDescent="0.15">
      <c r="E74" s="448">
        <v>11.25</v>
      </c>
      <c r="BD74" s="22"/>
    </row>
  </sheetData>
  <sheetProtection formatColumns="0" formatRows="0" insertRows="0" deleteColumns="0" deleteRows="0" sort="0" autoFilter="0"/>
  <mergeCells count="17">
    <mergeCell ref="AB71:BC71"/>
    <mergeCell ref="AB72:BC72"/>
    <mergeCell ref="AB70:BC70"/>
    <mergeCell ref="AB68:BC68"/>
    <mergeCell ref="AB69:BC69"/>
    <mergeCell ref="X37:X46"/>
    <mergeCell ref="Z37:Z46"/>
    <mergeCell ref="X47:X56"/>
    <mergeCell ref="Z47:Z56"/>
    <mergeCell ref="X57:X66"/>
    <mergeCell ref="Z57:Z6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B50:BB56 BB60:BB66 BA30:BA36 BA40:BA46 BA50:BA56 BA60:BA66 AZ30:AZ36 AZ40:AZ46 AZ50:AZ56 AZ60:AZ66 AY30:AY36 AY40:AY46 AY50:AY56 AY60:AY66 AX30:AX36 AX40:AX46 AX50:AX56 AX60:AX66 AW30:AW36 AW40:AW46 AW50:AW56 AW60:AW66 AV30:AV36 AV40:AV46 AV50:AV56 AV60:AV66 AU30:AU36 AU40:AU46 AU50:AU56 AU60:AU66 AT30:AT36 AT40:AT46 AT50:AT56 AT60:AT66 AS30:AS36 AS40:AS46 AS50:AS56 AS60:AS66 AR30:AR36 AR40:AR46 AR50:AR56 AR60:AR66 AQ30:AQ36 AQ40:AQ46 AQ50:AQ56 AQ60:AQ66 AP30:AP36 AP40:AP46 AP50:AP56 AP60:AP66 AO30:AO36 AO40:AO46 AO50:AO56 AO60:AO66 AN30:AN36 AN40:AN46 AN50:AN56 AN60:AN66 AM30:AM36 AM40:AM46 AM50:AM56 AM60:AM66 AL30:AL36 AL40:AL46 AL50:AL56 AL60:AL66 AK30:AK36 AK40:AK46 AK50:AK56 AK60:AK66 AJ30:AJ36 AJ40:AJ46 AJ50:AJ56 AJ60:AJ66 AI30:AI36 AI40:AI46 AI50:AI56 AI60:AI66 AH30:AH36 AH40:AH46 AH50:AH56 AH60:AH66 AG30:AG36 AG40:AG46 AG50:AG56 AG60:AG66 AF30:AF36 AF40:AF46 AF50:AF56 AF60:AF66 AE30:AE36 AE40:AE46 AE50:AE56 AE60:AE6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7C98-B1C8-41B6-8198-2A2C2F13051B}">
  <sheetPr>
    <tabColor rgb="FF002060"/>
    <outlinePr summaryBelow="0" summaryRight="0"/>
    <pageSetUpPr fitToPage="1"/>
  </sheetPr>
  <dimension ref="A1:AI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49"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8" hidden="1"/>
  </cols>
  <sheetData>
    <row r="1" spans="1:35" ht="11.25" hidden="1" customHeight="1" x14ac:dyDescent="0.15">
      <c r="E1" s="22"/>
      <c r="F1" s="22" t="s">
        <v>320</v>
      </c>
      <c r="G1" s="22" t="s">
        <v>330</v>
      </c>
      <c r="T1" s="353" t="s">
        <v>92</v>
      </c>
      <c r="U1" s="353" t="s">
        <v>97</v>
      </c>
      <c r="V1" s="353" t="s">
        <v>93</v>
      </c>
      <c r="W1" s="353" t="s">
        <v>94</v>
      </c>
      <c r="X1" s="353" t="s">
        <v>95</v>
      </c>
      <c r="Y1" s="355" t="s">
        <v>322</v>
      </c>
      <c r="Z1" s="353" t="s">
        <v>99</v>
      </c>
      <c r="AA1" s="355" t="s">
        <v>96</v>
      </c>
      <c r="AB1" s="4"/>
      <c r="AC1" s="354" t="s">
        <v>98</v>
      </c>
      <c r="AI1" s="658" t="s">
        <v>323</v>
      </c>
    </row>
    <row r="2" spans="1:35" ht="11.25" hidden="1" customHeight="1" x14ac:dyDescent="0.15">
      <c r="B2" s="342" t="s">
        <v>18</v>
      </c>
      <c r="E2" s="22"/>
      <c r="T2" s="42"/>
      <c r="U2" s="42"/>
      <c r="V2" s="42"/>
      <c r="W2" s="42"/>
      <c r="X2" s="42"/>
      <c r="Y2" s="384"/>
      <c r="Z2" s="42"/>
      <c r="AA2" s="384"/>
      <c r="AB2" s="381"/>
      <c r="AC2" s="381"/>
      <c r="AE2" s="377" t="b">
        <f>AE13&lt;=last_year_vis</f>
        <v>1</v>
      </c>
      <c r="AF2" s="377" t="b">
        <f>AF13&lt;=last_year_vis</f>
        <v>1</v>
      </c>
    </row>
    <row r="3" spans="1:35" ht="11.25" hidden="1" customHeight="1" x14ac:dyDescent="0.15">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661"/>
    </row>
    <row r="4" spans="1:35" ht="11.25" hidden="1" customHeight="1" x14ac:dyDescent="0.15">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661"/>
    </row>
    <row r="5" spans="1:35" s="454" customFormat="1" ht="11.25" hidden="1" customHeight="1" x14ac:dyDescent="0.15">
      <c r="A5" s="315"/>
      <c r="B5" s="315"/>
      <c r="C5" s="315"/>
      <c r="D5" s="315"/>
      <c r="E5" s="480" t="s">
        <v>19</v>
      </c>
      <c r="F5" s="480"/>
      <c r="G5" s="480"/>
      <c r="H5" s="480"/>
      <c r="I5" s="480"/>
      <c r="J5" s="480"/>
      <c r="K5" s="480"/>
      <c r="L5" s="480"/>
      <c r="M5" s="480"/>
      <c r="N5" s="480"/>
      <c r="O5" s="480"/>
      <c r="P5" s="480"/>
      <c r="Q5" s="480"/>
      <c r="R5" s="480"/>
      <c r="S5" s="480"/>
      <c r="T5" s="480"/>
      <c r="U5" s="480"/>
      <c r="V5" s="480"/>
      <c r="W5" s="480"/>
      <c r="X5" s="480"/>
      <c r="Y5" s="480"/>
      <c r="Z5" s="480"/>
      <c r="AA5" s="480">
        <v>3</v>
      </c>
      <c r="AB5" s="454" t="s">
        <v>1098</v>
      </c>
      <c r="AC5" s="454">
        <v>41.71</v>
      </c>
      <c r="AD5" s="454">
        <v>15.71</v>
      </c>
      <c r="AE5" s="454">
        <v>12.57</v>
      </c>
      <c r="AF5" s="454">
        <v>12.57</v>
      </c>
      <c r="AG5" s="454" t="s">
        <v>291</v>
      </c>
      <c r="AI5" s="661"/>
    </row>
    <row r="6" spans="1:35" ht="11.25" hidden="1" customHeight="1" x14ac:dyDescent="0.15">
      <c r="A6" s="315"/>
      <c r="B6" s="315"/>
      <c r="C6" s="315"/>
      <c r="D6" s="315"/>
      <c r="E6" s="480"/>
      <c r="F6" s="315"/>
      <c r="G6" s="315"/>
      <c r="H6" s="315"/>
      <c r="I6" s="315"/>
      <c r="J6" s="315"/>
      <c r="K6" s="315"/>
      <c r="L6" s="315"/>
      <c r="M6" s="315"/>
      <c r="N6" s="315"/>
      <c r="O6" s="315"/>
      <c r="P6" s="315"/>
      <c r="Q6" s="315"/>
      <c r="R6" s="315"/>
      <c r="S6" s="315"/>
      <c r="T6" s="315"/>
      <c r="U6" s="315"/>
      <c r="V6" s="315"/>
      <c r="W6" s="315"/>
      <c r="X6" s="315"/>
      <c r="Y6" s="315"/>
      <c r="Z6" s="315"/>
      <c r="AA6" s="315"/>
      <c r="AI6" s="661"/>
    </row>
    <row r="7" spans="1:35" ht="11.25" hidden="1" customHeight="1" x14ac:dyDescent="0.15">
      <c r="A7" s="315"/>
      <c r="B7" s="315"/>
      <c r="C7" s="315"/>
      <c r="D7" s="315"/>
      <c r="E7" s="480"/>
      <c r="F7" s="315"/>
      <c r="G7" s="315"/>
      <c r="H7" s="315"/>
      <c r="I7" s="315"/>
      <c r="J7" s="315"/>
      <c r="K7" s="315"/>
      <c r="L7" s="315"/>
      <c r="M7" s="315"/>
      <c r="N7" s="315"/>
      <c r="O7" s="315"/>
      <c r="P7" s="315"/>
      <c r="Q7" s="315"/>
      <c r="R7" s="315"/>
      <c r="S7" s="315"/>
      <c r="T7" s="315"/>
      <c r="U7" s="315"/>
      <c r="V7" s="315"/>
      <c r="W7" s="315"/>
      <c r="X7" s="315"/>
      <c r="Y7" s="315"/>
      <c r="Z7" s="315"/>
      <c r="AA7" s="315"/>
      <c r="AI7" s="661"/>
    </row>
    <row r="8" spans="1:35" ht="11.25" hidden="1" customHeight="1" x14ac:dyDescent="0.15">
      <c r="A8" s="315"/>
      <c r="B8" s="315"/>
      <c r="C8" s="315"/>
      <c r="D8" s="315"/>
      <c r="E8" s="480"/>
      <c r="F8" s="315"/>
      <c r="G8" s="315"/>
      <c r="H8" s="315"/>
      <c r="I8" s="315"/>
      <c r="J8" s="315"/>
      <c r="K8" s="315"/>
      <c r="L8" s="315"/>
      <c r="M8" s="315"/>
      <c r="N8" s="315"/>
      <c r="O8" s="315"/>
      <c r="P8" s="315"/>
      <c r="Q8" s="315"/>
      <c r="R8" s="315"/>
      <c r="S8" s="315"/>
      <c r="T8" s="315"/>
      <c r="U8" s="315"/>
      <c r="V8" s="315"/>
      <c r="W8" s="315"/>
      <c r="X8" s="315"/>
      <c r="Y8" s="315"/>
      <c r="Z8" s="315"/>
      <c r="AA8" s="315"/>
      <c r="AI8" s="661"/>
    </row>
    <row r="9" spans="1:35" s="661" customFormat="1" ht="11.25" hidden="1" customHeight="1" x14ac:dyDescent="0.15">
      <c r="A9" s="655" t="s">
        <v>363</v>
      </c>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row>
    <row r="10" spans="1:35" s="661" customFormat="1" ht="11.25" hidden="1" customHeight="1" x14ac:dyDescent="0.15">
      <c r="A10" s="655" t="s">
        <v>364</v>
      </c>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E10" s="655" cm="1">
        <f t="array" ref="AE10">AE13</f>
        <v>2026</v>
      </c>
      <c r="AF10" s="655" cm="1">
        <f t="array" ref="AF10">AF13</f>
        <v>2026</v>
      </c>
    </row>
    <row r="11" spans="1:35" ht="11.25" hidden="1" customHeight="1" x14ac:dyDescent="0.15">
      <c r="A11" s="315"/>
      <c r="B11" s="315"/>
      <c r="C11" s="315"/>
      <c r="D11" s="315"/>
      <c r="E11" s="480"/>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661"/>
    </row>
    <row r="12" spans="1:35" ht="11.25" hidden="1" customHeight="1" x14ac:dyDescent="0.15">
      <c r="B12" s="43"/>
      <c r="T12" s="42"/>
      <c r="U12" s="42"/>
      <c r="V12" s="42"/>
      <c r="W12" s="42"/>
      <c r="X12" s="42"/>
      <c r="Y12" s="384"/>
      <c r="Z12" s="42"/>
      <c r="AA12" s="384"/>
      <c r="AB12" s="381"/>
      <c r="AC12" s="381"/>
    </row>
    <row r="13" spans="1:35" ht="11.25" hidden="1" customHeight="1" x14ac:dyDescent="0.15">
      <c r="A13" s="22" t="s">
        <v>358</v>
      </c>
      <c r="B13" s="43"/>
      <c r="AE13" s="17" cm="1">
        <f t="array" ref="AE13">god</f>
        <v>2026</v>
      </c>
      <c r="AF13" s="17" cm="1">
        <f t="array" ref="AF13">god</f>
        <v>2026</v>
      </c>
    </row>
    <row r="14" spans="1:35" ht="11.25" hidden="1" customHeight="1" x14ac:dyDescent="0.15">
      <c r="A14" s="22" t="s">
        <v>359</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49">
        <v>15</v>
      </c>
      <c r="AC21" s="267" t="str" cm="1">
        <f t="array" ref="AC21">tpl_title</f>
        <v>Кемеровская область / 2026 / КАО "Азот" (ИНН:4205000908, КПП:997550001) / ДПР: 2024-2028</v>
      </c>
    </row>
    <row r="22" spans="1:35" ht="37.35" customHeight="1" x14ac:dyDescent="0.15">
      <c r="E22" s="449">
        <v>38.25</v>
      </c>
      <c r="AB22" s="1042" t="s">
        <v>55</v>
      </c>
      <c r="AC22" s="1043"/>
      <c r="AD22" s="1043"/>
      <c r="AE22" s="1043"/>
      <c r="AF22" s="1043"/>
    </row>
    <row r="23" spans="1:35" ht="10.9" customHeight="1" x14ac:dyDescent="0.15">
      <c r="E23" s="449">
        <v>11.25</v>
      </c>
      <c r="AB23" s="1007"/>
      <c r="AC23" s="1007"/>
      <c r="AD23" s="1007"/>
      <c r="AE23" s="1007"/>
      <c r="AF23" s="1007"/>
    </row>
    <row r="24" spans="1:35" ht="14.65" customHeight="1" x14ac:dyDescent="0.15">
      <c r="E24" s="449">
        <v>15</v>
      </c>
      <c r="AB24" s="993" t="s">
        <v>810</v>
      </c>
      <c r="AC24" s="1039" t="s">
        <v>193</v>
      </c>
      <c r="AD24" s="993" t="s">
        <v>368</v>
      </c>
      <c r="AE24" s="1044" t="str">
        <f>god&amp;" год"</f>
        <v>2026 год</v>
      </c>
      <c r="AF24" s="1045"/>
    </row>
    <row r="25" spans="1:35" ht="48.75" customHeight="1" x14ac:dyDescent="0.15">
      <c r="E25" s="449">
        <v>50</v>
      </c>
      <c r="AB25" s="993"/>
      <c r="AC25" s="1039"/>
      <c r="AD25" s="993"/>
      <c r="AE25" s="729" t="s">
        <v>361</v>
      </c>
      <c r="AF25" s="10" t="s">
        <v>360</v>
      </c>
    </row>
    <row r="26" spans="1:35" ht="11.25" hidden="1" customHeight="1" x14ac:dyDescent="0.15">
      <c r="E26" s="449">
        <v>0</v>
      </c>
      <c r="AB26" s="523"/>
      <c r="AC26" s="530"/>
      <c r="AD26" s="523"/>
      <c r="AE26" s="62"/>
      <c r="AF26" s="62"/>
    </row>
    <row r="27" spans="1:35" ht="14.65" hidden="1" customHeight="1" x14ac:dyDescent="0.15">
      <c r="C27" s="17"/>
      <c r="E27" s="449">
        <v>15</v>
      </c>
      <c r="F27" s="17" cm="1">
        <f t="array" ref="F27">X27</f>
        <v>0</v>
      </c>
      <c r="T27" s="353" t="b">
        <f>X27&gt;0</f>
        <v>0</v>
      </c>
      <c r="V27" s="22" t="s">
        <v>264</v>
      </c>
      <c r="X27" s="1022">
        <v>0</v>
      </c>
      <c r="Z27" s="1023"/>
      <c r="AB27" s="135" t="str" cm="1">
        <f t="array" ref="AB27">INDEX('Общие сведения'!$AG$179:$AG$236,MATCH($X27,'Общие сведения'!$Z$179:$Z$236,0))</f>
        <v xml:space="preserve">Тариф 0 () - </v>
      </c>
      <c r="AC27" s="94"/>
      <c r="AD27" s="88"/>
      <c r="AE27" s="88"/>
      <c r="AF27" s="123"/>
    </row>
    <row r="28" spans="1:35" s="63" customFormat="1" ht="14.65" hidden="1" customHeight="1" x14ac:dyDescent="0.15">
      <c r="A28" s="22"/>
      <c r="C28" s="253"/>
      <c r="E28" s="488">
        <v>15</v>
      </c>
      <c r="F28" s="3" cm="1">
        <f t="array" aca="1" ref="F28" ca="1">OFFSET(E28,-1,1)</f>
        <v>0</v>
      </c>
      <c r="G28" s="63" t="s">
        <v>331</v>
      </c>
      <c r="T28" s="353" t="b" cm="1">
        <f t="array" ref="T28">T27</f>
        <v>0</v>
      </c>
      <c r="X28" s="1022"/>
      <c r="Z28" s="1023"/>
      <c r="AB28" s="383" t="s">
        <v>275</v>
      </c>
      <c r="AC28" s="386" t="s">
        <v>1099</v>
      </c>
      <c r="AD28" s="383" t="s">
        <v>1100</v>
      </c>
      <c r="AE28" s="387">
        <f ca="1">IF(AE30=0,0,AE29/AE30)</f>
        <v>0</v>
      </c>
      <c r="AF28" s="387">
        <f ca="1">IF(AF30=0,0,AF29/AF30)</f>
        <v>0</v>
      </c>
      <c r="AI28" s="681" t="s">
        <v>1101</v>
      </c>
    </row>
    <row r="29" spans="1:35" ht="14.65" hidden="1" customHeight="1" x14ac:dyDescent="0.15">
      <c r="C29" s="253"/>
      <c r="E29" s="449">
        <v>15</v>
      </c>
      <c r="F29" s="3" cm="1">
        <f t="array" aca="1" ref="F29" ca="1">OFFSET(E29,-1,1)</f>
        <v>0</v>
      </c>
      <c r="G29" s="22" t="s">
        <v>482</v>
      </c>
      <c r="T29" s="353" t="b" cm="1">
        <f t="array" ref="T29">T28</f>
        <v>0</v>
      </c>
      <c r="X29" s="1022"/>
      <c r="Z29" s="1023"/>
      <c r="AB29" s="388" t="s">
        <v>939</v>
      </c>
      <c r="AC29" s="389" t="s">
        <v>1102</v>
      </c>
      <c r="AD29" s="388" t="s">
        <v>828</v>
      </c>
      <c r="AE29" s="771"/>
      <c r="AF29" s="771"/>
      <c r="AI29" s="658" t="s">
        <v>1103</v>
      </c>
    </row>
    <row r="30" spans="1:35" ht="32.85" hidden="1" customHeight="1" x14ac:dyDescent="0.15">
      <c r="C30" s="253"/>
      <c r="E30" s="449">
        <v>33.75</v>
      </c>
      <c r="F30" s="3" cm="1">
        <f t="array" aca="1" ref="F30" ca="1">OFFSET(E30,-1,1)</f>
        <v>0</v>
      </c>
      <c r="G30" s="22" t="s">
        <v>486</v>
      </c>
      <c r="T30" s="353" t="b" cm="1">
        <f t="array" ref="T30">T29</f>
        <v>0</v>
      </c>
      <c r="X30" s="1022"/>
      <c r="Z30" s="1023"/>
      <c r="AB30" s="388" t="s">
        <v>942</v>
      </c>
      <c r="AC30" s="389" t="s">
        <v>1104</v>
      </c>
      <c r="AD30" s="388" t="s">
        <v>820</v>
      </c>
      <c r="AE30" s="390">
        <f ca="1">SUMIFS('Условные метры'!$AL$28:$AL$41,'Условные метры'!$F$28:$F$41,$F30,'Условные метры'!$G$28:$G$41,"Итог")</f>
        <v>0</v>
      </c>
      <c r="AF30" s="390">
        <f ca="1">SUMIFS('Условные метры'!$AN$28:$AN$41,'Условные метры'!$F$28:$F$41,$F30,'Условные метры'!$G$28:$G$41,"Итог")</f>
        <v>0</v>
      </c>
      <c r="AI30" s="658" t="s">
        <v>1105</v>
      </c>
    </row>
    <row r="31" spans="1:35" s="63" customFormat="1" ht="32.85" hidden="1" customHeight="1" x14ac:dyDescent="0.15">
      <c r="A31" s="22"/>
      <c r="C31" s="794"/>
      <c r="E31" s="488">
        <v>33.75</v>
      </c>
      <c r="F31" s="3" cm="1">
        <f t="array" aca="1" ref="F31" ca="1">OFFSET(E31,-1,1)</f>
        <v>0</v>
      </c>
      <c r="G31" s="63" t="s">
        <v>332</v>
      </c>
      <c r="T31" s="353" t="b" cm="1">
        <f t="array" ref="T31">T30</f>
        <v>0</v>
      </c>
      <c r="X31" s="1022"/>
      <c r="Z31" s="1023"/>
      <c r="AB31" s="772">
        <v>2</v>
      </c>
      <c r="AC31" s="391" t="s">
        <v>1106</v>
      </c>
      <c r="AD31" s="773" t="s">
        <v>1100</v>
      </c>
      <c r="AE31" s="392">
        <f ca="1">MIN(AE33,AE28)</f>
        <v>0</v>
      </c>
      <c r="AF31" s="392">
        <f ca="1">MIN(AF33,AF28)</f>
        <v>0</v>
      </c>
      <c r="AI31" s="681" t="s">
        <v>1107</v>
      </c>
    </row>
    <row r="32" spans="1:35" ht="21.95" hidden="1" customHeight="1" x14ac:dyDescent="0.15">
      <c r="C32" s="253"/>
      <c r="E32" s="449">
        <v>22.5</v>
      </c>
      <c r="F32" s="3" cm="1">
        <f t="array" aca="1" ref="F32" ca="1">OFFSET(E32,-1,1)</f>
        <v>0</v>
      </c>
      <c r="G32" s="22" t="s">
        <v>333</v>
      </c>
      <c r="T32" s="353" t="b" cm="1">
        <f t="array" ref="T32">T31</f>
        <v>0</v>
      </c>
      <c r="X32" s="1022"/>
      <c r="Z32" s="1023"/>
      <c r="AB32" s="393">
        <v>3</v>
      </c>
      <c r="AC32" s="386" t="s">
        <v>1108</v>
      </c>
      <c r="AD32" s="383" t="s">
        <v>1100</v>
      </c>
      <c r="AE32" s="387" cm="1">
        <f t="array" aca="1" ref="AE32" ca="1">INDEX('Калькуляция (МСА)'!$L$26:$M$105,MATCH('Амортизация (аналог)'!$F32&amp;"УТР",'Калькуляция (МСА)'!$K$26:$K$105,0),1)</f>
        <v>0</v>
      </c>
      <c r="AF32" s="387" cm="1">
        <f t="array" aca="1" ref="AF32" ca="1">INDEX('Калькуляция (МСА)'!$L$26:$M$105,MATCH('Амортизация (аналог)'!$F32&amp;"УТР",'Калькуляция (МСА)'!$K$26:$K$105,0),2)</f>
        <v>0</v>
      </c>
      <c r="AI32" s="658" t="s">
        <v>1109</v>
      </c>
    </row>
    <row r="33" spans="1:35" ht="14.65" hidden="1" customHeight="1" x14ac:dyDescent="0.15">
      <c r="C33" s="253"/>
      <c r="E33" s="449">
        <v>15</v>
      </c>
      <c r="F33" s="3" cm="1">
        <f t="array" aca="1" ref="F33" ca="1">OFFSET(E33,-1,1)</f>
        <v>0</v>
      </c>
      <c r="G33" s="22" t="s">
        <v>335</v>
      </c>
      <c r="T33" s="353" t="b" cm="1">
        <f t="array" ref="T33">T32</f>
        <v>0</v>
      </c>
      <c r="X33" s="1022"/>
      <c r="Z33" s="1023"/>
      <c r="AB33" s="393">
        <v>4</v>
      </c>
      <c r="AC33" s="386" t="s">
        <v>1110</v>
      </c>
      <c r="AD33" s="383" t="s">
        <v>1100</v>
      </c>
      <c r="AE33" s="394">
        <f ca="1">AE32*0.15</f>
        <v>0</v>
      </c>
      <c r="AF33" s="394">
        <f ca="1">AF32*0.15</f>
        <v>0</v>
      </c>
      <c r="AI33" s="658" t="s">
        <v>1111</v>
      </c>
    </row>
    <row r="34" spans="1:35" ht="14.25" customHeight="1" x14ac:dyDescent="0.15">
      <c r="C34" s="17"/>
      <c r="E34" s="449">
        <v>15</v>
      </c>
      <c r="F34" s="17" t="str" cm="1">
        <f t="array" ref="F34">X34</f>
        <v>1</v>
      </c>
      <c r="T34" s="353" t="b">
        <f>X34&gt;0</f>
        <v>1</v>
      </c>
      <c r="V34" s="22" t="str" cm="1">
        <f t="array" ref="V34">Амортизация!$AB$76</f>
        <v>Тариф 1 (Водоснабжение) - тариф на техническую воду</v>
      </c>
      <c r="X34" s="1022" t="s">
        <v>275</v>
      </c>
      <c r="Z34" s="1023"/>
      <c r="AB34" s="135" t="str" cm="1">
        <f t="array" ref="AB34">Амортизация!$AB$76</f>
        <v>Тариф 1 (Водоснабжение) - тариф на техническую воду</v>
      </c>
      <c r="AC34" s="94"/>
      <c r="AD34" s="88"/>
      <c r="AE34" s="88"/>
      <c r="AF34" s="123"/>
    </row>
    <row r="35" spans="1:35" s="63" customFormat="1" ht="14.25" customHeight="1" x14ac:dyDescent="0.15">
      <c r="A35" s="22"/>
      <c r="C35" s="253"/>
      <c r="E35" s="488">
        <v>15</v>
      </c>
      <c r="F35" s="3" t="str" cm="1">
        <f t="array" aca="1" ref="F35" ca="1">OFFSET(E35,-1,1)</f>
        <v>1</v>
      </c>
      <c r="G35" s="63" t="s">
        <v>331</v>
      </c>
      <c r="T35" s="353" t="b" cm="1">
        <f t="array" ref="T35">T34</f>
        <v>1</v>
      </c>
      <c r="X35" s="1022"/>
      <c r="Z35" s="1023"/>
      <c r="AB35" s="383" t="s">
        <v>275</v>
      </c>
      <c r="AC35" s="386" t="s">
        <v>1099</v>
      </c>
      <c r="AD35" s="383" t="s">
        <v>1100</v>
      </c>
      <c r="AE35" s="387">
        <f ca="1">IF(AE37=0,0,AE36/AE37)</f>
        <v>0</v>
      </c>
      <c r="AF35" s="387">
        <f ca="1">IF(AF37=0,0,AF36/AF37)</f>
        <v>0</v>
      </c>
      <c r="AI35" s="681" t="s">
        <v>1101</v>
      </c>
    </row>
    <row r="36" spans="1:35" ht="14.25" customHeight="1" x14ac:dyDescent="0.15">
      <c r="C36" s="253"/>
      <c r="E36" s="449">
        <v>15</v>
      </c>
      <c r="F36" s="3" t="str" cm="1">
        <f t="array" aca="1" ref="F36" ca="1">OFFSET(E36,-1,1)</f>
        <v>1</v>
      </c>
      <c r="G36" s="22" t="s">
        <v>482</v>
      </c>
      <c r="T36" s="353" t="b" cm="1">
        <f t="array" ref="T36">T35</f>
        <v>1</v>
      </c>
      <c r="X36" s="1022"/>
      <c r="Z36" s="1023"/>
      <c r="AB36" s="388" t="s">
        <v>939</v>
      </c>
      <c r="AC36" s="389" t="s">
        <v>1102</v>
      </c>
      <c r="AD36" s="388" t="s">
        <v>828</v>
      </c>
      <c r="AE36" s="771"/>
      <c r="AF36" s="771"/>
      <c r="AI36" s="658" t="s">
        <v>1103</v>
      </c>
    </row>
    <row r="37" spans="1:35" ht="32.25" customHeight="1" x14ac:dyDescent="0.15">
      <c r="C37" s="253"/>
      <c r="E37" s="449">
        <v>33.75</v>
      </c>
      <c r="F37" s="3" t="str" cm="1">
        <f t="array" aca="1" ref="F37" ca="1">OFFSET(E37,-1,1)</f>
        <v>1</v>
      </c>
      <c r="G37" s="22" t="s">
        <v>486</v>
      </c>
      <c r="T37" s="353" t="b" cm="1">
        <f t="array" ref="T37">T36</f>
        <v>1</v>
      </c>
      <c r="X37" s="1022"/>
      <c r="Z37" s="1023"/>
      <c r="AB37" s="388" t="s">
        <v>942</v>
      </c>
      <c r="AC37" s="389" t="s">
        <v>1104</v>
      </c>
      <c r="AD37" s="388" t="s">
        <v>820</v>
      </c>
      <c r="AE37" s="390">
        <f ca="1">SUMIFS('Условные метры'!$AL$28:$AL$41,'Условные метры'!$F$28:$F$41,$F37,'Условные метры'!$G$28:$G$41,"Итог")</f>
        <v>0</v>
      </c>
      <c r="AF37" s="390">
        <f ca="1">SUMIFS('Условные метры'!$AN$28:$AN$41,'Условные метры'!$F$28:$F$41,$F37,'Условные метры'!$G$28:$G$41,"Итог")</f>
        <v>0</v>
      </c>
      <c r="AI37" s="658" t="s">
        <v>1105</v>
      </c>
    </row>
    <row r="38" spans="1:35" s="63" customFormat="1" ht="32.25" customHeight="1" x14ac:dyDescent="0.15">
      <c r="A38" s="22"/>
      <c r="C38" s="794"/>
      <c r="E38" s="488">
        <v>33.75</v>
      </c>
      <c r="F38" s="3" t="str" cm="1">
        <f t="array" aca="1" ref="F38" ca="1">OFFSET(E38,-1,1)</f>
        <v>1</v>
      </c>
      <c r="G38" s="63" t="s">
        <v>332</v>
      </c>
      <c r="T38" s="353" t="b" cm="1">
        <f t="array" ref="T38">T37</f>
        <v>1</v>
      </c>
      <c r="X38" s="1022"/>
      <c r="Z38" s="1023"/>
      <c r="AB38" s="772">
        <v>2</v>
      </c>
      <c r="AC38" s="391" t="s">
        <v>1106</v>
      </c>
      <c r="AD38" s="773" t="s">
        <v>1100</v>
      </c>
      <c r="AE38" s="392">
        <f ca="1">MIN(AE40,AE35)</f>
        <v>0</v>
      </c>
      <c r="AF38" s="392">
        <f ca="1">MIN(AF40,AF35)</f>
        <v>0</v>
      </c>
      <c r="AI38" s="681" t="s">
        <v>1107</v>
      </c>
    </row>
    <row r="39" spans="1:35" ht="21.75" customHeight="1" x14ac:dyDescent="0.15">
      <c r="C39" s="253"/>
      <c r="E39" s="449">
        <v>22.5</v>
      </c>
      <c r="F39" s="3" t="str" cm="1">
        <f t="array" aca="1" ref="F39" ca="1">OFFSET(E39,-1,1)</f>
        <v>1</v>
      </c>
      <c r="G39" s="22" t="s">
        <v>333</v>
      </c>
      <c r="T39" s="353" t="b" cm="1">
        <f t="array" ref="T39">T38</f>
        <v>1</v>
      </c>
      <c r="X39" s="1022"/>
      <c r="Z39" s="1023"/>
      <c r="AB39" s="393">
        <v>3</v>
      </c>
      <c r="AC39" s="386" t="s">
        <v>1108</v>
      </c>
      <c r="AD39" s="383" t="s">
        <v>1100</v>
      </c>
      <c r="AE39" s="387" cm="1">
        <f t="array" aca="1" ref="AE39" ca="1">INDEX('Калькуляция (МСА)'!$L$26:$M$105,MATCH('Амортизация (аналог)'!$F39&amp;"УТР",'Калькуляция (МСА)'!$K$26:$K$105,0),1)</f>
        <v>0</v>
      </c>
      <c r="AF39" s="387" cm="1">
        <f t="array" aca="1" ref="AF39" ca="1">INDEX('Калькуляция (МСА)'!$L$26:$M$105,MATCH('Амортизация (аналог)'!$F39&amp;"УТР",'Калькуляция (МСА)'!$K$26:$K$105,0),2)</f>
        <v>0</v>
      </c>
      <c r="AI39" s="658" t="s">
        <v>1109</v>
      </c>
    </row>
    <row r="40" spans="1:35" ht="14.25" customHeight="1" x14ac:dyDescent="0.15">
      <c r="C40" s="253"/>
      <c r="E40" s="449">
        <v>15</v>
      </c>
      <c r="F40" s="3" t="str" cm="1">
        <f t="array" aca="1" ref="F40" ca="1">OFFSET(E40,-1,1)</f>
        <v>1</v>
      </c>
      <c r="G40" s="22" t="s">
        <v>335</v>
      </c>
      <c r="T40" s="353" t="b" cm="1">
        <f t="array" ref="T40">T39</f>
        <v>1</v>
      </c>
      <c r="X40" s="1022"/>
      <c r="Z40" s="1023"/>
      <c r="AB40" s="393">
        <v>4</v>
      </c>
      <c r="AC40" s="386" t="s">
        <v>1110</v>
      </c>
      <c r="AD40" s="383" t="s">
        <v>1100</v>
      </c>
      <c r="AE40" s="394">
        <f ca="1">AE39*0.15</f>
        <v>0</v>
      </c>
      <c r="AF40" s="394">
        <f ca="1">AF39*0.15</f>
        <v>0</v>
      </c>
      <c r="AI40" s="658" t="s">
        <v>1111</v>
      </c>
    </row>
    <row r="41" spans="1:35" ht="14.25" customHeight="1" x14ac:dyDescent="0.15">
      <c r="C41" s="17"/>
      <c r="E41" s="449">
        <v>15</v>
      </c>
      <c r="F41" s="17" t="str" cm="1">
        <f t="array" ref="F41">X41</f>
        <v>2</v>
      </c>
      <c r="T41" s="353" t="b">
        <f>X41&gt;0</f>
        <v>1</v>
      </c>
      <c r="V41" s="22" t="str" cm="1">
        <f t="array" ref="V41">Амортизация!$AB$125</f>
        <v>Тариф 2 (Водоотведение) - тариф на водоотведение</v>
      </c>
      <c r="X41" s="1022" t="s">
        <v>285</v>
      </c>
      <c r="Z41" s="1023"/>
      <c r="AB41" s="135" t="str" cm="1">
        <f t="array" ref="AB41">Амортизация!$AB$125</f>
        <v>Тариф 2 (Водоотведение) - тариф на водоотведение</v>
      </c>
      <c r="AC41" s="94"/>
      <c r="AD41" s="88"/>
      <c r="AE41" s="88"/>
      <c r="AF41" s="123"/>
    </row>
    <row r="42" spans="1:35" s="63" customFormat="1" ht="14.25" customHeight="1" x14ac:dyDescent="0.15">
      <c r="A42" s="22"/>
      <c r="C42" s="253"/>
      <c r="E42" s="488">
        <v>15</v>
      </c>
      <c r="F42" s="3" t="str" cm="1">
        <f t="array" aca="1" ref="F42" ca="1">OFFSET(E42,-1,1)</f>
        <v>2</v>
      </c>
      <c r="G42" s="63" t="s">
        <v>331</v>
      </c>
      <c r="T42" s="353" t="b" cm="1">
        <f t="array" ref="T42">T41</f>
        <v>1</v>
      </c>
      <c r="X42" s="1022"/>
      <c r="Z42" s="1023"/>
      <c r="AB42" s="383" t="s">
        <v>275</v>
      </c>
      <c r="AC42" s="386" t="s">
        <v>1099</v>
      </c>
      <c r="AD42" s="383" t="s">
        <v>1100</v>
      </c>
      <c r="AE42" s="387">
        <f ca="1">IF(AE44=0,0,AE43/AE44)</f>
        <v>0</v>
      </c>
      <c r="AF42" s="387">
        <f ca="1">IF(AF44=0,0,AF43/AF44)</f>
        <v>0</v>
      </c>
      <c r="AI42" s="681" t="s">
        <v>1101</v>
      </c>
    </row>
    <row r="43" spans="1:35" ht="14.25" customHeight="1" x14ac:dyDescent="0.15">
      <c r="C43" s="253"/>
      <c r="E43" s="449">
        <v>15</v>
      </c>
      <c r="F43" s="3" t="str" cm="1">
        <f t="array" aca="1" ref="F43" ca="1">OFFSET(E43,-1,1)</f>
        <v>2</v>
      </c>
      <c r="G43" s="22" t="s">
        <v>482</v>
      </c>
      <c r="T43" s="353" t="b" cm="1">
        <f t="array" ref="T43">T42</f>
        <v>1</v>
      </c>
      <c r="X43" s="1022"/>
      <c r="Z43" s="1023"/>
      <c r="AB43" s="388" t="s">
        <v>939</v>
      </c>
      <c r="AC43" s="389" t="s">
        <v>1102</v>
      </c>
      <c r="AD43" s="388" t="s">
        <v>828</v>
      </c>
      <c r="AE43" s="771"/>
      <c r="AF43" s="771"/>
      <c r="AI43" s="658" t="s">
        <v>1103</v>
      </c>
    </row>
    <row r="44" spans="1:35" ht="32.25" customHeight="1" x14ac:dyDescent="0.15">
      <c r="C44" s="253"/>
      <c r="E44" s="449">
        <v>33.75</v>
      </c>
      <c r="F44" s="3" t="str" cm="1">
        <f t="array" aca="1" ref="F44" ca="1">OFFSET(E44,-1,1)</f>
        <v>2</v>
      </c>
      <c r="G44" s="22" t="s">
        <v>486</v>
      </c>
      <c r="T44" s="353" t="b" cm="1">
        <f t="array" ref="T44">T43</f>
        <v>1</v>
      </c>
      <c r="X44" s="1022"/>
      <c r="Z44" s="1023"/>
      <c r="AB44" s="388" t="s">
        <v>942</v>
      </c>
      <c r="AC44" s="389" t="s">
        <v>1104</v>
      </c>
      <c r="AD44" s="388" t="s">
        <v>820</v>
      </c>
      <c r="AE44" s="390">
        <f ca="1">SUMIFS('Условные метры'!$AL$28:$AL$41,'Условные метры'!$F$28:$F$41,$F44,'Условные метры'!$G$28:$G$41,"Итог")</f>
        <v>0</v>
      </c>
      <c r="AF44" s="390">
        <f ca="1">SUMIFS('Условные метры'!$AN$28:$AN$41,'Условные метры'!$F$28:$F$41,$F44,'Условные метры'!$G$28:$G$41,"Итог")</f>
        <v>0</v>
      </c>
      <c r="AI44" s="658" t="s">
        <v>1105</v>
      </c>
    </row>
    <row r="45" spans="1:35" s="63" customFormat="1" ht="32.25" customHeight="1" x14ac:dyDescent="0.15">
      <c r="A45" s="22"/>
      <c r="C45" s="794"/>
      <c r="E45" s="488">
        <v>33.75</v>
      </c>
      <c r="F45" s="3" t="str" cm="1">
        <f t="array" aca="1" ref="F45" ca="1">OFFSET(E45,-1,1)</f>
        <v>2</v>
      </c>
      <c r="G45" s="63" t="s">
        <v>332</v>
      </c>
      <c r="T45" s="353" t="b" cm="1">
        <f t="array" ref="T45">T44</f>
        <v>1</v>
      </c>
      <c r="X45" s="1022"/>
      <c r="Z45" s="1023"/>
      <c r="AB45" s="772">
        <v>2</v>
      </c>
      <c r="AC45" s="391" t="s">
        <v>1106</v>
      </c>
      <c r="AD45" s="773" t="s">
        <v>1100</v>
      </c>
      <c r="AE45" s="392">
        <f ca="1">MIN(AE47,AE42)</f>
        <v>0</v>
      </c>
      <c r="AF45" s="392">
        <f ca="1">MIN(AF47,AF42)</f>
        <v>0</v>
      </c>
      <c r="AI45" s="681" t="s">
        <v>1107</v>
      </c>
    </row>
    <row r="46" spans="1:35" ht="21.75" customHeight="1" x14ac:dyDescent="0.15">
      <c r="C46" s="253"/>
      <c r="E46" s="449">
        <v>22.5</v>
      </c>
      <c r="F46" s="3" t="str" cm="1">
        <f t="array" aca="1" ref="F46" ca="1">OFFSET(E46,-1,1)</f>
        <v>2</v>
      </c>
      <c r="G46" s="22" t="s">
        <v>333</v>
      </c>
      <c r="T46" s="353" t="b" cm="1">
        <f t="array" ref="T46">T45</f>
        <v>1</v>
      </c>
      <c r="X46" s="1022"/>
      <c r="Z46" s="1023"/>
      <c r="AB46" s="393">
        <v>3</v>
      </c>
      <c r="AC46" s="386" t="s">
        <v>1108</v>
      </c>
      <c r="AD46" s="383" t="s">
        <v>1100</v>
      </c>
      <c r="AE46" s="387" cm="1">
        <f t="array" aca="1" ref="AE46" ca="1">INDEX('Калькуляция (МСА)'!$L$26:$M$105,MATCH('Амортизация (аналог)'!$F46&amp;"УТР",'Калькуляция (МСА)'!$K$26:$K$105,0),1)</f>
        <v>0</v>
      </c>
      <c r="AF46" s="387" cm="1">
        <f t="array" aca="1" ref="AF46" ca="1">INDEX('Калькуляция (МСА)'!$L$26:$M$105,MATCH('Амортизация (аналог)'!$F46&amp;"УТР",'Калькуляция (МСА)'!$K$26:$K$105,0),2)</f>
        <v>0</v>
      </c>
      <c r="AI46" s="658" t="s">
        <v>1109</v>
      </c>
    </row>
    <row r="47" spans="1:35" ht="14.25" customHeight="1" x14ac:dyDescent="0.15">
      <c r="C47" s="253"/>
      <c r="E47" s="449">
        <v>15</v>
      </c>
      <c r="F47" s="3" t="str" cm="1">
        <f t="array" aca="1" ref="F47" ca="1">OFFSET(E47,-1,1)</f>
        <v>2</v>
      </c>
      <c r="G47" s="22" t="s">
        <v>335</v>
      </c>
      <c r="T47" s="353" t="b" cm="1">
        <f t="array" ref="T47">T46</f>
        <v>1</v>
      </c>
      <c r="X47" s="1022"/>
      <c r="Z47" s="1023"/>
      <c r="AB47" s="393">
        <v>4</v>
      </c>
      <c r="AC47" s="386" t="s">
        <v>1110</v>
      </c>
      <c r="AD47" s="383" t="s">
        <v>1100</v>
      </c>
      <c r="AE47" s="394">
        <f ca="1">AE46*0.15</f>
        <v>0</v>
      </c>
      <c r="AF47" s="394">
        <f ca="1">AF46*0.15</f>
        <v>0</v>
      </c>
      <c r="AI47" s="658" t="s">
        <v>1111</v>
      </c>
    </row>
    <row r="48" spans="1:35" ht="14.25" customHeight="1" x14ac:dyDescent="0.15">
      <c r="C48" s="17"/>
      <c r="E48" s="449">
        <v>15</v>
      </c>
      <c r="F48" s="17" t="str" cm="1">
        <f t="array" ref="F48">X48</f>
        <v>3</v>
      </c>
      <c r="T48" s="353" t="b">
        <f>X48&gt;0</f>
        <v>1</v>
      </c>
      <c r="V48" s="22" t="str" cm="1">
        <f t="array" ref="V48">Амортизация!$AB$174</f>
        <v>Тариф 3 (Водоотведение) - тариф на транспортировку сточных вод</v>
      </c>
      <c r="X48" s="1022" t="s">
        <v>291</v>
      </c>
      <c r="Z48" s="1023"/>
      <c r="AB48" s="135" t="str" cm="1">
        <f t="array" ref="AB48">Амортизация!$AB$174</f>
        <v>Тариф 3 (Водоотведение) - тариф на транспортировку сточных вод</v>
      </c>
      <c r="AC48" s="94"/>
      <c r="AD48" s="88"/>
      <c r="AE48" s="88"/>
      <c r="AF48" s="123"/>
    </row>
    <row r="49" spans="1:35" s="63" customFormat="1" ht="14.25" customHeight="1" x14ac:dyDescent="0.15">
      <c r="A49" s="22"/>
      <c r="C49" s="253"/>
      <c r="E49" s="488">
        <v>15</v>
      </c>
      <c r="F49" s="3" t="str" cm="1">
        <f t="array" aca="1" ref="F49" ca="1">OFFSET(E49,-1,1)</f>
        <v>3</v>
      </c>
      <c r="G49" s="63" t="s">
        <v>331</v>
      </c>
      <c r="T49" s="353" t="b" cm="1">
        <f t="array" ref="T49">T48</f>
        <v>1</v>
      </c>
      <c r="X49" s="1022"/>
      <c r="Z49" s="1023"/>
      <c r="AB49" s="383" t="s">
        <v>275</v>
      </c>
      <c r="AC49" s="386" t="s">
        <v>1099</v>
      </c>
      <c r="AD49" s="383" t="s">
        <v>1100</v>
      </c>
      <c r="AE49" s="387">
        <f ca="1">IF(AE51=0,0,AE50/AE51)</f>
        <v>0</v>
      </c>
      <c r="AF49" s="387">
        <f ca="1">IF(AF51=0,0,AF50/AF51)</f>
        <v>0</v>
      </c>
      <c r="AI49" s="681" t="s">
        <v>1101</v>
      </c>
    </row>
    <row r="50" spans="1:35" ht="14.25" customHeight="1" x14ac:dyDescent="0.15">
      <c r="C50" s="253"/>
      <c r="E50" s="449">
        <v>15</v>
      </c>
      <c r="F50" s="3" t="str" cm="1">
        <f t="array" aca="1" ref="F50" ca="1">OFFSET(E50,-1,1)</f>
        <v>3</v>
      </c>
      <c r="G50" s="22" t="s">
        <v>482</v>
      </c>
      <c r="T50" s="353" t="b" cm="1">
        <f t="array" ref="T50">T49</f>
        <v>1</v>
      </c>
      <c r="X50" s="1022"/>
      <c r="Z50" s="1023"/>
      <c r="AB50" s="388" t="s">
        <v>939</v>
      </c>
      <c r="AC50" s="389" t="s">
        <v>1102</v>
      </c>
      <c r="AD50" s="388" t="s">
        <v>828</v>
      </c>
      <c r="AE50" s="771"/>
      <c r="AF50" s="771"/>
      <c r="AI50" s="658" t="s">
        <v>1103</v>
      </c>
    </row>
    <row r="51" spans="1:35" ht="32.25" customHeight="1" x14ac:dyDescent="0.15">
      <c r="C51" s="253"/>
      <c r="E51" s="449">
        <v>33.75</v>
      </c>
      <c r="F51" s="3" t="str" cm="1">
        <f t="array" aca="1" ref="F51" ca="1">OFFSET(E51,-1,1)</f>
        <v>3</v>
      </c>
      <c r="G51" s="22" t="s">
        <v>486</v>
      </c>
      <c r="T51" s="353" t="b" cm="1">
        <f t="array" ref="T51">T50</f>
        <v>1</v>
      </c>
      <c r="X51" s="1022"/>
      <c r="Z51" s="1023"/>
      <c r="AB51" s="388" t="s">
        <v>942</v>
      </c>
      <c r="AC51" s="389" t="s">
        <v>1104</v>
      </c>
      <c r="AD51" s="388" t="s">
        <v>820</v>
      </c>
      <c r="AE51" s="390">
        <f ca="1">SUMIFS('Условные метры'!$AL$28:$AL$41,'Условные метры'!$F$28:$F$41,$F51,'Условные метры'!$G$28:$G$41,"Итог")</f>
        <v>0</v>
      </c>
      <c r="AF51" s="390">
        <f ca="1">SUMIFS('Условные метры'!$AN$28:$AN$41,'Условные метры'!$F$28:$F$41,$F51,'Условные метры'!$G$28:$G$41,"Итог")</f>
        <v>0</v>
      </c>
      <c r="AI51" s="658" t="s">
        <v>1105</v>
      </c>
    </row>
    <row r="52" spans="1:35" s="63" customFormat="1" ht="32.25" customHeight="1" x14ac:dyDescent="0.15">
      <c r="A52" s="22"/>
      <c r="C52" s="794"/>
      <c r="E52" s="488">
        <v>33.75</v>
      </c>
      <c r="F52" s="3" t="str" cm="1">
        <f t="array" aca="1" ref="F52" ca="1">OFFSET(E52,-1,1)</f>
        <v>3</v>
      </c>
      <c r="G52" s="63" t="s">
        <v>332</v>
      </c>
      <c r="T52" s="353" t="b" cm="1">
        <f t="array" ref="T52">T51</f>
        <v>1</v>
      </c>
      <c r="X52" s="1022"/>
      <c r="Z52" s="1023"/>
      <c r="AB52" s="772">
        <v>2</v>
      </c>
      <c r="AC52" s="391" t="s">
        <v>1106</v>
      </c>
      <c r="AD52" s="773" t="s">
        <v>1100</v>
      </c>
      <c r="AE52" s="392">
        <f ca="1">MIN(AE54,AE49)</f>
        <v>0</v>
      </c>
      <c r="AF52" s="392">
        <f ca="1">MIN(AF54,AF49)</f>
        <v>0</v>
      </c>
      <c r="AI52" s="681" t="s">
        <v>1107</v>
      </c>
    </row>
    <row r="53" spans="1:35" ht="21.75" customHeight="1" x14ac:dyDescent="0.15">
      <c r="C53" s="253"/>
      <c r="E53" s="449">
        <v>22.5</v>
      </c>
      <c r="F53" s="3" t="str" cm="1">
        <f t="array" aca="1" ref="F53" ca="1">OFFSET(E53,-1,1)</f>
        <v>3</v>
      </c>
      <c r="G53" s="22" t="s">
        <v>333</v>
      </c>
      <c r="T53" s="353" t="b" cm="1">
        <f t="array" ref="T53">T52</f>
        <v>1</v>
      </c>
      <c r="X53" s="1022"/>
      <c r="Z53" s="1023"/>
      <c r="AB53" s="393">
        <v>3</v>
      </c>
      <c r="AC53" s="386" t="s">
        <v>1108</v>
      </c>
      <c r="AD53" s="383" t="s">
        <v>1100</v>
      </c>
      <c r="AE53" s="387" cm="1">
        <f t="array" aca="1" ref="AE53" ca="1">INDEX('Калькуляция (МСА)'!$L$26:$M$105,MATCH('Амортизация (аналог)'!$F53&amp;"УТР",'Калькуляция (МСА)'!$K$26:$K$105,0),1)</f>
        <v>0</v>
      </c>
      <c r="AF53" s="387" cm="1">
        <f t="array" aca="1" ref="AF53" ca="1">INDEX('Калькуляция (МСА)'!$L$26:$M$105,MATCH('Амортизация (аналог)'!$F53&amp;"УТР",'Калькуляция (МСА)'!$K$26:$K$105,0),2)</f>
        <v>0</v>
      </c>
      <c r="AI53" s="658" t="s">
        <v>1109</v>
      </c>
    </row>
    <row r="54" spans="1:35" ht="14.25" customHeight="1" x14ac:dyDescent="0.15">
      <c r="C54" s="253"/>
      <c r="E54" s="449">
        <v>15</v>
      </c>
      <c r="F54" s="3" t="str" cm="1">
        <f t="array" aca="1" ref="F54" ca="1">OFFSET(E54,-1,1)</f>
        <v>3</v>
      </c>
      <c r="G54" s="22" t="s">
        <v>335</v>
      </c>
      <c r="T54" s="353" t="b" cm="1">
        <f t="array" ref="T54">T53</f>
        <v>1</v>
      </c>
      <c r="X54" s="1022"/>
      <c r="Z54" s="1023"/>
      <c r="AB54" s="393">
        <v>4</v>
      </c>
      <c r="AC54" s="386" t="s">
        <v>1110</v>
      </c>
      <c r="AD54" s="383" t="s">
        <v>1100</v>
      </c>
      <c r="AE54" s="394">
        <f ca="1">AE53*0.15</f>
        <v>0</v>
      </c>
      <c r="AF54" s="394">
        <f ca="1">AF53*0.15</f>
        <v>0</v>
      </c>
      <c r="AI54" s="658" t="s">
        <v>1111</v>
      </c>
    </row>
    <row r="55" spans="1:35" ht="10.9" customHeight="1" x14ac:dyDescent="0.15">
      <c r="E55" s="449">
        <v>11.25</v>
      </c>
      <c r="U55" s="22" t="s">
        <v>176</v>
      </c>
      <c r="V55" s="56" t="s">
        <v>1112</v>
      </c>
      <c r="AB55" s="384"/>
      <c r="AC55" s="64"/>
      <c r="AD55" s="384"/>
      <c r="AE55" s="395"/>
    </row>
    <row r="56" spans="1:35" s="17" customFormat="1" ht="14.65" customHeight="1" x14ac:dyDescent="0.15">
      <c r="E56" s="461">
        <v>15</v>
      </c>
      <c r="AB56" s="993" t="s">
        <v>408</v>
      </c>
      <c r="AC56" s="993"/>
      <c r="AD56" s="993"/>
      <c r="AE56" s="1024"/>
      <c r="AF56" s="1024"/>
      <c r="AI56" s="671"/>
    </row>
    <row r="57" spans="1:35" s="17" customFormat="1" ht="14.65" customHeight="1" x14ac:dyDescent="0.15">
      <c r="E57" s="461">
        <v>15</v>
      </c>
      <c r="AB57" s="1025"/>
      <c r="AC57" s="1025"/>
      <c r="AD57" s="1025"/>
      <c r="AE57" s="1026"/>
      <c r="AF57" s="1026"/>
      <c r="AI57" s="671"/>
    </row>
    <row r="58" spans="1:35" s="17" customFormat="1" ht="14.65" hidden="1" customHeight="1" x14ac:dyDescent="0.15">
      <c r="E58" s="461">
        <v>15</v>
      </c>
      <c r="T58" s="353" t="b">
        <f>ROW(W58)&gt;ROW(W$58)</f>
        <v>0</v>
      </c>
      <c r="U58" s="22"/>
      <c r="V58" s="22"/>
      <c r="W58" s="517" t="s">
        <v>172</v>
      </c>
      <c r="X58" s="22"/>
      <c r="Y58" s="22"/>
      <c r="Z58" s="22"/>
      <c r="AA58" s="489" t="s">
        <v>173</v>
      </c>
      <c r="AB58" s="1028"/>
      <c r="AC58" s="1029"/>
      <c r="AD58" s="1029"/>
      <c r="AE58" s="1030"/>
      <c r="AF58" s="1033"/>
      <c r="AI58" s="671"/>
    </row>
    <row r="59" spans="1:35" s="17" customFormat="1" ht="14.65" customHeight="1" x14ac:dyDescent="0.15">
      <c r="E59" s="461">
        <v>15</v>
      </c>
      <c r="W59" s="517" t="s">
        <v>419</v>
      </c>
      <c r="AB59" s="474"/>
      <c r="AC59" s="382" t="s">
        <v>420</v>
      </c>
      <c r="AD59" s="218"/>
      <c r="AE59" s="219"/>
      <c r="AF59" s="220"/>
      <c r="AI59" s="671"/>
    </row>
    <row r="60" spans="1:35" ht="10.9" customHeight="1" x14ac:dyDescent="0.15">
      <c r="E60" s="449">
        <v>11.25</v>
      </c>
      <c r="AC60" s="396"/>
    </row>
  </sheetData>
  <sheetProtection formatColumns="0" formatRows="0" insertRows="0" deleteColumns="0" deleteRows="0" sort="0" autoFilter="0"/>
  <mergeCells count="17">
    <mergeCell ref="X27:X33"/>
    <mergeCell ref="Z27:Z33"/>
    <mergeCell ref="AB56:AF56"/>
    <mergeCell ref="AB57:AF57"/>
    <mergeCell ref="AB58:AF58"/>
    <mergeCell ref="X34:X40"/>
    <mergeCell ref="Z34:Z40"/>
    <mergeCell ref="X41:X47"/>
    <mergeCell ref="Z41:Z47"/>
    <mergeCell ref="X48:X54"/>
    <mergeCell ref="Z48:Z54"/>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F52 AF54 AE33 AE38 AE40 AE45 AE47 AE52 AE54"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CC78-04A6-F17A-E358-B019ACC68122}">
  <sheetPr>
    <tabColor rgb="FF002060"/>
    <outlinePr summaryBelow="0" summaryRight="0"/>
    <pageSetUpPr fitToPage="1"/>
  </sheetPr>
  <dimension ref="A1:BJ155"/>
  <sheetViews>
    <sheetView showGridLines="0" zoomScale="120" workbookViewId="0">
      <pane xSplit="30" ySplit="25" topLeftCell="AE88" activePane="bottomRight" state="frozen"/>
      <selection pane="topRight" activeCell="AE1" sqref="AE1"/>
      <selection pane="bottomLeft" activeCell="A26" sqref="A26"/>
      <selection pane="bottomRight" activeCell="AA121" sqref="A121:BJ149"/>
    </sheetView>
  </sheetViews>
  <sheetFormatPr defaultColWidth="8.7109375" defaultRowHeight="10.5" customHeight="1" x14ac:dyDescent="0.15"/>
  <cols>
    <col min="1" max="1" width="3.5703125" style="66" hidden="1" customWidth="1"/>
    <col min="2" max="2" width="8.5703125" style="337" hidden="1" customWidth="1"/>
    <col min="3" max="4" width="3.5703125" style="66" hidden="1" customWidth="1"/>
    <col min="5" max="5" width="3.5703125" style="491"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2"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76.28515625" style="66" customWidth="1"/>
    <col min="56" max="56" width="3" style="66" customWidth="1"/>
    <col min="57" max="57" width="8.7109375" style="66" hidden="1"/>
    <col min="58" max="60" width="8.7109375" style="682" hidden="1"/>
    <col min="61" max="62" width="8.7109375" style="491" hidden="1"/>
  </cols>
  <sheetData>
    <row r="1" spans="1:62" ht="11.25" hidden="1" customHeight="1" x14ac:dyDescent="0.15">
      <c r="E1" s="66"/>
      <c r="F1" s="66" t="s">
        <v>320</v>
      </c>
      <c r="G1" s="66" t="s">
        <v>330</v>
      </c>
      <c r="H1" s="66" t="s">
        <v>355</v>
      </c>
      <c r="T1" s="353" t="s">
        <v>92</v>
      </c>
      <c r="U1" s="353" t="s">
        <v>97</v>
      </c>
      <c r="V1" s="353" t="s">
        <v>93</v>
      </c>
      <c r="W1" s="353" t="s">
        <v>94</v>
      </c>
      <c r="X1" s="353" t="s">
        <v>95</v>
      </c>
      <c r="Y1" s="355" t="s">
        <v>322</v>
      </c>
      <c r="Z1" s="353" t="s">
        <v>99</v>
      </c>
      <c r="AA1" s="355" t="s">
        <v>96</v>
      </c>
      <c r="AB1" s="4"/>
      <c r="AC1" s="354" t="s">
        <v>98</v>
      </c>
      <c r="BF1" s="682" t="s">
        <v>323</v>
      </c>
      <c r="BG1" s="682" t="s">
        <v>324</v>
      </c>
      <c r="BH1" s="682" t="s">
        <v>325</v>
      </c>
      <c r="BI1" s="491" t="s">
        <v>328</v>
      </c>
      <c r="BJ1" s="491" t="s">
        <v>329</v>
      </c>
    </row>
    <row r="2" spans="1:62" s="337" customFormat="1" ht="11.25" hidden="1" customHeight="1" x14ac:dyDescent="0.15">
      <c r="B2" s="342" t="s">
        <v>18</v>
      </c>
      <c r="K2" s="603"/>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3"/>
      <c r="BG2" s="683"/>
      <c r="BH2" s="683"/>
      <c r="BI2" s="686"/>
      <c r="BJ2" s="686"/>
    </row>
    <row r="3" spans="1:62" ht="11.25" hidden="1" customHeight="1" x14ac:dyDescent="0.15">
      <c r="E3" s="66"/>
    </row>
    <row r="4" spans="1:62" ht="11.25" hidden="1" customHeight="1" x14ac:dyDescent="0.15">
      <c r="E4" s="66"/>
    </row>
    <row r="5" spans="1:62" s="491" customFormat="1" ht="11.25" hidden="1" customHeight="1" x14ac:dyDescent="0.15">
      <c r="A5" s="66"/>
      <c r="B5" s="337"/>
      <c r="C5" s="66"/>
      <c r="D5" s="66"/>
      <c r="E5" s="491" t="s">
        <v>19</v>
      </c>
      <c r="K5" s="604"/>
      <c r="AA5" s="491">
        <v>3</v>
      </c>
      <c r="AB5" s="491">
        <v>11</v>
      </c>
      <c r="AC5" s="491">
        <v>43.43</v>
      </c>
      <c r="AD5" s="491">
        <v>15.71</v>
      </c>
      <c r="AE5" s="491">
        <v>15.71</v>
      </c>
      <c r="AF5" s="491">
        <v>15.71</v>
      </c>
      <c r="AG5" s="491">
        <v>15.71</v>
      </c>
      <c r="AH5" s="491">
        <v>15.71</v>
      </c>
      <c r="AI5" s="491">
        <v>12.57</v>
      </c>
      <c r="AJ5" s="491">
        <v>12.57</v>
      </c>
      <c r="AK5" s="491">
        <v>12.57</v>
      </c>
      <c r="AL5" s="491">
        <v>12.57</v>
      </c>
      <c r="AM5" s="491">
        <v>12.57</v>
      </c>
      <c r="AN5" s="491">
        <v>12.57</v>
      </c>
      <c r="AO5" s="491">
        <v>12.57</v>
      </c>
      <c r="AP5" s="491">
        <v>12.57</v>
      </c>
      <c r="AQ5" s="491">
        <v>12.57</v>
      </c>
      <c r="AR5" s="491">
        <v>12.57</v>
      </c>
      <c r="AS5" s="491">
        <v>12.57</v>
      </c>
      <c r="AT5" s="491">
        <v>12.57</v>
      </c>
      <c r="AU5" s="491">
        <v>12.57</v>
      </c>
      <c r="AV5" s="491">
        <v>12.57</v>
      </c>
      <c r="AW5" s="491">
        <v>12.57</v>
      </c>
      <c r="AX5" s="491">
        <v>12.57</v>
      </c>
      <c r="AY5" s="491">
        <v>12.57</v>
      </c>
      <c r="AZ5" s="491">
        <v>12.57</v>
      </c>
      <c r="BA5" s="491">
        <v>12.57</v>
      </c>
      <c r="BB5" s="491">
        <v>12.57</v>
      </c>
      <c r="BC5" s="491">
        <v>20</v>
      </c>
      <c r="BD5" s="491">
        <v>3</v>
      </c>
      <c r="BF5" s="682"/>
      <c r="BG5" s="682"/>
      <c r="BH5" s="682"/>
    </row>
    <row r="6" spans="1:62" ht="11.25" hidden="1" customHeight="1" x14ac:dyDescent="0.15">
      <c r="A6" s="66" t="s">
        <v>358</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359</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2" customFormat="1" ht="11.25" hidden="1" customHeight="1" x14ac:dyDescent="0.15">
      <c r="A9" s="682" t="s">
        <v>363</v>
      </c>
      <c r="B9" s="683"/>
      <c r="K9" s="684"/>
      <c r="AE9" s="682" cm="1">
        <f t="array" ref="AE9">AE6</f>
        <v>2024</v>
      </c>
      <c r="AF9" s="682" cm="1">
        <f t="array" ref="AF9">AF6</f>
        <v>2024</v>
      </c>
      <c r="AG9" s="682" cm="1">
        <f t="array" ref="AG9">AG6</f>
        <v>2024</v>
      </c>
      <c r="AH9" s="682" cm="1">
        <f t="array" ref="AH9">AH6</f>
        <v>2025</v>
      </c>
      <c r="AI9" s="682" cm="1">
        <f t="array" ref="AI9">AI6</f>
        <v>2026</v>
      </c>
      <c r="AJ9" s="682" cm="1">
        <f t="array" ref="AJ9">AJ6</f>
        <v>2027</v>
      </c>
      <c r="AK9" s="682" cm="1">
        <f t="array" ref="AK9">AK6</f>
        <v>2028</v>
      </c>
      <c r="AL9" s="682" cm="1">
        <f t="array" ref="AL9">AL6</f>
        <v>2029</v>
      </c>
      <c r="AM9" s="682" cm="1">
        <f t="array" ref="AM9">AM6</f>
        <v>2030</v>
      </c>
      <c r="AN9" s="682" cm="1">
        <f t="array" ref="AN9">AN6</f>
        <v>2031</v>
      </c>
      <c r="AO9" s="682" cm="1">
        <f t="array" ref="AO9">AO6</f>
        <v>2032</v>
      </c>
      <c r="AP9" s="682" cm="1">
        <f t="array" ref="AP9">AP6</f>
        <v>2033</v>
      </c>
      <c r="AQ9" s="682" cm="1">
        <f t="array" ref="AQ9">AQ6</f>
        <v>2034</v>
      </c>
      <c r="AR9" s="682" cm="1">
        <f t="array" ref="AR9">AR6</f>
        <v>2035</v>
      </c>
      <c r="AS9" s="682" cm="1">
        <f t="array" ref="AS9">AS6</f>
        <v>2026</v>
      </c>
      <c r="AT9" s="682" cm="1">
        <f t="array" ref="AT9">AT6</f>
        <v>2027</v>
      </c>
      <c r="AU9" s="682" cm="1">
        <f t="array" ref="AU9">AU6</f>
        <v>2028</v>
      </c>
      <c r="AV9" s="682" cm="1">
        <f t="array" ref="AV9">AV6</f>
        <v>2029</v>
      </c>
      <c r="AW9" s="682" cm="1">
        <f t="array" ref="AW9">AW6</f>
        <v>2030</v>
      </c>
      <c r="AX9" s="682" cm="1">
        <f t="array" ref="AX9">AX6</f>
        <v>2031</v>
      </c>
      <c r="AY9" s="682" cm="1">
        <f t="array" ref="AY9">AY6</f>
        <v>2032</v>
      </c>
      <c r="AZ9" s="682" cm="1">
        <f t="array" ref="AZ9">AZ6</f>
        <v>2033</v>
      </c>
      <c r="BA9" s="682" cm="1">
        <f t="array" ref="BA9">BA6</f>
        <v>2034</v>
      </c>
      <c r="BB9" s="682" cm="1">
        <f t="array" ref="BB9">BB6</f>
        <v>2035</v>
      </c>
      <c r="BI9" s="491"/>
      <c r="BJ9" s="491"/>
    </row>
    <row r="10" spans="1:62" s="682" customFormat="1" ht="11.25" hidden="1" customHeight="1" x14ac:dyDescent="0.15">
      <c r="A10" s="682" t="s">
        <v>364</v>
      </c>
      <c r="B10" s="683"/>
      <c r="K10" s="684"/>
      <c r="AE10" s="682" t="str" cm="1">
        <f t="array" ref="AE10">AE25</f>
        <v>Принято органом регулирования</v>
      </c>
      <c r="AF10" s="682" t="str" cm="1">
        <f t="array" ref="AF10">AF25</f>
        <v>Факт по данным организации</v>
      </c>
      <c r="AG10" s="682" t="str" cm="1">
        <f t="array" ref="AG10">AG25</f>
        <v>Факт, принятый органом регулирования</v>
      </c>
      <c r="AH10" s="682" t="str" cm="1">
        <f t="array" ref="AH10">AH25</f>
        <v>Принято органом регулирования</v>
      </c>
      <c r="AI10" s="682" t="str" cm="1">
        <f t="array" ref="AI10">AI25</f>
        <v>Предложение организации</v>
      </c>
      <c r="AJ10" s="682" t="str" cm="1">
        <f t="array" ref="AJ10">AJ25</f>
        <v>Предложение организации</v>
      </c>
      <c r="AK10" s="682" t="str" cm="1">
        <f t="array" ref="AK10">AK25</f>
        <v>Предложение организации</v>
      </c>
      <c r="AL10" s="682" t="str" cm="1">
        <f t="array" ref="AL10">AL25</f>
        <v>Предложение организации</v>
      </c>
      <c r="AM10" s="682" t="str" cm="1">
        <f t="array" ref="AM10">AM25</f>
        <v>Предложение организации</v>
      </c>
      <c r="AN10" s="682" t="str" cm="1">
        <f t="array" ref="AN10">AN25</f>
        <v>Предложение организации</v>
      </c>
      <c r="AO10" s="682" t="str" cm="1">
        <f t="array" ref="AO10">AO25</f>
        <v>Предложение организации</v>
      </c>
      <c r="AP10" s="682" t="str" cm="1">
        <f t="array" ref="AP10">AP25</f>
        <v>Предложение организации</v>
      </c>
      <c r="AQ10" s="682" t="str" cm="1">
        <f t="array" ref="AQ10">AQ25</f>
        <v>Предложение организации</v>
      </c>
      <c r="AR10" s="682" t="str" cm="1">
        <f t="array" ref="AR10">AR25</f>
        <v>Предложение организации</v>
      </c>
      <c r="AS10" s="682" t="str" cm="1">
        <f t="array" ref="AS10">AS25</f>
        <v>Принято органом регулирования</v>
      </c>
      <c r="AT10" s="682" t="str" cm="1">
        <f t="array" ref="AT10">AT25</f>
        <v>Принято органом регулирования</v>
      </c>
      <c r="AU10" s="682" t="str" cm="1">
        <f t="array" ref="AU10">AU25</f>
        <v>Принято органом регулирования</v>
      </c>
      <c r="AV10" s="682" t="str" cm="1">
        <f t="array" ref="AV10">AV25</f>
        <v>Принято органом регулирования</v>
      </c>
      <c r="AW10" s="682" t="str" cm="1">
        <f t="array" ref="AW10">AW25</f>
        <v>Принято органом регулирования</v>
      </c>
      <c r="AX10" s="682" t="str" cm="1">
        <f t="array" ref="AX10">AX25</f>
        <v>Принято органом регулирования</v>
      </c>
      <c r="AY10" s="682" t="str" cm="1">
        <f t="array" ref="AY10">AY25</f>
        <v>Принято органом регулирования</v>
      </c>
      <c r="AZ10" s="682" t="str" cm="1">
        <f t="array" ref="AZ10">AZ25</f>
        <v>Принято органом регулирования</v>
      </c>
      <c r="BA10" s="682" t="str" cm="1">
        <f t="array" ref="BA10">BA25</f>
        <v>Принято органом регулирования</v>
      </c>
      <c r="BB10" s="682" t="str" cm="1">
        <f t="array" ref="BB10">BB25</f>
        <v>Принято органом регулирования</v>
      </c>
      <c r="BI10" s="491"/>
      <c r="BJ10" s="491"/>
    </row>
    <row r="11" spans="1:62" s="682" customFormat="1" ht="11.25" hidden="1" customHeight="1" x14ac:dyDescent="0.15">
      <c r="A11" s="682" t="s">
        <v>365</v>
      </c>
      <c r="B11" s="683"/>
      <c r="K11" s="684"/>
      <c r="BC11" s="682" t="str" cm="1">
        <f t="array" ref="BC11">BC24</f>
        <v>Ссылка на правовую норму (основание для принятия показателя в расчет тарифа)</v>
      </c>
      <c r="BI11" s="491"/>
      <c r="BJ11" s="491"/>
    </row>
    <row r="12" spans="1:62" s="682" customFormat="1" ht="11.25" hidden="1" customHeight="1" x14ac:dyDescent="0.15">
      <c r="A12" s="682" t="s">
        <v>337</v>
      </c>
      <c r="B12" s="683"/>
      <c r="K12" s="684"/>
      <c r="AC12" s="682" t="s">
        <v>325</v>
      </c>
      <c r="BI12" s="491"/>
      <c r="BJ12" s="491"/>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366</v>
      </c>
      <c r="AC18" s="66" t="s">
        <v>1113</v>
      </c>
    </row>
    <row r="19" spans="1:62" ht="11.25" hidden="1" customHeight="1" x14ac:dyDescent="0.15"/>
    <row r="20" spans="1:62" ht="11.25" hidden="1" customHeight="1" x14ac:dyDescent="0.15"/>
    <row r="21" spans="1:62" ht="14.65" customHeight="1" x14ac:dyDescent="0.15">
      <c r="E21" s="491">
        <v>15</v>
      </c>
      <c r="AA21" s="59"/>
      <c r="AC21" s="3" t="str" cm="1">
        <f t="array" ref="AC21">tpl_title</f>
        <v>Кемеровская область / 2026 / КАО "Азот" (ИНН:4205000908, КПП:997550001) / ДПР: 2024-2028</v>
      </c>
    </row>
    <row r="22" spans="1:62" ht="19.5" customHeight="1" x14ac:dyDescent="0.25">
      <c r="E22" s="491">
        <v>20</v>
      </c>
      <c r="AB22" s="225"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x14ac:dyDescent="0.15">
      <c r="E23" s="491">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1">
        <v>15</v>
      </c>
      <c r="AB24" s="993" t="s">
        <v>810</v>
      </c>
      <c r="AC24" s="1039" t="s">
        <v>193</v>
      </c>
      <c r="AD24" s="993" t="s">
        <v>368</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6" t="s">
        <v>553</v>
      </c>
    </row>
    <row r="25" spans="1:62" ht="48.75" customHeight="1" x14ac:dyDescent="0.15">
      <c r="E25" s="491">
        <v>50</v>
      </c>
      <c r="AB25" s="1049"/>
      <c r="AC25" s="1049"/>
      <c r="AD25" s="1049"/>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1049"/>
    </row>
    <row r="26" spans="1:62" ht="11.25" hidden="1" customHeight="1" x14ac:dyDescent="0.15">
      <c r="A26" s="315"/>
      <c r="B26" s="479"/>
      <c r="C26" s="315"/>
      <c r="D26" s="315"/>
      <c r="E26" s="480">
        <v>0</v>
      </c>
      <c r="F26" s="478" t="s">
        <v>1114</v>
      </c>
      <c r="G26" s="315"/>
      <c r="H26" s="315"/>
      <c r="I26" s="315"/>
      <c r="J26" s="315"/>
      <c r="K26" s="605"/>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4"/>
      <c r="BJ26" s="454"/>
    </row>
    <row r="27" spans="1:62" ht="14.65" hidden="1" customHeight="1" x14ac:dyDescent="0.15">
      <c r="E27" s="491">
        <v>15</v>
      </c>
      <c r="F27" s="17" cm="1">
        <f t="array" ref="F27">X27</f>
        <v>0</v>
      </c>
      <c r="I27" s="66" t="s">
        <v>1115</v>
      </c>
      <c r="T27" s="353" t="b">
        <f>X27&gt;0</f>
        <v>0</v>
      </c>
      <c r="V27" s="66" t="s">
        <v>264</v>
      </c>
      <c r="X27" s="943">
        <v>0</v>
      </c>
      <c r="Y27" s="493"/>
      <c r="Z27" s="1046"/>
      <c r="AB27" s="135" t="str" cm="1">
        <f t="array" ref="AB27">INDEX('Общие сведения'!$AG$179:$AG$236,MATCH($X27,'Общие сведения'!$Z$179:$Z$236,0))</f>
        <v xml:space="preserve">Тариф 0 () - </v>
      </c>
      <c r="AC27" s="94"/>
      <c r="AD27" s="94"/>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7"/>
    </row>
    <row r="28" spans="1:62" ht="14.65" hidden="1" customHeight="1" x14ac:dyDescent="0.15">
      <c r="E28" s="491">
        <v>15</v>
      </c>
      <c r="F28" s="3" cm="1">
        <f t="array" aca="1" ref="F28" ca="1">OFFSET(E28,-1,1)</f>
        <v>0</v>
      </c>
      <c r="G28" s="66" t="s">
        <v>331</v>
      </c>
      <c r="K28" s="602" t="str">
        <f ca="1">F28&amp;"1komm"</f>
        <v>01komm</v>
      </c>
      <c r="L28" s="606" cm="1">
        <f t="array" ref="L28">BC28</f>
        <v>0</v>
      </c>
      <c r="T28" s="353" t="b" cm="1">
        <f t="array" ref="T28">T27</f>
        <v>0</v>
      </c>
      <c r="X28" s="943"/>
      <c r="Z28" s="1046"/>
      <c r="AB28" s="124">
        <v>1</v>
      </c>
      <c r="AC28" s="125" t="s">
        <v>1116</v>
      </c>
      <c r="AD28" s="124" t="s">
        <v>828</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6"/>
      <c r="BF28" s="682" t="s">
        <v>1117</v>
      </c>
    </row>
    <row r="29" spans="1:62" ht="15" hidden="1" customHeight="1" x14ac:dyDescent="0.15">
      <c r="E29" s="491">
        <v>0</v>
      </c>
      <c r="F29" s="3" cm="1">
        <f t="array" aca="1" ref="F29" ca="1">OFFSET(E29,-1,1)</f>
        <v>0</v>
      </c>
      <c r="L29" s="606"/>
      <c r="T29" s="353" t="b">
        <v>0</v>
      </c>
      <c r="W29" s="66" t="s">
        <v>172</v>
      </c>
      <c r="X29" s="943"/>
      <c r="Y29" s="943">
        <v>0</v>
      </c>
      <c r="Z29" s="1046"/>
      <c r="AA29" s="1047"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3"/>
    </row>
    <row r="30" spans="1:62" ht="14.65" hidden="1" customHeight="1" x14ac:dyDescent="0.15">
      <c r="E30" s="491">
        <v>15</v>
      </c>
      <c r="F30" s="3" cm="1">
        <f t="array" aca="1" ref="F30" ca="1">OFFSET(E30,-1,1)</f>
        <v>0</v>
      </c>
      <c r="G30" s="66" t="s">
        <v>331</v>
      </c>
      <c r="H30" s="69" cm="1">
        <f t="array" ref="H30">AC30</f>
        <v>0</v>
      </c>
      <c r="I30" s="66" t="s">
        <v>1118</v>
      </c>
      <c r="T30" s="353" t="b">
        <f ca="1">AND(F30&gt;0,Y29&gt;0)</f>
        <v>0</v>
      </c>
      <c r="X30" s="943"/>
      <c r="Y30" s="943"/>
      <c r="Z30" s="1046"/>
      <c r="AA30" s="1047"/>
      <c r="AB30" s="7" t="str">
        <f>"1."&amp;Y29</f>
        <v>1.0</v>
      </c>
      <c r="AC30" s="186"/>
      <c r="AD30" s="124" t="s">
        <v>828</v>
      </c>
      <c r="AE30" s="778"/>
      <c r="AF30" s="778"/>
      <c r="AG30" s="778"/>
      <c r="AH30" s="778"/>
      <c r="AI30" s="128"/>
      <c r="AJ30" s="778"/>
      <c r="AK30" s="778"/>
      <c r="AL30" s="778"/>
      <c r="AM30" s="778"/>
      <c r="AN30" s="778"/>
      <c r="AO30" s="778"/>
      <c r="AP30" s="778"/>
      <c r="AQ30" s="778"/>
      <c r="AR30" s="778"/>
      <c r="AS30" s="128"/>
      <c r="AT30" s="778"/>
      <c r="AU30" s="778"/>
      <c r="AV30" s="778"/>
      <c r="AW30" s="778"/>
      <c r="AX30" s="778"/>
      <c r="AY30" s="778"/>
      <c r="AZ30" s="778"/>
      <c r="BA30" s="778"/>
      <c r="BB30" s="778"/>
      <c r="BC30" s="826"/>
      <c r="BF30" s="682" t="s">
        <v>1119</v>
      </c>
      <c r="BG30" s="682" t="s">
        <v>1120</v>
      </c>
      <c r="BH30" s="682" cm="1">
        <f t="array" ref="BH30">AC30</f>
        <v>0</v>
      </c>
      <c r="BJ30" s="491" t="b">
        <v>1</v>
      </c>
    </row>
    <row r="31" spans="1:62" ht="14.65" hidden="1" customHeight="1" x14ac:dyDescent="0.15">
      <c r="E31" s="491">
        <v>15</v>
      </c>
      <c r="F31" s="3" cm="1">
        <f t="array" aca="1" ref="F31" ca="1">OFFSET(E31,-1,1)</f>
        <v>0</v>
      </c>
      <c r="G31" s="66" t="s">
        <v>482</v>
      </c>
      <c r="H31" s="69" cm="1">
        <f t="array" ref="H31">H30</f>
        <v>0</v>
      </c>
      <c r="I31" s="66" t="s">
        <v>1118</v>
      </c>
      <c r="T31" s="353" t="b" cm="1">
        <f t="array" aca="1" ref="T31" ca="1">T30</f>
        <v>0</v>
      </c>
      <c r="X31" s="943"/>
      <c r="Y31" s="943"/>
      <c r="Z31" s="1046"/>
      <c r="AA31" s="1047"/>
      <c r="AB31" s="7" t="str">
        <f>AB30&amp;".1"</f>
        <v>1.0.1</v>
      </c>
      <c r="AC31" s="134" t="s">
        <v>1121</v>
      </c>
      <c r="AD31" s="7" t="s">
        <v>558</v>
      </c>
      <c r="AE31" s="778"/>
      <c r="AF31" s="778"/>
      <c r="AG31" s="778"/>
      <c r="AH31" s="778"/>
      <c r="AI31" s="128"/>
      <c r="AJ31" s="778"/>
      <c r="AK31" s="778"/>
      <c r="AL31" s="778"/>
      <c r="AM31" s="778"/>
      <c r="AN31" s="778"/>
      <c r="AO31" s="778"/>
      <c r="AP31" s="778"/>
      <c r="AQ31" s="778"/>
      <c r="AR31" s="778"/>
      <c r="AS31" s="128"/>
      <c r="AT31" s="778"/>
      <c r="AU31" s="778"/>
      <c r="AV31" s="778"/>
      <c r="AW31" s="778"/>
      <c r="AX31" s="778"/>
      <c r="AY31" s="778"/>
      <c r="AZ31" s="778"/>
      <c r="BA31" s="778"/>
      <c r="BB31" s="778"/>
      <c r="BC31" s="826"/>
      <c r="BF31" s="682" t="s">
        <v>1122</v>
      </c>
      <c r="BG31" s="682" t="s">
        <v>1120</v>
      </c>
      <c r="BH31" s="682" cm="1">
        <f t="array" ref="BH31">BH30</f>
        <v>0</v>
      </c>
    </row>
    <row r="32" spans="1:62" ht="14.65" hidden="1" customHeight="1" x14ac:dyDescent="0.15">
      <c r="E32" s="491">
        <v>15</v>
      </c>
      <c r="F32" s="3" cm="1">
        <f t="array" aca="1" ref="F32" ca="1">OFFSET(E32,-1,1)</f>
        <v>0</v>
      </c>
      <c r="H32" s="66" t="str">
        <f>"!=='не определено' &amp;&amp; row.l1 !== null"</f>
        <v>!=='не определено' &amp;&amp; row.l1 !== null</v>
      </c>
      <c r="T32" s="353" t="b">
        <f ca="1">F32&gt;0</f>
        <v>0</v>
      </c>
      <c r="W32" s="497" t="s">
        <v>1123</v>
      </c>
      <c r="X32" s="943"/>
      <c r="Z32" s="1046"/>
      <c r="AB32" s="494"/>
      <c r="AC32" s="145" t="s">
        <v>1124</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1" t="s">
        <v>1120</v>
      </c>
    </row>
    <row r="33" spans="5:62" ht="21.95" hidden="1" customHeight="1" x14ac:dyDescent="0.15">
      <c r="E33" s="491">
        <v>22.5</v>
      </c>
      <c r="F33" s="3" cm="1">
        <f t="array" aca="1" ref="F33" ca="1">OFFSET(E33,-1,1)</f>
        <v>0</v>
      </c>
      <c r="K33" s="602" t="str">
        <f ca="1">F28&amp;"2komm"</f>
        <v>02komm</v>
      </c>
      <c r="L33" s="606" cm="1">
        <f t="array" ref="L33">BC33</f>
        <v>0</v>
      </c>
      <c r="T33" s="353" t="b" cm="1">
        <f t="array" aca="1" ref="T33" ca="1">T32</f>
        <v>0</v>
      </c>
      <c r="X33" s="943"/>
      <c r="Y33" s="496"/>
      <c r="Z33" s="1046"/>
      <c r="AB33" s="124">
        <v>2</v>
      </c>
      <c r="AC33" s="125" t="s">
        <v>1125</v>
      </c>
      <c r="AD33" s="124" t="s">
        <v>828</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6"/>
      <c r="BF33" s="682" t="s">
        <v>1126</v>
      </c>
    </row>
    <row r="34" spans="5:62" ht="15" hidden="1" customHeight="1" x14ac:dyDescent="0.15">
      <c r="E34" s="491">
        <v>0</v>
      </c>
      <c r="F34" s="3" cm="1">
        <f t="array" aca="1" ref="F34" ca="1">OFFSET(E34,-1,1)</f>
        <v>0</v>
      </c>
      <c r="G34" s="66" t="s">
        <v>332</v>
      </c>
      <c r="L34" s="606"/>
      <c r="T34" s="353" t="b">
        <v>0</v>
      </c>
      <c r="W34" s="66" t="s">
        <v>172</v>
      </c>
      <c r="X34" s="943"/>
      <c r="Y34" s="943">
        <v>0</v>
      </c>
      <c r="Z34" s="1046"/>
      <c r="AA34" s="1048"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3"/>
    </row>
    <row r="35" spans="5:62" ht="14.65" hidden="1" customHeight="1" x14ac:dyDescent="0.15">
      <c r="E35" s="491">
        <v>15</v>
      </c>
      <c r="F35" s="3" cm="1">
        <f t="array" aca="1" ref="F35" ca="1">OFFSET(E35,-1,1)</f>
        <v>0</v>
      </c>
      <c r="G35" s="66" t="s">
        <v>332</v>
      </c>
      <c r="H35" s="69" cm="1">
        <f t="array" ref="H35">AC35</f>
        <v>0</v>
      </c>
      <c r="I35" s="66" t="s">
        <v>1127</v>
      </c>
      <c r="T35" s="353" t="b">
        <f ca="1">AND(F35&gt;0,Y34&gt;0)</f>
        <v>0</v>
      </c>
      <c r="X35" s="943"/>
      <c r="Y35" s="943"/>
      <c r="Z35" s="1046"/>
      <c r="AA35" s="1048"/>
      <c r="AB35" s="7" t="str">
        <f>"2."&amp;Y34</f>
        <v>2.0</v>
      </c>
      <c r="AC35" s="186"/>
      <c r="AD35" s="124" t="s">
        <v>828</v>
      </c>
      <c r="AE35" s="128"/>
      <c r="AF35" s="128"/>
      <c r="AG35" s="128"/>
      <c r="AH35" s="128"/>
      <c r="AI35" s="128"/>
      <c r="AJ35" s="778"/>
      <c r="AK35" s="778"/>
      <c r="AL35" s="128"/>
      <c r="AM35" s="128"/>
      <c r="AN35" s="128"/>
      <c r="AO35" s="128"/>
      <c r="AP35" s="128"/>
      <c r="AQ35" s="128"/>
      <c r="AR35" s="128"/>
      <c r="AS35" s="128"/>
      <c r="AT35" s="778"/>
      <c r="AU35" s="778"/>
      <c r="AV35" s="128"/>
      <c r="AW35" s="128"/>
      <c r="AX35" s="128"/>
      <c r="AY35" s="128"/>
      <c r="AZ35" s="128"/>
      <c r="BA35" s="128"/>
      <c r="BB35" s="128"/>
      <c r="BC35" s="826"/>
      <c r="BF35" s="682" t="s">
        <v>1119</v>
      </c>
      <c r="BG35" s="682" t="s">
        <v>1128</v>
      </c>
      <c r="BH35" s="682" cm="1">
        <f t="array" ref="BH35">AC35</f>
        <v>0</v>
      </c>
      <c r="BJ35" s="491" t="b">
        <v>1</v>
      </c>
    </row>
    <row r="36" spans="5:62" ht="14.65" hidden="1" customHeight="1" x14ac:dyDescent="0.15">
      <c r="E36" s="491">
        <v>15</v>
      </c>
      <c r="F36" s="3" cm="1">
        <f t="array" aca="1" ref="F36" ca="1">OFFSET(E36,-1,1)</f>
        <v>0</v>
      </c>
      <c r="G36" s="66" t="s">
        <v>500</v>
      </c>
      <c r="H36" s="69" cm="1">
        <f t="array" ref="H36">H35</f>
        <v>0</v>
      </c>
      <c r="I36" s="66" t="s">
        <v>1127</v>
      </c>
      <c r="T36" s="353" t="b" cm="1">
        <f t="array" aca="1" ref="T36" ca="1">T35</f>
        <v>0</v>
      </c>
      <c r="X36" s="943"/>
      <c r="Y36" s="943"/>
      <c r="Z36" s="1046"/>
      <c r="AA36" s="1048"/>
      <c r="AB36" s="7" t="str">
        <f>AB35&amp;".1"</f>
        <v>2.0.1</v>
      </c>
      <c r="AC36" s="134" t="s">
        <v>1129</v>
      </c>
      <c r="AD36" s="7" t="s">
        <v>558</v>
      </c>
      <c r="AE36" s="128"/>
      <c r="AF36" s="128"/>
      <c r="AG36" s="128"/>
      <c r="AH36" s="128"/>
      <c r="AI36" s="128"/>
      <c r="AJ36" s="778"/>
      <c r="AK36" s="778"/>
      <c r="AL36" s="128"/>
      <c r="AM36" s="128"/>
      <c r="AN36" s="128"/>
      <c r="AO36" s="128"/>
      <c r="AP36" s="128"/>
      <c r="AQ36" s="128"/>
      <c r="AR36" s="128"/>
      <c r="AS36" s="128"/>
      <c r="AT36" s="778"/>
      <c r="AU36" s="778"/>
      <c r="AV36" s="128"/>
      <c r="AW36" s="128"/>
      <c r="AX36" s="128"/>
      <c r="AY36" s="128"/>
      <c r="AZ36" s="128"/>
      <c r="BA36" s="128"/>
      <c r="BB36" s="128"/>
      <c r="BC36" s="826"/>
      <c r="BF36" s="682" t="s">
        <v>1122</v>
      </c>
      <c r="BG36" s="682" t="s">
        <v>1128</v>
      </c>
      <c r="BH36" s="682" cm="1">
        <f t="array" ref="BH36">BH35</f>
        <v>0</v>
      </c>
    </row>
    <row r="37" spans="5:62" ht="14.65" hidden="1" customHeight="1" x14ac:dyDescent="0.15">
      <c r="E37" s="491">
        <v>15</v>
      </c>
      <c r="F37" s="3" cm="1">
        <f t="array" aca="1" ref="F37" ca="1">OFFSET(E37,-1,1)</f>
        <v>0</v>
      </c>
      <c r="H37" s="66" t="str">
        <f>"!=='не определено' &amp;&amp; row.l2 !== null"</f>
        <v>!=='не определено' &amp;&amp; row.l2 !== null</v>
      </c>
      <c r="T37" s="353" t="b">
        <f ca="1">F37&gt;0</f>
        <v>0</v>
      </c>
      <c r="W37" s="497" t="s">
        <v>1123</v>
      </c>
      <c r="X37" s="943"/>
      <c r="Y37" s="495"/>
      <c r="Z37" s="1046"/>
      <c r="AB37" s="494"/>
      <c r="AC37" s="145" t="s">
        <v>1124</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1" t="s">
        <v>1128</v>
      </c>
    </row>
    <row r="38" spans="5:62" ht="22.35" hidden="1" customHeight="1" x14ac:dyDescent="0.15">
      <c r="E38" s="491">
        <v>23</v>
      </c>
      <c r="F38" s="3" cm="1">
        <f t="array" aca="1" ref="F38" ca="1">OFFSET(E38,-1,1)</f>
        <v>0</v>
      </c>
      <c r="K38" s="602" t="str">
        <f ca="1">F28&amp;"3komm"</f>
        <v>03komm</v>
      </c>
      <c r="L38" s="606" cm="1">
        <f t="array" ref="L38">BC38</f>
        <v>0</v>
      </c>
      <c r="T38" s="353" t="b" cm="1">
        <f t="array" aca="1" ref="T38" ca="1">T37</f>
        <v>0</v>
      </c>
      <c r="X38" s="943"/>
      <c r="Y38" s="496"/>
      <c r="Z38" s="1046"/>
      <c r="AB38" s="124">
        <v>3</v>
      </c>
      <c r="AC38" s="125" t="s">
        <v>1130</v>
      </c>
      <c r="AD38" s="124" t="s">
        <v>828</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6"/>
      <c r="BF38" s="682" t="s">
        <v>1131</v>
      </c>
    </row>
    <row r="39" spans="5:62" ht="15" hidden="1" customHeight="1" x14ac:dyDescent="0.15">
      <c r="E39" s="491">
        <v>0</v>
      </c>
      <c r="F39" s="3" cm="1">
        <f t="array" aca="1" ref="F39" ca="1">OFFSET(E39,-1,1)</f>
        <v>0</v>
      </c>
      <c r="G39" s="66" t="s">
        <v>333</v>
      </c>
      <c r="L39" s="606"/>
      <c r="T39" s="353" t="b">
        <v>0</v>
      </c>
      <c r="W39" s="66" t="s">
        <v>172</v>
      </c>
      <c r="X39" s="943"/>
      <c r="Y39" s="943">
        <v>0</v>
      </c>
      <c r="Z39" s="1046"/>
      <c r="AA39" s="1048"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3"/>
    </row>
    <row r="40" spans="5:62" ht="14.65" hidden="1" customHeight="1" x14ac:dyDescent="0.15">
      <c r="E40" s="491">
        <v>15</v>
      </c>
      <c r="F40" s="3" cm="1">
        <f t="array" aca="1" ref="F40" ca="1">OFFSET(E40,-1,1)</f>
        <v>0</v>
      </c>
      <c r="G40" s="66" t="s">
        <v>333</v>
      </c>
      <c r="H40" s="69" cm="1">
        <f t="array" ref="H40">AC40</f>
        <v>0</v>
      </c>
      <c r="I40" s="66" t="s">
        <v>1132</v>
      </c>
      <c r="T40" s="353" t="b">
        <f ca="1">AND(F40&gt;0,Y39&gt;0)</f>
        <v>0</v>
      </c>
      <c r="X40" s="943"/>
      <c r="Y40" s="943"/>
      <c r="Z40" s="1046"/>
      <c r="AA40" s="1048"/>
      <c r="AB40" s="7" t="str">
        <f>"3."&amp;Y39</f>
        <v>3.0</v>
      </c>
      <c r="AC40" s="186"/>
      <c r="AD40" s="124" t="s">
        <v>828</v>
      </c>
      <c r="AE40" s="128"/>
      <c r="AF40" s="128"/>
      <c r="AG40" s="128"/>
      <c r="AH40" s="128"/>
      <c r="AI40" s="128"/>
      <c r="AJ40" s="778"/>
      <c r="AK40" s="778"/>
      <c r="AL40" s="128"/>
      <c r="AM40" s="128"/>
      <c r="AN40" s="128"/>
      <c r="AO40" s="128"/>
      <c r="AP40" s="128"/>
      <c r="AQ40" s="128"/>
      <c r="AR40" s="128"/>
      <c r="AS40" s="128"/>
      <c r="AT40" s="778"/>
      <c r="AU40" s="778"/>
      <c r="AV40" s="128"/>
      <c r="AW40" s="128"/>
      <c r="AX40" s="128"/>
      <c r="AY40" s="128"/>
      <c r="AZ40" s="128"/>
      <c r="BA40" s="128"/>
      <c r="BB40" s="128"/>
      <c r="BC40" s="826"/>
      <c r="BF40" s="682" t="s">
        <v>1119</v>
      </c>
      <c r="BG40" s="682" t="s">
        <v>1133</v>
      </c>
      <c r="BH40" s="682" cm="1">
        <f t="array" ref="BH40">AC40</f>
        <v>0</v>
      </c>
      <c r="BJ40" s="491" t="b">
        <v>1</v>
      </c>
    </row>
    <row r="41" spans="5:62" ht="14.65" hidden="1" customHeight="1" x14ac:dyDescent="0.15">
      <c r="E41" s="491">
        <v>15</v>
      </c>
      <c r="F41" s="3" cm="1">
        <f t="array" aca="1" ref="F41" ca="1">OFFSET(E41,-1,1)</f>
        <v>0</v>
      </c>
      <c r="G41" s="66" t="s">
        <v>969</v>
      </c>
      <c r="H41" s="69" cm="1">
        <f t="array" ref="H41">H40</f>
        <v>0</v>
      </c>
      <c r="I41" s="66" t="s">
        <v>1132</v>
      </c>
      <c r="T41" s="353" t="b" cm="1">
        <f t="array" aca="1" ref="T41" ca="1">T40</f>
        <v>0</v>
      </c>
      <c r="X41" s="943"/>
      <c r="Y41" s="943"/>
      <c r="Z41" s="1046"/>
      <c r="AA41" s="1048"/>
      <c r="AB41" s="7" t="str">
        <f>AB40&amp;".1"</f>
        <v>3.0.1</v>
      </c>
      <c r="AC41" s="134" t="s">
        <v>1134</v>
      </c>
      <c r="AD41" s="7" t="s">
        <v>558</v>
      </c>
      <c r="AE41" s="128"/>
      <c r="AF41" s="128"/>
      <c r="AG41" s="128"/>
      <c r="AH41" s="128"/>
      <c r="AI41" s="128"/>
      <c r="AJ41" s="778"/>
      <c r="AK41" s="778"/>
      <c r="AL41" s="128"/>
      <c r="AM41" s="128"/>
      <c r="AN41" s="128"/>
      <c r="AO41" s="128"/>
      <c r="AP41" s="128"/>
      <c r="AQ41" s="128"/>
      <c r="AR41" s="128"/>
      <c r="AS41" s="128"/>
      <c r="AT41" s="778"/>
      <c r="AU41" s="778"/>
      <c r="AV41" s="128"/>
      <c r="AW41" s="128"/>
      <c r="AX41" s="128"/>
      <c r="AY41" s="128"/>
      <c r="AZ41" s="128"/>
      <c r="BA41" s="128"/>
      <c r="BB41" s="128"/>
      <c r="BC41" s="826"/>
      <c r="BF41" s="682" t="s">
        <v>1122</v>
      </c>
      <c r="BG41" s="682" t="s">
        <v>1133</v>
      </c>
      <c r="BH41" s="682" cm="1">
        <f t="array" ref="BH41">BH40</f>
        <v>0</v>
      </c>
    </row>
    <row r="42" spans="5:62" ht="14.65" hidden="1" customHeight="1" x14ac:dyDescent="0.15">
      <c r="E42" s="491">
        <v>15</v>
      </c>
      <c r="F42" s="3" cm="1">
        <f t="array" aca="1" ref="F42" ca="1">OFFSET(E42,-1,1)</f>
        <v>0</v>
      </c>
      <c r="H42" s="66" t="str">
        <f>"!=='не определено' &amp;&amp; row.l3 !== null"</f>
        <v>!=='не определено' &amp;&amp; row.l3 !== null</v>
      </c>
      <c r="T42" s="353" t="b">
        <f ca="1">F42&gt;0</f>
        <v>0</v>
      </c>
      <c r="W42" s="497" t="s">
        <v>1135</v>
      </c>
      <c r="X42" s="943"/>
      <c r="Y42" s="495"/>
      <c r="Z42" s="1046"/>
      <c r="AB42" s="494"/>
      <c r="AC42" s="145" t="s">
        <v>1124</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1" t="s">
        <v>1133</v>
      </c>
    </row>
    <row r="43" spans="5:62" ht="22.35" hidden="1" customHeight="1" x14ac:dyDescent="0.15">
      <c r="E43" s="491">
        <v>23</v>
      </c>
      <c r="F43" s="3" cm="1">
        <f t="array" aca="1" ref="F43" ca="1">OFFSET(E43,-1,1)</f>
        <v>0</v>
      </c>
      <c r="K43" s="602" t="str">
        <f ca="1">F28&amp;"4komm"</f>
        <v>04komm</v>
      </c>
      <c r="L43" s="606" cm="1">
        <f t="array" ref="L43">BC43</f>
        <v>0</v>
      </c>
      <c r="T43" s="353" t="b" cm="1">
        <f t="array" aca="1" ref="T43" ca="1">T42</f>
        <v>0</v>
      </c>
      <c r="X43" s="943"/>
      <c r="Y43" s="496"/>
      <c r="Z43" s="1046"/>
      <c r="AB43" s="124">
        <v>4</v>
      </c>
      <c r="AC43" s="125" t="s">
        <v>1136</v>
      </c>
      <c r="AD43" s="124" t="s">
        <v>828</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6"/>
      <c r="BF43" s="682" t="s">
        <v>1137</v>
      </c>
    </row>
    <row r="44" spans="5:62" ht="15" hidden="1" customHeight="1" x14ac:dyDescent="0.15">
      <c r="E44" s="491">
        <v>0</v>
      </c>
      <c r="F44" s="3" cm="1">
        <f t="array" aca="1" ref="F44" ca="1">OFFSET(E44,-1,1)</f>
        <v>0</v>
      </c>
      <c r="G44" s="66" t="s">
        <v>335</v>
      </c>
      <c r="L44" s="606"/>
      <c r="T44" s="353" t="b">
        <v>0</v>
      </c>
      <c r="W44" s="66" t="s">
        <v>172</v>
      </c>
      <c r="X44" s="943"/>
      <c r="Y44" s="943">
        <v>0</v>
      </c>
      <c r="Z44" s="1046"/>
      <c r="AA44" s="1048"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3"/>
    </row>
    <row r="45" spans="5:62" ht="14.65" hidden="1" customHeight="1" x14ac:dyDescent="0.15">
      <c r="E45" s="491">
        <v>15</v>
      </c>
      <c r="F45" s="3" cm="1">
        <f t="array" aca="1" ref="F45" ca="1">OFFSET(E45,-1,1)</f>
        <v>0</v>
      </c>
      <c r="G45" s="66" t="s">
        <v>335</v>
      </c>
      <c r="H45" s="69" cm="1">
        <f t="array" ref="H45">AC45</f>
        <v>0</v>
      </c>
      <c r="I45" s="66" t="s">
        <v>1138</v>
      </c>
      <c r="T45" s="353" t="b">
        <f ca="1">AND(F45&gt;0,Y44&gt;0)</f>
        <v>0</v>
      </c>
      <c r="X45" s="943"/>
      <c r="Y45" s="943"/>
      <c r="Z45" s="1046"/>
      <c r="AA45" s="1048"/>
      <c r="AB45" s="7" t="str">
        <f>"4."&amp;Y44</f>
        <v>4.0</v>
      </c>
      <c r="AC45" s="186"/>
      <c r="AD45" s="124" t="s">
        <v>828</v>
      </c>
      <c r="AE45" s="128"/>
      <c r="AF45" s="128"/>
      <c r="AG45" s="128"/>
      <c r="AH45" s="128"/>
      <c r="AI45" s="128"/>
      <c r="AJ45" s="778"/>
      <c r="AK45" s="778"/>
      <c r="AL45" s="128"/>
      <c r="AM45" s="128"/>
      <c r="AN45" s="128"/>
      <c r="AO45" s="128"/>
      <c r="AP45" s="128"/>
      <c r="AQ45" s="128"/>
      <c r="AR45" s="128"/>
      <c r="AS45" s="128"/>
      <c r="AT45" s="778"/>
      <c r="AU45" s="778"/>
      <c r="AV45" s="128"/>
      <c r="AW45" s="128"/>
      <c r="AX45" s="128"/>
      <c r="AY45" s="128"/>
      <c r="AZ45" s="128"/>
      <c r="BA45" s="128"/>
      <c r="BB45" s="128"/>
      <c r="BC45" s="826"/>
      <c r="BF45" s="682" t="s">
        <v>1119</v>
      </c>
      <c r="BG45" s="682" t="s">
        <v>1139</v>
      </c>
      <c r="BH45" s="682" cm="1">
        <f t="array" ref="BH45">AC45</f>
        <v>0</v>
      </c>
      <c r="BJ45" s="491" t="b">
        <v>1</v>
      </c>
    </row>
    <row r="46" spans="5:62" ht="14.65" hidden="1" customHeight="1" x14ac:dyDescent="0.15">
      <c r="E46" s="491">
        <v>15</v>
      </c>
      <c r="F46" s="3" cm="1">
        <f t="array" aca="1" ref="F46" ca="1">OFFSET(E46,-1,1)</f>
        <v>0</v>
      </c>
      <c r="G46" s="66" t="s">
        <v>560</v>
      </c>
      <c r="H46" s="69" cm="1">
        <f t="array" ref="H46">H45</f>
        <v>0</v>
      </c>
      <c r="I46" s="66" t="s">
        <v>1138</v>
      </c>
      <c r="T46" s="353" t="b" cm="1">
        <f t="array" aca="1" ref="T46" ca="1">T45</f>
        <v>0</v>
      </c>
      <c r="X46" s="943"/>
      <c r="Y46" s="943"/>
      <c r="Z46" s="1046"/>
      <c r="AA46" s="1048"/>
      <c r="AB46" s="7" t="str">
        <f>AB45&amp;".1"</f>
        <v>4.0.1</v>
      </c>
      <c r="AC46" s="134" t="s">
        <v>1140</v>
      </c>
      <c r="AD46" s="7" t="s">
        <v>558</v>
      </c>
      <c r="AE46" s="128"/>
      <c r="AF46" s="128"/>
      <c r="AG46" s="128"/>
      <c r="AH46" s="128"/>
      <c r="AI46" s="128"/>
      <c r="AJ46" s="778"/>
      <c r="AK46" s="778"/>
      <c r="AL46" s="128"/>
      <c r="AM46" s="128"/>
      <c r="AN46" s="128"/>
      <c r="AO46" s="128"/>
      <c r="AP46" s="128"/>
      <c r="AQ46" s="128"/>
      <c r="AR46" s="128"/>
      <c r="AS46" s="128"/>
      <c r="AT46" s="778"/>
      <c r="AU46" s="778"/>
      <c r="AV46" s="128"/>
      <c r="AW46" s="128"/>
      <c r="AX46" s="128"/>
      <c r="AY46" s="128"/>
      <c r="AZ46" s="128"/>
      <c r="BA46" s="128"/>
      <c r="BB46" s="128"/>
      <c r="BC46" s="826"/>
      <c r="BF46" s="682" t="s">
        <v>1122</v>
      </c>
      <c r="BG46" s="682" t="s">
        <v>1139</v>
      </c>
      <c r="BH46" s="682" cm="1">
        <f t="array" ref="BH46">BH45</f>
        <v>0</v>
      </c>
    </row>
    <row r="47" spans="5:62" ht="14.65" hidden="1" customHeight="1" x14ac:dyDescent="0.15">
      <c r="E47" s="491">
        <v>15</v>
      </c>
      <c r="F47" s="3" cm="1">
        <f t="array" aca="1" ref="F47" ca="1">OFFSET(E47,-1,1)</f>
        <v>0</v>
      </c>
      <c r="H47" s="66" t="str">
        <f>"!=='не определено' &amp;&amp; row.l4 !== null"</f>
        <v>!=='не определено' &amp;&amp; row.l4 !== null</v>
      </c>
      <c r="T47" s="353" t="b">
        <f ca="1">F47&gt;0</f>
        <v>0</v>
      </c>
      <c r="W47" s="497" t="s">
        <v>1141</v>
      </c>
      <c r="X47" s="943"/>
      <c r="Y47" s="495"/>
      <c r="Z47" s="1046"/>
      <c r="AB47" s="494"/>
      <c r="AC47" s="145" t="s">
        <v>1124</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1" t="s">
        <v>1139</v>
      </c>
    </row>
    <row r="48" spans="5:62" ht="22.35" hidden="1" customHeight="1" x14ac:dyDescent="0.15">
      <c r="E48" s="491">
        <v>23</v>
      </c>
      <c r="F48" s="3" cm="1">
        <f t="array" aca="1" ref="F48" ca="1">OFFSET(E48,-1,1)</f>
        <v>0</v>
      </c>
      <c r="K48" s="602" t="str">
        <f ca="1">F28&amp;"5komm"</f>
        <v>05komm</v>
      </c>
      <c r="L48" s="606" cm="1">
        <f t="array" ref="L48">BC48</f>
        <v>0</v>
      </c>
      <c r="T48" s="353" t="b" cm="1">
        <f t="array" aca="1" ref="T48" ca="1">T47</f>
        <v>0</v>
      </c>
      <c r="X48" s="943"/>
      <c r="Y48" s="496"/>
      <c r="Z48" s="1046"/>
      <c r="AB48" s="124">
        <v>5</v>
      </c>
      <c r="AC48" s="125" t="s">
        <v>1142</v>
      </c>
      <c r="AD48" s="124" t="s">
        <v>828</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6"/>
      <c r="BF48" s="682" t="s">
        <v>1143</v>
      </c>
    </row>
    <row r="49" spans="2:62" ht="15" hidden="1" customHeight="1" x14ac:dyDescent="0.15">
      <c r="E49" s="491">
        <v>0</v>
      </c>
      <c r="F49" s="3" cm="1">
        <f t="array" aca="1" ref="F49" ca="1">OFFSET(E49,-1,1)</f>
        <v>0</v>
      </c>
      <c r="G49" s="66" t="s">
        <v>334</v>
      </c>
      <c r="L49" s="606"/>
      <c r="T49" s="353" t="b">
        <v>0</v>
      </c>
      <c r="W49" s="66" t="s">
        <v>172</v>
      </c>
      <c r="X49" s="943"/>
      <c r="Y49" s="943">
        <v>0</v>
      </c>
      <c r="Z49" s="1046"/>
      <c r="AA49" s="1048"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3"/>
    </row>
    <row r="50" spans="2:62" ht="14.65" hidden="1" customHeight="1" x14ac:dyDescent="0.15">
      <c r="E50" s="491">
        <v>15</v>
      </c>
      <c r="F50" s="3" cm="1">
        <f t="array" aca="1" ref="F50" ca="1">OFFSET(E50,-1,1)</f>
        <v>0</v>
      </c>
      <c r="G50" s="66" t="s">
        <v>334</v>
      </c>
      <c r="H50" s="69" cm="1">
        <f t="array" ref="H50">AC50</f>
        <v>0</v>
      </c>
      <c r="I50" s="66" t="s">
        <v>1144</v>
      </c>
      <c r="T50" s="353" t="b">
        <f ca="1">AND(F50&gt;0,Y49&gt;0)</f>
        <v>0</v>
      </c>
      <c r="X50" s="943"/>
      <c r="Y50" s="943"/>
      <c r="Z50" s="1046"/>
      <c r="AA50" s="1048"/>
      <c r="AB50" s="7" t="str">
        <f>"5."&amp;Y49</f>
        <v>5.0</v>
      </c>
      <c r="AC50" s="186"/>
      <c r="AD50" s="124" t="s">
        <v>828</v>
      </c>
      <c r="AE50" s="128"/>
      <c r="AF50" s="128"/>
      <c r="AG50" s="128"/>
      <c r="AH50" s="128"/>
      <c r="AI50" s="128"/>
      <c r="AJ50" s="778"/>
      <c r="AK50" s="778"/>
      <c r="AL50" s="128"/>
      <c r="AM50" s="128"/>
      <c r="AN50" s="128"/>
      <c r="AO50" s="128"/>
      <c r="AP50" s="128"/>
      <c r="AQ50" s="128"/>
      <c r="AR50" s="128"/>
      <c r="AS50" s="128"/>
      <c r="AT50" s="778"/>
      <c r="AU50" s="778"/>
      <c r="AV50" s="128"/>
      <c r="AW50" s="128"/>
      <c r="AX50" s="128"/>
      <c r="AY50" s="128"/>
      <c r="AZ50" s="128"/>
      <c r="BA50" s="128"/>
      <c r="BB50" s="128"/>
      <c r="BC50" s="826"/>
      <c r="BF50" s="682" t="s">
        <v>1119</v>
      </c>
      <c r="BG50" s="682" t="s">
        <v>1145</v>
      </c>
      <c r="BH50" s="682" cm="1">
        <f t="array" ref="BH50">AC50</f>
        <v>0</v>
      </c>
      <c r="BJ50" s="491" t="b">
        <v>1</v>
      </c>
    </row>
    <row r="51" spans="2:62" ht="14.65" hidden="1" customHeight="1" x14ac:dyDescent="0.15">
      <c r="E51" s="491">
        <v>15</v>
      </c>
      <c r="F51" s="3" cm="1">
        <f t="array" aca="1" ref="F51" ca="1">OFFSET(E51,-1,1)</f>
        <v>0</v>
      </c>
      <c r="G51" s="66" t="s">
        <v>574</v>
      </c>
      <c r="H51" s="69" cm="1">
        <f t="array" ref="H51">H50</f>
        <v>0</v>
      </c>
      <c r="I51" s="66" t="s">
        <v>1144</v>
      </c>
      <c r="T51" s="353" t="b" cm="1">
        <f t="array" aca="1" ref="T51" ca="1">T50</f>
        <v>0</v>
      </c>
      <c r="X51" s="943"/>
      <c r="Y51" s="943"/>
      <c r="Z51" s="1046"/>
      <c r="AA51" s="1048"/>
      <c r="AB51" s="7" t="str">
        <f>AB50&amp;".1"</f>
        <v>5.0.1</v>
      </c>
      <c r="AC51" s="134" t="s">
        <v>1146</v>
      </c>
      <c r="AD51" s="7" t="s">
        <v>558</v>
      </c>
      <c r="AE51" s="128"/>
      <c r="AF51" s="128"/>
      <c r="AG51" s="128"/>
      <c r="AH51" s="128"/>
      <c r="AI51" s="128"/>
      <c r="AJ51" s="778"/>
      <c r="AK51" s="778"/>
      <c r="AL51" s="128"/>
      <c r="AM51" s="128"/>
      <c r="AN51" s="128"/>
      <c r="AO51" s="128"/>
      <c r="AP51" s="128"/>
      <c r="AQ51" s="128"/>
      <c r="AR51" s="128"/>
      <c r="AS51" s="128"/>
      <c r="AT51" s="778"/>
      <c r="AU51" s="778"/>
      <c r="AV51" s="128"/>
      <c r="AW51" s="128"/>
      <c r="AX51" s="128"/>
      <c r="AY51" s="128"/>
      <c r="AZ51" s="128"/>
      <c r="BA51" s="128"/>
      <c r="BB51" s="128"/>
      <c r="BC51" s="826"/>
      <c r="BF51" s="682" t="s">
        <v>1122</v>
      </c>
      <c r="BG51" s="682" t="s">
        <v>1145</v>
      </c>
      <c r="BH51" s="682" cm="1">
        <f t="array" ref="BH51">BH50</f>
        <v>0</v>
      </c>
    </row>
    <row r="52" spans="2:62" ht="14.65" hidden="1" customHeight="1" x14ac:dyDescent="0.15">
      <c r="E52" s="491">
        <v>15</v>
      </c>
      <c r="F52" s="3" cm="1">
        <f t="array" aca="1" ref="F52" ca="1">OFFSET(E52,-1,1)</f>
        <v>0</v>
      </c>
      <c r="H52" s="66" t="str">
        <f>"!=='не определено' &amp;&amp; row.l5 !== null"</f>
        <v>!=='не определено' &amp;&amp; row.l5 !== null</v>
      </c>
      <c r="T52" s="353" t="b">
        <f ca="1">F52&gt;0</f>
        <v>0</v>
      </c>
      <c r="W52" s="497" t="s">
        <v>1147</v>
      </c>
      <c r="X52" s="943"/>
      <c r="Y52" s="83"/>
      <c r="Z52" s="1046"/>
      <c r="AB52" s="494"/>
      <c r="AC52" s="145" t="s">
        <v>1124</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1" t="s">
        <v>1145</v>
      </c>
    </row>
    <row r="53" spans="2:62" s="67" customFormat="1" ht="14.65" hidden="1" customHeight="1" x14ac:dyDescent="0.15">
      <c r="B53" s="338"/>
      <c r="E53" s="492">
        <v>15</v>
      </c>
      <c r="F53" s="3" cm="1">
        <f t="array" aca="1" ref="F53" ca="1">OFFSET(E53,-1,1)</f>
        <v>0</v>
      </c>
      <c r="G53" s="66" t="s">
        <v>532</v>
      </c>
      <c r="K53" s="602" t="str">
        <f ca="1">F28&amp;"6komm"</f>
        <v>06komm</v>
      </c>
      <c r="L53" s="606" cm="1">
        <f t="array" ref="L53">BC53</f>
        <v>0</v>
      </c>
      <c r="T53" s="353" t="b" cm="1">
        <f t="array" aca="1" ref="T53" ca="1">T52</f>
        <v>0</v>
      </c>
      <c r="X53" s="943"/>
      <c r="Z53" s="1046"/>
      <c r="AB53" s="124">
        <v>6</v>
      </c>
      <c r="AC53" s="125" t="s">
        <v>1148</v>
      </c>
      <c r="AD53" s="124" t="s">
        <v>828</v>
      </c>
      <c r="AE53" s="774"/>
      <c r="AF53" s="774"/>
      <c r="AG53" s="774"/>
      <c r="AH53" s="774"/>
      <c r="AI53" s="138"/>
      <c r="AJ53" s="774"/>
      <c r="AK53" s="774"/>
      <c r="AL53" s="774"/>
      <c r="AM53" s="774"/>
      <c r="AN53" s="774"/>
      <c r="AO53" s="774"/>
      <c r="AP53" s="774"/>
      <c r="AQ53" s="774"/>
      <c r="AR53" s="774"/>
      <c r="AS53" s="138"/>
      <c r="AT53" s="774"/>
      <c r="AU53" s="774"/>
      <c r="AV53" s="774"/>
      <c r="AW53" s="774"/>
      <c r="AX53" s="774"/>
      <c r="AY53" s="774"/>
      <c r="AZ53" s="774"/>
      <c r="BA53" s="774"/>
      <c r="BB53" s="774"/>
      <c r="BC53" s="826"/>
      <c r="BF53" s="685" t="s">
        <v>1149</v>
      </c>
      <c r="BG53" s="685"/>
      <c r="BH53" s="685"/>
      <c r="BI53" s="492"/>
      <c r="BJ53" s="492"/>
    </row>
    <row r="54" spans="2:62" s="67" customFormat="1" ht="14.65" hidden="1" customHeight="1" x14ac:dyDescent="0.15">
      <c r="B54" s="338"/>
      <c r="E54" s="492">
        <v>15</v>
      </c>
      <c r="F54" s="3" cm="1">
        <f t="array" aca="1" ref="F54" ca="1">OFFSET(E54,-1,1)</f>
        <v>0</v>
      </c>
      <c r="G54" s="66" t="s">
        <v>535</v>
      </c>
      <c r="K54" s="602" t="str">
        <f ca="1">F28&amp;"7komm"</f>
        <v>07komm</v>
      </c>
      <c r="L54" s="606" cm="1">
        <f t="array" ref="L54">BC54</f>
        <v>0</v>
      </c>
      <c r="T54" s="353" t="b" cm="1">
        <f t="array" aca="1" ref="T54" ca="1">T53</f>
        <v>0</v>
      </c>
      <c r="X54" s="943"/>
      <c r="Z54" s="1046"/>
      <c r="AB54" s="124">
        <v>7</v>
      </c>
      <c r="AC54" s="125" t="s">
        <v>1150</v>
      </c>
      <c r="AD54" s="124" t="s">
        <v>828</v>
      </c>
      <c r="AE54" s="774"/>
      <c r="AF54" s="774"/>
      <c r="AG54" s="774"/>
      <c r="AH54" s="774"/>
      <c r="AI54" s="138"/>
      <c r="AJ54" s="774"/>
      <c r="AK54" s="774"/>
      <c r="AL54" s="774"/>
      <c r="AM54" s="774"/>
      <c r="AN54" s="774"/>
      <c r="AO54" s="774"/>
      <c r="AP54" s="774"/>
      <c r="AQ54" s="774"/>
      <c r="AR54" s="774"/>
      <c r="AS54" s="138"/>
      <c r="AT54" s="774"/>
      <c r="AU54" s="774"/>
      <c r="AV54" s="774"/>
      <c r="AW54" s="774"/>
      <c r="AX54" s="774"/>
      <c r="AY54" s="774"/>
      <c r="AZ54" s="774"/>
      <c r="BA54" s="774"/>
      <c r="BB54" s="774"/>
      <c r="BC54" s="826"/>
      <c r="BF54" s="685" t="s">
        <v>1151</v>
      </c>
      <c r="BG54" s="685"/>
      <c r="BH54" s="685"/>
      <c r="BI54" s="492"/>
      <c r="BJ54" s="492"/>
    </row>
    <row r="55" spans="2:62" s="67" customFormat="1" ht="14.65" hidden="1" customHeight="1" x14ac:dyDescent="0.15">
      <c r="B55" s="338"/>
      <c r="E55" s="492">
        <v>15</v>
      </c>
      <c r="F55" s="3" cm="1">
        <f t="array" aca="1" ref="F55" ca="1">OFFSET(E55,-1,1)</f>
        <v>0</v>
      </c>
      <c r="G55" s="66" t="s">
        <v>586</v>
      </c>
      <c r="K55" s="602" t="str">
        <f ca="1">F28&amp;"8komm"</f>
        <v>08komm</v>
      </c>
      <c r="L55" s="606" cm="1">
        <f t="array" ref="L55">BC55</f>
        <v>0</v>
      </c>
      <c r="T55" s="353" t="b" cm="1">
        <f t="array" aca="1" ref="T55" ca="1">T54</f>
        <v>0</v>
      </c>
      <c r="X55" s="943"/>
      <c r="Z55" s="1046"/>
      <c r="AB55" s="124">
        <v>8</v>
      </c>
      <c r="AC55" s="125" t="s">
        <v>1152</v>
      </c>
      <c r="AD55" s="124" t="s">
        <v>828</v>
      </c>
      <c r="AE55" s="774"/>
      <c r="AF55" s="774"/>
      <c r="AG55" s="774"/>
      <c r="AH55" s="774"/>
      <c r="AI55" s="138"/>
      <c r="AJ55" s="774"/>
      <c r="AK55" s="774"/>
      <c r="AL55" s="774"/>
      <c r="AM55" s="774"/>
      <c r="AN55" s="774"/>
      <c r="AO55" s="774"/>
      <c r="AP55" s="774"/>
      <c r="AQ55" s="774"/>
      <c r="AR55" s="774"/>
      <c r="AS55" s="138"/>
      <c r="AT55" s="774"/>
      <c r="AU55" s="774"/>
      <c r="AV55" s="774"/>
      <c r="AW55" s="774"/>
      <c r="AX55" s="774"/>
      <c r="AY55" s="774"/>
      <c r="AZ55" s="774"/>
      <c r="BA55" s="774"/>
      <c r="BB55" s="774"/>
      <c r="BC55" s="826"/>
      <c r="BF55" s="685" t="s">
        <v>1153</v>
      </c>
      <c r="BG55" s="685"/>
      <c r="BH55" s="685"/>
      <c r="BI55" s="492"/>
      <c r="BJ55" s="492"/>
    </row>
    <row r="56" spans="2:62" s="67" customFormat="1" ht="14.65" hidden="1" customHeight="1" x14ac:dyDescent="0.15">
      <c r="B56" s="338"/>
      <c r="E56" s="492">
        <v>15</v>
      </c>
      <c r="F56" s="3" cm="1">
        <f t="array" aca="1" ref="F56" ca="1">OFFSET(E56,-1,1)</f>
        <v>0</v>
      </c>
      <c r="G56" s="66"/>
      <c r="K56" s="602" t="str">
        <f ca="1">F28&amp;"9komm"</f>
        <v>09komm</v>
      </c>
      <c r="L56" s="606" cm="1">
        <f t="array" ref="L56">BC56</f>
        <v>0</v>
      </c>
      <c r="T56" s="353" t="b" cm="1">
        <f t="array" aca="1" ref="T56" ca="1">T55</f>
        <v>0</v>
      </c>
      <c r="X56" s="943"/>
      <c r="Z56" s="1046"/>
      <c r="AB56" s="124">
        <v>9</v>
      </c>
      <c r="AC56" s="125" t="s">
        <v>1154</v>
      </c>
      <c r="AD56" s="124" t="s">
        <v>828</v>
      </c>
      <c r="AE56" s="774"/>
      <c r="AF56" s="774"/>
      <c r="AG56" s="774"/>
      <c r="AH56" s="774"/>
      <c r="AI56" s="138"/>
      <c r="AJ56" s="774"/>
      <c r="AK56" s="774"/>
      <c r="AL56" s="774"/>
      <c r="AM56" s="774"/>
      <c r="AN56" s="774"/>
      <c r="AO56" s="774"/>
      <c r="AP56" s="774"/>
      <c r="AQ56" s="774"/>
      <c r="AR56" s="774"/>
      <c r="AS56" s="138"/>
      <c r="AT56" s="774"/>
      <c r="AU56" s="774"/>
      <c r="AV56" s="774"/>
      <c r="AW56" s="774"/>
      <c r="AX56" s="774"/>
      <c r="AY56" s="774"/>
      <c r="AZ56" s="774"/>
      <c r="BA56" s="774"/>
      <c r="BB56" s="774"/>
      <c r="BC56" s="826"/>
      <c r="BF56" s="685" t="s">
        <v>1155</v>
      </c>
      <c r="BG56" s="685"/>
      <c r="BH56" s="685"/>
      <c r="BI56" s="492"/>
      <c r="BJ56" s="492"/>
    </row>
    <row r="57" spans="2:62" ht="19.350000000000001" customHeight="1" x14ac:dyDescent="0.15">
      <c r="E57" s="491">
        <v>15</v>
      </c>
      <c r="F57" s="17" t="str" cm="1">
        <f t="array" ref="F57">X57</f>
        <v>1</v>
      </c>
      <c r="I57" s="66" t="s">
        <v>1115</v>
      </c>
      <c r="T57" s="353" t="b">
        <f>X57&gt;0</f>
        <v>1</v>
      </c>
      <c r="V57" s="66" t="str" cm="1">
        <f t="array" ref="V57">Аренда!$AB$37</f>
        <v>Тариф 1 (Водоснабжение) - тариф на техническую воду</v>
      </c>
      <c r="X57" s="943" t="s">
        <v>275</v>
      </c>
      <c r="Y57" s="493"/>
      <c r="Z57" s="1046"/>
      <c r="AB57" s="135" t="str" cm="1">
        <f t="array" ref="AB57">Аренда!$AB$37</f>
        <v>Тариф 1 (Водоснабжение) - тариф на техническую воду</v>
      </c>
      <c r="AC57" s="94"/>
      <c r="AD57" s="94"/>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7"/>
    </row>
    <row r="58" spans="2:62" ht="0" hidden="1" customHeight="1" x14ac:dyDescent="0.15">
      <c r="E58" s="491">
        <v>15</v>
      </c>
      <c r="F58" s="3" t="str" cm="1">
        <f t="array" aca="1" ref="F58" ca="1">OFFSET(E58,-1,1)</f>
        <v>1</v>
      </c>
      <c r="G58" s="66" t="s">
        <v>331</v>
      </c>
      <c r="K58" s="602" t="str">
        <f ca="1">F58&amp;"1komm"</f>
        <v>11komm</v>
      </c>
      <c r="L58" s="606" cm="1">
        <f t="array" ref="L58">BC58</f>
        <v>0</v>
      </c>
      <c r="T58" s="353" t="b" cm="1">
        <f t="array" ref="T58">T57</f>
        <v>1</v>
      </c>
      <c r="X58" s="943"/>
      <c r="Z58" s="1046"/>
      <c r="AB58" s="124">
        <v>1</v>
      </c>
      <c r="AC58" s="125" t="s">
        <v>1116</v>
      </c>
      <c r="AD58" s="124" t="s">
        <v>828</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2" t="s">
        <v>1117</v>
      </c>
    </row>
    <row r="59" spans="2:62" ht="0" hidden="1" customHeight="1" x14ac:dyDescent="0.15">
      <c r="E59" s="491">
        <v>0</v>
      </c>
      <c r="F59" s="3" t="str" cm="1">
        <f t="array" aca="1" ref="F59" ca="1">OFFSET(E59,-1,1)</f>
        <v>1</v>
      </c>
      <c r="L59" s="606"/>
      <c r="T59" s="353" t="b">
        <v>0</v>
      </c>
      <c r="W59" s="66" t="s">
        <v>172</v>
      </c>
      <c r="X59" s="943"/>
      <c r="Y59" s="943">
        <v>0</v>
      </c>
      <c r="Z59" s="1046"/>
      <c r="AA59" s="1047"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3"/>
    </row>
    <row r="60" spans="2:62" ht="0" hidden="1" customHeight="1" x14ac:dyDescent="0.15">
      <c r="E60" s="491">
        <v>15</v>
      </c>
      <c r="F60" s="3" t="str" cm="1">
        <f t="array" aca="1" ref="F60" ca="1">OFFSET(E60,-1,1)</f>
        <v>1</v>
      </c>
      <c r="G60" s="66" t="s">
        <v>331</v>
      </c>
      <c r="H60" s="69" cm="1">
        <f t="array" ref="H60">AC60</f>
        <v>0</v>
      </c>
      <c r="I60" s="66" t="s">
        <v>1118</v>
      </c>
      <c r="T60" s="353" t="b">
        <f ca="1">AND(F60&gt;0,Y59&gt;0)</f>
        <v>0</v>
      </c>
      <c r="X60" s="943"/>
      <c r="Y60" s="943"/>
      <c r="Z60" s="1046"/>
      <c r="AA60" s="1047"/>
      <c r="AB60" s="7" t="str">
        <f>"1."&amp;Y59</f>
        <v>1.0</v>
      </c>
      <c r="AC60" s="186"/>
      <c r="AD60" s="124" t="s">
        <v>828</v>
      </c>
      <c r="AE60" s="778"/>
      <c r="AF60" s="778"/>
      <c r="AG60" s="778"/>
      <c r="AH60" s="778"/>
      <c r="AI60" s="128"/>
      <c r="AJ60" s="778"/>
      <c r="AK60" s="778"/>
      <c r="AL60" s="778"/>
      <c r="AM60" s="778"/>
      <c r="AN60" s="778"/>
      <c r="AO60" s="778"/>
      <c r="AP60" s="778"/>
      <c r="AQ60" s="778"/>
      <c r="AR60" s="778"/>
      <c r="AS60" s="128"/>
      <c r="AT60" s="778"/>
      <c r="AU60" s="778"/>
      <c r="AV60" s="778"/>
      <c r="AW60" s="778"/>
      <c r="AX60" s="778"/>
      <c r="AY60" s="778"/>
      <c r="AZ60" s="778"/>
      <c r="BA60" s="778"/>
      <c r="BB60" s="778"/>
      <c r="BC60" s="826"/>
      <c r="BF60" s="682" t="s">
        <v>1119</v>
      </c>
      <c r="BG60" s="682" t="s">
        <v>1120</v>
      </c>
      <c r="BH60" s="682" cm="1">
        <f t="array" ref="BH60">AC60</f>
        <v>0</v>
      </c>
      <c r="BJ60" s="491" t="b">
        <v>1</v>
      </c>
    </row>
    <row r="61" spans="2:62" ht="0" hidden="1" customHeight="1" x14ac:dyDescent="0.15">
      <c r="E61" s="491">
        <v>15</v>
      </c>
      <c r="F61" s="3" t="str" cm="1">
        <f t="array" aca="1" ref="F61" ca="1">OFFSET(E61,-1,1)</f>
        <v>1</v>
      </c>
      <c r="G61" s="66" t="s">
        <v>482</v>
      </c>
      <c r="H61" s="69" cm="1">
        <f t="array" ref="H61">H60</f>
        <v>0</v>
      </c>
      <c r="I61" s="66" t="s">
        <v>1118</v>
      </c>
      <c r="T61" s="353" t="b" cm="1">
        <f t="array" aca="1" ref="T61" ca="1">T60</f>
        <v>0</v>
      </c>
      <c r="X61" s="943"/>
      <c r="Y61" s="943"/>
      <c r="Z61" s="1046"/>
      <c r="AA61" s="1047"/>
      <c r="AB61" s="7" t="str">
        <f>AB60&amp;".1"</f>
        <v>1.0.1</v>
      </c>
      <c r="AC61" s="134" t="s">
        <v>1121</v>
      </c>
      <c r="AD61" s="7" t="s">
        <v>558</v>
      </c>
      <c r="AE61" s="778"/>
      <c r="AF61" s="778"/>
      <c r="AG61" s="778"/>
      <c r="AH61" s="778"/>
      <c r="AI61" s="128"/>
      <c r="AJ61" s="778"/>
      <c r="AK61" s="778"/>
      <c r="AL61" s="778"/>
      <c r="AM61" s="778"/>
      <c r="AN61" s="778"/>
      <c r="AO61" s="778"/>
      <c r="AP61" s="778"/>
      <c r="AQ61" s="778"/>
      <c r="AR61" s="778"/>
      <c r="AS61" s="128"/>
      <c r="AT61" s="778"/>
      <c r="AU61" s="778"/>
      <c r="AV61" s="778"/>
      <c r="AW61" s="778"/>
      <c r="AX61" s="778"/>
      <c r="AY61" s="778"/>
      <c r="AZ61" s="778"/>
      <c r="BA61" s="778"/>
      <c r="BB61" s="778"/>
      <c r="BC61" s="826"/>
      <c r="BF61" s="682" t="s">
        <v>1122</v>
      </c>
      <c r="BG61" s="682" t="s">
        <v>1120</v>
      </c>
      <c r="BH61" s="682" cm="1">
        <f t="array" ref="BH61">BH60</f>
        <v>0</v>
      </c>
    </row>
    <row r="62" spans="2:62" ht="0" hidden="1" customHeight="1" x14ac:dyDescent="0.15">
      <c r="E62" s="491">
        <v>15</v>
      </c>
      <c r="F62" s="3" t="str" cm="1">
        <f t="array" aca="1" ref="F62" ca="1">OFFSET(E62,-1,1)</f>
        <v>1</v>
      </c>
      <c r="H62" s="66" t="str">
        <f>"!=='не определено' &amp;&amp; row.l1 !== null"</f>
        <v>!=='не определено' &amp;&amp; row.l1 !== null</v>
      </c>
      <c r="T62" s="353" t="b">
        <f ca="1">F62&gt;0</f>
        <v>1</v>
      </c>
      <c r="W62" s="497" t="s">
        <v>1123</v>
      </c>
      <c r="X62" s="943"/>
      <c r="Z62" s="1046"/>
      <c r="AB62" s="494"/>
      <c r="AC62" s="145" t="s">
        <v>1124</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91" t="s">
        <v>1120</v>
      </c>
    </row>
    <row r="63" spans="2:62" ht="0" hidden="1" customHeight="1" x14ac:dyDescent="0.15">
      <c r="E63" s="491">
        <v>22.5</v>
      </c>
      <c r="F63" s="3" t="str" cm="1">
        <f t="array" aca="1" ref="F63" ca="1">OFFSET(E63,-1,1)</f>
        <v>1</v>
      </c>
      <c r="K63" s="602" t="str">
        <f ca="1">F58&amp;"2komm"</f>
        <v>12komm</v>
      </c>
      <c r="L63" s="606" cm="1">
        <f t="array" ref="L63">BC63</f>
        <v>0</v>
      </c>
      <c r="T63" s="353" t="b" cm="1">
        <f t="array" aca="1" ref="T63" ca="1">T62</f>
        <v>1</v>
      </c>
      <c r="X63" s="943"/>
      <c r="Y63" s="496"/>
      <c r="Z63" s="1046"/>
      <c r="AB63" s="124">
        <v>2</v>
      </c>
      <c r="AC63" s="125" t="s">
        <v>1125</v>
      </c>
      <c r="AD63" s="124" t="s">
        <v>828</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2" t="s">
        <v>1126</v>
      </c>
    </row>
    <row r="64" spans="2:62" ht="0" hidden="1" customHeight="1" x14ac:dyDescent="0.15">
      <c r="E64" s="491">
        <v>0</v>
      </c>
      <c r="F64" s="3" t="str" cm="1">
        <f t="array" aca="1" ref="F64" ca="1">OFFSET(E64,-1,1)</f>
        <v>1</v>
      </c>
      <c r="G64" s="66" t="s">
        <v>332</v>
      </c>
      <c r="L64" s="606"/>
      <c r="T64" s="353" t="b">
        <v>0</v>
      </c>
      <c r="W64" s="66" t="s">
        <v>172</v>
      </c>
      <c r="X64" s="943"/>
      <c r="Y64" s="943">
        <v>0</v>
      </c>
      <c r="Z64" s="1046"/>
      <c r="AA64" s="1048" t="s">
        <v>173</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3"/>
    </row>
    <row r="65" spans="5:62" ht="0" hidden="1" customHeight="1" x14ac:dyDescent="0.15">
      <c r="E65" s="491">
        <v>15</v>
      </c>
      <c r="F65" s="3" t="str" cm="1">
        <f t="array" aca="1" ref="F65" ca="1">OFFSET(E65,-1,1)</f>
        <v>1</v>
      </c>
      <c r="G65" s="66" t="s">
        <v>332</v>
      </c>
      <c r="H65" s="69" cm="1">
        <f t="array" ref="H65">AC65</f>
        <v>0</v>
      </c>
      <c r="I65" s="66" t="s">
        <v>1127</v>
      </c>
      <c r="T65" s="353" t="b">
        <f ca="1">AND(F65&gt;0,Y64&gt;0)</f>
        <v>0</v>
      </c>
      <c r="X65" s="943"/>
      <c r="Y65" s="943"/>
      <c r="Z65" s="1046"/>
      <c r="AA65" s="1048"/>
      <c r="AB65" s="7" t="str">
        <f>"2."&amp;Y64</f>
        <v>2.0</v>
      </c>
      <c r="AC65" s="186"/>
      <c r="AD65" s="124" t="s">
        <v>828</v>
      </c>
      <c r="AE65" s="128"/>
      <c r="AF65" s="128"/>
      <c r="AG65" s="128"/>
      <c r="AH65" s="128"/>
      <c r="AI65" s="128"/>
      <c r="AJ65" s="778"/>
      <c r="AK65" s="778"/>
      <c r="AL65" s="128"/>
      <c r="AM65" s="128"/>
      <c r="AN65" s="128"/>
      <c r="AO65" s="128"/>
      <c r="AP65" s="128"/>
      <c r="AQ65" s="128"/>
      <c r="AR65" s="128"/>
      <c r="AS65" s="128"/>
      <c r="AT65" s="778"/>
      <c r="AU65" s="778"/>
      <c r="AV65" s="128"/>
      <c r="AW65" s="128"/>
      <c r="AX65" s="128"/>
      <c r="AY65" s="128"/>
      <c r="AZ65" s="128"/>
      <c r="BA65" s="128"/>
      <c r="BB65" s="128"/>
      <c r="BC65" s="826"/>
      <c r="BF65" s="682" t="s">
        <v>1119</v>
      </c>
      <c r="BG65" s="682" t="s">
        <v>1128</v>
      </c>
      <c r="BH65" s="682" cm="1">
        <f t="array" ref="BH65">AC65</f>
        <v>0</v>
      </c>
      <c r="BJ65" s="491" t="b">
        <v>1</v>
      </c>
    </row>
    <row r="66" spans="5:62" ht="0" hidden="1" customHeight="1" x14ac:dyDescent="0.15">
      <c r="E66" s="491">
        <v>15</v>
      </c>
      <c r="F66" s="3" t="str" cm="1">
        <f t="array" aca="1" ref="F66" ca="1">OFFSET(E66,-1,1)</f>
        <v>1</v>
      </c>
      <c r="G66" s="66" t="s">
        <v>500</v>
      </c>
      <c r="H66" s="69" cm="1">
        <f t="array" ref="H66">H65</f>
        <v>0</v>
      </c>
      <c r="I66" s="66" t="s">
        <v>1127</v>
      </c>
      <c r="T66" s="353" t="b" cm="1">
        <f t="array" aca="1" ref="T66" ca="1">T65</f>
        <v>0</v>
      </c>
      <c r="X66" s="943"/>
      <c r="Y66" s="943"/>
      <c r="Z66" s="1046"/>
      <c r="AA66" s="1048"/>
      <c r="AB66" s="7" t="str">
        <f>AB65&amp;".1"</f>
        <v>2.0.1</v>
      </c>
      <c r="AC66" s="134" t="s">
        <v>1129</v>
      </c>
      <c r="AD66" s="7" t="s">
        <v>558</v>
      </c>
      <c r="AE66" s="128"/>
      <c r="AF66" s="128"/>
      <c r="AG66" s="128"/>
      <c r="AH66" s="128"/>
      <c r="AI66" s="128"/>
      <c r="AJ66" s="778"/>
      <c r="AK66" s="778"/>
      <c r="AL66" s="128"/>
      <c r="AM66" s="128"/>
      <c r="AN66" s="128"/>
      <c r="AO66" s="128"/>
      <c r="AP66" s="128"/>
      <c r="AQ66" s="128"/>
      <c r="AR66" s="128"/>
      <c r="AS66" s="128"/>
      <c r="AT66" s="778"/>
      <c r="AU66" s="778"/>
      <c r="AV66" s="128"/>
      <c r="AW66" s="128"/>
      <c r="AX66" s="128"/>
      <c r="AY66" s="128"/>
      <c r="AZ66" s="128"/>
      <c r="BA66" s="128"/>
      <c r="BB66" s="128"/>
      <c r="BC66" s="826"/>
      <c r="BF66" s="682" t="s">
        <v>1122</v>
      </c>
      <c r="BG66" s="682" t="s">
        <v>1128</v>
      </c>
      <c r="BH66" s="682" cm="1">
        <f t="array" ref="BH66">BH65</f>
        <v>0</v>
      </c>
    </row>
    <row r="67" spans="5:62" ht="0" hidden="1" customHeight="1" x14ac:dyDescent="0.15">
      <c r="E67" s="491">
        <v>15</v>
      </c>
      <c r="F67" s="3" t="str" cm="1">
        <f t="array" aca="1" ref="F67" ca="1">OFFSET(E67,-1,1)</f>
        <v>1</v>
      </c>
      <c r="H67" s="66" t="str">
        <f>"!=='не определено' &amp;&amp; row.l2 !== null"</f>
        <v>!=='не определено' &amp;&amp; row.l2 !== null</v>
      </c>
      <c r="T67" s="353" t="b">
        <f ca="1">F67&gt;0</f>
        <v>1</v>
      </c>
      <c r="W67" s="497" t="s">
        <v>1123</v>
      </c>
      <c r="X67" s="943"/>
      <c r="Y67" s="495"/>
      <c r="Z67" s="1046"/>
      <c r="AB67" s="494"/>
      <c r="AC67" s="145" t="s">
        <v>1124</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91" t="s">
        <v>1128</v>
      </c>
    </row>
    <row r="68" spans="5:62" ht="0" hidden="1" customHeight="1" x14ac:dyDescent="0.15">
      <c r="E68" s="491">
        <v>23</v>
      </c>
      <c r="F68" s="3" t="str" cm="1">
        <f t="array" aca="1" ref="F68" ca="1">OFFSET(E68,-1,1)</f>
        <v>1</v>
      </c>
      <c r="K68" s="602" t="str">
        <f ca="1">F58&amp;"3komm"</f>
        <v>13komm</v>
      </c>
      <c r="L68" s="606" cm="1">
        <f t="array" ref="L68">BC68</f>
        <v>0</v>
      </c>
      <c r="T68" s="353" t="b" cm="1">
        <f t="array" aca="1" ref="T68" ca="1">T67</f>
        <v>1</v>
      </c>
      <c r="X68" s="943"/>
      <c r="Y68" s="496"/>
      <c r="Z68" s="1046"/>
      <c r="AB68" s="124">
        <v>3</v>
      </c>
      <c r="AC68" s="125" t="s">
        <v>1130</v>
      </c>
      <c r="AD68" s="124" t="s">
        <v>828</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2" t="s">
        <v>1131</v>
      </c>
    </row>
    <row r="69" spans="5:62" ht="0" hidden="1" customHeight="1" x14ac:dyDescent="0.15">
      <c r="E69" s="491">
        <v>0</v>
      </c>
      <c r="F69" s="3" t="str" cm="1">
        <f t="array" aca="1" ref="F69" ca="1">OFFSET(E69,-1,1)</f>
        <v>1</v>
      </c>
      <c r="G69" s="66" t="s">
        <v>333</v>
      </c>
      <c r="L69" s="606"/>
      <c r="T69" s="353" t="b">
        <v>0</v>
      </c>
      <c r="W69" s="66" t="s">
        <v>172</v>
      </c>
      <c r="X69" s="943"/>
      <c r="Y69" s="943">
        <v>0</v>
      </c>
      <c r="Z69" s="1046"/>
      <c r="AA69" s="1048" t="s">
        <v>173</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3"/>
    </row>
    <row r="70" spans="5:62" ht="0" hidden="1" customHeight="1" x14ac:dyDescent="0.15">
      <c r="E70" s="491">
        <v>15</v>
      </c>
      <c r="F70" s="3" t="str" cm="1">
        <f t="array" aca="1" ref="F70" ca="1">OFFSET(E70,-1,1)</f>
        <v>1</v>
      </c>
      <c r="G70" s="66" t="s">
        <v>333</v>
      </c>
      <c r="H70" s="69" cm="1">
        <f t="array" ref="H70">AC70</f>
        <v>0</v>
      </c>
      <c r="I70" s="66" t="s">
        <v>1132</v>
      </c>
      <c r="T70" s="353" t="b">
        <f ca="1">AND(F70&gt;0,Y69&gt;0)</f>
        <v>0</v>
      </c>
      <c r="X70" s="943"/>
      <c r="Y70" s="943"/>
      <c r="Z70" s="1046"/>
      <c r="AA70" s="1048"/>
      <c r="AB70" s="7" t="str">
        <f>"3."&amp;Y69</f>
        <v>3.0</v>
      </c>
      <c r="AC70" s="186"/>
      <c r="AD70" s="124" t="s">
        <v>828</v>
      </c>
      <c r="AE70" s="128"/>
      <c r="AF70" s="128"/>
      <c r="AG70" s="128"/>
      <c r="AH70" s="128"/>
      <c r="AI70" s="128"/>
      <c r="AJ70" s="778"/>
      <c r="AK70" s="778"/>
      <c r="AL70" s="128"/>
      <c r="AM70" s="128"/>
      <c r="AN70" s="128"/>
      <c r="AO70" s="128"/>
      <c r="AP70" s="128"/>
      <c r="AQ70" s="128"/>
      <c r="AR70" s="128"/>
      <c r="AS70" s="128"/>
      <c r="AT70" s="778"/>
      <c r="AU70" s="778"/>
      <c r="AV70" s="128"/>
      <c r="AW70" s="128"/>
      <c r="AX70" s="128"/>
      <c r="AY70" s="128"/>
      <c r="AZ70" s="128"/>
      <c r="BA70" s="128"/>
      <c r="BB70" s="128"/>
      <c r="BC70" s="826"/>
      <c r="BF70" s="682" t="s">
        <v>1119</v>
      </c>
      <c r="BG70" s="682" t="s">
        <v>1133</v>
      </c>
      <c r="BH70" s="682" cm="1">
        <f t="array" ref="BH70">AC70</f>
        <v>0</v>
      </c>
      <c r="BJ70" s="491" t="b">
        <v>1</v>
      </c>
    </row>
    <row r="71" spans="5:62" ht="0" hidden="1" customHeight="1" x14ac:dyDescent="0.15">
      <c r="E71" s="491">
        <v>15</v>
      </c>
      <c r="F71" s="3" t="str" cm="1">
        <f t="array" aca="1" ref="F71" ca="1">OFFSET(E71,-1,1)</f>
        <v>1</v>
      </c>
      <c r="G71" s="66" t="s">
        <v>969</v>
      </c>
      <c r="H71" s="69" cm="1">
        <f t="array" ref="H71">H70</f>
        <v>0</v>
      </c>
      <c r="I71" s="66" t="s">
        <v>1132</v>
      </c>
      <c r="T71" s="353" t="b" cm="1">
        <f t="array" aca="1" ref="T71" ca="1">T70</f>
        <v>0</v>
      </c>
      <c r="X71" s="943"/>
      <c r="Y71" s="943"/>
      <c r="Z71" s="1046"/>
      <c r="AA71" s="1048"/>
      <c r="AB71" s="7" t="str">
        <f>AB70&amp;".1"</f>
        <v>3.0.1</v>
      </c>
      <c r="AC71" s="134" t="s">
        <v>1134</v>
      </c>
      <c r="AD71" s="7" t="s">
        <v>558</v>
      </c>
      <c r="AE71" s="128"/>
      <c r="AF71" s="128"/>
      <c r="AG71" s="128"/>
      <c r="AH71" s="128"/>
      <c r="AI71" s="128"/>
      <c r="AJ71" s="778"/>
      <c r="AK71" s="778"/>
      <c r="AL71" s="128"/>
      <c r="AM71" s="128"/>
      <c r="AN71" s="128"/>
      <c r="AO71" s="128"/>
      <c r="AP71" s="128"/>
      <c r="AQ71" s="128"/>
      <c r="AR71" s="128"/>
      <c r="AS71" s="128"/>
      <c r="AT71" s="778"/>
      <c r="AU71" s="778"/>
      <c r="AV71" s="128"/>
      <c r="AW71" s="128"/>
      <c r="AX71" s="128"/>
      <c r="AY71" s="128"/>
      <c r="AZ71" s="128"/>
      <c r="BA71" s="128"/>
      <c r="BB71" s="128"/>
      <c r="BC71" s="826"/>
      <c r="BF71" s="682" t="s">
        <v>1122</v>
      </c>
      <c r="BG71" s="682" t="s">
        <v>1133</v>
      </c>
      <c r="BH71" s="682" cm="1">
        <f t="array" ref="BH71">BH70</f>
        <v>0</v>
      </c>
    </row>
    <row r="72" spans="5:62" ht="0" hidden="1" customHeight="1" x14ac:dyDescent="0.15">
      <c r="E72" s="491">
        <v>15</v>
      </c>
      <c r="F72" s="3" t="str" cm="1">
        <f t="array" aca="1" ref="F72" ca="1">OFFSET(E72,-1,1)</f>
        <v>1</v>
      </c>
      <c r="H72" s="66" t="str">
        <f>"!=='не определено' &amp;&amp; row.l3 !== null"</f>
        <v>!=='не определено' &amp;&amp; row.l3 !== null</v>
      </c>
      <c r="T72" s="353" t="b">
        <f ca="1">F72&gt;0</f>
        <v>1</v>
      </c>
      <c r="W72" s="497" t="s">
        <v>1135</v>
      </c>
      <c r="X72" s="943"/>
      <c r="Y72" s="495"/>
      <c r="Z72" s="1046"/>
      <c r="AB72" s="494"/>
      <c r="AC72" s="145" t="s">
        <v>1124</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91" t="s">
        <v>1133</v>
      </c>
    </row>
    <row r="73" spans="5:62" ht="0" hidden="1" customHeight="1" x14ac:dyDescent="0.15">
      <c r="E73" s="491">
        <v>23</v>
      </c>
      <c r="F73" s="3" t="str" cm="1">
        <f t="array" aca="1" ref="F73" ca="1">OFFSET(E73,-1,1)</f>
        <v>1</v>
      </c>
      <c r="K73" s="602" t="str">
        <f ca="1">F58&amp;"4komm"</f>
        <v>14komm</v>
      </c>
      <c r="L73" s="606" cm="1">
        <f t="array" ref="L73">BC73</f>
        <v>0</v>
      </c>
      <c r="T73" s="353" t="b" cm="1">
        <f t="array" aca="1" ref="T73" ca="1">T72</f>
        <v>1</v>
      </c>
      <c r="X73" s="943"/>
      <c r="Y73" s="496"/>
      <c r="Z73" s="1046"/>
      <c r="AB73" s="124">
        <v>4</v>
      </c>
      <c r="AC73" s="125" t="s">
        <v>1136</v>
      </c>
      <c r="AD73" s="124" t="s">
        <v>828</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2" t="s">
        <v>1137</v>
      </c>
    </row>
    <row r="74" spans="5:62" ht="0" hidden="1" customHeight="1" x14ac:dyDescent="0.15">
      <c r="E74" s="491">
        <v>0</v>
      </c>
      <c r="F74" s="3" t="str" cm="1">
        <f t="array" aca="1" ref="F74" ca="1">OFFSET(E74,-1,1)</f>
        <v>1</v>
      </c>
      <c r="G74" s="66" t="s">
        <v>335</v>
      </c>
      <c r="L74" s="606"/>
      <c r="T74" s="353" t="b">
        <v>0</v>
      </c>
      <c r="W74" s="66" t="s">
        <v>172</v>
      </c>
      <c r="X74" s="943"/>
      <c r="Y74" s="943">
        <v>0</v>
      </c>
      <c r="Z74" s="1046"/>
      <c r="AA74" s="1048" t="s">
        <v>173</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3"/>
    </row>
    <row r="75" spans="5:62" ht="0" hidden="1" customHeight="1" x14ac:dyDescent="0.15">
      <c r="E75" s="491">
        <v>15</v>
      </c>
      <c r="F75" s="3" t="str" cm="1">
        <f t="array" aca="1" ref="F75" ca="1">OFFSET(E75,-1,1)</f>
        <v>1</v>
      </c>
      <c r="G75" s="66" t="s">
        <v>335</v>
      </c>
      <c r="H75" s="69" cm="1">
        <f t="array" ref="H75">AC75</f>
        <v>0</v>
      </c>
      <c r="I75" s="66" t="s">
        <v>1138</v>
      </c>
      <c r="T75" s="353" t="b">
        <f ca="1">AND(F75&gt;0,Y74&gt;0)</f>
        <v>0</v>
      </c>
      <c r="X75" s="943"/>
      <c r="Y75" s="943"/>
      <c r="Z75" s="1046"/>
      <c r="AA75" s="1048"/>
      <c r="AB75" s="7" t="str">
        <f>"4."&amp;Y74</f>
        <v>4.0</v>
      </c>
      <c r="AC75" s="186"/>
      <c r="AD75" s="124" t="s">
        <v>828</v>
      </c>
      <c r="AE75" s="128"/>
      <c r="AF75" s="128"/>
      <c r="AG75" s="128"/>
      <c r="AH75" s="128"/>
      <c r="AI75" s="128"/>
      <c r="AJ75" s="778"/>
      <c r="AK75" s="778"/>
      <c r="AL75" s="128"/>
      <c r="AM75" s="128"/>
      <c r="AN75" s="128"/>
      <c r="AO75" s="128"/>
      <c r="AP75" s="128"/>
      <c r="AQ75" s="128"/>
      <c r="AR75" s="128"/>
      <c r="AS75" s="128"/>
      <c r="AT75" s="778"/>
      <c r="AU75" s="778"/>
      <c r="AV75" s="128"/>
      <c r="AW75" s="128"/>
      <c r="AX75" s="128"/>
      <c r="AY75" s="128"/>
      <c r="AZ75" s="128"/>
      <c r="BA75" s="128"/>
      <c r="BB75" s="128"/>
      <c r="BC75" s="826"/>
      <c r="BF75" s="682" t="s">
        <v>1119</v>
      </c>
      <c r="BG75" s="682" t="s">
        <v>1139</v>
      </c>
      <c r="BH75" s="682" cm="1">
        <f t="array" ref="BH75">AC75</f>
        <v>0</v>
      </c>
      <c r="BJ75" s="491" t="b">
        <v>1</v>
      </c>
    </row>
    <row r="76" spans="5:62" ht="0" hidden="1" customHeight="1" x14ac:dyDescent="0.15">
      <c r="E76" s="491">
        <v>15</v>
      </c>
      <c r="F76" s="3" t="str" cm="1">
        <f t="array" aca="1" ref="F76" ca="1">OFFSET(E76,-1,1)</f>
        <v>1</v>
      </c>
      <c r="G76" s="66" t="s">
        <v>560</v>
      </c>
      <c r="H76" s="69" cm="1">
        <f t="array" ref="H76">H75</f>
        <v>0</v>
      </c>
      <c r="I76" s="66" t="s">
        <v>1138</v>
      </c>
      <c r="T76" s="353" t="b" cm="1">
        <f t="array" aca="1" ref="T76" ca="1">T75</f>
        <v>0</v>
      </c>
      <c r="X76" s="943"/>
      <c r="Y76" s="943"/>
      <c r="Z76" s="1046"/>
      <c r="AA76" s="1048"/>
      <c r="AB76" s="7" t="str">
        <f>AB75&amp;".1"</f>
        <v>4.0.1</v>
      </c>
      <c r="AC76" s="134" t="s">
        <v>1140</v>
      </c>
      <c r="AD76" s="7" t="s">
        <v>558</v>
      </c>
      <c r="AE76" s="128"/>
      <c r="AF76" s="128"/>
      <c r="AG76" s="128"/>
      <c r="AH76" s="128"/>
      <c r="AI76" s="128"/>
      <c r="AJ76" s="778"/>
      <c r="AK76" s="778"/>
      <c r="AL76" s="128"/>
      <c r="AM76" s="128"/>
      <c r="AN76" s="128"/>
      <c r="AO76" s="128"/>
      <c r="AP76" s="128"/>
      <c r="AQ76" s="128"/>
      <c r="AR76" s="128"/>
      <c r="AS76" s="128"/>
      <c r="AT76" s="778"/>
      <c r="AU76" s="778"/>
      <c r="AV76" s="128"/>
      <c r="AW76" s="128"/>
      <c r="AX76" s="128"/>
      <c r="AY76" s="128"/>
      <c r="AZ76" s="128"/>
      <c r="BA76" s="128"/>
      <c r="BB76" s="128"/>
      <c r="BC76" s="826"/>
      <c r="BF76" s="682" t="s">
        <v>1122</v>
      </c>
      <c r="BG76" s="682" t="s">
        <v>1139</v>
      </c>
      <c r="BH76" s="682" cm="1">
        <f t="array" ref="BH76">BH75</f>
        <v>0</v>
      </c>
    </row>
    <row r="77" spans="5:62" ht="0" hidden="1" customHeight="1" x14ac:dyDescent="0.15">
      <c r="E77" s="491">
        <v>15</v>
      </c>
      <c r="F77" s="3" t="str" cm="1">
        <f t="array" aca="1" ref="F77" ca="1">OFFSET(E77,-1,1)</f>
        <v>1</v>
      </c>
      <c r="H77" s="66" t="str">
        <f>"!=='не определено' &amp;&amp; row.l4 !== null"</f>
        <v>!=='не определено' &amp;&amp; row.l4 !== null</v>
      </c>
      <c r="T77" s="353" t="b">
        <f ca="1">F77&gt;0</f>
        <v>1</v>
      </c>
      <c r="W77" s="497" t="s">
        <v>1141</v>
      </c>
      <c r="X77" s="943"/>
      <c r="Y77" s="495"/>
      <c r="Z77" s="1046"/>
      <c r="AB77" s="494"/>
      <c r="AC77" s="145" t="s">
        <v>1124</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91" t="s">
        <v>1139</v>
      </c>
    </row>
    <row r="78" spans="5:62" ht="0" hidden="1" customHeight="1" x14ac:dyDescent="0.15">
      <c r="E78" s="491">
        <v>23</v>
      </c>
      <c r="F78" s="3" t="str" cm="1">
        <f t="array" aca="1" ref="F78" ca="1">OFFSET(E78,-1,1)</f>
        <v>1</v>
      </c>
      <c r="K78" s="602" t="str">
        <f ca="1">F58&amp;"5komm"</f>
        <v>15komm</v>
      </c>
      <c r="L78" s="606" cm="1">
        <f t="array" ref="L78">BC78</f>
        <v>0</v>
      </c>
      <c r="T78" s="353" t="b" cm="1">
        <f t="array" aca="1" ref="T78" ca="1">T77</f>
        <v>1</v>
      </c>
      <c r="X78" s="943"/>
      <c r="Y78" s="496"/>
      <c r="Z78" s="1046"/>
      <c r="AB78" s="124">
        <v>5</v>
      </c>
      <c r="AC78" s="125" t="s">
        <v>1142</v>
      </c>
      <c r="AD78" s="124" t="s">
        <v>828</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2" t="s">
        <v>1143</v>
      </c>
    </row>
    <row r="79" spans="5:62" ht="0" hidden="1" customHeight="1" x14ac:dyDescent="0.15">
      <c r="E79" s="491">
        <v>0</v>
      </c>
      <c r="F79" s="3" t="str" cm="1">
        <f t="array" aca="1" ref="F79" ca="1">OFFSET(E79,-1,1)</f>
        <v>1</v>
      </c>
      <c r="G79" s="66" t="s">
        <v>334</v>
      </c>
      <c r="L79" s="606"/>
      <c r="T79" s="353" t="b">
        <v>0</v>
      </c>
      <c r="W79" s="66" t="s">
        <v>172</v>
      </c>
      <c r="X79" s="943"/>
      <c r="Y79" s="943">
        <v>0</v>
      </c>
      <c r="Z79" s="1046"/>
      <c r="AA79" s="1048" t="s">
        <v>173</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3"/>
    </row>
    <row r="80" spans="5:62" ht="0" hidden="1" customHeight="1" x14ac:dyDescent="0.15">
      <c r="E80" s="491">
        <v>15</v>
      </c>
      <c r="F80" s="3" t="str" cm="1">
        <f t="array" aca="1" ref="F80" ca="1">OFFSET(E80,-1,1)</f>
        <v>1</v>
      </c>
      <c r="G80" s="66" t="s">
        <v>334</v>
      </c>
      <c r="H80" s="69" cm="1">
        <f t="array" ref="H80">AC80</f>
        <v>0</v>
      </c>
      <c r="I80" s="66" t="s">
        <v>1144</v>
      </c>
      <c r="T80" s="353" t="b">
        <f ca="1">AND(F80&gt;0,Y79&gt;0)</f>
        <v>0</v>
      </c>
      <c r="X80" s="943"/>
      <c r="Y80" s="943"/>
      <c r="Z80" s="1046"/>
      <c r="AA80" s="1048"/>
      <c r="AB80" s="7" t="str">
        <f>"5."&amp;Y79</f>
        <v>5.0</v>
      </c>
      <c r="AC80" s="186"/>
      <c r="AD80" s="124" t="s">
        <v>828</v>
      </c>
      <c r="AE80" s="128"/>
      <c r="AF80" s="128"/>
      <c r="AG80" s="128"/>
      <c r="AH80" s="128"/>
      <c r="AI80" s="128"/>
      <c r="AJ80" s="778"/>
      <c r="AK80" s="778"/>
      <c r="AL80" s="128"/>
      <c r="AM80" s="128"/>
      <c r="AN80" s="128"/>
      <c r="AO80" s="128"/>
      <c r="AP80" s="128"/>
      <c r="AQ80" s="128"/>
      <c r="AR80" s="128"/>
      <c r="AS80" s="128"/>
      <c r="AT80" s="778"/>
      <c r="AU80" s="778"/>
      <c r="AV80" s="128"/>
      <c r="AW80" s="128"/>
      <c r="AX80" s="128"/>
      <c r="AY80" s="128"/>
      <c r="AZ80" s="128"/>
      <c r="BA80" s="128"/>
      <c r="BB80" s="128"/>
      <c r="BC80" s="826"/>
      <c r="BF80" s="682" t="s">
        <v>1119</v>
      </c>
      <c r="BG80" s="682" t="s">
        <v>1145</v>
      </c>
      <c r="BH80" s="682" cm="1">
        <f t="array" ref="BH80">AC80</f>
        <v>0</v>
      </c>
      <c r="BJ80" s="491" t="b">
        <v>1</v>
      </c>
    </row>
    <row r="81" spans="2:62" ht="0" hidden="1" customHeight="1" x14ac:dyDescent="0.15">
      <c r="E81" s="491">
        <v>15</v>
      </c>
      <c r="F81" s="3" t="str" cm="1">
        <f t="array" aca="1" ref="F81" ca="1">OFFSET(E81,-1,1)</f>
        <v>1</v>
      </c>
      <c r="G81" s="66" t="s">
        <v>574</v>
      </c>
      <c r="H81" s="69" cm="1">
        <f t="array" ref="H81">H80</f>
        <v>0</v>
      </c>
      <c r="I81" s="66" t="s">
        <v>1144</v>
      </c>
      <c r="T81" s="353" t="b" cm="1">
        <f t="array" aca="1" ref="T81" ca="1">T80</f>
        <v>0</v>
      </c>
      <c r="X81" s="943"/>
      <c r="Y81" s="943"/>
      <c r="Z81" s="1046"/>
      <c r="AA81" s="1048"/>
      <c r="AB81" s="7" t="str">
        <f>AB80&amp;".1"</f>
        <v>5.0.1</v>
      </c>
      <c r="AC81" s="134" t="s">
        <v>1146</v>
      </c>
      <c r="AD81" s="7" t="s">
        <v>558</v>
      </c>
      <c r="AE81" s="128"/>
      <c r="AF81" s="128"/>
      <c r="AG81" s="128"/>
      <c r="AH81" s="128"/>
      <c r="AI81" s="128"/>
      <c r="AJ81" s="778"/>
      <c r="AK81" s="778"/>
      <c r="AL81" s="128"/>
      <c r="AM81" s="128"/>
      <c r="AN81" s="128"/>
      <c r="AO81" s="128"/>
      <c r="AP81" s="128"/>
      <c r="AQ81" s="128"/>
      <c r="AR81" s="128"/>
      <c r="AS81" s="128"/>
      <c r="AT81" s="778"/>
      <c r="AU81" s="778"/>
      <c r="AV81" s="128"/>
      <c r="AW81" s="128"/>
      <c r="AX81" s="128"/>
      <c r="AY81" s="128"/>
      <c r="AZ81" s="128"/>
      <c r="BA81" s="128"/>
      <c r="BB81" s="128"/>
      <c r="BC81" s="826"/>
      <c r="BF81" s="682" t="s">
        <v>1122</v>
      </c>
      <c r="BG81" s="682" t="s">
        <v>1145</v>
      </c>
      <c r="BH81" s="682" cm="1">
        <f t="array" ref="BH81">BH80</f>
        <v>0</v>
      </c>
    </row>
    <row r="82" spans="2:62" ht="0" hidden="1" customHeight="1" x14ac:dyDescent="0.15">
      <c r="E82" s="491">
        <v>15</v>
      </c>
      <c r="F82" s="3" t="str" cm="1">
        <f t="array" aca="1" ref="F82" ca="1">OFFSET(E82,-1,1)</f>
        <v>1</v>
      </c>
      <c r="H82" s="66" t="str">
        <f>"!=='не определено' &amp;&amp; row.l5 !== null"</f>
        <v>!=='не определено' &amp;&amp; row.l5 !== null</v>
      </c>
      <c r="T82" s="353" t="b">
        <f ca="1">F82&gt;0</f>
        <v>1</v>
      </c>
      <c r="W82" s="497" t="s">
        <v>1147</v>
      </c>
      <c r="X82" s="943"/>
      <c r="Y82" s="83"/>
      <c r="Z82" s="1046"/>
      <c r="AB82" s="494"/>
      <c r="AC82" s="145" t="s">
        <v>1124</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91" t="s">
        <v>1145</v>
      </c>
    </row>
    <row r="83" spans="2:62" s="67" customFormat="1" ht="0" hidden="1" customHeight="1" x14ac:dyDescent="0.15">
      <c r="B83" s="338"/>
      <c r="E83" s="492">
        <v>15</v>
      </c>
      <c r="F83" s="3" t="str" cm="1">
        <f t="array" aca="1" ref="F83" ca="1">OFFSET(E83,-1,1)</f>
        <v>1</v>
      </c>
      <c r="G83" s="66" t="s">
        <v>532</v>
      </c>
      <c r="K83" s="602" t="str">
        <f ca="1">F58&amp;"6komm"</f>
        <v>16komm</v>
      </c>
      <c r="L83" s="606" cm="1">
        <f t="array" ref="L83">BC83</f>
        <v>0</v>
      </c>
      <c r="T83" s="353" t="b" cm="1">
        <f t="array" aca="1" ref="T83" ca="1">T82</f>
        <v>1</v>
      </c>
      <c r="X83" s="943"/>
      <c r="Z83" s="1046"/>
      <c r="AB83" s="124">
        <v>6</v>
      </c>
      <c r="AC83" s="125" t="s">
        <v>1148</v>
      </c>
      <c r="AD83" s="124" t="s">
        <v>828</v>
      </c>
      <c r="AE83" s="138"/>
      <c r="AF83" s="138"/>
      <c r="AG83" s="138"/>
      <c r="AH83" s="138"/>
      <c r="AI83" s="138"/>
      <c r="AJ83" s="774"/>
      <c r="AK83" s="774"/>
      <c r="AL83" s="138"/>
      <c r="AM83" s="138"/>
      <c r="AN83" s="138"/>
      <c r="AO83" s="138"/>
      <c r="AP83" s="138"/>
      <c r="AQ83" s="138"/>
      <c r="AR83" s="138"/>
      <c r="AS83" s="138"/>
      <c r="AT83" s="774"/>
      <c r="AU83" s="774"/>
      <c r="AV83" s="138"/>
      <c r="AW83" s="138"/>
      <c r="AX83" s="138"/>
      <c r="AY83" s="138"/>
      <c r="AZ83" s="138"/>
      <c r="BA83" s="138"/>
      <c r="BB83" s="138"/>
      <c r="BC83" s="113"/>
      <c r="BF83" s="685" t="s">
        <v>1149</v>
      </c>
      <c r="BG83" s="685"/>
      <c r="BH83" s="685"/>
      <c r="BI83" s="492"/>
      <c r="BJ83" s="492"/>
    </row>
    <row r="84" spans="2:62" s="67" customFormat="1" ht="0" hidden="1" customHeight="1" x14ac:dyDescent="0.15">
      <c r="B84" s="338"/>
      <c r="E84" s="492">
        <v>15</v>
      </c>
      <c r="F84" s="3" t="str" cm="1">
        <f t="array" aca="1" ref="F84" ca="1">OFFSET(E84,-1,1)</f>
        <v>1</v>
      </c>
      <c r="G84" s="66" t="s">
        <v>535</v>
      </c>
      <c r="K84" s="602" t="str">
        <f ca="1">F58&amp;"7komm"</f>
        <v>17komm</v>
      </c>
      <c r="L84" s="606" cm="1">
        <f t="array" ref="L84">BC84</f>
        <v>0</v>
      </c>
      <c r="T84" s="353" t="b" cm="1">
        <f t="array" aca="1" ref="T84" ca="1">T83</f>
        <v>1</v>
      </c>
      <c r="X84" s="943"/>
      <c r="Z84" s="1046"/>
      <c r="AB84" s="124">
        <v>7</v>
      </c>
      <c r="AC84" s="125" t="s">
        <v>1150</v>
      </c>
      <c r="AD84" s="124" t="s">
        <v>828</v>
      </c>
      <c r="AE84" s="138"/>
      <c r="AF84" s="138"/>
      <c r="AG84" s="138"/>
      <c r="AH84" s="138"/>
      <c r="AI84" s="138"/>
      <c r="AJ84" s="774"/>
      <c r="AK84" s="774"/>
      <c r="AL84" s="138"/>
      <c r="AM84" s="138"/>
      <c r="AN84" s="138"/>
      <c r="AO84" s="138"/>
      <c r="AP84" s="138"/>
      <c r="AQ84" s="138"/>
      <c r="AR84" s="138"/>
      <c r="AS84" s="138"/>
      <c r="AT84" s="774"/>
      <c r="AU84" s="774"/>
      <c r="AV84" s="138"/>
      <c r="AW84" s="138"/>
      <c r="AX84" s="138"/>
      <c r="AY84" s="138"/>
      <c r="AZ84" s="138"/>
      <c r="BA84" s="138"/>
      <c r="BB84" s="138"/>
      <c r="BC84" s="113"/>
      <c r="BF84" s="685" t="s">
        <v>1151</v>
      </c>
      <c r="BG84" s="685"/>
      <c r="BH84" s="685"/>
      <c r="BI84" s="492"/>
      <c r="BJ84" s="492"/>
    </row>
    <row r="85" spans="2:62" s="67" customFormat="1" ht="0" hidden="1" customHeight="1" x14ac:dyDescent="0.15">
      <c r="B85" s="338"/>
      <c r="E85" s="492">
        <v>15</v>
      </c>
      <c r="F85" s="3" t="str" cm="1">
        <f t="array" aca="1" ref="F85" ca="1">OFFSET(E85,-1,1)</f>
        <v>1</v>
      </c>
      <c r="G85" s="66" t="s">
        <v>586</v>
      </c>
      <c r="K85" s="602" t="str">
        <f ca="1">F58&amp;"8komm"</f>
        <v>18komm</v>
      </c>
      <c r="L85" s="606" cm="1">
        <f t="array" ref="L85">BC85</f>
        <v>0</v>
      </c>
      <c r="T85" s="353" t="b" cm="1">
        <f t="array" aca="1" ref="T85" ca="1">T84</f>
        <v>1</v>
      </c>
      <c r="X85" s="943"/>
      <c r="Z85" s="1046"/>
      <c r="AB85" s="124">
        <v>8</v>
      </c>
      <c r="AC85" s="125" t="s">
        <v>1152</v>
      </c>
      <c r="AD85" s="124" t="s">
        <v>828</v>
      </c>
      <c r="AE85" s="138"/>
      <c r="AF85" s="138"/>
      <c r="AG85" s="138"/>
      <c r="AH85" s="138"/>
      <c r="AI85" s="138"/>
      <c r="AJ85" s="774"/>
      <c r="AK85" s="774"/>
      <c r="AL85" s="138"/>
      <c r="AM85" s="138"/>
      <c r="AN85" s="138"/>
      <c r="AO85" s="138"/>
      <c r="AP85" s="138"/>
      <c r="AQ85" s="138"/>
      <c r="AR85" s="138"/>
      <c r="AS85" s="138"/>
      <c r="AT85" s="774"/>
      <c r="AU85" s="774"/>
      <c r="AV85" s="138"/>
      <c r="AW85" s="138"/>
      <c r="AX85" s="138"/>
      <c r="AY85" s="138"/>
      <c r="AZ85" s="138"/>
      <c r="BA85" s="138"/>
      <c r="BB85" s="138"/>
      <c r="BC85" s="113"/>
      <c r="BF85" s="685" t="s">
        <v>1153</v>
      </c>
      <c r="BG85" s="685"/>
      <c r="BH85" s="685"/>
      <c r="BI85" s="492"/>
      <c r="BJ85" s="492"/>
    </row>
    <row r="86" spans="2:62" s="67" customFormat="1" ht="0" hidden="1" customHeight="1" x14ac:dyDescent="0.15">
      <c r="B86" s="338"/>
      <c r="E86" s="492">
        <v>15</v>
      </c>
      <c r="F86" s="3" t="str" cm="1">
        <f t="array" aca="1" ref="F86" ca="1">OFFSET(E86,-1,1)</f>
        <v>1</v>
      </c>
      <c r="G86" s="66"/>
      <c r="K86" s="602" t="str">
        <f ca="1">F58&amp;"9komm"</f>
        <v>19komm</v>
      </c>
      <c r="L86" s="606" cm="1">
        <f t="array" ref="L86">BC86</f>
        <v>0</v>
      </c>
      <c r="T86" s="353" t="b" cm="1">
        <f t="array" aca="1" ref="T86" ca="1">T85</f>
        <v>1</v>
      </c>
      <c r="X86" s="943"/>
      <c r="Z86" s="1046"/>
      <c r="AB86" s="124">
        <v>9</v>
      </c>
      <c r="AC86" s="125" t="s">
        <v>1154</v>
      </c>
      <c r="AD86" s="124" t="s">
        <v>828</v>
      </c>
      <c r="AE86" s="138"/>
      <c r="AF86" s="138"/>
      <c r="AG86" s="138"/>
      <c r="AH86" s="138"/>
      <c r="AI86" s="138"/>
      <c r="AJ86" s="774"/>
      <c r="AK86" s="774"/>
      <c r="AL86" s="138"/>
      <c r="AM86" s="138"/>
      <c r="AN86" s="138"/>
      <c r="AO86" s="138"/>
      <c r="AP86" s="138"/>
      <c r="AQ86" s="138"/>
      <c r="AR86" s="138"/>
      <c r="AS86" s="138"/>
      <c r="AT86" s="774"/>
      <c r="AU86" s="774"/>
      <c r="AV86" s="138"/>
      <c r="AW86" s="138"/>
      <c r="AX86" s="138"/>
      <c r="AY86" s="138"/>
      <c r="AZ86" s="138"/>
      <c r="BA86" s="138"/>
      <c r="BB86" s="138"/>
      <c r="BC86" s="113"/>
      <c r="BF86" s="685" t="s">
        <v>1155</v>
      </c>
      <c r="BG86" s="685"/>
      <c r="BH86" s="685"/>
      <c r="BI86" s="492"/>
      <c r="BJ86" s="492"/>
    </row>
    <row r="87" spans="2:62" ht="26.85" customHeight="1" x14ac:dyDescent="0.15">
      <c r="E87" s="491">
        <v>15</v>
      </c>
      <c r="F87" s="17" t="str" cm="1">
        <f t="array" ref="F87">X87</f>
        <v>2</v>
      </c>
      <c r="I87" s="66" t="s">
        <v>1115</v>
      </c>
      <c r="T87" s="353" t="b">
        <f>X87&gt;0</f>
        <v>1</v>
      </c>
      <c r="V87" s="66" t="str" cm="1">
        <f t="array" ref="V87">Аренда!$AB$47</f>
        <v>Тариф 2 (Водоотведение) - тариф на водоотведение</v>
      </c>
      <c r="X87" s="943" t="s">
        <v>285</v>
      </c>
      <c r="Y87" s="493"/>
      <c r="Z87" s="1046"/>
      <c r="AB87" s="135" t="str" cm="1">
        <f t="array" ref="AB87">Аренда!$AB$47</f>
        <v>Тариф 2 (Водоотведение) - тариф на водоотведение</v>
      </c>
      <c r="AC87" s="94"/>
      <c r="AD87" s="94"/>
      <c r="AE87" s="214">
        <f t="shared" ref="AE87:BB87" si="13">AE93+AE98+AE103+AE111+AE88+AE116+AE117+AE118+AE119</f>
        <v>132.99834370569999</v>
      </c>
      <c r="AF87" s="214">
        <f t="shared" si="13"/>
        <v>164.492367712</v>
      </c>
      <c r="AG87" s="214">
        <f t="shared" si="13"/>
        <v>164.66</v>
      </c>
      <c r="AH87" s="214">
        <f t="shared" si="13"/>
        <v>168.97</v>
      </c>
      <c r="AI87" s="214">
        <f t="shared" si="13"/>
        <v>241.71289999999999</v>
      </c>
      <c r="AJ87" s="214">
        <f t="shared" si="13"/>
        <v>0</v>
      </c>
      <c r="AK87" s="214">
        <f t="shared" si="13"/>
        <v>0</v>
      </c>
      <c r="AL87" s="214">
        <f t="shared" si="13"/>
        <v>0</v>
      </c>
      <c r="AM87" s="214">
        <f t="shared" si="13"/>
        <v>0</v>
      </c>
      <c r="AN87" s="214">
        <f t="shared" si="13"/>
        <v>0</v>
      </c>
      <c r="AO87" s="214">
        <f t="shared" si="13"/>
        <v>0</v>
      </c>
      <c r="AP87" s="214">
        <f t="shared" si="13"/>
        <v>0</v>
      </c>
      <c r="AQ87" s="214">
        <f t="shared" si="13"/>
        <v>0</v>
      </c>
      <c r="AR87" s="214">
        <f t="shared" si="13"/>
        <v>0</v>
      </c>
      <c r="AS87" s="214">
        <f t="shared" si="13"/>
        <v>182.26</v>
      </c>
      <c r="AT87" s="214">
        <f t="shared" si="13"/>
        <v>0</v>
      </c>
      <c r="AU87" s="214">
        <f t="shared" si="13"/>
        <v>0</v>
      </c>
      <c r="AV87" s="214">
        <f t="shared" si="13"/>
        <v>0</v>
      </c>
      <c r="AW87" s="214">
        <f t="shared" si="13"/>
        <v>0</v>
      </c>
      <c r="AX87" s="214">
        <f t="shared" si="13"/>
        <v>0</v>
      </c>
      <c r="AY87" s="214">
        <f t="shared" si="13"/>
        <v>0</v>
      </c>
      <c r="AZ87" s="214">
        <f t="shared" si="13"/>
        <v>0</v>
      </c>
      <c r="BA87" s="214">
        <f t="shared" si="13"/>
        <v>0</v>
      </c>
      <c r="BB87" s="214">
        <f t="shared" si="13"/>
        <v>0</v>
      </c>
      <c r="BC87" s="137"/>
    </row>
    <row r="88" spans="2:62" ht="14.25" customHeight="1" x14ac:dyDescent="0.15">
      <c r="E88" s="491">
        <v>15</v>
      </c>
      <c r="F88" s="3" t="str" cm="1">
        <f t="array" aca="1" ref="F88" ca="1">OFFSET(E88,-1,1)</f>
        <v>2</v>
      </c>
      <c r="G88" s="66" t="s">
        <v>331</v>
      </c>
      <c r="K88" s="602" t="str">
        <f ca="1">F88&amp;"1komm"</f>
        <v>21komm</v>
      </c>
      <c r="L88" s="606" cm="1">
        <f t="array" ref="L88">BC88</f>
        <v>0</v>
      </c>
      <c r="T88" s="353" t="b" cm="1">
        <f t="array" ref="T88">T87</f>
        <v>1</v>
      </c>
      <c r="X88" s="943"/>
      <c r="Z88" s="1046"/>
      <c r="AB88" s="124">
        <v>1</v>
      </c>
      <c r="AC88" s="125" t="s">
        <v>1116</v>
      </c>
      <c r="AD88" s="124" t="s">
        <v>828</v>
      </c>
      <c r="AE88" s="126">
        <f>SUMIF(AD90:AD92,AD88,AE90:AE92)</f>
        <v>0</v>
      </c>
      <c r="AF88" s="126">
        <f>SUMIF(AD90:AD92,AD88,AF90:AF92)</f>
        <v>0</v>
      </c>
      <c r="AG88" s="126">
        <f>SUMIF(AD90:AD92,AD88,AG90:AG92)</f>
        <v>0</v>
      </c>
      <c r="AH88" s="126">
        <f>SUMIF(AD90:AD92,AD88,AH90:AH92)</f>
        <v>0</v>
      </c>
      <c r="AI88" s="126">
        <f>SUMIF(AD90:AD92,AD88,AI90:AI92)</f>
        <v>0</v>
      </c>
      <c r="AJ88" s="126">
        <f>SUMIF(AD90:AD92,AD88,AJ90:AJ92)</f>
        <v>0</v>
      </c>
      <c r="AK88" s="126">
        <f>SUMIF(AD90:AD92,AD88,AK90:AK92)</f>
        <v>0</v>
      </c>
      <c r="AL88" s="126">
        <f>SUMIF(AD90:AD92,AD88,AL90:AL92)</f>
        <v>0</v>
      </c>
      <c r="AM88" s="126">
        <f>SUMIF(AD90:AD92,AD88,AM90:AM92)</f>
        <v>0</v>
      </c>
      <c r="AN88" s="126">
        <f>SUMIF(AD90:AD92,AD88,AN90:AN92)</f>
        <v>0</v>
      </c>
      <c r="AO88" s="126">
        <f>SUMIF(AD90:AD92,AD88,AO90:AO92)</f>
        <v>0</v>
      </c>
      <c r="AP88" s="126">
        <f>SUMIF(AD90:AD92,AD88,AP90:AP92)</f>
        <v>0</v>
      </c>
      <c r="AQ88" s="126">
        <f>SUMIF(AD90:AD92,AD88,AQ90:AQ92)</f>
        <v>0</v>
      </c>
      <c r="AR88" s="126">
        <f>SUMIF(AD90:AD92,AD88,AR90:AR92)</f>
        <v>0</v>
      </c>
      <c r="AS88" s="126">
        <f>SUMIF(AD90:AD92,AD88,AS90:AS92)</f>
        <v>0</v>
      </c>
      <c r="AT88" s="126">
        <f>SUMIF(AD90:AD92,AD88,AT90:AT92)</f>
        <v>0</v>
      </c>
      <c r="AU88" s="126">
        <f>SUMIF(AD90:AD92,AD88,AU90:AU92)</f>
        <v>0</v>
      </c>
      <c r="AV88" s="126">
        <f>SUMIF(AD90:AD92,AD88,AV90:AV92)</f>
        <v>0</v>
      </c>
      <c r="AW88" s="126">
        <f>SUMIF(AD90:AD92,AD88,AW90:AW92)</f>
        <v>0</v>
      </c>
      <c r="AX88" s="126">
        <f>SUMIF(AD90:AD92,AD88,AX90:AX92)</f>
        <v>0</v>
      </c>
      <c r="AY88" s="126">
        <f>SUMIF(AD90:AD92,AD88,AY90:AY92)</f>
        <v>0</v>
      </c>
      <c r="AZ88" s="126">
        <f>SUMIF(AD90:AD92,AD88,AZ90:AZ92)</f>
        <v>0</v>
      </c>
      <c r="BA88" s="126">
        <f>SUMIF(AD90:AD92,AD88,BA90:BA92)</f>
        <v>0</v>
      </c>
      <c r="BB88" s="126">
        <f>SUMIF(AD90:AD92,AD88,BB90:BB92)</f>
        <v>0</v>
      </c>
      <c r="BC88" s="113"/>
      <c r="BF88" s="682" t="s">
        <v>1117</v>
      </c>
    </row>
    <row r="89" spans="2:62" ht="15" hidden="1" customHeight="1" x14ac:dyDescent="0.15">
      <c r="E89" s="491">
        <v>0</v>
      </c>
      <c r="F89" s="3" t="str" cm="1">
        <f t="array" aca="1" ref="F89" ca="1">OFFSET(E89,-1,1)</f>
        <v>2</v>
      </c>
      <c r="L89" s="606"/>
      <c r="T89" s="353" t="b">
        <v>0</v>
      </c>
      <c r="W89" s="66" t="s">
        <v>172</v>
      </c>
      <c r="X89" s="943"/>
      <c r="Y89" s="943">
        <v>0</v>
      </c>
      <c r="Z89" s="1046"/>
      <c r="AA89" s="1047" t="s">
        <v>173</v>
      </c>
      <c r="AB89" s="124"/>
      <c r="AC89" s="125"/>
      <c r="AD89" s="124"/>
      <c r="AE89" s="129" t="b">
        <f t="shared" ref="AE89:BB89" si="14">OR(AND(AE90&lt;&gt;"",AE91=""),AND(AE90="",AE91&lt;&gt;""))</f>
        <v>0</v>
      </c>
      <c r="AF89" s="129" t="b">
        <f t="shared" si="14"/>
        <v>0</v>
      </c>
      <c r="AG89" s="129" t="b">
        <f t="shared" si="14"/>
        <v>0</v>
      </c>
      <c r="AH89" s="129" t="b">
        <f t="shared" si="14"/>
        <v>0</v>
      </c>
      <c r="AI89" s="129" t="b">
        <f t="shared" si="14"/>
        <v>0</v>
      </c>
      <c r="AJ89" s="129" t="b">
        <f t="shared" si="14"/>
        <v>0</v>
      </c>
      <c r="AK89" s="129" t="b">
        <f t="shared" si="14"/>
        <v>0</v>
      </c>
      <c r="AL89" s="129" t="b">
        <f t="shared" si="14"/>
        <v>0</v>
      </c>
      <c r="AM89" s="129" t="b">
        <f t="shared" si="14"/>
        <v>0</v>
      </c>
      <c r="AN89" s="129" t="b">
        <f t="shared" si="14"/>
        <v>0</v>
      </c>
      <c r="AO89" s="129" t="b">
        <f t="shared" si="14"/>
        <v>0</v>
      </c>
      <c r="AP89" s="129" t="b">
        <f t="shared" si="14"/>
        <v>0</v>
      </c>
      <c r="AQ89" s="129" t="b">
        <f t="shared" si="14"/>
        <v>0</v>
      </c>
      <c r="AR89" s="129" t="b">
        <f t="shared" si="14"/>
        <v>0</v>
      </c>
      <c r="AS89" s="129" t="b">
        <f t="shared" si="14"/>
        <v>0</v>
      </c>
      <c r="AT89" s="129" t="b">
        <f t="shared" si="14"/>
        <v>0</v>
      </c>
      <c r="AU89" s="129" t="b">
        <f t="shared" si="14"/>
        <v>0</v>
      </c>
      <c r="AV89" s="129" t="b">
        <f t="shared" si="14"/>
        <v>0</v>
      </c>
      <c r="AW89" s="129" t="b">
        <f t="shared" si="14"/>
        <v>0</v>
      </c>
      <c r="AX89" s="129" t="b">
        <f t="shared" si="14"/>
        <v>0</v>
      </c>
      <c r="AY89" s="129" t="b">
        <f t="shared" si="14"/>
        <v>0</v>
      </c>
      <c r="AZ89" s="129" t="b">
        <f t="shared" si="14"/>
        <v>0</v>
      </c>
      <c r="BA89" s="129" t="b">
        <f t="shared" si="14"/>
        <v>0</v>
      </c>
      <c r="BB89" s="129" t="b">
        <f t="shared" si="14"/>
        <v>0</v>
      </c>
      <c r="BC89" s="643"/>
    </row>
    <row r="90" spans="2:62" ht="14.25" hidden="1" customHeight="1" x14ac:dyDescent="0.15">
      <c r="E90" s="491">
        <v>15</v>
      </c>
      <c r="F90" s="3" t="str" cm="1">
        <f t="array" aca="1" ref="F90" ca="1">OFFSET(E90,-1,1)</f>
        <v>2</v>
      </c>
      <c r="G90" s="66" t="s">
        <v>331</v>
      </c>
      <c r="H90" s="69" cm="1">
        <f t="array" ref="H90">AC90</f>
        <v>0</v>
      </c>
      <c r="I90" s="66" t="s">
        <v>1118</v>
      </c>
      <c r="T90" s="353" t="b">
        <f ca="1">AND(F90&gt;0,Y89&gt;0)</f>
        <v>0</v>
      </c>
      <c r="X90" s="943"/>
      <c r="Y90" s="943"/>
      <c r="Z90" s="1046"/>
      <c r="AA90" s="1047"/>
      <c r="AB90" s="7" t="str">
        <f>"1."&amp;Y89</f>
        <v>1.0</v>
      </c>
      <c r="AC90" s="186"/>
      <c r="AD90" s="124" t="s">
        <v>828</v>
      </c>
      <c r="AE90" s="778"/>
      <c r="AF90" s="778"/>
      <c r="AG90" s="778"/>
      <c r="AH90" s="778"/>
      <c r="AI90" s="128"/>
      <c r="AJ90" s="778"/>
      <c r="AK90" s="778"/>
      <c r="AL90" s="778"/>
      <c r="AM90" s="778"/>
      <c r="AN90" s="778"/>
      <c r="AO90" s="778"/>
      <c r="AP90" s="778"/>
      <c r="AQ90" s="778"/>
      <c r="AR90" s="778"/>
      <c r="AS90" s="128"/>
      <c r="AT90" s="778"/>
      <c r="AU90" s="778"/>
      <c r="AV90" s="778"/>
      <c r="AW90" s="778"/>
      <c r="AX90" s="778"/>
      <c r="AY90" s="778"/>
      <c r="AZ90" s="778"/>
      <c r="BA90" s="778"/>
      <c r="BB90" s="778"/>
      <c r="BC90" s="826"/>
      <c r="BF90" s="682" t="s">
        <v>1119</v>
      </c>
      <c r="BG90" s="682" t="s">
        <v>1120</v>
      </c>
      <c r="BH90" s="682" cm="1">
        <f t="array" ref="BH90">AC90</f>
        <v>0</v>
      </c>
      <c r="BJ90" s="491" t="b">
        <v>1</v>
      </c>
    </row>
    <row r="91" spans="2:62" ht="14.25" hidden="1" customHeight="1" x14ac:dyDescent="0.15">
      <c r="E91" s="491">
        <v>15</v>
      </c>
      <c r="F91" s="3" t="str" cm="1">
        <f t="array" aca="1" ref="F91" ca="1">OFFSET(E91,-1,1)</f>
        <v>2</v>
      </c>
      <c r="G91" s="66" t="s">
        <v>482</v>
      </c>
      <c r="H91" s="69" cm="1">
        <f t="array" ref="H91">H90</f>
        <v>0</v>
      </c>
      <c r="I91" s="66" t="s">
        <v>1118</v>
      </c>
      <c r="T91" s="353" t="b" cm="1">
        <f t="array" aca="1" ref="T91" ca="1">T90</f>
        <v>0</v>
      </c>
      <c r="X91" s="943"/>
      <c r="Y91" s="943"/>
      <c r="Z91" s="1046"/>
      <c r="AA91" s="1047"/>
      <c r="AB91" s="7" t="str">
        <f>AB90&amp;".1"</f>
        <v>1.0.1</v>
      </c>
      <c r="AC91" s="134" t="s">
        <v>1121</v>
      </c>
      <c r="AD91" s="7" t="s">
        <v>558</v>
      </c>
      <c r="AE91" s="778"/>
      <c r="AF91" s="778"/>
      <c r="AG91" s="778"/>
      <c r="AH91" s="778"/>
      <c r="AI91" s="128"/>
      <c r="AJ91" s="778"/>
      <c r="AK91" s="778"/>
      <c r="AL91" s="778"/>
      <c r="AM91" s="778"/>
      <c r="AN91" s="778"/>
      <c r="AO91" s="778"/>
      <c r="AP91" s="778"/>
      <c r="AQ91" s="778"/>
      <c r="AR91" s="778"/>
      <c r="AS91" s="128"/>
      <c r="AT91" s="778"/>
      <c r="AU91" s="778"/>
      <c r="AV91" s="778"/>
      <c r="AW91" s="778"/>
      <c r="AX91" s="778"/>
      <c r="AY91" s="778"/>
      <c r="AZ91" s="778"/>
      <c r="BA91" s="778"/>
      <c r="BB91" s="778"/>
      <c r="BC91" s="826"/>
      <c r="BF91" s="682" t="s">
        <v>1122</v>
      </c>
      <c r="BG91" s="682" t="s">
        <v>1120</v>
      </c>
      <c r="BH91" s="682" cm="1">
        <f t="array" ref="BH91">BH90</f>
        <v>0</v>
      </c>
    </row>
    <row r="92" spans="2:62" ht="14.25" customHeight="1" x14ac:dyDescent="0.15">
      <c r="E92" s="491">
        <v>15</v>
      </c>
      <c r="F92" s="3" t="str" cm="1">
        <f t="array" aca="1" ref="F92" ca="1">OFFSET(E92,-1,1)</f>
        <v>2</v>
      </c>
      <c r="H92" s="66" t="str">
        <f>"!=='не определено' &amp;&amp; row.l1 !== null"</f>
        <v>!=='не определено' &amp;&amp; row.l1 !== null</v>
      </c>
      <c r="T92" s="353" t="b">
        <f ca="1">F92&gt;0</f>
        <v>1</v>
      </c>
      <c r="W92" s="497" t="s">
        <v>1123</v>
      </c>
      <c r="X92" s="943"/>
      <c r="Z92" s="1046"/>
      <c r="AB92" s="494"/>
      <c r="AC92" s="145" t="s">
        <v>1124</v>
      </c>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6"/>
      <c r="BI92" s="491" t="s">
        <v>1120</v>
      </c>
    </row>
    <row r="93" spans="2:62" ht="21.75" customHeight="1" x14ac:dyDescent="0.15">
      <c r="E93" s="491">
        <v>22.5</v>
      </c>
      <c r="F93" s="3" t="str" cm="1">
        <f t="array" aca="1" ref="F93" ca="1">OFFSET(E93,-1,1)</f>
        <v>2</v>
      </c>
      <c r="K93" s="602" t="str">
        <f ca="1">F88&amp;"2komm"</f>
        <v>22komm</v>
      </c>
      <c r="L93" s="606" cm="1">
        <f t="array" ref="L93">BC93</f>
        <v>0</v>
      </c>
      <c r="T93" s="353" t="b" cm="1">
        <f t="array" aca="1" ref="T93" ca="1">T92</f>
        <v>1</v>
      </c>
      <c r="X93" s="943"/>
      <c r="Y93" s="496"/>
      <c r="Z93" s="1046"/>
      <c r="AB93" s="124">
        <v>2</v>
      </c>
      <c r="AC93" s="125" t="s">
        <v>1125</v>
      </c>
      <c r="AD93" s="124" t="s">
        <v>828</v>
      </c>
      <c r="AE93" s="126">
        <f>SUMIF(AD95:AD97,AD93,AE95:AE97)</f>
        <v>0</v>
      </c>
      <c r="AF93" s="126">
        <f>SUMIF(AD95:AD97,AD93,AF95:AF97)</f>
        <v>0</v>
      </c>
      <c r="AG93" s="126">
        <f>SUMIF(AD95:AD97,AD93,AG95:AG97)</f>
        <v>0</v>
      </c>
      <c r="AH93" s="126">
        <f>SUMIF(AD95:AD97,AD93,AH95:AH97)</f>
        <v>0</v>
      </c>
      <c r="AI93" s="126">
        <f>SUMIF(AD95:AD97,AD93,AI95:AI97)</f>
        <v>0</v>
      </c>
      <c r="AJ93" s="126">
        <f>SUMIF(AD95:AD97,AD93,AJ95:AJ97)</f>
        <v>0</v>
      </c>
      <c r="AK93" s="126">
        <f>SUMIF(AD95:AD97,AD93,AK95:AK97)</f>
        <v>0</v>
      </c>
      <c r="AL93" s="126">
        <f>SUMIF(AD95:AD97,AD93,AL95:AL97)</f>
        <v>0</v>
      </c>
      <c r="AM93" s="126">
        <f>SUMIF(AD95:AD97,AD93,AM95:AM97)</f>
        <v>0</v>
      </c>
      <c r="AN93" s="126">
        <f>SUMIF(AD95:AD97,AD93,AN95:AN97)</f>
        <v>0</v>
      </c>
      <c r="AO93" s="126">
        <f>SUMIF(AD95:AD97,AD93,AO95:AO97)</f>
        <v>0</v>
      </c>
      <c r="AP93" s="126">
        <f>SUMIF(AD95:AD97,AD93,AP95:AP97)</f>
        <v>0</v>
      </c>
      <c r="AQ93" s="126">
        <f>SUMIF(AD95:AD97,AD93,AQ95:AQ97)</f>
        <v>0</v>
      </c>
      <c r="AR93" s="126">
        <f>SUMIF(AD95:AD97,AD93,AR95:AR97)</f>
        <v>0</v>
      </c>
      <c r="AS93" s="126">
        <f>SUMIF(AD95:AD97,AD93,AS95:AS97)</f>
        <v>0</v>
      </c>
      <c r="AT93" s="126">
        <f>SUMIF(AD95:AD97,AD93,AT95:AT97)</f>
        <v>0</v>
      </c>
      <c r="AU93" s="126">
        <f>SUMIF(AD95:AD97,AD93,AU95:AU97)</f>
        <v>0</v>
      </c>
      <c r="AV93" s="126">
        <f>SUMIF(AD95:AD97,AD93,AV95:AV97)</f>
        <v>0</v>
      </c>
      <c r="AW93" s="126">
        <f>SUMIF(AD95:AD97,AD93,AW95:AW97)</f>
        <v>0</v>
      </c>
      <c r="AX93" s="126">
        <f>SUMIF(AD95:AD97,AD93,AX95:AX97)</f>
        <v>0</v>
      </c>
      <c r="AY93" s="126">
        <f>SUMIF(AD95:AD97,AD93,AY95:AY97)</f>
        <v>0</v>
      </c>
      <c r="AZ93" s="126">
        <f>SUMIF(AD95:AD97,AD93,AZ95:AZ97)</f>
        <v>0</v>
      </c>
      <c r="BA93" s="126">
        <f>SUMIF(AD95:AD97,AD93,BA95:BA97)</f>
        <v>0</v>
      </c>
      <c r="BB93" s="126">
        <f>SUMIF(AD95:AD97,AD93,BB95:BB97)</f>
        <v>0</v>
      </c>
      <c r="BC93" s="113"/>
      <c r="BF93" s="682" t="s">
        <v>1126</v>
      </c>
    </row>
    <row r="94" spans="2:62" ht="15" hidden="1" customHeight="1" x14ac:dyDescent="0.15">
      <c r="E94" s="491">
        <v>0</v>
      </c>
      <c r="F94" s="3" t="str" cm="1">
        <f t="array" aca="1" ref="F94" ca="1">OFFSET(E94,-1,1)</f>
        <v>2</v>
      </c>
      <c r="G94" s="66" t="s">
        <v>332</v>
      </c>
      <c r="L94" s="606"/>
      <c r="T94" s="353" t="b">
        <v>0</v>
      </c>
      <c r="W94" s="66" t="s">
        <v>172</v>
      </c>
      <c r="X94" s="943"/>
      <c r="Y94" s="943">
        <v>0</v>
      </c>
      <c r="Z94" s="1046"/>
      <c r="AA94" s="1048" t="s">
        <v>173</v>
      </c>
      <c r="AB94" s="124"/>
      <c r="AC94" s="125"/>
      <c r="AD94" s="124"/>
      <c r="AE94" s="129" t="b">
        <f t="shared" ref="AE94:BB94" si="15">OR(AND(AE95&lt;&gt;"",AE96=""),AND(AE95="",AE96&lt;&gt;""))</f>
        <v>0</v>
      </c>
      <c r="AF94" s="129" t="b">
        <f t="shared" si="15"/>
        <v>0</v>
      </c>
      <c r="AG94" s="129" t="b">
        <f t="shared" si="15"/>
        <v>0</v>
      </c>
      <c r="AH94" s="129" t="b">
        <f t="shared" si="15"/>
        <v>0</v>
      </c>
      <c r="AI94" s="129" t="b">
        <f t="shared" si="15"/>
        <v>0</v>
      </c>
      <c r="AJ94" s="129" t="b">
        <f t="shared" si="15"/>
        <v>0</v>
      </c>
      <c r="AK94" s="129" t="b">
        <f t="shared" si="15"/>
        <v>0</v>
      </c>
      <c r="AL94" s="129" t="b">
        <f t="shared" si="15"/>
        <v>0</v>
      </c>
      <c r="AM94" s="129" t="b">
        <f t="shared" si="15"/>
        <v>0</v>
      </c>
      <c r="AN94" s="129" t="b">
        <f t="shared" si="15"/>
        <v>0</v>
      </c>
      <c r="AO94" s="129" t="b">
        <f t="shared" si="15"/>
        <v>0</v>
      </c>
      <c r="AP94" s="129" t="b">
        <f t="shared" si="15"/>
        <v>0</v>
      </c>
      <c r="AQ94" s="129" t="b">
        <f t="shared" si="15"/>
        <v>0</v>
      </c>
      <c r="AR94" s="129" t="b">
        <f t="shared" si="15"/>
        <v>0</v>
      </c>
      <c r="AS94" s="129" t="b">
        <f t="shared" si="15"/>
        <v>0</v>
      </c>
      <c r="AT94" s="129" t="b">
        <f t="shared" si="15"/>
        <v>0</v>
      </c>
      <c r="AU94" s="129" t="b">
        <f t="shared" si="15"/>
        <v>0</v>
      </c>
      <c r="AV94" s="129" t="b">
        <f t="shared" si="15"/>
        <v>0</v>
      </c>
      <c r="AW94" s="129" t="b">
        <f t="shared" si="15"/>
        <v>0</v>
      </c>
      <c r="AX94" s="129" t="b">
        <f t="shared" si="15"/>
        <v>0</v>
      </c>
      <c r="AY94" s="129" t="b">
        <f t="shared" si="15"/>
        <v>0</v>
      </c>
      <c r="AZ94" s="129" t="b">
        <f t="shared" si="15"/>
        <v>0</v>
      </c>
      <c r="BA94" s="129" t="b">
        <f t="shared" si="15"/>
        <v>0</v>
      </c>
      <c r="BB94" s="129" t="b">
        <f t="shared" si="15"/>
        <v>0</v>
      </c>
      <c r="BC94" s="643"/>
    </row>
    <row r="95" spans="2:62" ht="14.25" hidden="1" customHeight="1" x14ac:dyDescent="0.15">
      <c r="E95" s="491">
        <v>15</v>
      </c>
      <c r="F95" s="3" t="str" cm="1">
        <f t="array" aca="1" ref="F95" ca="1">OFFSET(E95,-1,1)</f>
        <v>2</v>
      </c>
      <c r="G95" s="66" t="s">
        <v>332</v>
      </c>
      <c r="H95" s="69" cm="1">
        <f t="array" ref="H95">AC95</f>
        <v>0</v>
      </c>
      <c r="I95" s="66" t="s">
        <v>1127</v>
      </c>
      <c r="T95" s="353" t="b">
        <f ca="1">AND(F95&gt;0,Y94&gt;0)</f>
        <v>0</v>
      </c>
      <c r="X95" s="943"/>
      <c r="Y95" s="943"/>
      <c r="Z95" s="1046"/>
      <c r="AA95" s="1048"/>
      <c r="AB95" s="7" t="str">
        <f>"2."&amp;Y94</f>
        <v>2.0</v>
      </c>
      <c r="AC95" s="186"/>
      <c r="AD95" s="124" t="s">
        <v>828</v>
      </c>
      <c r="AE95" s="128"/>
      <c r="AF95" s="128"/>
      <c r="AG95" s="128"/>
      <c r="AH95" s="128"/>
      <c r="AI95" s="128"/>
      <c r="AJ95" s="778"/>
      <c r="AK95" s="778"/>
      <c r="AL95" s="128"/>
      <c r="AM95" s="128"/>
      <c r="AN95" s="128"/>
      <c r="AO95" s="128"/>
      <c r="AP95" s="128"/>
      <c r="AQ95" s="128"/>
      <c r="AR95" s="128"/>
      <c r="AS95" s="128"/>
      <c r="AT95" s="778"/>
      <c r="AU95" s="778"/>
      <c r="AV95" s="128"/>
      <c r="AW95" s="128"/>
      <c r="AX95" s="128"/>
      <c r="AY95" s="128"/>
      <c r="AZ95" s="128"/>
      <c r="BA95" s="128"/>
      <c r="BB95" s="128"/>
      <c r="BC95" s="826"/>
      <c r="BF95" s="682" t="s">
        <v>1119</v>
      </c>
      <c r="BG95" s="682" t="s">
        <v>1128</v>
      </c>
      <c r="BH95" s="682" cm="1">
        <f t="array" ref="BH95">AC95</f>
        <v>0</v>
      </c>
      <c r="BJ95" s="491" t="b">
        <v>1</v>
      </c>
    </row>
    <row r="96" spans="2:62" ht="14.25" hidden="1" customHeight="1" x14ac:dyDescent="0.15">
      <c r="E96" s="491">
        <v>15</v>
      </c>
      <c r="F96" s="3" t="str" cm="1">
        <f t="array" aca="1" ref="F96" ca="1">OFFSET(E96,-1,1)</f>
        <v>2</v>
      </c>
      <c r="G96" s="66" t="s">
        <v>500</v>
      </c>
      <c r="H96" s="69" cm="1">
        <f t="array" ref="H96">H95</f>
        <v>0</v>
      </c>
      <c r="I96" s="66" t="s">
        <v>1127</v>
      </c>
      <c r="T96" s="353" t="b" cm="1">
        <f t="array" aca="1" ref="T96" ca="1">T95</f>
        <v>0</v>
      </c>
      <c r="X96" s="943"/>
      <c r="Y96" s="943"/>
      <c r="Z96" s="1046"/>
      <c r="AA96" s="1048"/>
      <c r="AB96" s="7" t="str">
        <f>AB95&amp;".1"</f>
        <v>2.0.1</v>
      </c>
      <c r="AC96" s="134" t="s">
        <v>1129</v>
      </c>
      <c r="AD96" s="7" t="s">
        <v>558</v>
      </c>
      <c r="AE96" s="128"/>
      <c r="AF96" s="128"/>
      <c r="AG96" s="128"/>
      <c r="AH96" s="128"/>
      <c r="AI96" s="128"/>
      <c r="AJ96" s="778"/>
      <c r="AK96" s="778"/>
      <c r="AL96" s="128"/>
      <c r="AM96" s="128"/>
      <c r="AN96" s="128"/>
      <c r="AO96" s="128"/>
      <c r="AP96" s="128"/>
      <c r="AQ96" s="128"/>
      <c r="AR96" s="128"/>
      <c r="AS96" s="128"/>
      <c r="AT96" s="778"/>
      <c r="AU96" s="778"/>
      <c r="AV96" s="128"/>
      <c r="AW96" s="128"/>
      <c r="AX96" s="128"/>
      <c r="AY96" s="128"/>
      <c r="AZ96" s="128"/>
      <c r="BA96" s="128"/>
      <c r="BB96" s="128"/>
      <c r="BC96" s="826"/>
      <c r="BF96" s="682" t="s">
        <v>1122</v>
      </c>
      <c r="BG96" s="682" t="s">
        <v>1128</v>
      </c>
      <c r="BH96" s="682" cm="1">
        <f t="array" ref="BH96">BH95</f>
        <v>0</v>
      </c>
    </row>
    <row r="97" spans="5:62" ht="14.25" customHeight="1" x14ac:dyDescent="0.15">
      <c r="E97" s="491">
        <v>15</v>
      </c>
      <c r="F97" s="3" t="str" cm="1">
        <f t="array" aca="1" ref="F97" ca="1">OFFSET(E97,-1,1)</f>
        <v>2</v>
      </c>
      <c r="H97" s="66" t="str">
        <f>"!=='не определено' &amp;&amp; row.l2 !== null"</f>
        <v>!=='не определено' &amp;&amp; row.l2 !== null</v>
      </c>
      <c r="T97" s="353" t="b">
        <f ca="1">F97&gt;0</f>
        <v>1</v>
      </c>
      <c r="W97" s="497" t="s">
        <v>1123</v>
      </c>
      <c r="X97" s="943"/>
      <c r="Y97" s="495"/>
      <c r="Z97" s="1046"/>
      <c r="AB97" s="494"/>
      <c r="AC97" s="145" t="s">
        <v>1124</v>
      </c>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6"/>
      <c r="BI97" s="491" t="s">
        <v>1128</v>
      </c>
    </row>
    <row r="98" spans="5:62" ht="21.75" customHeight="1" x14ac:dyDescent="0.15">
      <c r="E98" s="491">
        <v>23</v>
      </c>
      <c r="F98" s="3" t="str" cm="1">
        <f t="array" aca="1" ref="F98" ca="1">OFFSET(E98,-1,1)</f>
        <v>2</v>
      </c>
      <c r="K98" s="602" t="str">
        <f ca="1">F88&amp;"3komm"</f>
        <v>23komm</v>
      </c>
      <c r="L98" s="606" cm="1">
        <f t="array" ref="L98">BC98</f>
        <v>0</v>
      </c>
      <c r="T98" s="353" t="b" cm="1">
        <f t="array" aca="1" ref="T98" ca="1">T97</f>
        <v>1</v>
      </c>
      <c r="X98" s="943"/>
      <c r="Y98" s="496"/>
      <c r="Z98" s="1046"/>
      <c r="AB98" s="124">
        <v>3</v>
      </c>
      <c r="AC98" s="125" t="s">
        <v>1130</v>
      </c>
      <c r="AD98" s="124" t="s">
        <v>828</v>
      </c>
      <c r="AE98" s="126">
        <f>SUMIF(AD100:AD102,AD98,AE100:AE102)</f>
        <v>0</v>
      </c>
      <c r="AF98" s="126">
        <f>SUMIF(AD100:AD102,AD98,AF100:AF102)</f>
        <v>0</v>
      </c>
      <c r="AG98" s="126">
        <f>SUMIF(AD100:AD102,AD98,AG100:AG102)</f>
        <v>0</v>
      </c>
      <c r="AH98" s="126">
        <f>SUMIF(AD100:AD102,AD98,AH100:AH102)</f>
        <v>0</v>
      </c>
      <c r="AI98" s="126">
        <f>SUMIF(AD100:AD102,AD98,AI100:AI102)</f>
        <v>0</v>
      </c>
      <c r="AJ98" s="126">
        <f>SUMIF(AD100:AD102,AD98,AJ100:AJ102)</f>
        <v>0</v>
      </c>
      <c r="AK98" s="126">
        <f>SUMIF(AD100:AD102,AD98,AK100:AK102)</f>
        <v>0</v>
      </c>
      <c r="AL98" s="126">
        <f>SUMIF(AD100:AD102,AD98,AL100:AL102)</f>
        <v>0</v>
      </c>
      <c r="AM98" s="126">
        <f>SUMIF(AD100:AD102,AD98,AM100:AM102)</f>
        <v>0</v>
      </c>
      <c r="AN98" s="126">
        <f>SUMIF(AD100:AD102,AD98,AN100:AN102)</f>
        <v>0</v>
      </c>
      <c r="AO98" s="126">
        <f>SUMIF(AD100:AD102,AD98,AO100:AO102)</f>
        <v>0</v>
      </c>
      <c r="AP98" s="126">
        <f>SUMIF(AD100:AD102,AD98,AP100:AP102)</f>
        <v>0</v>
      </c>
      <c r="AQ98" s="126">
        <f>SUMIF(AD100:AD102,AD98,AQ100:AQ102)</f>
        <v>0</v>
      </c>
      <c r="AR98" s="126">
        <f>SUMIF(AD100:AD102,AD98,AR100:AR102)</f>
        <v>0</v>
      </c>
      <c r="AS98" s="126">
        <f>SUMIF(AD100:AD102,AD98,AS100:AS102)</f>
        <v>0</v>
      </c>
      <c r="AT98" s="126">
        <f>SUMIF(AD100:AD102,AD98,AT100:AT102)</f>
        <v>0</v>
      </c>
      <c r="AU98" s="126">
        <f>SUMIF(AD100:AD102,AD98,AU100:AU102)</f>
        <v>0</v>
      </c>
      <c r="AV98" s="126">
        <f>SUMIF(AD100:AD102,AD98,AV100:AV102)</f>
        <v>0</v>
      </c>
      <c r="AW98" s="126">
        <f>SUMIF(AD100:AD102,AD98,AW100:AW102)</f>
        <v>0</v>
      </c>
      <c r="AX98" s="126">
        <f>SUMIF(AD100:AD102,AD98,AX100:AX102)</f>
        <v>0</v>
      </c>
      <c r="AY98" s="126">
        <f>SUMIF(AD100:AD102,AD98,AY100:AY102)</f>
        <v>0</v>
      </c>
      <c r="AZ98" s="126">
        <f>SUMIF(AD100:AD102,AD98,AZ100:AZ102)</f>
        <v>0</v>
      </c>
      <c r="BA98" s="126">
        <f>SUMIF(AD100:AD102,AD98,BA100:BA102)</f>
        <v>0</v>
      </c>
      <c r="BB98" s="126">
        <f>SUMIF(AD100:AD102,AD98,BB100:BB102)</f>
        <v>0</v>
      </c>
      <c r="BC98" s="113"/>
      <c r="BF98" s="682" t="s">
        <v>1131</v>
      </c>
    </row>
    <row r="99" spans="5:62" ht="15" hidden="1" customHeight="1" x14ac:dyDescent="0.15">
      <c r="E99" s="491">
        <v>0</v>
      </c>
      <c r="F99" s="3" t="str" cm="1">
        <f t="array" aca="1" ref="F99" ca="1">OFFSET(E99,-1,1)</f>
        <v>2</v>
      </c>
      <c r="G99" s="66" t="s">
        <v>333</v>
      </c>
      <c r="L99" s="606"/>
      <c r="T99" s="353" t="b">
        <v>0</v>
      </c>
      <c r="W99" s="66" t="s">
        <v>172</v>
      </c>
      <c r="X99" s="943"/>
      <c r="Y99" s="943">
        <v>0</v>
      </c>
      <c r="Z99" s="1046"/>
      <c r="AA99" s="1048" t="s">
        <v>173</v>
      </c>
      <c r="AB99" s="124"/>
      <c r="AC99" s="125"/>
      <c r="AD99" s="124"/>
      <c r="AE99" s="129" t="b">
        <f t="shared" ref="AE99:BB99" si="16">OR(AND(AE100&lt;&gt;"",AE101=""),AND(AE100="",AE101&lt;&gt;""))</f>
        <v>0</v>
      </c>
      <c r="AF99" s="129" t="b">
        <f t="shared" si="16"/>
        <v>0</v>
      </c>
      <c r="AG99" s="129" t="b">
        <f t="shared" si="16"/>
        <v>0</v>
      </c>
      <c r="AH99" s="129" t="b">
        <f t="shared" si="16"/>
        <v>0</v>
      </c>
      <c r="AI99" s="129" t="b">
        <f t="shared" si="16"/>
        <v>0</v>
      </c>
      <c r="AJ99" s="129" t="b">
        <f t="shared" si="16"/>
        <v>0</v>
      </c>
      <c r="AK99" s="129" t="b">
        <f t="shared" si="16"/>
        <v>0</v>
      </c>
      <c r="AL99" s="129" t="b">
        <f t="shared" si="16"/>
        <v>0</v>
      </c>
      <c r="AM99" s="129" t="b">
        <f t="shared" si="16"/>
        <v>0</v>
      </c>
      <c r="AN99" s="129" t="b">
        <f t="shared" si="16"/>
        <v>0</v>
      </c>
      <c r="AO99" s="129" t="b">
        <f t="shared" si="16"/>
        <v>0</v>
      </c>
      <c r="AP99" s="129" t="b">
        <f t="shared" si="16"/>
        <v>0</v>
      </c>
      <c r="AQ99" s="129" t="b">
        <f t="shared" si="16"/>
        <v>0</v>
      </c>
      <c r="AR99" s="129" t="b">
        <f t="shared" si="16"/>
        <v>0</v>
      </c>
      <c r="AS99" s="129" t="b">
        <f t="shared" si="16"/>
        <v>0</v>
      </c>
      <c r="AT99" s="129" t="b">
        <f t="shared" si="16"/>
        <v>0</v>
      </c>
      <c r="AU99" s="129" t="b">
        <f t="shared" si="16"/>
        <v>0</v>
      </c>
      <c r="AV99" s="129" t="b">
        <f t="shared" si="16"/>
        <v>0</v>
      </c>
      <c r="AW99" s="129" t="b">
        <f t="shared" si="16"/>
        <v>0</v>
      </c>
      <c r="AX99" s="129" t="b">
        <f t="shared" si="16"/>
        <v>0</v>
      </c>
      <c r="AY99" s="129" t="b">
        <f t="shared" si="16"/>
        <v>0</v>
      </c>
      <c r="AZ99" s="129" t="b">
        <f t="shared" si="16"/>
        <v>0</v>
      </c>
      <c r="BA99" s="129" t="b">
        <f t="shared" si="16"/>
        <v>0</v>
      </c>
      <c r="BB99" s="129" t="b">
        <f t="shared" si="16"/>
        <v>0</v>
      </c>
      <c r="BC99" s="643"/>
    </row>
    <row r="100" spans="5:62" ht="14.25" hidden="1" customHeight="1" x14ac:dyDescent="0.15">
      <c r="E100" s="491">
        <v>15</v>
      </c>
      <c r="F100" s="3" t="str" cm="1">
        <f t="array" aca="1" ref="F100" ca="1">OFFSET(E100,-1,1)</f>
        <v>2</v>
      </c>
      <c r="G100" s="66" t="s">
        <v>333</v>
      </c>
      <c r="H100" s="69" cm="1">
        <f t="array" ref="H100">AC100</f>
        <v>0</v>
      </c>
      <c r="I100" s="66" t="s">
        <v>1132</v>
      </c>
      <c r="T100" s="353" t="b">
        <f ca="1">AND(F100&gt;0,Y99&gt;0)</f>
        <v>0</v>
      </c>
      <c r="X100" s="943"/>
      <c r="Y100" s="943"/>
      <c r="Z100" s="1046"/>
      <c r="AA100" s="1048"/>
      <c r="AB100" s="7" t="str">
        <f>"3."&amp;Y99</f>
        <v>3.0</v>
      </c>
      <c r="AC100" s="186"/>
      <c r="AD100" s="124" t="s">
        <v>828</v>
      </c>
      <c r="AE100" s="128"/>
      <c r="AF100" s="128"/>
      <c r="AG100" s="128"/>
      <c r="AH100" s="128"/>
      <c r="AI100" s="128"/>
      <c r="AJ100" s="778"/>
      <c r="AK100" s="778"/>
      <c r="AL100" s="128"/>
      <c r="AM100" s="128"/>
      <c r="AN100" s="128"/>
      <c r="AO100" s="128"/>
      <c r="AP100" s="128"/>
      <c r="AQ100" s="128"/>
      <c r="AR100" s="128"/>
      <c r="AS100" s="128"/>
      <c r="AT100" s="778"/>
      <c r="AU100" s="778"/>
      <c r="AV100" s="128"/>
      <c r="AW100" s="128"/>
      <c r="AX100" s="128"/>
      <c r="AY100" s="128"/>
      <c r="AZ100" s="128"/>
      <c r="BA100" s="128"/>
      <c r="BB100" s="128"/>
      <c r="BC100" s="826"/>
      <c r="BF100" s="682" t="s">
        <v>1119</v>
      </c>
      <c r="BG100" s="682" t="s">
        <v>1133</v>
      </c>
      <c r="BH100" s="682" cm="1">
        <f t="array" ref="BH100">AC100</f>
        <v>0</v>
      </c>
      <c r="BJ100" s="491" t="b">
        <v>1</v>
      </c>
    </row>
    <row r="101" spans="5:62" ht="14.25" hidden="1" customHeight="1" x14ac:dyDescent="0.15">
      <c r="E101" s="491">
        <v>15</v>
      </c>
      <c r="F101" s="3" t="str" cm="1">
        <f t="array" aca="1" ref="F101" ca="1">OFFSET(E101,-1,1)</f>
        <v>2</v>
      </c>
      <c r="G101" s="66" t="s">
        <v>969</v>
      </c>
      <c r="H101" s="69" cm="1">
        <f t="array" ref="H101">H100</f>
        <v>0</v>
      </c>
      <c r="I101" s="66" t="s">
        <v>1132</v>
      </c>
      <c r="T101" s="353" t="b" cm="1">
        <f t="array" aca="1" ref="T101" ca="1">T100</f>
        <v>0</v>
      </c>
      <c r="X101" s="943"/>
      <c r="Y101" s="943"/>
      <c r="Z101" s="1046"/>
      <c r="AA101" s="1048"/>
      <c r="AB101" s="7" t="str">
        <f>AB100&amp;".1"</f>
        <v>3.0.1</v>
      </c>
      <c r="AC101" s="134" t="s">
        <v>1134</v>
      </c>
      <c r="AD101" s="7" t="s">
        <v>558</v>
      </c>
      <c r="AE101" s="128"/>
      <c r="AF101" s="128"/>
      <c r="AG101" s="128"/>
      <c r="AH101" s="128"/>
      <c r="AI101" s="128"/>
      <c r="AJ101" s="778"/>
      <c r="AK101" s="778"/>
      <c r="AL101" s="128"/>
      <c r="AM101" s="128"/>
      <c r="AN101" s="128"/>
      <c r="AO101" s="128"/>
      <c r="AP101" s="128"/>
      <c r="AQ101" s="128"/>
      <c r="AR101" s="128"/>
      <c r="AS101" s="128"/>
      <c r="AT101" s="778"/>
      <c r="AU101" s="778"/>
      <c r="AV101" s="128"/>
      <c r="AW101" s="128"/>
      <c r="AX101" s="128"/>
      <c r="AY101" s="128"/>
      <c r="AZ101" s="128"/>
      <c r="BA101" s="128"/>
      <c r="BB101" s="128"/>
      <c r="BC101" s="826"/>
      <c r="BF101" s="682" t="s">
        <v>1122</v>
      </c>
      <c r="BG101" s="682" t="s">
        <v>1133</v>
      </c>
      <c r="BH101" s="682" cm="1">
        <f t="array" ref="BH101">BH100</f>
        <v>0</v>
      </c>
    </row>
    <row r="102" spans="5:62" ht="14.25" customHeight="1" x14ac:dyDescent="0.15">
      <c r="E102" s="491">
        <v>15</v>
      </c>
      <c r="F102" s="3" t="str" cm="1">
        <f t="array" aca="1" ref="F102" ca="1">OFFSET(E102,-1,1)</f>
        <v>2</v>
      </c>
      <c r="H102" s="66" t="str">
        <f>"!=='не определено' &amp;&amp; row.l3 !== null"</f>
        <v>!=='не определено' &amp;&amp; row.l3 !== null</v>
      </c>
      <c r="T102" s="353" t="b">
        <f ca="1">F102&gt;0</f>
        <v>1</v>
      </c>
      <c r="W102" s="497" t="s">
        <v>1135</v>
      </c>
      <c r="X102" s="943"/>
      <c r="Y102" s="495"/>
      <c r="Z102" s="1046"/>
      <c r="AB102" s="494"/>
      <c r="AC102" s="145" t="s">
        <v>1124</v>
      </c>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6"/>
      <c r="BI102" s="491" t="s">
        <v>1133</v>
      </c>
    </row>
    <row r="103" spans="5:62" ht="21.75" customHeight="1" x14ac:dyDescent="0.15">
      <c r="E103" s="491">
        <v>23</v>
      </c>
      <c r="F103" s="3" t="str" cm="1">
        <f t="array" aca="1" ref="F103" ca="1">OFFSET(E103,-1,1)</f>
        <v>2</v>
      </c>
      <c r="K103" s="602" t="str">
        <f ca="1">F88&amp;"4komm"</f>
        <v>24komm</v>
      </c>
      <c r="L103" s="606" cm="1">
        <f t="array" ref="L103">BC103</f>
        <v>0</v>
      </c>
      <c r="T103" s="353" t="b" cm="1">
        <f t="array" aca="1" ref="T103" ca="1">T102</f>
        <v>1</v>
      </c>
      <c r="X103" s="943"/>
      <c r="Y103" s="496"/>
      <c r="Z103" s="1046"/>
      <c r="AB103" s="124">
        <v>4</v>
      </c>
      <c r="AC103" s="125" t="s">
        <v>1136</v>
      </c>
      <c r="AD103" s="124" t="s">
        <v>828</v>
      </c>
      <c r="AE103" s="126">
        <f>SUMIF(AD105:AD110,AD103,AE105:AE110)</f>
        <v>132.99834370569999</v>
      </c>
      <c r="AF103" s="126">
        <f>SUMIF(AD105:AD110,AD103,AF105:AF110)</f>
        <v>164.492367712</v>
      </c>
      <c r="AG103" s="126">
        <f>SUMIF(AD105:AD110,AD103,AG105:AG110)</f>
        <v>164.66</v>
      </c>
      <c r="AH103" s="126">
        <f>SUMIF(AD105:AD110,AD103,AH105:AH110)</f>
        <v>168.97</v>
      </c>
      <c r="AI103" s="126">
        <f>SUMIF(AD105:AD110,AD103,AI105:AI110)</f>
        <v>241.71289999999999</v>
      </c>
      <c r="AJ103" s="126">
        <f>SUMIF(AD105:AD110,AD103,AJ105:AJ110)</f>
        <v>0</v>
      </c>
      <c r="AK103" s="126">
        <f>SUMIF(AD105:AD110,AD103,AK105:AK110)</f>
        <v>0</v>
      </c>
      <c r="AL103" s="126">
        <f>SUMIF(AD105:AD110,AD103,AL105:AL110)</f>
        <v>0</v>
      </c>
      <c r="AM103" s="126">
        <f>SUMIF(AD105:AD110,AD103,AM105:AM110)</f>
        <v>0</v>
      </c>
      <c r="AN103" s="126">
        <f>SUMIF(AD105:AD110,AD103,AN105:AN110)</f>
        <v>0</v>
      </c>
      <c r="AO103" s="126">
        <f>SUMIF(AD105:AD110,AD103,AO105:AO110)</f>
        <v>0</v>
      </c>
      <c r="AP103" s="126">
        <f>SUMIF(AD105:AD110,AD103,AP105:AP110)</f>
        <v>0</v>
      </c>
      <c r="AQ103" s="126">
        <f>SUMIF(AD105:AD110,AD103,AQ105:AQ110)</f>
        <v>0</v>
      </c>
      <c r="AR103" s="126">
        <f>SUMIF(AD105:AD110,AD103,AR105:AR110)</f>
        <v>0</v>
      </c>
      <c r="AS103" s="126">
        <f>SUMIF(AD105:AD110,AD103,AS105:AS110)</f>
        <v>182.26</v>
      </c>
      <c r="AT103" s="126">
        <f>SUMIF(AD105:AD110,AD103,AT105:AT110)</f>
        <v>0</v>
      </c>
      <c r="AU103" s="126">
        <f>SUMIF(AD105:AD110,AD103,AU105:AU110)</f>
        <v>0</v>
      </c>
      <c r="AV103" s="126">
        <f>SUMIF(AD105:AD110,AD103,AV105:AV110)</f>
        <v>0</v>
      </c>
      <c r="AW103" s="126">
        <f>SUMIF(AD105:AD110,AD103,AW105:AW110)</f>
        <v>0</v>
      </c>
      <c r="AX103" s="126">
        <f>SUMIF(AD105:AD110,AD103,AX105:AX110)</f>
        <v>0</v>
      </c>
      <c r="AY103" s="126">
        <f>SUMIF(AD105:AD110,AD103,AY105:AY110)</f>
        <v>0</v>
      </c>
      <c r="AZ103" s="126">
        <f>SUMIF(AD105:AD110,AD103,AZ105:AZ110)</f>
        <v>0</v>
      </c>
      <c r="BA103" s="126">
        <f>SUMIF(AD105:AD110,AD103,BA105:BA110)</f>
        <v>0</v>
      </c>
      <c r="BB103" s="126">
        <f>SUMIF(AD105:AD110,AD103,BB105:BB110)</f>
        <v>0</v>
      </c>
      <c r="BC103" s="113"/>
      <c r="BF103" s="682" t="s">
        <v>1137</v>
      </c>
    </row>
    <row r="104" spans="5:62" ht="15" hidden="1" customHeight="1" x14ac:dyDescent="0.15">
      <c r="E104" s="491">
        <v>0</v>
      </c>
      <c r="F104" s="3" t="str" cm="1">
        <f t="array" aca="1" ref="F104" ca="1">OFFSET(E104,-1,1)</f>
        <v>2</v>
      </c>
      <c r="G104" s="66" t="s">
        <v>335</v>
      </c>
      <c r="L104" s="606"/>
      <c r="T104" s="353" t="b">
        <v>0</v>
      </c>
      <c r="W104" s="66" t="s">
        <v>172</v>
      </c>
      <c r="X104" s="943"/>
      <c r="Y104" s="943">
        <v>0</v>
      </c>
      <c r="Z104" s="1046"/>
      <c r="AA104" s="1048" t="s">
        <v>173</v>
      </c>
      <c r="AB104" s="124"/>
      <c r="AC104" s="125"/>
      <c r="AD104" s="124"/>
      <c r="AE104" s="129" t="b">
        <f t="shared" ref="AE104:BB104" si="17">OR(AND(AE105&lt;&gt;"",AE106=""),AND(AE105="",AE106&lt;&gt;""))</f>
        <v>0</v>
      </c>
      <c r="AF104" s="129" t="b">
        <f t="shared" si="17"/>
        <v>0</v>
      </c>
      <c r="AG104" s="129" t="b">
        <f t="shared" si="17"/>
        <v>0</v>
      </c>
      <c r="AH104" s="129" t="b">
        <f t="shared" si="17"/>
        <v>0</v>
      </c>
      <c r="AI104" s="129" t="b">
        <f t="shared" si="17"/>
        <v>0</v>
      </c>
      <c r="AJ104" s="129" t="b">
        <f t="shared" si="17"/>
        <v>0</v>
      </c>
      <c r="AK104" s="129" t="b">
        <f t="shared" si="17"/>
        <v>0</v>
      </c>
      <c r="AL104" s="129" t="b">
        <f t="shared" si="17"/>
        <v>0</v>
      </c>
      <c r="AM104" s="129" t="b">
        <f t="shared" si="17"/>
        <v>0</v>
      </c>
      <c r="AN104" s="129" t="b">
        <f t="shared" si="17"/>
        <v>0</v>
      </c>
      <c r="AO104" s="129" t="b">
        <f t="shared" si="17"/>
        <v>0</v>
      </c>
      <c r="AP104" s="129" t="b">
        <f t="shared" si="17"/>
        <v>0</v>
      </c>
      <c r="AQ104" s="129" t="b">
        <f t="shared" si="17"/>
        <v>0</v>
      </c>
      <c r="AR104" s="129" t="b">
        <f t="shared" si="17"/>
        <v>0</v>
      </c>
      <c r="AS104" s="129" t="b">
        <f t="shared" si="17"/>
        <v>0</v>
      </c>
      <c r="AT104" s="129" t="b">
        <f t="shared" si="17"/>
        <v>0</v>
      </c>
      <c r="AU104" s="129" t="b">
        <f t="shared" si="17"/>
        <v>0</v>
      </c>
      <c r="AV104" s="129" t="b">
        <f t="shared" si="17"/>
        <v>0</v>
      </c>
      <c r="AW104" s="129" t="b">
        <f t="shared" si="17"/>
        <v>0</v>
      </c>
      <c r="AX104" s="129" t="b">
        <f t="shared" si="17"/>
        <v>0</v>
      </c>
      <c r="AY104" s="129" t="b">
        <f t="shared" si="17"/>
        <v>0</v>
      </c>
      <c r="AZ104" s="129" t="b">
        <f t="shared" si="17"/>
        <v>0</v>
      </c>
      <c r="BA104" s="129" t="b">
        <f t="shared" si="17"/>
        <v>0</v>
      </c>
      <c r="BB104" s="129" t="b">
        <f t="shared" si="17"/>
        <v>0</v>
      </c>
      <c r="BC104" s="643"/>
    </row>
    <row r="105" spans="5:62" ht="14.25" hidden="1" customHeight="1" x14ac:dyDescent="0.15">
      <c r="E105" s="491">
        <v>15</v>
      </c>
      <c r="F105" s="3" t="str" cm="1">
        <f t="array" aca="1" ref="F105" ca="1">OFFSET(E105,-1,1)</f>
        <v>2</v>
      </c>
      <c r="G105" s="66" t="s">
        <v>335</v>
      </c>
      <c r="H105" s="69" cm="1">
        <f t="array" ref="H105">AC105</f>
        <v>0</v>
      </c>
      <c r="I105" s="66" t="s">
        <v>1138</v>
      </c>
      <c r="T105" s="353" t="b">
        <f ca="1">AND(F105&gt;0,Y104&gt;0)</f>
        <v>0</v>
      </c>
      <c r="X105" s="943"/>
      <c r="Y105" s="943"/>
      <c r="Z105" s="1046"/>
      <c r="AA105" s="1048"/>
      <c r="AB105" s="7" t="str">
        <f>"4."&amp;Y104</f>
        <v>4.0</v>
      </c>
      <c r="AC105" s="186"/>
      <c r="AD105" s="124" t="s">
        <v>828</v>
      </c>
      <c r="AE105" s="128"/>
      <c r="AF105" s="128"/>
      <c r="AG105" s="128"/>
      <c r="AH105" s="128"/>
      <c r="AI105" s="128"/>
      <c r="AJ105" s="778"/>
      <c r="AK105" s="778"/>
      <c r="AL105" s="128"/>
      <c r="AM105" s="128"/>
      <c r="AN105" s="128"/>
      <c r="AO105" s="128"/>
      <c r="AP105" s="128"/>
      <c r="AQ105" s="128"/>
      <c r="AR105" s="128"/>
      <c r="AS105" s="128"/>
      <c r="AT105" s="778"/>
      <c r="AU105" s="778"/>
      <c r="AV105" s="128"/>
      <c r="AW105" s="128"/>
      <c r="AX105" s="128"/>
      <c r="AY105" s="128"/>
      <c r="AZ105" s="128"/>
      <c r="BA105" s="128"/>
      <c r="BB105" s="128"/>
      <c r="BC105" s="826"/>
      <c r="BF105" s="682" t="s">
        <v>1119</v>
      </c>
      <c r="BG105" s="682" t="s">
        <v>1139</v>
      </c>
      <c r="BH105" s="682" cm="1">
        <f t="array" ref="BH105">AC105</f>
        <v>0</v>
      </c>
      <c r="BJ105" s="491" t="b">
        <v>1</v>
      </c>
    </row>
    <row r="106" spans="5:62" ht="14.25" hidden="1" customHeight="1" x14ac:dyDescent="0.15">
      <c r="E106" s="491">
        <v>15</v>
      </c>
      <c r="F106" s="3" t="str" cm="1">
        <f t="array" aca="1" ref="F106" ca="1">OFFSET(E106,-1,1)</f>
        <v>2</v>
      </c>
      <c r="G106" s="66" t="s">
        <v>560</v>
      </c>
      <c r="H106" s="69" cm="1">
        <f t="array" ref="H106">H105</f>
        <v>0</v>
      </c>
      <c r="I106" s="66" t="s">
        <v>1138</v>
      </c>
      <c r="T106" s="353" t="b" cm="1">
        <f t="array" aca="1" ref="T106" ca="1">T105</f>
        <v>0</v>
      </c>
      <c r="X106" s="943"/>
      <c r="Y106" s="943"/>
      <c r="Z106" s="1046"/>
      <c r="AA106" s="1048"/>
      <c r="AB106" s="7" t="str">
        <f>AB105&amp;".1"</f>
        <v>4.0.1</v>
      </c>
      <c r="AC106" s="134" t="s">
        <v>1140</v>
      </c>
      <c r="AD106" s="7" t="s">
        <v>558</v>
      </c>
      <c r="AE106" s="128"/>
      <c r="AF106" s="128"/>
      <c r="AG106" s="128"/>
      <c r="AH106" s="128"/>
      <c r="AI106" s="128"/>
      <c r="AJ106" s="778"/>
      <c r="AK106" s="778"/>
      <c r="AL106" s="128"/>
      <c r="AM106" s="128"/>
      <c r="AN106" s="128"/>
      <c r="AO106" s="128"/>
      <c r="AP106" s="128"/>
      <c r="AQ106" s="128"/>
      <c r="AR106" s="128"/>
      <c r="AS106" s="128"/>
      <c r="AT106" s="778"/>
      <c r="AU106" s="778"/>
      <c r="AV106" s="128"/>
      <c r="AW106" s="128"/>
      <c r="AX106" s="128"/>
      <c r="AY106" s="128"/>
      <c r="AZ106" s="128"/>
      <c r="BA106" s="128"/>
      <c r="BB106" s="128"/>
      <c r="BC106" s="826"/>
      <c r="BF106" s="682" t="s">
        <v>1122</v>
      </c>
      <c r="BG106" s="682" t="s">
        <v>1139</v>
      </c>
      <c r="BH106" s="682" cm="1">
        <f t="array" ref="BH106">BH105</f>
        <v>0</v>
      </c>
    </row>
    <row r="107" spans="5:62" ht="15" hidden="1" customHeight="1" x14ac:dyDescent="0.15">
      <c r="E107" s="491">
        <v>0</v>
      </c>
      <c r="F107" s="3" t="str" cm="1">
        <f t="array" aca="1" ref="F107" ca="1">OFFSET(E107,-1,1)</f>
        <v>2</v>
      </c>
      <c r="G107" s="66" t="s">
        <v>335</v>
      </c>
      <c r="L107" s="606"/>
      <c r="T107" s="353" t="b">
        <v>0</v>
      </c>
      <c r="X107" s="943"/>
      <c r="Y107" s="943" t="s">
        <v>275</v>
      </c>
      <c r="Z107" s="1046"/>
      <c r="AA107" s="1048" t="s">
        <v>173</v>
      </c>
      <c r="AB107" s="124"/>
      <c r="AC107" s="125"/>
      <c r="AD107" s="124"/>
      <c r="AE107" s="129" t="b">
        <f t="shared" ref="AE107:BB107" si="18">OR(AND(AE108&lt;&gt;"",AE109=""),AND(AE108="",AE109&lt;&gt;""))</f>
        <v>0</v>
      </c>
      <c r="AF107" s="129" t="b">
        <f t="shared" si="18"/>
        <v>0</v>
      </c>
      <c r="AG107" s="129" t="b">
        <f t="shared" si="18"/>
        <v>0</v>
      </c>
      <c r="AH107" s="129" t="b">
        <f t="shared" si="18"/>
        <v>0</v>
      </c>
      <c r="AI107" s="129" t="b">
        <f t="shared" si="18"/>
        <v>0</v>
      </c>
      <c r="AJ107" s="129" t="b">
        <f t="shared" si="18"/>
        <v>0</v>
      </c>
      <c r="AK107" s="129" t="b">
        <f t="shared" si="18"/>
        <v>0</v>
      </c>
      <c r="AL107" s="129" t="b">
        <f t="shared" si="18"/>
        <v>0</v>
      </c>
      <c r="AM107" s="129" t="b">
        <f t="shared" si="18"/>
        <v>0</v>
      </c>
      <c r="AN107" s="129" t="b">
        <f t="shared" si="18"/>
        <v>0</v>
      </c>
      <c r="AO107" s="129" t="b">
        <f t="shared" si="18"/>
        <v>0</v>
      </c>
      <c r="AP107" s="129" t="b">
        <f t="shared" si="18"/>
        <v>0</v>
      </c>
      <c r="AQ107" s="129" t="b">
        <f t="shared" si="18"/>
        <v>0</v>
      </c>
      <c r="AR107" s="129" t="b">
        <f t="shared" si="18"/>
        <v>0</v>
      </c>
      <c r="AS107" s="129" t="b">
        <f t="shared" si="18"/>
        <v>0</v>
      </c>
      <c r="AT107" s="129" t="b">
        <f t="shared" si="18"/>
        <v>0</v>
      </c>
      <c r="AU107" s="129" t="b">
        <f t="shared" si="18"/>
        <v>0</v>
      </c>
      <c r="AV107" s="129" t="b">
        <f t="shared" si="18"/>
        <v>0</v>
      </c>
      <c r="AW107" s="129" t="b">
        <f t="shared" si="18"/>
        <v>0</v>
      </c>
      <c r="AX107" s="129" t="b">
        <f t="shared" si="18"/>
        <v>0</v>
      </c>
      <c r="AY107" s="129" t="b">
        <f t="shared" si="18"/>
        <v>0</v>
      </c>
      <c r="AZ107" s="129" t="b">
        <f t="shared" si="18"/>
        <v>0</v>
      </c>
      <c r="BA107" s="129" t="b">
        <f t="shared" si="18"/>
        <v>0</v>
      </c>
      <c r="BB107" s="129" t="b">
        <f t="shared" si="18"/>
        <v>0</v>
      </c>
      <c r="BC107" s="643"/>
    </row>
    <row r="108" spans="5:62" ht="44.85" customHeight="1" x14ac:dyDescent="0.15">
      <c r="E108" s="491">
        <v>15</v>
      </c>
      <c r="F108" s="3" t="str" cm="1">
        <f t="array" aca="1" ref="F108" ca="1">OFFSET(E108,-1,1)</f>
        <v>2</v>
      </c>
      <c r="G108" s="66" t="s">
        <v>335</v>
      </c>
      <c r="H108" s="69" t="str" cm="1">
        <f t="array" ref="H108">AC108</f>
        <v>КАО "Азот" :: 4205000908 :: 997550001</v>
      </c>
      <c r="I108" s="66" t="s">
        <v>1138</v>
      </c>
      <c r="T108" s="353" t="b">
        <f ca="1">AND(F108&gt;0,Y107&gt;0)</f>
        <v>1</v>
      </c>
      <c r="X108" s="943"/>
      <c r="Y108" s="943"/>
      <c r="Z108" s="1046"/>
      <c r="AA108" s="1048"/>
      <c r="AB108" s="7" t="str">
        <f>"4."&amp;Y107</f>
        <v>4.1</v>
      </c>
      <c r="AC108" s="186" t="s">
        <v>1156</v>
      </c>
      <c r="AD108" s="124" t="s">
        <v>828</v>
      </c>
      <c r="AE108" s="128">
        <v>132.99834370569999</v>
      </c>
      <c r="AF108" s="128">
        <v>164.492367712</v>
      </c>
      <c r="AG108" s="128">
        <v>164.66</v>
      </c>
      <c r="AH108" s="128">
        <v>168.97</v>
      </c>
      <c r="AI108" s="128">
        <v>241.71289999999999</v>
      </c>
      <c r="AJ108" s="778"/>
      <c r="AK108" s="778"/>
      <c r="AL108" s="128"/>
      <c r="AM108" s="128"/>
      <c r="AN108" s="128"/>
      <c r="AO108" s="128"/>
      <c r="AP108" s="128"/>
      <c r="AQ108" s="128"/>
      <c r="AR108" s="128"/>
      <c r="AS108" s="128">
        <v>182.26</v>
      </c>
      <c r="AT108" s="778"/>
      <c r="AU108" s="778"/>
      <c r="AV108" s="128"/>
      <c r="AW108" s="128"/>
      <c r="AX108" s="128"/>
      <c r="AY108" s="128"/>
      <c r="AZ108" s="128"/>
      <c r="BA108" s="128"/>
      <c r="BB108" s="128"/>
      <c r="BC108" s="113" t="s">
        <v>1157</v>
      </c>
      <c r="BF108" s="682" t="s">
        <v>1119</v>
      </c>
      <c r="BG108" s="682" t="s">
        <v>1139</v>
      </c>
      <c r="BH108" s="682" t="str" cm="1">
        <f t="array" ref="BH108">AC108</f>
        <v>КАО "Азот" :: 4205000908 :: 997550001</v>
      </c>
      <c r="BJ108" s="491" t="b">
        <v>1</v>
      </c>
    </row>
    <row r="109" spans="5:62" ht="29.85" customHeight="1" x14ac:dyDescent="0.15">
      <c r="E109" s="491">
        <v>15</v>
      </c>
      <c r="F109" s="3" t="str" cm="1">
        <f t="array" aca="1" ref="F109" ca="1">OFFSET(E109,-1,1)</f>
        <v>2</v>
      </c>
      <c r="G109" s="66" t="s">
        <v>560</v>
      </c>
      <c r="H109" s="69" t="str" cm="1">
        <f t="array" ref="H109">H108</f>
        <v>КАО "Азот" :: 4205000908 :: 997550001</v>
      </c>
      <c r="I109" s="66" t="s">
        <v>1138</v>
      </c>
      <c r="T109" s="353" t="b" cm="1">
        <f t="array" aca="1" ref="T109" ca="1">T108</f>
        <v>1</v>
      </c>
      <c r="X109" s="943"/>
      <c r="Y109" s="943"/>
      <c r="Z109" s="1046"/>
      <c r="AA109" s="1048"/>
      <c r="AB109" s="7" t="str">
        <f>AB108&amp;".1"</f>
        <v>4.1.1</v>
      </c>
      <c r="AC109" s="134" t="s">
        <v>1140</v>
      </c>
      <c r="AD109" s="7" t="s">
        <v>558</v>
      </c>
      <c r="AE109" s="128">
        <v>272.25869999999998</v>
      </c>
      <c r="AF109" s="128">
        <v>337.074524</v>
      </c>
      <c r="AG109" s="128">
        <v>337.0745</v>
      </c>
      <c r="AH109" s="128">
        <v>304.45792999999998</v>
      </c>
      <c r="AI109" s="128">
        <v>422.57499999999999</v>
      </c>
      <c r="AJ109" s="778"/>
      <c r="AK109" s="778"/>
      <c r="AL109" s="128"/>
      <c r="AM109" s="128"/>
      <c r="AN109" s="128"/>
      <c r="AO109" s="128"/>
      <c r="AP109" s="128"/>
      <c r="AQ109" s="128"/>
      <c r="AR109" s="128"/>
      <c r="AS109" s="128">
        <v>348.84325000000001</v>
      </c>
      <c r="AT109" s="778"/>
      <c r="AU109" s="778"/>
      <c r="AV109" s="128"/>
      <c r="AW109" s="128"/>
      <c r="AX109" s="128"/>
      <c r="AY109" s="128"/>
      <c r="AZ109" s="128"/>
      <c r="BA109" s="128"/>
      <c r="BB109" s="128"/>
      <c r="BC109" s="113" t="s">
        <v>1158</v>
      </c>
      <c r="BF109" s="682" t="s">
        <v>1122</v>
      </c>
      <c r="BG109" s="682" t="s">
        <v>1139</v>
      </c>
      <c r="BH109" s="682" t="str" cm="1">
        <f t="array" ref="BH109">BH108</f>
        <v>КАО "Азот" :: 4205000908 :: 997550001</v>
      </c>
    </row>
    <row r="110" spans="5:62" ht="14.25" customHeight="1" x14ac:dyDescent="0.15">
      <c r="E110" s="491">
        <v>15</v>
      </c>
      <c r="F110" s="3" t="str" cm="1">
        <f t="array" aca="1" ref="F110" ca="1">OFFSET(E110,-1,1)</f>
        <v>2</v>
      </c>
      <c r="H110" s="66" t="str">
        <f>"!=='не определено' &amp;&amp; row.l4 !== null"</f>
        <v>!=='не определено' &amp;&amp; row.l4 !== null</v>
      </c>
      <c r="T110" s="353" t="b">
        <f ca="1">F110&gt;0</f>
        <v>1</v>
      </c>
      <c r="W110" s="497" t="s">
        <v>1141</v>
      </c>
      <c r="X110" s="943"/>
      <c r="Y110" s="495"/>
      <c r="Z110" s="1046"/>
      <c r="AB110" s="494"/>
      <c r="AC110" s="145" t="s">
        <v>1124</v>
      </c>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6"/>
      <c r="BI110" s="491" t="s">
        <v>1139</v>
      </c>
    </row>
    <row r="111" spans="5:62" ht="21.75" customHeight="1" x14ac:dyDescent="0.15">
      <c r="E111" s="491">
        <v>23</v>
      </c>
      <c r="F111" s="3" t="str" cm="1">
        <f t="array" aca="1" ref="F111" ca="1">OFFSET(E111,-1,1)</f>
        <v>2</v>
      </c>
      <c r="K111" s="602" t="str">
        <f ca="1">F88&amp;"5komm"</f>
        <v>25komm</v>
      </c>
      <c r="L111" s="606" cm="1">
        <f t="array" ref="L111">BC111</f>
        <v>0</v>
      </c>
      <c r="T111" s="353" t="b" cm="1">
        <f t="array" aca="1" ref="T111" ca="1">T110</f>
        <v>1</v>
      </c>
      <c r="X111" s="943"/>
      <c r="Y111" s="496"/>
      <c r="Z111" s="1046"/>
      <c r="AB111" s="124">
        <v>5</v>
      </c>
      <c r="AC111" s="125" t="s">
        <v>1142</v>
      </c>
      <c r="AD111" s="124" t="s">
        <v>828</v>
      </c>
      <c r="AE111" s="126">
        <f>SUMIF(AD113:AD115,AD111,AE113:AE115)</f>
        <v>0</v>
      </c>
      <c r="AF111" s="126">
        <f>SUMIF(AD113:AD115,AD111,AF113:AF115)</f>
        <v>0</v>
      </c>
      <c r="AG111" s="126">
        <f>SUMIF(AD113:AD115,AD111,AG113:AG115)</f>
        <v>0</v>
      </c>
      <c r="AH111" s="126">
        <f>SUMIF(AD113:AD115,AD111,AH113:AH115)</f>
        <v>0</v>
      </c>
      <c r="AI111" s="126">
        <f>SUMIF(AD113:AD115,AD111,AI113:AI115)</f>
        <v>0</v>
      </c>
      <c r="AJ111" s="126">
        <f>SUMIF(AD113:AD115,AD111,AJ113:AJ115)</f>
        <v>0</v>
      </c>
      <c r="AK111" s="126">
        <f>SUMIF(AD113:AD115,AD111,AK113:AK115)</f>
        <v>0</v>
      </c>
      <c r="AL111" s="126">
        <f>SUMIF(AD113:AD115,AD111,AL113:AL115)</f>
        <v>0</v>
      </c>
      <c r="AM111" s="126">
        <f>SUMIF(AD113:AD115,AD111,AM113:AM115)</f>
        <v>0</v>
      </c>
      <c r="AN111" s="126">
        <f>SUMIF(AD113:AD115,AD111,AN113:AN115)</f>
        <v>0</v>
      </c>
      <c r="AO111" s="126">
        <f>SUMIF(AD113:AD115,AD111,AO113:AO115)</f>
        <v>0</v>
      </c>
      <c r="AP111" s="126">
        <f>SUMIF(AD113:AD115,AD111,AP113:AP115)</f>
        <v>0</v>
      </c>
      <c r="AQ111" s="126">
        <f>SUMIF(AD113:AD115,AD111,AQ113:AQ115)</f>
        <v>0</v>
      </c>
      <c r="AR111" s="126">
        <f>SUMIF(AD113:AD115,AD111,AR113:AR115)</f>
        <v>0</v>
      </c>
      <c r="AS111" s="126">
        <f>SUMIF(AD113:AD115,AD111,AS113:AS115)</f>
        <v>0</v>
      </c>
      <c r="AT111" s="126">
        <f>SUMIF(AD113:AD115,AD111,AT113:AT115)</f>
        <v>0</v>
      </c>
      <c r="AU111" s="126">
        <f>SUMIF(AD113:AD115,AD111,AU113:AU115)</f>
        <v>0</v>
      </c>
      <c r="AV111" s="126">
        <f>SUMIF(AD113:AD115,AD111,AV113:AV115)</f>
        <v>0</v>
      </c>
      <c r="AW111" s="126">
        <f>SUMIF(AD113:AD115,AD111,AW113:AW115)</f>
        <v>0</v>
      </c>
      <c r="AX111" s="126">
        <f>SUMIF(AD113:AD115,AD111,AX113:AX115)</f>
        <v>0</v>
      </c>
      <c r="AY111" s="126">
        <f>SUMIF(AD113:AD115,AD111,AY113:AY115)</f>
        <v>0</v>
      </c>
      <c r="AZ111" s="126">
        <f>SUMIF(AD113:AD115,AD111,AZ113:AZ115)</f>
        <v>0</v>
      </c>
      <c r="BA111" s="126">
        <f>SUMIF(AD113:AD115,AD111,BA113:BA115)</f>
        <v>0</v>
      </c>
      <c r="BB111" s="126">
        <f>SUMIF(AD113:AD115,AD111,BB113:BB115)</f>
        <v>0</v>
      </c>
      <c r="BC111" s="113"/>
      <c r="BF111" s="682" t="s">
        <v>1143</v>
      </c>
    </row>
    <row r="112" spans="5:62" ht="15" hidden="1" customHeight="1" x14ac:dyDescent="0.15">
      <c r="E112" s="491">
        <v>0</v>
      </c>
      <c r="F112" s="3" t="str" cm="1">
        <f t="array" aca="1" ref="F112" ca="1">OFFSET(E112,-1,1)</f>
        <v>2</v>
      </c>
      <c r="G112" s="66" t="s">
        <v>334</v>
      </c>
      <c r="L112" s="606"/>
      <c r="T112" s="353" t="b">
        <v>0</v>
      </c>
      <c r="W112" s="66" t="s">
        <v>172</v>
      </c>
      <c r="X112" s="943"/>
      <c r="Y112" s="943">
        <v>0</v>
      </c>
      <c r="Z112" s="1046"/>
      <c r="AA112" s="1048" t="s">
        <v>173</v>
      </c>
      <c r="AB112" s="124"/>
      <c r="AC112" s="125"/>
      <c r="AD112" s="124"/>
      <c r="AE112" s="129" t="b">
        <f t="shared" ref="AE112:BB112" si="19">OR(AND(AE113&lt;&gt;"",AE114=""),AND(AE113="",AE114&lt;&gt;""))</f>
        <v>0</v>
      </c>
      <c r="AF112" s="129" t="b">
        <f t="shared" si="19"/>
        <v>0</v>
      </c>
      <c r="AG112" s="129" t="b">
        <f t="shared" si="19"/>
        <v>0</v>
      </c>
      <c r="AH112" s="129" t="b">
        <f t="shared" si="19"/>
        <v>0</v>
      </c>
      <c r="AI112" s="129" t="b">
        <f t="shared" si="19"/>
        <v>0</v>
      </c>
      <c r="AJ112" s="129" t="b">
        <f t="shared" si="19"/>
        <v>0</v>
      </c>
      <c r="AK112" s="129" t="b">
        <f t="shared" si="19"/>
        <v>0</v>
      </c>
      <c r="AL112" s="129" t="b">
        <f t="shared" si="19"/>
        <v>0</v>
      </c>
      <c r="AM112" s="129" t="b">
        <f t="shared" si="19"/>
        <v>0</v>
      </c>
      <c r="AN112" s="129" t="b">
        <f t="shared" si="19"/>
        <v>0</v>
      </c>
      <c r="AO112" s="129" t="b">
        <f t="shared" si="19"/>
        <v>0</v>
      </c>
      <c r="AP112" s="129" t="b">
        <f t="shared" si="19"/>
        <v>0</v>
      </c>
      <c r="AQ112" s="129" t="b">
        <f t="shared" si="19"/>
        <v>0</v>
      </c>
      <c r="AR112" s="129" t="b">
        <f t="shared" si="19"/>
        <v>0</v>
      </c>
      <c r="AS112" s="129" t="b">
        <f t="shared" si="19"/>
        <v>0</v>
      </c>
      <c r="AT112" s="129" t="b">
        <f t="shared" si="19"/>
        <v>0</v>
      </c>
      <c r="AU112" s="129" t="b">
        <f t="shared" si="19"/>
        <v>0</v>
      </c>
      <c r="AV112" s="129" t="b">
        <f t="shared" si="19"/>
        <v>0</v>
      </c>
      <c r="AW112" s="129" t="b">
        <f t="shared" si="19"/>
        <v>0</v>
      </c>
      <c r="AX112" s="129" t="b">
        <f t="shared" si="19"/>
        <v>0</v>
      </c>
      <c r="AY112" s="129" t="b">
        <f t="shared" si="19"/>
        <v>0</v>
      </c>
      <c r="AZ112" s="129" t="b">
        <f t="shared" si="19"/>
        <v>0</v>
      </c>
      <c r="BA112" s="129" t="b">
        <f t="shared" si="19"/>
        <v>0</v>
      </c>
      <c r="BB112" s="129" t="b">
        <f t="shared" si="19"/>
        <v>0</v>
      </c>
      <c r="BC112" s="643"/>
    </row>
    <row r="113" spans="2:62" ht="14.25" hidden="1" customHeight="1" x14ac:dyDescent="0.15">
      <c r="E113" s="491">
        <v>15</v>
      </c>
      <c r="F113" s="3" t="str" cm="1">
        <f t="array" aca="1" ref="F113" ca="1">OFFSET(E113,-1,1)</f>
        <v>2</v>
      </c>
      <c r="G113" s="66" t="s">
        <v>334</v>
      </c>
      <c r="H113" s="69" cm="1">
        <f t="array" ref="H113">AC113</f>
        <v>0</v>
      </c>
      <c r="I113" s="66" t="s">
        <v>1144</v>
      </c>
      <c r="T113" s="353" t="b">
        <f ca="1">AND(F113&gt;0,Y112&gt;0)</f>
        <v>0</v>
      </c>
      <c r="X113" s="943"/>
      <c r="Y113" s="943"/>
      <c r="Z113" s="1046"/>
      <c r="AA113" s="1048"/>
      <c r="AB113" s="7" t="str">
        <f>"5."&amp;Y112</f>
        <v>5.0</v>
      </c>
      <c r="AC113" s="186"/>
      <c r="AD113" s="124" t="s">
        <v>828</v>
      </c>
      <c r="AE113" s="128"/>
      <c r="AF113" s="128"/>
      <c r="AG113" s="128"/>
      <c r="AH113" s="128"/>
      <c r="AI113" s="128"/>
      <c r="AJ113" s="778"/>
      <c r="AK113" s="778"/>
      <c r="AL113" s="128"/>
      <c r="AM113" s="128"/>
      <c r="AN113" s="128"/>
      <c r="AO113" s="128"/>
      <c r="AP113" s="128"/>
      <c r="AQ113" s="128"/>
      <c r="AR113" s="128"/>
      <c r="AS113" s="128"/>
      <c r="AT113" s="778"/>
      <c r="AU113" s="778"/>
      <c r="AV113" s="128"/>
      <c r="AW113" s="128"/>
      <c r="AX113" s="128"/>
      <c r="AY113" s="128"/>
      <c r="AZ113" s="128"/>
      <c r="BA113" s="128"/>
      <c r="BB113" s="128"/>
      <c r="BC113" s="826"/>
      <c r="BF113" s="682" t="s">
        <v>1119</v>
      </c>
      <c r="BG113" s="682" t="s">
        <v>1145</v>
      </c>
      <c r="BH113" s="682" cm="1">
        <f t="array" ref="BH113">AC113</f>
        <v>0</v>
      </c>
      <c r="BJ113" s="491" t="b">
        <v>1</v>
      </c>
    </row>
    <row r="114" spans="2:62" ht="14.25" hidden="1" customHeight="1" x14ac:dyDescent="0.15">
      <c r="E114" s="491">
        <v>15</v>
      </c>
      <c r="F114" s="3" t="str" cm="1">
        <f t="array" aca="1" ref="F114" ca="1">OFFSET(E114,-1,1)</f>
        <v>2</v>
      </c>
      <c r="G114" s="66" t="s">
        <v>574</v>
      </c>
      <c r="H114" s="69" cm="1">
        <f t="array" ref="H114">H113</f>
        <v>0</v>
      </c>
      <c r="I114" s="66" t="s">
        <v>1144</v>
      </c>
      <c r="T114" s="353" t="b" cm="1">
        <f t="array" aca="1" ref="T114" ca="1">T113</f>
        <v>0</v>
      </c>
      <c r="X114" s="943"/>
      <c r="Y114" s="943"/>
      <c r="Z114" s="1046"/>
      <c r="AA114" s="1048"/>
      <c r="AB114" s="7" t="str">
        <f>AB113&amp;".1"</f>
        <v>5.0.1</v>
      </c>
      <c r="AC114" s="134" t="s">
        <v>1146</v>
      </c>
      <c r="AD114" s="7" t="s">
        <v>558</v>
      </c>
      <c r="AE114" s="128"/>
      <c r="AF114" s="128"/>
      <c r="AG114" s="128"/>
      <c r="AH114" s="128"/>
      <c r="AI114" s="128"/>
      <c r="AJ114" s="778"/>
      <c r="AK114" s="778"/>
      <c r="AL114" s="128"/>
      <c r="AM114" s="128"/>
      <c r="AN114" s="128"/>
      <c r="AO114" s="128"/>
      <c r="AP114" s="128"/>
      <c r="AQ114" s="128"/>
      <c r="AR114" s="128"/>
      <c r="AS114" s="128"/>
      <c r="AT114" s="778"/>
      <c r="AU114" s="778"/>
      <c r="AV114" s="128"/>
      <c r="AW114" s="128"/>
      <c r="AX114" s="128"/>
      <c r="AY114" s="128"/>
      <c r="AZ114" s="128"/>
      <c r="BA114" s="128"/>
      <c r="BB114" s="128"/>
      <c r="BC114" s="826"/>
      <c r="BF114" s="682" t="s">
        <v>1122</v>
      </c>
      <c r="BG114" s="682" t="s">
        <v>1145</v>
      </c>
      <c r="BH114" s="682" cm="1">
        <f t="array" ref="BH114">BH113</f>
        <v>0</v>
      </c>
    </row>
    <row r="115" spans="2:62" ht="14.25" customHeight="1" x14ac:dyDescent="0.15">
      <c r="E115" s="491">
        <v>15</v>
      </c>
      <c r="F115" s="3" t="str" cm="1">
        <f t="array" aca="1" ref="F115" ca="1">OFFSET(E115,-1,1)</f>
        <v>2</v>
      </c>
      <c r="H115" s="66" t="str">
        <f>"!=='не определено' &amp;&amp; row.l5 !== null"</f>
        <v>!=='не определено' &amp;&amp; row.l5 !== null</v>
      </c>
      <c r="T115" s="353" t="b">
        <f ca="1">F115&gt;0</f>
        <v>1</v>
      </c>
      <c r="W115" s="497" t="s">
        <v>1147</v>
      </c>
      <c r="X115" s="943"/>
      <c r="Y115" s="83"/>
      <c r="Z115" s="1046"/>
      <c r="AB115" s="494"/>
      <c r="AC115" s="145" t="s">
        <v>1124</v>
      </c>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6"/>
      <c r="BI115" s="491" t="s">
        <v>1145</v>
      </c>
    </row>
    <row r="116" spans="2:62" s="67" customFormat="1" ht="46.35" customHeight="1" x14ac:dyDescent="0.15">
      <c r="B116" s="338"/>
      <c r="E116" s="492">
        <v>15</v>
      </c>
      <c r="F116" s="3" t="str" cm="1">
        <f t="array" aca="1" ref="F116" ca="1">OFFSET(E116,-1,1)</f>
        <v>2</v>
      </c>
      <c r="G116" s="66" t="s">
        <v>532</v>
      </c>
      <c r="K116" s="602" t="str">
        <f ca="1">F88&amp;"6komm"</f>
        <v>26komm</v>
      </c>
      <c r="L116" s="606" t="str" cm="1">
        <f t="array" ref="L116">BC116</f>
        <v>ПАР  (услуги  аффилированной организации АО "Новокемеровская ТЭЦ").  Специалистом РЭК Кузбасса расходы  на 2024-2028 гг. учтены в составе Операционных расходов (п. 2.1.1), как это было принято в предыдущем долгосрочном периоде.</v>
      </c>
      <c r="T116" s="353" t="b" cm="1">
        <f t="array" aca="1" ref="T116" ca="1">T115</f>
        <v>1</v>
      </c>
      <c r="X116" s="943"/>
      <c r="Z116" s="1046"/>
      <c r="AB116" s="124">
        <v>6</v>
      </c>
      <c r="AC116" s="125" t="s">
        <v>1148</v>
      </c>
      <c r="AD116" s="124" t="s">
        <v>828</v>
      </c>
      <c r="AE116" s="138">
        <v>0</v>
      </c>
      <c r="AF116" s="138"/>
      <c r="AG116" s="138"/>
      <c r="AH116" s="138">
        <v>0</v>
      </c>
      <c r="AI116" s="138"/>
      <c r="AJ116" s="774"/>
      <c r="AK116" s="774"/>
      <c r="AL116" s="138"/>
      <c r="AM116" s="138"/>
      <c r="AN116" s="138"/>
      <c r="AO116" s="138"/>
      <c r="AP116" s="138"/>
      <c r="AQ116" s="138"/>
      <c r="AR116" s="138"/>
      <c r="AS116" s="138"/>
      <c r="AT116" s="774"/>
      <c r="AU116" s="774"/>
      <c r="AV116" s="138"/>
      <c r="AW116" s="138"/>
      <c r="AX116" s="138"/>
      <c r="AY116" s="138"/>
      <c r="AZ116" s="138"/>
      <c r="BA116" s="138"/>
      <c r="BB116" s="138"/>
      <c r="BC116" s="113" t="s">
        <v>1159</v>
      </c>
      <c r="BF116" s="685" t="s">
        <v>1149</v>
      </c>
      <c r="BG116" s="685"/>
      <c r="BH116" s="685"/>
      <c r="BI116" s="492"/>
      <c r="BJ116" s="492"/>
    </row>
    <row r="117" spans="2:62" s="67" customFormat="1" ht="14.25" customHeight="1" x14ac:dyDescent="0.15">
      <c r="B117" s="338"/>
      <c r="E117" s="492">
        <v>15</v>
      </c>
      <c r="F117" s="3" t="str" cm="1">
        <f t="array" aca="1" ref="F117" ca="1">OFFSET(E117,-1,1)</f>
        <v>2</v>
      </c>
      <c r="G117" s="66" t="s">
        <v>535</v>
      </c>
      <c r="K117" s="602" t="str">
        <f ca="1">F88&amp;"7komm"</f>
        <v>27komm</v>
      </c>
      <c r="L117" s="606" cm="1">
        <f t="array" ref="L117">BC117</f>
        <v>0</v>
      </c>
      <c r="T117" s="353" t="b" cm="1">
        <f t="array" aca="1" ref="T117" ca="1">T116</f>
        <v>1</v>
      </c>
      <c r="X117" s="943"/>
      <c r="Z117" s="1046"/>
      <c r="AB117" s="124">
        <v>7</v>
      </c>
      <c r="AC117" s="125" t="s">
        <v>1150</v>
      </c>
      <c r="AD117" s="124" t="s">
        <v>828</v>
      </c>
      <c r="AE117" s="138"/>
      <c r="AF117" s="138"/>
      <c r="AG117" s="138"/>
      <c r="AH117" s="138"/>
      <c r="AI117" s="138"/>
      <c r="AJ117" s="774"/>
      <c r="AK117" s="774"/>
      <c r="AL117" s="138"/>
      <c r="AM117" s="138"/>
      <c r="AN117" s="138"/>
      <c r="AO117" s="138"/>
      <c r="AP117" s="138"/>
      <c r="AQ117" s="138"/>
      <c r="AR117" s="138"/>
      <c r="AS117" s="138"/>
      <c r="AT117" s="774"/>
      <c r="AU117" s="774"/>
      <c r="AV117" s="138"/>
      <c r="AW117" s="138"/>
      <c r="AX117" s="138"/>
      <c r="AY117" s="138"/>
      <c r="AZ117" s="138"/>
      <c r="BA117" s="138"/>
      <c r="BB117" s="138"/>
      <c r="BC117" s="113"/>
      <c r="BF117" s="685" t="s">
        <v>1151</v>
      </c>
      <c r="BG117" s="685"/>
      <c r="BH117" s="685"/>
      <c r="BI117" s="492"/>
      <c r="BJ117" s="492"/>
    </row>
    <row r="118" spans="2:62" s="67" customFormat="1" ht="14.25" customHeight="1" x14ac:dyDescent="0.15">
      <c r="B118" s="338"/>
      <c r="E118" s="492">
        <v>15</v>
      </c>
      <c r="F118" s="3" t="str" cm="1">
        <f t="array" aca="1" ref="F118" ca="1">OFFSET(E118,-1,1)</f>
        <v>2</v>
      </c>
      <c r="G118" s="66" t="s">
        <v>586</v>
      </c>
      <c r="K118" s="602" t="str">
        <f ca="1">F88&amp;"8komm"</f>
        <v>28komm</v>
      </c>
      <c r="L118" s="606" cm="1">
        <f t="array" ref="L118">BC118</f>
        <v>0</v>
      </c>
      <c r="T118" s="353" t="b" cm="1">
        <f t="array" aca="1" ref="T118" ca="1">T117</f>
        <v>1</v>
      </c>
      <c r="X118" s="943"/>
      <c r="Z118" s="1046"/>
      <c r="AB118" s="124">
        <v>8</v>
      </c>
      <c r="AC118" s="125" t="s">
        <v>1152</v>
      </c>
      <c r="AD118" s="124" t="s">
        <v>828</v>
      </c>
      <c r="AE118" s="138"/>
      <c r="AF118" s="138"/>
      <c r="AG118" s="138"/>
      <c r="AH118" s="138"/>
      <c r="AI118" s="138"/>
      <c r="AJ118" s="774"/>
      <c r="AK118" s="774"/>
      <c r="AL118" s="138"/>
      <c r="AM118" s="138"/>
      <c r="AN118" s="138"/>
      <c r="AO118" s="138"/>
      <c r="AP118" s="138"/>
      <c r="AQ118" s="138"/>
      <c r="AR118" s="138"/>
      <c r="AS118" s="138"/>
      <c r="AT118" s="774"/>
      <c r="AU118" s="774"/>
      <c r="AV118" s="138"/>
      <c r="AW118" s="138"/>
      <c r="AX118" s="138"/>
      <c r="AY118" s="138"/>
      <c r="AZ118" s="138"/>
      <c r="BA118" s="138"/>
      <c r="BB118" s="138"/>
      <c r="BC118" s="113"/>
      <c r="BF118" s="685" t="s">
        <v>1153</v>
      </c>
      <c r="BG118" s="685"/>
      <c r="BH118" s="685"/>
      <c r="BI118" s="492"/>
      <c r="BJ118" s="492"/>
    </row>
    <row r="119" spans="2:62" s="67" customFormat="1" ht="14.25" customHeight="1" x14ac:dyDescent="0.15">
      <c r="B119" s="338"/>
      <c r="E119" s="492">
        <v>15</v>
      </c>
      <c r="F119" s="3" t="str" cm="1">
        <f t="array" aca="1" ref="F119" ca="1">OFFSET(E119,-1,1)</f>
        <v>2</v>
      </c>
      <c r="G119" s="66"/>
      <c r="K119" s="602" t="str">
        <f ca="1">F88&amp;"9komm"</f>
        <v>29komm</v>
      </c>
      <c r="L119" s="606" cm="1">
        <f t="array" ref="L119">BC119</f>
        <v>0</v>
      </c>
      <c r="T119" s="353" t="b" cm="1">
        <f t="array" aca="1" ref="T119" ca="1">T118</f>
        <v>1</v>
      </c>
      <c r="X119" s="943"/>
      <c r="Z119" s="1046"/>
      <c r="AB119" s="124">
        <v>9</v>
      </c>
      <c r="AC119" s="125" t="s">
        <v>1154</v>
      </c>
      <c r="AD119" s="124" t="s">
        <v>828</v>
      </c>
      <c r="AE119" s="138"/>
      <c r="AF119" s="138"/>
      <c r="AG119" s="138"/>
      <c r="AH119" s="138"/>
      <c r="AI119" s="138"/>
      <c r="AJ119" s="774"/>
      <c r="AK119" s="774"/>
      <c r="AL119" s="138"/>
      <c r="AM119" s="138"/>
      <c r="AN119" s="138"/>
      <c r="AO119" s="138"/>
      <c r="AP119" s="138"/>
      <c r="AQ119" s="138"/>
      <c r="AR119" s="138"/>
      <c r="AS119" s="138"/>
      <c r="AT119" s="774"/>
      <c r="AU119" s="774"/>
      <c r="AV119" s="138"/>
      <c r="AW119" s="138"/>
      <c r="AX119" s="138"/>
      <c r="AY119" s="138"/>
      <c r="AZ119" s="138"/>
      <c r="BA119" s="138"/>
      <c r="BB119" s="138"/>
      <c r="BC119" s="113"/>
      <c r="BF119" s="685" t="s">
        <v>1155</v>
      </c>
      <c r="BG119" s="685"/>
      <c r="BH119" s="685"/>
      <c r="BI119" s="492"/>
      <c r="BJ119" s="492"/>
    </row>
    <row r="120" spans="2:62" ht="23.85" customHeight="1" x14ac:dyDescent="0.15">
      <c r="E120" s="491">
        <v>15</v>
      </c>
      <c r="F120" s="17" t="str" cm="1">
        <f t="array" ref="F120">X120</f>
        <v>3</v>
      </c>
      <c r="I120" s="66" t="s">
        <v>1115</v>
      </c>
      <c r="T120" s="353" t="b">
        <f>X120&gt;0</f>
        <v>1</v>
      </c>
      <c r="V120" s="66" t="str" cm="1">
        <f t="array" ref="V120">Аренда!$AB$57</f>
        <v>Тариф 3 (Водоотведение) - тариф на транспортировку сточных вод</v>
      </c>
      <c r="X120" s="943" t="s">
        <v>291</v>
      </c>
      <c r="Y120" s="493"/>
      <c r="Z120" s="1046"/>
      <c r="AB120" s="135" t="str" cm="1">
        <f t="array" ref="AB120">Аренда!$AB$57</f>
        <v>Тариф 3 (Водоотведение) - тариф на транспортировку сточных вод</v>
      </c>
      <c r="AC120" s="94"/>
      <c r="AD120" s="94"/>
      <c r="AE120" s="214">
        <f t="shared" ref="AE120:BB120" si="20">AE126+AE131+AE136+AE141+AE121+AE146+AE147+AE148+AE149</f>
        <v>0</v>
      </c>
      <c r="AF120" s="214">
        <f t="shared" si="20"/>
        <v>0</v>
      </c>
      <c r="AG120" s="214">
        <f t="shared" si="20"/>
        <v>0</v>
      </c>
      <c r="AH120" s="214">
        <f t="shared" si="20"/>
        <v>0</v>
      </c>
      <c r="AI120" s="214">
        <f t="shared" si="20"/>
        <v>0</v>
      </c>
      <c r="AJ120" s="214">
        <f t="shared" si="20"/>
        <v>0</v>
      </c>
      <c r="AK120" s="214">
        <f t="shared" si="20"/>
        <v>0</v>
      </c>
      <c r="AL120" s="214">
        <f t="shared" si="20"/>
        <v>0</v>
      </c>
      <c r="AM120" s="214">
        <f t="shared" si="20"/>
        <v>0</v>
      </c>
      <c r="AN120" s="214">
        <f t="shared" si="20"/>
        <v>0</v>
      </c>
      <c r="AO120" s="214">
        <f t="shared" si="20"/>
        <v>0</v>
      </c>
      <c r="AP120" s="214">
        <f t="shared" si="20"/>
        <v>0</v>
      </c>
      <c r="AQ120" s="214">
        <f t="shared" si="20"/>
        <v>0</v>
      </c>
      <c r="AR120" s="214">
        <f t="shared" si="20"/>
        <v>0</v>
      </c>
      <c r="AS120" s="214">
        <f t="shared" si="20"/>
        <v>0</v>
      </c>
      <c r="AT120" s="214">
        <f t="shared" si="20"/>
        <v>0</v>
      </c>
      <c r="AU120" s="214">
        <f t="shared" si="20"/>
        <v>0</v>
      </c>
      <c r="AV120" s="214">
        <f t="shared" si="20"/>
        <v>0</v>
      </c>
      <c r="AW120" s="214">
        <f t="shared" si="20"/>
        <v>0</v>
      </c>
      <c r="AX120" s="214">
        <f t="shared" si="20"/>
        <v>0</v>
      </c>
      <c r="AY120" s="214">
        <f t="shared" si="20"/>
        <v>0</v>
      </c>
      <c r="AZ120" s="214">
        <f t="shared" si="20"/>
        <v>0</v>
      </c>
      <c r="BA120" s="214">
        <f t="shared" si="20"/>
        <v>0</v>
      </c>
      <c r="BB120" s="214">
        <f t="shared" si="20"/>
        <v>0</v>
      </c>
      <c r="BC120" s="137"/>
    </row>
    <row r="121" spans="2:62" ht="0" hidden="1" customHeight="1" x14ac:dyDescent="0.15">
      <c r="E121" s="491">
        <v>15</v>
      </c>
      <c r="F121" s="3" t="str" cm="1">
        <f t="array" aca="1" ref="F121" ca="1">OFFSET(E121,-1,1)</f>
        <v>3</v>
      </c>
      <c r="G121" s="66" t="s">
        <v>331</v>
      </c>
      <c r="K121" s="602" t="str">
        <f ca="1">F121&amp;"1komm"</f>
        <v>31komm</v>
      </c>
      <c r="L121" s="606" cm="1">
        <f t="array" ref="L121">BC121</f>
        <v>0</v>
      </c>
      <c r="T121" s="353" t="b" cm="1">
        <f t="array" ref="T121">T120</f>
        <v>1</v>
      </c>
      <c r="X121" s="943"/>
      <c r="Z121" s="1046"/>
      <c r="AB121" s="124">
        <v>1</v>
      </c>
      <c r="AC121" s="125" t="s">
        <v>1116</v>
      </c>
      <c r="AD121" s="124" t="s">
        <v>828</v>
      </c>
      <c r="AE121" s="126">
        <f>SUMIF(AD123:AD125,AD121,AE123:AE125)</f>
        <v>0</v>
      </c>
      <c r="AF121" s="126">
        <f>SUMIF(AD123:AD125,AD121,AF123:AF125)</f>
        <v>0</v>
      </c>
      <c r="AG121" s="126">
        <f>SUMIF(AD123:AD125,AD121,AG123:AG125)</f>
        <v>0</v>
      </c>
      <c r="AH121" s="126">
        <f>SUMIF(AD123:AD125,AD121,AH123:AH125)</f>
        <v>0</v>
      </c>
      <c r="AI121" s="126">
        <f>SUMIF(AD123:AD125,AD121,AI123:AI125)</f>
        <v>0</v>
      </c>
      <c r="AJ121" s="126">
        <f>SUMIF(AD123:AD125,AD121,AJ123:AJ125)</f>
        <v>0</v>
      </c>
      <c r="AK121" s="126">
        <f>SUMIF(AD123:AD125,AD121,AK123:AK125)</f>
        <v>0</v>
      </c>
      <c r="AL121" s="126">
        <f>SUMIF(AD123:AD125,AD121,AL123:AL125)</f>
        <v>0</v>
      </c>
      <c r="AM121" s="126">
        <f>SUMIF(AD123:AD125,AD121,AM123:AM125)</f>
        <v>0</v>
      </c>
      <c r="AN121" s="126">
        <f>SUMIF(AD123:AD125,AD121,AN123:AN125)</f>
        <v>0</v>
      </c>
      <c r="AO121" s="126">
        <f>SUMIF(AD123:AD125,AD121,AO123:AO125)</f>
        <v>0</v>
      </c>
      <c r="AP121" s="126">
        <f>SUMIF(AD123:AD125,AD121,AP123:AP125)</f>
        <v>0</v>
      </c>
      <c r="AQ121" s="126">
        <f>SUMIF(AD123:AD125,AD121,AQ123:AQ125)</f>
        <v>0</v>
      </c>
      <c r="AR121" s="126">
        <f>SUMIF(AD123:AD125,AD121,AR123:AR125)</f>
        <v>0</v>
      </c>
      <c r="AS121" s="126">
        <f>SUMIF(AD123:AD125,AD121,AS123:AS125)</f>
        <v>0</v>
      </c>
      <c r="AT121" s="126">
        <f>SUMIF(AD123:AD125,AD121,AT123:AT125)</f>
        <v>0</v>
      </c>
      <c r="AU121" s="126">
        <f>SUMIF(AD123:AD125,AD121,AU123:AU125)</f>
        <v>0</v>
      </c>
      <c r="AV121" s="126">
        <f>SUMIF(AD123:AD125,AD121,AV123:AV125)</f>
        <v>0</v>
      </c>
      <c r="AW121" s="126">
        <f>SUMIF(AD123:AD125,AD121,AW123:AW125)</f>
        <v>0</v>
      </c>
      <c r="AX121" s="126">
        <f>SUMIF(AD123:AD125,AD121,AX123:AX125)</f>
        <v>0</v>
      </c>
      <c r="AY121" s="126">
        <f>SUMIF(AD123:AD125,AD121,AY123:AY125)</f>
        <v>0</v>
      </c>
      <c r="AZ121" s="126">
        <f>SUMIF(AD123:AD125,AD121,AZ123:AZ125)</f>
        <v>0</v>
      </c>
      <c r="BA121" s="126">
        <f>SUMIF(AD123:AD125,AD121,BA123:BA125)</f>
        <v>0</v>
      </c>
      <c r="BB121" s="126">
        <f>SUMIF(AD123:AD125,AD121,BB123:BB125)</f>
        <v>0</v>
      </c>
      <c r="BC121" s="113"/>
      <c r="BF121" s="682" t="s">
        <v>1117</v>
      </c>
    </row>
    <row r="122" spans="2:62" ht="0" hidden="1" customHeight="1" x14ac:dyDescent="0.15">
      <c r="E122" s="491">
        <v>0</v>
      </c>
      <c r="F122" s="3" t="str" cm="1">
        <f t="array" aca="1" ref="F122" ca="1">OFFSET(E122,-1,1)</f>
        <v>3</v>
      </c>
      <c r="L122" s="606"/>
      <c r="T122" s="353" t="b">
        <v>0</v>
      </c>
      <c r="W122" s="66" t="s">
        <v>172</v>
      </c>
      <c r="X122" s="943"/>
      <c r="Y122" s="943">
        <v>0</v>
      </c>
      <c r="Z122" s="1046"/>
      <c r="AA122" s="1047" t="s">
        <v>173</v>
      </c>
      <c r="AB122" s="124"/>
      <c r="AC122" s="125"/>
      <c r="AD122" s="124"/>
      <c r="AE122" s="129" t="b">
        <f t="shared" ref="AE122:BB122" si="21">OR(AND(AE123&lt;&gt;"",AE124=""),AND(AE123="",AE124&lt;&gt;""))</f>
        <v>0</v>
      </c>
      <c r="AF122" s="129" t="b">
        <f t="shared" si="21"/>
        <v>0</v>
      </c>
      <c r="AG122" s="129" t="b">
        <f t="shared" si="21"/>
        <v>0</v>
      </c>
      <c r="AH122" s="129" t="b">
        <f t="shared" si="21"/>
        <v>0</v>
      </c>
      <c r="AI122" s="129" t="b">
        <f t="shared" si="21"/>
        <v>0</v>
      </c>
      <c r="AJ122" s="129" t="b">
        <f t="shared" si="21"/>
        <v>0</v>
      </c>
      <c r="AK122" s="129" t="b">
        <f t="shared" si="21"/>
        <v>0</v>
      </c>
      <c r="AL122" s="129" t="b">
        <f t="shared" si="21"/>
        <v>0</v>
      </c>
      <c r="AM122" s="129" t="b">
        <f t="shared" si="21"/>
        <v>0</v>
      </c>
      <c r="AN122" s="129" t="b">
        <f t="shared" si="21"/>
        <v>0</v>
      </c>
      <c r="AO122" s="129" t="b">
        <f t="shared" si="21"/>
        <v>0</v>
      </c>
      <c r="AP122" s="129" t="b">
        <f t="shared" si="21"/>
        <v>0</v>
      </c>
      <c r="AQ122" s="129" t="b">
        <f t="shared" si="21"/>
        <v>0</v>
      </c>
      <c r="AR122" s="129" t="b">
        <f t="shared" si="21"/>
        <v>0</v>
      </c>
      <c r="AS122" s="129" t="b">
        <f t="shared" si="21"/>
        <v>0</v>
      </c>
      <c r="AT122" s="129" t="b">
        <f t="shared" si="21"/>
        <v>0</v>
      </c>
      <c r="AU122" s="129" t="b">
        <f t="shared" si="21"/>
        <v>0</v>
      </c>
      <c r="AV122" s="129" t="b">
        <f t="shared" si="21"/>
        <v>0</v>
      </c>
      <c r="AW122" s="129" t="b">
        <f t="shared" si="21"/>
        <v>0</v>
      </c>
      <c r="AX122" s="129" t="b">
        <f t="shared" si="21"/>
        <v>0</v>
      </c>
      <c r="AY122" s="129" t="b">
        <f t="shared" si="21"/>
        <v>0</v>
      </c>
      <c r="AZ122" s="129" t="b">
        <f t="shared" si="21"/>
        <v>0</v>
      </c>
      <c r="BA122" s="129" t="b">
        <f t="shared" si="21"/>
        <v>0</v>
      </c>
      <c r="BB122" s="129" t="b">
        <f t="shared" si="21"/>
        <v>0</v>
      </c>
      <c r="BC122" s="643"/>
    </row>
    <row r="123" spans="2:62" ht="0" hidden="1" customHeight="1" x14ac:dyDescent="0.15">
      <c r="E123" s="491">
        <v>15</v>
      </c>
      <c r="F123" s="3" t="str" cm="1">
        <f t="array" aca="1" ref="F123" ca="1">OFFSET(E123,-1,1)</f>
        <v>3</v>
      </c>
      <c r="G123" s="66" t="s">
        <v>331</v>
      </c>
      <c r="H123" s="69" cm="1">
        <f t="array" ref="H123">AC123</f>
        <v>0</v>
      </c>
      <c r="I123" s="66" t="s">
        <v>1118</v>
      </c>
      <c r="T123" s="353" t="b">
        <f ca="1">AND(F123&gt;0,Y122&gt;0)</f>
        <v>0</v>
      </c>
      <c r="X123" s="943"/>
      <c r="Y123" s="943"/>
      <c r="Z123" s="1046"/>
      <c r="AA123" s="1047"/>
      <c r="AB123" s="7" t="str">
        <f>"1."&amp;Y122</f>
        <v>1.0</v>
      </c>
      <c r="AC123" s="186"/>
      <c r="AD123" s="124" t="s">
        <v>828</v>
      </c>
      <c r="AE123" s="778"/>
      <c r="AF123" s="778"/>
      <c r="AG123" s="778"/>
      <c r="AH123" s="778"/>
      <c r="AI123" s="128"/>
      <c r="AJ123" s="778"/>
      <c r="AK123" s="778"/>
      <c r="AL123" s="778"/>
      <c r="AM123" s="778"/>
      <c r="AN123" s="778"/>
      <c r="AO123" s="778"/>
      <c r="AP123" s="778"/>
      <c r="AQ123" s="778"/>
      <c r="AR123" s="778"/>
      <c r="AS123" s="128"/>
      <c r="AT123" s="778"/>
      <c r="AU123" s="778"/>
      <c r="AV123" s="778"/>
      <c r="AW123" s="778"/>
      <c r="AX123" s="778"/>
      <c r="AY123" s="778"/>
      <c r="AZ123" s="778"/>
      <c r="BA123" s="778"/>
      <c r="BB123" s="778"/>
      <c r="BC123" s="826"/>
      <c r="BF123" s="682" t="s">
        <v>1119</v>
      </c>
      <c r="BG123" s="682" t="s">
        <v>1120</v>
      </c>
      <c r="BH123" s="682" cm="1">
        <f t="array" ref="BH123">AC123</f>
        <v>0</v>
      </c>
      <c r="BJ123" s="491" t="b">
        <v>1</v>
      </c>
    </row>
    <row r="124" spans="2:62" ht="0" hidden="1" customHeight="1" x14ac:dyDescent="0.15">
      <c r="E124" s="491">
        <v>15</v>
      </c>
      <c r="F124" s="3" t="str" cm="1">
        <f t="array" aca="1" ref="F124" ca="1">OFFSET(E124,-1,1)</f>
        <v>3</v>
      </c>
      <c r="G124" s="66" t="s">
        <v>482</v>
      </c>
      <c r="H124" s="69" cm="1">
        <f t="array" ref="H124">H123</f>
        <v>0</v>
      </c>
      <c r="I124" s="66" t="s">
        <v>1118</v>
      </c>
      <c r="T124" s="353" t="b" cm="1">
        <f t="array" aca="1" ref="T124" ca="1">T123</f>
        <v>0</v>
      </c>
      <c r="X124" s="943"/>
      <c r="Y124" s="943"/>
      <c r="Z124" s="1046"/>
      <c r="AA124" s="1047"/>
      <c r="AB124" s="7" t="str">
        <f>AB123&amp;".1"</f>
        <v>1.0.1</v>
      </c>
      <c r="AC124" s="134" t="s">
        <v>1121</v>
      </c>
      <c r="AD124" s="7" t="s">
        <v>558</v>
      </c>
      <c r="AE124" s="778"/>
      <c r="AF124" s="778"/>
      <c r="AG124" s="778"/>
      <c r="AH124" s="778"/>
      <c r="AI124" s="128"/>
      <c r="AJ124" s="778"/>
      <c r="AK124" s="778"/>
      <c r="AL124" s="778"/>
      <c r="AM124" s="778"/>
      <c r="AN124" s="778"/>
      <c r="AO124" s="778"/>
      <c r="AP124" s="778"/>
      <c r="AQ124" s="778"/>
      <c r="AR124" s="778"/>
      <c r="AS124" s="128"/>
      <c r="AT124" s="778"/>
      <c r="AU124" s="778"/>
      <c r="AV124" s="778"/>
      <c r="AW124" s="778"/>
      <c r="AX124" s="778"/>
      <c r="AY124" s="778"/>
      <c r="AZ124" s="778"/>
      <c r="BA124" s="778"/>
      <c r="BB124" s="778"/>
      <c r="BC124" s="826"/>
      <c r="BF124" s="682" t="s">
        <v>1122</v>
      </c>
      <c r="BG124" s="682" t="s">
        <v>1120</v>
      </c>
      <c r="BH124" s="682" cm="1">
        <f t="array" ref="BH124">BH123</f>
        <v>0</v>
      </c>
    </row>
    <row r="125" spans="2:62" ht="0" hidden="1" customHeight="1" x14ac:dyDescent="0.15">
      <c r="E125" s="491">
        <v>15</v>
      </c>
      <c r="F125" s="3" t="str" cm="1">
        <f t="array" aca="1" ref="F125" ca="1">OFFSET(E125,-1,1)</f>
        <v>3</v>
      </c>
      <c r="H125" s="66" t="str">
        <f>"!=='не определено' &amp;&amp; row.l1 !== null"</f>
        <v>!=='не определено' &amp;&amp; row.l1 !== null</v>
      </c>
      <c r="T125" s="353" t="b">
        <f ca="1">F125&gt;0</f>
        <v>1</v>
      </c>
      <c r="W125" s="497" t="s">
        <v>1123</v>
      </c>
      <c r="X125" s="943"/>
      <c r="Z125" s="1046"/>
      <c r="AB125" s="494"/>
      <c r="AC125" s="145" t="s">
        <v>1124</v>
      </c>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6"/>
      <c r="BI125" s="491" t="s">
        <v>1120</v>
      </c>
    </row>
    <row r="126" spans="2:62" ht="0" hidden="1" customHeight="1" x14ac:dyDescent="0.15">
      <c r="E126" s="491">
        <v>22.5</v>
      </c>
      <c r="F126" s="3" t="str" cm="1">
        <f t="array" aca="1" ref="F126" ca="1">OFFSET(E126,-1,1)</f>
        <v>3</v>
      </c>
      <c r="K126" s="602" t="str">
        <f ca="1">F121&amp;"2komm"</f>
        <v>32komm</v>
      </c>
      <c r="L126" s="606" cm="1">
        <f t="array" ref="L126">BC126</f>
        <v>0</v>
      </c>
      <c r="T126" s="353" t="b" cm="1">
        <f t="array" aca="1" ref="T126" ca="1">T125</f>
        <v>1</v>
      </c>
      <c r="X126" s="943"/>
      <c r="Y126" s="496"/>
      <c r="Z126" s="1046"/>
      <c r="AB126" s="124">
        <v>2</v>
      </c>
      <c r="AC126" s="125" t="s">
        <v>1125</v>
      </c>
      <c r="AD126" s="124" t="s">
        <v>828</v>
      </c>
      <c r="AE126" s="126">
        <f>SUMIF(AD128:AD130,AD126,AE128:AE130)</f>
        <v>0</v>
      </c>
      <c r="AF126" s="126">
        <f>SUMIF(AD128:AD130,AD126,AF128:AF130)</f>
        <v>0</v>
      </c>
      <c r="AG126" s="126">
        <f>SUMIF(AD128:AD130,AD126,AG128:AG130)</f>
        <v>0</v>
      </c>
      <c r="AH126" s="126">
        <f>SUMIF(AD128:AD130,AD126,AH128:AH130)</f>
        <v>0</v>
      </c>
      <c r="AI126" s="126">
        <f>SUMIF(AD128:AD130,AD126,AI128:AI130)</f>
        <v>0</v>
      </c>
      <c r="AJ126" s="126">
        <f>SUMIF(AD128:AD130,AD126,AJ128:AJ130)</f>
        <v>0</v>
      </c>
      <c r="AK126" s="126">
        <f>SUMIF(AD128:AD130,AD126,AK128:AK130)</f>
        <v>0</v>
      </c>
      <c r="AL126" s="126">
        <f>SUMIF(AD128:AD130,AD126,AL128:AL130)</f>
        <v>0</v>
      </c>
      <c r="AM126" s="126">
        <f>SUMIF(AD128:AD130,AD126,AM128:AM130)</f>
        <v>0</v>
      </c>
      <c r="AN126" s="126">
        <f>SUMIF(AD128:AD130,AD126,AN128:AN130)</f>
        <v>0</v>
      </c>
      <c r="AO126" s="126">
        <f>SUMIF(AD128:AD130,AD126,AO128:AO130)</f>
        <v>0</v>
      </c>
      <c r="AP126" s="126">
        <f>SUMIF(AD128:AD130,AD126,AP128:AP130)</f>
        <v>0</v>
      </c>
      <c r="AQ126" s="126">
        <f>SUMIF(AD128:AD130,AD126,AQ128:AQ130)</f>
        <v>0</v>
      </c>
      <c r="AR126" s="126">
        <f>SUMIF(AD128:AD130,AD126,AR128:AR130)</f>
        <v>0</v>
      </c>
      <c r="AS126" s="126">
        <f>SUMIF(AD128:AD130,AD126,AS128:AS130)</f>
        <v>0</v>
      </c>
      <c r="AT126" s="126">
        <f>SUMIF(AD128:AD130,AD126,AT128:AT130)</f>
        <v>0</v>
      </c>
      <c r="AU126" s="126">
        <f>SUMIF(AD128:AD130,AD126,AU128:AU130)</f>
        <v>0</v>
      </c>
      <c r="AV126" s="126">
        <f>SUMIF(AD128:AD130,AD126,AV128:AV130)</f>
        <v>0</v>
      </c>
      <c r="AW126" s="126">
        <f>SUMIF(AD128:AD130,AD126,AW128:AW130)</f>
        <v>0</v>
      </c>
      <c r="AX126" s="126">
        <f>SUMIF(AD128:AD130,AD126,AX128:AX130)</f>
        <v>0</v>
      </c>
      <c r="AY126" s="126">
        <f>SUMIF(AD128:AD130,AD126,AY128:AY130)</f>
        <v>0</v>
      </c>
      <c r="AZ126" s="126">
        <f>SUMIF(AD128:AD130,AD126,AZ128:AZ130)</f>
        <v>0</v>
      </c>
      <c r="BA126" s="126">
        <f>SUMIF(AD128:AD130,AD126,BA128:BA130)</f>
        <v>0</v>
      </c>
      <c r="BB126" s="126">
        <f>SUMIF(AD128:AD130,AD126,BB128:BB130)</f>
        <v>0</v>
      </c>
      <c r="BC126" s="113"/>
      <c r="BF126" s="682" t="s">
        <v>1126</v>
      </c>
    </row>
    <row r="127" spans="2:62" ht="0" hidden="1" customHeight="1" x14ac:dyDescent="0.15">
      <c r="E127" s="491">
        <v>0</v>
      </c>
      <c r="F127" s="3" t="str" cm="1">
        <f t="array" aca="1" ref="F127" ca="1">OFFSET(E127,-1,1)</f>
        <v>3</v>
      </c>
      <c r="G127" s="66" t="s">
        <v>332</v>
      </c>
      <c r="L127" s="606"/>
      <c r="T127" s="353" t="b">
        <v>0</v>
      </c>
      <c r="W127" s="66" t="s">
        <v>172</v>
      </c>
      <c r="X127" s="943"/>
      <c r="Y127" s="943">
        <v>0</v>
      </c>
      <c r="Z127" s="1046"/>
      <c r="AA127" s="1048" t="s">
        <v>173</v>
      </c>
      <c r="AB127" s="124"/>
      <c r="AC127" s="125"/>
      <c r="AD127" s="124"/>
      <c r="AE127" s="129" t="b">
        <f t="shared" ref="AE127:BB127" si="22">OR(AND(AE128&lt;&gt;"",AE129=""),AND(AE128="",AE129&lt;&gt;""))</f>
        <v>0</v>
      </c>
      <c r="AF127" s="129" t="b">
        <f t="shared" si="22"/>
        <v>0</v>
      </c>
      <c r="AG127" s="129" t="b">
        <f t="shared" si="22"/>
        <v>0</v>
      </c>
      <c r="AH127" s="129" t="b">
        <f t="shared" si="22"/>
        <v>0</v>
      </c>
      <c r="AI127" s="129" t="b">
        <f t="shared" si="22"/>
        <v>0</v>
      </c>
      <c r="AJ127" s="129" t="b">
        <f t="shared" si="22"/>
        <v>0</v>
      </c>
      <c r="AK127" s="129" t="b">
        <f t="shared" si="22"/>
        <v>0</v>
      </c>
      <c r="AL127" s="129" t="b">
        <f t="shared" si="22"/>
        <v>0</v>
      </c>
      <c r="AM127" s="129" t="b">
        <f t="shared" si="22"/>
        <v>0</v>
      </c>
      <c r="AN127" s="129" t="b">
        <f t="shared" si="22"/>
        <v>0</v>
      </c>
      <c r="AO127" s="129" t="b">
        <f t="shared" si="22"/>
        <v>0</v>
      </c>
      <c r="AP127" s="129" t="b">
        <f t="shared" si="22"/>
        <v>0</v>
      </c>
      <c r="AQ127" s="129" t="b">
        <f t="shared" si="22"/>
        <v>0</v>
      </c>
      <c r="AR127" s="129" t="b">
        <f t="shared" si="22"/>
        <v>0</v>
      </c>
      <c r="AS127" s="129" t="b">
        <f t="shared" si="22"/>
        <v>0</v>
      </c>
      <c r="AT127" s="129" t="b">
        <f t="shared" si="22"/>
        <v>0</v>
      </c>
      <c r="AU127" s="129" t="b">
        <f t="shared" si="22"/>
        <v>0</v>
      </c>
      <c r="AV127" s="129" t="b">
        <f t="shared" si="22"/>
        <v>0</v>
      </c>
      <c r="AW127" s="129" t="b">
        <f t="shared" si="22"/>
        <v>0</v>
      </c>
      <c r="AX127" s="129" t="b">
        <f t="shared" si="22"/>
        <v>0</v>
      </c>
      <c r="AY127" s="129" t="b">
        <f t="shared" si="22"/>
        <v>0</v>
      </c>
      <c r="AZ127" s="129" t="b">
        <f t="shared" si="22"/>
        <v>0</v>
      </c>
      <c r="BA127" s="129" t="b">
        <f t="shared" si="22"/>
        <v>0</v>
      </c>
      <c r="BB127" s="129" t="b">
        <f t="shared" si="22"/>
        <v>0</v>
      </c>
      <c r="BC127" s="643"/>
    </row>
    <row r="128" spans="2:62" ht="0" hidden="1" customHeight="1" x14ac:dyDescent="0.15">
      <c r="E128" s="491">
        <v>15</v>
      </c>
      <c r="F128" s="3" t="str" cm="1">
        <f t="array" aca="1" ref="F128" ca="1">OFFSET(E128,-1,1)</f>
        <v>3</v>
      </c>
      <c r="G128" s="66" t="s">
        <v>332</v>
      </c>
      <c r="H128" s="69" cm="1">
        <f t="array" ref="H128">AC128</f>
        <v>0</v>
      </c>
      <c r="I128" s="66" t="s">
        <v>1127</v>
      </c>
      <c r="T128" s="353" t="b">
        <f ca="1">AND(F128&gt;0,Y127&gt;0)</f>
        <v>0</v>
      </c>
      <c r="X128" s="943"/>
      <c r="Y128" s="943"/>
      <c r="Z128" s="1046"/>
      <c r="AA128" s="1048"/>
      <c r="AB128" s="7" t="str">
        <f>"2."&amp;Y127</f>
        <v>2.0</v>
      </c>
      <c r="AC128" s="186"/>
      <c r="AD128" s="124" t="s">
        <v>828</v>
      </c>
      <c r="AE128" s="128"/>
      <c r="AF128" s="128"/>
      <c r="AG128" s="128"/>
      <c r="AH128" s="128"/>
      <c r="AI128" s="128"/>
      <c r="AJ128" s="778"/>
      <c r="AK128" s="778"/>
      <c r="AL128" s="128"/>
      <c r="AM128" s="128"/>
      <c r="AN128" s="128"/>
      <c r="AO128" s="128"/>
      <c r="AP128" s="128"/>
      <c r="AQ128" s="128"/>
      <c r="AR128" s="128"/>
      <c r="AS128" s="128"/>
      <c r="AT128" s="778"/>
      <c r="AU128" s="778"/>
      <c r="AV128" s="128"/>
      <c r="AW128" s="128"/>
      <c r="AX128" s="128"/>
      <c r="AY128" s="128"/>
      <c r="AZ128" s="128"/>
      <c r="BA128" s="128"/>
      <c r="BB128" s="128"/>
      <c r="BC128" s="826"/>
      <c r="BF128" s="682" t="s">
        <v>1119</v>
      </c>
      <c r="BG128" s="682" t="s">
        <v>1128</v>
      </c>
      <c r="BH128" s="682" cm="1">
        <f t="array" ref="BH128">AC128</f>
        <v>0</v>
      </c>
      <c r="BJ128" s="491" t="b">
        <v>1</v>
      </c>
    </row>
    <row r="129" spans="5:62" ht="0" hidden="1" customHeight="1" x14ac:dyDescent="0.15">
      <c r="E129" s="491">
        <v>15</v>
      </c>
      <c r="F129" s="3" t="str" cm="1">
        <f t="array" aca="1" ref="F129" ca="1">OFFSET(E129,-1,1)</f>
        <v>3</v>
      </c>
      <c r="G129" s="66" t="s">
        <v>500</v>
      </c>
      <c r="H129" s="69" cm="1">
        <f t="array" ref="H129">H128</f>
        <v>0</v>
      </c>
      <c r="I129" s="66" t="s">
        <v>1127</v>
      </c>
      <c r="T129" s="353" t="b" cm="1">
        <f t="array" aca="1" ref="T129" ca="1">T128</f>
        <v>0</v>
      </c>
      <c r="X129" s="943"/>
      <c r="Y129" s="943"/>
      <c r="Z129" s="1046"/>
      <c r="AA129" s="1048"/>
      <c r="AB129" s="7" t="str">
        <f>AB128&amp;".1"</f>
        <v>2.0.1</v>
      </c>
      <c r="AC129" s="134" t="s">
        <v>1129</v>
      </c>
      <c r="AD129" s="7" t="s">
        <v>558</v>
      </c>
      <c r="AE129" s="128"/>
      <c r="AF129" s="128"/>
      <c r="AG129" s="128"/>
      <c r="AH129" s="128"/>
      <c r="AI129" s="128"/>
      <c r="AJ129" s="778"/>
      <c r="AK129" s="778"/>
      <c r="AL129" s="128"/>
      <c r="AM129" s="128"/>
      <c r="AN129" s="128"/>
      <c r="AO129" s="128"/>
      <c r="AP129" s="128"/>
      <c r="AQ129" s="128"/>
      <c r="AR129" s="128"/>
      <c r="AS129" s="128"/>
      <c r="AT129" s="778"/>
      <c r="AU129" s="778"/>
      <c r="AV129" s="128"/>
      <c r="AW129" s="128"/>
      <c r="AX129" s="128"/>
      <c r="AY129" s="128"/>
      <c r="AZ129" s="128"/>
      <c r="BA129" s="128"/>
      <c r="BB129" s="128"/>
      <c r="BC129" s="826"/>
      <c r="BF129" s="682" t="s">
        <v>1122</v>
      </c>
      <c r="BG129" s="682" t="s">
        <v>1128</v>
      </c>
      <c r="BH129" s="682" cm="1">
        <f t="array" ref="BH129">BH128</f>
        <v>0</v>
      </c>
    </row>
    <row r="130" spans="5:62" ht="0" hidden="1" customHeight="1" x14ac:dyDescent="0.15">
      <c r="E130" s="491">
        <v>15</v>
      </c>
      <c r="F130" s="3" t="str" cm="1">
        <f t="array" aca="1" ref="F130" ca="1">OFFSET(E130,-1,1)</f>
        <v>3</v>
      </c>
      <c r="H130" s="66" t="str">
        <f>"!=='не определено' &amp;&amp; row.l2 !== null"</f>
        <v>!=='не определено' &amp;&amp; row.l2 !== null</v>
      </c>
      <c r="T130" s="353" t="b">
        <f ca="1">F130&gt;0</f>
        <v>1</v>
      </c>
      <c r="W130" s="497" t="s">
        <v>1123</v>
      </c>
      <c r="X130" s="943"/>
      <c r="Y130" s="495"/>
      <c r="Z130" s="1046"/>
      <c r="AB130" s="494"/>
      <c r="AC130" s="145" t="s">
        <v>1124</v>
      </c>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6"/>
      <c r="BI130" s="491" t="s">
        <v>1128</v>
      </c>
    </row>
    <row r="131" spans="5:62" ht="0" hidden="1" customHeight="1" x14ac:dyDescent="0.15">
      <c r="E131" s="491">
        <v>23</v>
      </c>
      <c r="F131" s="3" t="str" cm="1">
        <f t="array" aca="1" ref="F131" ca="1">OFFSET(E131,-1,1)</f>
        <v>3</v>
      </c>
      <c r="K131" s="602" t="str">
        <f ca="1">F121&amp;"3komm"</f>
        <v>33komm</v>
      </c>
      <c r="L131" s="606" cm="1">
        <f t="array" ref="L131">BC131</f>
        <v>0</v>
      </c>
      <c r="T131" s="353" t="b" cm="1">
        <f t="array" aca="1" ref="T131" ca="1">T130</f>
        <v>1</v>
      </c>
      <c r="X131" s="943"/>
      <c r="Y131" s="496"/>
      <c r="Z131" s="1046"/>
      <c r="AB131" s="124">
        <v>3</v>
      </c>
      <c r="AC131" s="125" t="s">
        <v>1130</v>
      </c>
      <c r="AD131" s="124" t="s">
        <v>828</v>
      </c>
      <c r="AE131" s="126">
        <f>SUMIF(AD133:AD135,AD131,AE133:AE135)</f>
        <v>0</v>
      </c>
      <c r="AF131" s="126">
        <f>SUMIF(AD133:AD135,AD131,AF133:AF135)</f>
        <v>0</v>
      </c>
      <c r="AG131" s="126">
        <f>SUMIF(AD133:AD135,AD131,AG133:AG135)</f>
        <v>0</v>
      </c>
      <c r="AH131" s="126">
        <f>SUMIF(AD133:AD135,AD131,AH133:AH135)</f>
        <v>0</v>
      </c>
      <c r="AI131" s="126">
        <f>SUMIF(AD133:AD135,AD131,AI133:AI135)</f>
        <v>0</v>
      </c>
      <c r="AJ131" s="126">
        <f>SUMIF(AD133:AD135,AD131,AJ133:AJ135)</f>
        <v>0</v>
      </c>
      <c r="AK131" s="126">
        <f>SUMIF(AD133:AD135,AD131,AK133:AK135)</f>
        <v>0</v>
      </c>
      <c r="AL131" s="126">
        <f>SUMIF(AD133:AD135,AD131,AL133:AL135)</f>
        <v>0</v>
      </c>
      <c r="AM131" s="126">
        <f>SUMIF(AD133:AD135,AD131,AM133:AM135)</f>
        <v>0</v>
      </c>
      <c r="AN131" s="126">
        <f>SUMIF(AD133:AD135,AD131,AN133:AN135)</f>
        <v>0</v>
      </c>
      <c r="AO131" s="126">
        <f>SUMIF(AD133:AD135,AD131,AO133:AO135)</f>
        <v>0</v>
      </c>
      <c r="AP131" s="126">
        <f>SUMIF(AD133:AD135,AD131,AP133:AP135)</f>
        <v>0</v>
      </c>
      <c r="AQ131" s="126">
        <f>SUMIF(AD133:AD135,AD131,AQ133:AQ135)</f>
        <v>0</v>
      </c>
      <c r="AR131" s="126">
        <f>SUMIF(AD133:AD135,AD131,AR133:AR135)</f>
        <v>0</v>
      </c>
      <c r="AS131" s="126">
        <f>SUMIF(AD133:AD135,AD131,AS133:AS135)</f>
        <v>0</v>
      </c>
      <c r="AT131" s="126">
        <f>SUMIF(AD133:AD135,AD131,AT133:AT135)</f>
        <v>0</v>
      </c>
      <c r="AU131" s="126">
        <f>SUMIF(AD133:AD135,AD131,AU133:AU135)</f>
        <v>0</v>
      </c>
      <c r="AV131" s="126">
        <f>SUMIF(AD133:AD135,AD131,AV133:AV135)</f>
        <v>0</v>
      </c>
      <c r="AW131" s="126">
        <f>SUMIF(AD133:AD135,AD131,AW133:AW135)</f>
        <v>0</v>
      </c>
      <c r="AX131" s="126">
        <f>SUMIF(AD133:AD135,AD131,AX133:AX135)</f>
        <v>0</v>
      </c>
      <c r="AY131" s="126">
        <f>SUMIF(AD133:AD135,AD131,AY133:AY135)</f>
        <v>0</v>
      </c>
      <c r="AZ131" s="126">
        <f>SUMIF(AD133:AD135,AD131,AZ133:AZ135)</f>
        <v>0</v>
      </c>
      <c r="BA131" s="126">
        <f>SUMIF(AD133:AD135,AD131,BA133:BA135)</f>
        <v>0</v>
      </c>
      <c r="BB131" s="126">
        <f>SUMIF(AD133:AD135,AD131,BB133:BB135)</f>
        <v>0</v>
      </c>
      <c r="BC131" s="113"/>
      <c r="BF131" s="682" t="s">
        <v>1131</v>
      </c>
    </row>
    <row r="132" spans="5:62" ht="0" hidden="1" customHeight="1" x14ac:dyDescent="0.15">
      <c r="E132" s="491">
        <v>0</v>
      </c>
      <c r="F132" s="3" t="str" cm="1">
        <f t="array" aca="1" ref="F132" ca="1">OFFSET(E132,-1,1)</f>
        <v>3</v>
      </c>
      <c r="G132" s="66" t="s">
        <v>333</v>
      </c>
      <c r="L132" s="606"/>
      <c r="T132" s="353" t="b">
        <v>0</v>
      </c>
      <c r="W132" s="66" t="s">
        <v>172</v>
      </c>
      <c r="X132" s="943"/>
      <c r="Y132" s="943">
        <v>0</v>
      </c>
      <c r="Z132" s="1046"/>
      <c r="AA132" s="1048" t="s">
        <v>173</v>
      </c>
      <c r="AB132" s="124"/>
      <c r="AC132" s="125"/>
      <c r="AD132" s="124"/>
      <c r="AE132" s="129" t="b">
        <f t="shared" ref="AE132:BB132" si="23">OR(AND(AE133&lt;&gt;"",AE134=""),AND(AE133="",AE134&lt;&gt;""))</f>
        <v>0</v>
      </c>
      <c r="AF132" s="129" t="b">
        <f t="shared" si="23"/>
        <v>0</v>
      </c>
      <c r="AG132" s="129" t="b">
        <f t="shared" si="23"/>
        <v>0</v>
      </c>
      <c r="AH132" s="129" t="b">
        <f t="shared" si="23"/>
        <v>0</v>
      </c>
      <c r="AI132" s="129" t="b">
        <f t="shared" si="23"/>
        <v>0</v>
      </c>
      <c r="AJ132" s="129" t="b">
        <f t="shared" si="23"/>
        <v>0</v>
      </c>
      <c r="AK132" s="129" t="b">
        <f t="shared" si="23"/>
        <v>0</v>
      </c>
      <c r="AL132" s="129" t="b">
        <f t="shared" si="23"/>
        <v>0</v>
      </c>
      <c r="AM132" s="129" t="b">
        <f t="shared" si="23"/>
        <v>0</v>
      </c>
      <c r="AN132" s="129" t="b">
        <f t="shared" si="23"/>
        <v>0</v>
      </c>
      <c r="AO132" s="129" t="b">
        <f t="shared" si="23"/>
        <v>0</v>
      </c>
      <c r="AP132" s="129" t="b">
        <f t="shared" si="23"/>
        <v>0</v>
      </c>
      <c r="AQ132" s="129" t="b">
        <f t="shared" si="23"/>
        <v>0</v>
      </c>
      <c r="AR132" s="129" t="b">
        <f t="shared" si="23"/>
        <v>0</v>
      </c>
      <c r="AS132" s="129" t="b">
        <f t="shared" si="23"/>
        <v>0</v>
      </c>
      <c r="AT132" s="129" t="b">
        <f t="shared" si="23"/>
        <v>0</v>
      </c>
      <c r="AU132" s="129" t="b">
        <f t="shared" si="23"/>
        <v>0</v>
      </c>
      <c r="AV132" s="129" t="b">
        <f t="shared" si="23"/>
        <v>0</v>
      </c>
      <c r="AW132" s="129" t="b">
        <f t="shared" si="23"/>
        <v>0</v>
      </c>
      <c r="AX132" s="129" t="b">
        <f t="shared" si="23"/>
        <v>0</v>
      </c>
      <c r="AY132" s="129" t="b">
        <f t="shared" si="23"/>
        <v>0</v>
      </c>
      <c r="AZ132" s="129" t="b">
        <f t="shared" si="23"/>
        <v>0</v>
      </c>
      <c r="BA132" s="129" t="b">
        <f t="shared" si="23"/>
        <v>0</v>
      </c>
      <c r="BB132" s="129" t="b">
        <f t="shared" si="23"/>
        <v>0</v>
      </c>
      <c r="BC132" s="643"/>
    </row>
    <row r="133" spans="5:62" ht="0" hidden="1" customHeight="1" x14ac:dyDescent="0.15">
      <c r="E133" s="491">
        <v>15</v>
      </c>
      <c r="F133" s="3" t="str" cm="1">
        <f t="array" aca="1" ref="F133" ca="1">OFFSET(E133,-1,1)</f>
        <v>3</v>
      </c>
      <c r="G133" s="66" t="s">
        <v>333</v>
      </c>
      <c r="H133" s="69" cm="1">
        <f t="array" ref="H133">AC133</f>
        <v>0</v>
      </c>
      <c r="I133" s="66" t="s">
        <v>1132</v>
      </c>
      <c r="T133" s="353" t="b">
        <f ca="1">AND(F133&gt;0,Y132&gt;0)</f>
        <v>0</v>
      </c>
      <c r="X133" s="943"/>
      <c r="Y133" s="943"/>
      <c r="Z133" s="1046"/>
      <c r="AA133" s="1048"/>
      <c r="AB133" s="7" t="str">
        <f>"3."&amp;Y132</f>
        <v>3.0</v>
      </c>
      <c r="AC133" s="186"/>
      <c r="AD133" s="124" t="s">
        <v>828</v>
      </c>
      <c r="AE133" s="128"/>
      <c r="AF133" s="128"/>
      <c r="AG133" s="128"/>
      <c r="AH133" s="128"/>
      <c r="AI133" s="128"/>
      <c r="AJ133" s="778"/>
      <c r="AK133" s="778"/>
      <c r="AL133" s="128"/>
      <c r="AM133" s="128"/>
      <c r="AN133" s="128"/>
      <c r="AO133" s="128"/>
      <c r="AP133" s="128"/>
      <c r="AQ133" s="128"/>
      <c r="AR133" s="128"/>
      <c r="AS133" s="128"/>
      <c r="AT133" s="778"/>
      <c r="AU133" s="778"/>
      <c r="AV133" s="128"/>
      <c r="AW133" s="128"/>
      <c r="AX133" s="128"/>
      <c r="AY133" s="128"/>
      <c r="AZ133" s="128"/>
      <c r="BA133" s="128"/>
      <c r="BB133" s="128"/>
      <c r="BC133" s="826"/>
      <c r="BF133" s="682" t="s">
        <v>1119</v>
      </c>
      <c r="BG133" s="682" t="s">
        <v>1133</v>
      </c>
      <c r="BH133" s="682" cm="1">
        <f t="array" ref="BH133">AC133</f>
        <v>0</v>
      </c>
      <c r="BJ133" s="491" t="b">
        <v>1</v>
      </c>
    </row>
    <row r="134" spans="5:62" ht="0" hidden="1" customHeight="1" x14ac:dyDescent="0.15">
      <c r="E134" s="491">
        <v>15</v>
      </c>
      <c r="F134" s="3" t="str" cm="1">
        <f t="array" aca="1" ref="F134" ca="1">OFFSET(E134,-1,1)</f>
        <v>3</v>
      </c>
      <c r="G134" s="66" t="s">
        <v>969</v>
      </c>
      <c r="H134" s="69" cm="1">
        <f t="array" ref="H134">H133</f>
        <v>0</v>
      </c>
      <c r="I134" s="66" t="s">
        <v>1132</v>
      </c>
      <c r="T134" s="353" t="b" cm="1">
        <f t="array" aca="1" ref="T134" ca="1">T133</f>
        <v>0</v>
      </c>
      <c r="X134" s="943"/>
      <c r="Y134" s="943"/>
      <c r="Z134" s="1046"/>
      <c r="AA134" s="1048"/>
      <c r="AB134" s="7" t="str">
        <f>AB133&amp;".1"</f>
        <v>3.0.1</v>
      </c>
      <c r="AC134" s="134" t="s">
        <v>1134</v>
      </c>
      <c r="AD134" s="7" t="s">
        <v>558</v>
      </c>
      <c r="AE134" s="128"/>
      <c r="AF134" s="128"/>
      <c r="AG134" s="128"/>
      <c r="AH134" s="128"/>
      <c r="AI134" s="128"/>
      <c r="AJ134" s="778"/>
      <c r="AK134" s="778"/>
      <c r="AL134" s="128"/>
      <c r="AM134" s="128"/>
      <c r="AN134" s="128"/>
      <c r="AO134" s="128"/>
      <c r="AP134" s="128"/>
      <c r="AQ134" s="128"/>
      <c r="AR134" s="128"/>
      <c r="AS134" s="128"/>
      <c r="AT134" s="778"/>
      <c r="AU134" s="778"/>
      <c r="AV134" s="128"/>
      <c r="AW134" s="128"/>
      <c r="AX134" s="128"/>
      <c r="AY134" s="128"/>
      <c r="AZ134" s="128"/>
      <c r="BA134" s="128"/>
      <c r="BB134" s="128"/>
      <c r="BC134" s="826"/>
      <c r="BF134" s="682" t="s">
        <v>1122</v>
      </c>
      <c r="BG134" s="682" t="s">
        <v>1133</v>
      </c>
      <c r="BH134" s="682" cm="1">
        <f t="array" ref="BH134">BH133</f>
        <v>0</v>
      </c>
    </row>
    <row r="135" spans="5:62" ht="0" hidden="1" customHeight="1" x14ac:dyDescent="0.15">
      <c r="E135" s="491">
        <v>15</v>
      </c>
      <c r="F135" s="3" t="str" cm="1">
        <f t="array" aca="1" ref="F135" ca="1">OFFSET(E135,-1,1)</f>
        <v>3</v>
      </c>
      <c r="H135" s="66" t="str">
        <f>"!=='не определено' &amp;&amp; row.l3 !== null"</f>
        <v>!=='не определено' &amp;&amp; row.l3 !== null</v>
      </c>
      <c r="T135" s="353" t="b">
        <f ca="1">F135&gt;0</f>
        <v>1</v>
      </c>
      <c r="W135" s="497" t="s">
        <v>1135</v>
      </c>
      <c r="X135" s="943"/>
      <c r="Y135" s="495"/>
      <c r="Z135" s="1046"/>
      <c r="AB135" s="494"/>
      <c r="AC135" s="145" t="s">
        <v>1124</v>
      </c>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6"/>
      <c r="BI135" s="491" t="s">
        <v>1133</v>
      </c>
    </row>
    <row r="136" spans="5:62" ht="0" hidden="1" customHeight="1" x14ac:dyDescent="0.15">
      <c r="E136" s="491">
        <v>23</v>
      </c>
      <c r="F136" s="3" t="str" cm="1">
        <f t="array" aca="1" ref="F136" ca="1">OFFSET(E136,-1,1)</f>
        <v>3</v>
      </c>
      <c r="K136" s="602" t="str">
        <f ca="1">F121&amp;"4komm"</f>
        <v>34komm</v>
      </c>
      <c r="L136" s="606" cm="1">
        <f t="array" ref="L136">BC136</f>
        <v>0</v>
      </c>
      <c r="T136" s="353" t="b" cm="1">
        <f t="array" aca="1" ref="T136" ca="1">T135</f>
        <v>1</v>
      </c>
      <c r="X136" s="943"/>
      <c r="Y136" s="496"/>
      <c r="Z136" s="1046"/>
      <c r="AB136" s="124">
        <v>4</v>
      </c>
      <c r="AC136" s="125" t="s">
        <v>1136</v>
      </c>
      <c r="AD136" s="124" t="s">
        <v>828</v>
      </c>
      <c r="AE136" s="126">
        <f>SUMIF(AD138:AD140,AD136,AE138:AE140)</f>
        <v>0</v>
      </c>
      <c r="AF136" s="126">
        <f>SUMIF(AD138:AD140,AD136,AF138:AF140)</f>
        <v>0</v>
      </c>
      <c r="AG136" s="126">
        <f>SUMIF(AD138:AD140,AD136,AG138:AG140)</f>
        <v>0</v>
      </c>
      <c r="AH136" s="126">
        <f>SUMIF(AD138:AD140,AD136,AH138:AH140)</f>
        <v>0</v>
      </c>
      <c r="AI136" s="126">
        <f>SUMIF(AD138:AD140,AD136,AI138:AI140)</f>
        <v>0</v>
      </c>
      <c r="AJ136" s="126">
        <f>SUMIF(AD138:AD140,AD136,AJ138:AJ140)</f>
        <v>0</v>
      </c>
      <c r="AK136" s="126">
        <f>SUMIF(AD138:AD140,AD136,AK138:AK140)</f>
        <v>0</v>
      </c>
      <c r="AL136" s="126">
        <f>SUMIF(AD138:AD140,AD136,AL138:AL140)</f>
        <v>0</v>
      </c>
      <c r="AM136" s="126">
        <f>SUMIF(AD138:AD140,AD136,AM138:AM140)</f>
        <v>0</v>
      </c>
      <c r="AN136" s="126">
        <f>SUMIF(AD138:AD140,AD136,AN138:AN140)</f>
        <v>0</v>
      </c>
      <c r="AO136" s="126">
        <f>SUMIF(AD138:AD140,AD136,AO138:AO140)</f>
        <v>0</v>
      </c>
      <c r="AP136" s="126">
        <f>SUMIF(AD138:AD140,AD136,AP138:AP140)</f>
        <v>0</v>
      </c>
      <c r="AQ136" s="126">
        <f>SUMIF(AD138:AD140,AD136,AQ138:AQ140)</f>
        <v>0</v>
      </c>
      <c r="AR136" s="126">
        <f>SUMIF(AD138:AD140,AD136,AR138:AR140)</f>
        <v>0</v>
      </c>
      <c r="AS136" s="126">
        <f>SUMIF(AD138:AD140,AD136,AS138:AS140)</f>
        <v>0</v>
      </c>
      <c r="AT136" s="126">
        <f>SUMIF(AD138:AD140,AD136,AT138:AT140)</f>
        <v>0</v>
      </c>
      <c r="AU136" s="126">
        <f>SUMIF(AD138:AD140,AD136,AU138:AU140)</f>
        <v>0</v>
      </c>
      <c r="AV136" s="126">
        <f>SUMIF(AD138:AD140,AD136,AV138:AV140)</f>
        <v>0</v>
      </c>
      <c r="AW136" s="126">
        <f>SUMIF(AD138:AD140,AD136,AW138:AW140)</f>
        <v>0</v>
      </c>
      <c r="AX136" s="126">
        <f>SUMIF(AD138:AD140,AD136,AX138:AX140)</f>
        <v>0</v>
      </c>
      <c r="AY136" s="126">
        <f>SUMIF(AD138:AD140,AD136,AY138:AY140)</f>
        <v>0</v>
      </c>
      <c r="AZ136" s="126">
        <f>SUMIF(AD138:AD140,AD136,AZ138:AZ140)</f>
        <v>0</v>
      </c>
      <c r="BA136" s="126">
        <f>SUMIF(AD138:AD140,AD136,BA138:BA140)</f>
        <v>0</v>
      </c>
      <c r="BB136" s="126">
        <f>SUMIF(AD138:AD140,AD136,BB138:BB140)</f>
        <v>0</v>
      </c>
      <c r="BC136" s="113"/>
      <c r="BF136" s="682" t="s">
        <v>1137</v>
      </c>
    </row>
    <row r="137" spans="5:62" ht="0" hidden="1" customHeight="1" x14ac:dyDescent="0.15">
      <c r="E137" s="491">
        <v>0</v>
      </c>
      <c r="F137" s="3" t="str" cm="1">
        <f t="array" aca="1" ref="F137" ca="1">OFFSET(E137,-1,1)</f>
        <v>3</v>
      </c>
      <c r="G137" s="66" t="s">
        <v>335</v>
      </c>
      <c r="L137" s="606"/>
      <c r="T137" s="353" t="b">
        <v>0</v>
      </c>
      <c r="W137" s="66" t="s">
        <v>172</v>
      </c>
      <c r="X137" s="943"/>
      <c r="Y137" s="943">
        <v>0</v>
      </c>
      <c r="Z137" s="1046"/>
      <c r="AA137" s="1048" t="s">
        <v>173</v>
      </c>
      <c r="AB137" s="124"/>
      <c r="AC137" s="125"/>
      <c r="AD137" s="124"/>
      <c r="AE137" s="129" t="b">
        <f t="shared" ref="AE137:BB137" si="24">OR(AND(AE138&lt;&gt;"",AE139=""),AND(AE138="",AE139&lt;&gt;""))</f>
        <v>0</v>
      </c>
      <c r="AF137" s="129" t="b">
        <f t="shared" si="24"/>
        <v>0</v>
      </c>
      <c r="AG137" s="129" t="b">
        <f t="shared" si="24"/>
        <v>0</v>
      </c>
      <c r="AH137" s="129" t="b">
        <f t="shared" si="24"/>
        <v>0</v>
      </c>
      <c r="AI137" s="129" t="b">
        <f t="shared" si="24"/>
        <v>0</v>
      </c>
      <c r="AJ137" s="129" t="b">
        <f t="shared" si="24"/>
        <v>0</v>
      </c>
      <c r="AK137" s="129" t="b">
        <f t="shared" si="24"/>
        <v>0</v>
      </c>
      <c r="AL137" s="129" t="b">
        <f t="shared" si="24"/>
        <v>0</v>
      </c>
      <c r="AM137" s="129" t="b">
        <f t="shared" si="24"/>
        <v>0</v>
      </c>
      <c r="AN137" s="129" t="b">
        <f t="shared" si="24"/>
        <v>0</v>
      </c>
      <c r="AO137" s="129" t="b">
        <f t="shared" si="24"/>
        <v>0</v>
      </c>
      <c r="AP137" s="129" t="b">
        <f t="shared" si="24"/>
        <v>0</v>
      </c>
      <c r="AQ137" s="129" t="b">
        <f t="shared" si="24"/>
        <v>0</v>
      </c>
      <c r="AR137" s="129" t="b">
        <f t="shared" si="24"/>
        <v>0</v>
      </c>
      <c r="AS137" s="129" t="b">
        <f t="shared" si="24"/>
        <v>0</v>
      </c>
      <c r="AT137" s="129" t="b">
        <f t="shared" si="24"/>
        <v>0</v>
      </c>
      <c r="AU137" s="129" t="b">
        <f t="shared" si="24"/>
        <v>0</v>
      </c>
      <c r="AV137" s="129" t="b">
        <f t="shared" si="24"/>
        <v>0</v>
      </c>
      <c r="AW137" s="129" t="b">
        <f t="shared" si="24"/>
        <v>0</v>
      </c>
      <c r="AX137" s="129" t="b">
        <f t="shared" si="24"/>
        <v>0</v>
      </c>
      <c r="AY137" s="129" t="b">
        <f t="shared" si="24"/>
        <v>0</v>
      </c>
      <c r="AZ137" s="129" t="b">
        <f t="shared" si="24"/>
        <v>0</v>
      </c>
      <c r="BA137" s="129" t="b">
        <f t="shared" si="24"/>
        <v>0</v>
      </c>
      <c r="BB137" s="129" t="b">
        <f t="shared" si="24"/>
        <v>0</v>
      </c>
      <c r="BC137" s="643"/>
    </row>
    <row r="138" spans="5:62" ht="0" hidden="1" customHeight="1" x14ac:dyDescent="0.15">
      <c r="E138" s="491">
        <v>15</v>
      </c>
      <c r="F138" s="3" t="str" cm="1">
        <f t="array" aca="1" ref="F138" ca="1">OFFSET(E138,-1,1)</f>
        <v>3</v>
      </c>
      <c r="G138" s="66" t="s">
        <v>335</v>
      </c>
      <c r="H138" s="69" cm="1">
        <f t="array" ref="H138">AC138</f>
        <v>0</v>
      </c>
      <c r="I138" s="66" t="s">
        <v>1138</v>
      </c>
      <c r="T138" s="353" t="b">
        <f ca="1">AND(F138&gt;0,Y137&gt;0)</f>
        <v>0</v>
      </c>
      <c r="X138" s="943"/>
      <c r="Y138" s="943"/>
      <c r="Z138" s="1046"/>
      <c r="AA138" s="1048"/>
      <c r="AB138" s="7" t="str">
        <f>"4."&amp;Y137</f>
        <v>4.0</v>
      </c>
      <c r="AC138" s="186"/>
      <c r="AD138" s="124" t="s">
        <v>828</v>
      </c>
      <c r="AE138" s="128"/>
      <c r="AF138" s="128"/>
      <c r="AG138" s="128"/>
      <c r="AH138" s="128"/>
      <c r="AI138" s="128"/>
      <c r="AJ138" s="778"/>
      <c r="AK138" s="778"/>
      <c r="AL138" s="128"/>
      <c r="AM138" s="128"/>
      <c r="AN138" s="128"/>
      <c r="AO138" s="128"/>
      <c r="AP138" s="128"/>
      <c r="AQ138" s="128"/>
      <c r="AR138" s="128"/>
      <c r="AS138" s="128"/>
      <c r="AT138" s="778"/>
      <c r="AU138" s="778"/>
      <c r="AV138" s="128"/>
      <c r="AW138" s="128"/>
      <c r="AX138" s="128"/>
      <c r="AY138" s="128"/>
      <c r="AZ138" s="128"/>
      <c r="BA138" s="128"/>
      <c r="BB138" s="128"/>
      <c r="BC138" s="826"/>
      <c r="BF138" s="682" t="s">
        <v>1119</v>
      </c>
      <c r="BG138" s="682" t="s">
        <v>1139</v>
      </c>
      <c r="BH138" s="682" cm="1">
        <f t="array" ref="BH138">AC138</f>
        <v>0</v>
      </c>
      <c r="BJ138" s="491" t="b">
        <v>1</v>
      </c>
    </row>
    <row r="139" spans="5:62" ht="0" hidden="1" customHeight="1" x14ac:dyDescent="0.15">
      <c r="E139" s="491">
        <v>15</v>
      </c>
      <c r="F139" s="3" t="str" cm="1">
        <f t="array" aca="1" ref="F139" ca="1">OFFSET(E139,-1,1)</f>
        <v>3</v>
      </c>
      <c r="G139" s="66" t="s">
        <v>560</v>
      </c>
      <c r="H139" s="69" cm="1">
        <f t="array" ref="H139">H138</f>
        <v>0</v>
      </c>
      <c r="I139" s="66" t="s">
        <v>1138</v>
      </c>
      <c r="T139" s="353" t="b" cm="1">
        <f t="array" aca="1" ref="T139" ca="1">T138</f>
        <v>0</v>
      </c>
      <c r="X139" s="943"/>
      <c r="Y139" s="943"/>
      <c r="Z139" s="1046"/>
      <c r="AA139" s="1048"/>
      <c r="AB139" s="7" t="str">
        <f>AB138&amp;".1"</f>
        <v>4.0.1</v>
      </c>
      <c r="AC139" s="134" t="s">
        <v>1140</v>
      </c>
      <c r="AD139" s="7" t="s">
        <v>558</v>
      </c>
      <c r="AE139" s="128"/>
      <c r="AF139" s="128"/>
      <c r="AG139" s="128"/>
      <c r="AH139" s="128"/>
      <c r="AI139" s="128"/>
      <c r="AJ139" s="778"/>
      <c r="AK139" s="778"/>
      <c r="AL139" s="128"/>
      <c r="AM139" s="128"/>
      <c r="AN139" s="128"/>
      <c r="AO139" s="128"/>
      <c r="AP139" s="128"/>
      <c r="AQ139" s="128"/>
      <c r="AR139" s="128"/>
      <c r="AS139" s="128"/>
      <c r="AT139" s="778"/>
      <c r="AU139" s="778"/>
      <c r="AV139" s="128"/>
      <c r="AW139" s="128"/>
      <c r="AX139" s="128"/>
      <c r="AY139" s="128"/>
      <c r="AZ139" s="128"/>
      <c r="BA139" s="128"/>
      <c r="BB139" s="128"/>
      <c r="BC139" s="826"/>
      <c r="BF139" s="682" t="s">
        <v>1122</v>
      </c>
      <c r="BG139" s="682" t="s">
        <v>1139</v>
      </c>
      <c r="BH139" s="682" cm="1">
        <f t="array" ref="BH139">BH138</f>
        <v>0</v>
      </c>
    </row>
    <row r="140" spans="5:62" ht="0" hidden="1" customHeight="1" x14ac:dyDescent="0.15">
      <c r="E140" s="491">
        <v>15</v>
      </c>
      <c r="F140" s="3" t="str" cm="1">
        <f t="array" aca="1" ref="F140" ca="1">OFFSET(E140,-1,1)</f>
        <v>3</v>
      </c>
      <c r="H140" s="66" t="str">
        <f>"!=='не определено' &amp;&amp; row.l4 !== null"</f>
        <v>!=='не определено' &amp;&amp; row.l4 !== null</v>
      </c>
      <c r="T140" s="353" t="b">
        <f ca="1">F140&gt;0</f>
        <v>1</v>
      </c>
      <c r="W140" s="497" t="s">
        <v>1141</v>
      </c>
      <c r="X140" s="943"/>
      <c r="Y140" s="495"/>
      <c r="Z140" s="1046"/>
      <c r="AB140" s="494"/>
      <c r="AC140" s="145" t="s">
        <v>1124</v>
      </c>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6"/>
      <c r="BI140" s="491" t="s">
        <v>1139</v>
      </c>
    </row>
    <row r="141" spans="5:62" ht="0" hidden="1" customHeight="1" x14ac:dyDescent="0.15">
      <c r="E141" s="491">
        <v>23</v>
      </c>
      <c r="F141" s="3" t="str" cm="1">
        <f t="array" aca="1" ref="F141" ca="1">OFFSET(E141,-1,1)</f>
        <v>3</v>
      </c>
      <c r="K141" s="602" t="str">
        <f ca="1">F121&amp;"5komm"</f>
        <v>35komm</v>
      </c>
      <c r="L141" s="606" cm="1">
        <f t="array" ref="L141">BC141</f>
        <v>0</v>
      </c>
      <c r="T141" s="353" t="b" cm="1">
        <f t="array" aca="1" ref="T141" ca="1">T140</f>
        <v>1</v>
      </c>
      <c r="X141" s="943"/>
      <c r="Y141" s="496"/>
      <c r="Z141" s="1046"/>
      <c r="AB141" s="124">
        <v>5</v>
      </c>
      <c r="AC141" s="125" t="s">
        <v>1142</v>
      </c>
      <c r="AD141" s="124" t="s">
        <v>828</v>
      </c>
      <c r="AE141" s="126">
        <f>SUMIF(AD143:AD145,AD141,AE143:AE145)</f>
        <v>0</v>
      </c>
      <c r="AF141" s="126">
        <f>SUMIF(AD143:AD145,AD141,AF143:AF145)</f>
        <v>0</v>
      </c>
      <c r="AG141" s="126">
        <f>SUMIF(AD143:AD145,AD141,AG143:AG145)</f>
        <v>0</v>
      </c>
      <c r="AH141" s="126">
        <f>SUMIF(AD143:AD145,AD141,AH143:AH145)</f>
        <v>0</v>
      </c>
      <c r="AI141" s="126">
        <f>SUMIF(AD143:AD145,AD141,AI143:AI145)</f>
        <v>0</v>
      </c>
      <c r="AJ141" s="126">
        <f>SUMIF(AD143:AD145,AD141,AJ143:AJ145)</f>
        <v>0</v>
      </c>
      <c r="AK141" s="126">
        <f>SUMIF(AD143:AD145,AD141,AK143:AK145)</f>
        <v>0</v>
      </c>
      <c r="AL141" s="126">
        <f>SUMIF(AD143:AD145,AD141,AL143:AL145)</f>
        <v>0</v>
      </c>
      <c r="AM141" s="126">
        <f>SUMIF(AD143:AD145,AD141,AM143:AM145)</f>
        <v>0</v>
      </c>
      <c r="AN141" s="126">
        <f>SUMIF(AD143:AD145,AD141,AN143:AN145)</f>
        <v>0</v>
      </c>
      <c r="AO141" s="126">
        <f>SUMIF(AD143:AD145,AD141,AO143:AO145)</f>
        <v>0</v>
      </c>
      <c r="AP141" s="126">
        <f>SUMIF(AD143:AD145,AD141,AP143:AP145)</f>
        <v>0</v>
      </c>
      <c r="AQ141" s="126">
        <f>SUMIF(AD143:AD145,AD141,AQ143:AQ145)</f>
        <v>0</v>
      </c>
      <c r="AR141" s="126">
        <f>SUMIF(AD143:AD145,AD141,AR143:AR145)</f>
        <v>0</v>
      </c>
      <c r="AS141" s="126">
        <f>SUMIF(AD143:AD145,AD141,AS143:AS145)</f>
        <v>0</v>
      </c>
      <c r="AT141" s="126">
        <f>SUMIF(AD143:AD145,AD141,AT143:AT145)</f>
        <v>0</v>
      </c>
      <c r="AU141" s="126">
        <f>SUMIF(AD143:AD145,AD141,AU143:AU145)</f>
        <v>0</v>
      </c>
      <c r="AV141" s="126">
        <f>SUMIF(AD143:AD145,AD141,AV143:AV145)</f>
        <v>0</v>
      </c>
      <c r="AW141" s="126">
        <f>SUMIF(AD143:AD145,AD141,AW143:AW145)</f>
        <v>0</v>
      </c>
      <c r="AX141" s="126">
        <f>SUMIF(AD143:AD145,AD141,AX143:AX145)</f>
        <v>0</v>
      </c>
      <c r="AY141" s="126">
        <f>SUMIF(AD143:AD145,AD141,AY143:AY145)</f>
        <v>0</v>
      </c>
      <c r="AZ141" s="126">
        <f>SUMIF(AD143:AD145,AD141,AZ143:AZ145)</f>
        <v>0</v>
      </c>
      <c r="BA141" s="126">
        <f>SUMIF(AD143:AD145,AD141,BA143:BA145)</f>
        <v>0</v>
      </c>
      <c r="BB141" s="126">
        <f>SUMIF(AD143:AD145,AD141,BB143:BB145)</f>
        <v>0</v>
      </c>
      <c r="BC141" s="113"/>
      <c r="BF141" s="682" t="s">
        <v>1143</v>
      </c>
    </row>
    <row r="142" spans="5:62" ht="0" hidden="1" customHeight="1" x14ac:dyDescent="0.15">
      <c r="E142" s="491">
        <v>0</v>
      </c>
      <c r="F142" s="3" t="str" cm="1">
        <f t="array" aca="1" ref="F142" ca="1">OFFSET(E142,-1,1)</f>
        <v>3</v>
      </c>
      <c r="G142" s="66" t="s">
        <v>334</v>
      </c>
      <c r="L142" s="606"/>
      <c r="T142" s="353" t="b">
        <v>0</v>
      </c>
      <c r="W142" s="66" t="s">
        <v>172</v>
      </c>
      <c r="X142" s="943"/>
      <c r="Y142" s="943">
        <v>0</v>
      </c>
      <c r="Z142" s="1046"/>
      <c r="AA142" s="1048" t="s">
        <v>173</v>
      </c>
      <c r="AB142" s="124"/>
      <c r="AC142" s="125"/>
      <c r="AD142" s="124"/>
      <c r="AE142" s="129" t="b">
        <f t="shared" ref="AE142:BB142" si="25">OR(AND(AE143&lt;&gt;"",AE144=""),AND(AE143="",AE144&lt;&gt;""))</f>
        <v>0</v>
      </c>
      <c r="AF142" s="129" t="b">
        <f t="shared" si="25"/>
        <v>0</v>
      </c>
      <c r="AG142" s="129" t="b">
        <f t="shared" si="25"/>
        <v>0</v>
      </c>
      <c r="AH142" s="129" t="b">
        <f t="shared" si="25"/>
        <v>0</v>
      </c>
      <c r="AI142" s="129" t="b">
        <f t="shared" si="25"/>
        <v>0</v>
      </c>
      <c r="AJ142" s="129" t="b">
        <f t="shared" si="25"/>
        <v>0</v>
      </c>
      <c r="AK142" s="129" t="b">
        <f t="shared" si="25"/>
        <v>0</v>
      </c>
      <c r="AL142" s="129" t="b">
        <f t="shared" si="25"/>
        <v>0</v>
      </c>
      <c r="AM142" s="129" t="b">
        <f t="shared" si="25"/>
        <v>0</v>
      </c>
      <c r="AN142" s="129" t="b">
        <f t="shared" si="25"/>
        <v>0</v>
      </c>
      <c r="AO142" s="129" t="b">
        <f t="shared" si="25"/>
        <v>0</v>
      </c>
      <c r="AP142" s="129" t="b">
        <f t="shared" si="25"/>
        <v>0</v>
      </c>
      <c r="AQ142" s="129" t="b">
        <f t="shared" si="25"/>
        <v>0</v>
      </c>
      <c r="AR142" s="129" t="b">
        <f t="shared" si="25"/>
        <v>0</v>
      </c>
      <c r="AS142" s="129" t="b">
        <f t="shared" si="25"/>
        <v>0</v>
      </c>
      <c r="AT142" s="129" t="b">
        <f t="shared" si="25"/>
        <v>0</v>
      </c>
      <c r="AU142" s="129" t="b">
        <f t="shared" si="25"/>
        <v>0</v>
      </c>
      <c r="AV142" s="129" t="b">
        <f t="shared" si="25"/>
        <v>0</v>
      </c>
      <c r="AW142" s="129" t="b">
        <f t="shared" si="25"/>
        <v>0</v>
      </c>
      <c r="AX142" s="129" t="b">
        <f t="shared" si="25"/>
        <v>0</v>
      </c>
      <c r="AY142" s="129" t="b">
        <f t="shared" si="25"/>
        <v>0</v>
      </c>
      <c r="AZ142" s="129" t="b">
        <f t="shared" si="25"/>
        <v>0</v>
      </c>
      <c r="BA142" s="129" t="b">
        <f t="shared" si="25"/>
        <v>0</v>
      </c>
      <c r="BB142" s="129" t="b">
        <f t="shared" si="25"/>
        <v>0</v>
      </c>
      <c r="BC142" s="643"/>
    </row>
    <row r="143" spans="5:62" ht="0" hidden="1" customHeight="1" x14ac:dyDescent="0.15">
      <c r="E143" s="491">
        <v>15</v>
      </c>
      <c r="F143" s="3" t="str" cm="1">
        <f t="array" aca="1" ref="F143" ca="1">OFFSET(E143,-1,1)</f>
        <v>3</v>
      </c>
      <c r="G143" s="66" t="s">
        <v>334</v>
      </c>
      <c r="H143" s="69" cm="1">
        <f t="array" ref="H143">AC143</f>
        <v>0</v>
      </c>
      <c r="I143" s="66" t="s">
        <v>1144</v>
      </c>
      <c r="T143" s="353" t="b">
        <f ca="1">AND(F143&gt;0,Y142&gt;0)</f>
        <v>0</v>
      </c>
      <c r="X143" s="943"/>
      <c r="Y143" s="943"/>
      <c r="Z143" s="1046"/>
      <c r="AA143" s="1048"/>
      <c r="AB143" s="7" t="str">
        <f>"5."&amp;Y142</f>
        <v>5.0</v>
      </c>
      <c r="AC143" s="186"/>
      <c r="AD143" s="124" t="s">
        <v>828</v>
      </c>
      <c r="AE143" s="128"/>
      <c r="AF143" s="128"/>
      <c r="AG143" s="128"/>
      <c r="AH143" s="128"/>
      <c r="AI143" s="128"/>
      <c r="AJ143" s="778"/>
      <c r="AK143" s="778"/>
      <c r="AL143" s="128"/>
      <c r="AM143" s="128"/>
      <c r="AN143" s="128"/>
      <c r="AO143" s="128"/>
      <c r="AP143" s="128"/>
      <c r="AQ143" s="128"/>
      <c r="AR143" s="128"/>
      <c r="AS143" s="128"/>
      <c r="AT143" s="778"/>
      <c r="AU143" s="778"/>
      <c r="AV143" s="128"/>
      <c r="AW143" s="128"/>
      <c r="AX143" s="128"/>
      <c r="AY143" s="128"/>
      <c r="AZ143" s="128"/>
      <c r="BA143" s="128"/>
      <c r="BB143" s="128"/>
      <c r="BC143" s="826"/>
      <c r="BF143" s="682" t="s">
        <v>1119</v>
      </c>
      <c r="BG143" s="682" t="s">
        <v>1145</v>
      </c>
      <c r="BH143" s="682" cm="1">
        <f t="array" ref="BH143">AC143</f>
        <v>0</v>
      </c>
      <c r="BJ143" s="491" t="b">
        <v>1</v>
      </c>
    </row>
    <row r="144" spans="5:62" ht="0" hidden="1" customHeight="1" x14ac:dyDescent="0.15">
      <c r="E144" s="491">
        <v>15</v>
      </c>
      <c r="F144" s="3" t="str" cm="1">
        <f t="array" aca="1" ref="F144" ca="1">OFFSET(E144,-1,1)</f>
        <v>3</v>
      </c>
      <c r="G144" s="66" t="s">
        <v>574</v>
      </c>
      <c r="H144" s="69" cm="1">
        <f t="array" ref="H144">H143</f>
        <v>0</v>
      </c>
      <c r="I144" s="66" t="s">
        <v>1144</v>
      </c>
      <c r="T144" s="353" t="b" cm="1">
        <f t="array" aca="1" ref="T144" ca="1">T143</f>
        <v>0</v>
      </c>
      <c r="X144" s="943"/>
      <c r="Y144" s="943"/>
      <c r="Z144" s="1046"/>
      <c r="AA144" s="1048"/>
      <c r="AB144" s="7" t="str">
        <f>AB143&amp;".1"</f>
        <v>5.0.1</v>
      </c>
      <c r="AC144" s="134" t="s">
        <v>1146</v>
      </c>
      <c r="AD144" s="7" t="s">
        <v>558</v>
      </c>
      <c r="AE144" s="128"/>
      <c r="AF144" s="128"/>
      <c r="AG144" s="128"/>
      <c r="AH144" s="128"/>
      <c r="AI144" s="128"/>
      <c r="AJ144" s="778"/>
      <c r="AK144" s="778"/>
      <c r="AL144" s="128"/>
      <c r="AM144" s="128"/>
      <c r="AN144" s="128"/>
      <c r="AO144" s="128"/>
      <c r="AP144" s="128"/>
      <c r="AQ144" s="128"/>
      <c r="AR144" s="128"/>
      <c r="AS144" s="128"/>
      <c r="AT144" s="778"/>
      <c r="AU144" s="778"/>
      <c r="AV144" s="128"/>
      <c r="AW144" s="128"/>
      <c r="AX144" s="128"/>
      <c r="AY144" s="128"/>
      <c r="AZ144" s="128"/>
      <c r="BA144" s="128"/>
      <c r="BB144" s="128"/>
      <c r="BC144" s="826"/>
      <c r="BF144" s="682" t="s">
        <v>1122</v>
      </c>
      <c r="BG144" s="682" t="s">
        <v>1145</v>
      </c>
      <c r="BH144" s="682" cm="1">
        <f t="array" ref="BH144">BH143</f>
        <v>0</v>
      </c>
    </row>
    <row r="145" spans="2:62" ht="0" hidden="1" customHeight="1" x14ac:dyDescent="0.15">
      <c r="E145" s="491">
        <v>15</v>
      </c>
      <c r="F145" s="3" t="str" cm="1">
        <f t="array" aca="1" ref="F145" ca="1">OFFSET(E145,-1,1)</f>
        <v>3</v>
      </c>
      <c r="H145" s="66" t="str">
        <f>"!=='не определено' &amp;&amp; row.l5 !== null"</f>
        <v>!=='не определено' &amp;&amp; row.l5 !== null</v>
      </c>
      <c r="T145" s="353" t="b">
        <f ca="1">F145&gt;0</f>
        <v>1</v>
      </c>
      <c r="W145" s="497" t="s">
        <v>1147</v>
      </c>
      <c r="X145" s="943"/>
      <c r="Y145" s="83"/>
      <c r="Z145" s="1046"/>
      <c r="AB145" s="494"/>
      <c r="AC145" s="145" t="s">
        <v>1124</v>
      </c>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6"/>
      <c r="BI145" s="491" t="s">
        <v>1145</v>
      </c>
    </row>
    <row r="146" spans="2:62" s="67" customFormat="1" ht="0" hidden="1" customHeight="1" x14ac:dyDescent="0.15">
      <c r="B146" s="338"/>
      <c r="E146" s="492">
        <v>15</v>
      </c>
      <c r="F146" s="3" t="str" cm="1">
        <f t="array" aca="1" ref="F146" ca="1">OFFSET(E146,-1,1)</f>
        <v>3</v>
      </c>
      <c r="G146" s="66" t="s">
        <v>532</v>
      </c>
      <c r="K146" s="602" t="str">
        <f ca="1">F121&amp;"6komm"</f>
        <v>36komm</v>
      </c>
      <c r="L146" s="606" cm="1">
        <f t="array" ref="L146">BC146</f>
        <v>0</v>
      </c>
      <c r="T146" s="353" t="b" cm="1">
        <f t="array" aca="1" ref="T146" ca="1">T145</f>
        <v>1</v>
      </c>
      <c r="X146" s="943"/>
      <c r="Z146" s="1046"/>
      <c r="AB146" s="124">
        <v>6</v>
      </c>
      <c r="AC146" s="125" t="s">
        <v>1148</v>
      </c>
      <c r="AD146" s="124" t="s">
        <v>828</v>
      </c>
      <c r="AE146" s="138"/>
      <c r="AF146" s="138"/>
      <c r="AG146" s="138"/>
      <c r="AH146" s="138"/>
      <c r="AI146" s="138"/>
      <c r="AJ146" s="774"/>
      <c r="AK146" s="774"/>
      <c r="AL146" s="138"/>
      <c r="AM146" s="138"/>
      <c r="AN146" s="138"/>
      <c r="AO146" s="138"/>
      <c r="AP146" s="138"/>
      <c r="AQ146" s="138"/>
      <c r="AR146" s="138"/>
      <c r="AS146" s="138"/>
      <c r="AT146" s="774"/>
      <c r="AU146" s="774"/>
      <c r="AV146" s="138"/>
      <c r="AW146" s="138"/>
      <c r="AX146" s="138"/>
      <c r="AY146" s="138"/>
      <c r="AZ146" s="138"/>
      <c r="BA146" s="138"/>
      <c r="BB146" s="138"/>
      <c r="BC146" s="113"/>
      <c r="BF146" s="685" t="s">
        <v>1149</v>
      </c>
      <c r="BG146" s="685"/>
      <c r="BH146" s="685"/>
      <c r="BI146" s="492"/>
      <c r="BJ146" s="492"/>
    </row>
    <row r="147" spans="2:62" s="67" customFormat="1" ht="0" hidden="1" customHeight="1" x14ac:dyDescent="0.15">
      <c r="B147" s="338"/>
      <c r="E147" s="492">
        <v>15</v>
      </c>
      <c r="F147" s="3" t="str" cm="1">
        <f t="array" aca="1" ref="F147" ca="1">OFFSET(E147,-1,1)</f>
        <v>3</v>
      </c>
      <c r="G147" s="66" t="s">
        <v>535</v>
      </c>
      <c r="K147" s="602" t="str">
        <f ca="1">F121&amp;"7komm"</f>
        <v>37komm</v>
      </c>
      <c r="L147" s="606" cm="1">
        <f t="array" ref="L147">BC147</f>
        <v>0</v>
      </c>
      <c r="T147" s="353" t="b" cm="1">
        <f t="array" aca="1" ref="T147" ca="1">T146</f>
        <v>1</v>
      </c>
      <c r="X147" s="943"/>
      <c r="Z147" s="1046"/>
      <c r="AB147" s="124">
        <v>7</v>
      </c>
      <c r="AC147" s="125" t="s">
        <v>1150</v>
      </c>
      <c r="AD147" s="124" t="s">
        <v>828</v>
      </c>
      <c r="AE147" s="138"/>
      <c r="AF147" s="138"/>
      <c r="AG147" s="138"/>
      <c r="AH147" s="138"/>
      <c r="AI147" s="138"/>
      <c r="AJ147" s="774"/>
      <c r="AK147" s="774"/>
      <c r="AL147" s="138"/>
      <c r="AM147" s="138"/>
      <c r="AN147" s="138"/>
      <c r="AO147" s="138"/>
      <c r="AP147" s="138"/>
      <c r="AQ147" s="138"/>
      <c r="AR147" s="138"/>
      <c r="AS147" s="138"/>
      <c r="AT147" s="774"/>
      <c r="AU147" s="774"/>
      <c r="AV147" s="138"/>
      <c r="AW147" s="138"/>
      <c r="AX147" s="138"/>
      <c r="AY147" s="138"/>
      <c r="AZ147" s="138"/>
      <c r="BA147" s="138"/>
      <c r="BB147" s="138"/>
      <c r="BC147" s="113"/>
      <c r="BF147" s="685" t="s">
        <v>1151</v>
      </c>
      <c r="BG147" s="685"/>
      <c r="BH147" s="685"/>
      <c r="BI147" s="492"/>
      <c r="BJ147" s="492"/>
    </row>
    <row r="148" spans="2:62" s="67" customFormat="1" ht="0" hidden="1" customHeight="1" x14ac:dyDescent="0.15">
      <c r="B148" s="338"/>
      <c r="E148" s="492">
        <v>15</v>
      </c>
      <c r="F148" s="3" t="str" cm="1">
        <f t="array" aca="1" ref="F148" ca="1">OFFSET(E148,-1,1)</f>
        <v>3</v>
      </c>
      <c r="G148" s="66" t="s">
        <v>586</v>
      </c>
      <c r="K148" s="602" t="str">
        <f ca="1">F121&amp;"8komm"</f>
        <v>38komm</v>
      </c>
      <c r="L148" s="606" cm="1">
        <f t="array" ref="L148">BC148</f>
        <v>0</v>
      </c>
      <c r="T148" s="353" t="b" cm="1">
        <f t="array" aca="1" ref="T148" ca="1">T147</f>
        <v>1</v>
      </c>
      <c r="X148" s="943"/>
      <c r="Z148" s="1046"/>
      <c r="AB148" s="124">
        <v>8</v>
      </c>
      <c r="AC148" s="125" t="s">
        <v>1152</v>
      </c>
      <c r="AD148" s="124" t="s">
        <v>828</v>
      </c>
      <c r="AE148" s="138"/>
      <c r="AF148" s="138"/>
      <c r="AG148" s="138"/>
      <c r="AH148" s="138"/>
      <c r="AI148" s="138"/>
      <c r="AJ148" s="774"/>
      <c r="AK148" s="774"/>
      <c r="AL148" s="138"/>
      <c r="AM148" s="138"/>
      <c r="AN148" s="138"/>
      <c r="AO148" s="138"/>
      <c r="AP148" s="138"/>
      <c r="AQ148" s="138"/>
      <c r="AR148" s="138"/>
      <c r="AS148" s="138"/>
      <c r="AT148" s="774"/>
      <c r="AU148" s="774"/>
      <c r="AV148" s="138"/>
      <c r="AW148" s="138"/>
      <c r="AX148" s="138"/>
      <c r="AY148" s="138"/>
      <c r="AZ148" s="138"/>
      <c r="BA148" s="138"/>
      <c r="BB148" s="138"/>
      <c r="BC148" s="113"/>
      <c r="BF148" s="685" t="s">
        <v>1153</v>
      </c>
      <c r="BG148" s="685"/>
      <c r="BH148" s="685"/>
      <c r="BI148" s="492"/>
      <c r="BJ148" s="492"/>
    </row>
    <row r="149" spans="2:62" s="67" customFormat="1" ht="0" hidden="1" customHeight="1" x14ac:dyDescent="0.15">
      <c r="B149" s="338"/>
      <c r="E149" s="492">
        <v>15</v>
      </c>
      <c r="F149" s="3" t="str" cm="1">
        <f t="array" aca="1" ref="F149" ca="1">OFFSET(E149,-1,1)</f>
        <v>3</v>
      </c>
      <c r="G149" s="66"/>
      <c r="K149" s="602" t="str">
        <f ca="1">F121&amp;"9komm"</f>
        <v>39komm</v>
      </c>
      <c r="L149" s="606" cm="1">
        <f t="array" ref="L149">BC149</f>
        <v>0</v>
      </c>
      <c r="T149" s="353" t="b" cm="1">
        <f t="array" aca="1" ref="T149" ca="1">T148</f>
        <v>1</v>
      </c>
      <c r="X149" s="943"/>
      <c r="Z149" s="1046"/>
      <c r="AB149" s="124">
        <v>9</v>
      </c>
      <c r="AC149" s="125" t="s">
        <v>1154</v>
      </c>
      <c r="AD149" s="124" t="s">
        <v>828</v>
      </c>
      <c r="AE149" s="138"/>
      <c r="AF149" s="138"/>
      <c r="AG149" s="138"/>
      <c r="AH149" s="138"/>
      <c r="AI149" s="138"/>
      <c r="AJ149" s="774"/>
      <c r="AK149" s="774"/>
      <c r="AL149" s="138"/>
      <c r="AM149" s="138"/>
      <c r="AN149" s="138"/>
      <c r="AO149" s="138"/>
      <c r="AP149" s="138"/>
      <c r="AQ149" s="138"/>
      <c r="AR149" s="138"/>
      <c r="AS149" s="138"/>
      <c r="AT149" s="774"/>
      <c r="AU149" s="774"/>
      <c r="AV149" s="138"/>
      <c r="AW149" s="138"/>
      <c r="AX149" s="138"/>
      <c r="AY149" s="138"/>
      <c r="AZ149" s="138"/>
      <c r="BA149" s="138"/>
      <c r="BB149" s="138"/>
      <c r="BC149" s="113"/>
      <c r="BF149" s="685" t="s">
        <v>1155</v>
      </c>
      <c r="BG149" s="685"/>
      <c r="BH149" s="685"/>
      <c r="BI149" s="492"/>
      <c r="BJ149" s="492"/>
    </row>
    <row r="150" spans="2:62" ht="10.15" customHeight="1" x14ac:dyDescent="0.15">
      <c r="E150" s="491">
        <v>10.5</v>
      </c>
      <c r="U150" s="38" t="s">
        <v>176</v>
      </c>
      <c r="V150" s="56" t="s">
        <v>1160</v>
      </c>
    </row>
    <row r="151" spans="2:62" ht="14.65" customHeight="1" x14ac:dyDescent="0.15">
      <c r="E151" s="491">
        <v>15</v>
      </c>
      <c r="AA151" s="17"/>
      <c r="AB151" s="993" t="s">
        <v>408</v>
      </c>
      <c r="AC151" s="993"/>
      <c r="AD151" s="993"/>
      <c r="AE151" s="993"/>
      <c r="AF151" s="993"/>
      <c r="AG151" s="993"/>
      <c r="AH151" s="993"/>
      <c r="AI151" s="1024"/>
      <c r="AJ151" s="1024"/>
      <c r="AK151" s="1024"/>
      <c r="AL151" s="1024"/>
      <c r="AM151" s="1024"/>
      <c r="AN151" s="1024"/>
      <c r="AO151" s="1024"/>
      <c r="AP151" s="1024"/>
      <c r="AQ151" s="1024"/>
      <c r="AR151" s="1024"/>
      <c r="AS151" s="1024"/>
      <c r="AT151" s="1024"/>
      <c r="AU151" s="1024"/>
      <c r="AV151" s="1024"/>
      <c r="AW151" s="1024"/>
      <c r="AX151" s="1024"/>
      <c r="AY151" s="1024"/>
      <c r="AZ151" s="1024"/>
      <c r="BA151" s="1024"/>
      <c r="BB151" s="1024"/>
      <c r="BC151" s="1024"/>
      <c r="BD151" s="17"/>
    </row>
    <row r="152" spans="2:62" ht="14.65" customHeight="1" x14ac:dyDescent="0.15">
      <c r="E152" s="491">
        <v>15</v>
      </c>
      <c r="AA152" s="481"/>
      <c r="AB152" s="1025"/>
      <c r="AC152" s="1025"/>
      <c r="AD152" s="1025"/>
      <c r="AE152" s="1025"/>
      <c r="AF152" s="1025"/>
      <c r="AG152" s="1025"/>
      <c r="AH152" s="1025"/>
      <c r="AI152" s="1026"/>
      <c r="AJ152" s="1038"/>
      <c r="AK152" s="1038"/>
      <c r="AL152" s="1038"/>
      <c r="AM152" s="1038"/>
      <c r="AN152" s="1038"/>
      <c r="AO152" s="1038"/>
      <c r="AP152" s="1038"/>
      <c r="AQ152" s="1038"/>
      <c r="AR152" s="1038"/>
      <c r="AS152" s="1026"/>
      <c r="AT152" s="1038"/>
      <c r="AU152" s="1038"/>
      <c r="AV152" s="1038"/>
      <c r="AW152" s="1038"/>
      <c r="AX152" s="1038"/>
      <c r="AY152" s="1038"/>
      <c r="AZ152" s="1038"/>
      <c r="BA152" s="1038"/>
      <c r="BB152" s="1038"/>
      <c r="BC152" s="1026"/>
      <c r="BD152" s="17"/>
    </row>
    <row r="153" spans="2:62" ht="14.65" hidden="1" customHeight="1" x14ac:dyDescent="0.15">
      <c r="E153" s="491">
        <v>15</v>
      </c>
      <c r="T153" s="353" t="b">
        <f>ROW(W153)&gt;ROW(W$153)</f>
        <v>0</v>
      </c>
      <c r="W153" s="517" t="s">
        <v>172</v>
      </c>
      <c r="AA153" s="489" t="s">
        <v>173</v>
      </c>
      <c r="AB153" s="1037" t="s">
        <v>225</v>
      </c>
      <c r="AC153" s="1037"/>
      <c r="AD153" s="1037"/>
      <c r="AE153" s="1037"/>
      <c r="AF153" s="1037"/>
      <c r="AG153" s="1037"/>
      <c r="AH153" s="1037"/>
      <c r="AI153" s="1026"/>
      <c r="AJ153" s="1038"/>
      <c r="AK153" s="1038"/>
      <c r="AL153" s="1038"/>
      <c r="AM153" s="1038"/>
      <c r="AN153" s="1038"/>
      <c r="AO153" s="1038"/>
      <c r="AP153" s="1038"/>
      <c r="AQ153" s="1038"/>
      <c r="AR153" s="1038"/>
      <c r="AS153" s="1026"/>
      <c r="AT153" s="1038"/>
      <c r="AU153" s="1038"/>
      <c r="AV153" s="1038"/>
      <c r="AW153" s="1038"/>
      <c r="AX153" s="1038"/>
      <c r="AY153" s="1038"/>
      <c r="AZ153" s="1038"/>
      <c r="BA153" s="1038"/>
      <c r="BB153" s="1038"/>
      <c r="BC153" s="1038"/>
      <c r="BD153" s="17"/>
    </row>
    <row r="154" spans="2:62" ht="14.65" customHeight="1" x14ac:dyDescent="0.15">
      <c r="E154" s="491">
        <v>15</v>
      </c>
      <c r="W154" s="517" t="s">
        <v>419</v>
      </c>
      <c r="AA154" s="17"/>
      <c r="AB154" s="485"/>
      <c r="AC154" s="382" t="s">
        <v>420</v>
      </c>
      <c r="AD154" s="218"/>
      <c r="AE154" s="218"/>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20"/>
      <c r="BD154" s="17"/>
    </row>
    <row r="155" spans="2:62" ht="10.9" customHeight="1" x14ac:dyDescent="0.15">
      <c r="E155" s="491">
        <v>11.25</v>
      </c>
      <c r="BD155" s="22"/>
    </row>
  </sheetData>
  <sheetProtection formatColumns="0" formatRows="0" insertRows="0" deleteColumns="0" deleteRows="0" sort="0" autoFilter="0"/>
  <mergeCells count="57">
    <mergeCell ref="X120:X149"/>
    <mergeCell ref="Z120:Z149"/>
    <mergeCell ref="Y122:Y124"/>
    <mergeCell ref="AA122:AA124"/>
    <mergeCell ref="Y127:Y129"/>
    <mergeCell ref="AA127:AA129"/>
    <mergeCell ref="Y132:Y134"/>
    <mergeCell ref="AA132:AA134"/>
    <mergeCell ref="Y137:Y139"/>
    <mergeCell ref="AA137:AA139"/>
    <mergeCell ref="Y142:Y144"/>
    <mergeCell ref="AA142:AA144"/>
    <mergeCell ref="X87:X119"/>
    <mergeCell ref="Z87:Z119"/>
    <mergeCell ref="Y89:Y91"/>
    <mergeCell ref="AA89:AA91"/>
    <mergeCell ref="Y94:Y96"/>
    <mergeCell ref="AA94:AA96"/>
    <mergeCell ref="Y99:Y101"/>
    <mergeCell ref="AA99:AA101"/>
    <mergeCell ref="Y104:Y106"/>
    <mergeCell ref="AA104:AA106"/>
    <mergeCell ref="Y112:Y114"/>
    <mergeCell ref="AA112:AA114"/>
    <mergeCell ref="Y107:Y109"/>
    <mergeCell ref="AA107:AA109"/>
    <mergeCell ref="X57:X86"/>
    <mergeCell ref="Z57:Z86"/>
    <mergeCell ref="Y59:Y61"/>
    <mergeCell ref="AA59:AA61"/>
    <mergeCell ref="Y64:Y66"/>
    <mergeCell ref="AA64:AA66"/>
    <mergeCell ref="Y69:Y71"/>
    <mergeCell ref="AA69:AA71"/>
    <mergeCell ref="Y74:Y76"/>
    <mergeCell ref="AA74:AA76"/>
    <mergeCell ref="Y79:Y81"/>
    <mergeCell ref="AA79:AA81"/>
    <mergeCell ref="AB153:BC153"/>
    <mergeCell ref="AB151:BC151"/>
    <mergeCell ref="AB152:BC152"/>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08:BB109 BB113:BB114 BB116:BB119 BB123:BB124 BB128:BB129 BB133:BB134 BB138:BB139 BB143:BB144 BB146:BB149 BA53:BA56 BA60:BA61 BA65:BA66 BA70:BA71 BA75:BA76 BA80:BA81 BA83:BA86 BA90:BA91 BA95:BA96 BA100:BA101 BA105:BA106 BA108:BA109 BA113:BA114 BA116:BA119 BA123:BA124 BA128:BA129 BA133:BA134 BA138:BA139 BA143:BA144 BA146:BA149 AZ53:AZ56 AZ60:AZ61 AZ65:AZ66 AZ70:AZ71 AZ75:AZ76 AZ80:AZ81 AZ83:AZ86 AZ90:AZ91 AZ95:AZ96 AZ100:AZ101 AZ105:AZ106 AZ108:AZ109 AZ113:AZ114 AZ116:AZ119 AZ123:AZ124 AZ128:AZ129 AZ133:AZ134 AZ138:AZ139 AZ143:AZ144 AZ146:AZ149 AY53:AY56 AY60:AY61 AY65:AY66 AY70:AY71 AY75:AY76 AY80:AY81 AY83:AY86 AY90:AY91 AY95:AY96 AY100:AY101 AY105:AY106 AY108:AY109 AY113:AY114 AY116:AY119 AY123:AY124 AY128:AY129 AY133:AY134 AY138:AY139 AY143:AY144 AY146:AY149 AX53:AX56 AX60:AX61 AX65:AX66 AX70:AX71 AX75:AX76 AX80:AX81 AX83:AX86 AX90:AX91 AX95:AX96 AX100:AX101 AX105:AX106 AX108:AX109 AX113:AX114 AX116:AX119 AX123:AX124 AX128:AX129 AX133:AX134 AX138:AX139 AX143:AX144 AX146:AX149 AW53:AW56 AW60:AW61 AW65:AW66 AW70:AW71 AW75:AW76 AW80:AW81 AW83:AW86 AW90:AW91 AW95:AW96 AW100:AW101 AW105:AW106 AW108:AW109 AW113:AW114 AW116:AW119 AW123:AW124 AW128:AW129 AW133:AW134 AW138:AW139 AW143:AW144 AW146:AW149 AV53:AV56 AV60:AV61 AV65:AV66 AV70:AV71 AV75:AV76 AV80:AV81 AV83:AV86 AV90:AV91 AV95:AV96 AV100:AV101 AV105:AV106 AV108:AV109 AV113:AV114 AV116:AV119 AV123:AV124 AV128:AV129 AV133:AV134 AV138:AV139 AV143:AV144 AV146:AV149 AU53:AU56 AU60:AU61 AU65:AU66 AU70:AU71 AU75:AU76 AU80:AU81 AU83:AU86 AU90:AU91 AU95:AU96 AU100:AU101 AU105:AU106 AU108:AU109 AU113:AU114 AU116:AU119 AU123:AU124 AU128:AU129 AU133:AU134 AU138:AU139 AU143:AU144 AU146:AU149 AT53:AT56 AT60:AT61 AT65:AT66 AT70:AT71 AT75:AT76 AT80:AT81 AT83:AT86 AT90:AT91 AT95:AT96 AT100:AT101 AT105:AT106 AT108:AT109 AT113:AT114 AT116:AT119 AT123:AT124 AT128:AT129 AT133:AT134 AT138:AT139 AT143:AT144 AT146:AT149 AS53:AS56 AS60:AS61 AS65:AS66 AS70:AS71 AS75:AS76 AS80:AS81 AS83:AS86 AS90:AS91 AS95:AS96 AS100:AS101 AS105:AS106 AS108:AS109 AS113:AS114 AS116:AS119 AS123:AS124 AS128:AS129 AS133:AS134 AS138:AS139 AS143:AS144 AS146:AS149 AR53:AR56 AR60:AR61 AR65:AR66 AR70:AR71 AR75:AR76 AR80:AR81 AR83:AR86 AR90:AR91 AR95:AR96 AR100:AR101 AR105:AR106 AR108:AR109 AR113:AR114 AR116:AR119 AR123:AR124 AR128:AR129 AR133:AR134 AR138:AR139 AR143:AR144 AR146:AR149 AQ53:AQ56 AQ60:AQ61 AQ65:AQ66 AQ70:AQ71 AQ75:AQ76 AQ80:AQ81 AQ83:AQ86 AQ90:AQ91 AQ95:AQ96 AQ100:AQ101 AQ105:AQ106 AQ108:AQ109 AQ113:AQ114 AQ116:AQ119 AQ123:AQ124 AQ128:AQ129 AQ133:AQ134 AQ138:AQ139 AQ143:AQ144 AQ146:AQ149 AP53:AP56 AP60:AP61 AP65:AP66 AP70:AP71 AP75:AP76 AP80:AP81 AP83:AP86 AP90:AP91 AP95:AP96 AP100:AP101 AP105:AP106 AP108:AP109 AP113:AP114 AP116:AP119 AP123:AP124 AP128:AP129 AP133:AP134 AP138:AP139 AP143:AP144 AP146:AP149 AO53:AO56 AO60:AO61 AO65:AO66 AO70:AO71 AO75:AO76 AO80:AO81 AO83:AO86 AO90:AO91 AO95:AO96 AO100:AO101 AO105:AO106 AO108:AO109 AO113:AO114 AO116:AO119 AO123:AO124 AO128:AO129 AO133:AO134 AO138:AO139 AO143:AO144 AO146:AO149 AN53:AN56 AN60:AN61 AN65:AN66 AN70:AN71 AN75:AN76 AN80:AN81 AN83:AN86 AN90:AN91 AN95:AN96 AN100:AN101 AN105:AN106 AN108:AN109 AN113:AN114 AN116:AN119 AN123:AN124 AN128:AN129 AN133:AN134 AN138:AN139 AN143:AN144 AN146:AN149 AM53:AM56 AM60:AM61 AM65:AM66 AM70:AM71 AM75:AM76 AM80:AM81 AM83:AM86 AM90:AM91 AM95:AM96 AM100:AM101 AM105:AM106 AM108:AM109 AM113:AM114 AM116:AM119 AM123:AM124 AM128:AM129 AM133:AM134 AM138:AM139 AM143:AM144 AM146:AM149 AL53:AL56 AL60:AL61 AL65:AL66 AL70:AL71 AL75:AL76 AL80:AL81 AL83:AL86 AL90:AL91 AL95:AL96 AL100:AL101 AL105:AL106 AL108:AL109 AL113:AL114 AL116:AL119 AL123:AL124 AL128:AL129 AL133:AL134 AL138:AL139 AL143:AL144 AL146:AL149 AK53:AK56 AK60:AK61 AK65:AK66 AK70:AK71 AK75:AK76 AK80:AK81 AK83:AK86 AK90:AK91 AK95:AK96 AK100:AK101 AK105:AK106 AK108:AK109 AK113:AK114 AK116:AK119 AK123:AK124 AK128:AK129 AK133:AK134 AK138:AK139 AK143:AK144 AK146:AK149 AJ53:AJ56 AJ60:AJ61 AJ65:AJ66 AJ70:AJ71 AJ75:AJ76 AJ80:AJ81 AJ83:AJ86 AJ90:AJ91 AJ95:AJ96 AJ100:AJ101 AJ105:AJ106 AJ108:AJ109 AJ113:AJ114 AJ116:AJ119 AJ123:AJ124 AJ128:AJ129 AJ133:AJ134 AJ138:AJ139 AJ143:AJ144 AJ146:AJ149 AI53:AI56 AI60:AI61 AI65:AI66 AI70:AI71 AI75:AI76 AI80:AI81 AI83:AI86 AI90:AI91 AI95:AI96 AI100:AI101 AI105:AI106 AI108:AI109 AI113:AI114 AI116:AI119 AI123:AI124 AI128:AI129 AI133:AI134 AI138:AI139 AI143:AI144 AI146:AI149 AH53:AH56 AH60:AH61 AH65:AH66 AH70:AH71 AH75:AH76 AH80:AH81 AH83:AH86 AH90:AH91 AH95:AH96 AH100:AH101 AH105:AH106 AH108:AH109 AH113:AH114 AH116:AH119 AH123:AH124 AH128:AH129 AH133:AH134 AH138:AH139 AH143:AH144 AH146:AH149 AG53:AG56 AG60:AG61 AG65:AG66 AG70:AG71 AG75:AG76 AG80:AG81 AG83:AG86 AG90:AG91 AG95:AG96 AG100:AG101 AG105:AG106 AG108:AG109 AG113:AG114 AG116:AG119 AG123:AG124 AG128:AG129 AG133:AG134 AG138:AG139 AG143:AG144 AG146:AG149 AF53:AF56 AF60:AF61 AF65:AF66 AF70:AF71 AF75:AF76 AF80:AF81 AF83:AF86 AF90:AF91 AF95:AF96 AF100:AF101 AF105:AF106 AF108:AF109 AF113:AF114 AF116:AF119 AF123:AF124 AF128:AF129 AF133:AF134 AF138:AF139 AF143:AF144 AF146:AF149 AE53:AE56 AE60:AE61 AE65:AE66 AE70:AE71 AE75:AE76 AE80:AE81 AE83:AE86 AE90:AE91 AE95:AE96 AE100:AE101 AE105:AE106 AE108:AE109 AE113:AE114 AE116:AE119 AE123:AE124 AE128:AE129 AE133:AE134 AE138:AE139 AE143:AE144 AE146:AE14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B55C8-CB59-3168-1878-8F13E259F018}">
  <sheetPr>
    <tabColor rgb="FF002060"/>
    <outlinePr summaryBelow="0"/>
    <pageSetUpPr fitToPage="1"/>
  </sheetPr>
  <dimension ref="A1:AR13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6" width="3.5703125" style="17" hidden="1" customWidth="1"/>
    <col min="7" max="7" width="9.85546875" style="365" hidden="1" customWidth="1"/>
    <col min="8" max="10" width="3.5703125" style="17" hidden="1" customWidth="1"/>
    <col min="11" max="11" width="6.42578125" style="365" hidden="1" customWidth="1"/>
    <col min="12" max="12" width="3.5703125" style="365"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1" hidden="1"/>
    <col min="43" max="44" width="9.140625" style="461" hidden="1"/>
  </cols>
  <sheetData>
    <row r="1" spans="1:44" ht="11.25" hidden="1" customHeight="1" x14ac:dyDescent="0.15">
      <c r="E1" s="17"/>
      <c r="F1" s="17" t="s">
        <v>320</v>
      </c>
      <c r="H1" s="17" t="s">
        <v>330</v>
      </c>
      <c r="I1" s="17" t="s">
        <v>355</v>
      </c>
      <c r="T1" s="353" t="s">
        <v>92</v>
      </c>
      <c r="U1" s="353" t="s">
        <v>97</v>
      </c>
      <c r="V1" s="353" t="s">
        <v>93</v>
      </c>
      <c r="W1" s="353" t="s">
        <v>94</v>
      </c>
      <c r="X1" s="353" t="s">
        <v>95</v>
      </c>
      <c r="Y1" s="355" t="s">
        <v>322</v>
      </c>
      <c r="Z1" s="353" t="s">
        <v>99</v>
      </c>
      <c r="AA1" s="355" t="s">
        <v>96</v>
      </c>
      <c r="AB1" s="315"/>
      <c r="AC1" s="354" t="s">
        <v>98</v>
      </c>
      <c r="AN1" s="671" t="s">
        <v>323</v>
      </c>
      <c r="AO1" s="671" t="s">
        <v>324</v>
      </c>
      <c r="AP1" s="671" t="s">
        <v>325</v>
      </c>
      <c r="AQ1" s="461" t="s">
        <v>328</v>
      </c>
      <c r="AR1" s="461" t="s">
        <v>329</v>
      </c>
    </row>
    <row r="2" spans="1:44" s="46" customFormat="1" ht="11.25" hidden="1" customHeight="1" x14ac:dyDescent="0.15">
      <c r="B2" s="341" t="s">
        <v>18</v>
      </c>
      <c r="G2" s="366"/>
      <c r="K2" s="366"/>
      <c r="L2" s="366"/>
      <c r="AI2" s="342" t="b">
        <f>AI11&lt;=last_year_vis</f>
        <v>1</v>
      </c>
      <c r="AJ2" s="342" t="b">
        <f>AJ11&lt;=last_year_vis</f>
        <v>1</v>
      </c>
      <c r="AN2" s="672"/>
      <c r="AO2" s="672"/>
      <c r="AP2" s="672"/>
      <c r="AQ2" s="677"/>
      <c r="AR2" s="677"/>
    </row>
    <row r="3" spans="1:44" ht="11.25" hidden="1" customHeight="1" x14ac:dyDescent="0.15">
      <c r="E3" s="17"/>
    </row>
    <row r="4" spans="1:44" ht="11.25" hidden="1" customHeight="1" x14ac:dyDescent="0.15">
      <c r="E4" s="17"/>
    </row>
    <row r="5" spans="1:44" s="461" customFormat="1" ht="11.25" hidden="1" customHeight="1" x14ac:dyDescent="0.15">
      <c r="A5" s="17"/>
      <c r="B5" s="46"/>
      <c r="C5" s="17"/>
      <c r="D5" s="17"/>
      <c r="E5" s="461" t="s">
        <v>19</v>
      </c>
      <c r="G5" s="498"/>
      <c r="K5" s="498"/>
      <c r="L5" s="498"/>
      <c r="R5" s="447"/>
      <c r="AA5" s="461">
        <v>3</v>
      </c>
      <c r="AB5" s="461">
        <v>11</v>
      </c>
      <c r="AC5" s="461">
        <v>56.71</v>
      </c>
      <c r="AD5" s="461">
        <v>12</v>
      </c>
      <c r="AE5" s="461">
        <v>13</v>
      </c>
      <c r="AF5" s="461">
        <v>13</v>
      </c>
      <c r="AG5" s="461">
        <v>13</v>
      </c>
      <c r="AH5" s="461">
        <v>13</v>
      </c>
      <c r="AI5" s="461">
        <v>13</v>
      </c>
      <c r="AJ5" s="461">
        <v>13</v>
      </c>
      <c r="AK5" s="461">
        <v>20</v>
      </c>
      <c r="AL5" s="461">
        <v>3</v>
      </c>
      <c r="AN5" s="671"/>
      <c r="AO5" s="671"/>
      <c r="AP5" s="671"/>
    </row>
    <row r="6" spans="1:44" ht="11.25" hidden="1" customHeight="1" x14ac:dyDescent="0.15"/>
    <row r="7" spans="1:44" s="671" customFormat="1" ht="11.25" hidden="1" customHeight="1" x14ac:dyDescent="0.15">
      <c r="A7" s="671" t="s">
        <v>363</v>
      </c>
      <c r="B7" s="672"/>
      <c r="G7" s="679"/>
      <c r="K7" s="679"/>
      <c r="L7" s="679"/>
      <c r="R7" s="673"/>
      <c r="AE7" s="671" cm="1">
        <f t="array" ref="AE7">AE11</f>
        <v>2024</v>
      </c>
      <c r="AF7" s="671" cm="1">
        <f t="array" ref="AF7">AF11</f>
        <v>2024</v>
      </c>
      <c r="AG7" s="671" cm="1">
        <f t="array" ref="AG7">AG11</f>
        <v>2024</v>
      </c>
      <c r="AH7" s="671" cm="1">
        <f t="array" ref="AH7">AH11</f>
        <v>2025</v>
      </c>
      <c r="AI7" s="671" cm="1">
        <f t="array" ref="AI7">AI11</f>
        <v>2026</v>
      </c>
      <c r="AJ7" s="671" cm="1">
        <f t="array" ref="AJ7">AJ11</f>
        <v>2026</v>
      </c>
      <c r="AQ7" s="461"/>
      <c r="AR7" s="461"/>
    </row>
    <row r="8" spans="1:44" s="671" customFormat="1" ht="11.25" hidden="1" customHeight="1" x14ac:dyDescent="0.15">
      <c r="A8" s="671" t="s">
        <v>364</v>
      </c>
      <c r="B8" s="672"/>
      <c r="G8" s="679"/>
      <c r="K8" s="679"/>
      <c r="L8" s="679"/>
      <c r="R8" s="673"/>
      <c r="AE8" s="671" t="str" cm="1">
        <f t="array" ref="AE8">AE25</f>
        <v>Принято органом регулирования</v>
      </c>
      <c r="AF8" s="671" t="str" cm="1">
        <f t="array" ref="AF8">AF25</f>
        <v>Факт по данным организации</v>
      </c>
      <c r="AG8" s="671" t="str" cm="1">
        <f t="array" ref="AG8">AG25</f>
        <v>Факт, принятый органом регулирования</v>
      </c>
      <c r="AH8" s="671" t="str" cm="1">
        <f t="array" ref="AH8">AH25</f>
        <v>Принято органом регулирования</v>
      </c>
      <c r="AI8" s="671" t="str" cm="1">
        <f t="array" ref="AI8">AI25</f>
        <v>Предложение организации</v>
      </c>
      <c r="AJ8" s="671" t="str" cm="1">
        <f t="array" ref="AJ8">AJ25</f>
        <v>Принято органом регулирования</v>
      </c>
      <c r="AQ8" s="461"/>
      <c r="AR8" s="461"/>
    </row>
    <row r="9" spans="1:44" s="671" customFormat="1" ht="11.25" hidden="1" customHeight="1" x14ac:dyDescent="0.15">
      <c r="A9" s="671" t="s">
        <v>365</v>
      </c>
      <c r="B9" s="672"/>
      <c r="G9" s="679"/>
      <c r="K9" s="679"/>
      <c r="L9" s="679"/>
      <c r="R9" s="673"/>
      <c r="AK9" s="671" t="str" cm="1">
        <f t="array" ref="AK9">AK24</f>
        <v>Ссылка на правовую норму (основание для принятия показателя в расчет тарифа)</v>
      </c>
      <c r="AQ9" s="461"/>
      <c r="AR9" s="461"/>
    </row>
    <row r="10" spans="1:44" s="671" customFormat="1" ht="11.25" hidden="1" customHeight="1" x14ac:dyDescent="0.15">
      <c r="A10" s="671" t="s">
        <v>337</v>
      </c>
      <c r="B10" s="672"/>
      <c r="G10" s="679"/>
      <c r="K10" s="679"/>
      <c r="L10" s="679"/>
      <c r="R10" s="673"/>
      <c r="AC10" s="671" t="s">
        <v>325</v>
      </c>
      <c r="AQ10" s="461"/>
      <c r="AR10" s="461"/>
    </row>
    <row r="11" spans="1:44" ht="11.25" hidden="1" customHeight="1" x14ac:dyDescent="0.15">
      <c r="A11" s="17" t="s">
        <v>358</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359</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366</v>
      </c>
      <c r="AC18" s="17" t="s">
        <v>193</v>
      </c>
    </row>
    <row r="19" spans="1:44" ht="11.25" hidden="1" customHeight="1" x14ac:dyDescent="0.15"/>
    <row r="20" spans="1:44" ht="11.25" hidden="1" customHeight="1" x14ac:dyDescent="0.15"/>
    <row r="21" spans="1:44" ht="14.65" customHeight="1" x14ac:dyDescent="0.15">
      <c r="E21" s="461">
        <v>15</v>
      </c>
      <c r="AA21" s="59"/>
      <c r="AC21" s="3" t="str" cm="1">
        <f t="array" ref="AC21">tpl_title</f>
        <v>Кемеровская область / 2026 / КАО "Азот" (ИНН:4205000908, КПП:997550001) / ДПР: 2024-2028</v>
      </c>
    </row>
    <row r="22" spans="1:44" s="59" customFormat="1" ht="19.7" customHeight="1" x14ac:dyDescent="0.15">
      <c r="B22" s="46"/>
      <c r="E22" s="462">
        <v>20.25</v>
      </c>
      <c r="G22" s="365"/>
      <c r="K22" s="365"/>
      <c r="L22" s="365"/>
      <c r="R22" s="3"/>
      <c r="AB22" s="225" t="s">
        <v>1161</v>
      </c>
      <c r="AC22" s="254"/>
      <c r="AD22" s="254"/>
      <c r="AE22" s="254"/>
      <c r="AF22" s="254"/>
      <c r="AG22" s="254"/>
      <c r="AH22" s="254"/>
      <c r="AI22" s="254"/>
      <c r="AJ22" s="254"/>
      <c r="AK22" s="254"/>
      <c r="AN22" s="674"/>
      <c r="AO22" s="674"/>
      <c r="AP22" s="674"/>
      <c r="AQ22" s="462"/>
      <c r="AR22" s="462"/>
    </row>
    <row r="23" spans="1:44" s="59" customFormat="1" ht="10.9" customHeight="1" x14ac:dyDescent="0.15">
      <c r="B23" s="46"/>
      <c r="E23" s="462">
        <v>11.25</v>
      </c>
      <c r="K23" s="365"/>
      <c r="L23" s="365"/>
      <c r="R23" s="267"/>
      <c r="AB23" s="581"/>
      <c r="AC23" s="582"/>
      <c r="AD23" s="582"/>
      <c r="AE23" s="582"/>
      <c r="AF23" s="582"/>
      <c r="AG23" s="582"/>
      <c r="AH23" s="582"/>
      <c r="AI23" s="582"/>
      <c r="AJ23" s="582"/>
      <c r="AK23" s="582"/>
      <c r="AN23" s="674"/>
      <c r="AO23" s="674"/>
      <c r="AP23" s="674"/>
      <c r="AQ23" s="462"/>
      <c r="AR23" s="462"/>
    </row>
    <row r="24" spans="1:44" s="60" customFormat="1" ht="14.65" customHeight="1" x14ac:dyDescent="0.15">
      <c r="B24" s="326"/>
      <c r="C24" s="64"/>
      <c r="D24" s="64"/>
      <c r="E24" s="583">
        <v>15</v>
      </c>
      <c r="F24" s="64"/>
      <c r="G24" s="64"/>
      <c r="H24" s="64"/>
      <c r="I24" s="64"/>
      <c r="J24" s="64"/>
      <c r="K24" s="367"/>
      <c r="L24" s="367"/>
      <c r="M24" s="64"/>
      <c r="N24" s="64"/>
      <c r="O24" s="64"/>
      <c r="P24" s="64"/>
      <c r="Q24" s="64"/>
      <c r="R24" s="267"/>
      <c r="S24" s="64"/>
      <c r="T24" s="64"/>
      <c r="U24" s="64"/>
      <c r="V24" s="64"/>
      <c r="W24" s="64"/>
      <c r="X24" s="64"/>
      <c r="Y24" s="64"/>
      <c r="Z24" s="64"/>
      <c r="AA24" s="64"/>
      <c r="AB24" s="993" t="s">
        <v>810</v>
      </c>
      <c r="AC24" s="1039" t="s">
        <v>193</v>
      </c>
      <c r="AD24" s="993" t="s">
        <v>368</v>
      </c>
      <c r="AE24" s="9" t="str">
        <f>god-2&amp;" год"</f>
        <v>2024 год</v>
      </c>
      <c r="AF24" s="730" t="str">
        <f>god-2&amp;" год"</f>
        <v>2024 год</v>
      </c>
      <c r="AG24" s="9" t="str">
        <f>god-2&amp;" год"</f>
        <v>2024 год</v>
      </c>
      <c r="AH24" s="9" t="str">
        <f>god-1&amp;" год"</f>
        <v>2025 год</v>
      </c>
      <c r="AI24" s="726" t="str">
        <f>god&amp;" год"</f>
        <v>2026 год</v>
      </c>
      <c r="AJ24" s="12" t="str">
        <f>god&amp;" год"</f>
        <v>2026 год</v>
      </c>
      <c r="AK24" s="993" t="s">
        <v>553</v>
      </c>
      <c r="AN24" s="669"/>
      <c r="AO24" s="669"/>
      <c r="AP24" s="669"/>
      <c r="AQ24" s="459"/>
      <c r="AR24" s="459"/>
    </row>
    <row r="25" spans="1:44" s="60" customFormat="1" ht="44.1" customHeight="1" x14ac:dyDescent="0.15">
      <c r="B25" s="326"/>
      <c r="C25" s="64"/>
      <c r="D25" s="64"/>
      <c r="E25" s="583">
        <v>45.25</v>
      </c>
      <c r="F25" s="64"/>
      <c r="G25" s="64"/>
      <c r="H25" s="64"/>
      <c r="I25" s="64"/>
      <c r="J25" s="64"/>
      <c r="K25" s="367"/>
      <c r="L25" s="367"/>
      <c r="M25" s="64"/>
      <c r="N25" s="64"/>
      <c r="O25" s="64"/>
      <c r="P25" s="64"/>
      <c r="Q25" s="64"/>
      <c r="R25" s="267"/>
      <c r="S25" s="64"/>
      <c r="T25" s="64"/>
      <c r="U25" s="64"/>
      <c r="V25" s="64"/>
      <c r="W25" s="64"/>
      <c r="X25" s="64"/>
      <c r="Y25" s="64"/>
      <c r="Z25" s="64"/>
      <c r="AA25" s="64"/>
      <c r="AB25" s="1052"/>
      <c r="AC25" s="1052"/>
      <c r="AD25" s="1052"/>
      <c r="AE25" s="9" t="s">
        <v>360</v>
      </c>
      <c r="AF25" s="730" t="s">
        <v>470</v>
      </c>
      <c r="AG25" s="9" t="s">
        <v>471</v>
      </c>
      <c r="AH25" s="9" t="s">
        <v>360</v>
      </c>
      <c r="AI25" s="731" t="s">
        <v>361</v>
      </c>
      <c r="AJ25" s="584" t="s">
        <v>360</v>
      </c>
      <c r="AK25" s="1052"/>
      <c r="AN25" s="669"/>
      <c r="AO25" s="669"/>
      <c r="AP25" s="669"/>
      <c r="AQ25" s="459"/>
      <c r="AR25" s="459"/>
    </row>
    <row r="26" spans="1:44" ht="11.25" hidden="1" customHeight="1" x14ac:dyDescent="0.15">
      <c r="A26" s="315"/>
      <c r="B26" s="479"/>
      <c r="C26" s="315"/>
      <c r="D26" s="315"/>
      <c r="E26" s="480">
        <v>0</v>
      </c>
      <c r="F26" s="315"/>
      <c r="G26" s="315"/>
      <c r="H26" s="315"/>
      <c r="I26" s="315"/>
      <c r="J26" s="315"/>
      <c r="K26" s="605"/>
      <c r="L26" s="605"/>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61"/>
      <c r="AO26" s="661"/>
      <c r="AP26" s="661"/>
      <c r="AQ26" s="663"/>
      <c r="AR26" s="454"/>
    </row>
    <row r="27" spans="1:44" s="62" customFormat="1" ht="14.65" hidden="1" customHeight="1" x14ac:dyDescent="0.15">
      <c r="B27" s="326"/>
      <c r="C27" s="209"/>
      <c r="D27" s="209"/>
      <c r="E27" s="585">
        <v>15</v>
      </c>
      <c r="F27" s="59" cm="1">
        <f t="array" ref="F27">X27</f>
        <v>0</v>
      </c>
      <c r="G27" s="384" t="s">
        <v>60</v>
      </c>
      <c r="H27" s="384"/>
      <c r="I27" s="384"/>
      <c r="J27" s="209"/>
      <c r="K27" s="364"/>
      <c r="L27" s="364"/>
      <c r="M27" s="209"/>
      <c r="N27" s="209"/>
      <c r="O27" s="209"/>
      <c r="P27" s="209"/>
      <c r="Q27" s="209"/>
      <c r="R27" s="209"/>
      <c r="S27" s="209"/>
      <c r="T27" s="353" t="b">
        <f>X27&gt;0</f>
        <v>0</v>
      </c>
      <c r="U27" s="209"/>
      <c r="V27" s="209" t="s">
        <v>264</v>
      </c>
      <c r="W27" s="209"/>
      <c r="X27" s="1050">
        <v>0</v>
      </c>
      <c r="Y27" s="209"/>
      <c r="Z27" s="1051"/>
      <c r="AA27" s="209"/>
      <c r="AB27" s="155" t="str" cm="1">
        <f t="array" ref="AB27">INDEX('Общие сведения'!$AG$179:$AG$236,MATCH($X27,'Общие сведения'!$Z$179:$Z$236,0))</f>
        <v xml:space="preserve">Тариф 0 () - </v>
      </c>
      <c r="AC27" s="586"/>
      <c r="AD27" s="586"/>
      <c r="AE27" s="587">
        <f t="shared" ref="AE27:AJ27" ca="1" si="1">AE28+AE33+AE34+AE39+AE40+AE45+AE46+AE51</f>
        <v>0</v>
      </c>
      <c r="AF27" s="587">
        <f t="shared" ca="1" si="1"/>
        <v>0</v>
      </c>
      <c r="AG27" s="587">
        <f t="shared" ca="1" si="1"/>
        <v>0</v>
      </c>
      <c r="AH27" s="587">
        <f t="shared" ca="1" si="1"/>
        <v>0</v>
      </c>
      <c r="AI27" s="587">
        <f t="shared" ca="1" si="1"/>
        <v>0</v>
      </c>
      <c r="AJ27" s="587">
        <f t="shared" ca="1" si="1"/>
        <v>0</v>
      </c>
      <c r="AK27" s="587"/>
      <c r="AN27" s="678"/>
      <c r="AO27" s="678"/>
      <c r="AP27" s="678"/>
      <c r="AQ27" s="179"/>
      <c r="AR27" s="179"/>
    </row>
    <row r="28" spans="1:44" s="62" customFormat="1" ht="21.95" hidden="1" customHeight="1" x14ac:dyDescent="0.15">
      <c r="B28" s="326"/>
      <c r="C28" s="209"/>
      <c r="D28" s="209"/>
      <c r="E28" s="585">
        <v>22.5</v>
      </c>
      <c r="F28" s="3" cm="1">
        <f t="array" aca="1" ref="F28" ca="1">OFFSET(E28,-1,1)</f>
        <v>0</v>
      </c>
      <c r="G28" s="267" t="s">
        <v>1162</v>
      </c>
      <c r="H28" s="384" t="s">
        <v>331</v>
      </c>
      <c r="I28" s="384"/>
      <c r="J28" s="209"/>
      <c r="K28" s="364" t="str">
        <f ca="1">F28&amp;"1komm"</f>
        <v>01komm</v>
      </c>
      <c r="L28" s="607" cm="1">
        <f t="array" ref="L28">AK28</f>
        <v>0</v>
      </c>
      <c r="M28" s="209"/>
      <c r="N28" s="209"/>
      <c r="O28" s="209"/>
      <c r="P28" s="209"/>
      <c r="Q28" s="209"/>
      <c r="R28" s="209"/>
      <c r="S28" s="209"/>
      <c r="T28" s="353" t="b" cm="1">
        <f t="array" ref="T28">T27</f>
        <v>0</v>
      </c>
      <c r="U28" s="209"/>
      <c r="V28" s="209"/>
      <c r="W28" s="209"/>
      <c r="X28" s="1050"/>
      <c r="Y28" s="209"/>
      <c r="Z28" s="1051"/>
      <c r="AA28" s="209"/>
      <c r="AB28" s="500">
        <v>1</v>
      </c>
      <c r="AC28" s="246" t="s">
        <v>1163</v>
      </c>
      <c r="AD28" s="9" t="s">
        <v>828</v>
      </c>
      <c r="AE28" s="781"/>
      <c r="AF28" s="781"/>
      <c r="AG28" s="781"/>
      <c r="AH28" s="781"/>
      <c r="AI28" s="126">
        <f>SUMIFS(AI29:AI32,$AD29:$AD32,$AD28)</f>
        <v>0</v>
      </c>
      <c r="AJ28" s="126">
        <f>SUMIFS(AJ29:AJ32,$AD29:$AD32,$AD28)</f>
        <v>0</v>
      </c>
      <c r="AK28" s="819"/>
      <c r="AN28" s="678" t="s">
        <v>1164</v>
      </c>
      <c r="AO28" s="678"/>
      <c r="AP28" s="678"/>
      <c r="AQ28" s="179"/>
      <c r="AR28" s="179"/>
    </row>
    <row r="29" spans="1:44" s="62" customFormat="1" ht="18.2" hidden="1" customHeight="1" x14ac:dyDescent="0.15">
      <c r="B29" s="326"/>
      <c r="C29" s="209"/>
      <c r="D29" s="209"/>
      <c r="E29" s="585">
        <v>18.75</v>
      </c>
      <c r="F29" s="3" cm="1">
        <f t="array" aca="1" ref="F29" ca="1">OFFSET(E29,-1,1)</f>
        <v>0</v>
      </c>
      <c r="G29" s="384"/>
      <c r="H29" s="384" t="s">
        <v>331</v>
      </c>
      <c r="I29" s="384" cm="1">
        <f t="array" ref="I29">AC29</f>
        <v>0</v>
      </c>
      <c r="J29" s="209"/>
      <c r="K29" s="364"/>
      <c r="L29" s="364"/>
      <c r="M29" s="209"/>
      <c r="N29" s="209"/>
      <c r="O29" s="209"/>
      <c r="P29" s="209"/>
      <c r="Q29" s="209"/>
      <c r="R29" s="209"/>
      <c r="S29" s="209"/>
      <c r="T29" s="353" t="b">
        <f ca="1">AND(F29&gt;0,Y29&gt;0)</f>
        <v>0</v>
      </c>
      <c r="U29" s="209"/>
      <c r="V29" s="209"/>
      <c r="W29" s="209" t="s">
        <v>172</v>
      </c>
      <c r="X29" s="1050"/>
      <c r="Y29" s="1050">
        <v>0</v>
      </c>
      <c r="Z29" s="1051"/>
      <c r="AA29" s="1048" t="s">
        <v>173</v>
      </c>
      <c r="AB29" s="7" t="str">
        <f>"1."&amp;Y29</f>
        <v>1.0</v>
      </c>
      <c r="AC29" s="780"/>
      <c r="AD29" s="9" t="s">
        <v>828</v>
      </c>
      <c r="AE29" s="9"/>
      <c r="AF29" s="9"/>
      <c r="AG29" s="9"/>
      <c r="AH29" s="9"/>
      <c r="AI29" s="128">
        <f>AI30*AI31*12/1000</f>
        <v>0</v>
      </c>
      <c r="AJ29" s="128">
        <f>AJ30*AJ31*12/1000</f>
        <v>0</v>
      </c>
      <c r="AK29" s="819"/>
      <c r="AN29" s="678" t="s">
        <v>1165</v>
      </c>
      <c r="AO29" s="678" t="s">
        <v>1166</v>
      </c>
      <c r="AP29" s="678" cm="1">
        <f t="array" ref="AP29">AC29</f>
        <v>0</v>
      </c>
      <c r="AQ29" s="179"/>
      <c r="AR29" s="179" t="b">
        <v>1</v>
      </c>
    </row>
    <row r="30" spans="1:44" s="62" customFormat="1" ht="14.65" hidden="1" customHeight="1" x14ac:dyDescent="0.15">
      <c r="B30" s="326"/>
      <c r="C30" s="209"/>
      <c r="D30" s="209"/>
      <c r="E30" s="585">
        <v>15</v>
      </c>
      <c r="F30" s="3" cm="1">
        <f t="array" aca="1" ref="F30" ca="1">OFFSET(E30,-1,1)</f>
        <v>0</v>
      </c>
      <c r="G30" s="384" t="s">
        <v>1167</v>
      </c>
      <c r="H30" s="384" t="str">
        <f>H29&amp;"_1"</f>
        <v>l1_1</v>
      </c>
      <c r="I30" s="384" cm="1">
        <f t="array" ref="I30">I29</f>
        <v>0</v>
      </c>
      <c r="J30" s="209"/>
      <c r="K30" s="364"/>
      <c r="L30" s="364"/>
      <c r="M30" s="209"/>
      <c r="N30" s="209"/>
      <c r="O30" s="209"/>
      <c r="P30" s="209"/>
      <c r="Q30" s="209"/>
      <c r="R30" s="209"/>
      <c r="S30" s="209"/>
      <c r="T30" s="353" t="b" cm="1">
        <f t="array" aca="1" ref="T30" ca="1">T29</f>
        <v>0</v>
      </c>
      <c r="U30" s="209"/>
      <c r="V30" s="209"/>
      <c r="W30" s="209"/>
      <c r="X30" s="1050"/>
      <c r="Y30" s="1050"/>
      <c r="Z30" s="1051"/>
      <c r="AA30" s="1048"/>
      <c r="AB30" s="500" t="str">
        <f>AB29&amp;".1"</f>
        <v>1.0.1</v>
      </c>
      <c r="AC30" s="134" t="s">
        <v>1168</v>
      </c>
      <c r="AD30" s="9" t="s">
        <v>1169</v>
      </c>
      <c r="AE30" s="9"/>
      <c r="AF30" s="9"/>
      <c r="AG30" s="9"/>
      <c r="AH30" s="9"/>
      <c r="AI30" s="141"/>
      <c r="AJ30" s="141"/>
      <c r="AK30" s="819"/>
      <c r="AN30" s="678" t="s">
        <v>1170</v>
      </c>
      <c r="AO30" s="678" t="s">
        <v>1166</v>
      </c>
      <c r="AP30" s="678" cm="1">
        <f t="array" ref="AP30">AP29</f>
        <v>0</v>
      </c>
      <c r="AQ30" s="179"/>
      <c r="AR30" s="179"/>
    </row>
    <row r="31" spans="1:44" s="62" customFormat="1" ht="14.65" hidden="1" customHeight="1" x14ac:dyDescent="0.15">
      <c r="B31" s="326"/>
      <c r="C31" s="209"/>
      <c r="D31" s="209"/>
      <c r="E31" s="585">
        <v>15</v>
      </c>
      <c r="F31" s="3" cm="1">
        <f t="array" aca="1" ref="F31" ca="1">OFFSET(E31,-1,1)</f>
        <v>0</v>
      </c>
      <c r="G31" s="384"/>
      <c r="H31" s="384" t="str">
        <f>H29&amp;"_2"</f>
        <v>l1_2</v>
      </c>
      <c r="I31" s="384" cm="1">
        <f t="array" ref="I31">I30</f>
        <v>0</v>
      </c>
      <c r="J31" s="209"/>
      <c r="K31" s="364"/>
      <c r="L31" s="364"/>
      <c r="M31" s="209"/>
      <c r="N31" s="209"/>
      <c r="O31" s="209"/>
      <c r="P31" s="209"/>
      <c r="Q31" s="209"/>
      <c r="R31" s="209"/>
      <c r="S31" s="209"/>
      <c r="T31" s="353" t="b" cm="1">
        <f t="array" aca="1" ref="T31" ca="1">T30</f>
        <v>0</v>
      </c>
      <c r="U31" s="209"/>
      <c r="V31" s="209"/>
      <c r="W31" s="209"/>
      <c r="X31" s="1050"/>
      <c r="Y31" s="1050"/>
      <c r="Z31" s="1051"/>
      <c r="AA31" s="1048"/>
      <c r="AB31" s="500" t="str">
        <f>AB29&amp;".2"</f>
        <v>1.0.2</v>
      </c>
      <c r="AC31" s="134" t="s">
        <v>1171</v>
      </c>
      <c r="AD31" s="9" t="s">
        <v>1172</v>
      </c>
      <c r="AE31" s="9"/>
      <c r="AF31" s="9"/>
      <c r="AG31" s="9"/>
      <c r="AH31" s="9"/>
      <c r="AI31" s="141"/>
      <c r="AJ31" s="141"/>
      <c r="AK31" s="819"/>
      <c r="AN31" s="678" t="s">
        <v>1173</v>
      </c>
      <c r="AO31" s="678" t="s">
        <v>1166</v>
      </c>
      <c r="AP31" s="678" cm="1">
        <f t="array" ref="AP31">AP30</f>
        <v>0</v>
      </c>
      <c r="AQ31" s="179"/>
      <c r="AR31" s="179"/>
    </row>
    <row r="32" spans="1:44" s="62" customFormat="1" ht="14.65" hidden="1" customHeight="1" x14ac:dyDescent="0.15">
      <c r="B32" s="326"/>
      <c r="C32" s="209"/>
      <c r="D32" s="209"/>
      <c r="E32" s="585">
        <v>15</v>
      </c>
      <c r="F32" s="3" cm="1">
        <f t="array" aca="1" ref="F32" ca="1">OFFSET(E32,-1,1)</f>
        <v>0</v>
      </c>
      <c r="G32" s="267"/>
      <c r="H32" s="384"/>
      <c r="I32" s="66" t="str">
        <f>"!=='не определено' &amp;&amp; row.l1 !== null"</f>
        <v>!=='не определено' &amp;&amp; row.l1 !== null</v>
      </c>
      <c r="J32" s="209"/>
      <c r="K32" s="364"/>
      <c r="L32" s="364"/>
      <c r="M32" s="209"/>
      <c r="N32" s="209"/>
      <c r="O32" s="209"/>
      <c r="P32" s="209"/>
      <c r="Q32" s="209"/>
      <c r="R32" s="209"/>
      <c r="S32" s="209"/>
      <c r="T32" s="353" t="b">
        <f ca="1">F32&gt;0</f>
        <v>0</v>
      </c>
      <c r="U32" s="209"/>
      <c r="V32" s="209"/>
      <c r="W32" s="517" t="s">
        <v>397</v>
      </c>
      <c r="X32" s="1050"/>
      <c r="Y32" s="588"/>
      <c r="Z32" s="1051"/>
      <c r="AA32" s="209"/>
      <c r="AB32" s="589"/>
      <c r="AC32" s="172" t="s">
        <v>176</v>
      </c>
      <c r="AD32" s="547"/>
      <c r="AE32" s="547"/>
      <c r="AF32" s="547"/>
      <c r="AG32" s="547"/>
      <c r="AH32" s="547"/>
      <c r="AI32" s="547"/>
      <c r="AJ32" s="547"/>
      <c r="AK32" s="548"/>
      <c r="AN32" s="678"/>
      <c r="AO32" s="678"/>
      <c r="AP32" s="678"/>
      <c r="AQ32" s="179" t="s">
        <v>1166</v>
      </c>
      <c r="AR32" s="179"/>
    </row>
    <row r="33" spans="2:44" s="62" customFormat="1" ht="21.95" hidden="1" customHeight="1" x14ac:dyDescent="0.15">
      <c r="B33" s="326"/>
      <c r="C33" s="209"/>
      <c r="D33" s="209"/>
      <c r="E33" s="585">
        <v>22.5</v>
      </c>
      <c r="F33" s="3" cm="1">
        <f t="array" aca="1" ref="F33" ca="1">OFFSET(E33,-1,1)</f>
        <v>0</v>
      </c>
      <c r="G33" s="267" t="s">
        <v>1174</v>
      </c>
      <c r="H33" s="384" t="s">
        <v>332</v>
      </c>
      <c r="I33" s="384"/>
      <c r="J33" s="209"/>
      <c r="K33" s="364" t="str">
        <f ca="1">F33&amp;"2komm"</f>
        <v>02komm</v>
      </c>
      <c r="L33" s="607" cm="1">
        <f t="array" ref="L33">AK33</f>
        <v>0</v>
      </c>
      <c r="M33" s="209"/>
      <c r="N33" s="209"/>
      <c r="O33" s="209"/>
      <c r="P33" s="209"/>
      <c r="Q33" s="209"/>
      <c r="R33" s="209"/>
      <c r="S33" s="209"/>
      <c r="T33" s="353" t="b" cm="1">
        <f t="array" aca="1" ref="T33" ca="1">T32</f>
        <v>0</v>
      </c>
      <c r="U33" s="209"/>
      <c r="V33" s="209"/>
      <c r="W33" s="209"/>
      <c r="X33" s="1050"/>
      <c r="Y33" s="588"/>
      <c r="Z33" s="1051"/>
      <c r="AA33" s="209"/>
      <c r="AB33" s="500" t="s">
        <v>285</v>
      </c>
      <c r="AC33" s="246" t="s">
        <v>1175</v>
      </c>
      <c r="AD33" s="9" t="s">
        <v>828</v>
      </c>
      <c r="AE33" s="781">
        <f ca="1">AE28*SUMIFS(INDEX(Сценарии!$AE$25:$BF$136,,MATCH(AE$13,Сценарии!$AE$8:$BF$8,0)),Сценарии!$F$25:$F$136,$F33,Сценарии!$G$25:$G$136,"СВФОТ")/100</f>
        <v>0</v>
      </c>
      <c r="AF33" s="781">
        <f ca="1">AF28*SUMIFS(INDEX(Сценарии!$AE$25:$BF$136,,MATCH(AF$13,Сценарии!$AE$8:$BF$8,0)),Сценарии!$F$25:$F$136,$F33,Сценарии!$G$25:$G$136,"СВФОТ")/100</f>
        <v>0</v>
      </c>
      <c r="AG33" s="781">
        <f ca="1">AG28*SUMIFS(INDEX(Сценарии!$AE$25:$BF$136,,MATCH(AG$13,Сценарии!$AE$8:$BF$8,0)),Сценарии!$F$25:$F$136,$F33,Сценарии!$G$25:$G$136,"СВФОТ")/100</f>
        <v>0</v>
      </c>
      <c r="AH33" s="781">
        <f ca="1">AH28*SUMIFS(INDEX(Сценарии!$AE$25:$BF$136,,MATCH(AH$13,Сценарии!$AE$8:$BF$8,0)),Сценарии!$F$25:$F$136,$F33,Сценарии!$G$25:$G$136,"СВФОТ")/100</f>
        <v>0</v>
      </c>
      <c r="AI33" s="141">
        <f ca="1">AI28*SUMIFS(INDEX(Сценарии!$AE$25:$BF$136,,MATCH(AI$13,Сценарии!$AE$8:$BF$8,0)),Сценарии!$F$25:$F$136,$F33,Сценарии!$G$25:$G$136,"СВФОТ")/100</f>
        <v>0</v>
      </c>
      <c r="AJ33" s="141">
        <f ca="1">AJ28*SUMIFS(INDEX(Сценарии!$AE$25:$BF$136,,MATCH(AJ$13,Сценарии!$AE$8:$BF$8,0)),Сценарии!$F$25:$F$136,$F33,Сценарии!$G$25:$G$136,"СВФОТ")/100</f>
        <v>0</v>
      </c>
      <c r="AK33" s="819"/>
      <c r="AN33" s="678" t="s">
        <v>1176</v>
      </c>
      <c r="AO33" s="678"/>
      <c r="AP33" s="678"/>
      <c r="AQ33" s="179"/>
      <c r="AR33" s="179"/>
    </row>
    <row r="34" spans="2:44" s="62" customFormat="1" ht="14.65" hidden="1" customHeight="1" x14ac:dyDescent="0.15">
      <c r="B34" s="326"/>
      <c r="C34" s="209"/>
      <c r="D34" s="209"/>
      <c r="E34" s="585">
        <v>15</v>
      </c>
      <c r="F34" s="3" cm="1">
        <f t="array" aca="1" ref="F34" ca="1">OFFSET(E34,-1,1)</f>
        <v>0</v>
      </c>
      <c r="G34" s="267" t="s">
        <v>1177</v>
      </c>
      <c r="H34" s="384" t="s">
        <v>333</v>
      </c>
      <c r="I34" s="384"/>
      <c r="J34" s="209"/>
      <c r="K34" s="364" t="str">
        <f ca="1">F34&amp;"3komm"</f>
        <v>03komm</v>
      </c>
      <c r="L34" s="607" cm="1">
        <f t="array" ref="L34">AK34</f>
        <v>0</v>
      </c>
      <c r="M34" s="209"/>
      <c r="N34" s="209"/>
      <c r="O34" s="209"/>
      <c r="P34" s="209"/>
      <c r="Q34" s="209"/>
      <c r="R34" s="209"/>
      <c r="S34" s="209"/>
      <c r="T34" s="353" t="b" cm="1">
        <f t="array" aca="1" ref="T34" ca="1">T33</f>
        <v>0</v>
      </c>
      <c r="U34" s="209"/>
      <c r="V34" s="209"/>
      <c r="W34" s="209"/>
      <c r="X34" s="1050"/>
      <c r="Y34" s="588"/>
      <c r="Z34" s="1051"/>
      <c r="AA34" s="209"/>
      <c r="AB34" s="500" t="s">
        <v>291</v>
      </c>
      <c r="AC34" s="246" t="s">
        <v>1178</v>
      </c>
      <c r="AD34" s="9" t="s">
        <v>828</v>
      </c>
      <c r="AE34" s="781"/>
      <c r="AF34" s="781"/>
      <c r="AG34" s="781"/>
      <c r="AH34" s="781"/>
      <c r="AI34" s="126">
        <f>SUMIFS(AI35:AI38,$AD35:$AD38,$AD34)</f>
        <v>0</v>
      </c>
      <c r="AJ34" s="126">
        <f>SUMIFS(AJ35:AJ38,$AD35:$AD38,$AD34)</f>
        <v>0</v>
      </c>
      <c r="AK34" s="819"/>
      <c r="AN34" s="678" t="s">
        <v>1179</v>
      </c>
      <c r="AO34" s="678"/>
      <c r="AP34" s="678"/>
      <c r="AQ34" s="179"/>
      <c r="AR34" s="179"/>
    </row>
    <row r="35" spans="2:44" s="62" customFormat="1" ht="18.2" hidden="1" customHeight="1" x14ac:dyDescent="0.15">
      <c r="B35" s="326"/>
      <c r="C35" s="209"/>
      <c r="D35" s="209"/>
      <c r="E35" s="585">
        <v>18.75</v>
      </c>
      <c r="F35" s="3" cm="1">
        <f t="array" aca="1" ref="F35" ca="1">OFFSET(E35,-1,1)</f>
        <v>0</v>
      </c>
      <c r="G35" s="384"/>
      <c r="H35" s="384" t="s">
        <v>333</v>
      </c>
      <c r="I35" s="384" cm="1">
        <f t="array" ref="I35">AC35</f>
        <v>0</v>
      </c>
      <c r="J35" s="209"/>
      <c r="K35" s="364"/>
      <c r="L35" s="364"/>
      <c r="M35" s="209"/>
      <c r="N35" s="209"/>
      <c r="O35" s="209"/>
      <c r="P35" s="209"/>
      <c r="Q35" s="209"/>
      <c r="R35" s="209"/>
      <c r="S35" s="209"/>
      <c r="T35" s="353" t="b">
        <f ca="1">AND(F35&gt;0,Y35&gt;0)</f>
        <v>0</v>
      </c>
      <c r="U35" s="209"/>
      <c r="V35" s="209"/>
      <c r="W35" s="209" t="s">
        <v>172</v>
      </c>
      <c r="X35" s="1050"/>
      <c r="Y35" s="1050">
        <v>0</v>
      </c>
      <c r="Z35" s="1051"/>
      <c r="AA35" s="1048" t="s">
        <v>173</v>
      </c>
      <c r="AB35" s="7" t="str">
        <f>"3."&amp;Y35</f>
        <v>3.0</v>
      </c>
      <c r="AC35" s="780"/>
      <c r="AD35" s="9" t="s">
        <v>828</v>
      </c>
      <c r="AE35" s="9"/>
      <c r="AF35" s="9"/>
      <c r="AG35" s="9"/>
      <c r="AH35" s="9"/>
      <c r="AI35" s="128">
        <f>AI36*AI37*12/1000</f>
        <v>0</v>
      </c>
      <c r="AJ35" s="128">
        <f>AJ36*AJ37*12/1000</f>
        <v>0</v>
      </c>
      <c r="AK35" s="819"/>
      <c r="AN35" s="678" t="s">
        <v>1165</v>
      </c>
      <c r="AO35" s="678" t="s">
        <v>1180</v>
      </c>
      <c r="AP35" s="678" cm="1">
        <f t="array" ref="AP35">AC35</f>
        <v>0</v>
      </c>
      <c r="AQ35" s="179"/>
      <c r="AR35" s="179" t="b">
        <v>1</v>
      </c>
    </row>
    <row r="36" spans="2:44" s="62" customFormat="1" ht="14.65" hidden="1" customHeight="1" x14ac:dyDescent="0.15">
      <c r="B36" s="326"/>
      <c r="C36" s="209"/>
      <c r="D36" s="209"/>
      <c r="E36" s="585">
        <v>15</v>
      </c>
      <c r="F36" s="3" cm="1">
        <f t="array" aca="1" ref="F36" ca="1">OFFSET(E36,-1,1)</f>
        <v>0</v>
      </c>
      <c r="G36" s="384" t="s">
        <v>1181</v>
      </c>
      <c r="H36" s="384" t="str">
        <f>H35&amp;"_1"</f>
        <v>l3_1</v>
      </c>
      <c r="I36" s="384" cm="1">
        <f t="array" ref="I36">I35</f>
        <v>0</v>
      </c>
      <c r="J36" s="209"/>
      <c r="K36" s="364"/>
      <c r="L36" s="364"/>
      <c r="M36" s="209"/>
      <c r="N36" s="209"/>
      <c r="O36" s="209"/>
      <c r="P36" s="209"/>
      <c r="Q36" s="209"/>
      <c r="R36" s="209"/>
      <c r="S36" s="209"/>
      <c r="T36" s="353" t="b" cm="1">
        <f t="array" aca="1" ref="T36" ca="1">T35</f>
        <v>0</v>
      </c>
      <c r="U36" s="209"/>
      <c r="V36" s="209"/>
      <c r="W36" s="209"/>
      <c r="X36" s="1050"/>
      <c r="Y36" s="1050"/>
      <c r="Z36" s="1051"/>
      <c r="AA36" s="1048"/>
      <c r="AB36" s="500" t="str">
        <f>AB35&amp;".1"</f>
        <v>3.0.1</v>
      </c>
      <c r="AC36" s="134" t="s">
        <v>1168</v>
      </c>
      <c r="AD36" s="9" t="s">
        <v>1169</v>
      </c>
      <c r="AE36" s="9"/>
      <c r="AF36" s="9"/>
      <c r="AG36" s="9"/>
      <c r="AH36" s="9"/>
      <c r="AI36" s="141"/>
      <c r="AJ36" s="141"/>
      <c r="AK36" s="819"/>
      <c r="AN36" s="678" t="s">
        <v>1170</v>
      </c>
      <c r="AO36" s="678" t="s">
        <v>1180</v>
      </c>
      <c r="AP36" s="678" cm="1">
        <f t="array" ref="AP36">AP35</f>
        <v>0</v>
      </c>
      <c r="AQ36" s="179"/>
      <c r="AR36" s="179"/>
    </row>
    <row r="37" spans="2:44" s="62" customFormat="1" ht="14.65" hidden="1" customHeight="1" x14ac:dyDescent="0.15">
      <c r="B37" s="326"/>
      <c r="C37" s="209"/>
      <c r="D37" s="209"/>
      <c r="E37" s="585">
        <v>15</v>
      </c>
      <c r="F37" s="3" cm="1">
        <f t="array" aca="1" ref="F37" ca="1">OFFSET(E37,-1,1)</f>
        <v>0</v>
      </c>
      <c r="G37" s="384"/>
      <c r="H37" s="384" t="str">
        <f>H35&amp;"_2"</f>
        <v>l3_2</v>
      </c>
      <c r="I37" s="384" cm="1">
        <f t="array" ref="I37">I36</f>
        <v>0</v>
      </c>
      <c r="J37" s="209"/>
      <c r="K37" s="364"/>
      <c r="L37" s="364"/>
      <c r="M37" s="209"/>
      <c r="N37" s="209"/>
      <c r="O37" s="209"/>
      <c r="P37" s="209"/>
      <c r="Q37" s="209"/>
      <c r="R37" s="209"/>
      <c r="S37" s="209"/>
      <c r="T37" s="353" t="b" cm="1">
        <f t="array" aca="1" ref="T37" ca="1">T36</f>
        <v>0</v>
      </c>
      <c r="U37" s="209"/>
      <c r="V37" s="209"/>
      <c r="W37" s="209"/>
      <c r="X37" s="1050"/>
      <c r="Y37" s="1050"/>
      <c r="Z37" s="1051"/>
      <c r="AA37" s="1048"/>
      <c r="AB37" s="500" t="str">
        <f>AB35&amp;".2"</f>
        <v>3.0.2</v>
      </c>
      <c r="AC37" s="134" t="s">
        <v>1171</v>
      </c>
      <c r="AD37" s="9" t="s">
        <v>1172</v>
      </c>
      <c r="AE37" s="9"/>
      <c r="AF37" s="9"/>
      <c r="AG37" s="9"/>
      <c r="AH37" s="9"/>
      <c r="AI37" s="141"/>
      <c r="AJ37" s="141"/>
      <c r="AK37" s="819"/>
      <c r="AN37" s="678" t="s">
        <v>1173</v>
      </c>
      <c r="AO37" s="678" t="s">
        <v>1180</v>
      </c>
      <c r="AP37" s="678" cm="1">
        <f t="array" ref="AP37">AP36</f>
        <v>0</v>
      </c>
      <c r="AQ37" s="179"/>
      <c r="AR37" s="179"/>
    </row>
    <row r="38" spans="2:44" s="62" customFormat="1" ht="14.65" hidden="1" customHeight="1" x14ac:dyDescent="0.15">
      <c r="B38" s="326"/>
      <c r="C38" s="209"/>
      <c r="D38" s="209"/>
      <c r="E38" s="585">
        <v>15</v>
      </c>
      <c r="F38" s="3" cm="1">
        <f t="array" aca="1" ref="F38" ca="1">OFFSET(E38,-1,1)</f>
        <v>0</v>
      </c>
      <c r="G38" s="267"/>
      <c r="H38" s="384"/>
      <c r="I38" s="66" t="str">
        <f>"!=='не определено' &amp;&amp; row.l3 !== null"</f>
        <v>!=='не определено' &amp;&amp; row.l3 !== null</v>
      </c>
      <c r="J38" s="209"/>
      <c r="K38" s="364"/>
      <c r="L38" s="364"/>
      <c r="M38" s="209"/>
      <c r="N38" s="209"/>
      <c r="O38" s="209"/>
      <c r="P38" s="209"/>
      <c r="Q38" s="209"/>
      <c r="R38" s="209"/>
      <c r="S38" s="209"/>
      <c r="T38" s="353" t="b">
        <f ca="1">F38&gt;0</f>
        <v>0</v>
      </c>
      <c r="U38" s="209"/>
      <c r="V38" s="209"/>
      <c r="W38" s="517" t="s">
        <v>919</v>
      </c>
      <c r="X38" s="1050"/>
      <c r="Y38" s="588"/>
      <c r="Z38" s="1051"/>
      <c r="AA38" s="209"/>
      <c r="AB38" s="589"/>
      <c r="AC38" s="172" t="s">
        <v>176</v>
      </c>
      <c r="AD38" s="547"/>
      <c r="AE38" s="547"/>
      <c r="AF38" s="547"/>
      <c r="AG38" s="547"/>
      <c r="AH38" s="547"/>
      <c r="AI38" s="547"/>
      <c r="AJ38" s="547"/>
      <c r="AK38" s="548"/>
      <c r="AN38" s="678"/>
      <c r="AO38" s="678"/>
      <c r="AP38" s="678"/>
      <c r="AQ38" s="179" t="s">
        <v>1180</v>
      </c>
      <c r="AR38" s="179"/>
    </row>
    <row r="39" spans="2:44" s="62" customFormat="1" ht="21.95" hidden="1" customHeight="1" x14ac:dyDescent="0.15">
      <c r="B39" s="326"/>
      <c r="C39" s="209"/>
      <c r="D39" s="209"/>
      <c r="E39" s="585">
        <v>22.5</v>
      </c>
      <c r="F39" s="3" cm="1">
        <f t="array" aca="1" ref="F39" ca="1">OFFSET(E39,-1,1)</f>
        <v>0</v>
      </c>
      <c r="G39" s="267" t="s">
        <v>1182</v>
      </c>
      <c r="H39" s="384" t="s">
        <v>335</v>
      </c>
      <c r="I39" s="384"/>
      <c r="J39" s="209"/>
      <c r="K39" s="364" t="str">
        <f ca="1">F39&amp;"4komm"</f>
        <v>04komm</v>
      </c>
      <c r="L39" s="607" cm="1">
        <f t="array" ref="L39">AK39</f>
        <v>0</v>
      </c>
      <c r="M39" s="209"/>
      <c r="N39" s="209"/>
      <c r="O39" s="209"/>
      <c r="P39" s="209"/>
      <c r="Q39" s="209"/>
      <c r="R39" s="209"/>
      <c r="S39" s="209"/>
      <c r="T39" s="353" t="b" cm="1">
        <f t="array" aca="1" ref="T39" ca="1">T38</f>
        <v>0</v>
      </c>
      <c r="U39" s="209"/>
      <c r="V39" s="209"/>
      <c r="W39" s="209"/>
      <c r="X39" s="1050"/>
      <c r="Y39" s="588"/>
      <c r="Z39" s="1051"/>
      <c r="AA39" s="209"/>
      <c r="AB39" s="500" t="s">
        <v>454</v>
      </c>
      <c r="AC39" s="246" t="s">
        <v>1183</v>
      </c>
      <c r="AD39" s="9" t="s">
        <v>828</v>
      </c>
      <c r="AE39" s="781">
        <f ca="1">AE34*SUMIFS(INDEX(Сценарии!$AE$25:$BF$136,,MATCH(AE$13,Сценарии!$AE$8:$BF$8,0)),Сценарии!$F$25:$F$136,$F39,Сценарии!$G$25:$G$136,"СВФОТ")/100</f>
        <v>0</v>
      </c>
      <c r="AF39" s="781">
        <f ca="1">AF34*SUMIFS(INDEX(Сценарии!$AE$25:$BF$136,,MATCH(AF$13,Сценарии!$AE$8:$BF$8,0)),Сценарии!$F$25:$F$136,$F39,Сценарии!$G$25:$G$136,"СВФОТ")/100</f>
        <v>0</v>
      </c>
      <c r="AG39" s="781">
        <f ca="1">AG34*SUMIFS(INDEX(Сценарии!$AE$25:$BF$136,,MATCH(AG$13,Сценарии!$AE$8:$BF$8,0)),Сценарии!$F$25:$F$136,$F39,Сценарии!$G$25:$G$136,"СВФОТ")/100</f>
        <v>0</v>
      </c>
      <c r="AH39" s="781">
        <f ca="1">AH34*SUMIFS(INDEX(Сценарии!$AE$25:$BF$136,,MATCH(AH$13,Сценарии!$AE$8:$BF$8,0)),Сценарии!$F$25:$F$136,$F39,Сценарии!$G$25:$G$136,"СВФОТ")/100</f>
        <v>0</v>
      </c>
      <c r="AI39" s="141">
        <f ca="1">AI34*SUMIFS(INDEX(Сценарии!$AE$25:$BF$136,,MATCH(AI$13,Сценарии!$AE$8:$BF$8,0)),Сценарии!$F$25:$F$136,$F39,Сценарии!$G$25:$G$136,"СВФОТ")/100</f>
        <v>0</v>
      </c>
      <c r="AJ39" s="141">
        <f ca="1">AJ34*SUMIFS(INDEX(Сценарии!$AE$25:$BF$136,,MATCH(AJ$13,Сценарии!$AE$8:$BF$8,0)),Сценарии!$F$25:$F$136,$F39,Сценарии!$G$25:$G$136,"СВФОТ")/100</f>
        <v>0</v>
      </c>
      <c r="AK39" s="819"/>
      <c r="AN39" s="678" t="s">
        <v>1184</v>
      </c>
      <c r="AO39" s="678"/>
      <c r="AP39" s="678"/>
      <c r="AQ39" s="179"/>
      <c r="AR39" s="179"/>
    </row>
    <row r="40" spans="2:44" s="62" customFormat="1" ht="21.95" hidden="1" customHeight="1" x14ac:dyDescent="0.15">
      <c r="B40" s="326"/>
      <c r="C40" s="209"/>
      <c r="D40" s="209"/>
      <c r="E40" s="585">
        <v>22.5</v>
      </c>
      <c r="F40" s="3" cm="1">
        <f t="array" aca="1" ref="F40" ca="1">OFFSET(E40,-1,1)</f>
        <v>0</v>
      </c>
      <c r="G40" s="267" t="s">
        <v>1185</v>
      </c>
      <c r="H40" s="384" t="s">
        <v>334</v>
      </c>
      <c r="I40" s="384"/>
      <c r="J40" s="209"/>
      <c r="K40" s="364" t="str">
        <f ca="1">F40&amp;"5komm"</f>
        <v>05komm</v>
      </c>
      <c r="L40" s="607" cm="1">
        <f t="array" ref="L40">AK40</f>
        <v>0</v>
      </c>
      <c r="M40" s="209"/>
      <c r="N40" s="209"/>
      <c r="O40" s="209"/>
      <c r="P40" s="209"/>
      <c r="Q40" s="209"/>
      <c r="R40" s="209"/>
      <c r="S40" s="209"/>
      <c r="T40" s="353" t="b" cm="1">
        <f t="array" aca="1" ref="T40" ca="1">T39</f>
        <v>0</v>
      </c>
      <c r="U40" s="209"/>
      <c r="V40" s="209"/>
      <c r="W40" s="209"/>
      <c r="X40" s="1050"/>
      <c r="Y40" s="588"/>
      <c r="Z40" s="1051"/>
      <c r="AA40" s="209"/>
      <c r="AB40" s="500" t="s">
        <v>460</v>
      </c>
      <c r="AC40" s="246" t="s">
        <v>1186</v>
      </c>
      <c r="AD40" s="9" t="s">
        <v>828</v>
      </c>
      <c r="AE40" s="781"/>
      <c r="AF40" s="781"/>
      <c r="AG40" s="781"/>
      <c r="AH40" s="781"/>
      <c r="AI40" s="126">
        <f>SUMIFS(AI41:AI44,$AD41:$AD44,$AD40)</f>
        <v>0</v>
      </c>
      <c r="AJ40" s="126">
        <f>SUMIFS(AJ41:AJ44,$AD41:$AD44,$AD40)</f>
        <v>0</v>
      </c>
      <c r="AK40" s="819"/>
      <c r="AN40" s="678" t="s">
        <v>1187</v>
      </c>
      <c r="AO40" s="678"/>
      <c r="AP40" s="678"/>
      <c r="AQ40" s="179"/>
      <c r="AR40" s="179"/>
    </row>
    <row r="41" spans="2:44" s="62" customFormat="1" ht="18.2" hidden="1" customHeight="1" x14ac:dyDescent="0.15">
      <c r="B41" s="326"/>
      <c r="C41" s="209"/>
      <c r="D41" s="209"/>
      <c r="E41" s="585">
        <v>18.75</v>
      </c>
      <c r="F41" s="3" cm="1">
        <f t="array" aca="1" ref="F41" ca="1">OFFSET(E41,-1,1)</f>
        <v>0</v>
      </c>
      <c r="G41" s="384"/>
      <c r="H41" s="384" t="s">
        <v>334</v>
      </c>
      <c r="I41" s="384" cm="1">
        <f t="array" ref="I41">AC41</f>
        <v>0</v>
      </c>
      <c r="J41" s="209"/>
      <c r="K41" s="364"/>
      <c r="L41" s="364"/>
      <c r="M41" s="209"/>
      <c r="N41" s="209"/>
      <c r="O41" s="209"/>
      <c r="P41" s="209"/>
      <c r="Q41" s="209"/>
      <c r="R41" s="209"/>
      <c r="S41" s="209"/>
      <c r="T41" s="353" t="b">
        <f ca="1">AND(F41&gt;0,Y41&gt;0)</f>
        <v>0</v>
      </c>
      <c r="U41" s="209"/>
      <c r="V41" s="209"/>
      <c r="W41" s="209" t="s">
        <v>172</v>
      </c>
      <c r="X41" s="1050"/>
      <c r="Y41" s="1050">
        <v>0</v>
      </c>
      <c r="Z41" s="1051"/>
      <c r="AA41" s="1048" t="s">
        <v>173</v>
      </c>
      <c r="AB41" s="7" t="str">
        <f>"5."&amp;Y41</f>
        <v>5.0</v>
      </c>
      <c r="AC41" s="780"/>
      <c r="AD41" s="9" t="s">
        <v>828</v>
      </c>
      <c r="AE41" s="9"/>
      <c r="AF41" s="9"/>
      <c r="AG41" s="9"/>
      <c r="AH41" s="9"/>
      <c r="AI41" s="128">
        <f>AI42*AI43*12/1000</f>
        <v>0</v>
      </c>
      <c r="AJ41" s="128">
        <f>AJ42*AJ43*12/1000</f>
        <v>0</v>
      </c>
      <c r="AK41" s="819"/>
      <c r="AN41" s="678" t="s">
        <v>1165</v>
      </c>
      <c r="AO41" s="678" t="s">
        <v>1188</v>
      </c>
      <c r="AP41" s="678" cm="1">
        <f t="array" ref="AP41">AC41</f>
        <v>0</v>
      </c>
      <c r="AQ41" s="179"/>
      <c r="AR41" s="179" t="b">
        <v>1</v>
      </c>
    </row>
    <row r="42" spans="2:44" s="62" customFormat="1" ht="14.65" hidden="1" customHeight="1" x14ac:dyDescent="0.15">
      <c r="B42" s="326"/>
      <c r="C42" s="209"/>
      <c r="D42" s="209"/>
      <c r="E42" s="585">
        <v>15</v>
      </c>
      <c r="F42" s="3" cm="1">
        <f t="array" aca="1" ref="F42" ca="1">OFFSET(E42,-1,1)</f>
        <v>0</v>
      </c>
      <c r="G42" s="384"/>
      <c r="H42" s="384" t="str">
        <f>H41&amp;"_1"</f>
        <v>l5_1</v>
      </c>
      <c r="I42" s="384" cm="1">
        <f t="array" ref="I42">I41</f>
        <v>0</v>
      </c>
      <c r="J42" s="209"/>
      <c r="K42" s="364"/>
      <c r="L42" s="364"/>
      <c r="M42" s="209"/>
      <c r="N42" s="209"/>
      <c r="O42" s="209"/>
      <c r="P42" s="209"/>
      <c r="Q42" s="209"/>
      <c r="R42" s="209"/>
      <c r="S42" s="209"/>
      <c r="T42" s="353" t="b" cm="1">
        <f t="array" aca="1" ref="T42" ca="1">T41</f>
        <v>0</v>
      </c>
      <c r="U42" s="209"/>
      <c r="V42" s="209"/>
      <c r="W42" s="209"/>
      <c r="X42" s="1050"/>
      <c r="Y42" s="1050"/>
      <c r="Z42" s="1051"/>
      <c r="AA42" s="1048"/>
      <c r="AB42" s="500" t="str">
        <f>AB41&amp;".1"</f>
        <v>5.0.1</v>
      </c>
      <c r="AC42" s="134" t="s">
        <v>1168</v>
      </c>
      <c r="AD42" s="9" t="s">
        <v>1169</v>
      </c>
      <c r="AE42" s="9"/>
      <c r="AF42" s="9"/>
      <c r="AG42" s="9"/>
      <c r="AH42" s="9"/>
      <c r="AI42" s="141"/>
      <c r="AJ42" s="141"/>
      <c r="AK42" s="819"/>
      <c r="AN42" s="678" t="s">
        <v>1170</v>
      </c>
      <c r="AO42" s="678" t="s">
        <v>1188</v>
      </c>
      <c r="AP42" s="678" cm="1">
        <f t="array" ref="AP42">AP41</f>
        <v>0</v>
      </c>
      <c r="AQ42" s="179"/>
      <c r="AR42" s="179"/>
    </row>
    <row r="43" spans="2:44" s="62" customFormat="1" ht="14.65" hidden="1" customHeight="1" x14ac:dyDescent="0.15">
      <c r="B43" s="326"/>
      <c r="C43" s="209"/>
      <c r="D43" s="209"/>
      <c r="E43" s="585">
        <v>15</v>
      </c>
      <c r="F43" s="3" cm="1">
        <f t="array" aca="1" ref="F43" ca="1">OFFSET(E43,-1,1)</f>
        <v>0</v>
      </c>
      <c r="G43" s="384"/>
      <c r="H43" s="384" t="str">
        <f>H41&amp;"_2"</f>
        <v>l5_2</v>
      </c>
      <c r="I43" s="384" cm="1">
        <f t="array" ref="I43">I42</f>
        <v>0</v>
      </c>
      <c r="J43" s="209"/>
      <c r="K43" s="364"/>
      <c r="L43" s="364"/>
      <c r="M43" s="209"/>
      <c r="N43" s="209"/>
      <c r="O43" s="209"/>
      <c r="P43" s="209"/>
      <c r="Q43" s="209"/>
      <c r="R43" s="209"/>
      <c r="S43" s="209"/>
      <c r="T43" s="353" t="b" cm="1">
        <f t="array" aca="1" ref="T43" ca="1">T42</f>
        <v>0</v>
      </c>
      <c r="U43" s="209"/>
      <c r="V43" s="209"/>
      <c r="W43" s="209"/>
      <c r="X43" s="1050"/>
      <c r="Y43" s="1050"/>
      <c r="Z43" s="1051"/>
      <c r="AA43" s="1048"/>
      <c r="AB43" s="500" t="str">
        <f>AB41&amp;".2"</f>
        <v>5.0.2</v>
      </c>
      <c r="AC43" s="134" t="s">
        <v>1171</v>
      </c>
      <c r="AD43" s="9" t="s">
        <v>1172</v>
      </c>
      <c r="AE43" s="9"/>
      <c r="AF43" s="9"/>
      <c r="AG43" s="9"/>
      <c r="AH43" s="9"/>
      <c r="AI43" s="141"/>
      <c r="AJ43" s="141"/>
      <c r="AK43" s="819"/>
      <c r="AN43" s="678" t="s">
        <v>1173</v>
      </c>
      <c r="AO43" s="678" t="s">
        <v>1188</v>
      </c>
      <c r="AP43" s="678" cm="1">
        <f t="array" ref="AP43">AP42</f>
        <v>0</v>
      </c>
      <c r="AQ43" s="179"/>
      <c r="AR43" s="179"/>
    </row>
    <row r="44" spans="2:44" s="62" customFormat="1" ht="14.65" hidden="1" customHeight="1" x14ac:dyDescent="0.15">
      <c r="B44" s="326"/>
      <c r="C44" s="209"/>
      <c r="D44" s="209"/>
      <c r="E44" s="585">
        <v>15</v>
      </c>
      <c r="F44" s="3" cm="1">
        <f t="array" aca="1" ref="F44" ca="1">OFFSET(E44,-1,1)</f>
        <v>0</v>
      </c>
      <c r="G44" s="267"/>
      <c r="H44" s="384"/>
      <c r="I44" s="66" t="str">
        <f>"!=='не определено' &amp;&amp; row.l5 !== null"</f>
        <v>!=='не определено' &amp;&amp; row.l5 !== null</v>
      </c>
      <c r="J44" s="209"/>
      <c r="K44" s="364"/>
      <c r="L44" s="364"/>
      <c r="M44" s="209"/>
      <c r="N44" s="209"/>
      <c r="O44" s="209"/>
      <c r="P44" s="209"/>
      <c r="Q44" s="209"/>
      <c r="R44" s="209"/>
      <c r="S44" s="209"/>
      <c r="T44" s="353" t="b">
        <f ca="1">F44&gt;0</f>
        <v>0</v>
      </c>
      <c r="U44" s="209"/>
      <c r="V44" s="209"/>
      <c r="W44" s="517" t="s">
        <v>1189</v>
      </c>
      <c r="X44" s="1050"/>
      <c r="Y44" s="588"/>
      <c r="Z44" s="1051"/>
      <c r="AA44" s="209"/>
      <c r="AB44" s="589"/>
      <c r="AC44" s="172" t="s">
        <v>176</v>
      </c>
      <c r="AD44" s="547"/>
      <c r="AE44" s="547"/>
      <c r="AF44" s="547"/>
      <c r="AG44" s="547"/>
      <c r="AH44" s="547"/>
      <c r="AI44" s="547"/>
      <c r="AJ44" s="547"/>
      <c r="AK44" s="548"/>
      <c r="AN44" s="678"/>
      <c r="AO44" s="678"/>
      <c r="AP44" s="678"/>
      <c r="AQ44" s="179" t="s">
        <v>1188</v>
      </c>
      <c r="AR44" s="179"/>
    </row>
    <row r="45" spans="2:44" s="62" customFormat="1" ht="21.95" hidden="1" customHeight="1" x14ac:dyDescent="0.15">
      <c r="B45" s="326"/>
      <c r="C45" s="209"/>
      <c r="D45" s="209"/>
      <c r="E45" s="585">
        <v>22.5</v>
      </c>
      <c r="F45" s="3" cm="1">
        <f t="array" aca="1" ref="F45" ca="1">OFFSET(E45,-1,1)</f>
        <v>0</v>
      </c>
      <c r="G45" s="267" t="s">
        <v>1190</v>
      </c>
      <c r="H45" s="384" t="s">
        <v>532</v>
      </c>
      <c r="I45" s="384"/>
      <c r="J45" s="209"/>
      <c r="K45" s="364" t="str">
        <f ca="1">F45&amp;"6komm"</f>
        <v>06komm</v>
      </c>
      <c r="L45" s="364" cm="1">
        <f t="array" ref="L45">AK45</f>
        <v>0</v>
      </c>
      <c r="M45" s="209"/>
      <c r="N45" s="209"/>
      <c r="O45" s="209"/>
      <c r="P45" s="209"/>
      <c r="Q45" s="209"/>
      <c r="R45" s="209"/>
      <c r="S45" s="209"/>
      <c r="T45" s="353" t="b" cm="1">
        <f t="array" aca="1" ref="T45" ca="1">T44</f>
        <v>0</v>
      </c>
      <c r="U45" s="209"/>
      <c r="V45" s="209"/>
      <c r="W45" s="209"/>
      <c r="X45" s="1050"/>
      <c r="Y45" s="588"/>
      <c r="Z45" s="1051"/>
      <c r="AA45" s="209"/>
      <c r="AB45" s="500" t="s">
        <v>536</v>
      </c>
      <c r="AC45" s="246" t="s">
        <v>1191</v>
      </c>
      <c r="AD45" s="9" t="s">
        <v>828</v>
      </c>
      <c r="AE45" s="781">
        <f ca="1">AE40*SUMIFS(INDEX(Сценарии!$AE$25:$BF$136,,MATCH(AE$13,Сценарии!$AE$8:$BF$8,0)),Сценарии!$F$25:$F$136,$F45,Сценарии!$G$25:$G$136,"СВФОТ")/100</f>
        <v>0</v>
      </c>
      <c r="AF45" s="781">
        <f ca="1">AF40*SUMIFS(INDEX(Сценарии!$AE$25:$BF$136,,MATCH(AF$13,Сценарии!$AE$8:$BF$8,0)),Сценарии!$F$25:$F$136,$F45,Сценарии!$G$25:$G$136,"СВФОТ")/100</f>
        <v>0</v>
      </c>
      <c r="AG45" s="781">
        <f ca="1">AG40*SUMIFS(INDEX(Сценарии!$AE$25:$BF$136,,MATCH(AG$13,Сценарии!$AE$8:$BF$8,0)),Сценарии!$F$25:$F$136,$F45,Сценарии!$G$25:$G$136,"СВФОТ")/100</f>
        <v>0</v>
      </c>
      <c r="AH45" s="781">
        <f ca="1">AH40*SUMIFS(INDEX(Сценарии!$AE$25:$BF$136,,MATCH(AH$13,Сценарии!$AE$8:$BF$8,0)),Сценарии!$F$25:$F$136,$F45,Сценарии!$G$25:$G$136,"СВФОТ")/100</f>
        <v>0</v>
      </c>
      <c r="AI45" s="141">
        <f ca="1">AI40*SUMIFS(INDEX(Сценарии!$AE$25:$BF$136,,MATCH(AI$13,Сценарии!$AE$8:$BF$8,0)),Сценарии!$F$25:$F$136,$F45,Сценарии!$G$25:$G$136,"СВФОТ")/100</f>
        <v>0</v>
      </c>
      <c r="AJ45" s="141">
        <f ca="1">AJ40*SUMIFS(INDEX(Сценарии!$AE$25:$BF$136,,MATCH(AJ$13,Сценарии!$AE$8:$BF$8,0)),Сценарии!$F$25:$F$136,$F45,Сценарии!$G$25:$G$136,"СВФОТ")/100</f>
        <v>0</v>
      </c>
      <c r="AK45" s="853"/>
      <c r="AN45" s="678" t="s">
        <v>1192</v>
      </c>
      <c r="AO45" s="678"/>
      <c r="AP45" s="678"/>
      <c r="AQ45" s="179"/>
      <c r="AR45" s="179"/>
    </row>
    <row r="46" spans="2:44" s="62" customFormat="1" ht="14.65" hidden="1" customHeight="1" x14ac:dyDescent="0.15">
      <c r="B46" s="326"/>
      <c r="C46" s="209"/>
      <c r="D46" s="209"/>
      <c r="E46" s="585">
        <v>15</v>
      </c>
      <c r="F46" s="3" cm="1">
        <f t="array" aca="1" ref="F46" ca="1">OFFSET(E46,-1,1)</f>
        <v>0</v>
      </c>
      <c r="G46" s="267" t="s">
        <v>1193</v>
      </c>
      <c r="H46" s="384" t="s">
        <v>535</v>
      </c>
      <c r="I46" s="384"/>
      <c r="J46" s="209"/>
      <c r="K46" s="364" t="str">
        <f ca="1">F46&amp;"7komm"</f>
        <v>07komm</v>
      </c>
      <c r="L46" s="364" cm="1">
        <f t="array" ref="L46">AK46</f>
        <v>0</v>
      </c>
      <c r="M46" s="209"/>
      <c r="N46" s="209"/>
      <c r="O46" s="209"/>
      <c r="P46" s="209"/>
      <c r="Q46" s="209"/>
      <c r="R46" s="209"/>
      <c r="S46" s="209"/>
      <c r="T46" s="353" t="b" cm="1">
        <f t="array" aca="1" ref="T46" ca="1">T45</f>
        <v>0</v>
      </c>
      <c r="U46" s="209"/>
      <c r="V46" s="209"/>
      <c r="W46" s="209"/>
      <c r="X46" s="1050"/>
      <c r="Y46" s="588"/>
      <c r="Z46" s="1051"/>
      <c r="AA46" s="209"/>
      <c r="AB46" s="500" t="s">
        <v>602</v>
      </c>
      <c r="AC46" s="246" t="s">
        <v>1194</v>
      </c>
      <c r="AD46" s="9" t="s">
        <v>828</v>
      </c>
      <c r="AE46" s="781"/>
      <c r="AF46" s="781"/>
      <c r="AG46" s="781"/>
      <c r="AH46" s="781"/>
      <c r="AI46" s="126">
        <f>SUMIFS(AI47:AI50,$AD47:$AD50,$AD46)</f>
        <v>0</v>
      </c>
      <c r="AJ46" s="126">
        <f>SUMIFS(AJ47:AJ50,$AD47:$AD50,$AD46)</f>
        <v>0</v>
      </c>
      <c r="AK46" s="853"/>
      <c r="AN46" s="678" t="s">
        <v>1195</v>
      </c>
      <c r="AO46" s="678"/>
      <c r="AP46" s="678"/>
      <c r="AQ46" s="179"/>
      <c r="AR46" s="179"/>
    </row>
    <row r="47" spans="2:44" s="62" customFormat="1" ht="18.2" hidden="1" customHeight="1" x14ac:dyDescent="0.15">
      <c r="C47" s="209"/>
      <c r="D47" s="209"/>
      <c r="E47" s="585">
        <v>18.75</v>
      </c>
      <c r="F47" s="3" cm="1">
        <f t="array" aca="1" ref="F47" ca="1">OFFSET(E47,-1,1)</f>
        <v>0</v>
      </c>
      <c r="G47" s="384"/>
      <c r="H47" s="384" t="s">
        <v>535</v>
      </c>
      <c r="I47" s="384" cm="1">
        <f t="array" ref="I47">AC47</f>
        <v>0</v>
      </c>
      <c r="J47" s="209"/>
      <c r="K47" s="364"/>
      <c r="L47" s="364"/>
      <c r="M47" s="209"/>
      <c r="N47" s="209"/>
      <c r="O47" s="209"/>
      <c r="P47" s="209"/>
      <c r="Q47" s="209"/>
      <c r="R47" s="209"/>
      <c r="S47" s="209"/>
      <c r="T47" s="353" t="b">
        <f ca="1">AND(F47&gt;0,Y47&gt;0)</f>
        <v>0</v>
      </c>
      <c r="U47" s="209"/>
      <c r="V47" s="209"/>
      <c r="W47" s="209" t="s">
        <v>172</v>
      </c>
      <c r="X47" s="1050"/>
      <c r="Y47" s="1050">
        <v>0</v>
      </c>
      <c r="Z47" s="1051"/>
      <c r="AA47" s="1048" t="s">
        <v>173</v>
      </c>
      <c r="AB47" s="7" t="str">
        <f>"7."&amp;Y47</f>
        <v>7.0</v>
      </c>
      <c r="AC47" s="780"/>
      <c r="AD47" s="9" t="s">
        <v>828</v>
      </c>
      <c r="AE47" s="9"/>
      <c r="AF47" s="9"/>
      <c r="AG47" s="9"/>
      <c r="AH47" s="9"/>
      <c r="AI47" s="128">
        <f>AI48*AI49*12/1000</f>
        <v>0</v>
      </c>
      <c r="AJ47" s="128">
        <f>AJ48*AJ49*12/1000</f>
        <v>0</v>
      </c>
      <c r="AK47" s="819"/>
      <c r="AN47" s="678" t="s">
        <v>1165</v>
      </c>
      <c r="AO47" s="678" t="s">
        <v>1196</v>
      </c>
      <c r="AP47" s="678" cm="1">
        <f t="array" ref="AP47">AC47</f>
        <v>0</v>
      </c>
      <c r="AQ47" s="179"/>
      <c r="AR47" s="179" t="b">
        <v>1</v>
      </c>
    </row>
    <row r="48" spans="2:44" s="62" customFormat="1" ht="14.65" hidden="1" customHeight="1" x14ac:dyDescent="0.15">
      <c r="C48" s="209"/>
      <c r="D48" s="209"/>
      <c r="E48" s="585">
        <v>15</v>
      </c>
      <c r="F48" s="3" cm="1">
        <f t="array" aca="1" ref="F48" ca="1">OFFSET(E48,-1,1)</f>
        <v>0</v>
      </c>
      <c r="G48" s="384"/>
      <c r="H48" s="384" t="str">
        <f>H47&amp;"_1"</f>
        <v>l7_1</v>
      </c>
      <c r="I48" s="384" cm="1">
        <f t="array" ref="I48">I47</f>
        <v>0</v>
      </c>
      <c r="J48" s="209"/>
      <c r="K48" s="364"/>
      <c r="L48" s="364"/>
      <c r="M48" s="209"/>
      <c r="N48" s="209"/>
      <c r="O48" s="209"/>
      <c r="P48" s="209"/>
      <c r="Q48" s="209"/>
      <c r="R48" s="209"/>
      <c r="S48" s="209"/>
      <c r="T48" s="353" t="b" cm="1">
        <f t="array" aca="1" ref="T48" ca="1">T47</f>
        <v>0</v>
      </c>
      <c r="U48" s="209"/>
      <c r="V48" s="209"/>
      <c r="W48" s="209"/>
      <c r="X48" s="1050"/>
      <c r="Y48" s="1050"/>
      <c r="Z48" s="1051"/>
      <c r="AA48" s="1048"/>
      <c r="AB48" s="500" t="str">
        <f>AB47&amp;".1"</f>
        <v>7.0.1</v>
      </c>
      <c r="AC48" s="134" t="s">
        <v>1168</v>
      </c>
      <c r="AD48" s="9" t="s">
        <v>1169</v>
      </c>
      <c r="AE48" s="9"/>
      <c r="AF48" s="9"/>
      <c r="AG48" s="9"/>
      <c r="AH48" s="9"/>
      <c r="AI48" s="141"/>
      <c r="AJ48" s="141"/>
      <c r="AK48" s="819"/>
      <c r="AN48" s="678" t="s">
        <v>1170</v>
      </c>
      <c r="AO48" s="678" t="s">
        <v>1196</v>
      </c>
      <c r="AP48" s="678" cm="1">
        <f t="array" ref="AP48">AP47</f>
        <v>0</v>
      </c>
      <c r="AQ48" s="179"/>
      <c r="AR48" s="179"/>
    </row>
    <row r="49" spans="1:44" s="62" customFormat="1" ht="14.65" hidden="1" customHeight="1" x14ac:dyDescent="0.15">
      <c r="C49" s="209"/>
      <c r="D49" s="209"/>
      <c r="E49" s="585">
        <v>15</v>
      </c>
      <c r="F49" s="3" cm="1">
        <f t="array" aca="1" ref="F49" ca="1">OFFSET(E49,-1,1)</f>
        <v>0</v>
      </c>
      <c r="G49" s="384"/>
      <c r="H49" s="384" t="str">
        <f>H47&amp;"_2"</f>
        <v>l7_2</v>
      </c>
      <c r="I49" s="384" cm="1">
        <f t="array" ref="I49">I48</f>
        <v>0</v>
      </c>
      <c r="J49" s="209"/>
      <c r="K49" s="364"/>
      <c r="L49" s="364"/>
      <c r="M49" s="209"/>
      <c r="N49" s="209"/>
      <c r="O49" s="209"/>
      <c r="P49" s="209"/>
      <c r="Q49" s="209"/>
      <c r="R49" s="209"/>
      <c r="S49" s="209"/>
      <c r="T49" s="353" t="b" cm="1">
        <f t="array" aca="1" ref="T49" ca="1">T48</f>
        <v>0</v>
      </c>
      <c r="U49" s="209"/>
      <c r="V49" s="209"/>
      <c r="W49" s="209"/>
      <c r="X49" s="1050"/>
      <c r="Y49" s="1050"/>
      <c r="Z49" s="1051"/>
      <c r="AA49" s="1048"/>
      <c r="AB49" s="500" t="str">
        <f>AB47&amp;".2"</f>
        <v>7.0.2</v>
      </c>
      <c r="AC49" s="134" t="s">
        <v>1171</v>
      </c>
      <c r="AD49" s="9" t="s">
        <v>1172</v>
      </c>
      <c r="AE49" s="9"/>
      <c r="AF49" s="9"/>
      <c r="AG49" s="9"/>
      <c r="AH49" s="9"/>
      <c r="AI49" s="141"/>
      <c r="AJ49" s="141"/>
      <c r="AK49" s="819"/>
      <c r="AN49" s="678" t="s">
        <v>1173</v>
      </c>
      <c r="AO49" s="678" t="s">
        <v>1196</v>
      </c>
      <c r="AP49" s="678" cm="1">
        <f t="array" ref="AP49">AP48</f>
        <v>0</v>
      </c>
      <c r="AQ49" s="179"/>
      <c r="AR49" s="179"/>
    </row>
    <row r="50" spans="1:44" s="62" customFormat="1" ht="14.65" hidden="1" customHeight="1" x14ac:dyDescent="0.15">
      <c r="B50" s="326"/>
      <c r="C50" s="209"/>
      <c r="D50" s="209"/>
      <c r="E50" s="585">
        <v>15</v>
      </c>
      <c r="F50" s="3" cm="1">
        <f t="array" aca="1" ref="F50" ca="1">OFFSET(E50,-1,1)</f>
        <v>0</v>
      </c>
      <c r="G50" s="267"/>
      <c r="H50" s="384"/>
      <c r="I50" s="66" t="str">
        <f>"!=='не определено' &amp;&amp; row.l7 !== null"</f>
        <v>!=='не определено' &amp;&amp; row.l7 !== null</v>
      </c>
      <c r="J50" s="209"/>
      <c r="K50" s="364"/>
      <c r="L50" s="364"/>
      <c r="M50" s="209"/>
      <c r="N50" s="209"/>
      <c r="O50" s="209"/>
      <c r="P50" s="209"/>
      <c r="Q50" s="209"/>
      <c r="R50" s="209"/>
      <c r="S50" s="209"/>
      <c r="T50" s="353" t="b">
        <f ca="1">F50&gt;0</f>
        <v>0</v>
      </c>
      <c r="U50" s="209"/>
      <c r="V50" s="209"/>
      <c r="W50" s="517" t="s">
        <v>1197</v>
      </c>
      <c r="X50" s="1050"/>
      <c r="Y50" s="209"/>
      <c r="Z50" s="1051"/>
      <c r="AA50" s="209"/>
      <c r="AB50" s="589"/>
      <c r="AC50" s="172" t="s">
        <v>176</v>
      </c>
      <c r="AD50" s="547"/>
      <c r="AE50" s="547"/>
      <c r="AF50" s="547"/>
      <c r="AG50" s="547"/>
      <c r="AH50" s="547"/>
      <c r="AI50" s="547"/>
      <c r="AJ50" s="547"/>
      <c r="AK50" s="548"/>
      <c r="AN50" s="678"/>
      <c r="AO50" s="678"/>
      <c r="AP50" s="678"/>
      <c r="AQ50" s="179" t="s">
        <v>1196</v>
      </c>
      <c r="AR50" s="179"/>
    </row>
    <row r="51" spans="1:44" s="62" customFormat="1" ht="21.95" hidden="1" customHeight="1" x14ac:dyDescent="0.15">
      <c r="B51" s="326"/>
      <c r="C51" s="209"/>
      <c r="D51" s="209"/>
      <c r="E51" s="585">
        <v>22.5</v>
      </c>
      <c r="F51" s="3" cm="1">
        <f t="array" aca="1" ref="F51" ca="1">OFFSET(E51,-1,1)</f>
        <v>0</v>
      </c>
      <c r="G51" s="267" t="s">
        <v>1198</v>
      </c>
      <c r="H51" s="384" t="s">
        <v>586</v>
      </c>
      <c r="I51" s="384"/>
      <c r="J51" s="209"/>
      <c r="K51" s="364" t="str">
        <f ca="1">F51&amp;"8komm"</f>
        <v>08komm</v>
      </c>
      <c r="L51" s="607" cm="1">
        <f t="array" ref="L51">AK51</f>
        <v>0</v>
      </c>
      <c r="M51" s="209"/>
      <c r="N51" s="209"/>
      <c r="O51" s="209"/>
      <c r="P51" s="209"/>
      <c r="Q51" s="209"/>
      <c r="R51" s="209"/>
      <c r="S51" s="209"/>
      <c r="T51" s="353" t="b" cm="1">
        <f t="array" aca="1" ref="T51" ca="1">T50</f>
        <v>0</v>
      </c>
      <c r="U51" s="209"/>
      <c r="V51" s="209"/>
      <c r="W51" s="209"/>
      <c r="X51" s="1050"/>
      <c r="Y51" s="209"/>
      <c r="Z51" s="1051"/>
      <c r="AA51" s="209"/>
      <c r="AB51" s="500" t="s">
        <v>610</v>
      </c>
      <c r="AC51" s="246" t="s">
        <v>1199</v>
      </c>
      <c r="AD51" s="9" t="s">
        <v>828</v>
      </c>
      <c r="AE51" s="781">
        <f ca="1">AE46*SUMIFS(INDEX(Сценарии!$AE$25:$BF$136,,MATCH(AE$13,Сценарии!$AE$8:$BF$8,0)),Сценарии!$F$25:$F$136,$F51,Сценарии!$G$25:$G$136,"СВФОТ")/100</f>
        <v>0</v>
      </c>
      <c r="AF51" s="781">
        <f ca="1">AF46*SUMIFS(INDEX(Сценарии!$AE$25:$BF$136,,MATCH(AF$13,Сценарии!$AE$8:$BF$8,0)),Сценарии!$F$25:$F$136,$F51,Сценарии!$G$25:$G$136,"СВФОТ")/100</f>
        <v>0</v>
      </c>
      <c r="AG51" s="781">
        <f ca="1">AG46*SUMIFS(INDEX(Сценарии!$AE$25:$BF$136,,MATCH(AG$13,Сценарии!$AE$8:$BF$8,0)),Сценарии!$F$25:$F$136,$F51,Сценарии!$G$25:$G$136,"СВФОТ")/100</f>
        <v>0</v>
      </c>
      <c r="AH51" s="781">
        <f ca="1">AH46*SUMIFS(INDEX(Сценарии!$AE$25:$BF$136,,MATCH(AH$13,Сценарии!$AE$8:$BF$8,0)),Сценарии!$F$25:$F$136,$F51,Сценарии!$G$25:$G$136,"СВФОТ")/100</f>
        <v>0</v>
      </c>
      <c r="AI51" s="141">
        <f ca="1">AI46*SUMIFS(INDEX(Сценарии!$AE$25:$BF$136,,MATCH(AI$13,Сценарии!$AE$8:$BF$8,0)),Сценарии!$F$25:$F$136,$F51,Сценарии!$G$25:$G$136,"СВФОТ")/100</f>
        <v>0</v>
      </c>
      <c r="AJ51" s="141">
        <f ca="1">AJ46*SUMIFS(INDEX(Сценарии!$AE$25:$BF$136,,MATCH(AJ$13,Сценарии!$AE$8:$BF$8,0)),Сценарии!$F$25:$F$136,$F51,Сценарии!$G$25:$G$136,"СВФОТ")/100</f>
        <v>0</v>
      </c>
      <c r="AK51" s="819"/>
      <c r="AN51" s="678" t="s">
        <v>1200</v>
      </c>
      <c r="AO51" s="678"/>
      <c r="AP51" s="678"/>
      <c r="AQ51" s="179"/>
      <c r="AR51" s="179"/>
    </row>
    <row r="52" spans="1:44" s="326" customFormat="1" ht="14.25" customHeight="1" x14ac:dyDescent="0.15">
      <c r="A52" s="62"/>
      <c r="C52" s="209"/>
      <c r="D52" s="209"/>
      <c r="E52" s="585">
        <v>15</v>
      </c>
      <c r="F52" s="59" t="str" cm="1">
        <f t="array" ref="F52">X52</f>
        <v>1</v>
      </c>
      <c r="G52" s="384" t="s">
        <v>60</v>
      </c>
      <c r="H52" s="384"/>
      <c r="I52" s="384"/>
      <c r="J52" s="209"/>
      <c r="K52" s="364"/>
      <c r="L52" s="364"/>
      <c r="M52" s="209"/>
      <c r="N52" s="209"/>
      <c r="O52" s="209"/>
      <c r="P52" s="209"/>
      <c r="Q52" s="209"/>
      <c r="R52" s="209"/>
      <c r="S52" s="209"/>
      <c r="T52" s="353" t="b">
        <f>X52&gt;0</f>
        <v>1</v>
      </c>
      <c r="U52" s="209"/>
      <c r="V52" s="209" t="str" cm="1">
        <f t="array" ref="V52">Покупка!$AB$57</f>
        <v>Тариф 1 (Водоснабжение) - тариф на техническую воду</v>
      </c>
      <c r="W52" s="209"/>
      <c r="X52" s="1050" t="s">
        <v>275</v>
      </c>
      <c r="Y52" s="209"/>
      <c r="Z52" s="1051"/>
      <c r="AA52" s="209"/>
      <c r="AB52" s="155" t="str" cm="1">
        <f t="array" ref="AB52">Покупка!$AB$57</f>
        <v>Тариф 1 (Водоснабжение) - тариф на техническую воду</v>
      </c>
      <c r="AC52" s="586"/>
      <c r="AD52" s="586"/>
      <c r="AE52" s="587">
        <f t="shared" ref="AE52:AJ52" ca="1" si="2">AE53+AE58+AE59+AE64+AE65+AE70+AE71+AE76</f>
        <v>0</v>
      </c>
      <c r="AF52" s="587">
        <f t="shared" ca="1" si="2"/>
        <v>0</v>
      </c>
      <c r="AG52" s="587">
        <f t="shared" ca="1" si="2"/>
        <v>0</v>
      </c>
      <c r="AH52" s="587">
        <f t="shared" ca="1" si="2"/>
        <v>0</v>
      </c>
      <c r="AI52" s="587">
        <f t="shared" ca="1" si="2"/>
        <v>0</v>
      </c>
      <c r="AJ52" s="587">
        <f t="shared" ca="1" si="2"/>
        <v>0</v>
      </c>
      <c r="AK52" s="587"/>
      <c r="AL52" s="62"/>
      <c r="AM52" s="62"/>
      <c r="AN52" s="678"/>
      <c r="AO52" s="678"/>
      <c r="AP52" s="678"/>
      <c r="AQ52" s="179"/>
      <c r="AR52" s="179"/>
    </row>
    <row r="53" spans="1:44" s="326" customFormat="1" ht="21.75" customHeight="1" x14ac:dyDescent="0.15">
      <c r="A53" s="62"/>
      <c r="C53" s="209"/>
      <c r="D53" s="209"/>
      <c r="E53" s="585">
        <v>22.5</v>
      </c>
      <c r="F53" s="3" t="str" cm="1">
        <f t="array" aca="1" ref="F53" ca="1">OFFSET(E53,-1,1)</f>
        <v>1</v>
      </c>
      <c r="G53" s="267" t="s">
        <v>1162</v>
      </c>
      <c r="H53" s="384" t="s">
        <v>331</v>
      </c>
      <c r="I53" s="384"/>
      <c r="J53" s="209"/>
      <c r="K53" s="364" t="str">
        <f ca="1">F53&amp;"1komm"</f>
        <v>11komm</v>
      </c>
      <c r="L53" s="607" cm="1">
        <f t="array" ref="L53">AK53</f>
        <v>0</v>
      </c>
      <c r="M53" s="209"/>
      <c r="N53" s="209"/>
      <c r="O53" s="209"/>
      <c r="P53" s="209"/>
      <c r="Q53" s="209"/>
      <c r="R53" s="209"/>
      <c r="S53" s="209"/>
      <c r="T53" s="353" t="b" cm="1">
        <f t="array" ref="T53">T52</f>
        <v>1</v>
      </c>
      <c r="U53" s="209"/>
      <c r="V53" s="209"/>
      <c r="W53" s="209"/>
      <c r="X53" s="1050"/>
      <c r="Y53" s="209"/>
      <c r="Z53" s="1051"/>
      <c r="AA53" s="209"/>
      <c r="AB53" s="500">
        <v>1</v>
      </c>
      <c r="AC53" s="246" t="s">
        <v>1163</v>
      </c>
      <c r="AD53" s="9" t="s">
        <v>828</v>
      </c>
      <c r="AE53" s="141"/>
      <c r="AF53" s="141"/>
      <c r="AG53" s="141"/>
      <c r="AH53" s="141"/>
      <c r="AI53" s="126">
        <f>SUMIFS(AI54:AI57,$AD54:$AD57,$AD53)</f>
        <v>0</v>
      </c>
      <c r="AJ53" s="126">
        <f>SUMIFS(AJ54:AJ57,$AD54:$AD57,$AD53)</f>
        <v>0</v>
      </c>
      <c r="AK53" s="103"/>
      <c r="AL53" s="62"/>
      <c r="AM53" s="62"/>
      <c r="AN53" s="678" t="s">
        <v>1164</v>
      </c>
      <c r="AO53" s="678"/>
      <c r="AP53" s="678"/>
      <c r="AQ53" s="179"/>
      <c r="AR53" s="179"/>
    </row>
    <row r="54" spans="1:44" s="326" customFormat="1" ht="18" hidden="1" customHeight="1" x14ac:dyDescent="0.15">
      <c r="A54" s="62"/>
      <c r="C54" s="209"/>
      <c r="D54" s="209"/>
      <c r="E54" s="585">
        <v>18.75</v>
      </c>
      <c r="F54" s="3" t="str" cm="1">
        <f t="array" aca="1" ref="F54" ca="1">OFFSET(E54,-1,1)</f>
        <v>1</v>
      </c>
      <c r="G54" s="384"/>
      <c r="H54" s="384" t="s">
        <v>331</v>
      </c>
      <c r="I54" s="384" cm="1">
        <f t="array" ref="I54">AC54</f>
        <v>0</v>
      </c>
      <c r="J54" s="209"/>
      <c r="K54" s="364"/>
      <c r="L54" s="364"/>
      <c r="M54" s="209"/>
      <c r="N54" s="209"/>
      <c r="O54" s="209"/>
      <c r="P54" s="209"/>
      <c r="Q54" s="209"/>
      <c r="R54" s="209"/>
      <c r="S54" s="209"/>
      <c r="T54" s="353" t="b">
        <f ca="1">AND(F54&gt;0,Y54&gt;0)</f>
        <v>0</v>
      </c>
      <c r="U54" s="209"/>
      <c r="V54" s="209"/>
      <c r="W54" s="209" t="s">
        <v>172</v>
      </c>
      <c r="X54" s="1050"/>
      <c r="Y54" s="1050">
        <v>0</v>
      </c>
      <c r="Z54" s="1051"/>
      <c r="AA54" s="1048" t="s">
        <v>173</v>
      </c>
      <c r="AB54" s="7" t="str">
        <f>"1."&amp;Y54</f>
        <v>1.0</v>
      </c>
      <c r="AC54" s="780"/>
      <c r="AD54" s="9" t="s">
        <v>828</v>
      </c>
      <c r="AE54" s="9"/>
      <c r="AF54" s="9"/>
      <c r="AG54" s="9"/>
      <c r="AH54" s="9"/>
      <c r="AI54" s="128">
        <f>AI55*AI56*12/1000</f>
        <v>0</v>
      </c>
      <c r="AJ54" s="128">
        <f>AJ55*AJ56*12/1000</f>
        <v>0</v>
      </c>
      <c r="AK54" s="819"/>
      <c r="AL54" s="62"/>
      <c r="AM54" s="62"/>
      <c r="AN54" s="678" t="s">
        <v>1165</v>
      </c>
      <c r="AO54" s="678" t="s">
        <v>1166</v>
      </c>
      <c r="AP54" s="678" cm="1">
        <f t="array" ref="AP54">AC54</f>
        <v>0</v>
      </c>
      <c r="AQ54" s="179"/>
      <c r="AR54" s="179" t="b">
        <v>1</v>
      </c>
    </row>
    <row r="55" spans="1:44" s="326" customFormat="1" ht="14.25" hidden="1" customHeight="1" x14ac:dyDescent="0.15">
      <c r="A55" s="62"/>
      <c r="C55" s="209"/>
      <c r="D55" s="209"/>
      <c r="E55" s="585">
        <v>15</v>
      </c>
      <c r="F55" s="3" t="str" cm="1">
        <f t="array" aca="1" ref="F55" ca="1">OFFSET(E55,-1,1)</f>
        <v>1</v>
      </c>
      <c r="G55" s="384" t="s">
        <v>1167</v>
      </c>
      <c r="H55" s="384" t="str">
        <f>H54&amp;"_1"</f>
        <v>l1_1</v>
      </c>
      <c r="I55" s="384" cm="1">
        <f t="array" ref="I55">I54</f>
        <v>0</v>
      </c>
      <c r="J55" s="209"/>
      <c r="K55" s="364"/>
      <c r="L55" s="364"/>
      <c r="M55" s="209"/>
      <c r="N55" s="209"/>
      <c r="O55" s="209"/>
      <c r="P55" s="209"/>
      <c r="Q55" s="209"/>
      <c r="R55" s="209"/>
      <c r="S55" s="209"/>
      <c r="T55" s="353" t="b" cm="1">
        <f t="array" aca="1" ref="T55" ca="1">T54</f>
        <v>0</v>
      </c>
      <c r="U55" s="209"/>
      <c r="V55" s="209"/>
      <c r="W55" s="209"/>
      <c r="X55" s="1050"/>
      <c r="Y55" s="1050"/>
      <c r="Z55" s="1051"/>
      <c r="AA55" s="1048"/>
      <c r="AB55" s="500" t="str">
        <f>AB54&amp;".1"</f>
        <v>1.0.1</v>
      </c>
      <c r="AC55" s="134" t="s">
        <v>1168</v>
      </c>
      <c r="AD55" s="9" t="s">
        <v>1169</v>
      </c>
      <c r="AE55" s="9"/>
      <c r="AF55" s="9"/>
      <c r="AG55" s="9"/>
      <c r="AH55" s="9"/>
      <c r="AI55" s="141"/>
      <c r="AJ55" s="141"/>
      <c r="AK55" s="819"/>
      <c r="AL55" s="62"/>
      <c r="AM55" s="62"/>
      <c r="AN55" s="678" t="s">
        <v>1170</v>
      </c>
      <c r="AO55" s="678" t="s">
        <v>1166</v>
      </c>
      <c r="AP55" s="678" cm="1">
        <f t="array" ref="AP55">AP54</f>
        <v>0</v>
      </c>
      <c r="AQ55" s="179"/>
      <c r="AR55" s="179"/>
    </row>
    <row r="56" spans="1:44" s="326" customFormat="1" ht="14.25" hidden="1" customHeight="1" x14ac:dyDescent="0.15">
      <c r="A56" s="62"/>
      <c r="C56" s="209"/>
      <c r="D56" s="209"/>
      <c r="E56" s="585">
        <v>15</v>
      </c>
      <c r="F56" s="3" t="str" cm="1">
        <f t="array" aca="1" ref="F56" ca="1">OFFSET(E56,-1,1)</f>
        <v>1</v>
      </c>
      <c r="G56" s="384"/>
      <c r="H56" s="384" t="str">
        <f>H54&amp;"_2"</f>
        <v>l1_2</v>
      </c>
      <c r="I56" s="384" cm="1">
        <f t="array" ref="I56">I55</f>
        <v>0</v>
      </c>
      <c r="J56" s="209"/>
      <c r="K56" s="364"/>
      <c r="L56" s="364"/>
      <c r="M56" s="209"/>
      <c r="N56" s="209"/>
      <c r="O56" s="209"/>
      <c r="P56" s="209"/>
      <c r="Q56" s="209"/>
      <c r="R56" s="209"/>
      <c r="S56" s="209"/>
      <c r="T56" s="353" t="b" cm="1">
        <f t="array" aca="1" ref="T56" ca="1">T55</f>
        <v>0</v>
      </c>
      <c r="U56" s="209"/>
      <c r="V56" s="209"/>
      <c r="W56" s="209"/>
      <c r="X56" s="1050"/>
      <c r="Y56" s="1050"/>
      <c r="Z56" s="1051"/>
      <c r="AA56" s="1048"/>
      <c r="AB56" s="500" t="str">
        <f>AB54&amp;".2"</f>
        <v>1.0.2</v>
      </c>
      <c r="AC56" s="134" t="s">
        <v>1171</v>
      </c>
      <c r="AD56" s="9" t="s">
        <v>1172</v>
      </c>
      <c r="AE56" s="9"/>
      <c r="AF56" s="9"/>
      <c r="AG56" s="9"/>
      <c r="AH56" s="9"/>
      <c r="AI56" s="141"/>
      <c r="AJ56" s="141"/>
      <c r="AK56" s="819"/>
      <c r="AL56" s="62"/>
      <c r="AM56" s="62"/>
      <c r="AN56" s="678" t="s">
        <v>1173</v>
      </c>
      <c r="AO56" s="678" t="s">
        <v>1166</v>
      </c>
      <c r="AP56" s="678" cm="1">
        <f t="array" ref="AP56">AP55</f>
        <v>0</v>
      </c>
      <c r="AQ56" s="179"/>
      <c r="AR56" s="179"/>
    </row>
    <row r="57" spans="1:44" s="326" customFormat="1" ht="14.25" customHeight="1" x14ac:dyDescent="0.15">
      <c r="A57" s="62"/>
      <c r="C57" s="209"/>
      <c r="D57" s="209"/>
      <c r="E57" s="585">
        <v>15</v>
      </c>
      <c r="F57" s="3" t="str" cm="1">
        <f t="array" aca="1" ref="F57" ca="1">OFFSET(E57,-1,1)</f>
        <v>1</v>
      </c>
      <c r="G57" s="267"/>
      <c r="H57" s="384"/>
      <c r="I57" s="66" t="str">
        <f>"!=='не определено' &amp;&amp; row.l1 !== null"</f>
        <v>!=='не определено' &amp;&amp; row.l1 !== null</v>
      </c>
      <c r="J57" s="209"/>
      <c r="K57" s="364"/>
      <c r="L57" s="364"/>
      <c r="M57" s="209"/>
      <c r="N57" s="209"/>
      <c r="O57" s="209"/>
      <c r="P57" s="209"/>
      <c r="Q57" s="209"/>
      <c r="R57" s="209"/>
      <c r="S57" s="209"/>
      <c r="T57" s="353" t="b">
        <f ca="1">F57&gt;0</f>
        <v>1</v>
      </c>
      <c r="U57" s="209"/>
      <c r="V57" s="209"/>
      <c r="W57" s="517" t="s">
        <v>397</v>
      </c>
      <c r="X57" s="1050"/>
      <c r="Y57" s="588"/>
      <c r="Z57" s="1051"/>
      <c r="AA57" s="209"/>
      <c r="AB57" s="589"/>
      <c r="AC57" s="172" t="s">
        <v>176</v>
      </c>
      <c r="AD57" s="547"/>
      <c r="AE57" s="547"/>
      <c r="AF57" s="547"/>
      <c r="AG57" s="547"/>
      <c r="AH57" s="547"/>
      <c r="AI57" s="547"/>
      <c r="AJ57" s="547"/>
      <c r="AK57" s="548"/>
      <c r="AL57" s="62"/>
      <c r="AM57" s="62"/>
      <c r="AN57" s="678"/>
      <c r="AO57" s="678"/>
      <c r="AP57" s="678"/>
      <c r="AQ57" s="179" t="s">
        <v>1166</v>
      </c>
      <c r="AR57" s="179"/>
    </row>
    <row r="58" spans="1:44" s="326" customFormat="1" ht="21.75" customHeight="1" x14ac:dyDescent="0.15">
      <c r="A58" s="62"/>
      <c r="C58" s="209"/>
      <c r="D58" s="209"/>
      <c r="E58" s="585">
        <v>22.5</v>
      </c>
      <c r="F58" s="3" t="str" cm="1">
        <f t="array" aca="1" ref="F58" ca="1">OFFSET(E58,-1,1)</f>
        <v>1</v>
      </c>
      <c r="G58" s="267" t="s">
        <v>1174</v>
      </c>
      <c r="H58" s="384" t="s">
        <v>332</v>
      </c>
      <c r="I58" s="384"/>
      <c r="J58" s="209"/>
      <c r="K58" s="364" t="str">
        <f ca="1">F58&amp;"2komm"</f>
        <v>12komm</v>
      </c>
      <c r="L58" s="607" cm="1">
        <f t="array" ref="L58">AK58</f>
        <v>0</v>
      </c>
      <c r="M58" s="209"/>
      <c r="N58" s="209"/>
      <c r="O58" s="209"/>
      <c r="P58" s="209"/>
      <c r="Q58" s="209"/>
      <c r="R58" s="209"/>
      <c r="S58" s="209"/>
      <c r="T58" s="353" t="b" cm="1">
        <f t="array" aca="1" ref="T58" ca="1">T57</f>
        <v>1</v>
      </c>
      <c r="U58" s="209"/>
      <c r="V58" s="209"/>
      <c r="W58" s="209"/>
      <c r="X58" s="1050"/>
      <c r="Y58" s="588"/>
      <c r="Z58" s="1051"/>
      <c r="AA58" s="209"/>
      <c r="AB58" s="500" t="s">
        <v>285</v>
      </c>
      <c r="AC58" s="246" t="s">
        <v>1175</v>
      </c>
      <c r="AD58" s="9" t="s">
        <v>828</v>
      </c>
      <c r="AE58" s="141">
        <f ca="1">AE53*SUMIFS(INDEX(Сценарии!$AE$25:$BF$136,,MATCH(AE$13,Сценарии!$AE$8:$BF$8,0)),Сценарии!$F$25:$F$136,$F58,Сценарии!$G$25:$G$136,"СВФОТ")/100</f>
        <v>0</v>
      </c>
      <c r="AF58" s="141">
        <f ca="1">AF53*SUMIFS(INDEX(Сценарии!$AE$25:$BF$136,,MATCH(AF$13,Сценарии!$AE$8:$BF$8,0)),Сценарии!$F$25:$F$136,$F58,Сценарии!$G$25:$G$136,"СВФОТ")/100</f>
        <v>0</v>
      </c>
      <c r="AG58" s="141">
        <f ca="1">AG53*SUMIFS(INDEX(Сценарии!$AE$25:$BF$136,,MATCH(AG$13,Сценарии!$AE$8:$BF$8,0)),Сценарии!$F$25:$F$136,$F58,Сценарии!$G$25:$G$136,"СВФОТ")/100</f>
        <v>0</v>
      </c>
      <c r="AH58" s="141">
        <f ca="1">AH53*SUMIFS(INDEX(Сценарии!$AE$25:$BF$136,,MATCH(AH$13,Сценарии!$AE$8:$BF$8,0)),Сценарии!$F$25:$F$136,$F58,Сценарии!$G$25:$G$136,"СВФОТ")/100</f>
        <v>0</v>
      </c>
      <c r="AI58" s="141">
        <f ca="1">AI53*SUMIFS(INDEX(Сценарии!$AE$25:$BF$136,,MATCH(AI$13,Сценарии!$AE$8:$BF$8,0)),Сценарии!$F$25:$F$136,$F58,Сценарии!$G$25:$G$136,"СВФОТ")/100</f>
        <v>0</v>
      </c>
      <c r="AJ58" s="141">
        <f ca="1">AJ53*SUMIFS(INDEX(Сценарии!$AE$25:$BF$136,,MATCH(AJ$13,Сценарии!$AE$8:$BF$8,0)),Сценарии!$F$25:$F$136,$F58,Сценарии!$G$25:$G$136,"СВФОТ")/100</f>
        <v>0</v>
      </c>
      <c r="AK58" s="103"/>
      <c r="AL58" s="62"/>
      <c r="AM58" s="62"/>
      <c r="AN58" s="678" t="s">
        <v>1176</v>
      </c>
      <c r="AO58" s="678"/>
      <c r="AP58" s="678"/>
      <c r="AQ58" s="179"/>
      <c r="AR58" s="179"/>
    </row>
    <row r="59" spans="1:44" s="326" customFormat="1" ht="14.25" customHeight="1" x14ac:dyDescent="0.15">
      <c r="A59" s="62"/>
      <c r="C59" s="209"/>
      <c r="D59" s="209"/>
      <c r="E59" s="585">
        <v>15</v>
      </c>
      <c r="F59" s="3" t="str" cm="1">
        <f t="array" aca="1" ref="F59" ca="1">OFFSET(E59,-1,1)</f>
        <v>1</v>
      </c>
      <c r="G59" s="267" t="s">
        <v>1177</v>
      </c>
      <c r="H59" s="384" t="s">
        <v>333</v>
      </c>
      <c r="I59" s="384"/>
      <c r="J59" s="209"/>
      <c r="K59" s="364" t="str">
        <f ca="1">F59&amp;"3komm"</f>
        <v>13komm</v>
      </c>
      <c r="L59" s="607" cm="1">
        <f t="array" ref="L59">AK59</f>
        <v>0</v>
      </c>
      <c r="M59" s="209"/>
      <c r="N59" s="209"/>
      <c r="O59" s="209"/>
      <c r="P59" s="209"/>
      <c r="Q59" s="209"/>
      <c r="R59" s="209"/>
      <c r="S59" s="209"/>
      <c r="T59" s="353" t="b" cm="1">
        <f t="array" aca="1" ref="T59" ca="1">T58</f>
        <v>1</v>
      </c>
      <c r="U59" s="209"/>
      <c r="V59" s="209"/>
      <c r="W59" s="209"/>
      <c r="X59" s="1050"/>
      <c r="Y59" s="588"/>
      <c r="Z59" s="1051"/>
      <c r="AA59" s="209"/>
      <c r="AB59" s="500" t="s">
        <v>291</v>
      </c>
      <c r="AC59" s="246" t="s">
        <v>1178</v>
      </c>
      <c r="AD59" s="9" t="s">
        <v>828</v>
      </c>
      <c r="AE59" s="141"/>
      <c r="AF59" s="141"/>
      <c r="AG59" s="141"/>
      <c r="AH59" s="141"/>
      <c r="AI59" s="126">
        <f>SUMIFS(AI60:AI63,$AD60:$AD63,$AD59)</f>
        <v>0</v>
      </c>
      <c r="AJ59" s="126">
        <f>SUMIFS(AJ60:AJ63,$AD60:$AD63,$AD59)</f>
        <v>0</v>
      </c>
      <c r="AK59" s="103"/>
      <c r="AL59" s="62"/>
      <c r="AM59" s="62"/>
      <c r="AN59" s="678" t="s">
        <v>1179</v>
      </c>
      <c r="AO59" s="678"/>
      <c r="AP59" s="678"/>
      <c r="AQ59" s="179"/>
      <c r="AR59" s="179"/>
    </row>
    <row r="60" spans="1:44" s="326" customFormat="1" ht="18" hidden="1" customHeight="1" x14ac:dyDescent="0.15">
      <c r="A60" s="62"/>
      <c r="C60" s="209"/>
      <c r="D60" s="209"/>
      <c r="E60" s="585">
        <v>18.75</v>
      </c>
      <c r="F60" s="3" t="str" cm="1">
        <f t="array" aca="1" ref="F60" ca="1">OFFSET(E60,-1,1)</f>
        <v>1</v>
      </c>
      <c r="G60" s="384"/>
      <c r="H60" s="384" t="s">
        <v>333</v>
      </c>
      <c r="I60" s="384" cm="1">
        <f t="array" ref="I60">AC60</f>
        <v>0</v>
      </c>
      <c r="J60" s="209"/>
      <c r="K60" s="364"/>
      <c r="L60" s="364"/>
      <c r="M60" s="209"/>
      <c r="N60" s="209"/>
      <c r="O60" s="209"/>
      <c r="P60" s="209"/>
      <c r="Q60" s="209"/>
      <c r="R60" s="209"/>
      <c r="S60" s="209"/>
      <c r="T60" s="353" t="b">
        <f ca="1">AND(F60&gt;0,Y60&gt;0)</f>
        <v>0</v>
      </c>
      <c r="U60" s="209"/>
      <c r="V60" s="209"/>
      <c r="W60" s="209" t="s">
        <v>172</v>
      </c>
      <c r="X60" s="1050"/>
      <c r="Y60" s="1050">
        <v>0</v>
      </c>
      <c r="Z60" s="1051"/>
      <c r="AA60" s="1048" t="s">
        <v>173</v>
      </c>
      <c r="AB60" s="7" t="str">
        <f>"3."&amp;Y60</f>
        <v>3.0</v>
      </c>
      <c r="AC60" s="780"/>
      <c r="AD60" s="9" t="s">
        <v>828</v>
      </c>
      <c r="AE60" s="9"/>
      <c r="AF60" s="9"/>
      <c r="AG60" s="9"/>
      <c r="AH60" s="9"/>
      <c r="AI60" s="128">
        <f>AI61*AI62*12/1000</f>
        <v>0</v>
      </c>
      <c r="AJ60" s="128">
        <f>AJ61*AJ62*12/1000</f>
        <v>0</v>
      </c>
      <c r="AK60" s="819"/>
      <c r="AL60" s="62"/>
      <c r="AM60" s="62"/>
      <c r="AN60" s="678" t="s">
        <v>1165</v>
      </c>
      <c r="AO60" s="678" t="s">
        <v>1180</v>
      </c>
      <c r="AP60" s="678" cm="1">
        <f t="array" ref="AP60">AC60</f>
        <v>0</v>
      </c>
      <c r="AQ60" s="179"/>
      <c r="AR60" s="179" t="b">
        <v>1</v>
      </c>
    </row>
    <row r="61" spans="1:44" s="326" customFormat="1" ht="14.25" hidden="1" customHeight="1" x14ac:dyDescent="0.15">
      <c r="A61" s="62"/>
      <c r="C61" s="209"/>
      <c r="D61" s="209"/>
      <c r="E61" s="585">
        <v>15</v>
      </c>
      <c r="F61" s="3" t="str" cm="1">
        <f t="array" aca="1" ref="F61" ca="1">OFFSET(E61,-1,1)</f>
        <v>1</v>
      </c>
      <c r="G61" s="384" t="s">
        <v>1181</v>
      </c>
      <c r="H61" s="384" t="str">
        <f>H60&amp;"_1"</f>
        <v>l3_1</v>
      </c>
      <c r="I61" s="384" cm="1">
        <f t="array" ref="I61">I60</f>
        <v>0</v>
      </c>
      <c r="J61" s="209"/>
      <c r="K61" s="364"/>
      <c r="L61" s="364"/>
      <c r="M61" s="209"/>
      <c r="N61" s="209"/>
      <c r="O61" s="209"/>
      <c r="P61" s="209"/>
      <c r="Q61" s="209"/>
      <c r="R61" s="209"/>
      <c r="S61" s="209"/>
      <c r="T61" s="353" t="b" cm="1">
        <f t="array" aca="1" ref="T61" ca="1">T60</f>
        <v>0</v>
      </c>
      <c r="U61" s="209"/>
      <c r="V61" s="209"/>
      <c r="W61" s="209"/>
      <c r="X61" s="1050"/>
      <c r="Y61" s="1050"/>
      <c r="Z61" s="1051"/>
      <c r="AA61" s="1048"/>
      <c r="AB61" s="500" t="str">
        <f>AB60&amp;".1"</f>
        <v>3.0.1</v>
      </c>
      <c r="AC61" s="134" t="s">
        <v>1168</v>
      </c>
      <c r="AD61" s="9" t="s">
        <v>1169</v>
      </c>
      <c r="AE61" s="9"/>
      <c r="AF61" s="9"/>
      <c r="AG61" s="9"/>
      <c r="AH61" s="9"/>
      <c r="AI61" s="141"/>
      <c r="AJ61" s="141"/>
      <c r="AK61" s="819"/>
      <c r="AL61" s="62"/>
      <c r="AM61" s="62"/>
      <c r="AN61" s="678" t="s">
        <v>1170</v>
      </c>
      <c r="AO61" s="678" t="s">
        <v>1180</v>
      </c>
      <c r="AP61" s="678" cm="1">
        <f t="array" ref="AP61">AP60</f>
        <v>0</v>
      </c>
      <c r="AQ61" s="179"/>
      <c r="AR61" s="179"/>
    </row>
    <row r="62" spans="1:44" s="326" customFormat="1" ht="14.25" hidden="1" customHeight="1" x14ac:dyDescent="0.15">
      <c r="A62" s="62"/>
      <c r="C62" s="209"/>
      <c r="D62" s="209"/>
      <c r="E62" s="585">
        <v>15</v>
      </c>
      <c r="F62" s="3" t="str" cm="1">
        <f t="array" aca="1" ref="F62" ca="1">OFFSET(E62,-1,1)</f>
        <v>1</v>
      </c>
      <c r="G62" s="384"/>
      <c r="H62" s="384" t="str">
        <f>H60&amp;"_2"</f>
        <v>l3_2</v>
      </c>
      <c r="I62" s="384" cm="1">
        <f t="array" ref="I62">I61</f>
        <v>0</v>
      </c>
      <c r="J62" s="209"/>
      <c r="K62" s="364"/>
      <c r="L62" s="364"/>
      <c r="M62" s="209"/>
      <c r="N62" s="209"/>
      <c r="O62" s="209"/>
      <c r="P62" s="209"/>
      <c r="Q62" s="209"/>
      <c r="R62" s="209"/>
      <c r="S62" s="209"/>
      <c r="T62" s="353" t="b" cm="1">
        <f t="array" aca="1" ref="T62" ca="1">T61</f>
        <v>0</v>
      </c>
      <c r="U62" s="209"/>
      <c r="V62" s="209"/>
      <c r="W62" s="209"/>
      <c r="X62" s="1050"/>
      <c r="Y62" s="1050"/>
      <c r="Z62" s="1051"/>
      <c r="AA62" s="1048"/>
      <c r="AB62" s="500" t="str">
        <f>AB60&amp;".2"</f>
        <v>3.0.2</v>
      </c>
      <c r="AC62" s="134" t="s">
        <v>1171</v>
      </c>
      <c r="AD62" s="9" t="s">
        <v>1172</v>
      </c>
      <c r="AE62" s="9"/>
      <c r="AF62" s="9"/>
      <c r="AG62" s="9"/>
      <c r="AH62" s="9"/>
      <c r="AI62" s="141"/>
      <c r="AJ62" s="141"/>
      <c r="AK62" s="819"/>
      <c r="AL62" s="62"/>
      <c r="AM62" s="62"/>
      <c r="AN62" s="678" t="s">
        <v>1173</v>
      </c>
      <c r="AO62" s="678" t="s">
        <v>1180</v>
      </c>
      <c r="AP62" s="678" cm="1">
        <f t="array" ref="AP62">AP61</f>
        <v>0</v>
      </c>
      <c r="AQ62" s="179"/>
      <c r="AR62" s="179"/>
    </row>
    <row r="63" spans="1:44" s="326" customFormat="1" ht="14.25" customHeight="1" x14ac:dyDescent="0.15">
      <c r="A63" s="62"/>
      <c r="C63" s="209"/>
      <c r="D63" s="209"/>
      <c r="E63" s="585">
        <v>15</v>
      </c>
      <c r="F63" s="3" t="str" cm="1">
        <f t="array" aca="1" ref="F63" ca="1">OFFSET(E63,-1,1)</f>
        <v>1</v>
      </c>
      <c r="G63" s="267"/>
      <c r="H63" s="384"/>
      <c r="I63" s="66" t="str">
        <f>"!=='не определено' &amp;&amp; row.l3 !== null"</f>
        <v>!=='не определено' &amp;&amp; row.l3 !== null</v>
      </c>
      <c r="J63" s="209"/>
      <c r="K63" s="364"/>
      <c r="L63" s="364"/>
      <c r="M63" s="209"/>
      <c r="N63" s="209"/>
      <c r="O63" s="209"/>
      <c r="P63" s="209"/>
      <c r="Q63" s="209"/>
      <c r="R63" s="209"/>
      <c r="S63" s="209"/>
      <c r="T63" s="353" t="b">
        <f ca="1">F63&gt;0</f>
        <v>1</v>
      </c>
      <c r="U63" s="209"/>
      <c r="V63" s="209"/>
      <c r="W63" s="517" t="s">
        <v>919</v>
      </c>
      <c r="X63" s="1050"/>
      <c r="Y63" s="588"/>
      <c r="Z63" s="1051"/>
      <c r="AA63" s="209"/>
      <c r="AB63" s="589"/>
      <c r="AC63" s="172" t="s">
        <v>176</v>
      </c>
      <c r="AD63" s="547"/>
      <c r="AE63" s="547"/>
      <c r="AF63" s="547"/>
      <c r="AG63" s="547"/>
      <c r="AH63" s="547"/>
      <c r="AI63" s="547"/>
      <c r="AJ63" s="547"/>
      <c r="AK63" s="548"/>
      <c r="AL63" s="62"/>
      <c r="AM63" s="62"/>
      <c r="AN63" s="678"/>
      <c r="AO63" s="678"/>
      <c r="AP63" s="678"/>
      <c r="AQ63" s="179" t="s">
        <v>1180</v>
      </c>
      <c r="AR63" s="179"/>
    </row>
    <row r="64" spans="1:44" s="326" customFormat="1" ht="21.75" customHeight="1" x14ac:dyDescent="0.15">
      <c r="A64" s="62"/>
      <c r="C64" s="209"/>
      <c r="D64" s="209"/>
      <c r="E64" s="585">
        <v>22.5</v>
      </c>
      <c r="F64" s="3" t="str" cm="1">
        <f t="array" aca="1" ref="F64" ca="1">OFFSET(E64,-1,1)</f>
        <v>1</v>
      </c>
      <c r="G64" s="267" t="s">
        <v>1182</v>
      </c>
      <c r="H64" s="384" t="s">
        <v>335</v>
      </c>
      <c r="I64" s="384"/>
      <c r="J64" s="209"/>
      <c r="K64" s="364" t="str">
        <f ca="1">F64&amp;"4komm"</f>
        <v>14komm</v>
      </c>
      <c r="L64" s="607" cm="1">
        <f t="array" ref="L64">AK64</f>
        <v>0</v>
      </c>
      <c r="M64" s="209"/>
      <c r="N64" s="209"/>
      <c r="O64" s="209"/>
      <c r="P64" s="209"/>
      <c r="Q64" s="209"/>
      <c r="R64" s="209"/>
      <c r="S64" s="209"/>
      <c r="T64" s="353" t="b" cm="1">
        <f t="array" aca="1" ref="T64" ca="1">T63</f>
        <v>1</v>
      </c>
      <c r="U64" s="209"/>
      <c r="V64" s="209"/>
      <c r="W64" s="209"/>
      <c r="X64" s="1050"/>
      <c r="Y64" s="588"/>
      <c r="Z64" s="1051"/>
      <c r="AA64" s="209"/>
      <c r="AB64" s="500" t="s">
        <v>454</v>
      </c>
      <c r="AC64" s="246" t="s">
        <v>1183</v>
      </c>
      <c r="AD64" s="9" t="s">
        <v>828</v>
      </c>
      <c r="AE64" s="141">
        <f ca="1">AE59*SUMIFS(INDEX(Сценарии!$AE$25:$BF$136,,MATCH(AE$13,Сценарии!$AE$8:$BF$8,0)),Сценарии!$F$25:$F$136,$F64,Сценарии!$G$25:$G$136,"СВФОТ")/100</f>
        <v>0</v>
      </c>
      <c r="AF64" s="141">
        <f ca="1">AF59*SUMIFS(INDEX(Сценарии!$AE$25:$BF$136,,MATCH(AF$13,Сценарии!$AE$8:$BF$8,0)),Сценарии!$F$25:$F$136,$F64,Сценарии!$G$25:$G$136,"СВФОТ")/100</f>
        <v>0</v>
      </c>
      <c r="AG64" s="141">
        <f ca="1">AG59*SUMIFS(INDEX(Сценарии!$AE$25:$BF$136,,MATCH(AG$13,Сценарии!$AE$8:$BF$8,0)),Сценарии!$F$25:$F$136,$F64,Сценарии!$G$25:$G$136,"СВФОТ")/100</f>
        <v>0</v>
      </c>
      <c r="AH64" s="141">
        <f ca="1">AH59*SUMIFS(INDEX(Сценарии!$AE$25:$BF$136,,MATCH(AH$13,Сценарии!$AE$8:$BF$8,0)),Сценарии!$F$25:$F$136,$F64,Сценарии!$G$25:$G$136,"СВФОТ")/100</f>
        <v>0</v>
      </c>
      <c r="AI64" s="141">
        <f ca="1">AI59*SUMIFS(INDEX(Сценарии!$AE$25:$BF$136,,MATCH(AI$13,Сценарии!$AE$8:$BF$8,0)),Сценарии!$F$25:$F$136,$F64,Сценарии!$G$25:$G$136,"СВФОТ")/100</f>
        <v>0</v>
      </c>
      <c r="AJ64" s="141">
        <f ca="1">AJ59*SUMIFS(INDEX(Сценарии!$AE$25:$BF$136,,MATCH(AJ$13,Сценарии!$AE$8:$BF$8,0)),Сценарии!$F$25:$F$136,$F64,Сценарии!$G$25:$G$136,"СВФОТ")/100</f>
        <v>0</v>
      </c>
      <c r="AK64" s="103"/>
      <c r="AL64" s="62"/>
      <c r="AM64" s="62"/>
      <c r="AN64" s="678" t="s">
        <v>1184</v>
      </c>
      <c r="AO64" s="678"/>
      <c r="AP64" s="678"/>
      <c r="AQ64" s="179"/>
      <c r="AR64" s="179"/>
    </row>
    <row r="65" spans="1:44" s="326" customFormat="1" ht="21.75" customHeight="1" x14ac:dyDescent="0.15">
      <c r="A65" s="62"/>
      <c r="C65" s="209"/>
      <c r="D65" s="209"/>
      <c r="E65" s="585">
        <v>22.5</v>
      </c>
      <c r="F65" s="3" t="str" cm="1">
        <f t="array" aca="1" ref="F65" ca="1">OFFSET(E65,-1,1)</f>
        <v>1</v>
      </c>
      <c r="G65" s="267" t="s">
        <v>1185</v>
      </c>
      <c r="H65" s="384" t="s">
        <v>334</v>
      </c>
      <c r="I65" s="384"/>
      <c r="J65" s="209"/>
      <c r="K65" s="364" t="str">
        <f ca="1">F65&amp;"5komm"</f>
        <v>15komm</v>
      </c>
      <c r="L65" s="607" cm="1">
        <f t="array" ref="L65">AK65</f>
        <v>0</v>
      </c>
      <c r="M65" s="209"/>
      <c r="N65" s="209"/>
      <c r="O65" s="209"/>
      <c r="P65" s="209"/>
      <c r="Q65" s="209"/>
      <c r="R65" s="209"/>
      <c r="S65" s="209"/>
      <c r="T65" s="353" t="b" cm="1">
        <f t="array" aca="1" ref="T65" ca="1">T64</f>
        <v>1</v>
      </c>
      <c r="U65" s="209"/>
      <c r="V65" s="209"/>
      <c r="W65" s="209"/>
      <c r="X65" s="1050"/>
      <c r="Y65" s="588"/>
      <c r="Z65" s="1051"/>
      <c r="AA65" s="209"/>
      <c r="AB65" s="500" t="s">
        <v>460</v>
      </c>
      <c r="AC65" s="246" t="s">
        <v>1186</v>
      </c>
      <c r="AD65" s="9" t="s">
        <v>828</v>
      </c>
      <c r="AE65" s="141"/>
      <c r="AF65" s="141"/>
      <c r="AG65" s="141"/>
      <c r="AH65" s="141"/>
      <c r="AI65" s="126">
        <f>SUMIFS(AI66:AI69,$AD66:$AD69,$AD65)</f>
        <v>0</v>
      </c>
      <c r="AJ65" s="126">
        <f>SUMIFS(AJ66:AJ69,$AD66:$AD69,$AD65)</f>
        <v>0</v>
      </c>
      <c r="AK65" s="103"/>
      <c r="AL65" s="62"/>
      <c r="AM65" s="62"/>
      <c r="AN65" s="678" t="s">
        <v>1187</v>
      </c>
      <c r="AO65" s="678"/>
      <c r="AP65" s="678"/>
      <c r="AQ65" s="179"/>
      <c r="AR65" s="179"/>
    </row>
    <row r="66" spans="1:44" s="326" customFormat="1" ht="18" hidden="1" customHeight="1" x14ac:dyDescent="0.15">
      <c r="A66" s="62"/>
      <c r="C66" s="209"/>
      <c r="D66" s="209"/>
      <c r="E66" s="585">
        <v>18.75</v>
      </c>
      <c r="F66" s="3" t="str" cm="1">
        <f t="array" aca="1" ref="F66" ca="1">OFFSET(E66,-1,1)</f>
        <v>1</v>
      </c>
      <c r="G66" s="384"/>
      <c r="H66" s="384" t="s">
        <v>334</v>
      </c>
      <c r="I66" s="384" cm="1">
        <f t="array" ref="I66">AC66</f>
        <v>0</v>
      </c>
      <c r="J66" s="209"/>
      <c r="K66" s="364"/>
      <c r="L66" s="364"/>
      <c r="M66" s="209"/>
      <c r="N66" s="209"/>
      <c r="O66" s="209"/>
      <c r="P66" s="209"/>
      <c r="Q66" s="209"/>
      <c r="R66" s="209"/>
      <c r="S66" s="209"/>
      <c r="T66" s="353" t="b">
        <f ca="1">AND(F66&gt;0,Y66&gt;0)</f>
        <v>0</v>
      </c>
      <c r="U66" s="209"/>
      <c r="V66" s="209"/>
      <c r="W66" s="209" t="s">
        <v>172</v>
      </c>
      <c r="X66" s="1050"/>
      <c r="Y66" s="1050">
        <v>0</v>
      </c>
      <c r="Z66" s="1051"/>
      <c r="AA66" s="1048" t="s">
        <v>173</v>
      </c>
      <c r="AB66" s="7" t="str">
        <f>"5."&amp;Y66</f>
        <v>5.0</v>
      </c>
      <c r="AC66" s="780"/>
      <c r="AD66" s="9" t="s">
        <v>828</v>
      </c>
      <c r="AE66" s="9"/>
      <c r="AF66" s="9"/>
      <c r="AG66" s="9"/>
      <c r="AH66" s="9"/>
      <c r="AI66" s="128">
        <f>AI67*AI68*12/1000</f>
        <v>0</v>
      </c>
      <c r="AJ66" s="128">
        <f>AJ67*AJ68*12/1000</f>
        <v>0</v>
      </c>
      <c r="AK66" s="819"/>
      <c r="AL66" s="62"/>
      <c r="AM66" s="62"/>
      <c r="AN66" s="678" t="s">
        <v>1165</v>
      </c>
      <c r="AO66" s="678" t="s">
        <v>1188</v>
      </c>
      <c r="AP66" s="678" cm="1">
        <f t="array" ref="AP66">AC66</f>
        <v>0</v>
      </c>
      <c r="AQ66" s="179"/>
      <c r="AR66" s="179" t="b">
        <v>1</v>
      </c>
    </row>
    <row r="67" spans="1:44" s="326" customFormat="1" ht="14.25" hidden="1" customHeight="1" x14ac:dyDescent="0.15">
      <c r="A67" s="62"/>
      <c r="C67" s="209"/>
      <c r="D67" s="209"/>
      <c r="E67" s="585">
        <v>15</v>
      </c>
      <c r="F67" s="3" t="str" cm="1">
        <f t="array" aca="1" ref="F67" ca="1">OFFSET(E67,-1,1)</f>
        <v>1</v>
      </c>
      <c r="G67" s="384"/>
      <c r="H67" s="384" t="str">
        <f>H66&amp;"_1"</f>
        <v>l5_1</v>
      </c>
      <c r="I67" s="384" cm="1">
        <f t="array" ref="I67">I66</f>
        <v>0</v>
      </c>
      <c r="J67" s="209"/>
      <c r="K67" s="364"/>
      <c r="L67" s="364"/>
      <c r="M67" s="209"/>
      <c r="N67" s="209"/>
      <c r="O67" s="209"/>
      <c r="P67" s="209"/>
      <c r="Q67" s="209"/>
      <c r="R67" s="209"/>
      <c r="S67" s="209"/>
      <c r="T67" s="353" t="b" cm="1">
        <f t="array" aca="1" ref="T67" ca="1">T66</f>
        <v>0</v>
      </c>
      <c r="U67" s="209"/>
      <c r="V67" s="209"/>
      <c r="W67" s="209"/>
      <c r="X67" s="1050"/>
      <c r="Y67" s="1050"/>
      <c r="Z67" s="1051"/>
      <c r="AA67" s="1048"/>
      <c r="AB67" s="500" t="str">
        <f>AB66&amp;".1"</f>
        <v>5.0.1</v>
      </c>
      <c r="AC67" s="134" t="s">
        <v>1168</v>
      </c>
      <c r="AD67" s="9" t="s">
        <v>1169</v>
      </c>
      <c r="AE67" s="9"/>
      <c r="AF67" s="9"/>
      <c r="AG67" s="9"/>
      <c r="AH67" s="9"/>
      <c r="AI67" s="141"/>
      <c r="AJ67" s="141"/>
      <c r="AK67" s="819"/>
      <c r="AL67" s="62"/>
      <c r="AM67" s="62"/>
      <c r="AN67" s="678" t="s">
        <v>1170</v>
      </c>
      <c r="AO67" s="678" t="s">
        <v>1188</v>
      </c>
      <c r="AP67" s="678" cm="1">
        <f t="array" ref="AP67">AP66</f>
        <v>0</v>
      </c>
      <c r="AQ67" s="179"/>
      <c r="AR67" s="179"/>
    </row>
    <row r="68" spans="1:44" s="326" customFormat="1" ht="14.25" hidden="1" customHeight="1" x14ac:dyDescent="0.15">
      <c r="A68" s="62"/>
      <c r="C68" s="209"/>
      <c r="D68" s="209"/>
      <c r="E68" s="585">
        <v>15</v>
      </c>
      <c r="F68" s="3" t="str" cm="1">
        <f t="array" aca="1" ref="F68" ca="1">OFFSET(E68,-1,1)</f>
        <v>1</v>
      </c>
      <c r="G68" s="384"/>
      <c r="H68" s="384" t="str">
        <f>H66&amp;"_2"</f>
        <v>l5_2</v>
      </c>
      <c r="I68" s="384" cm="1">
        <f t="array" ref="I68">I67</f>
        <v>0</v>
      </c>
      <c r="J68" s="209"/>
      <c r="K68" s="364"/>
      <c r="L68" s="364"/>
      <c r="M68" s="209"/>
      <c r="N68" s="209"/>
      <c r="O68" s="209"/>
      <c r="P68" s="209"/>
      <c r="Q68" s="209"/>
      <c r="R68" s="209"/>
      <c r="S68" s="209"/>
      <c r="T68" s="353" t="b" cm="1">
        <f t="array" aca="1" ref="T68" ca="1">T67</f>
        <v>0</v>
      </c>
      <c r="U68" s="209"/>
      <c r="V68" s="209"/>
      <c r="W68" s="209"/>
      <c r="X68" s="1050"/>
      <c r="Y68" s="1050"/>
      <c r="Z68" s="1051"/>
      <c r="AA68" s="1048"/>
      <c r="AB68" s="500" t="str">
        <f>AB66&amp;".2"</f>
        <v>5.0.2</v>
      </c>
      <c r="AC68" s="134" t="s">
        <v>1171</v>
      </c>
      <c r="AD68" s="9" t="s">
        <v>1172</v>
      </c>
      <c r="AE68" s="9"/>
      <c r="AF68" s="9"/>
      <c r="AG68" s="9"/>
      <c r="AH68" s="9"/>
      <c r="AI68" s="141"/>
      <c r="AJ68" s="141"/>
      <c r="AK68" s="819"/>
      <c r="AL68" s="62"/>
      <c r="AM68" s="62"/>
      <c r="AN68" s="678" t="s">
        <v>1173</v>
      </c>
      <c r="AO68" s="678" t="s">
        <v>1188</v>
      </c>
      <c r="AP68" s="678" cm="1">
        <f t="array" ref="AP68">AP67</f>
        <v>0</v>
      </c>
      <c r="AQ68" s="179"/>
      <c r="AR68" s="179"/>
    </row>
    <row r="69" spans="1:44" s="326" customFormat="1" ht="14.25" customHeight="1" x14ac:dyDescent="0.15">
      <c r="A69" s="62"/>
      <c r="C69" s="209"/>
      <c r="D69" s="209"/>
      <c r="E69" s="585">
        <v>15</v>
      </c>
      <c r="F69" s="3" t="str" cm="1">
        <f t="array" aca="1" ref="F69" ca="1">OFFSET(E69,-1,1)</f>
        <v>1</v>
      </c>
      <c r="G69" s="267"/>
      <c r="H69" s="384"/>
      <c r="I69" s="66" t="str">
        <f>"!=='не определено' &amp;&amp; row.l5 !== null"</f>
        <v>!=='не определено' &amp;&amp; row.l5 !== null</v>
      </c>
      <c r="J69" s="209"/>
      <c r="K69" s="364"/>
      <c r="L69" s="364"/>
      <c r="M69" s="209"/>
      <c r="N69" s="209"/>
      <c r="O69" s="209"/>
      <c r="P69" s="209"/>
      <c r="Q69" s="209"/>
      <c r="R69" s="209"/>
      <c r="S69" s="209"/>
      <c r="T69" s="353" t="b">
        <f ca="1">F69&gt;0</f>
        <v>1</v>
      </c>
      <c r="U69" s="209"/>
      <c r="V69" s="209"/>
      <c r="W69" s="517" t="s">
        <v>1189</v>
      </c>
      <c r="X69" s="1050"/>
      <c r="Y69" s="588"/>
      <c r="Z69" s="1051"/>
      <c r="AA69" s="209"/>
      <c r="AB69" s="589"/>
      <c r="AC69" s="172" t="s">
        <v>176</v>
      </c>
      <c r="AD69" s="547"/>
      <c r="AE69" s="547"/>
      <c r="AF69" s="547"/>
      <c r="AG69" s="547"/>
      <c r="AH69" s="547"/>
      <c r="AI69" s="547"/>
      <c r="AJ69" s="547"/>
      <c r="AK69" s="548"/>
      <c r="AL69" s="62"/>
      <c r="AM69" s="62"/>
      <c r="AN69" s="678"/>
      <c r="AO69" s="678"/>
      <c r="AP69" s="678"/>
      <c r="AQ69" s="179" t="s">
        <v>1188</v>
      </c>
      <c r="AR69" s="179"/>
    </row>
    <row r="70" spans="1:44" s="326" customFormat="1" ht="21.75" customHeight="1" x14ac:dyDescent="0.15">
      <c r="A70" s="62"/>
      <c r="C70" s="209"/>
      <c r="D70" s="209"/>
      <c r="E70" s="585">
        <v>22.5</v>
      </c>
      <c r="F70" s="3" t="str" cm="1">
        <f t="array" aca="1" ref="F70" ca="1">OFFSET(E70,-1,1)</f>
        <v>1</v>
      </c>
      <c r="G70" s="267" t="s">
        <v>1190</v>
      </c>
      <c r="H70" s="384" t="s">
        <v>532</v>
      </c>
      <c r="I70" s="384"/>
      <c r="J70" s="209"/>
      <c r="K70" s="364" t="str">
        <f ca="1">F70&amp;"6komm"</f>
        <v>16komm</v>
      </c>
      <c r="L70" s="364" cm="1">
        <f t="array" ref="L70">AK70</f>
        <v>0</v>
      </c>
      <c r="M70" s="209"/>
      <c r="N70" s="209"/>
      <c r="O70" s="209"/>
      <c r="P70" s="209"/>
      <c r="Q70" s="209"/>
      <c r="R70" s="209"/>
      <c r="S70" s="209"/>
      <c r="T70" s="353" t="b" cm="1">
        <f t="array" aca="1" ref="T70" ca="1">T69</f>
        <v>1</v>
      </c>
      <c r="U70" s="209"/>
      <c r="V70" s="209"/>
      <c r="W70" s="209"/>
      <c r="X70" s="1050"/>
      <c r="Y70" s="588"/>
      <c r="Z70" s="1051"/>
      <c r="AA70" s="209"/>
      <c r="AB70" s="500" t="s">
        <v>536</v>
      </c>
      <c r="AC70" s="246" t="s">
        <v>1191</v>
      </c>
      <c r="AD70" s="9" t="s">
        <v>828</v>
      </c>
      <c r="AE70" s="141">
        <f ca="1">AE65*SUMIFS(INDEX(Сценарии!$AE$25:$BF$136,,MATCH(AE$13,Сценарии!$AE$8:$BF$8,0)),Сценарии!$F$25:$F$136,$F70,Сценарии!$G$25:$G$136,"СВФОТ")/100</f>
        <v>0</v>
      </c>
      <c r="AF70" s="141">
        <f ca="1">AF65*SUMIFS(INDEX(Сценарии!$AE$25:$BF$136,,MATCH(AF$13,Сценарии!$AE$8:$BF$8,0)),Сценарии!$F$25:$F$136,$F70,Сценарии!$G$25:$G$136,"СВФОТ")/100</f>
        <v>0</v>
      </c>
      <c r="AG70" s="141">
        <f ca="1">AG65*SUMIFS(INDEX(Сценарии!$AE$25:$BF$136,,MATCH(AG$13,Сценарии!$AE$8:$BF$8,0)),Сценарии!$F$25:$F$136,$F70,Сценарии!$G$25:$G$136,"СВФОТ")/100</f>
        <v>0</v>
      </c>
      <c r="AH70" s="141">
        <f ca="1">AH65*SUMIFS(INDEX(Сценарии!$AE$25:$BF$136,,MATCH(AH$13,Сценарии!$AE$8:$BF$8,0)),Сценарии!$F$25:$F$136,$F70,Сценарии!$G$25:$G$136,"СВФОТ")/100</f>
        <v>0</v>
      </c>
      <c r="AI70" s="141">
        <f ca="1">AI65*SUMIFS(INDEX(Сценарии!$AE$25:$BF$136,,MATCH(AI$13,Сценарии!$AE$8:$BF$8,0)),Сценарии!$F$25:$F$136,$F70,Сценарии!$G$25:$G$136,"СВФОТ")/100</f>
        <v>0</v>
      </c>
      <c r="AJ70" s="141">
        <f ca="1">AJ65*SUMIFS(INDEX(Сценарии!$AE$25:$BF$136,,MATCH(AJ$13,Сценарии!$AE$8:$BF$8,0)),Сценарии!$F$25:$F$136,$F70,Сценарии!$G$25:$G$136,"СВФОТ")/100</f>
        <v>0</v>
      </c>
      <c r="AK70" s="608"/>
      <c r="AL70" s="62"/>
      <c r="AM70" s="62"/>
      <c r="AN70" s="678" t="s">
        <v>1192</v>
      </c>
      <c r="AO70" s="678"/>
      <c r="AP70" s="678"/>
      <c r="AQ70" s="179"/>
      <c r="AR70" s="179"/>
    </row>
    <row r="71" spans="1:44" s="326" customFormat="1" ht="14.25" customHeight="1" x14ac:dyDescent="0.15">
      <c r="A71" s="62"/>
      <c r="C71" s="209"/>
      <c r="D71" s="209"/>
      <c r="E71" s="585">
        <v>15</v>
      </c>
      <c r="F71" s="3" t="str" cm="1">
        <f t="array" aca="1" ref="F71" ca="1">OFFSET(E71,-1,1)</f>
        <v>1</v>
      </c>
      <c r="G71" s="267" t="s">
        <v>1193</v>
      </c>
      <c r="H71" s="384" t="s">
        <v>535</v>
      </c>
      <c r="I71" s="384"/>
      <c r="J71" s="209"/>
      <c r="K71" s="364" t="str">
        <f ca="1">F71&amp;"7komm"</f>
        <v>17komm</v>
      </c>
      <c r="L71" s="364" cm="1">
        <f t="array" ref="L71">AK71</f>
        <v>0</v>
      </c>
      <c r="M71" s="209"/>
      <c r="N71" s="209"/>
      <c r="O71" s="209"/>
      <c r="P71" s="209"/>
      <c r="Q71" s="209"/>
      <c r="R71" s="209"/>
      <c r="S71" s="209"/>
      <c r="T71" s="353" t="b" cm="1">
        <f t="array" aca="1" ref="T71" ca="1">T70</f>
        <v>1</v>
      </c>
      <c r="U71" s="209"/>
      <c r="V71" s="209"/>
      <c r="W71" s="209"/>
      <c r="X71" s="1050"/>
      <c r="Y71" s="588"/>
      <c r="Z71" s="1051"/>
      <c r="AA71" s="209"/>
      <c r="AB71" s="500" t="s">
        <v>602</v>
      </c>
      <c r="AC71" s="246" t="s">
        <v>1194</v>
      </c>
      <c r="AD71" s="9" t="s">
        <v>828</v>
      </c>
      <c r="AE71" s="141"/>
      <c r="AF71" s="141"/>
      <c r="AG71" s="141"/>
      <c r="AH71" s="141"/>
      <c r="AI71" s="126">
        <f>SUMIFS(AI72:AI75,$AD72:$AD75,$AD71)</f>
        <v>0</v>
      </c>
      <c r="AJ71" s="126">
        <f>SUMIFS(AJ72:AJ75,$AD72:$AD75,$AD71)</f>
        <v>0</v>
      </c>
      <c r="AK71" s="608"/>
      <c r="AL71" s="62"/>
      <c r="AM71" s="62"/>
      <c r="AN71" s="678" t="s">
        <v>1195</v>
      </c>
      <c r="AO71" s="678"/>
      <c r="AP71" s="678"/>
      <c r="AQ71" s="179"/>
      <c r="AR71" s="179"/>
    </row>
    <row r="72" spans="1:44" s="326" customFormat="1" ht="18" hidden="1" customHeight="1" x14ac:dyDescent="0.15">
      <c r="A72" s="62"/>
      <c r="B72" s="62"/>
      <c r="C72" s="209"/>
      <c r="D72" s="209"/>
      <c r="E72" s="585">
        <v>18.75</v>
      </c>
      <c r="F72" s="3" t="str" cm="1">
        <f t="array" aca="1" ref="F72" ca="1">OFFSET(E72,-1,1)</f>
        <v>1</v>
      </c>
      <c r="G72" s="384"/>
      <c r="H72" s="384" t="s">
        <v>535</v>
      </c>
      <c r="I72" s="384" cm="1">
        <f t="array" ref="I72">AC72</f>
        <v>0</v>
      </c>
      <c r="J72" s="209"/>
      <c r="K72" s="364"/>
      <c r="L72" s="364"/>
      <c r="M72" s="209"/>
      <c r="N72" s="209"/>
      <c r="O72" s="209"/>
      <c r="P72" s="209"/>
      <c r="Q72" s="209"/>
      <c r="R72" s="209"/>
      <c r="S72" s="209"/>
      <c r="T72" s="353" t="b">
        <f ca="1">AND(F72&gt;0,Y72&gt;0)</f>
        <v>0</v>
      </c>
      <c r="U72" s="209"/>
      <c r="V72" s="209"/>
      <c r="W72" s="209" t="s">
        <v>172</v>
      </c>
      <c r="X72" s="1050"/>
      <c r="Y72" s="1050">
        <v>0</v>
      </c>
      <c r="Z72" s="1051"/>
      <c r="AA72" s="1048" t="s">
        <v>173</v>
      </c>
      <c r="AB72" s="7" t="str">
        <f>"7."&amp;Y72</f>
        <v>7.0</v>
      </c>
      <c r="AC72" s="780"/>
      <c r="AD72" s="9" t="s">
        <v>828</v>
      </c>
      <c r="AE72" s="9"/>
      <c r="AF72" s="9"/>
      <c r="AG72" s="9"/>
      <c r="AH72" s="9"/>
      <c r="AI72" s="128">
        <f>AI73*AI74*12/1000</f>
        <v>0</v>
      </c>
      <c r="AJ72" s="128">
        <f>AJ73*AJ74*12/1000</f>
        <v>0</v>
      </c>
      <c r="AK72" s="819"/>
      <c r="AL72" s="62"/>
      <c r="AM72" s="62"/>
      <c r="AN72" s="678" t="s">
        <v>1165</v>
      </c>
      <c r="AO72" s="678" t="s">
        <v>1196</v>
      </c>
      <c r="AP72" s="678" cm="1">
        <f t="array" ref="AP72">AC72</f>
        <v>0</v>
      </c>
      <c r="AQ72" s="179"/>
      <c r="AR72" s="179" t="b">
        <v>1</v>
      </c>
    </row>
    <row r="73" spans="1:44" s="326" customFormat="1" ht="14.25" hidden="1" customHeight="1" x14ac:dyDescent="0.15">
      <c r="A73" s="62"/>
      <c r="B73" s="62"/>
      <c r="C73" s="209"/>
      <c r="D73" s="209"/>
      <c r="E73" s="585">
        <v>15</v>
      </c>
      <c r="F73" s="3" t="str" cm="1">
        <f t="array" aca="1" ref="F73" ca="1">OFFSET(E73,-1,1)</f>
        <v>1</v>
      </c>
      <c r="G73" s="384"/>
      <c r="H73" s="384" t="str">
        <f>H72&amp;"_1"</f>
        <v>l7_1</v>
      </c>
      <c r="I73" s="384" cm="1">
        <f t="array" ref="I73">I72</f>
        <v>0</v>
      </c>
      <c r="J73" s="209"/>
      <c r="K73" s="364"/>
      <c r="L73" s="364"/>
      <c r="M73" s="209"/>
      <c r="N73" s="209"/>
      <c r="O73" s="209"/>
      <c r="P73" s="209"/>
      <c r="Q73" s="209"/>
      <c r="R73" s="209"/>
      <c r="S73" s="209"/>
      <c r="T73" s="353" t="b" cm="1">
        <f t="array" aca="1" ref="T73" ca="1">T72</f>
        <v>0</v>
      </c>
      <c r="U73" s="209"/>
      <c r="V73" s="209"/>
      <c r="W73" s="209"/>
      <c r="X73" s="1050"/>
      <c r="Y73" s="1050"/>
      <c r="Z73" s="1051"/>
      <c r="AA73" s="1048"/>
      <c r="AB73" s="500" t="str">
        <f>AB72&amp;".1"</f>
        <v>7.0.1</v>
      </c>
      <c r="AC73" s="134" t="s">
        <v>1168</v>
      </c>
      <c r="AD73" s="9" t="s">
        <v>1169</v>
      </c>
      <c r="AE73" s="9"/>
      <c r="AF73" s="9"/>
      <c r="AG73" s="9"/>
      <c r="AH73" s="9"/>
      <c r="AI73" s="141"/>
      <c r="AJ73" s="141"/>
      <c r="AK73" s="819"/>
      <c r="AL73" s="62"/>
      <c r="AM73" s="62"/>
      <c r="AN73" s="678" t="s">
        <v>1170</v>
      </c>
      <c r="AO73" s="678" t="s">
        <v>1196</v>
      </c>
      <c r="AP73" s="678" cm="1">
        <f t="array" ref="AP73">AP72</f>
        <v>0</v>
      </c>
      <c r="AQ73" s="179"/>
      <c r="AR73" s="179"/>
    </row>
    <row r="74" spans="1:44" s="326" customFormat="1" ht="14.25" hidden="1" customHeight="1" x14ac:dyDescent="0.15">
      <c r="A74" s="62"/>
      <c r="B74" s="62"/>
      <c r="C74" s="209"/>
      <c r="D74" s="209"/>
      <c r="E74" s="585">
        <v>15</v>
      </c>
      <c r="F74" s="3" t="str" cm="1">
        <f t="array" aca="1" ref="F74" ca="1">OFFSET(E74,-1,1)</f>
        <v>1</v>
      </c>
      <c r="G74" s="384"/>
      <c r="H74" s="384" t="str">
        <f>H72&amp;"_2"</f>
        <v>l7_2</v>
      </c>
      <c r="I74" s="384" cm="1">
        <f t="array" ref="I74">I73</f>
        <v>0</v>
      </c>
      <c r="J74" s="209"/>
      <c r="K74" s="364"/>
      <c r="L74" s="364"/>
      <c r="M74" s="209"/>
      <c r="N74" s="209"/>
      <c r="O74" s="209"/>
      <c r="P74" s="209"/>
      <c r="Q74" s="209"/>
      <c r="R74" s="209"/>
      <c r="S74" s="209"/>
      <c r="T74" s="353" t="b" cm="1">
        <f t="array" aca="1" ref="T74" ca="1">T73</f>
        <v>0</v>
      </c>
      <c r="U74" s="209"/>
      <c r="V74" s="209"/>
      <c r="W74" s="209"/>
      <c r="X74" s="1050"/>
      <c r="Y74" s="1050"/>
      <c r="Z74" s="1051"/>
      <c r="AA74" s="1048"/>
      <c r="AB74" s="500" t="str">
        <f>AB72&amp;".2"</f>
        <v>7.0.2</v>
      </c>
      <c r="AC74" s="134" t="s">
        <v>1171</v>
      </c>
      <c r="AD74" s="9" t="s">
        <v>1172</v>
      </c>
      <c r="AE74" s="9"/>
      <c r="AF74" s="9"/>
      <c r="AG74" s="9"/>
      <c r="AH74" s="9"/>
      <c r="AI74" s="141"/>
      <c r="AJ74" s="141"/>
      <c r="AK74" s="819"/>
      <c r="AL74" s="62"/>
      <c r="AM74" s="62"/>
      <c r="AN74" s="678" t="s">
        <v>1173</v>
      </c>
      <c r="AO74" s="678" t="s">
        <v>1196</v>
      </c>
      <c r="AP74" s="678" cm="1">
        <f t="array" ref="AP74">AP73</f>
        <v>0</v>
      </c>
      <c r="AQ74" s="179"/>
      <c r="AR74" s="179"/>
    </row>
    <row r="75" spans="1:44" s="326" customFormat="1" ht="14.25" customHeight="1" x14ac:dyDescent="0.15">
      <c r="A75" s="62"/>
      <c r="C75" s="209"/>
      <c r="D75" s="209"/>
      <c r="E75" s="585">
        <v>15</v>
      </c>
      <c r="F75" s="3" t="str" cm="1">
        <f t="array" aca="1" ref="F75" ca="1">OFFSET(E75,-1,1)</f>
        <v>1</v>
      </c>
      <c r="G75" s="267"/>
      <c r="H75" s="384"/>
      <c r="I75" s="66" t="str">
        <f>"!=='не определено' &amp;&amp; row.l7 !== null"</f>
        <v>!=='не определено' &amp;&amp; row.l7 !== null</v>
      </c>
      <c r="J75" s="209"/>
      <c r="K75" s="364"/>
      <c r="L75" s="364"/>
      <c r="M75" s="209"/>
      <c r="N75" s="209"/>
      <c r="O75" s="209"/>
      <c r="P75" s="209"/>
      <c r="Q75" s="209"/>
      <c r="R75" s="209"/>
      <c r="S75" s="209"/>
      <c r="T75" s="353" t="b">
        <f ca="1">F75&gt;0</f>
        <v>1</v>
      </c>
      <c r="U75" s="209"/>
      <c r="V75" s="209"/>
      <c r="W75" s="517" t="s">
        <v>1197</v>
      </c>
      <c r="X75" s="1050"/>
      <c r="Y75" s="209"/>
      <c r="Z75" s="1051"/>
      <c r="AA75" s="209"/>
      <c r="AB75" s="589"/>
      <c r="AC75" s="172" t="s">
        <v>176</v>
      </c>
      <c r="AD75" s="547"/>
      <c r="AE75" s="547"/>
      <c r="AF75" s="547"/>
      <c r="AG75" s="547"/>
      <c r="AH75" s="547"/>
      <c r="AI75" s="547"/>
      <c r="AJ75" s="547"/>
      <c r="AK75" s="548"/>
      <c r="AL75" s="62"/>
      <c r="AM75" s="62"/>
      <c r="AN75" s="678"/>
      <c r="AO75" s="678"/>
      <c r="AP75" s="678"/>
      <c r="AQ75" s="179" t="s">
        <v>1196</v>
      </c>
      <c r="AR75" s="179"/>
    </row>
    <row r="76" spans="1:44" s="326" customFormat="1" ht="21.75" customHeight="1" x14ac:dyDescent="0.15">
      <c r="A76" s="62"/>
      <c r="C76" s="209"/>
      <c r="D76" s="209"/>
      <c r="E76" s="585">
        <v>22.5</v>
      </c>
      <c r="F76" s="3" t="str" cm="1">
        <f t="array" aca="1" ref="F76" ca="1">OFFSET(E76,-1,1)</f>
        <v>1</v>
      </c>
      <c r="G76" s="267" t="s">
        <v>1198</v>
      </c>
      <c r="H76" s="384" t="s">
        <v>586</v>
      </c>
      <c r="I76" s="384"/>
      <c r="J76" s="209"/>
      <c r="K76" s="364" t="str">
        <f ca="1">F76&amp;"8komm"</f>
        <v>18komm</v>
      </c>
      <c r="L76" s="607" cm="1">
        <f t="array" ref="L76">AK76</f>
        <v>0</v>
      </c>
      <c r="M76" s="209"/>
      <c r="N76" s="209"/>
      <c r="O76" s="209"/>
      <c r="P76" s="209"/>
      <c r="Q76" s="209"/>
      <c r="R76" s="209"/>
      <c r="S76" s="209"/>
      <c r="T76" s="353" t="b" cm="1">
        <f t="array" aca="1" ref="T76" ca="1">T75</f>
        <v>1</v>
      </c>
      <c r="U76" s="209"/>
      <c r="V76" s="209"/>
      <c r="W76" s="209"/>
      <c r="X76" s="1050"/>
      <c r="Y76" s="209"/>
      <c r="Z76" s="1051"/>
      <c r="AA76" s="209"/>
      <c r="AB76" s="500" t="s">
        <v>610</v>
      </c>
      <c r="AC76" s="246" t="s">
        <v>1199</v>
      </c>
      <c r="AD76" s="9" t="s">
        <v>828</v>
      </c>
      <c r="AE76" s="141">
        <f ca="1">AE71*SUMIFS(INDEX(Сценарии!$AE$25:$BF$136,,MATCH(AE$13,Сценарии!$AE$8:$BF$8,0)),Сценарии!$F$25:$F$136,$F76,Сценарии!$G$25:$G$136,"СВФОТ")/100</f>
        <v>0</v>
      </c>
      <c r="AF76" s="141">
        <f ca="1">AF71*SUMIFS(INDEX(Сценарии!$AE$25:$BF$136,,MATCH(AF$13,Сценарии!$AE$8:$BF$8,0)),Сценарии!$F$25:$F$136,$F76,Сценарии!$G$25:$G$136,"СВФОТ")/100</f>
        <v>0</v>
      </c>
      <c r="AG76" s="141">
        <f ca="1">AG71*SUMIFS(INDEX(Сценарии!$AE$25:$BF$136,,MATCH(AG$13,Сценарии!$AE$8:$BF$8,0)),Сценарии!$F$25:$F$136,$F76,Сценарии!$G$25:$G$136,"СВФОТ")/100</f>
        <v>0</v>
      </c>
      <c r="AH76" s="141">
        <f ca="1">AH71*SUMIFS(INDEX(Сценарии!$AE$25:$BF$136,,MATCH(AH$13,Сценарии!$AE$8:$BF$8,0)),Сценарии!$F$25:$F$136,$F76,Сценарии!$G$25:$G$136,"СВФОТ")/100</f>
        <v>0</v>
      </c>
      <c r="AI76" s="141">
        <f ca="1">AI71*SUMIFS(INDEX(Сценарии!$AE$25:$BF$136,,MATCH(AI$13,Сценарии!$AE$8:$BF$8,0)),Сценарии!$F$25:$F$136,$F76,Сценарии!$G$25:$G$136,"СВФОТ")/100</f>
        <v>0</v>
      </c>
      <c r="AJ76" s="141">
        <f ca="1">AJ71*SUMIFS(INDEX(Сценарии!$AE$25:$BF$136,,MATCH(AJ$13,Сценарии!$AE$8:$BF$8,0)),Сценарии!$F$25:$F$136,$F76,Сценарии!$G$25:$G$136,"СВФОТ")/100</f>
        <v>0</v>
      </c>
      <c r="AK76" s="103"/>
      <c r="AL76" s="62"/>
      <c r="AM76" s="62"/>
      <c r="AN76" s="678" t="s">
        <v>1200</v>
      </c>
      <c r="AO76" s="678"/>
      <c r="AP76" s="678"/>
      <c r="AQ76" s="179"/>
      <c r="AR76" s="179"/>
    </row>
    <row r="77" spans="1:44" s="326" customFormat="1" ht="14.25" customHeight="1" x14ac:dyDescent="0.15">
      <c r="A77" s="62"/>
      <c r="C77" s="209"/>
      <c r="D77" s="209"/>
      <c r="E77" s="585">
        <v>15</v>
      </c>
      <c r="F77" s="59" t="str" cm="1">
        <f t="array" ref="F77">X77</f>
        <v>2</v>
      </c>
      <c r="G77" s="384" t="s">
        <v>60</v>
      </c>
      <c r="H77" s="384"/>
      <c r="I77" s="384"/>
      <c r="J77" s="209"/>
      <c r="K77" s="364"/>
      <c r="L77" s="364"/>
      <c r="M77" s="209"/>
      <c r="N77" s="209"/>
      <c r="O77" s="209"/>
      <c r="P77" s="209"/>
      <c r="Q77" s="209"/>
      <c r="R77" s="209"/>
      <c r="S77" s="209"/>
      <c r="T77" s="353" t="b">
        <f>X77&gt;0</f>
        <v>1</v>
      </c>
      <c r="U77" s="209"/>
      <c r="V77" s="209" t="str" cm="1">
        <f t="array" ref="V77">Покупка!$AB$87</f>
        <v>Тариф 2 (Водоотведение) - тариф на водоотведение</v>
      </c>
      <c r="W77" s="209"/>
      <c r="X77" s="1050" t="s">
        <v>285</v>
      </c>
      <c r="Y77" s="209"/>
      <c r="Z77" s="1051"/>
      <c r="AA77" s="209"/>
      <c r="AB77" s="155" t="str" cm="1">
        <f t="array" ref="AB77">Покупка!$AB$87</f>
        <v>Тариф 2 (Водоотведение) - тариф на водоотведение</v>
      </c>
      <c r="AC77" s="586"/>
      <c r="AD77" s="586"/>
      <c r="AE77" s="587">
        <f t="shared" ref="AE77:AJ77" ca="1" si="3">AE78+AE83+AE84+AE89+AE90+AE95+AE96+AE101</f>
        <v>0</v>
      </c>
      <c r="AF77" s="587">
        <f t="shared" ca="1" si="3"/>
        <v>0</v>
      </c>
      <c r="AG77" s="587">
        <f t="shared" ca="1" si="3"/>
        <v>0</v>
      </c>
      <c r="AH77" s="587">
        <f t="shared" ca="1" si="3"/>
        <v>0</v>
      </c>
      <c r="AI77" s="587">
        <f t="shared" ca="1" si="3"/>
        <v>0</v>
      </c>
      <c r="AJ77" s="587">
        <f t="shared" ca="1" si="3"/>
        <v>0</v>
      </c>
      <c r="AK77" s="587"/>
      <c r="AL77" s="62"/>
      <c r="AM77" s="62"/>
      <c r="AN77" s="678"/>
      <c r="AO77" s="678"/>
      <c r="AP77" s="678"/>
      <c r="AQ77" s="179"/>
      <c r="AR77" s="179"/>
    </row>
    <row r="78" spans="1:44" s="326" customFormat="1" ht="21.75" customHeight="1" x14ac:dyDescent="0.15">
      <c r="A78" s="62"/>
      <c r="C78" s="209"/>
      <c r="D78" s="209"/>
      <c r="E78" s="585">
        <v>22.5</v>
      </c>
      <c r="F78" s="3" t="str" cm="1">
        <f t="array" aca="1" ref="F78" ca="1">OFFSET(E78,-1,1)</f>
        <v>2</v>
      </c>
      <c r="G78" s="267" t="s">
        <v>1162</v>
      </c>
      <c r="H78" s="384" t="s">
        <v>331</v>
      </c>
      <c r="I78" s="384"/>
      <c r="J78" s="209"/>
      <c r="K78" s="364" t="str">
        <f ca="1">F78&amp;"1komm"</f>
        <v>21komm</v>
      </c>
      <c r="L78" s="607" cm="1">
        <f t="array" ref="L78">AK78</f>
        <v>0</v>
      </c>
      <c r="M78" s="209"/>
      <c r="N78" s="209"/>
      <c r="O78" s="209"/>
      <c r="P78" s="209"/>
      <c r="Q78" s="209"/>
      <c r="R78" s="209"/>
      <c r="S78" s="209"/>
      <c r="T78" s="353" t="b" cm="1">
        <f t="array" ref="T78">T77</f>
        <v>1</v>
      </c>
      <c r="U78" s="209"/>
      <c r="V78" s="209"/>
      <c r="W78" s="209"/>
      <c r="X78" s="1050"/>
      <c r="Y78" s="209"/>
      <c r="Z78" s="1051"/>
      <c r="AA78" s="209"/>
      <c r="AB78" s="500">
        <v>1</v>
      </c>
      <c r="AC78" s="246" t="s">
        <v>1163</v>
      </c>
      <c r="AD78" s="9" t="s">
        <v>828</v>
      </c>
      <c r="AE78" s="141"/>
      <c r="AF78" s="141"/>
      <c r="AG78" s="141"/>
      <c r="AH78" s="141"/>
      <c r="AI78" s="126">
        <f>SUMIFS(AI79:AI82,$AD79:$AD82,$AD78)</f>
        <v>0</v>
      </c>
      <c r="AJ78" s="126">
        <f>SUMIFS(AJ79:AJ82,$AD79:$AD82,$AD78)</f>
        <v>0</v>
      </c>
      <c r="AK78" s="103"/>
      <c r="AL78" s="62"/>
      <c r="AM78" s="62"/>
      <c r="AN78" s="678" t="s">
        <v>1164</v>
      </c>
      <c r="AO78" s="678"/>
      <c r="AP78" s="678"/>
      <c r="AQ78" s="179"/>
      <c r="AR78" s="179"/>
    </row>
    <row r="79" spans="1:44" s="326" customFormat="1" ht="18" hidden="1" customHeight="1" x14ac:dyDescent="0.15">
      <c r="A79" s="62"/>
      <c r="C79" s="209"/>
      <c r="D79" s="209"/>
      <c r="E79" s="585">
        <v>18.75</v>
      </c>
      <c r="F79" s="3" t="str" cm="1">
        <f t="array" aca="1" ref="F79" ca="1">OFFSET(E79,-1,1)</f>
        <v>2</v>
      </c>
      <c r="G79" s="384"/>
      <c r="H79" s="384" t="s">
        <v>331</v>
      </c>
      <c r="I79" s="384" cm="1">
        <f t="array" ref="I79">AC79</f>
        <v>0</v>
      </c>
      <c r="J79" s="209"/>
      <c r="K79" s="364"/>
      <c r="L79" s="364"/>
      <c r="M79" s="209"/>
      <c r="N79" s="209"/>
      <c r="O79" s="209"/>
      <c r="P79" s="209"/>
      <c r="Q79" s="209"/>
      <c r="R79" s="209"/>
      <c r="S79" s="209"/>
      <c r="T79" s="353" t="b">
        <f ca="1">AND(F79&gt;0,Y79&gt;0)</f>
        <v>0</v>
      </c>
      <c r="U79" s="209"/>
      <c r="V79" s="209"/>
      <c r="W79" s="209" t="s">
        <v>172</v>
      </c>
      <c r="X79" s="1050"/>
      <c r="Y79" s="1050">
        <v>0</v>
      </c>
      <c r="Z79" s="1051"/>
      <c r="AA79" s="1048" t="s">
        <v>173</v>
      </c>
      <c r="AB79" s="7" t="str">
        <f>"1."&amp;Y79</f>
        <v>1.0</v>
      </c>
      <c r="AC79" s="780"/>
      <c r="AD79" s="9" t="s">
        <v>828</v>
      </c>
      <c r="AE79" s="9"/>
      <c r="AF79" s="9"/>
      <c r="AG79" s="9"/>
      <c r="AH79" s="9"/>
      <c r="AI79" s="128">
        <f>AI80*AI81*12/1000</f>
        <v>0</v>
      </c>
      <c r="AJ79" s="128">
        <f>AJ80*AJ81*12/1000</f>
        <v>0</v>
      </c>
      <c r="AK79" s="819"/>
      <c r="AL79" s="62"/>
      <c r="AM79" s="62"/>
      <c r="AN79" s="678" t="s">
        <v>1165</v>
      </c>
      <c r="AO79" s="678" t="s">
        <v>1166</v>
      </c>
      <c r="AP79" s="678" cm="1">
        <f t="array" ref="AP79">AC79</f>
        <v>0</v>
      </c>
      <c r="AQ79" s="179"/>
      <c r="AR79" s="179" t="b">
        <v>1</v>
      </c>
    </row>
    <row r="80" spans="1:44" s="326" customFormat="1" ht="14.25" hidden="1" customHeight="1" x14ac:dyDescent="0.15">
      <c r="A80" s="62"/>
      <c r="C80" s="209"/>
      <c r="D80" s="209"/>
      <c r="E80" s="585">
        <v>15</v>
      </c>
      <c r="F80" s="3" t="str" cm="1">
        <f t="array" aca="1" ref="F80" ca="1">OFFSET(E80,-1,1)</f>
        <v>2</v>
      </c>
      <c r="G80" s="384" t="s">
        <v>1167</v>
      </c>
      <c r="H80" s="384" t="str">
        <f>H79&amp;"_1"</f>
        <v>l1_1</v>
      </c>
      <c r="I80" s="384" cm="1">
        <f t="array" ref="I80">I79</f>
        <v>0</v>
      </c>
      <c r="J80" s="209"/>
      <c r="K80" s="364"/>
      <c r="L80" s="364"/>
      <c r="M80" s="209"/>
      <c r="N80" s="209"/>
      <c r="O80" s="209"/>
      <c r="P80" s="209"/>
      <c r="Q80" s="209"/>
      <c r="R80" s="209"/>
      <c r="S80" s="209"/>
      <c r="T80" s="353" t="b" cm="1">
        <f t="array" aca="1" ref="T80" ca="1">T79</f>
        <v>0</v>
      </c>
      <c r="U80" s="209"/>
      <c r="V80" s="209"/>
      <c r="W80" s="209"/>
      <c r="X80" s="1050"/>
      <c r="Y80" s="1050"/>
      <c r="Z80" s="1051"/>
      <c r="AA80" s="1048"/>
      <c r="AB80" s="500" t="str">
        <f>AB79&amp;".1"</f>
        <v>1.0.1</v>
      </c>
      <c r="AC80" s="134" t="s">
        <v>1168</v>
      </c>
      <c r="AD80" s="9" t="s">
        <v>1169</v>
      </c>
      <c r="AE80" s="9"/>
      <c r="AF80" s="9"/>
      <c r="AG80" s="9"/>
      <c r="AH80" s="9"/>
      <c r="AI80" s="141"/>
      <c r="AJ80" s="141"/>
      <c r="AK80" s="819"/>
      <c r="AL80" s="62"/>
      <c r="AM80" s="62"/>
      <c r="AN80" s="678" t="s">
        <v>1170</v>
      </c>
      <c r="AO80" s="678" t="s">
        <v>1166</v>
      </c>
      <c r="AP80" s="678" cm="1">
        <f t="array" ref="AP80">AP79</f>
        <v>0</v>
      </c>
      <c r="AQ80" s="179"/>
      <c r="AR80" s="179"/>
    </row>
    <row r="81" spans="1:44" s="326" customFormat="1" ht="14.25" hidden="1" customHeight="1" x14ac:dyDescent="0.15">
      <c r="A81" s="62"/>
      <c r="C81" s="209"/>
      <c r="D81" s="209"/>
      <c r="E81" s="585">
        <v>15</v>
      </c>
      <c r="F81" s="3" t="str" cm="1">
        <f t="array" aca="1" ref="F81" ca="1">OFFSET(E81,-1,1)</f>
        <v>2</v>
      </c>
      <c r="G81" s="384"/>
      <c r="H81" s="384" t="str">
        <f>H79&amp;"_2"</f>
        <v>l1_2</v>
      </c>
      <c r="I81" s="384" cm="1">
        <f t="array" ref="I81">I80</f>
        <v>0</v>
      </c>
      <c r="J81" s="209"/>
      <c r="K81" s="364"/>
      <c r="L81" s="364"/>
      <c r="M81" s="209"/>
      <c r="N81" s="209"/>
      <c r="O81" s="209"/>
      <c r="P81" s="209"/>
      <c r="Q81" s="209"/>
      <c r="R81" s="209"/>
      <c r="S81" s="209"/>
      <c r="T81" s="353" t="b" cm="1">
        <f t="array" aca="1" ref="T81" ca="1">T80</f>
        <v>0</v>
      </c>
      <c r="U81" s="209"/>
      <c r="V81" s="209"/>
      <c r="W81" s="209"/>
      <c r="X81" s="1050"/>
      <c r="Y81" s="1050"/>
      <c r="Z81" s="1051"/>
      <c r="AA81" s="1048"/>
      <c r="AB81" s="500" t="str">
        <f>AB79&amp;".2"</f>
        <v>1.0.2</v>
      </c>
      <c r="AC81" s="134" t="s">
        <v>1171</v>
      </c>
      <c r="AD81" s="9" t="s">
        <v>1172</v>
      </c>
      <c r="AE81" s="9"/>
      <c r="AF81" s="9"/>
      <c r="AG81" s="9"/>
      <c r="AH81" s="9"/>
      <c r="AI81" s="141"/>
      <c r="AJ81" s="141"/>
      <c r="AK81" s="819"/>
      <c r="AL81" s="62"/>
      <c r="AM81" s="62"/>
      <c r="AN81" s="678" t="s">
        <v>1173</v>
      </c>
      <c r="AO81" s="678" t="s">
        <v>1166</v>
      </c>
      <c r="AP81" s="678" cm="1">
        <f t="array" ref="AP81">AP80</f>
        <v>0</v>
      </c>
      <c r="AQ81" s="179"/>
      <c r="AR81" s="179"/>
    </row>
    <row r="82" spans="1:44" s="326" customFormat="1" ht="14.25" customHeight="1" x14ac:dyDescent="0.15">
      <c r="A82" s="62"/>
      <c r="C82" s="209"/>
      <c r="D82" s="209"/>
      <c r="E82" s="585">
        <v>15</v>
      </c>
      <c r="F82" s="3" t="str" cm="1">
        <f t="array" aca="1" ref="F82" ca="1">OFFSET(E82,-1,1)</f>
        <v>2</v>
      </c>
      <c r="G82" s="267"/>
      <c r="H82" s="384"/>
      <c r="I82" s="66" t="str">
        <f>"!=='не определено' &amp;&amp; row.l1 !== null"</f>
        <v>!=='не определено' &amp;&amp; row.l1 !== null</v>
      </c>
      <c r="J82" s="209"/>
      <c r="K82" s="364"/>
      <c r="L82" s="364"/>
      <c r="M82" s="209"/>
      <c r="N82" s="209"/>
      <c r="O82" s="209"/>
      <c r="P82" s="209"/>
      <c r="Q82" s="209"/>
      <c r="R82" s="209"/>
      <c r="S82" s="209"/>
      <c r="T82" s="353" t="b">
        <f ca="1">F82&gt;0</f>
        <v>1</v>
      </c>
      <c r="U82" s="209"/>
      <c r="V82" s="209"/>
      <c r="W82" s="517" t="s">
        <v>397</v>
      </c>
      <c r="X82" s="1050"/>
      <c r="Y82" s="588"/>
      <c r="Z82" s="1051"/>
      <c r="AA82" s="209"/>
      <c r="AB82" s="589"/>
      <c r="AC82" s="172" t="s">
        <v>176</v>
      </c>
      <c r="AD82" s="547"/>
      <c r="AE82" s="547"/>
      <c r="AF82" s="547"/>
      <c r="AG82" s="547"/>
      <c r="AH82" s="547"/>
      <c r="AI82" s="547"/>
      <c r="AJ82" s="547"/>
      <c r="AK82" s="548"/>
      <c r="AL82" s="62"/>
      <c r="AM82" s="62"/>
      <c r="AN82" s="678"/>
      <c r="AO82" s="678"/>
      <c r="AP82" s="678"/>
      <c r="AQ82" s="179" t="s">
        <v>1166</v>
      </c>
      <c r="AR82" s="179"/>
    </row>
    <row r="83" spans="1:44" s="326" customFormat="1" ht="21.75" customHeight="1" x14ac:dyDescent="0.15">
      <c r="A83" s="62"/>
      <c r="C83" s="209"/>
      <c r="D83" s="209"/>
      <c r="E83" s="585">
        <v>22.5</v>
      </c>
      <c r="F83" s="3" t="str" cm="1">
        <f t="array" aca="1" ref="F83" ca="1">OFFSET(E83,-1,1)</f>
        <v>2</v>
      </c>
      <c r="G83" s="267" t="s">
        <v>1174</v>
      </c>
      <c r="H83" s="384" t="s">
        <v>332</v>
      </c>
      <c r="I83" s="384"/>
      <c r="J83" s="209"/>
      <c r="K83" s="364" t="str">
        <f ca="1">F83&amp;"2komm"</f>
        <v>22komm</v>
      </c>
      <c r="L83" s="607" cm="1">
        <f t="array" ref="L83">AK83</f>
        <v>0</v>
      </c>
      <c r="M83" s="209"/>
      <c r="N83" s="209"/>
      <c r="O83" s="209"/>
      <c r="P83" s="209"/>
      <c r="Q83" s="209"/>
      <c r="R83" s="209"/>
      <c r="S83" s="209"/>
      <c r="T83" s="353" t="b" cm="1">
        <f t="array" aca="1" ref="T83" ca="1">T82</f>
        <v>1</v>
      </c>
      <c r="U83" s="209"/>
      <c r="V83" s="209"/>
      <c r="W83" s="209"/>
      <c r="X83" s="1050"/>
      <c r="Y83" s="588"/>
      <c r="Z83" s="1051"/>
      <c r="AA83" s="209"/>
      <c r="AB83" s="500" t="s">
        <v>285</v>
      </c>
      <c r="AC83" s="246" t="s">
        <v>1175</v>
      </c>
      <c r="AD83" s="9" t="s">
        <v>828</v>
      </c>
      <c r="AE83" s="141">
        <f ca="1">AE78*SUMIFS(INDEX(Сценарии!$AE$25:$BF$136,,MATCH(AE$13,Сценарии!$AE$8:$BF$8,0)),Сценарии!$F$25:$F$136,$F83,Сценарии!$G$25:$G$136,"СВФОТ")/100</f>
        <v>0</v>
      </c>
      <c r="AF83" s="141">
        <f ca="1">AF78*SUMIFS(INDEX(Сценарии!$AE$25:$BF$136,,MATCH(AF$13,Сценарии!$AE$8:$BF$8,0)),Сценарии!$F$25:$F$136,$F83,Сценарии!$G$25:$G$136,"СВФОТ")/100</f>
        <v>0</v>
      </c>
      <c r="AG83" s="141">
        <f ca="1">AG78*SUMIFS(INDEX(Сценарии!$AE$25:$BF$136,,MATCH(AG$13,Сценарии!$AE$8:$BF$8,0)),Сценарии!$F$25:$F$136,$F83,Сценарии!$G$25:$G$136,"СВФОТ")/100</f>
        <v>0</v>
      </c>
      <c r="AH83" s="141">
        <f ca="1">AH78*SUMIFS(INDEX(Сценарии!$AE$25:$BF$136,,MATCH(AH$13,Сценарии!$AE$8:$BF$8,0)),Сценарии!$F$25:$F$136,$F83,Сценарии!$G$25:$G$136,"СВФОТ")/100</f>
        <v>0</v>
      </c>
      <c r="AI83" s="141">
        <f ca="1">AI78*SUMIFS(INDEX(Сценарии!$AE$25:$BF$136,,MATCH(AI$13,Сценарии!$AE$8:$BF$8,0)),Сценарии!$F$25:$F$136,$F83,Сценарии!$G$25:$G$136,"СВФОТ")/100</f>
        <v>0</v>
      </c>
      <c r="AJ83" s="141">
        <f ca="1">AJ78*SUMIFS(INDEX(Сценарии!$AE$25:$BF$136,,MATCH(AJ$13,Сценарии!$AE$8:$BF$8,0)),Сценарии!$F$25:$F$136,$F83,Сценарии!$G$25:$G$136,"СВФОТ")/100</f>
        <v>0</v>
      </c>
      <c r="AK83" s="103"/>
      <c r="AL83" s="62"/>
      <c r="AM83" s="62"/>
      <c r="AN83" s="678" t="s">
        <v>1176</v>
      </c>
      <c r="AO83" s="678"/>
      <c r="AP83" s="678"/>
      <c r="AQ83" s="179"/>
      <c r="AR83" s="179"/>
    </row>
    <row r="84" spans="1:44" s="326" customFormat="1" ht="14.25" customHeight="1" x14ac:dyDescent="0.15">
      <c r="A84" s="62"/>
      <c r="C84" s="209"/>
      <c r="D84" s="209"/>
      <c r="E84" s="585">
        <v>15</v>
      </c>
      <c r="F84" s="3" t="str" cm="1">
        <f t="array" aca="1" ref="F84" ca="1">OFFSET(E84,-1,1)</f>
        <v>2</v>
      </c>
      <c r="G84" s="267" t="s">
        <v>1177</v>
      </c>
      <c r="H84" s="384" t="s">
        <v>333</v>
      </c>
      <c r="I84" s="384"/>
      <c r="J84" s="209"/>
      <c r="K84" s="364" t="str">
        <f ca="1">F84&amp;"3komm"</f>
        <v>23komm</v>
      </c>
      <c r="L84" s="607" cm="1">
        <f t="array" ref="L84">AK84</f>
        <v>0</v>
      </c>
      <c r="M84" s="209"/>
      <c r="N84" s="209"/>
      <c r="O84" s="209"/>
      <c r="P84" s="209"/>
      <c r="Q84" s="209"/>
      <c r="R84" s="209"/>
      <c r="S84" s="209"/>
      <c r="T84" s="353" t="b" cm="1">
        <f t="array" aca="1" ref="T84" ca="1">T83</f>
        <v>1</v>
      </c>
      <c r="U84" s="209"/>
      <c r="V84" s="209"/>
      <c r="W84" s="209"/>
      <c r="X84" s="1050"/>
      <c r="Y84" s="588"/>
      <c r="Z84" s="1051"/>
      <c r="AA84" s="209"/>
      <c r="AB84" s="500" t="s">
        <v>291</v>
      </c>
      <c r="AC84" s="246" t="s">
        <v>1178</v>
      </c>
      <c r="AD84" s="9" t="s">
        <v>828</v>
      </c>
      <c r="AE84" s="141"/>
      <c r="AF84" s="141"/>
      <c r="AG84" s="141"/>
      <c r="AH84" s="141"/>
      <c r="AI84" s="126">
        <f>SUMIFS(AI85:AI88,$AD85:$AD88,$AD84)</f>
        <v>0</v>
      </c>
      <c r="AJ84" s="126">
        <f>SUMIFS(AJ85:AJ88,$AD85:$AD88,$AD84)</f>
        <v>0</v>
      </c>
      <c r="AK84" s="103"/>
      <c r="AL84" s="62"/>
      <c r="AM84" s="62"/>
      <c r="AN84" s="678" t="s">
        <v>1179</v>
      </c>
      <c r="AO84" s="678"/>
      <c r="AP84" s="678"/>
      <c r="AQ84" s="179"/>
      <c r="AR84" s="179"/>
    </row>
    <row r="85" spans="1:44" s="326" customFormat="1" ht="18" hidden="1" customHeight="1" x14ac:dyDescent="0.15">
      <c r="A85" s="62"/>
      <c r="C85" s="209"/>
      <c r="D85" s="209"/>
      <c r="E85" s="585">
        <v>18.75</v>
      </c>
      <c r="F85" s="3" t="str" cm="1">
        <f t="array" aca="1" ref="F85" ca="1">OFFSET(E85,-1,1)</f>
        <v>2</v>
      </c>
      <c r="G85" s="384"/>
      <c r="H85" s="384" t="s">
        <v>333</v>
      </c>
      <c r="I85" s="384" cm="1">
        <f t="array" ref="I85">AC85</f>
        <v>0</v>
      </c>
      <c r="J85" s="209"/>
      <c r="K85" s="364"/>
      <c r="L85" s="364"/>
      <c r="M85" s="209"/>
      <c r="N85" s="209"/>
      <c r="O85" s="209"/>
      <c r="P85" s="209"/>
      <c r="Q85" s="209"/>
      <c r="R85" s="209"/>
      <c r="S85" s="209"/>
      <c r="T85" s="353" t="b">
        <f ca="1">AND(F85&gt;0,Y85&gt;0)</f>
        <v>0</v>
      </c>
      <c r="U85" s="209"/>
      <c r="V85" s="209"/>
      <c r="W85" s="209" t="s">
        <v>172</v>
      </c>
      <c r="X85" s="1050"/>
      <c r="Y85" s="1050">
        <v>0</v>
      </c>
      <c r="Z85" s="1051"/>
      <c r="AA85" s="1048" t="s">
        <v>173</v>
      </c>
      <c r="AB85" s="7" t="str">
        <f>"3."&amp;Y85</f>
        <v>3.0</v>
      </c>
      <c r="AC85" s="780"/>
      <c r="AD85" s="9" t="s">
        <v>828</v>
      </c>
      <c r="AE85" s="9"/>
      <c r="AF85" s="9"/>
      <c r="AG85" s="9"/>
      <c r="AH85" s="9"/>
      <c r="AI85" s="128">
        <f>AI86*AI87*12/1000</f>
        <v>0</v>
      </c>
      <c r="AJ85" s="128">
        <f>AJ86*AJ87*12/1000</f>
        <v>0</v>
      </c>
      <c r="AK85" s="819"/>
      <c r="AL85" s="62"/>
      <c r="AM85" s="62"/>
      <c r="AN85" s="678" t="s">
        <v>1165</v>
      </c>
      <c r="AO85" s="678" t="s">
        <v>1180</v>
      </c>
      <c r="AP85" s="678" cm="1">
        <f t="array" ref="AP85">AC85</f>
        <v>0</v>
      </c>
      <c r="AQ85" s="179"/>
      <c r="AR85" s="179" t="b">
        <v>1</v>
      </c>
    </row>
    <row r="86" spans="1:44" s="326" customFormat="1" ht="14.25" hidden="1" customHeight="1" x14ac:dyDescent="0.15">
      <c r="A86" s="62"/>
      <c r="C86" s="209"/>
      <c r="D86" s="209"/>
      <c r="E86" s="585">
        <v>15</v>
      </c>
      <c r="F86" s="3" t="str" cm="1">
        <f t="array" aca="1" ref="F86" ca="1">OFFSET(E86,-1,1)</f>
        <v>2</v>
      </c>
      <c r="G86" s="384" t="s">
        <v>1181</v>
      </c>
      <c r="H86" s="384" t="str">
        <f>H85&amp;"_1"</f>
        <v>l3_1</v>
      </c>
      <c r="I86" s="384" cm="1">
        <f t="array" ref="I86">I85</f>
        <v>0</v>
      </c>
      <c r="J86" s="209"/>
      <c r="K86" s="364"/>
      <c r="L86" s="364"/>
      <c r="M86" s="209"/>
      <c r="N86" s="209"/>
      <c r="O86" s="209"/>
      <c r="P86" s="209"/>
      <c r="Q86" s="209"/>
      <c r="R86" s="209"/>
      <c r="S86" s="209"/>
      <c r="T86" s="353" t="b" cm="1">
        <f t="array" aca="1" ref="T86" ca="1">T85</f>
        <v>0</v>
      </c>
      <c r="U86" s="209"/>
      <c r="V86" s="209"/>
      <c r="W86" s="209"/>
      <c r="X86" s="1050"/>
      <c r="Y86" s="1050"/>
      <c r="Z86" s="1051"/>
      <c r="AA86" s="1048"/>
      <c r="AB86" s="500" t="str">
        <f>AB85&amp;".1"</f>
        <v>3.0.1</v>
      </c>
      <c r="AC86" s="134" t="s">
        <v>1168</v>
      </c>
      <c r="AD86" s="9" t="s">
        <v>1169</v>
      </c>
      <c r="AE86" s="9"/>
      <c r="AF86" s="9"/>
      <c r="AG86" s="9"/>
      <c r="AH86" s="9"/>
      <c r="AI86" s="141"/>
      <c r="AJ86" s="141"/>
      <c r="AK86" s="819"/>
      <c r="AL86" s="62"/>
      <c r="AM86" s="62"/>
      <c r="AN86" s="678" t="s">
        <v>1170</v>
      </c>
      <c r="AO86" s="678" t="s">
        <v>1180</v>
      </c>
      <c r="AP86" s="678" cm="1">
        <f t="array" ref="AP86">AP85</f>
        <v>0</v>
      </c>
      <c r="AQ86" s="179"/>
      <c r="AR86" s="179"/>
    </row>
    <row r="87" spans="1:44" s="326" customFormat="1" ht="14.25" hidden="1" customHeight="1" x14ac:dyDescent="0.15">
      <c r="A87" s="62"/>
      <c r="C87" s="209"/>
      <c r="D87" s="209"/>
      <c r="E87" s="585">
        <v>15</v>
      </c>
      <c r="F87" s="3" t="str" cm="1">
        <f t="array" aca="1" ref="F87" ca="1">OFFSET(E87,-1,1)</f>
        <v>2</v>
      </c>
      <c r="G87" s="384"/>
      <c r="H87" s="384" t="str">
        <f>H85&amp;"_2"</f>
        <v>l3_2</v>
      </c>
      <c r="I87" s="384" cm="1">
        <f t="array" ref="I87">I86</f>
        <v>0</v>
      </c>
      <c r="J87" s="209"/>
      <c r="K87" s="364"/>
      <c r="L87" s="364"/>
      <c r="M87" s="209"/>
      <c r="N87" s="209"/>
      <c r="O87" s="209"/>
      <c r="P87" s="209"/>
      <c r="Q87" s="209"/>
      <c r="R87" s="209"/>
      <c r="S87" s="209"/>
      <c r="T87" s="353" t="b" cm="1">
        <f t="array" aca="1" ref="T87" ca="1">T86</f>
        <v>0</v>
      </c>
      <c r="U87" s="209"/>
      <c r="V87" s="209"/>
      <c r="W87" s="209"/>
      <c r="X87" s="1050"/>
      <c r="Y87" s="1050"/>
      <c r="Z87" s="1051"/>
      <c r="AA87" s="1048"/>
      <c r="AB87" s="500" t="str">
        <f>AB85&amp;".2"</f>
        <v>3.0.2</v>
      </c>
      <c r="AC87" s="134" t="s">
        <v>1171</v>
      </c>
      <c r="AD87" s="9" t="s">
        <v>1172</v>
      </c>
      <c r="AE87" s="9"/>
      <c r="AF87" s="9"/>
      <c r="AG87" s="9"/>
      <c r="AH87" s="9"/>
      <c r="AI87" s="141"/>
      <c r="AJ87" s="141"/>
      <c r="AK87" s="819"/>
      <c r="AL87" s="62"/>
      <c r="AM87" s="62"/>
      <c r="AN87" s="678" t="s">
        <v>1173</v>
      </c>
      <c r="AO87" s="678" t="s">
        <v>1180</v>
      </c>
      <c r="AP87" s="678" cm="1">
        <f t="array" ref="AP87">AP86</f>
        <v>0</v>
      </c>
      <c r="AQ87" s="179"/>
      <c r="AR87" s="179"/>
    </row>
    <row r="88" spans="1:44" s="326" customFormat="1" ht="14.25" customHeight="1" x14ac:dyDescent="0.15">
      <c r="A88" s="62"/>
      <c r="C88" s="209"/>
      <c r="D88" s="209"/>
      <c r="E88" s="585">
        <v>15</v>
      </c>
      <c r="F88" s="3" t="str" cm="1">
        <f t="array" aca="1" ref="F88" ca="1">OFFSET(E88,-1,1)</f>
        <v>2</v>
      </c>
      <c r="G88" s="267"/>
      <c r="H88" s="384"/>
      <c r="I88" s="66" t="str">
        <f>"!=='не определено' &amp;&amp; row.l3 !== null"</f>
        <v>!=='не определено' &amp;&amp; row.l3 !== null</v>
      </c>
      <c r="J88" s="209"/>
      <c r="K88" s="364"/>
      <c r="L88" s="364"/>
      <c r="M88" s="209"/>
      <c r="N88" s="209"/>
      <c r="O88" s="209"/>
      <c r="P88" s="209"/>
      <c r="Q88" s="209"/>
      <c r="R88" s="209"/>
      <c r="S88" s="209"/>
      <c r="T88" s="353" t="b">
        <f ca="1">F88&gt;0</f>
        <v>1</v>
      </c>
      <c r="U88" s="209"/>
      <c r="V88" s="209"/>
      <c r="W88" s="517" t="s">
        <v>919</v>
      </c>
      <c r="X88" s="1050"/>
      <c r="Y88" s="588"/>
      <c r="Z88" s="1051"/>
      <c r="AA88" s="209"/>
      <c r="AB88" s="589"/>
      <c r="AC88" s="172" t="s">
        <v>176</v>
      </c>
      <c r="AD88" s="547"/>
      <c r="AE88" s="547"/>
      <c r="AF88" s="547"/>
      <c r="AG88" s="547"/>
      <c r="AH88" s="547"/>
      <c r="AI88" s="547"/>
      <c r="AJ88" s="547"/>
      <c r="AK88" s="548"/>
      <c r="AL88" s="62"/>
      <c r="AM88" s="62"/>
      <c r="AN88" s="678"/>
      <c r="AO88" s="678"/>
      <c r="AP88" s="678"/>
      <c r="AQ88" s="179" t="s">
        <v>1180</v>
      </c>
      <c r="AR88" s="179"/>
    </row>
    <row r="89" spans="1:44" s="326" customFormat="1" ht="21.75" customHeight="1" x14ac:dyDescent="0.15">
      <c r="A89" s="62"/>
      <c r="C89" s="209"/>
      <c r="D89" s="209"/>
      <c r="E89" s="585">
        <v>22.5</v>
      </c>
      <c r="F89" s="3" t="str" cm="1">
        <f t="array" aca="1" ref="F89" ca="1">OFFSET(E89,-1,1)</f>
        <v>2</v>
      </c>
      <c r="G89" s="267" t="s">
        <v>1182</v>
      </c>
      <c r="H89" s="384" t="s">
        <v>335</v>
      </c>
      <c r="I89" s="384"/>
      <c r="J89" s="209"/>
      <c r="K89" s="364" t="str">
        <f ca="1">F89&amp;"4komm"</f>
        <v>24komm</v>
      </c>
      <c r="L89" s="607" cm="1">
        <f t="array" ref="L89">AK89</f>
        <v>0</v>
      </c>
      <c r="M89" s="209"/>
      <c r="N89" s="209"/>
      <c r="O89" s="209"/>
      <c r="P89" s="209"/>
      <c r="Q89" s="209"/>
      <c r="R89" s="209"/>
      <c r="S89" s="209"/>
      <c r="T89" s="353" t="b" cm="1">
        <f t="array" aca="1" ref="T89" ca="1">T88</f>
        <v>1</v>
      </c>
      <c r="U89" s="209"/>
      <c r="V89" s="209"/>
      <c r="W89" s="209"/>
      <c r="X89" s="1050"/>
      <c r="Y89" s="588"/>
      <c r="Z89" s="1051"/>
      <c r="AA89" s="209"/>
      <c r="AB89" s="500" t="s">
        <v>454</v>
      </c>
      <c r="AC89" s="246" t="s">
        <v>1183</v>
      </c>
      <c r="AD89" s="9" t="s">
        <v>828</v>
      </c>
      <c r="AE89" s="141">
        <f ca="1">AE84*SUMIFS(INDEX(Сценарии!$AE$25:$BF$136,,MATCH(AE$13,Сценарии!$AE$8:$BF$8,0)),Сценарии!$F$25:$F$136,$F89,Сценарии!$G$25:$G$136,"СВФОТ")/100</f>
        <v>0</v>
      </c>
      <c r="AF89" s="141">
        <f ca="1">AF84*SUMIFS(INDEX(Сценарии!$AE$25:$BF$136,,MATCH(AF$13,Сценарии!$AE$8:$BF$8,0)),Сценарии!$F$25:$F$136,$F89,Сценарии!$G$25:$G$136,"СВФОТ")/100</f>
        <v>0</v>
      </c>
      <c r="AG89" s="141">
        <f ca="1">AG84*SUMIFS(INDEX(Сценарии!$AE$25:$BF$136,,MATCH(AG$13,Сценарии!$AE$8:$BF$8,0)),Сценарии!$F$25:$F$136,$F89,Сценарии!$G$25:$G$136,"СВФОТ")/100</f>
        <v>0</v>
      </c>
      <c r="AH89" s="141">
        <f ca="1">AH84*SUMIFS(INDEX(Сценарии!$AE$25:$BF$136,,MATCH(AH$13,Сценарии!$AE$8:$BF$8,0)),Сценарии!$F$25:$F$136,$F89,Сценарии!$G$25:$G$136,"СВФОТ")/100</f>
        <v>0</v>
      </c>
      <c r="AI89" s="141">
        <f ca="1">AI84*SUMIFS(INDEX(Сценарии!$AE$25:$BF$136,,MATCH(AI$13,Сценарии!$AE$8:$BF$8,0)),Сценарии!$F$25:$F$136,$F89,Сценарии!$G$25:$G$136,"СВФОТ")/100</f>
        <v>0</v>
      </c>
      <c r="AJ89" s="141">
        <f ca="1">AJ84*SUMIFS(INDEX(Сценарии!$AE$25:$BF$136,,MATCH(AJ$13,Сценарии!$AE$8:$BF$8,0)),Сценарии!$F$25:$F$136,$F89,Сценарии!$G$25:$G$136,"СВФОТ")/100</f>
        <v>0</v>
      </c>
      <c r="AK89" s="103"/>
      <c r="AL89" s="62"/>
      <c r="AM89" s="62"/>
      <c r="AN89" s="678" t="s">
        <v>1184</v>
      </c>
      <c r="AO89" s="678"/>
      <c r="AP89" s="678"/>
      <c r="AQ89" s="179"/>
      <c r="AR89" s="179"/>
    </row>
    <row r="90" spans="1:44" s="326" customFormat="1" ht="21.75" customHeight="1" x14ac:dyDescent="0.15">
      <c r="A90" s="62"/>
      <c r="C90" s="209"/>
      <c r="D90" s="209"/>
      <c r="E90" s="585">
        <v>22.5</v>
      </c>
      <c r="F90" s="3" t="str" cm="1">
        <f t="array" aca="1" ref="F90" ca="1">OFFSET(E90,-1,1)</f>
        <v>2</v>
      </c>
      <c r="G90" s="267" t="s">
        <v>1185</v>
      </c>
      <c r="H90" s="384" t="s">
        <v>334</v>
      </c>
      <c r="I90" s="384"/>
      <c r="J90" s="209"/>
      <c r="K90" s="364" t="str">
        <f ca="1">F90&amp;"5komm"</f>
        <v>25komm</v>
      </c>
      <c r="L90" s="607" cm="1">
        <f t="array" ref="L90">AK90</f>
        <v>0</v>
      </c>
      <c r="M90" s="209"/>
      <c r="N90" s="209"/>
      <c r="O90" s="209"/>
      <c r="P90" s="209"/>
      <c r="Q90" s="209"/>
      <c r="R90" s="209"/>
      <c r="S90" s="209"/>
      <c r="T90" s="353" t="b" cm="1">
        <f t="array" aca="1" ref="T90" ca="1">T89</f>
        <v>1</v>
      </c>
      <c r="U90" s="209"/>
      <c r="V90" s="209"/>
      <c r="W90" s="209"/>
      <c r="X90" s="1050"/>
      <c r="Y90" s="588"/>
      <c r="Z90" s="1051"/>
      <c r="AA90" s="209"/>
      <c r="AB90" s="500" t="s">
        <v>460</v>
      </c>
      <c r="AC90" s="246" t="s">
        <v>1186</v>
      </c>
      <c r="AD90" s="9" t="s">
        <v>828</v>
      </c>
      <c r="AE90" s="141"/>
      <c r="AF90" s="141"/>
      <c r="AG90" s="141"/>
      <c r="AH90" s="141"/>
      <c r="AI90" s="126">
        <f>SUMIFS(AI91:AI94,$AD91:$AD94,$AD90)</f>
        <v>0</v>
      </c>
      <c r="AJ90" s="126">
        <f>SUMIFS(AJ91:AJ94,$AD91:$AD94,$AD90)</f>
        <v>0</v>
      </c>
      <c r="AK90" s="103"/>
      <c r="AL90" s="62"/>
      <c r="AM90" s="62"/>
      <c r="AN90" s="678" t="s">
        <v>1187</v>
      </c>
      <c r="AO90" s="678"/>
      <c r="AP90" s="678"/>
      <c r="AQ90" s="179"/>
      <c r="AR90" s="179"/>
    </row>
    <row r="91" spans="1:44" s="326" customFormat="1" ht="18" hidden="1" customHeight="1" x14ac:dyDescent="0.15">
      <c r="A91" s="62"/>
      <c r="C91" s="209"/>
      <c r="D91" s="209"/>
      <c r="E91" s="585">
        <v>18.75</v>
      </c>
      <c r="F91" s="3" t="str" cm="1">
        <f t="array" aca="1" ref="F91" ca="1">OFFSET(E91,-1,1)</f>
        <v>2</v>
      </c>
      <c r="G91" s="384"/>
      <c r="H91" s="384" t="s">
        <v>334</v>
      </c>
      <c r="I91" s="384" cm="1">
        <f t="array" ref="I91">AC91</f>
        <v>0</v>
      </c>
      <c r="J91" s="209"/>
      <c r="K91" s="364"/>
      <c r="L91" s="364"/>
      <c r="M91" s="209"/>
      <c r="N91" s="209"/>
      <c r="O91" s="209"/>
      <c r="P91" s="209"/>
      <c r="Q91" s="209"/>
      <c r="R91" s="209"/>
      <c r="S91" s="209"/>
      <c r="T91" s="353" t="b">
        <f ca="1">AND(F91&gt;0,Y91&gt;0)</f>
        <v>0</v>
      </c>
      <c r="U91" s="209"/>
      <c r="V91" s="209"/>
      <c r="W91" s="209" t="s">
        <v>172</v>
      </c>
      <c r="X91" s="1050"/>
      <c r="Y91" s="1050">
        <v>0</v>
      </c>
      <c r="Z91" s="1051"/>
      <c r="AA91" s="1048" t="s">
        <v>173</v>
      </c>
      <c r="AB91" s="7" t="str">
        <f>"5."&amp;Y91</f>
        <v>5.0</v>
      </c>
      <c r="AC91" s="780"/>
      <c r="AD91" s="9" t="s">
        <v>828</v>
      </c>
      <c r="AE91" s="9"/>
      <c r="AF91" s="9"/>
      <c r="AG91" s="9"/>
      <c r="AH91" s="9"/>
      <c r="AI91" s="128">
        <f>AI92*AI93*12/1000</f>
        <v>0</v>
      </c>
      <c r="AJ91" s="128">
        <f>AJ92*AJ93*12/1000</f>
        <v>0</v>
      </c>
      <c r="AK91" s="819"/>
      <c r="AL91" s="62"/>
      <c r="AM91" s="62"/>
      <c r="AN91" s="678" t="s">
        <v>1165</v>
      </c>
      <c r="AO91" s="678" t="s">
        <v>1188</v>
      </c>
      <c r="AP91" s="678" cm="1">
        <f t="array" ref="AP91">AC91</f>
        <v>0</v>
      </c>
      <c r="AQ91" s="179"/>
      <c r="AR91" s="179" t="b">
        <v>1</v>
      </c>
    </row>
    <row r="92" spans="1:44" s="326" customFormat="1" ht="14.25" hidden="1" customHeight="1" x14ac:dyDescent="0.15">
      <c r="A92" s="62"/>
      <c r="C92" s="209"/>
      <c r="D92" s="209"/>
      <c r="E92" s="585">
        <v>15</v>
      </c>
      <c r="F92" s="3" t="str" cm="1">
        <f t="array" aca="1" ref="F92" ca="1">OFFSET(E92,-1,1)</f>
        <v>2</v>
      </c>
      <c r="G92" s="384"/>
      <c r="H92" s="384" t="str">
        <f>H91&amp;"_1"</f>
        <v>l5_1</v>
      </c>
      <c r="I92" s="384" cm="1">
        <f t="array" ref="I92">I91</f>
        <v>0</v>
      </c>
      <c r="J92" s="209"/>
      <c r="K92" s="364"/>
      <c r="L92" s="364"/>
      <c r="M92" s="209"/>
      <c r="N92" s="209"/>
      <c r="O92" s="209"/>
      <c r="P92" s="209"/>
      <c r="Q92" s="209"/>
      <c r="R92" s="209"/>
      <c r="S92" s="209"/>
      <c r="T92" s="353" t="b" cm="1">
        <f t="array" aca="1" ref="T92" ca="1">T91</f>
        <v>0</v>
      </c>
      <c r="U92" s="209"/>
      <c r="V92" s="209"/>
      <c r="W92" s="209"/>
      <c r="X92" s="1050"/>
      <c r="Y92" s="1050"/>
      <c r="Z92" s="1051"/>
      <c r="AA92" s="1048"/>
      <c r="AB92" s="500" t="str">
        <f>AB91&amp;".1"</f>
        <v>5.0.1</v>
      </c>
      <c r="AC92" s="134" t="s">
        <v>1168</v>
      </c>
      <c r="AD92" s="9" t="s">
        <v>1169</v>
      </c>
      <c r="AE92" s="9"/>
      <c r="AF92" s="9"/>
      <c r="AG92" s="9"/>
      <c r="AH92" s="9"/>
      <c r="AI92" s="141"/>
      <c r="AJ92" s="141"/>
      <c r="AK92" s="819"/>
      <c r="AL92" s="62"/>
      <c r="AM92" s="62"/>
      <c r="AN92" s="678" t="s">
        <v>1170</v>
      </c>
      <c r="AO92" s="678" t="s">
        <v>1188</v>
      </c>
      <c r="AP92" s="678" cm="1">
        <f t="array" ref="AP92">AP91</f>
        <v>0</v>
      </c>
      <c r="AQ92" s="179"/>
      <c r="AR92" s="179"/>
    </row>
    <row r="93" spans="1:44" s="326" customFormat="1" ht="14.25" hidden="1" customHeight="1" x14ac:dyDescent="0.15">
      <c r="A93" s="62"/>
      <c r="C93" s="209"/>
      <c r="D93" s="209"/>
      <c r="E93" s="585">
        <v>15</v>
      </c>
      <c r="F93" s="3" t="str" cm="1">
        <f t="array" aca="1" ref="F93" ca="1">OFFSET(E93,-1,1)</f>
        <v>2</v>
      </c>
      <c r="G93" s="384"/>
      <c r="H93" s="384" t="str">
        <f>H91&amp;"_2"</f>
        <v>l5_2</v>
      </c>
      <c r="I93" s="384" cm="1">
        <f t="array" ref="I93">I92</f>
        <v>0</v>
      </c>
      <c r="J93" s="209"/>
      <c r="K93" s="364"/>
      <c r="L93" s="364"/>
      <c r="M93" s="209"/>
      <c r="N93" s="209"/>
      <c r="O93" s="209"/>
      <c r="P93" s="209"/>
      <c r="Q93" s="209"/>
      <c r="R93" s="209"/>
      <c r="S93" s="209"/>
      <c r="T93" s="353" t="b" cm="1">
        <f t="array" aca="1" ref="T93" ca="1">T92</f>
        <v>0</v>
      </c>
      <c r="U93" s="209"/>
      <c r="V93" s="209"/>
      <c r="W93" s="209"/>
      <c r="X93" s="1050"/>
      <c r="Y93" s="1050"/>
      <c r="Z93" s="1051"/>
      <c r="AA93" s="1048"/>
      <c r="AB93" s="500" t="str">
        <f>AB91&amp;".2"</f>
        <v>5.0.2</v>
      </c>
      <c r="AC93" s="134" t="s">
        <v>1171</v>
      </c>
      <c r="AD93" s="9" t="s">
        <v>1172</v>
      </c>
      <c r="AE93" s="9"/>
      <c r="AF93" s="9"/>
      <c r="AG93" s="9"/>
      <c r="AH93" s="9"/>
      <c r="AI93" s="141"/>
      <c r="AJ93" s="141"/>
      <c r="AK93" s="819"/>
      <c r="AL93" s="62"/>
      <c r="AM93" s="62"/>
      <c r="AN93" s="678" t="s">
        <v>1173</v>
      </c>
      <c r="AO93" s="678" t="s">
        <v>1188</v>
      </c>
      <c r="AP93" s="678" cm="1">
        <f t="array" ref="AP93">AP92</f>
        <v>0</v>
      </c>
      <c r="AQ93" s="179"/>
      <c r="AR93" s="179"/>
    </row>
    <row r="94" spans="1:44" s="326" customFormat="1" ht="14.25" customHeight="1" x14ac:dyDescent="0.15">
      <c r="A94" s="62"/>
      <c r="C94" s="209"/>
      <c r="D94" s="209"/>
      <c r="E94" s="585">
        <v>15</v>
      </c>
      <c r="F94" s="3" t="str" cm="1">
        <f t="array" aca="1" ref="F94" ca="1">OFFSET(E94,-1,1)</f>
        <v>2</v>
      </c>
      <c r="G94" s="267"/>
      <c r="H94" s="384"/>
      <c r="I94" s="66" t="str">
        <f>"!=='не определено' &amp;&amp; row.l5 !== null"</f>
        <v>!=='не определено' &amp;&amp; row.l5 !== null</v>
      </c>
      <c r="J94" s="209"/>
      <c r="K94" s="364"/>
      <c r="L94" s="364"/>
      <c r="M94" s="209"/>
      <c r="N94" s="209"/>
      <c r="O94" s="209"/>
      <c r="P94" s="209"/>
      <c r="Q94" s="209"/>
      <c r="R94" s="209"/>
      <c r="S94" s="209"/>
      <c r="T94" s="353" t="b">
        <f ca="1">F94&gt;0</f>
        <v>1</v>
      </c>
      <c r="U94" s="209"/>
      <c r="V94" s="209"/>
      <c r="W94" s="517" t="s">
        <v>1189</v>
      </c>
      <c r="X94" s="1050"/>
      <c r="Y94" s="588"/>
      <c r="Z94" s="1051"/>
      <c r="AA94" s="209"/>
      <c r="AB94" s="589"/>
      <c r="AC94" s="172" t="s">
        <v>176</v>
      </c>
      <c r="AD94" s="547"/>
      <c r="AE94" s="547"/>
      <c r="AF94" s="547"/>
      <c r="AG94" s="547"/>
      <c r="AH94" s="547"/>
      <c r="AI94" s="547"/>
      <c r="AJ94" s="547"/>
      <c r="AK94" s="548"/>
      <c r="AL94" s="62"/>
      <c r="AM94" s="62"/>
      <c r="AN94" s="678"/>
      <c r="AO94" s="678"/>
      <c r="AP94" s="678"/>
      <c r="AQ94" s="179" t="s">
        <v>1188</v>
      </c>
      <c r="AR94" s="179"/>
    </row>
    <row r="95" spans="1:44" s="326" customFormat="1" ht="21.75" customHeight="1" x14ac:dyDescent="0.15">
      <c r="A95" s="62"/>
      <c r="C95" s="209"/>
      <c r="D95" s="209"/>
      <c r="E95" s="585">
        <v>22.5</v>
      </c>
      <c r="F95" s="3" t="str" cm="1">
        <f t="array" aca="1" ref="F95" ca="1">OFFSET(E95,-1,1)</f>
        <v>2</v>
      </c>
      <c r="G95" s="267" t="s">
        <v>1190</v>
      </c>
      <c r="H95" s="384" t="s">
        <v>532</v>
      </c>
      <c r="I95" s="384"/>
      <c r="J95" s="209"/>
      <c r="K95" s="364" t="str">
        <f ca="1">F95&amp;"6komm"</f>
        <v>26komm</v>
      </c>
      <c r="L95" s="364" cm="1">
        <f t="array" ref="L95">AK95</f>
        <v>0</v>
      </c>
      <c r="M95" s="209"/>
      <c r="N95" s="209"/>
      <c r="O95" s="209"/>
      <c r="P95" s="209"/>
      <c r="Q95" s="209"/>
      <c r="R95" s="209"/>
      <c r="S95" s="209"/>
      <c r="T95" s="353" t="b" cm="1">
        <f t="array" aca="1" ref="T95" ca="1">T94</f>
        <v>1</v>
      </c>
      <c r="U95" s="209"/>
      <c r="V95" s="209"/>
      <c r="W95" s="209"/>
      <c r="X95" s="1050"/>
      <c r="Y95" s="588"/>
      <c r="Z95" s="1051"/>
      <c r="AA95" s="209"/>
      <c r="AB95" s="500" t="s">
        <v>536</v>
      </c>
      <c r="AC95" s="246" t="s">
        <v>1191</v>
      </c>
      <c r="AD95" s="9" t="s">
        <v>828</v>
      </c>
      <c r="AE95" s="141">
        <f ca="1">AE90*SUMIFS(INDEX(Сценарии!$AE$25:$BF$136,,MATCH(AE$13,Сценарии!$AE$8:$BF$8,0)),Сценарии!$F$25:$F$136,$F95,Сценарии!$G$25:$G$136,"СВФОТ")/100</f>
        <v>0</v>
      </c>
      <c r="AF95" s="141">
        <f ca="1">AF90*SUMIFS(INDEX(Сценарии!$AE$25:$BF$136,,MATCH(AF$13,Сценарии!$AE$8:$BF$8,0)),Сценарии!$F$25:$F$136,$F95,Сценарии!$G$25:$G$136,"СВФОТ")/100</f>
        <v>0</v>
      </c>
      <c r="AG95" s="141">
        <f ca="1">AG90*SUMIFS(INDEX(Сценарии!$AE$25:$BF$136,,MATCH(AG$13,Сценарии!$AE$8:$BF$8,0)),Сценарии!$F$25:$F$136,$F95,Сценарии!$G$25:$G$136,"СВФОТ")/100</f>
        <v>0</v>
      </c>
      <c r="AH95" s="141">
        <f ca="1">AH90*SUMIFS(INDEX(Сценарии!$AE$25:$BF$136,,MATCH(AH$13,Сценарии!$AE$8:$BF$8,0)),Сценарии!$F$25:$F$136,$F95,Сценарии!$G$25:$G$136,"СВФОТ")/100</f>
        <v>0</v>
      </c>
      <c r="AI95" s="141">
        <f ca="1">AI90*SUMIFS(INDEX(Сценарии!$AE$25:$BF$136,,MATCH(AI$13,Сценарии!$AE$8:$BF$8,0)),Сценарии!$F$25:$F$136,$F95,Сценарии!$G$25:$G$136,"СВФОТ")/100</f>
        <v>0</v>
      </c>
      <c r="AJ95" s="141">
        <f ca="1">AJ90*SUMIFS(INDEX(Сценарии!$AE$25:$BF$136,,MATCH(AJ$13,Сценарии!$AE$8:$BF$8,0)),Сценарии!$F$25:$F$136,$F95,Сценарии!$G$25:$G$136,"СВФОТ")/100</f>
        <v>0</v>
      </c>
      <c r="AK95" s="608"/>
      <c r="AL95" s="62"/>
      <c r="AM95" s="62"/>
      <c r="AN95" s="678" t="s">
        <v>1192</v>
      </c>
      <c r="AO95" s="678"/>
      <c r="AP95" s="678"/>
      <c r="AQ95" s="179"/>
      <c r="AR95" s="179"/>
    </row>
    <row r="96" spans="1:44" s="326" customFormat="1" ht="14.25" customHeight="1" x14ac:dyDescent="0.15">
      <c r="A96" s="62"/>
      <c r="C96" s="209"/>
      <c r="D96" s="209"/>
      <c r="E96" s="585">
        <v>15</v>
      </c>
      <c r="F96" s="3" t="str" cm="1">
        <f t="array" aca="1" ref="F96" ca="1">OFFSET(E96,-1,1)</f>
        <v>2</v>
      </c>
      <c r="G96" s="267" t="s">
        <v>1193</v>
      </c>
      <c r="H96" s="384" t="s">
        <v>535</v>
      </c>
      <c r="I96" s="384"/>
      <c r="J96" s="209"/>
      <c r="K96" s="364" t="str">
        <f ca="1">F96&amp;"7komm"</f>
        <v>27komm</v>
      </c>
      <c r="L96" s="364" cm="1">
        <f t="array" ref="L96">AK96</f>
        <v>0</v>
      </c>
      <c r="M96" s="209"/>
      <c r="N96" s="209"/>
      <c r="O96" s="209"/>
      <c r="P96" s="209"/>
      <c r="Q96" s="209"/>
      <c r="R96" s="209"/>
      <c r="S96" s="209"/>
      <c r="T96" s="353" t="b" cm="1">
        <f t="array" aca="1" ref="T96" ca="1">T95</f>
        <v>1</v>
      </c>
      <c r="U96" s="209"/>
      <c r="V96" s="209"/>
      <c r="W96" s="209"/>
      <c r="X96" s="1050"/>
      <c r="Y96" s="588"/>
      <c r="Z96" s="1051"/>
      <c r="AA96" s="209"/>
      <c r="AB96" s="500" t="s">
        <v>602</v>
      </c>
      <c r="AC96" s="246" t="s">
        <v>1194</v>
      </c>
      <c r="AD96" s="9" t="s">
        <v>828</v>
      </c>
      <c r="AE96" s="141"/>
      <c r="AF96" s="141"/>
      <c r="AG96" s="141"/>
      <c r="AH96" s="141"/>
      <c r="AI96" s="126">
        <f>SUMIFS(AI97:AI100,$AD97:$AD100,$AD96)</f>
        <v>0</v>
      </c>
      <c r="AJ96" s="126">
        <f>SUMIFS(AJ97:AJ100,$AD97:$AD100,$AD96)</f>
        <v>0</v>
      </c>
      <c r="AK96" s="608"/>
      <c r="AL96" s="62"/>
      <c r="AM96" s="62"/>
      <c r="AN96" s="678" t="s">
        <v>1195</v>
      </c>
      <c r="AO96" s="678"/>
      <c r="AP96" s="678"/>
      <c r="AQ96" s="179"/>
      <c r="AR96" s="179"/>
    </row>
    <row r="97" spans="1:44" s="326" customFormat="1" ht="18" hidden="1" customHeight="1" x14ac:dyDescent="0.15">
      <c r="A97" s="62"/>
      <c r="B97" s="62"/>
      <c r="C97" s="209"/>
      <c r="D97" s="209"/>
      <c r="E97" s="585">
        <v>18.75</v>
      </c>
      <c r="F97" s="3" t="str" cm="1">
        <f t="array" aca="1" ref="F97" ca="1">OFFSET(E97,-1,1)</f>
        <v>2</v>
      </c>
      <c r="G97" s="384"/>
      <c r="H97" s="384" t="s">
        <v>535</v>
      </c>
      <c r="I97" s="384" cm="1">
        <f t="array" ref="I97">AC97</f>
        <v>0</v>
      </c>
      <c r="J97" s="209"/>
      <c r="K97" s="364"/>
      <c r="L97" s="364"/>
      <c r="M97" s="209"/>
      <c r="N97" s="209"/>
      <c r="O97" s="209"/>
      <c r="P97" s="209"/>
      <c r="Q97" s="209"/>
      <c r="R97" s="209"/>
      <c r="S97" s="209"/>
      <c r="T97" s="353" t="b">
        <f ca="1">AND(F97&gt;0,Y97&gt;0)</f>
        <v>0</v>
      </c>
      <c r="U97" s="209"/>
      <c r="V97" s="209"/>
      <c r="W97" s="209" t="s">
        <v>172</v>
      </c>
      <c r="X97" s="1050"/>
      <c r="Y97" s="1050">
        <v>0</v>
      </c>
      <c r="Z97" s="1051"/>
      <c r="AA97" s="1048" t="s">
        <v>173</v>
      </c>
      <c r="AB97" s="7" t="str">
        <f>"7."&amp;Y97</f>
        <v>7.0</v>
      </c>
      <c r="AC97" s="780"/>
      <c r="AD97" s="9" t="s">
        <v>828</v>
      </c>
      <c r="AE97" s="9"/>
      <c r="AF97" s="9"/>
      <c r="AG97" s="9"/>
      <c r="AH97" s="9"/>
      <c r="AI97" s="128">
        <f>AI98*AI99*12/1000</f>
        <v>0</v>
      </c>
      <c r="AJ97" s="128">
        <f>AJ98*AJ99*12/1000</f>
        <v>0</v>
      </c>
      <c r="AK97" s="819"/>
      <c r="AL97" s="62"/>
      <c r="AM97" s="62"/>
      <c r="AN97" s="678" t="s">
        <v>1165</v>
      </c>
      <c r="AO97" s="678" t="s">
        <v>1196</v>
      </c>
      <c r="AP97" s="678" cm="1">
        <f t="array" ref="AP97">AC97</f>
        <v>0</v>
      </c>
      <c r="AQ97" s="179"/>
      <c r="AR97" s="179" t="b">
        <v>1</v>
      </c>
    </row>
    <row r="98" spans="1:44" s="326" customFormat="1" ht="14.25" hidden="1" customHeight="1" x14ac:dyDescent="0.15">
      <c r="A98" s="62"/>
      <c r="B98" s="62"/>
      <c r="C98" s="209"/>
      <c r="D98" s="209"/>
      <c r="E98" s="585">
        <v>15</v>
      </c>
      <c r="F98" s="3" t="str" cm="1">
        <f t="array" aca="1" ref="F98" ca="1">OFFSET(E98,-1,1)</f>
        <v>2</v>
      </c>
      <c r="G98" s="384"/>
      <c r="H98" s="384" t="str">
        <f>H97&amp;"_1"</f>
        <v>l7_1</v>
      </c>
      <c r="I98" s="384" cm="1">
        <f t="array" ref="I98">I97</f>
        <v>0</v>
      </c>
      <c r="J98" s="209"/>
      <c r="K98" s="364"/>
      <c r="L98" s="364"/>
      <c r="M98" s="209"/>
      <c r="N98" s="209"/>
      <c r="O98" s="209"/>
      <c r="P98" s="209"/>
      <c r="Q98" s="209"/>
      <c r="R98" s="209"/>
      <c r="S98" s="209"/>
      <c r="T98" s="353" t="b" cm="1">
        <f t="array" aca="1" ref="T98" ca="1">T97</f>
        <v>0</v>
      </c>
      <c r="U98" s="209"/>
      <c r="V98" s="209"/>
      <c r="W98" s="209"/>
      <c r="X98" s="1050"/>
      <c r="Y98" s="1050"/>
      <c r="Z98" s="1051"/>
      <c r="AA98" s="1048"/>
      <c r="AB98" s="500" t="str">
        <f>AB97&amp;".1"</f>
        <v>7.0.1</v>
      </c>
      <c r="AC98" s="134" t="s">
        <v>1168</v>
      </c>
      <c r="AD98" s="9" t="s">
        <v>1169</v>
      </c>
      <c r="AE98" s="9"/>
      <c r="AF98" s="9"/>
      <c r="AG98" s="9"/>
      <c r="AH98" s="9"/>
      <c r="AI98" s="141"/>
      <c r="AJ98" s="141"/>
      <c r="AK98" s="819"/>
      <c r="AL98" s="62"/>
      <c r="AM98" s="62"/>
      <c r="AN98" s="678" t="s">
        <v>1170</v>
      </c>
      <c r="AO98" s="678" t="s">
        <v>1196</v>
      </c>
      <c r="AP98" s="678" cm="1">
        <f t="array" ref="AP98">AP97</f>
        <v>0</v>
      </c>
      <c r="AQ98" s="179"/>
      <c r="AR98" s="179"/>
    </row>
    <row r="99" spans="1:44" s="326" customFormat="1" ht="14.25" hidden="1" customHeight="1" x14ac:dyDescent="0.15">
      <c r="A99" s="62"/>
      <c r="B99" s="62"/>
      <c r="C99" s="209"/>
      <c r="D99" s="209"/>
      <c r="E99" s="585">
        <v>15</v>
      </c>
      <c r="F99" s="3" t="str" cm="1">
        <f t="array" aca="1" ref="F99" ca="1">OFFSET(E99,-1,1)</f>
        <v>2</v>
      </c>
      <c r="G99" s="384"/>
      <c r="H99" s="384" t="str">
        <f>H97&amp;"_2"</f>
        <v>l7_2</v>
      </c>
      <c r="I99" s="384" cm="1">
        <f t="array" ref="I99">I98</f>
        <v>0</v>
      </c>
      <c r="J99" s="209"/>
      <c r="K99" s="364"/>
      <c r="L99" s="364"/>
      <c r="M99" s="209"/>
      <c r="N99" s="209"/>
      <c r="O99" s="209"/>
      <c r="P99" s="209"/>
      <c r="Q99" s="209"/>
      <c r="R99" s="209"/>
      <c r="S99" s="209"/>
      <c r="T99" s="353" t="b" cm="1">
        <f t="array" aca="1" ref="T99" ca="1">T98</f>
        <v>0</v>
      </c>
      <c r="U99" s="209"/>
      <c r="V99" s="209"/>
      <c r="W99" s="209"/>
      <c r="X99" s="1050"/>
      <c r="Y99" s="1050"/>
      <c r="Z99" s="1051"/>
      <c r="AA99" s="1048"/>
      <c r="AB99" s="500" t="str">
        <f>AB97&amp;".2"</f>
        <v>7.0.2</v>
      </c>
      <c r="AC99" s="134" t="s">
        <v>1171</v>
      </c>
      <c r="AD99" s="9" t="s">
        <v>1172</v>
      </c>
      <c r="AE99" s="9"/>
      <c r="AF99" s="9"/>
      <c r="AG99" s="9"/>
      <c r="AH99" s="9"/>
      <c r="AI99" s="141"/>
      <c r="AJ99" s="141"/>
      <c r="AK99" s="819"/>
      <c r="AL99" s="62"/>
      <c r="AM99" s="62"/>
      <c r="AN99" s="678" t="s">
        <v>1173</v>
      </c>
      <c r="AO99" s="678" t="s">
        <v>1196</v>
      </c>
      <c r="AP99" s="678" cm="1">
        <f t="array" ref="AP99">AP98</f>
        <v>0</v>
      </c>
      <c r="AQ99" s="179"/>
      <c r="AR99" s="179"/>
    </row>
    <row r="100" spans="1:44" s="326" customFormat="1" ht="14.25" customHeight="1" x14ac:dyDescent="0.15">
      <c r="A100" s="62"/>
      <c r="C100" s="209"/>
      <c r="D100" s="209"/>
      <c r="E100" s="585">
        <v>15</v>
      </c>
      <c r="F100" s="3" t="str" cm="1">
        <f t="array" aca="1" ref="F100" ca="1">OFFSET(E100,-1,1)</f>
        <v>2</v>
      </c>
      <c r="G100" s="267"/>
      <c r="H100" s="384"/>
      <c r="I100" s="66" t="str">
        <f>"!=='не определено' &amp;&amp; row.l7 !== null"</f>
        <v>!=='не определено' &amp;&amp; row.l7 !== null</v>
      </c>
      <c r="J100" s="209"/>
      <c r="K100" s="364"/>
      <c r="L100" s="364"/>
      <c r="M100" s="209"/>
      <c r="N100" s="209"/>
      <c r="O100" s="209"/>
      <c r="P100" s="209"/>
      <c r="Q100" s="209"/>
      <c r="R100" s="209"/>
      <c r="S100" s="209"/>
      <c r="T100" s="353" t="b">
        <f ca="1">F100&gt;0</f>
        <v>1</v>
      </c>
      <c r="U100" s="209"/>
      <c r="V100" s="209"/>
      <c r="W100" s="517" t="s">
        <v>1197</v>
      </c>
      <c r="X100" s="1050"/>
      <c r="Y100" s="209"/>
      <c r="Z100" s="1051"/>
      <c r="AA100" s="209"/>
      <c r="AB100" s="589"/>
      <c r="AC100" s="172" t="s">
        <v>176</v>
      </c>
      <c r="AD100" s="547"/>
      <c r="AE100" s="547"/>
      <c r="AF100" s="547"/>
      <c r="AG100" s="547"/>
      <c r="AH100" s="547"/>
      <c r="AI100" s="547"/>
      <c r="AJ100" s="547"/>
      <c r="AK100" s="548"/>
      <c r="AL100" s="62"/>
      <c r="AM100" s="62"/>
      <c r="AN100" s="678"/>
      <c r="AO100" s="678"/>
      <c r="AP100" s="678"/>
      <c r="AQ100" s="179" t="s">
        <v>1196</v>
      </c>
      <c r="AR100" s="179"/>
    </row>
    <row r="101" spans="1:44" s="326" customFormat="1" ht="21.75" customHeight="1" x14ac:dyDescent="0.15">
      <c r="A101" s="62"/>
      <c r="C101" s="209"/>
      <c r="D101" s="209"/>
      <c r="E101" s="585">
        <v>22.5</v>
      </c>
      <c r="F101" s="3" t="str" cm="1">
        <f t="array" aca="1" ref="F101" ca="1">OFFSET(E101,-1,1)</f>
        <v>2</v>
      </c>
      <c r="G101" s="267" t="s">
        <v>1198</v>
      </c>
      <c r="H101" s="384" t="s">
        <v>586</v>
      </c>
      <c r="I101" s="384"/>
      <c r="J101" s="209"/>
      <c r="K101" s="364" t="str">
        <f ca="1">F101&amp;"8komm"</f>
        <v>28komm</v>
      </c>
      <c r="L101" s="607" cm="1">
        <f t="array" ref="L101">AK101</f>
        <v>0</v>
      </c>
      <c r="M101" s="209"/>
      <c r="N101" s="209"/>
      <c r="O101" s="209"/>
      <c r="P101" s="209"/>
      <c r="Q101" s="209"/>
      <c r="R101" s="209"/>
      <c r="S101" s="209"/>
      <c r="T101" s="353" t="b" cm="1">
        <f t="array" aca="1" ref="T101" ca="1">T100</f>
        <v>1</v>
      </c>
      <c r="U101" s="209"/>
      <c r="V101" s="209"/>
      <c r="W101" s="209"/>
      <c r="X101" s="1050"/>
      <c r="Y101" s="209"/>
      <c r="Z101" s="1051"/>
      <c r="AA101" s="209"/>
      <c r="AB101" s="500" t="s">
        <v>610</v>
      </c>
      <c r="AC101" s="246" t="s">
        <v>1199</v>
      </c>
      <c r="AD101" s="9" t="s">
        <v>828</v>
      </c>
      <c r="AE101" s="141">
        <f ca="1">AE96*SUMIFS(INDEX(Сценарии!$AE$25:$BF$136,,MATCH(AE$13,Сценарии!$AE$8:$BF$8,0)),Сценарии!$F$25:$F$136,$F101,Сценарии!$G$25:$G$136,"СВФОТ")/100</f>
        <v>0</v>
      </c>
      <c r="AF101" s="141">
        <f ca="1">AF96*SUMIFS(INDEX(Сценарии!$AE$25:$BF$136,,MATCH(AF$13,Сценарии!$AE$8:$BF$8,0)),Сценарии!$F$25:$F$136,$F101,Сценарии!$G$25:$G$136,"СВФОТ")/100</f>
        <v>0</v>
      </c>
      <c r="AG101" s="141">
        <f ca="1">AG96*SUMIFS(INDEX(Сценарии!$AE$25:$BF$136,,MATCH(AG$13,Сценарии!$AE$8:$BF$8,0)),Сценарии!$F$25:$F$136,$F101,Сценарии!$G$25:$G$136,"СВФОТ")/100</f>
        <v>0</v>
      </c>
      <c r="AH101" s="141">
        <f ca="1">AH96*SUMIFS(INDEX(Сценарии!$AE$25:$BF$136,,MATCH(AH$13,Сценарии!$AE$8:$BF$8,0)),Сценарии!$F$25:$F$136,$F101,Сценарии!$G$25:$G$136,"СВФОТ")/100</f>
        <v>0</v>
      </c>
      <c r="AI101" s="141">
        <f ca="1">AI96*SUMIFS(INDEX(Сценарии!$AE$25:$BF$136,,MATCH(AI$13,Сценарии!$AE$8:$BF$8,0)),Сценарии!$F$25:$F$136,$F101,Сценарии!$G$25:$G$136,"СВФОТ")/100</f>
        <v>0</v>
      </c>
      <c r="AJ101" s="141">
        <f ca="1">AJ96*SUMIFS(INDEX(Сценарии!$AE$25:$BF$136,,MATCH(AJ$13,Сценарии!$AE$8:$BF$8,0)),Сценарии!$F$25:$F$136,$F101,Сценарии!$G$25:$G$136,"СВФОТ")/100</f>
        <v>0</v>
      </c>
      <c r="AK101" s="103"/>
      <c r="AL101" s="62"/>
      <c r="AM101" s="62"/>
      <c r="AN101" s="678" t="s">
        <v>1200</v>
      </c>
      <c r="AO101" s="678"/>
      <c r="AP101" s="678"/>
      <c r="AQ101" s="179"/>
      <c r="AR101" s="179"/>
    </row>
    <row r="102" spans="1:44" s="326" customFormat="1" ht="14.25" customHeight="1" x14ac:dyDescent="0.15">
      <c r="A102" s="62"/>
      <c r="C102" s="209"/>
      <c r="D102" s="209"/>
      <c r="E102" s="585">
        <v>15</v>
      </c>
      <c r="F102" s="59" t="str" cm="1">
        <f t="array" ref="F102">X102</f>
        <v>3</v>
      </c>
      <c r="G102" s="384" t="s">
        <v>60</v>
      </c>
      <c r="H102" s="384"/>
      <c r="I102" s="384"/>
      <c r="J102" s="209"/>
      <c r="K102" s="364"/>
      <c r="L102" s="364"/>
      <c r="M102" s="209"/>
      <c r="N102" s="209"/>
      <c r="O102" s="209"/>
      <c r="P102" s="209"/>
      <c r="Q102" s="209"/>
      <c r="R102" s="209"/>
      <c r="S102" s="209"/>
      <c r="T102" s="353" t="b">
        <f>X102&gt;0</f>
        <v>1</v>
      </c>
      <c r="U102" s="209"/>
      <c r="V102" s="209" t="str" cm="1">
        <f t="array" ref="V102">Покупка!$AB$120</f>
        <v>Тариф 3 (Водоотведение) - тариф на транспортировку сточных вод</v>
      </c>
      <c r="W102" s="209"/>
      <c r="X102" s="1050" t="s">
        <v>291</v>
      </c>
      <c r="Y102" s="209"/>
      <c r="Z102" s="1051"/>
      <c r="AA102" s="209"/>
      <c r="AB102" s="155" t="str" cm="1">
        <f t="array" ref="AB102">Покупка!$AB$120</f>
        <v>Тариф 3 (Водоотведение) - тариф на транспортировку сточных вод</v>
      </c>
      <c r="AC102" s="586"/>
      <c r="AD102" s="586"/>
      <c r="AE102" s="587">
        <f t="shared" ref="AE102:AJ102" ca="1" si="4">AE103+AE108+AE109+AE114+AE115+AE120+AE121+AE126</f>
        <v>0</v>
      </c>
      <c r="AF102" s="587">
        <f t="shared" ca="1" si="4"/>
        <v>0</v>
      </c>
      <c r="AG102" s="587">
        <f t="shared" ca="1" si="4"/>
        <v>0</v>
      </c>
      <c r="AH102" s="587">
        <f t="shared" ca="1" si="4"/>
        <v>0</v>
      </c>
      <c r="AI102" s="587">
        <f t="shared" ca="1" si="4"/>
        <v>0</v>
      </c>
      <c r="AJ102" s="587">
        <f t="shared" ca="1" si="4"/>
        <v>0</v>
      </c>
      <c r="AK102" s="587"/>
      <c r="AL102" s="62"/>
      <c r="AM102" s="62"/>
      <c r="AN102" s="678"/>
      <c r="AO102" s="678"/>
      <c r="AP102" s="678"/>
      <c r="AQ102" s="179"/>
      <c r="AR102" s="179"/>
    </row>
    <row r="103" spans="1:44" s="326" customFormat="1" ht="21.75" customHeight="1" x14ac:dyDescent="0.15">
      <c r="A103" s="62"/>
      <c r="C103" s="209"/>
      <c r="D103" s="209"/>
      <c r="E103" s="585">
        <v>22.5</v>
      </c>
      <c r="F103" s="3" t="str" cm="1">
        <f t="array" aca="1" ref="F103" ca="1">OFFSET(E103,-1,1)</f>
        <v>3</v>
      </c>
      <c r="G103" s="267" t="s">
        <v>1162</v>
      </c>
      <c r="H103" s="384" t="s">
        <v>331</v>
      </c>
      <c r="I103" s="384"/>
      <c r="J103" s="209"/>
      <c r="K103" s="364" t="str">
        <f ca="1">F103&amp;"1komm"</f>
        <v>31komm</v>
      </c>
      <c r="L103" s="607" cm="1">
        <f t="array" ref="L103">AK103</f>
        <v>0</v>
      </c>
      <c r="M103" s="209"/>
      <c r="N103" s="209"/>
      <c r="O103" s="209"/>
      <c r="P103" s="209"/>
      <c r="Q103" s="209"/>
      <c r="R103" s="209"/>
      <c r="S103" s="209"/>
      <c r="T103" s="353" t="b" cm="1">
        <f t="array" ref="T103">T102</f>
        <v>1</v>
      </c>
      <c r="U103" s="209"/>
      <c r="V103" s="209"/>
      <c r="W103" s="209"/>
      <c r="X103" s="1050"/>
      <c r="Y103" s="209"/>
      <c r="Z103" s="1051"/>
      <c r="AA103" s="209"/>
      <c r="AB103" s="500">
        <v>1</v>
      </c>
      <c r="AC103" s="246" t="s">
        <v>1163</v>
      </c>
      <c r="AD103" s="9" t="s">
        <v>828</v>
      </c>
      <c r="AE103" s="141"/>
      <c r="AF103" s="141"/>
      <c r="AG103" s="141"/>
      <c r="AH103" s="141"/>
      <c r="AI103" s="126">
        <f>SUMIFS(AI104:AI107,$AD104:$AD107,$AD103)</f>
        <v>0</v>
      </c>
      <c r="AJ103" s="126">
        <f>SUMIFS(AJ104:AJ107,$AD104:$AD107,$AD103)</f>
        <v>0</v>
      </c>
      <c r="AK103" s="103"/>
      <c r="AL103" s="62"/>
      <c r="AM103" s="62"/>
      <c r="AN103" s="678" t="s">
        <v>1164</v>
      </c>
      <c r="AO103" s="678"/>
      <c r="AP103" s="678"/>
      <c r="AQ103" s="179"/>
      <c r="AR103" s="179"/>
    </row>
    <row r="104" spans="1:44" s="326" customFormat="1" ht="18" hidden="1" customHeight="1" x14ac:dyDescent="0.15">
      <c r="A104" s="62"/>
      <c r="C104" s="209"/>
      <c r="D104" s="209"/>
      <c r="E104" s="585">
        <v>18.75</v>
      </c>
      <c r="F104" s="3" t="str" cm="1">
        <f t="array" aca="1" ref="F104" ca="1">OFFSET(E104,-1,1)</f>
        <v>3</v>
      </c>
      <c r="G104" s="384"/>
      <c r="H104" s="384" t="s">
        <v>331</v>
      </c>
      <c r="I104" s="384" cm="1">
        <f t="array" ref="I104">AC104</f>
        <v>0</v>
      </c>
      <c r="J104" s="209"/>
      <c r="K104" s="364"/>
      <c r="L104" s="364"/>
      <c r="M104" s="209"/>
      <c r="N104" s="209"/>
      <c r="O104" s="209"/>
      <c r="P104" s="209"/>
      <c r="Q104" s="209"/>
      <c r="R104" s="209"/>
      <c r="S104" s="209"/>
      <c r="T104" s="353" t="b">
        <f ca="1">AND(F104&gt;0,Y104&gt;0)</f>
        <v>0</v>
      </c>
      <c r="U104" s="209"/>
      <c r="V104" s="209"/>
      <c r="W104" s="209" t="s">
        <v>172</v>
      </c>
      <c r="X104" s="1050"/>
      <c r="Y104" s="1050">
        <v>0</v>
      </c>
      <c r="Z104" s="1051"/>
      <c r="AA104" s="1048" t="s">
        <v>173</v>
      </c>
      <c r="AB104" s="7" t="str">
        <f>"1."&amp;Y104</f>
        <v>1.0</v>
      </c>
      <c r="AC104" s="780"/>
      <c r="AD104" s="9" t="s">
        <v>828</v>
      </c>
      <c r="AE104" s="9"/>
      <c r="AF104" s="9"/>
      <c r="AG104" s="9"/>
      <c r="AH104" s="9"/>
      <c r="AI104" s="128">
        <f>AI105*AI106*12/1000</f>
        <v>0</v>
      </c>
      <c r="AJ104" s="128">
        <f>AJ105*AJ106*12/1000</f>
        <v>0</v>
      </c>
      <c r="AK104" s="819"/>
      <c r="AL104" s="62"/>
      <c r="AM104" s="62"/>
      <c r="AN104" s="678" t="s">
        <v>1165</v>
      </c>
      <c r="AO104" s="678" t="s">
        <v>1166</v>
      </c>
      <c r="AP104" s="678" cm="1">
        <f t="array" ref="AP104">AC104</f>
        <v>0</v>
      </c>
      <c r="AQ104" s="179"/>
      <c r="AR104" s="179" t="b">
        <v>1</v>
      </c>
    </row>
    <row r="105" spans="1:44" s="326" customFormat="1" ht="14.25" hidden="1" customHeight="1" x14ac:dyDescent="0.15">
      <c r="A105" s="62"/>
      <c r="C105" s="209"/>
      <c r="D105" s="209"/>
      <c r="E105" s="585">
        <v>15</v>
      </c>
      <c r="F105" s="3" t="str" cm="1">
        <f t="array" aca="1" ref="F105" ca="1">OFFSET(E105,-1,1)</f>
        <v>3</v>
      </c>
      <c r="G105" s="384" t="s">
        <v>1167</v>
      </c>
      <c r="H105" s="384" t="str">
        <f>H104&amp;"_1"</f>
        <v>l1_1</v>
      </c>
      <c r="I105" s="384" cm="1">
        <f t="array" ref="I105">I104</f>
        <v>0</v>
      </c>
      <c r="J105" s="209"/>
      <c r="K105" s="364"/>
      <c r="L105" s="364"/>
      <c r="M105" s="209"/>
      <c r="N105" s="209"/>
      <c r="O105" s="209"/>
      <c r="P105" s="209"/>
      <c r="Q105" s="209"/>
      <c r="R105" s="209"/>
      <c r="S105" s="209"/>
      <c r="T105" s="353" t="b" cm="1">
        <f t="array" aca="1" ref="T105" ca="1">T104</f>
        <v>0</v>
      </c>
      <c r="U105" s="209"/>
      <c r="V105" s="209"/>
      <c r="W105" s="209"/>
      <c r="X105" s="1050"/>
      <c r="Y105" s="1050"/>
      <c r="Z105" s="1051"/>
      <c r="AA105" s="1048"/>
      <c r="AB105" s="500" t="str">
        <f>AB104&amp;".1"</f>
        <v>1.0.1</v>
      </c>
      <c r="AC105" s="134" t="s">
        <v>1168</v>
      </c>
      <c r="AD105" s="9" t="s">
        <v>1169</v>
      </c>
      <c r="AE105" s="9"/>
      <c r="AF105" s="9"/>
      <c r="AG105" s="9"/>
      <c r="AH105" s="9"/>
      <c r="AI105" s="141"/>
      <c r="AJ105" s="141"/>
      <c r="AK105" s="819"/>
      <c r="AL105" s="62"/>
      <c r="AM105" s="62"/>
      <c r="AN105" s="678" t="s">
        <v>1170</v>
      </c>
      <c r="AO105" s="678" t="s">
        <v>1166</v>
      </c>
      <c r="AP105" s="678" cm="1">
        <f t="array" ref="AP105">AP104</f>
        <v>0</v>
      </c>
      <c r="AQ105" s="179"/>
      <c r="AR105" s="179"/>
    </row>
    <row r="106" spans="1:44" s="326" customFormat="1" ht="14.25" hidden="1" customHeight="1" x14ac:dyDescent="0.15">
      <c r="A106" s="62"/>
      <c r="C106" s="209"/>
      <c r="D106" s="209"/>
      <c r="E106" s="585">
        <v>15</v>
      </c>
      <c r="F106" s="3" t="str" cm="1">
        <f t="array" aca="1" ref="F106" ca="1">OFFSET(E106,-1,1)</f>
        <v>3</v>
      </c>
      <c r="G106" s="384"/>
      <c r="H106" s="384" t="str">
        <f>H104&amp;"_2"</f>
        <v>l1_2</v>
      </c>
      <c r="I106" s="384" cm="1">
        <f t="array" ref="I106">I105</f>
        <v>0</v>
      </c>
      <c r="J106" s="209"/>
      <c r="K106" s="364"/>
      <c r="L106" s="364"/>
      <c r="M106" s="209"/>
      <c r="N106" s="209"/>
      <c r="O106" s="209"/>
      <c r="P106" s="209"/>
      <c r="Q106" s="209"/>
      <c r="R106" s="209"/>
      <c r="S106" s="209"/>
      <c r="T106" s="353" t="b" cm="1">
        <f t="array" aca="1" ref="T106" ca="1">T105</f>
        <v>0</v>
      </c>
      <c r="U106" s="209"/>
      <c r="V106" s="209"/>
      <c r="W106" s="209"/>
      <c r="X106" s="1050"/>
      <c r="Y106" s="1050"/>
      <c r="Z106" s="1051"/>
      <c r="AA106" s="1048"/>
      <c r="AB106" s="500" t="str">
        <f>AB104&amp;".2"</f>
        <v>1.0.2</v>
      </c>
      <c r="AC106" s="134" t="s">
        <v>1171</v>
      </c>
      <c r="AD106" s="9" t="s">
        <v>1172</v>
      </c>
      <c r="AE106" s="9"/>
      <c r="AF106" s="9"/>
      <c r="AG106" s="9"/>
      <c r="AH106" s="9"/>
      <c r="AI106" s="141"/>
      <c r="AJ106" s="141"/>
      <c r="AK106" s="819"/>
      <c r="AL106" s="62"/>
      <c r="AM106" s="62"/>
      <c r="AN106" s="678" t="s">
        <v>1173</v>
      </c>
      <c r="AO106" s="678" t="s">
        <v>1166</v>
      </c>
      <c r="AP106" s="678" cm="1">
        <f t="array" ref="AP106">AP105</f>
        <v>0</v>
      </c>
      <c r="AQ106" s="179"/>
      <c r="AR106" s="179"/>
    </row>
    <row r="107" spans="1:44" s="326" customFormat="1" ht="14.25" customHeight="1" x14ac:dyDescent="0.15">
      <c r="A107" s="62"/>
      <c r="C107" s="209"/>
      <c r="D107" s="209"/>
      <c r="E107" s="585">
        <v>15</v>
      </c>
      <c r="F107" s="3" t="str" cm="1">
        <f t="array" aca="1" ref="F107" ca="1">OFFSET(E107,-1,1)</f>
        <v>3</v>
      </c>
      <c r="G107" s="267"/>
      <c r="H107" s="384"/>
      <c r="I107" s="66" t="str">
        <f>"!=='не определено' &amp;&amp; row.l1 !== null"</f>
        <v>!=='не определено' &amp;&amp; row.l1 !== null</v>
      </c>
      <c r="J107" s="209"/>
      <c r="K107" s="364"/>
      <c r="L107" s="364"/>
      <c r="M107" s="209"/>
      <c r="N107" s="209"/>
      <c r="O107" s="209"/>
      <c r="P107" s="209"/>
      <c r="Q107" s="209"/>
      <c r="R107" s="209"/>
      <c r="S107" s="209"/>
      <c r="T107" s="353" t="b">
        <f ca="1">F107&gt;0</f>
        <v>1</v>
      </c>
      <c r="U107" s="209"/>
      <c r="V107" s="209"/>
      <c r="W107" s="517" t="s">
        <v>397</v>
      </c>
      <c r="X107" s="1050"/>
      <c r="Y107" s="588"/>
      <c r="Z107" s="1051"/>
      <c r="AA107" s="209"/>
      <c r="AB107" s="589"/>
      <c r="AC107" s="172" t="s">
        <v>176</v>
      </c>
      <c r="AD107" s="547"/>
      <c r="AE107" s="547"/>
      <c r="AF107" s="547"/>
      <c r="AG107" s="547"/>
      <c r="AH107" s="547"/>
      <c r="AI107" s="547"/>
      <c r="AJ107" s="547"/>
      <c r="AK107" s="548"/>
      <c r="AL107" s="62"/>
      <c r="AM107" s="62"/>
      <c r="AN107" s="678"/>
      <c r="AO107" s="678"/>
      <c r="AP107" s="678"/>
      <c r="AQ107" s="179" t="s">
        <v>1166</v>
      </c>
      <c r="AR107" s="179"/>
    </row>
    <row r="108" spans="1:44" s="326" customFormat="1" ht="21.75" customHeight="1" x14ac:dyDescent="0.15">
      <c r="A108" s="62"/>
      <c r="C108" s="209"/>
      <c r="D108" s="209"/>
      <c r="E108" s="585">
        <v>22.5</v>
      </c>
      <c r="F108" s="3" t="str" cm="1">
        <f t="array" aca="1" ref="F108" ca="1">OFFSET(E108,-1,1)</f>
        <v>3</v>
      </c>
      <c r="G108" s="267" t="s">
        <v>1174</v>
      </c>
      <c r="H108" s="384" t="s">
        <v>332</v>
      </c>
      <c r="I108" s="384"/>
      <c r="J108" s="209"/>
      <c r="K108" s="364" t="str">
        <f ca="1">F108&amp;"2komm"</f>
        <v>32komm</v>
      </c>
      <c r="L108" s="607" cm="1">
        <f t="array" ref="L108">AK108</f>
        <v>0</v>
      </c>
      <c r="M108" s="209"/>
      <c r="N108" s="209"/>
      <c r="O108" s="209"/>
      <c r="P108" s="209"/>
      <c r="Q108" s="209"/>
      <c r="R108" s="209"/>
      <c r="S108" s="209"/>
      <c r="T108" s="353" t="b" cm="1">
        <f t="array" aca="1" ref="T108" ca="1">T107</f>
        <v>1</v>
      </c>
      <c r="U108" s="209"/>
      <c r="V108" s="209"/>
      <c r="W108" s="209"/>
      <c r="X108" s="1050"/>
      <c r="Y108" s="588"/>
      <c r="Z108" s="1051"/>
      <c r="AA108" s="209"/>
      <c r="AB108" s="500" t="s">
        <v>285</v>
      </c>
      <c r="AC108" s="246" t="s">
        <v>1175</v>
      </c>
      <c r="AD108" s="9" t="s">
        <v>828</v>
      </c>
      <c r="AE108" s="141">
        <f ca="1">AE103*SUMIFS(INDEX(Сценарии!$AE$25:$BF$136,,MATCH(AE$13,Сценарии!$AE$8:$BF$8,0)),Сценарии!$F$25:$F$136,$F108,Сценарии!$G$25:$G$136,"СВФОТ")/100</f>
        <v>0</v>
      </c>
      <c r="AF108" s="141">
        <f ca="1">AF103*SUMIFS(INDEX(Сценарии!$AE$25:$BF$136,,MATCH(AF$13,Сценарии!$AE$8:$BF$8,0)),Сценарии!$F$25:$F$136,$F108,Сценарии!$G$25:$G$136,"СВФОТ")/100</f>
        <v>0</v>
      </c>
      <c r="AG108" s="141">
        <f ca="1">AG103*SUMIFS(INDEX(Сценарии!$AE$25:$BF$136,,MATCH(AG$13,Сценарии!$AE$8:$BF$8,0)),Сценарии!$F$25:$F$136,$F108,Сценарии!$G$25:$G$136,"СВФОТ")/100</f>
        <v>0</v>
      </c>
      <c r="AH108" s="141">
        <f ca="1">AH103*SUMIFS(INDEX(Сценарии!$AE$25:$BF$136,,MATCH(AH$13,Сценарии!$AE$8:$BF$8,0)),Сценарии!$F$25:$F$136,$F108,Сценарии!$G$25:$G$136,"СВФОТ")/100</f>
        <v>0</v>
      </c>
      <c r="AI108" s="141">
        <f ca="1">AI103*SUMIFS(INDEX(Сценарии!$AE$25:$BF$136,,MATCH(AI$13,Сценарии!$AE$8:$BF$8,0)),Сценарии!$F$25:$F$136,$F108,Сценарии!$G$25:$G$136,"СВФОТ")/100</f>
        <v>0</v>
      </c>
      <c r="AJ108" s="141">
        <f ca="1">AJ103*SUMIFS(INDEX(Сценарии!$AE$25:$BF$136,,MATCH(AJ$13,Сценарии!$AE$8:$BF$8,0)),Сценарии!$F$25:$F$136,$F108,Сценарии!$G$25:$G$136,"СВФОТ")/100</f>
        <v>0</v>
      </c>
      <c r="AK108" s="103"/>
      <c r="AL108" s="62"/>
      <c r="AM108" s="62"/>
      <c r="AN108" s="678" t="s">
        <v>1176</v>
      </c>
      <c r="AO108" s="678"/>
      <c r="AP108" s="678"/>
      <c r="AQ108" s="179"/>
      <c r="AR108" s="179"/>
    </row>
    <row r="109" spans="1:44" s="326" customFormat="1" ht="14.25" customHeight="1" x14ac:dyDescent="0.15">
      <c r="A109" s="62"/>
      <c r="C109" s="209"/>
      <c r="D109" s="209"/>
      <c r="E109" s="585">
        <v>15</v>
      </c>
      <c r="F109" s="3" t="str" cm="1">
        <f t="array" aca="1" ref="F109" ca="1">OFFSET(E109,-1,1)</f>
        <v>3</v>
      </c>
      <c r="G109" s="267" t="s">
        <v>1177</v>
      </c>
      <c r="H109" s="384" t="s">
        <v>333</v>
      </c>
      <c r="I109" s="384"/>
      <c r="J109" s="209"/>
      <c r="K109" s="364" t="str">
        <f ca="1">F109&amp;"3komm"</f>
        <v>33komm</v>
      </c>
      <c r="L109" s="607" cm="1">
        <f t="array" ref="L109">AK109</f>
        <v>0</v>
      </c>
      <c r="M109" s="209"/>
      <c r="N109" s="209"/>
      <c r="O109" s="209"/>
      <c r="P109" s="209"/>
      <c r="Q109" s="209"/>
      <c r="R109" s="209"/>
      <c r="S109" s="209"/>
      <c r="T109" s="353" t="b" cm="1">
        <f t="array" aca="1" ref="T109" ca="1">T108</f>
        <v>1</v>
      </c>
      <c r="U109" s="209"/>
      <c r="V109" s="209"/>
      <c r="W109" s="209"/>
      <c r="X109" s="1050"/>
      <c r="Y109" s="588"/>
      <c r="Z109" s="1051"/>
      <c r="AA109" s="209"/>
      <c r="AB109" s="500" t="s">
        <v>291</v>
      </c>
      <c r="AC109" s="246" t="s">
        <v>1178</v>
      </c>
      <c r="AD109" s="9" t="s">
        <v>828</v>
      </c>
      <c r="AE109" s="141"/>
      <c r="AF109" s="141"/>
      <c r="AG109" s="141"/>
      <c r="AH109" s="141"/>
      <c r="AI109" s="126">
        <f>SUMIFS(AI110:AI113,$AD110:$AD113,$AD109)</f>
        <v>0</v>
      </c>
      <c r="AJ109" s="126">
        <f>SUMIFS(AJ110:AJ113,$AD110:$AD113,$AD109)</f>
        <v>0</v>
      </c>
      <c r="AK109" s="103"/>
      <c r="AL109" s="62"/>
      <c r="AM109" s="62"/>
      <c r="AN109" s="678" t="s">
        <v>1179</v>
      </c>
      <c r="AO109" s="678"/>
      <c r="AP109" s="678"/>
      <c r="AQ109" s="179"/>
      <c r="AR109" s="179"/>
    </row>
    <row r="110" spans="1:44" s="326" customFormat="1" ht="18" hidden="1" customHeight="1" x14ac:dyDescent="0.15">
      <c r="A110" s="62"/>
      <c r="C110" s="209"/>
      <c r="D110" s="209"/>
      <c r="E110" s="585">
        <v>18.75</v>
      </c>
      <c r="F110" s="3" t="str" cm="1">
        <f t="array" aca="1" ref="F110" ca="1">OFFSET(E110,-1,1)</f>
        <v>3</v>
      </c>
      <c r="G110" s="384"/>
      <c r="H110" s="384" t="s">
        <v>333</v>
      </c>
      <c r="I110" s="384" cm="1">
        <f t="array" ref="I110">AC110</f>
        <v>0</v>
      </c>
      <c r="J110" s="209"/>
      <c r="K110" s="364"/>
      <c r="L110" s="364"/>
      <c r="M110" s="209"/>
      <c r="N110" s="209"/>
      <c r="O110" s="209"/>
      <c r="P110" s="209"/>
      <c r="Q110" s="209"/>
      <c r="R110" s="209"/>
      <c r="S110" s="209"/>
      <c r="T110" s="353" t="b">
        <f ca="1">AND(F110&gt;0,Y110&gt;0)</f>
        <v>0</v>
      </c>
      <c r="U110" s="209"/>
      <c r="V110" s="209"/>
      <c r="W110" s="209" t="s">
        <v>172</v>
      </c>
      <c r="X110" s="1050"/>
      <c r="Y110" s="1050">
        <v>0</v>
      </c>
      <c r="Z110" s="1051"/>
      <c r="AA110" s="1048" t="s">
        <v>173</v>
      </c>
      <c r="AB110" s="7" t="str">
        <f>"3."&amp;Y110</f>
        <v>3.0</v>
      </c>
      <c r="AC110" s="780"/>
      <c r="AD110" s="9" t="s">
        <v>828</v>
      </c>
      <c r="AE110" s="9"/>
      <c r="AF110" s="9"/>
      <c r="AG110" s="9"/>
      <c r="AH110" s="9"/>
      <c r="AI110" s="128">
        <f>AI111*AI112*12/1000</f>
        <v>0</v>
      </c>
      <c r="AJ110" s="128">
        <f>AJ111*AJ112*12/1000</f>
        <v>0</v>
      </c>
      <c r="AK110" s="819"/>
      <c r="AL110" s="62"/>
      <c r="AM110" s="62"/>
      <c r="AN110" s="678" t="s">
        <v>1165</v>
      </c>
      <c r="AO110" s="678" t="s">
        <v>1180</v>
      </c>
      <c r="AP110" s="678" cm="1">
        <f t="array" ref="AP110">AC110</f>
        <v>0</v>
      </c>
      <c r="AQ110" s="179"/>
      <c r="AR110" s="179" t="b">
        <v>1</v>
      </c>
    </row>
    <row r="111" spans="1:44" s="326" customFormat="1" ht="14.25" hidden="1" customHeight="1" x14ac:dyDescent="0.15">
      <c r="A111" s="62"/>
      <c r="C111" s="209"/>
      <c r="D111" s="209"/>
      <c r="E111" s="585">
        <v>15</v>
      </c>
      <c r="F111" s="3" t="str" cm="1">
        <f t="array" aca="1" ref="F111" ca="1">OFFSET(E111,-1,1)</f>
        <v>3</v>
      </c>
      <c r="G111" s="384" t="s">
        <v>1181</v>
      </c>
      <c r="H111" s="384" t="str">
        <f>H110&amp;"_1"</f>
        <v>l3_1</v>
      </c>
      <c r="I111" s="384" cm="1">
        <f t="array" ref="I111">I110</f>
        <v>0</v>
      </c>
      <c r="J111" s="209"/>
      <c r="K111" s="364"/>
      <c r="L111" s="364"/>
      <c r="M111" s="209"/>
      <c r="N111" s="209"/>
      <c r="O111" s="209"/>
      <c r="P111" s="209"/>
      <c r="Q111" s="209"/>
      <c r="R111" s="209"/>
      <c r="S111" s="209"/>
      <c r="T111" s="353" t="b" cm="1">
        <f t="array" aca="1" ref="T111" ca="1">T110</f>
        <v>0</v>
      </c>
      <c r="U111" s="209"/>
      <c r="V111" s="209"/>
      <c r="W111" s="209"/>
      <c r="X111" s="1050"/>
      <c r="Y111" s="1050"/>
      <c r="Z111" s="1051"/>
      <c r="AA111" s="1048"/>
      <c r="AB111" s="500" t="str">
        <f>AB110&amp;".1"</f>
        <v>3.0.1</v>
      </c>
      <c r="AC111" s="134" t="s">
        <v>1168</v>
      </c>
      <c r="AD111" s="9" t="s">
        <v>1169</v>
      </c>
      <c r="AE111" s="9"/>
      <c r="AF111" s="9"/>
      <c r="AG111" s="9"/>
      <c r="AH111" s="9"/>
      <c r="AI111" s="141"/>
      <c r="AJ111" s="141"/>
      <c r="AK111" s="819"/>
      <c r="AL111" s="62"/>
      <c r="AM111" s="62"/>
      <c r="AN111" s="678" t="s">
        <v>1170</v>
      </c>
      <c r="AO111" s="678" t="s">
        <v>1180</v>
      </c>
      <c r="AP111" s="678" cm="1">
        <f t="array" ref="AP111">AP110</f>
        <v>0</v>
      </c>
      <c r="AQ111" s="179"/>
      <c r="AR111" s="179"/>
    </row>
    <row r="112" spans="1:44" s="326" customFormat="1" ht="14.25" hidden="1" customHeight="1" x14ac:dyDescent="0.15">
      <c r="A112" s="62"/>
      <c r="C112" s="209"/>
      <c r="D112" s="209"/>
      <c r="E112" s="585">
        <v>15</v>
      </c>
      <c r="F112" s="3" t="str" cm="1">
        <f t="array" aca="1" ref="F112" ca="1">OFFSET(E112,-1,1)</f>
        <v>3</v>
      </c>
      <c r="G112" s="384"/>
      <c r="H112" s="384" t="str">
        <f>H110&amp;"_2"</f>
        <v>l3_2</v>
      </c>
      <c r="I112" s="384" cm="1">
        <f t="array" ref="I112">I111</f>
        <v>0</v>
      </c>
      <c r="J112" s="209"/>
      <c r="K112" s="364"/>
      <c r="L112" s="364"/>
      <c r="M112" s="209"/>
      <c r="N112" s="209"/>
      <c r="O112" s="209"/>
      <c r="P112" s="209"/>
      <c r="Q112" s="209"/>
      <c r="R112" s="209"/>
      <c r="S112" s="209"/>
      <c r="T112" s="353" t="b" cm="1">
        <f t="array" aca="1" ref="T112" ca="1">T111</f>
        <v>0</v>
      </c>
      <c r="U112" s="209"/>
      <c r="V112" s="209"/>
      <c r="W112" s="209"/>
      <c r="X112" s="1050"/>
      <c r="Y112" s="1050"/>
      <c r="Z112" s="1051"/>
      <c r="AA112" s="1048"/>
      <c r="AB112" s="500" t="str">
        <f>AB110&amp;".2"</f>
        <v>3.0.2</v>
      </c>
      <c r="AC112" s="134" t="s">
        <v>1171</v>
      </c>
      <c r="AD112" s="9" t="s">
        <v>1172</v>
      </c>
      <c r="AE112" s="9"/>
      <c r="AF112" s="9"/>
      <c r="AG112" s="9"/>
      <c r="AH112" s="9"/>
      <c r="AI112" s="141"/>
      <c r="AJ112" s="141"/>
      <c r="AK112" s="819"/>
      <c r="AL112" s="62"/>
      <c r="AM112" s="62"/>
      <c r="AN112" s="678" t="s">
        <v>1173</v>
      </c>
      <c r="AO112" s="678" t="s">
        <v>1180</v>
      </c>
      <c r="AP112" s="678" cm="1">
        <f t="array" ref="AP112">AP111</f>
        <v>0</v>
      </c>
      <c r="AQ112" s="179"/>
      <c r="AR112" s="179"/>
    </row>
    <row r="113" spans="1:44" s="326" customFormat="1" ht="14.25" customHeight="1" x14ac:dyDescent="0.15">
      <c r="A113" s="62"/>
      <c r="C113" s="209"/>
      <c r="D113" s="209"/>
      <c r="E113" s="585">
        <v>15</v>
      </c>
      <c r="F113" s="3" t="str" cm="1">
        <f t="array" aca="1" ref="F113" ca="1">OFFSET(E113,-1,1)</f>
        <v>3</v>
      </c>
      <c r="G113" s="267"/>
      <c r="H113" s="384"/>
      <c r="I113" s="66" t="str">
        <f>"!=='не определено' &amp;&amp; row.l3 !== null"</f>
        <v>!=='не определено' &amp;&amp; row.l3 !== null</v>
      </c>
      <c r="J113" s="209"/>
      <c r="K113" s="364"/>
      <c r="L113" s="364"/>
      <c r="M113" s="209"/>
      <c r="N113" s="209"/>
      <c r="O113" s="209"/>
      <c r="P113" s="209"/>
      <c r="Q113" s="209"/>
      <c r="R113" s="209"/>
      <c r="S113" s="209"/>
      <c r="T113" s="353" t="b">
        <f ca="1">F113&gt;0</f>
        <v>1</v>
      </c>
      <c r="U113" s="209"/>
      <c r="V113" s="209"/>
      <c r="W113" s="517" t="s">
        <v>919</v>
      </c>
      <c r="X113" s="1050"/>
      <c r="Y113" s="588"/>
      <c r="Z113" s="1051"/>
      <c r="AA113" s="209"/>
      <c r="AB113" s="589"/>
      <c r="AC113" s="172" t="s">
        <v>176</v>
      </c>
      <c r="AD113" s="547"/>
      <c r="AE113" s="547"/>
      <c r="AF113" s="547"/>
      <c r="AG113" s="547"/>
      <c r="AH113" s="547"/>
      <c r="AI113" s="547"/>
      <c r="AJ113" s="547"/>
      <c r="AK113" s="548"/>
      <c r="AL113" s="62"/>
      <c r="AM113" s="62"/>
      <c r="AN113" s="678"/>
      <c r="AO113" s="678"/>
      <c r="AP113" s="678"/>
      <c r="AQ113" s="179" t="s">
        <v>1180</v>
      </c>
      <c r="AR113" s="179"/>
    </row>
    <row r="114" spans="1:44" s="326" customFormat="1" ht="21.75" customHeight="1" x14ac:dyDescent="0.15">
      <c r="A114" s="62"/>
      <c r="C114" s="209"/>
      <c r="D114" s="209"/>
      <c r="E114" s="585">
        <v>22.5</v>
      </c>
      <c r="F114" s="3" t="str" cm="1">
        <f t="array" aca="1" ref="F114" ca="1">OFFSET(E114,-1,1)</f>
        <v>3</v>
      </c>
      <c r="G114" s="267" t="s">
        <v>1182</v>
      </c>
      <c r="H114" s="384" t="s">
        <v>335</v>
      </c>
      <c r="I114" s="384"/>
      <c r="J114" s="209"/>
      <c r="K114" s="364" t="str">
        <f ca="1">F114&amp;"4komm"</f>
        <v>34komm</v>
      </c>
      <c r="L114" s="607" cm="1">
        <f t="array" ref="L114">AK114</f>
        <v>0</v>
      </c>
      <c r="M114" s="209"/>
      <c r="N114" s="209"/>
      <c r="O114" s="209"/>
      <c r="P114" s="209"/>
      <c r="Q114" s="209"/>
      <c r="R114" s="209"/>
      <c r="S114" s="209"/>
      <c r="T114" s="353" t="b" cm="1">
        <f t="array" aca="1" ref="T114" ca="1">T113</f>
        <v>1</v>
      </c>
      <c r="U114" s="209"/>
      <c r="V114" s="209"/>
      <c r="W114" s="209"/>
      <c r="X114" s="1050"/>
      <c r="Y114" s="588"/>
      <c r="Z114" s="1051"/>
      <c r="AA114" s="209"/>
      <c r="AB114" s="500" t="s">
        <v>454</v>
      </c>
      <c r="AC114" s="246" t="s">
        <v>1183</v>
      </c>
      <c r="AD114" s="9" t="s">
        <v>828</v>
      </c>
      <c r="AE114" s="141">
        <f ca="1">AE109*SUMIFS(INDEX(Сценарии!$AE$25:$BF$136,,MATCH(AE$13,Сценарии!$AE$8:$BF$8,0)),Сценарии!$F$25:$F$136,$F114,Сценарии!$G$25:$G$136,"СВФОТ")/100</f>
        <v>0</v>
      </c>
      <c r="AF114" s="141">
        <f ca="1">AF109*SUMIFS(INDEX(Сценарии!$AE$25:$BF$136,,MATCH(AF$13,Сценарии!$AE$8:$BF$8,0)),Сценарии!$F$25:$F$136,$F114,Сценарии!$G$25:$G$136,"СВФОТ")/100</f>
        <v>0</v>
      </c>
      <c r="AG114" s="141">
        <f ca="1">AG109*SUMIFS(INDEX(Сценарии!$AE$25:$BF$136,,MATCH(AG$13,Сценарии!$AE$8:$BF$8,0)),Сценарии!$F$25:$F$136,$F114,Сценарии!$G$25:$G$136,"СВФОТ")/100</f>
        <v>0</v>
      </c>
      <c r="AH114" s="141">
        <f ca="1">AH109*SUMIFS(INDEX(Сценарии!$AE$25:$BF$136,,MATCH(AH$13,Сценарии!$AE$8:$BF$8,0)),Сценарии!$F$25:$F$136,$F114,Сценарии!$G$25:$G$136,"СВФОТ")/100</f>
        <v>0</v>
      </c>
      <c r="AI114" s="141">
        <f ca="1">AI109*SUMIFS(INDEX(Сценарии!$AE$25:$BF$136,,MATCH(AI$13,Сценарии!$AE$8:$BF$8,0)),Сценарии!$F$25:$F$136,$F114,Сценарии!$G$25:$G$136,"СВФОТ")/100</f>
        <v>0</v>
      </c>
      <c r="AJ114" s="141">
        <f ca="1">AJ109*SUMIFS(INDEX(Сценарии!$AE$25:$BF$136,,MATCH(AJ$13,Сценарии!$AE$8:$BF$8,0)),Сценарии!$F$25:$F$136,$F114,Сценарии!$G$25:$G$136,"СВФОТ")/100</f>
        <v>0</v>
      </c>
      <c r="AK114" s="103"/>
      <c r="AL114" s="62"/>
      <c r="AM114" s="62"/>
      <c r="AN114" s="678" t="s">
        <v>1184</v>
      </c>
      <c r="AO114" s="678"/>
      <c r="AP114" s="678"/>
      <c r="AQ114" s="179"/>
      <c r="AR114" s="179"/>
    </row>
    <row r="115" spans="1:44" s="326" customFormat="1" ht="21.75" customHeight="1" x14ac:dyDescent="0.15">
      <c r="A115" s="62"/>
      <c r="C115" s="209"/>
      <c r="D115" s="209"/>
      <c r="E115" s="585">
        <v>22.5</v>
      </c>
      <c r="F115" s="3" t="str" cm="1">
        <f t="array" aca="1" ref="F115" ca="1">OFFSET(E115,-1,1)</f>
        <v>3</v>
      </c>
      <c r="G115" s="267" t="s">
        <v>1185</v>
      </c>
      <c r="H115" s="384" t="s">
        <v>334</v>
      </c>
      <c r="I115" s="384"/>
      <c r="J115" s="209"/>
      <c r="K115" s="364" t="str">
        <f ca="1">F115&amp;"5komm"</f>
        <v>35komm</v>
      </c>
      <c r="L115" s="607" cm="1">
        <f t="array" ref="L115">AK115</f>
        <v>0</v>
      </c>
      <c r="M115" s="209"/>
      <c r="N115" s="209"/>
      <c r="O115" s="209"/>
      <c r="P115" s="209"/>
      <c r="Q115" s="209"/>
      <c r="R115" s="209"/>
      <c r="S115" s="209"/>
      <c r="T115" s="353" t="b" cm="1">
        <f t="array" aca="1" ref="T115" ca="1">T114</f>
        <v>1</v>
      </c>
      <c r="U115" s="209"/>
      <c r="V115" s="209"/>
      <c r="W115" s="209"/>
      <c r="X115" s="1050"/>
      <c r="Y115" s="588"/>
      <c r="Z115" s="1051"/>
      <c r="AA115" s="209"/>
      <c r="AB115" s="500" t="s">
        <v>460</v>
      </c>
      <c r="AC115" s="246" t="s">
        <v>1186</v>
      </c>
      <c r="AD115" s="9" t="s">
        <v>828</v>
      </c>
      <c r="AE115" s="141"/>
      <c r="AF115" s="141"/>
      <c r="AG115" s="141"/>
      <c r="AH115" s="141"/>
      <c r="AI115" s="126">
        <f>SUMIFS(AI116:AI119,$AD116:$AD119,$AD115)</f>
        <v>0</v>
      </c>
      <c r="AJ115" s="126">
        <f>SUMIFS(AJ116:AJ119,$AD116:$AD119,$AD115)</f>
        <v>0</v>
      </c>
      <c r="AK115" s="103"/>
      <c r="AL115" s="62"/>
      <c r="AM115" s="62"/>
      <c r="AN115" s="678" t="s">
        <v>1187</v>
      </c>
      <c r="AO115" s="678"/>
      <c r="AP115" s="678"/>
      <c r="AQ115" s="179"/>
      <c r="AR115" s="179"/>
    </row>
    <row r="116" spans="1:44" s="326" customFormat="1" ht="18" hidden="1" customHeight="1" x14ac:dyDescent="0.15">
      <c r="A116" s="62"/>
      <c r="C116" s="209"/>
      <c r="D116" s="209"/>
      <c r="E116" s="585">
        <v>18.75</v>
      </c>
      <c r="F116" s="3" t="str" cm="1">
        <f t="array" aca="1" ref="F116" ca="1">OFFSET(E116,-1,1)</f>
        <v>3</v>
      </c>
      <c r="G116" s="384"/>
      <c r="H116" s="384" t="s">
        <v>334</v>
      </c>
      <c r="I116" s="384" cm="1">
        <f t="array" ref="I116">AC116</f>
        <v>0</v>
      </c>
      <c r="J116" s="209"/>
      <c r="K116" s="364"/>
      <c r="L116" s="364"/>
      <c r="M116" s="209"/>
      <c r="N116" s="209"/>
      <c r="O116" s="209"/>
      <c r="P116" s="209"/>
      <c r="Q116" s="209"/>
      <c r="R116" s="209"/>
      <c r="S116" s="209"/>
      <c r="T116" s="353" t="b">
        <f ca="1">AND(F116&gt;0,Y116&gt;0)</f>
        <v>0</v>
      </c>
      <c r="U116" s="209"/>
      <c r="V116" s="209"/>
      <c r="W116" s="209" t="s">
        <v>172</v>
      </c>
      <c r="X116" s="1050"/>
      <c r="Y116" s="1050">
        <v>0</v>
      </c>
      <c r="Z116" s="1051"/>
      <c r="AA116" s="1048" t="s">
        <v>173</v>
      </c>
      <c r="AB116" s="7" t="str">
        <f>"5."&amp;Y116</f>
        <v>5.0</v>
      </c>
      <c r="AC116" s="780"/>
      <c r="AD116" s="9" t="s">
        <v>828</v>
      </c>
      <c r="AE116" s="9"/>
      <c r="AF116" s="9"/>
      <c r="AG116" s="9"/>
      <c r="AH116" s="9"/>
      <c r="AI116" s="128">
        <f>AI117*AI118*12/1000</f>
        <v>0</v>
      </c>
      <c r="AJ116" s="128">
        <f>AJ117*AJ118*12/1000</f>
        <v>0</v>
      </c>
      <c r="AK116" s="819"/>
      <c r="AL116" s="62"/>
      <c r="AM116" s="62"/>
      <c r="AN116" s="678" t="s">
        <v>1165</v>
      </c>
      <c r="AO116" s="678" t="s">
        <v>1188</v>
      </c>
      <c r="AP116" s="678" cm="1">
        <f t="array" ref="AP116">AC116</f>
        <v>0</v>
      </c>
      <c r="AQ116" s="179"/>
      <c r="AR116" s="179" t="b">
        <v>1</v>
      </c>
    </row>
    <row r="117" spans="1:44" s="326" customFormat="1" ht="14.25" hidden="1" customHeight="1" x14ac:dyDescent="0.15">
      <c r="A117" s="62"/>
      <c r="C117" s="209"/>
      <c r="D117" s="209"/>
      <c r="E117" s="585">
        <v>15</v>
      </c>
      <c r="F117" s="3" t="str" cm="1">
        <f t="array" aca="1" ref="F117" ca="1">OFFSET(E117,-1,1)</f>
        <v>3</v>
      </c>
      <c r="G117" s="384"/>
      <c r="H117" s="384" t="str">
        <f>H116&amp;"_1"</f>
        <v>l5_1</v>
      </c>
      <c r="I117" s="384" cm="1">
        <f t="array" ref="I117">I116</f>
        <v>0</v>
      </c>
      <c r="J117" s="209"/>
      <c r="K117" s="364"/>
      <c r="L117" s="364"/>
      <c r="M117" s="209"/>
      <c r="N117" s="209"/>
      <c r="O117" s="209"/>
      <c r="P117" s="209"/>
      <c r="Q117" s="209"/>
      <c r="R117" s="209"/>
      <c r="S117" s="209"/>
      <c r="T117" s="353" t="b" cm="1">
        <f t="array" aca="1" ref="T117" ca="1">T116</f>
        <v>0</v>
      </c>
      <c r="U117" s="209"/>
      <c r="V117" s="209"/>
      <c r="W117" s="209"/>
      <c r="X117" s="1050"/>
      <c r="Y117" s="1050"/>
      <c r="Z117" s="1051"/>
      <c r="AA117" s="1048"/>
      <c r="AB117" s="500" t="str">
        <f>AB116&amp;".1"</f>
        <v>5.0.1</v>
      </c>
      <c r="AC117" s="134" t="s">
        <v>1168</v>
      </c>
      <c r="AD117" s="9" t="s">
        <v>1169</v>
      </c>
      <c r="AE117" s="9"/>
      <c r="AF117" s="9"/>
      <c r="AG117" s="9"/>
      <c r="AH117" s="9"/>
      <c r="AI117" s="141"/>
      <c r="AJ117" s="141"/>
      <c r="AK117" s="819"/>
      <c r="AL117" s="62"/>
      <c r="AM117" s="62"/>
      <c r="AN117" s="678" t="s">
        <v>1170</v>
      </c>
      <c r="AO117" s="678" t="s">
        <v>1188</v>
      </c>
      <c r="AP117" s="678" cm="1">
        <f t="array" ref="AP117">AP116</f>
        <v>0</v>
      </c>
      <c r="AQ117" s="179"/>
      <c r="AR117" s="179"/>
    </row>
    <row r="118" spans="1:44" s="326" customFormat="1" ht="14.25" hidden="1" customHeight="1" x14ac:dyDescent="0.15">
      <c r="A118" s="62"/>
      <c r="C118" s="209"/>
      <c r="D118" s="209"/>
      <c r="E118" s="585">
        <v>15</v>
      </c>
      <c r="F118" s="3" t="str" cm="1">
        <f t="array" aca="1" ref="F118" ca="1">OFFSET(E118,-1,1)</f>
        <v>3</v>
      </c>
      <c r="G118" s="384"/>
      <c r="H118" s="384" t="str">
        <f>H116&amp;"_2"</f>
        <v>l5_2</v>
      </c>
      <c r="I118" s="384" cm="1">
        <f t="array" ref="I118">I117</f>
        <v>0</v>
      </c>
      <c r="J118" s="209"/>
      <c r="K118" s="364"/>
      <c r="L118" s="364"/>
      <c r="M118" s="209"/>
      <c r="N118" s="209"/>
      <c r="O118" s="209"/>
      <c r="P118" s="209"/>
      <c r="Q118" s="209"/>
      <c r="R118" s="209"/>
      <c r="S118" s="209"/>
      <c r="T118" s="353" t="b" cm="1">
        <f t="array" aca="1" ref="T118" ca="1">T117</f>
        <v>0</v>
      </c>
      <c r="U118" s="209"/>
      <c r="V118" s="209"/>
      <c r="W118" s="209"/>
      <c r="X118" s="1050"/>
      <c r="Y118" s="1050"/>
      <c r="Z118" s="1051"/>
      <c r="AA118" s="1048"/>
      <c r="AB118" s="500" t="str">
        <f>AB116&amp;".2"</f>
        <v>5.0.2</v>
      </c>
      <c r="AC118" s="134" t="s">
        <v>1171</v>
      </c>
      <c r="AD118" s="9" t="s">
        <v>1172</v>
      </c>
      <c r="AE118" s="9"/>
      <c r="AF118" s="9"/>
      <c r="AG118" s="9"/>
      <c r="AH118" s="9"/>
      <c r="AI118" s="141"/>
      <c r="AJ118" s="141"/>
      <c r="AK118" s="819"/>
      <c r="AL118" s="62"/>
      <c r="AM118" s="62"/>
      <c r="AN118" s="678" t="s">
        <v>1173</v>
      </c>
      <c r="AO118" s="678" t="s">
        <v>1188</v>
      </c>
      <c r="AP118" s="678" cm="1">
        <f t="array" ref="AP118">AP117</f>
        <v>0</v>
      </c>
      <c r="AQ118" s="179"/>
      <c r="AR118" s="179"/>
    </row>
    <row r="119" spans="1:44" s="326" customFormat="1" ht="14.25" customHeight="1" x14ac:dyDescent="0.15">
      <c r="A119" s="62"/>
      <c r="C119" s="209"/>
      <c r="D119" s="209"/>
      <c r="E119" s="585">
        <v>15</v>
      </c>
      <c r="F119" s="3" t="str" cm="1">
        <f t="array" aca="1" ref="F119" ca="1">OFFSET(E119,-1,1)</f>
        <v>3</v>
      </c>
      <c r="G119" s="267"/>
      <c r="H119" s="384"/>
      <c r="I119" s="66" t="str">
        <f>"!=='не определено' &amp;&amp; row.l5 !== null"</f>
        <v>!=='не определено' &amp;&amp; row.l5 !== null</v>
      </c>
      <c r="J119" s="209"/>
      <c r="K119" s="364"/>
      <c r="L119" s="364"/>
      <c r="M119" s="209"/>
      <c r="N119" s="209"/>
      <c r="O119" s="209"/>
      <c r="P119" s="209"/>
      <c r="Q119" s="209"/>
      <c r="R119" s="209"/>
      <c r="S119" s="209"/>
      <c r="T119" s="353" t="b">
        <f ca="1">F119&gt;0</f>
        <v>1</v>
      </c>
      <c r="U119" s="209"/>
      <c r="V119" s="209"/>
      <c r="W119" s="517" t="s">
        <v>1189</v>
      </c>
      <c r="X119" s="1050"/>
      <c r="Y119" s="588"/>
      <c r="Z119" s="1051"/>
      <c r="AA119" s="209"/>
      <c r="AB119" s="589"/>
      <c r="AC119" s="172" t="s">
        <v>176</v>
      </c>
      <c r="AD119" s="547"/>
      <c r="AE119" s="547"/>
      <c r="AF119" s="547"/>
      <c r="AG119" s="547"/>
      <c r="AH119" s="547"/>
      <c r="AI119" s="547"/>
      <c r="AJ119" s="547"/>
      <c r="AK119" s="548"/>
      <c r="AL119" s="62"/>
      <c r="AM119" s="62"/>
      <c r="AN119" s="678"/>
      <c r="AO119" s="678"/>
      <c r="AP119" s="678"/>
      <c r="AQ119" s="179" t="s">
        <v>1188</v>
      </c>
      <c r="AR119" s="179"/>
    </row>
    <row r="120" spans="1:44" s="326" customFormat="1" ht="21.75" customHeight="1" x14ac:dyDescent="0.15">
      <c r="A120" s="62"/>
      <c r="C120" s="209"/>
      <c r="D120" s="209"/>
      <c r="E120" s="585">
        <v>22.5</v>
      </c>
      <c r="F120" s="3" t="str" cm="1">
        <f t="array" aca="1" ref="F120" ca="1">OFFSET(E120,-1,1)</f>
        <v>3</v>
      </c>
      <c r="G120" s="267" t="s">
        <v>1190</v>
      </c>
      <c r="H120" s="384" t="s">
        <v>532</v>
      </c>
      <c r="I120" s="384"/>
      <c r="J120" s="209"/>
      <c r="K120" s="364" t="str">
        <f ca="1">F120&amp;"6komm"</f>
        <v>36komm</v>
      </c>
      <c r="L120" s="364" cm="1">
        <f t="array" ref="L120">AK120</f>
        <v>0</v>
      </c>
      <c r="M120" s="209"/>
      <c r="N120" s="209"/>
      <c r="O120" s="209"/>
      <c r="P120" s="209"/>
      <c r="Q120" s="209"/>
      <c r="R120" s="209"/>
      <c r="S120" s="209"/>
      <c r="T120" s="353" t="b" cm="1">
        <f t="array" aca="1" ref="T120" ca="1">T119</f>
        <v>1</v>
      </c>
      <c r="U120" s="209"/>
      <c r="V120" s="209"/>
      <c r="W120" s="209"/>
      <c r="X120" s="1050"/>
      <c r="Y120" s="588"/>
      <c r="Z120" s="1051"/>
      <c r="AA120" s="209"/>
      <c r="AB120" s="500" t="s">
        <v>536</v>
      </c>
      <c r="AC120" s="246" t="s">
        <v>1191</v>
      </c>
      <c r="AD120" s="9" t="s">
        <v>828</v>
      </c>
      <c r="AE120" s="141">
        <f ca="1">AE115*SUMIFS(INDEX(Сценарии!$AE$25:$BF$136,,MATCH(AE$13,Сценарии!$AE$8:$BF$8,0)),Сценарии!$F$25:$F$136,$F120,Сценарии!$G$25:$G$136,"СВФОТ")/100</f>
        <v>0</v>
      </c>
      <c r="AF120" s="141">
        <f ca="1">AF115*SUMIFS(INDEX(Сценарии!$AE$25:$BF$136,,MATCH(AF$13,Сценарии!$AE$8:$BF$8,0)),Сценарии!$F$25:$F$136,$F120,Сценарии!$G$25:$G$136,"СВФОТ")/100</f>
        <v>0</v>
      </c>
      <c r="AG120" s="141">
        <f ca="1">AG115*SUMIFS(INDEX(Сценарии!$AE$25:$BF$136,,MATCH(AG$13,Сценарии!$AE$8:$BF$8,0)),Сценарии!$F$25:$F$136,$F120,Сценарии!$G$25:$G$136,"СВФОТ")/100</f>
        <v>0</v>
      </c>
      <c r="AH120" s="141">
        <f ca="1">AH115*SUMIFS(INDEX(Сценарии!$AE$25:$BF$136,,MATCH(AH$13,Сценарии!$AE$8:$BF$8,0)),Сценарии!$F$25:$F$136,$F120,Сценарии!$G$25:$G$136,"СВФОТ")/100</f>
        <v>0</v>
      </c>
      <c r="AI120" s="141">
        <f ca="1">AI115*SUMIFS(INDEX(Сценарии!$AE$25:$BF$136,,MATCH(AI$13,Сценарии!$AE$8:$BF$8,0)),Сценарии!$F$25:$F$136,$F120,Сценарии!$G$25:$G$136,"СВФОТ")/100</f>
        <v>0</v>
      </c>
      <c r="AJ120" s="141">
        <f ca="1">AJ115*SUMIFS(INDEX(Сценарии!$AE$25:$BF$136,,MATCH(AJ$13,Сценарии!$AE$8:$BF$8,0)),Сценарии!$F$25:$F$136,$F120,Сценарии!$G$25:$G$136,"СВФОТ")/100</f>
        <v>0</v>
      </c>
      <c r="AK120" s="608"/>
      <c r="AL120" s="62"/>
      <c r="AM120" s="62"/>
      <c r="AN120" s="678" t="s">
        <v>1192</v>
      </c>
      <c r="AO120" s="678"/>
      <c r="AP120" s="678"/>
      <c r="AQ120" s="179"/>
      <c r="AR120" s="179"/>
    </row>
    <row r="121" spans="1:44" s="326" customFormat="1" ht="14.25" customHeight="1" x14ac:dyDescent="0.15">
      <c r="A121" s="62"/>
      <c r="C121" s="209"/>
      <c r="D121" s="209"/>
      <c r="E121" s="585">
        <v>15</v>
      </c>
      <c r="F121" s="3" t="str" cm="1">
        <f t="array" aca="1" ref="F121" ca="1">OFFSET(E121,-1,1)</f>
        <v>3</v>
      </c>
      <c r="G121" s="267" t="s">
        <v>1193</v>
      </c>
      <c r="H121" s="384" t="s">
        <v>535</v>
      </c>
      <c r="I121" s="384"/>
      <c r="J121" s="209"/>
      <c r="K121" s="364" t="str">
        <f ca="1">F121&amp;"7komm"</f>
        <v>37komm</v>
      </c>
      <c r="L121" s="364" cm="1">
        <f t="array" ref="L121">AK121</f>
        <v>0</v>
      </c>
      <c r="M121" s="209"/>
      <c r="N121" s="209"/>
      <c r="O121" s="209"/>
      <c r="P121" s="209"/>
      <c r="Q121" s="209"/>
      <c r="R121" s="209"/>
      <c r="S121" s="209"/>
      <c r="T121" s="353" t="b" cm="1">
        <f t="array" aca="1" ref="T121" ca="1">T120</f>
        <v>1</v>
      </c>
      <c r="U121" s="209"/>
      <c r="V121" s="209"/>
      <c r="W121" s="209"/>
      <c r="X121" s="1050"/>
      <c r="Y121" s="588"/>
      <c r="Z121" s="1051"/>
      <c r="AA121" s="209"/>
      <c r="AB121" s="500" t="s">
        <v>602</v>
      </c>
      <c r="AC121" s="246" t="s">
        <v>1194</v>
      </c>
      <c r="AD121" s="9" t="s">
        <v>828</v>
      </c>
      <c r="AE121" s="141"/>
      <c r="AF121" s="141"/>
      <c r="AG121" s="141"/>
      <c r="AH121" s="141"/>
      <c r="AI121" s="126">
        <f>SUMIFS(AI122:AI125,$AD122:$AD125,$AD121)</f>
        <v>0</v>
      </c>
      <c r="AJ121" s="126">
        <f>SUMIFS(AJ122:AJ125,$AD122:$AD125,$AD121)</f>
        <v>0</v>
      </c>
      <c r="AK121" s="608"/>
      <c r="AL121" s="62"/>
      <c r="AM121" s="62"/>
      <c r="AN121" s="678" t="s">
        <v>1195</v>
      </c>
      <c r="AO121" s="678"/>
      <c r="AP121" s="678"/>
      <c r="AQ121" s="179"/>
      <c r="AR121" s="179"/>
    </row>
    <row r="122" spans="1:44" s="326" customFormat="1" ht="18" hidden="1" customHeight="1" x14ac:dyDescent="0.15">
      <c r="A122" s="62"/>
      <c r="B122" s="62"/>
      <c r="C122" s="209"/>
      <c r="D122" s="209"/>
      <c r="E122" s="585">
        <v>18.75</v>
      </c>
      <c r="F122" s="3" t="str" cm="1">
        <f t="array" aca="1" ref="F122" ca="1">OFFSET(E122,-1,1)</f>
        <v>3</v>
      </c>
      <c r="G122" s="384"/>
      <c r="H122" s="384" t="s">
        <v>535</v>
      </c>
      <c r="I122" s="384" cm="1">
        <f t="array" ref="I122">AC122</f>
        <v>0</v>
      </c>
      <c r="J122" s="209"/>
      <c r="K122" s="364"/>
      <c r="L122" s="364"/>
      <c r="M122" s="209"/>
      <c r="N122" s="209"/>
      <c r="O122" s="209"/>
      <c r="P122" s="209"/>
      <c r="Q122" s="209"/>
      <c r="R122" s="209"/>
      <c r="S122" s="209"/>
      <c r="T122" s="353" t="b">
        <f ca="1">AND(F122&gt;0,Y122&gt;0)</f>
        <v>0</v>
      </c>
      <c r="U122" s="209"/>
      <c r="V122" s="209"/>
      <c r="W122" s="209" t="s">
        <v>172</v>
      </c>
      <c r="X122" s="1050"/>
      <c r="Y122" s="1050">
        <v>0</v>
      </c>
      <c r="Z122" s="1051"/>
      <c r="AA122" s="1048" t="s">
        <v>173</v>
      </c>
      <c r="AB122" s="7" t="str">
        <f>"7."&amp;Y122</f>
        <v>7.0</v>
      </c>
      <c r="AC122" s="780"/>
      <c r="AD122" s="9" t="s">
        <v>828</v>
      </c>
      <c r="AE122" s="9"/>
      <c r="AF122" s="9"/>
      <c r="AG122" s="9"/>
      <c r="AH122" s="9"/>
      <c r="AI122" s="128">
        <f>AI123*AI124*12/1000</f>
        <v>0</v>
      </c>
      <c r="AJ122" s="128">
        <f>AJ123*AJ124*12/1000</f>
        <v>0</v>
      </c>
      <c r="AK122" s="819"/>
      <c r="AL122" s="62"/>
      <c r="AM122" s="62"/>
      <c r="AN122" s="678" t="s">
        <v>1165</v>
      </c>
      <c r="AO122" s="678" t="s">
        <v>1196</v>
      </c>
      <c r="AP122" s="678" cm="1">
        <f t="array" ref="AP122">AC122</f>
        <v>0</v>
      </c>
      <c r="AQ122" s="179"/>
      <c r="AR122" s="179" t="b">
        <v>1</v>
      </c>
    </row>
    <row r="123" spans="1:44" s="326" customFormat="1" ht="14.25" hidden="1" customHeight="1" x14ac:dyDescent="0.15">
      <c r="A123" s="62"/>
      <c r="B123" s="62"/>
      <c r="C123" s="209"/>
      <c r="D123" s="209"/>
      <c r="E123" s="585">
        <v>15</v>
      </c>
      <c r="F123" s="3" t="str" cm="1">
        <f t="array" aca="1" ref="F123" ca="1">OFFSET(E123,-1,1)</f>
        <v>3</v>
      </c>
      <c r="G123" s="384"/>
      <c r="H123" s="384" t="str">
        <f>H122&amp;"_1"</f>
        <v>l7_1</v>
      </c>
      <c r="I123" s="384" cm="1">
        <f t="array" ref="I123">I122</f>
        <v>0</v>
      </c>
      <c r="J123" s="209"/>
      <c r="K123" s="364"/>
      <c r="L123" s="364"/>
      <c r="M123" s="209"/>
      <c r="N123" s="209"/>
      <c r="O123" s="209"/>
      <c r="P123" s="209"/>
      <c r="Q123" s="209"/>
      <c r="R123" s="209"/>
      <c r="S123" s="209"/>
      <c r="T123" s="353" t="b" cm="1">
        <f t="array" aca="1" ref="T123" ca="1">T122</f>
        <v>0</v>
      </c>
      <c r="U123" s="209"/>
      <c r="V123" s="209"/>
      <c r="W123" s="209"/>
      <c r="X123" s="1050"/>
      <c r="Y123" s="1050"/>
      <c r="Z123" s="1051"/>
      <c r="AA123" s="1048"/>
      <c r="AB123" s="500" t="str">
        <f>AB122&amp;".1"</f>
        <v>7.0.1</v>
      </c>
      <c r="AC123" s="134" t="s">
        <v>1168</v>
      </c>
      <c r="AD123" s="9" t="s">
        <v>1169</v>
      </c>
      <c r="AE123" s="9"/>
      <c r="AF123" s="9"/>
      <c r="AG123" s="9"/>
      <c r="AH123" s="9"/>
      <c r="AI123" s="141"/>
      <c r="AJ123" s="141"/>
      <c r="AK123" s="819"/>
      <c r="AL123" s="62"/>
      <c r="AM123" s="62"/>
      <c r="AN123" s="678" t="s">
        <v>1170</v>
      </c>
      <c r="AO123" s="678" t="s">
        <v>1196</v>
      </c>
      <c r="AP123" s="678" cm="1">
        <f t="array" ref="AP123">AP122</f>
        <v>0</v>
      </c>
      <c r="AQ123" s="179"/>
      <c r="AR123" s="179"/>
    </row>
    <row r="124" spans="1:44" s="326" customFormat="1" ht="14.25" hidden="1" customHeight="1" x14ac:dyDescent="0.15">
      <c r="A124" s="62"/>
      <c r="B124" s="62"/>
      <c r="C124" s="209"/>
      <c r="D124" s="209"/>
      <c r="E124" s="585">
        <v>15</v>
      </c>
      <c r="F124" s="3" t="str" cm="1">
        <f t="array" aca="1" ref="F124" ca="1">OFFSET(E124,-1,1)</f>
        <v>3</v>
      </c>
      <c r="G124" s="384"/>
      <c r="H124" s="384" t="str">
        <f>H122&amp;"_2"</f>
        <v>l7_2</v>
      </c>
      <c r="I124" s="384" cm="1">
        <f t="array" ref="I124">I123</f>
        <v>0</v>
      </c>
      <c r="J124" s="209"/>
      <c r="K124" s="364"/>
      <c r="L124" s="364"/>
      <c r="M124" s="209"/>
      <c r="N124" s="209"/>
      <c r="O124" s="209"/>
      <c r="P124" s="209"/>
      <c r="Q124" s="209"/>
      <c r="R124" s="209"/>
      <c r="S124" s="209"/>
      <c r="T124" s="353" t="b" cm="1">
        <f t="array" aca="1" ref="T124" ca="1">T123</f>
        <v>0</v>
      </c>
      <c r="U124" s="209"/>
      <c r="V124" s="209"/>
      <c r="W124" s="209"/>
      <c r="X124" s="1050"/>
      <c r="Y124" s="1050"/>
      <c r="Z124" s="1051"/>
      <c r="AA124" s="1048"/>
      <c r="AB124" s="500" t="str">
        <f>AB122&amp;".2"</f>
        <v>7.0.2</v>
      </c>
      <c r="AC124" s="134" t="s">
        <v>1171</v>
      </c>
      <c r="AD124" s="9" t="s">
        <v>1172</v>
      </c>
      <c r="AE124" s="9"/>
      <c r="AF124" s="9"/>
      <c r="AG124" s="9"/>
      <c r="AH124" s="9"/>
      <c r="AI124" s="141"/>
      <c r="AJ124" s="141"/>
      <c r="AK124" s="819"/>
      <c r="AL124" s="62"/>
      <c r="AM124" s="62"/>
      <c r="AN124" s="678" t="s">
        <v>1173</v>
      </c>
      <c r="AO124" s="678" t="s">
        <v>1196</v>
      </c>
      <c r="AP124" s="678" cm="1">
        <f t="array" ref="AP124">AP123</f>
        <v>0</v>
      </c>
      <c r="AQ124" s="179"/>
      <c r="AR124" s="179"/>
    </row>
    <row r="125" spans="1:44" s="326" customFormat="1" ht="14.25" customHeight="1" x14ac:dyDescent="0.15">
      <c r="A125" s="62"/>
      <c r="C125" s="209"/>
      <c r="D125" s="209"/>
      <c r="E125" s="585">
        <v>15</v>
      </c>
      <c r="F125" s="3" t="str" cm="1">
        <f t="array" aca="1" ref="F125" ca="1">OFFSET(E125,-1,1)</f>
        <v>3</v>
      </c>
      <c r="G125" s="267"/>
      <c r="H125" s="384"/>
      <c r="I125" s="66" t="str">
        <f>"!=='не определено' &amp;&amp; row.l7 !== null"</f>
        <v>!=='не определено' &amp;&amp; row.l7 !== null</v>
      </c>
      <c r="J125" s="209"/>
      <c r="K125" s="364"/>
      <c r="L125" s="364"/>
      <c r="M125" s="209"/>
      <c r="N125" s="209"/>
      <c r="O125" s="209"/>
      <c r="P125" s="209"/>
      <c r="Q125" s="209"/>
      <c r="R125" s="209"/>
      <c r="S125" s="209"/>
      <c r="T125" s="353" t="b">
        <f ca="1">F125&gt;0</f>
        <v>1</v>
      </c>
      <c r="U125" s="209"/>
      <c r="V125" s="209"/>
      <c r="W125" s="517" t="s">
        <v>1197</v>
      </c>
      <c r="X125" s="1050"/>
      <c r="Y125" s="209"/>
      <c r="Z125" s="1051"/>
      <c r="AA125" s="209"/>
      <c r="AB125" s="589"/>
      <c r="AC125" s="172" t="s">
        <v>176</v>
      </c>
      <c r="AD125" s="547"/>
      <c r="AE125" s="547"/>
      <c r="AF125" s="547"/>
      <c r="AG125" s="547"/>
      <c r="AH125" s="547"/>
      <c r="AI125" s="547"/>
      <c r="AJ125" s="547"/>
      <c r="AK125" s="548"/>
      <c r="AL125" s="62"/>
      <c r="AM125" s="62"/>
      <c r="AN125" s="678"/>
      <c r="AO125" s="678"/>
      <c r="AP125" s="678"/>
      <c r="AQ125" s="179" t="s">
        <v>1196</v>
      </c>
      <c r="AR125" s="179"/>
    </row>
    <row r="126" spans="1:44" s="326" customFormat="1" ht="21.75" customHeight="1" x14ac:dyDescent="0.15">
      <c r="A126" s="62"/>
      <c r="C126" s="209"/>
      <c r="D126" s="209"/>
      <c r="E126" s="585">
        <v>22.5</v>
      </c>
      <c r="F126" s="3" t="str" cm="1">
        <f t="array" aca="1" ref="F126" ca="1">OFFSET(E126,-1,1)</f>
        <v>3</v>
      </c>
      <c r="G126" s="267" t="s">
        <v>1198</v>
      </c>
      <c r="H126" s="384" t="s">
        <v>586</v>
      </c>
      <c r="I126" s="384"/>
      <c r="J126" s="209"/>
      <c r="K126" s="364" t="str">
        <f ca="1">F126&amp;"8komm"</f>
        <v>38komm</v>
      </c>
      <c r="L126" s="607" cm="1">
        <f t="array" ref="L126">AK126</f>
        <v>0</v>
      </c>
      <c r="M126" s="209"/>
      <c r="N126" s="209"/>
      <c r="O126" s="209"/>
      <c r="P126" s="209"/>
      <c r="Q126" s="209"/>
      <c r="R126" s="209"/>
      <c r="S126" s="209"/>
      <c r="T126" s="353" t="b" cm="1">
        <f t="array" aca="1" ref="T126" ca="1">T125</f>
        <v>1</v>
      </c>
      <c r="U126" s="209"/>
      <c r="V126" s="209"/>
      <c r="W126" s="209"/>
      <c r="X126" s="1050"/>
      <c r="Y126" s="209"/>
      <c r="Z126" s="1051"/>
      <c r="AA126" s="209"/>
      <c r="AB126" s="500" t="s">
        <v>610</v>
      </c>
      <c r="AC126" s="246" t="s">
        <v>1199</v>
      </c>
      <c r="AD126" s="9" t="s">
        <v>828</v>
      </c>
      <c r="AE126" s="141">
        <f ca="1">AE121*SUMIFS(INDEX(Сценарии!$AE$25:$BF$136,,MATCH(AE$13,Сценарии!$AE$8:$BF$8,0)),Сценарии!$F$25:$F$136,$F126,Сценарии!$G$25:$G$136,"СВФОТ")/100</f>
        <v>0</v>
      </c>
      <c r="AF126" s="141">
        <f ca="1">AF121*SUMIFS(INDEX(Сценарии!$AE$25:$BF$136,,MATCH(AF$13,Сценарии!$AE$8:$BF$8,0)),Сценарии!$F$25:$F$136,$F126,Сценарии!$G$25:$G$136,"СВФОТ")/100</f>
        <v>0</v>
      </c>
      <c r="AG126" s="141">
        <f ca="1">AG121*SUMIFS(INDEX(Сценарии!$AE$25:$BF$136,,MATCH(AG$13,Сценарии!$AE$8:$BF$8,0)),Сценарии!$F$25:$F$136,$F126,Сценарии!$G$25:$G$136,"СВФОТ")/100</f>
        <v>0</v>
      </c>
      <c r="AH126" s="141">
        <f ca="1">AH121*SUMIFS(INDEX(Сценарии!$AE$25:$BF$136,,MATCH(AH$13,Сценарии!$AE$8:$BF$8,0)),Сценарии!$F$25:$F$136,$F126,Сценарии!$G$25:$G$136,"СВФОТ")/100</f>
        <v>0</v>
      </c>
      <c r="AI126" s="141">
        <f ca="1">AI121*SUMIFS(INDEX(Сценарии!$AE$25:$BF$136,,MATCH(AI$13,Сценарии!$AE$8:$BF$8,0)),Сценарии!$F$25:$F$136,$F126,Сценарии!$G$25:$G$136,"СВФОТ")/100</f>
        <v>0</v>
      </c>
      <c r="AJ126" s="141">
        <f ca="1">AJ121*SUMIFS(INDEX(Сценарии!$AE$25:$BF$136,,MATCH(AJ$13,Сценарии!$AE$8:$BF$8,0)),Сценарии!$F$25:$F$136,$F126,Сценарии!$G$25:$G$136,"СВФОТ")/100</f>
        <v>0</v>
      </c>
      <c r="AK126" s="103"/>
      <c r="AL126" s="62"/>
      <c r="AM126" s="62"/>
      <c r="AN126" s="678" t="s">
        <v>1200</v>
      </c>
      <c r="AO126" s="678"/>
      <c r="AP126" s="678"/>
      <c r="AQ126" s="179"/>
      <c r="AR126" s="179"/>
    </row>
    <row r="127" spans="1:44" ht="10.9" customHeight="1" x14ac:dyDescent="0.15">
      <c r="A127" s="315"/>
      <c r="B127" s="479"/>
      <c r="C127" s="315"/>
      <c r="D127" s="315"/>
      <c r="E127" s="480">
        <v>11.25</v>
      </c>
      <c r="F127" s="315"/>
      <c r="G127" s="315"/>
      <c r="H127" s="315"/>
      <c r="I127" s="315"/>
      <c r="J127" s="315"/>
      <c r="K127" s="605"/>
      <c r="L127" s="605"/>
      <c r="M127" s="315"/>
      <c r="N127" s="315"/>
      <c r="O127" s="315"/>
      <c r="P127" s="315"/>
      <c r="Q127" s="315"/>
      <c r="R127" s="315"/>
      <c r="S127" s="315"/>
      <c r="T127" s="315"/>
      <c r="U127" s="315" t="s">
        <v>176</v>
      </c>
      <c r="V127" s="517" t="s">
        <v>1201</v>
      </c>
      <c r="W127" s="315"/>
      <c r="X127" s="315"/>
      <c r="Y127" s="315"/>
      <c r="Z127" s="315"/>
      <c r="AA127" s="315"/>
      <c r="AB127" s="315"/>
      <c r="AC127" s="315"/>
      <c r="AD127" s="315"/>
      <c r="AE127" s="315"/>
      <c r="AF127" s="315"/>
      <c r="AG127"/>
      <c r="AH127"/>
      <c r="AI127"/>
      <c r="AJ127"/>
      <c r="AK127"/>
      <c r="AL127"/>
      <c r="AM127"/>
      <c r="AN127" s="661"/>
      <c r="AO127" s="661"/>
      <c r="AP127" s="661"/>
      <c r="AQ127" s="454"/>
      <c r="AR127" s="454"/>
    </row>
    <row r="128" spans="1:44" ht="14.65" customHeight="1" x14ac:dyDescent="0.15">
      <c r="C128" s="59"/>
      <c r="D128" s="59"/>
      <c r="E128" s="462">
        <v>15</v>
      </c>
      <c r="F128" s="59"/>
      <c r="G128" s="59"/>
      <c r="H128" s="59"/>
      <c r="I128" s="59"/>
      <c r="J128" s="59"/>
      <c r="M128" s="59"/>
      <c r="N128" s="59"/>
      <c r="O128" s="59"/>
      <c r="P128" s="59"/>
      <c r="Q128" s="59"/>
      <c r="R128" s="267"/>
      <c r="S128" s="59"/>
      <c r="T128" s="59"/>
      <c r="U128" s="59"/>
      <c r="V128" s="59"/>
      <c r="W128" s="59"/>
      <c r="X128" s="59"/>
      <c r="Y128" s="59"/>
      <c r="Z128" s="59"/>
      <c r="AA128" s="59"/>
      <c r="AB128" s="993" t="s">
        <v>408</v>
      </c>
      <c r="AC128" s="993"/>
      <c r="AD128" s="993"/>
      <c r="AE128" s="993"/>
      <c r="AF128" s="993"/>
      <c r="AG128" s="993"/>
      <c r="AH128" s="993"/>
      <c r="AI128" s="1053"/>
      <c r="AJ128" s="1053"/>
      <c r="AK128" s="1053"/>
    </row>
    <row r="129" spans="5:38" ht="14.65" customHeight="1" x14ac:dyDescent="0.15">
      <c r="E129" s="461">
        <v>15</v>
      </c>
      <c r="AA129" s="481"/>
      <c r="AB129" s="1025"/>
      <c r="AC129" s="1025"/>
      <c r="AD129" s="1025"/>
      <c r="AE129" s="1025"/>
      <c r="AF129" s="1025"/>
      <c r="AG129" s="1025"/>
      <c r="AH129" s="1025"/>
      <c r="AI129" s="1026"/>
      <c r="AJ129" s="1026"/>
      <c r="AK129" s="1026"/>
    </row>
    <row r="130" spans="5:38" ht="14.65" hidden="1" customHeight="1" x14ac:dyDescent="0.15">
      <c r="E130" s="461">
        <v>15</v>
      </c>
      <c r="T130" s="353" t="b">
        <f>ROW(W130)&gt;ROW(W$130)</f>
        <v>0</v>
      </c>
      <c r="W130" s="517" t="s">
        <v>172</v>
      </c>
      <c r="AA130" s="482" t="s">
        <v>173</v>
      </c>
      <c r="AB130" s="1037" t="s">
        <v>225</v>
      </c>
      <c r="AC130" s="1037"/>
      <c r="AD130" s="1037"/>
      <c r="AE130" s="1037"/>
      <c r="AF130" s="1037"/>
      <c r="AG130" s="1037"/>
      <c r="AH130" s="1037"/>
      <c r="AI130" s="1026"/>
      <c r="AJ130" s="1026"/>
      <c r="AK130" s="1038"/>
    </row>
    <row r="131" spans="5:38" ht="14.65" customHeight="1" x14ac:dyDescent="0.15">
      <c r="E131" s="461">
        <v>15</v>
      </c>
      <c r="W131" s="517" t="s">
        <v>419</v>
      </c>
      <c r="AB131" s="485"/>
      <c r="AC131" s="382" t="s">
        <v>420</v>
      </c>
      <c r="AD131" s="218"/>
      <c r="AE131" s="218"/>
      <c r="AF131" s="219"/>
      <c r="AG131" s="219"/>
      <c r="AH131" s="219"/>
      <c r="AI131" s="219"/>
      <c r="AJ131" s="219"/>
      <c r="AK131" s="220"/>
    </row>
    <row r="132" spans="5:38" ht="10.7" customHeight="1" x14ac:dyDescent="0.15">
      <c r="E132" s="461">
        <v>11</v>
      </c>
      <c r="AL132" s="22"/>
    </row>
  </sheetData>
  <sheetProtection formatColumns="0" formatRows="0" insertRows="0" deleteColumns="0" deleteRows="0" sort="0" autoFilter="0"/>
  <mergeCells count="47">
    <mergeCell ref="X102:X126"/>
    <mergeCell ref="Z102:Z126"/>
    <mergeCell ref="AA104:AA106"/>
    <mergeCell ref="AA110:AA112"/>
    <mergeCell ref="AA116:AA118"/>
    <mergeCell ref="AA122:AA124"/>
    <mergeCell ref="Y104:Y106"/>
    <mergeCell ref="Y110:Y112"/>
    <mergeCell ref="Y116:Y118"/>
    <mergeCell ref="Y122:Y124"/>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30:AK130"/>
    <mergeCell ref="AB128:AK128"/>
    <mergeCell ref="AB129:AK12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J104:AJ106 AJ108 AJ110:AJ112 AJ114 AJ116:AJ118 AJ120 AJ122:AJ124 AJ126 AI51 AI54:AI56 AI58 AI60:AI62 AI64 AI66:AI68 AI70 AI72:AI74 AI76 AI79:AI81 AI83 AI85:AI87 AI89 AI91:AI93 AI95 AI97:AI99 AI101 AI104:AI106 AI108 AI110:AI112 AI114 AI116:AI118 AI120 AI122:AI124 AI126 AH51 AH53 AH58:AH59 AH64:AH65 AH70:AH71 AH76 AH78 AH83:AH84 AH89:AH90 AH95:AH96 AH101 AH103 AH108:AH109 AH114:AH115 AH120:AH121 AH126 AG51 AG53 AG58:AG59 AG64:AG65 AG70:AG71 AG76 AG78 AG83:AG84 AG89:AG90 AG95:AG96 AG101 AG103 AG108:AG109 AG114:AG115 AG120:AG121 AG126 AF51 AF53 AF58:AF59 AF64:AF65 AF70:AF71 AF76 AF78 AF83:AF84 AF89:AF90 AF95:AF96 AF101 AF103 AF108:AF109 AF114:AF115 AF120:AF121 AF126 AE51 AE53 AE58:AE59 AE64:AE65 AE70:AE71 AE76 AE78 AE83:AE84 AE89:AE90 AE95:AE96 AE101 AE103 AE108:AE109 AE114:AE115 AE120:AE121 AE12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9488-0156-5CA8-DDE8-EE1D9F270F18}">
  <dimension ref="A1:AA17"/>
  <sheetViews>
    <sheetView showGridLines="0" showRowColHeaders="0" workbookViewId="0"/>
  </sheetViews>
  <sheetFormatPr defaultColWidth="10.42578125" defaultRowHeight="12.6" customHeight="1" x14ac:dyDescent="0.2"/>
  <cols>
    <col min="1" max="1" width="5.140625" style="763" customWidth="1"/>
    <col min="2" max="2" width="8.5703125" style="334" customWidth="1"/>
    <col min="3" max="3" width="15.5703125" style="763" customWidth="1"/>
    <col min="4" max="25" width="6" style="763" customWidth="1"/>
    <col min="26" max="27" width="10.42578125" style="763"/>
  </cols>
  <sheetData>
    <row r="1" spans="1:27" ht="15.75" customHeight="1" x14ac:dyDescent="0.2">
      <c r="A1" s="321"/>
      <c r="B1" s="333"/>
      <c r="C1" s="734"/>
      <c r="D1" s="734"/>
      <c r="E1" s="734"/>
      <c r="F1" s="734"/>
      <c r="G1" s="734"/>
      <c r="H1" s="734"/>
      <c r="I1" s="734"/>
      <c r="J1" s="734"/>
      <c r="K1" s="734"/>
      <c r="L1" s="734"/>
      <c r="M1" s="734"/>
      <c r="N1" s="734"/>
      <c r="O1" s="734"/>
      <c r="P1" s="734"/>
      <c r="Q1" s="734"/>
      <c r="R1" s="734"/>
      <c r="S1" s="734"/>
      <c r="T1" s="734"/>
      <c r="U1" s="734"/>
      <c r="V1" s="734"/>
      <c r="W1" s="734"/>
      <c r="X1" s="734"/>
      <c r="Y1" s="735"/>
      <c r="Z1" s="734"/>
      <c r="AA1" s="322" t="s">
        <v>3</v>
      </c>
    </row>
    <row r="2" spans="1:27" s="334" customFormat="1" ht="17.25" customHeight="1" x14ac:dyDescent="0.35">
      <c r="A2" s="333"/>
      <c r="B2" s="893" t="s">
        <v>4</v>
      </c>
      <c r="C2" s="893"/>
      <c r="D2" s="893"/>
      <c r="E2" s="893"/>
      <c r="F2" s="893"/>
      <c r="G2" s="893"/>
      <c r="H2" s="893"/>
      <c r="I2" s="893"/>
      <c r="J2" s="893"/>
      <c r="K2" s="893"/>
      <c r="L2" s="893"/>
      <c r="M2" s="893"/>
      <c r="N2" s="893"/>
      <c r="O2" s="893"/>
      <c r="P2" s="893"/>
      <c r="Q2" s="736"/>
      <c r="R2" s="736"/>
      <c r="S2" s="736"/>
      <c r="T2" s="736"/>
      <c r="U2" s="736"/>
      <c r="V2" s="737"/>
      <c r="W2" s="736"/>
      <c r="X2" s="736"/>
      <c r="Y2" s="738"/>
      <c r="Z2" s="333"/>
      <c r="AA2" s="333"/>
    </row>
    <row r="3" spans="1:27" ht="15.75" customHeight="1" x14ac:dyDescent="0.35">
      <c r="A3" s="734"/>
      <c r="B3" s="894" t="s">
        <v>5</v>
      </c>
      <c r="C3" s="894"/>
      <c r="D3" s="894"/>
      <c r="E3" s="894"/>
      <c r="F3" s="894"/>
      <c r="G3" s="894"/>
      <c r="H3" s="894"/>
      <c r="I3" s="894"/>
      <c r="J3" s="894"/>
      <c r="K3" s="894"/>
      <c r="L3" s="894"/>
      <c r="M3" s="894"/>
      <c r="N3" s="894"/>
      <c r="O3" s="894"/>
      <c r="P3" s="894"/>
      <c r="Q3" s="739"/>
      <c r="R3" s="739"/>
      <c r="S3" s="740"/>
      <c r="T3" s="740"/>
      <c r="U3" s="740"/>
      <c r="V3" s="739"/>
      <c r="W3" s="739"/>
      <c r="X3" s="739"/>
      <c r="Y3" s="739"/>
      <c r="Z3" s="734"/>
      <c r="AA3" s="322"/>
    </row>
    <row r="4" spans="1:27" ht="16.5" customHeight="1" x14ac:dyDescent="0.35">
      <c r="A4" s="734"/>
      <c r="B4" s="335"/>
      <c r="C4" s="734"/>
      <c r="D4" s="739"/>
      <c r="E4" s="739"/>
      <c r="F4" s="739"/>
      <c r="G4" s="739"/>
      <c r="H4" s="739"/>
      <c r="I4" s="739"/>
      <c r="J4" s="739"/>
      <c r="K4" s="739"/>
      <c r="L4" s="739"/>
      <c r="M4" s="739"/>
      <c r="N4" s="739"/>
      <c r="O4" s="739"/>
      <c r="P4" s="739"/>
      <c r="Q4" s="739"/>
      <c r="R4" s="739"/>
      <c r="S4" s="739"/>
      <c r="T4" s="739"/>
      <c r="U4" s="739"/>
      <c r="V4" s="739"/>
      <c r="W4" s="739"/>
      <c r="X4" s="739"/>
      <c r="Y4" s="739"/>
      <c r="Z4" s="734"/>
      <c r="AA4" s="322"/>
    </row>
    <row r="5" spans="1:27" ht="22.5" customHeight="1" x14ac:dyDescent="0.2">
      <c r="A5" s="741"/>
      <c r="B5" s="895"/>
      <c r="C5" s="896"/>
      <c r="D5" s="896"/>
      <c r="E5" s="896"/>
      <c r="F5" s="896"/>
      <c r="G5" s="896"/>
      <c r="H5" s="896"/>
      <c r="I5" s="896"/>
      <c r="J5" s="896"/>
      <c r="K5" s="896"/>
      <c r="L5" s="896"/>
      <c r="M5" s="896"/>
      <c r="N5" s="896"/>
      <c r="O5" s="896"/>
      <c r="P5" s="896"/>
      <c r="Q5" s="896"/>
      <c r="R5" s="896"/>
      <c r="S5" s="896"/>
      <c r="T5" s="896"/>
      <c r="U5" s="896"/>
      <c r="V5" s="896"/>
      <c r="W5" s="896"/>
      <c r="X5" s="896"/>
      <c r="Y5" s="897"/>
      <c r="Z5" s="741"/>
      <c r="AA5" s="322"/>
    </row>
    <row r="6" spans="1:27" ht="13.5" customHeight="1" x14ac:dyDescent="0.2">
      <c r="A6" s="742"/>
      <c r="B6" s="898" t="s">
        <v>6</v>
      </c>
      <c r="C6" s="899"/>
      <c r="D6" s="743"/>
      <c r="E6" s="743"/>
      <c r="F6" s="743"/>
      <c r="G6" s="743"/>
      <c r="H6" s="743"/>
      <c r="I6" s="743"/>
      <c r="J6" s="743"/>
      <c r="K6" s="743"/>
      <c r="L6" s="743"/>
      <c r="M6" s="743"/>
      <c r="N6" s="743"/>
      <c r="O6" s="743"/>
      <c r="P6" s="743"/>
      <c r="Q6" s="743"/>
      <c r="R6" s="743"/>
      <c r="S6" s="743"/>
      <c r="T6" s="743"/>
      <c r="U6" s="743"/>
      <c r="V6" s="743"/>
      <c r="W6" s="743"/>
      <c r="X6" s="743"/>
      <c r="Y6" s="744"/>
      <c r="Z6" s="745"/>
      <c r="AA6" s="746"/>
    </row>
    <row r="7" spans="1:27" ht="13.5" customHeight="1" x14ac:dyDescent="0.2">
      <c r="A7" s="742"/>
      <c r="B7" s="898"/>
      <c r="C7" s="899"/>
      <c r="D7" s="743"/>
      <c r="E7" s="743"/>
      <c r="F7" s="747"/>
      <c r="G7" s="747"/>
      <c r="H7" s="747"/>
      <c r="I7" s="747"/>
      <c r="J7" s="747"/>
      <c r="K7" s="747"/>
      <c r="L7" s="747"/>
      <c r="M7" s="747"/>
      <c r="N7" s="747"/>
      <c r="O7" s="743"/>
      <c r="P7" s="747"/>
      <c r="Q7" s="747"/>
      <c r="R7" s="747"/>
      <c r="S7" s="747"/>
      <c r="T7" s="747"/>
      <c r="U7" s="747"/>
      <c r="V7" s="747"/>
      <c r="W7" s="747"/>
      <c r="X7" s="747"/>
      <c r="Y7" s="744"/>
      <c r="Z7" s="745"/>
      <c r="AA7" s="746"/>
    </row>
    <row r="8" spans="1:27" ht="13.5" customHeight="1" x14ac:dyDescent="0.2">
      <c r="A8" s="742"/>
      <c r="B8" s="898"/>
      <c r="C8" s="899"/>
      <c r="D8" s="748"/>
      <c r="E8" s="749" t="s">
        <v>7</v>
      </c>
      <c r="F8" s="901" t="s">
        <v>8</v>
      </c>
      <c r="G8" s="902"/>
      <c r="H8" s="902"/>
      <c r="I8" s="902"/>
      <c r="J8" s="902"/>
      <c r="K8" s="902"/>
      <c r="L8" s="902"/>
      <c r="M8" s="902"/>
      <c r="N8" s="748"/>
      <c r="O8" s="750" t="s">
        <v>7</v>
      </c>
      <c r="P8" s="903" t="s">
        <v>9</v>
      </c>
      <c r="Q8" s="904"/>
      <c r="R8" s="904"/>
      <c r="S8" s="904"/>
      <c r="T8" s="904"/>
      <c r="U8" s="904"/>
      <c r="V8" s="904"/>
      <c r="W8" s="904"/>
      <c r="X8" s="904"/>
      <c r="Y8" s="744"/>
      <c r="Z8" s="745"/>
      <c r="AA8" s="746"/>
    </row>
    <row r="9" spans="1:27" ht="13.5" customHeight="1" x14ac:dyDescent="0.2">
      <c r="A9" s="742"/>
      <c r="B9" s="898"/>
      <c r="C9" s="899"/>
      <c r="D9" s="748"/>
      <c r="E9" s="751" t="s">
        <v>7</v>
      </c>
      <c r="F9" s="901" t="s">
        <v>10</v>
      </c>
      <c r="G9" s="902"/>
      <c r="H9" s="902"/>
      <c r="I9" s="902"/>
      <c r="J9" s="902"/>
      <c r="K9" s="902"/>
      <c r="L9" s="902"/>
      <c r="M9" s="902"/>
      <c r="N9" s="748"/>
      <c r="O9" s="752" t="s">
        <v>7</v>
      </c>
      <c r="P9" s="903" t="s">
        <v>11</v>
      </c>
      <c r="Q9" s="904"/>
      <c r="R9" s="904"/>
      <c r="S9" s="904"/>
      <c r="T9" s="904"/>
      <c r="U9" s="904"/>
      <c r="V9" s="904"/>
      <c r="W9" s="904"/>
      <c r="X9" s="904"/>
      <c r="Y9" s="744"/>
      <c r="Z9" s="745"/>
      <c r="AA9" s="746"/>
    </row>
    <row r="10" spans="1:27" ht="13.5" customHeight="1" x14ac:dyDescent="0.2">
      <c r="A10" s="742"/>
      <c r="B10" s="898"/>
      <c r="C10" s="900"/>
      <c r="D10" s="748"/>
      <c r="E10" s="753" t="s">
        <v>7</v>
      </c>
      <c r="F10" s="904" t="s">
        <v>12</v>
      </c>
      <c r="G10" s="905"/>
      <c r="H10" s="905"/>
      <c r="I10" s="905"/>
      <c r="J10" s="905"/>
      <c r="K10" s="905"/>
      <c r="L10" s="905"/>
      <c r="M10" s="905"/>
      <c r="N10" s="905"/>
      <c r="O10" s="754" t="s">
        <v>7</v>
      </c>
      <c r="P10" s="904" t="s">
        <v>13</v>
      </c>
      <c r="Q10" s="905"/>
      <c r="R10" s="905"/>
      <c r="S10" s="905"/>
      <c r="T10" s="905"/>
      <c r="U10" s="905"/>
      <c r="V10" s="905"/>
      <c r="W10" s="905"/>
      <c r="X10" s="905"/>
      <c r="Y10" s="744"/>
      <c r="Z10" s="745"/>
      <c r="AA10" s="746"/>
    </row>
    <row r="11" spans="1:27" ht="30" customHeight="1" x14ac:dyDescent="0.2">
      <c r="A11" s="742"/>
      <c r="B11" s="898"/>
      <c r="C11" s="900"/>
      <c r="D11" s="755"/>
      <c r="E11" s="756"/>
      <c r="F11" s="747"/>
      <c r="G11" s="747"/>
      <c r="H11" s="747"/>
      <c r="I11" s="747"/>
      <c r="J11" s="747"/>
      <c r="K11" s="747"/>
      <c r="L11" s="747"/>
      <c r="M11" s="747"/>
      <c r="N11" s="747"/>
      <c r="O11" s="756"/>
      <c r="P11" s="747"/>
      <c r="Q11" s="747"/>
      <c r="R11" s="747"/>
      <c r="S11" s="747"/>
      <c r="T11" s="747"/>
      <c r="U11" s="747"/>
      <c r="V11" s="747"/>
      <c r="W11" s="747"/>
      <c r="X11" s="747"/>
      <c r="Y11" s="744"/>
      <c r="Z11" s="745"/>
      <c r="AA11" s="746"/>
    </row>
    <row r="12" spans="1:27" ht="19.5" customHeight="1" x14ac:dyDescent="0.2">
      <c r="A12" s="742"/>
      <c r="B12" s="906" t="s">
        <v>14</v>
      </c>
      <c r="C12" s="907"/>
      <c r="D12" s="748"/>
      <c r="E12" s="757"/>
      <c r="F12" s="757"/>
      <c r="G12" s="757"/>
      <c r="H12" s="757"/>
      <c r="I12" s="757"/>
      <c r="J12" s="757"/>
      <c r="K12" s="757"/>
      <c r="L12" s="757"/>
      <c r="M12" s="757"/>
      <c r="N12" s="757"/>
      <c r="O12" s="757"/>
      <c r="P12" s="757"/>
      <c r="Q12" s="757"/>
      <c r="R12" s="757"/>
      <c r="S12" s="757"/>
      <c r="T12" s="757"/>
      <c r="U12" s="757"/>
      <c r="V12" s="757"/>
      <c r="W12" s="757"/>
      <c r="X12" s="757"/>
      <c r="Y12" s="744"/>
      <c r="Z12" s="745"/>
      <c r="AA12" s="746"/>
    </row>
    <row r="13" spans="1:27" ht="68.25" customHeight="1" x14ac:dyDescent="0.2">
      <c r="A13" s="742"/>
      <c r="B13" s="898"/>
      <c r="C13" s="900"/>
      <c r="D13" s="758"/>
      <c r="E13" s="902" t="s">
        <v>15</v>
      </c>
      <c r="F13" s="902"/>
      <c r="G13" s="902"/>
      <c r="H13" s="902"/>
      <c r="I13" s="902"/>
      <c r="J13" s="902"/>
      <c r="K13" s="902"/>
      <c r="L13" s="902"/>
      <c r="M13" s="902"/>
      <c r="N13" s="902"/>
      <c r="O13" s="902"/>
      <c r="P13" s="902"/>
      <c r="Q13" s="902"/>
      <c r="R13" s="902"/>
      <c r="S13" s="902"/>
      <c r="T13" s="902"/>
      <c r="U13" s="902"/>
      <c r="V13" s="902"/>
      <c r="W13" s="902"/>
      <c r="X13" s="902"/>
      <c r="Y13" s="744"/>
      <c r="Z13" s="745"/>
      <c r="AA13" s="746"/>
    </row>
    <row r="14" spans="1:27" ht="13.5" customHeight="1" x14ac:dyDescent="0.2">
      <c r="A14" s="742"/>
      <c r="B14" s="906" t="s">
        <v>16</v>
      </c>
      <c r="C14" s="907"/>
      <c r="D14" s="743"/>
      <c r="E14" s="757"/>
      <c r="F14" s="757"/>
      <c r="G14" s="757"/>
      <c r="H14" s="757"/>
      <c r="I14" s="757"/>
      <c r="J14" s="757"/>
      <c r="K14" s="757"/>
      <c r="L14" s="757"/>
      <c r="M14" s="757"/>
      <c r="N14" s="757"/>
      <c r="O14" s="757"/>
      <c r="P14" s="757"/>
      <c r="Q14" s="757"/>
      <c r="R14" s="757"/>
      <c r="S14" s="757"/>
      <c r="T14" s="757"/>
      <c r="U14" s="757"/>
      <c r="V14" s="757"/>
      <c r="W14" s="757"/>
      <c r="X14" s="757"/>
      <c r="Y14" s="744"/>
      <c r="Z14" s="745"/>
      <c r="AA14" s="746"/>
    </row>
    <row r="15" spans="1:27" ht="65.25" customHeight="1" x14ac:dyDescent="0.2">
      <c r="A15" s="742"/>
      <c r="B15" s="898"/>
      <c r="C15" s="899"/>
      <c r="D15" s="748"/>
      <c r="E15" s="910" t="s">
        <v>17</v>
      </c>
      <c r="F15" s="910"/>
      <c r="G15" s="910"/>
      <c r="H15" s="910"/>
      <c r="I15" s="910"/>
      <c r="J15" s="910"/>
      <c r="K15" s="910"/>
      <c r="L15" s="910"/>
      <c r="M15" s="910"/>
      <c r="N15" s="910"/>
      <c r="O15" s="910"/>
      <c r="P15" s="910"/>
      <c r="Q15" s="910"/>
      <c r="R15" s="910"/>
      <c r="S15" s="910"/>
      <c r="T15" s="910"/>
      <c r="U15" s="910"/>
      <c r="V15" s="910"/>
      <c r="W15" s="910"/>
      <c r="X15" s="910"/>
      <c r="Y15" s="744"/>
      <c r="Z15" s="745"/>
      <c r="AA15" s="746"/>
    </row>
    <row r="16" spans="1:27" ht="16.5" customHeight="1" x14ac:dyDescent="0.2">
      <c r="A16" s="742"/>
      <c r="B16" s="908"/>
      <c r="C16" s="909"/>
      <c r="D16" s="759"/>
      <c r="E16" s="760"/>
      <c r="F16" s="760"/>
      <c r="G16" s="760"/>
      <c r="H16" s="760"/>
      <c r="I16" s="760"/>
      <c r="J16" s="760"/>
      <c r="K16" s="760"/>
      <c r="L16" s="760"/>
      <c r="M16" s="760"/>
      <c r="N16" s="760"/>
      <c r="O16" s="760"/>
      <c r="P16" s="760"/>
      <c r="Q16" s="760"/>
      <c r="R16" s="760"/>
      <c r="S16" s="760"/>
      <c r="T16" s="760"/>
      <c r="U16" s="760"/>
      <c r="V16" s="760"/>
      <c r="W16" s="760"/>
      <c r="X16" s="760"/>
      <c r="Y16" s="761"/>
      <c r="Z16" s="745"/>
      <c r="AA16" s="762"/>
    </row>
    <row r="17" spans="1:27" ht="95.25" customHeight="1" x14ac:dyDescent="0.2">
      <c r="A17" s="734"/>
      <c r="B17" s="910"/>
      <c r="C17" s="911"/>
      <c r="D17" s="911"/>
      <c r="E17" s="911"/>
      <c r="F17" s="911"/>
      <c r="G17" s="911"/>
      <c r="H17" s="911"/>
      <c r="I17" s="911"/>
      <c r="J17" s="911"/>
      <c r="K17" s="911"/>
      <c r="L17" s="911"/>
      <c r="M17" s="911"/>
      <c r="N17" s="911"/>
      <c r="O17" s="911"/>
      <c r="P17" s="911"/>
      <c r="Q17" s="911"/>
      <c r="R17" s="911"/>
      <c r="S17" s="911"/>
      <c r="T17" s="911"/>
      <c r="U17" s="911"/>
      <c r="V17" s="911"/>
      <c r="W17" s="911"/>
      <c r="X17" s="911"/>
      <c r="Y17" s="911"/>
      <c r="Z17" s="734"/>
      <c r="AA17" s="322"/>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6988-78B6-F8F8-B778-90AF38DE9508}">
  <sheetPr>
    <tabColor rgb="FF002060"/>
    <outlinePr summaryBelow="0"/>
    <pageSetUpPr fitToPage="1"/>
  </sheetPr>
  <dimension ref="A1:AN1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1" hidden="1"/>
  </cols>
  <sheetData>
    <row r="1" spans="1:40" ht="11.25" hidden="1" customHeight="1" x14ac:dyDescent="0.15">
      <c r="E1" s="17"/>
      <c r="F1" s="17" t="s">
        <v>320</v>
      </c>
      <c r="H1" s="17" t="s">
        <v>330</v>
      </c>
      <c r="T1" s="353" t="s">
        <v>92</v>
      </c>
      <c r="U1" s="353" t="s">
        <v>97</v>
      </c>
      <c r="V1" s="353" t="s">
        <v>93</v>
      </c>
      <c r="W1" s="353" t="s">
        <v>94</v>
      </c>
      <c r="X1" s="353" t="s">
        <v>95</v>
      </c>
      <c r="Y1" s="355" t="s">
        <v>322</v>
      </c>
      <c r="Z1" s="353" t="s">
        <v>99</v>
      </c>
      <c r="AA1" s="354" t="s">
        <v>96</v>
      </c>
      <c r="AB1" s="4"/>
      <c r="AC1" s="354" t="s">
        <v>98</v>
      </c>
      <c r="AN1" s="671" t="s">
        <v>323</v>
      </c>
    </row>
    <row r="2" spans="1:40" s="46" customFormat="1" ht="11.25" hidden="1" customHeight="1" x14ac:dyDescent="0.15">
      <c r="B2" s="341" t="s">
        <v>18</v>
      </c>
      <c r="AI2" s="342" t="b">
        <f>AI6&lt;=last_year_vis</f>
        <v>1</v>
      </c>
      <c r="AJ2" s="342" t="b">
        <f>AJ6&lt;=last_year_vis</f>
        <v>1</v>
      </c>
      <c r="AN2" s="672"/>
    </row>
    <row r="3" spans="1:40" ht="11.25" hidden="1" customHeight="1" x14ac:dyDescent="0.15">
      <c r="E3" s="17"/>
    </row>
    <row r="4" spans="1:40" ht="11.25" hidden="1" customHeight="1" x14ac:dyDescent="0.15">
      <c r="E4" s="17"/>
    </row>
    <row r="5" spans="1:40" s="461" customFormat="1" ht="11.25" hidden="1" customHeight="1" x14ac:dyDescent="0.15">
      <c r="A5" s="17"/>
      <c r="B5" s="46"/>
      <c r="C5" s="17"/>
      <c r="D5" s="17"/>
      <c r="E5" s="461" t="s">
        <v>19</v>
      </c>
      <c r="R5" s="447"/>
      <c r="AA5" s="461">
        <v>3</v>
      </c>
      <c r="AB5" s="461">
        <v>11</v>
      </c>
      <c r="AC5" s="461">
        <v>55</v>
      </c>
      <c r="AD5" s="461">
        <v>12</v>
      </c>
      <c r="AE5" s="461">
        <v>13</v>
      </c>
      <c r="AF5" s="461">
        <v>13</v>
      </c>
      <c r="AG5" s="461">
        <v>13</v>
      </c>
      <c r="AH5" s="461">
        <v>13</v>
      </c>
      <c r="AI5" s="461">
        <v>13</v>
      </c>
      <c r="AJ5" s="461">
        <v>13</v>
      </c>
      <c r="AK5" s="461">
        <v>20</v>
      </c>
      <c r="AL5" s="461">
        <v>3</v>
      </c>
      <c r="AN5" s="671"/>
    </row>
    <row r="6" spans="1:40" ht="11.25" hidden="1" customHeight="1" x14ac:dyDescent="0.15">
      <c r="A6" s="17" t="s">
        <v>358</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71" customFormat="1" ht="11.25" hidden="1" customHeight="1" x14ac:dyDescent="0.15">
      <c r="A9" s="671" t="s">
        <v>363</v>
      </c>
      <c r="B9" s="672"/>
      <c r="R9" s="673"/>
      <c r="AE9" s="671" cm="1">
        <f t="array" ref="AE9">AE6</f>
        <v>2024</v>
      </c>
      <c r="AF9" s="671" cm="1">
        <f t="array" ref="AF9">AF6</f>
        <v>2024</v>
      </c>
      <c r="AG9" s="671" cm="1">
        <f t="array" ref="AG9">AG6</f>
        <v>2024</v>
      </c>
      <c r="AH9" s="671" cm="1">
        <f t="array" ref="AH9">AH6</f>
        <v>2025</v>
      </c>
      <c r="AI9" s="671" cm="1">
        <f t="array" ref="AI9">AI6</f>
        <v>2026</v>
      </c>
      <c r="AJ9" s="671" cm="1">
        <f t="array" ref="AJ9">AJ6</f>
        <v>2026</v>
      </c>
    </row>
    <row r="10" spans="1:40" s="671" customFormat="1" ht="11.25" hidden="1" customHeight="1" x14ac:dyDescent="0.15">
      <c r="A10" s="671" t="s">
        <v>364</v>
      </c>
      <c r="B10" s="672"/>
      <c r="R10" s="673"/>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Принято органом регулирования</v>
      </c>
    </row>
    <row r="11" spans="1:40" s="671" customFormat="1" ht="11.25" hidden="1" customHeight="1" x14ac:dyDescent="0.15">
      <c r="A11" s="671" t="s">
        <v>365</v>
      </c>
      <c r="B11" s="672"/>
      <c r="R11" s="673"/>
      <c r="AK11" s="682"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1">
        <v>15</v>
      </c>
      <c r="AA21" s="325"/>
      <c r="AC21" s="3" t="str" cm="1">
        <f t="array" ref="AC21">tpl_title</f>
        <v>Кемеровская область / 2026 / КАО "Азот" (ИНН:4205000908, КПП:997550001) / ДПР: 2024-2028</v>
      </c>
    </row>
    <row r="22" spans="1:40" s="59" customFormat="1" ht="19.7" customHeight="1" x14ac:dyDescent="0.15">
      <c r="B22" s="46"/>
      <c r="E22" s="462">
        <v>20.25</v>
      </c>
      <c r="R22" s="3"/>
      <c r="AB22" s="226" t="s">
        <v>63</v>
      </c>
      <c r="AC22" s="254"/>
      <c r="AD22" s="254"/>
      <c r="AE22" s="254"/>
      <c r="AF22" s="254"/>
      <c r="AG22" s="254"/>
      <c r="AH22" s="254"/>
      <c r="AI22" s="254"/>
      <c r="AJ22" s="254"/>
      <c r="AK22" s="254"/>
      <c r="AN22" s="674"/>
    </row>
    <row r="23" spans="1:40" s="59" customFormat="1" ht="10.9" customHeight="1" x14ac:dyDescent="0.15">
      <c r="B23" s="46"/>
      <c r="E23" s="462">
        <v>11.25</v>
      </c>
      <c r="R23" s="3"/>
      <c r="AB23" s="255"/>
      <c r="AC23" s="115"/>
      <c r="AD23" s="115"/>
      <c r="AE23" s="115"/>
      <c r="AF23" s="115"/>
      <c r="AG23" s="115"/>
      <c r="AH23" s="115"/>
      <c r="AI23" s="115"/>
      <c r="AJ23" s="115"/>
      <c r="AK23" s="115"/>
      <c r="AN23" s="674"/>
    </row>
    <row r="24" spans="1:40" s="60" customFormat="1" ht="14.65" customHeight="1" x14ac:dyDescent="0.15">
      <c r="B24" s="326"/>
      <c r="E24" s="459">
        <v>15</v>
      </c>
      <c r="R24" s="253"/>
      <c r="AB24" s="993" t="s">
        <v>810</v>
      </c>
      <c r="AC24" s="1039" t="s">
        <v>193</v>
      </c>
      <c r="AD24" s="993" t="s">
        <v>368</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16" t="s">
        <v>553</v>
      </c>
      <c r="AN24" s="669"/>
    </row>
    <row r="25" spans="1:40" s="60" customFormat="1" ht="44.1" customHeight="1" x14ac:dyDescent="0.15">
      <c r="B25" s="326"/>
      <c r="E25" s="459">
        <v>45.25</v>
      </c>
      <c r="R25" s="253"/>
      <c r="AB25" s="1049"/>
      <c r="AC25" s="1049"/>
      <c r="AD25" s="1049"/>
      <c r="AE25" s="10" t="s">
        <v>360</v>
      </c>
      <c r="AF25" s="727" t="s">
        <v>470</v>
      </c>
      <c r="AG25" s="10" t="s">
        <v>471</v>
      </c>
      <c r="AH25" s="10" t="s">
        <v>360</v>
      </c>
      <c r="AI25" s="729" t="s">
        <v>361</v>
      </c>
      <c r="AJ25" s="262" t="s">
        <v>360</v>
      </c>
      <c r="AK25" s="1049"/>
      <c r="AN25" s="669"/>
    </row>
    <row r="26" spans="1:40" ht="15" hidden="1" customHeight="1" x14ac:dyDescent="0.15">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79">
        <v>11.25</v>
      </c>
      <c r="F27" s="17" cm="1">
        <f t="array" ref="F27">X27</f>
        <v>0</v>
      </c>
      <c r="G27" s="62"/>
      <c r="H27" s="62"/>
      <c r="I27" s="62"/>
      <c r="J27" s="62"/>
      <c r="K27" s="62"/>
      <c r="L27" s="62"/>
      <c r="M27" s="62"/>
      <c r="N27" s="62"/>
      <c r="O27" s="62"/>
      <c r="P27" s="62"/>
      <c r="Q27" s="62"/>
      <c r="R27" s="62"/>
      <c r="S27" s="62"/>
      <c r="T27" s="353" t="b">
        <f>X27&gt;0</f>
        <v>0</v>
      </c>
      <c r="U27" s="62"/>
      <c r="V27" s="62" t="s">
        <v>264</v>
      </c>
      <c r="W27" s="62"/>
      <c r="X27" s="964">
        <v>0</v>
      </c>
      <c r="Y27" s="62"/>
      <c r="Z27" s="992"/>
      <c r="AA27" s="62"/>
      <c r="AB27" s="155" t="str" cm="1">
        <f t="array" ref="AB27">INDEX('Общие сведения'!$AG$179:$AG$236,MATCH($X27,'Общие сведения'!$Z$179:$Z$236,0))</f>
        <v xml:space="preserve">Тариф 0 () - </v>
      </c>
      <c r="AC27" s="94"/>
      <c r="AD27" s="94"/>
      <c r="AE27" s="214">
        <f t="shared" ref="AE27:AJ27" ca="1" si="0">AE28+AE29+AE30+AE38+AE39+AE40+AE41+AE42</f>
        <v>0</v>
      </c>
      <c r="AF27" s="214">
        <f t="shared" ca="1" si="0"/>
        <v>0</v>
      </c>
      <c r="AG27" s="214">
        <f t="shared" ca="1" si="0"/>
        <v>0</v>
      </c>
      <c r="AH27" s="214">
        <f t="shared" ca="1" si="0"/>
        <v>0</v>
      </c>
      <c r="AI27" s="214">
        <f t="shared" ca="1" si="0"/>
        <v>0</v>
      </c>
      <c r="AJ27" s="214">
        <f t="shared" ca="1" si="0"/>
        <v>0</v>
      </c>
      <c r="AK27" s="88"/>
      <c r="AL27" s="62"/>
    </row>
    <row r="28" spans="1:40" ht="21.95" hidden="1" customHeight="1" x14ac:dyDescent="0.15">
      <c r="C28" s="62"/>
      <c r="D28" s="62"/>
      <c r="E28" s="179">
        <v>22.5</v>
      </c>
      <c r="F28" s="3" cm="1">
        <f t="array" aca="1" ref="F28" ca="1">OFFSET(E28,-1,1)</f>
        <v>0</v>
      </c>
      <c r="G28" s="62"/>
      <c r="H28" s="42" t="s">
        <v>331</v>
      </c>
      <c r="I28" s="62"/>
      <c r="J28" s="62"/>
      <c r="K28" s="62"/>
      <c r="L28" s="62"/>
      <c r="M28" s="62"/>
      <c r="N28" s="62"/>
      <c r="O28" s="62"/>
      <c r="P28" s="62"/>
      <c r="Q28" s="62"/>
      <c r="R28" s="62"/>
      <c r="S28" s="62"/>
      <c r="T28" s="353" t="b" cm="1">
        <f t="array" ref="T28">T27</f>
        <v>0</v>
      </c>
      <c r="U28" s="62"/>
      <c r="V28" s="62"/>
      <c r="W28" s="62"/>
      <c r="X28" s="964"/>
      <c r="Y28" s="62"/>
      <c r="Z28" s="992"/>
      <c r="AA28" s="62"/>
      <c r="AB28" s="256">
        <v>1</v>
      </c>
      <c r="AC28" s="246" t="s">
        <v>1186</v>
      </c>
      <c r="AD28" s="9" t="s">
        <v>828</v>
      </c>
      <c r="AE28" s="406">
        <f ca="1">SUMIFS(ФОТ!AE$25:AE$127,ФОТ!$F$25:$F$127,$F28,ФОТ!$AC$25:$AC$127,$AC28)</f>
        <v>0</v>
      </c>
      <c r="AF28" s="406">
        <f ca="1">SUMIFS(ФОТ!AF$25:AF$127,ФОТ!$F$25:$F$127,$F28,ФОТ!$AC$25:$AC$127,$AC28)</f>
        <v>0</v>
      </c>
      <c r="AG28" s="406">
        <f ca="1">SUMIFS(ФОТ!AG$25:AG$127,ФОТ!$F$25:$F$127,$F28,ФОТ!$AC$25:$AC$127,$AC28)</f>
        <v>0</v>
      </c>
      <c r="AH28" s="406">
        <f ca="1">SUMIFS(ФОТ!AH$25:AH$127,ФОТ!$F$25:$F$127,$F28,ФОТ!$AC$25:$AC$127,$AC28)</f>
        <v>0</v>
      </c>
      <c r="AI28" s="406">
        <f ca="1">SUMIFS(ФОТ!AI$25:AI$127,ФОТ!$F$25:$F$127,$F28,ФОТ!$AC$25:$AC$127,$AC28)</f>
        <v>0</v>
      </c>
      <c r="AJ28" s="406">
        <f ca="1">SUMIFS(ФОТ!AJ$25:AJ$127,ФОТ!$F$25:$F$127,$F28,ФОТ!$AC$25:$AC$127,$AC28)</f>
        <v>0</v>
      </c>
      <c r="AK28" s="830"/>
      <c r="AL28" s="62"/>
      <c r="AN28" s="671" t="s">
        <v>1202</v>
      </c>
    </row>
    <row r="29" spans="1:40" ht="21.95" hidden="1" customHeight="1" x14ac:dyDescent="0.15">
      <c r="C29" s="62"/>
      <c r="D29" s="62"/>
      <c r="E29" s="179">
        <v>22.5</v>
      </c>
      <c r="F29" s="3" cm="1">
        <f t="array" aca="1" ref="F29" ca="1">OFFSET(E29,-1,1)</f>
        <v>0</v>
      </c>
      <c r="G29" s="62"/>
      <c r="H29" s="42" t="s">
        <v>332</v>
      </c>
      <c r="I29" s="62"/>
      <c r="J29" s="364"/>
      <c r="K29" s="364"/>
      <c r="L29" s="364"/>
      <c r="M29" s="62"/>
      <c r="N29" s="62"/>
      <c r="O29" s="62"/>
      <c r="P29" s="62"/>
      <c r="Q29" s="62"/>
      <c r="R29" s="62"/>
      <c r="S29" s="62"/>
      <c r="T29" s="353" t="b" cm="1">
        <f t="array" ref="T29">T28</f>
        <v>0</v>
      </c>
      <c r="U29" s="62"/>
      <c r="V29" s="62"/>
      <c r="W29" s="62"/>
      <c r="X29" s="964"/>
      <c r="Y29" s="62"/>
      <c r="Z29" s="992"/>
      <c r="AA29" s="62"/>
      <c r="AB29" s="256" t="s">
        <v>285</v>
      </c>
      <c r="AC29" s="246" t="s">
        <v>1191</v>
      </c>
      <c r="AD29" s="9" t="s">
        <v>828</v>
      </c>
      <c r="AE29" s="406">
        <f ca="1">SUMIFS(ФОТ!AE$25:AE$127,ФОТ!$F$25:$F$127,$F29,ФОТ!$AC$25:$AC$127,$AC29)</f>
        <v>0</v>
      </c>
      <c r="AF29" s="406">
        <f ca="1">SUMIFS(ФОТ!AF$25:AF$127,ФОТ!$F$25:$F$127,$F29,ФОТ!$AC$25:$AC$127,$AC29)</f>
        <v>0</v>
      </c>
      <c r="AG29" s="406">
        <f ca="1">SUMIFS(ФОТ!AG$25:AG$127,ФОТ!$F$25:$F$127,$F29,ФОТ!$AC$25:$AC$127,$AC29)</f>
        <v>0</v>
      </c>
      <c r="AH29" s="406">
        <f ca="1">SUMIFS(ФОТ!AH$25:AH$127,ФОТ!$F$25:$F$127,$F29,ФОТ!$AC$25:$AC$127,$AC29)</f>
        <v>0</v>
      </c>
      <c r="AI29" s="406">
        <f ca="1">SUMIFS(ФОТ!AI$25:AI$127,ФОТ!$F$25:$F$127,$F29,ФОТ!$AC$25:$AC$127,$AC29)</f>
        <v>0</v>
      </c>
      <c r="AJ29" s="406">
        <f ca="1">SUMIFS(ФОТ!AJ$25:AJ$127,ФОТ!$F$25:$F$127,$F29,ФОТ!$AC$25:$AC$127,$AC29)</f>
        <v>0</v>
      </c>
      <c r="AK29" s="830"/>
      <c r="AL29" s="62"/>
      <c r="AN29" s="671" t="s">
        <v>1192</v>
      </c>
    </row>
    <row r="30" spans="1:40" ht="32.85" hidden="1" customHeight="1" x14ac:dyDescent="0.15">
      <c r="C30" s="62"/>
      <c r="D30" s="62"/>
      <c r="E30" s="179">
        <v>33.75</v>
      </c>
      <c r="F30" s="3" cm="1">
        <f t="array" aca="1" ref="F30" ca="1">OFFSET(E30,-1,1)</f>
        <v>0</v>
      </c>
      <c r="G30" s="253" t="s">
        <v>1203</v>
      </c>
      <c r="H30" s="42" t="s">
        <v>333</v>
      </c>
      <c r="I30" s="62"/>
      <c r="J30" s="364"/>
      <c r="K30" s="364" t="str">
        <f ca="1">F30&amp;"17komm"</f>
        <v>017komm</v>
      </c>
      <c r="L30" s="607" cm="1">
        <f t="array" ref="L30">AK30</f>
        <v>0</v>
      </c>
      <c r="M30" s="62"/>
      <c r="N30" s="62"/>
      <c r="O30" s="62"/>
      <c r="P30" s="62"/>
      <c r="Q30" s="62"/>
      <c r="R30" s="62"/>
      <c r="S30" s="62"/>
      <c r="T30" s="353" t="b" cm="1">
        <f t="array" ref="T30">T29</f>
        <v>0</v>
      </c>
      <c r="U30" s="62"/>
      <c r="V30" s="62"/>
      <c r="W30" s="62"/>
      <c r="X30" s="964"/>
      <c r="Y30" s="62"/>
      <c r="Z30" s="992"/>
      <c r="AA30" s="62"/>
      <c r="AB30" s="256" t="s">
        <v>291</v>
      </c>
      <c r="AC30" s="246" t="s">
        <v>1204</v>
      </c>
      <c r="AD30" s="9" t="s">
        <v>828</v>
      </c>
      <c r="AE30" s="151">
        <f t="shared" ref="AE30:AJ30" si="1">SUM(AE31:AE37)</f>
        <v>0</v>
      </c>
      <c r="AF30" s="151">
        <f t="shared" si="1"/>
        <v>0</v>
      </c>
      <c r="AG30" s="151">
        <f t="shared" si="1"/>
        <v>0</v>
      </c>
      <c r="AH30" s="151">
        <f t="shared" si="1"/>
        <v>0</v>
      </c>
      <c r="AI30" s="151">
        <f t="shared" si="1"/>
        <v>0</v>
      </c>
      <c r="AJ30" s="151">
        <f t="shared" si="1"/>
        <v>0</v>
      </c>
      <c r="AK30" s="830"/>
      <c r="AL30" s="62"/>
      <c r="AN30" s="671" t="s">
        <v>1205</v>
      </c>
    </row>
    <row r="31" spans="1:40" ht="14.65" hidden="1" customHeight="1" x14ac:dyDescent="0.15">
      <c r="A31"/>
      <c r="B31" s="327"/>
      <c r="C31" s="62"/>
      <c r="D31" s="62"/>
      <c r="E31" s="179">
        <v>15</v>
      </c>
      <c r="F31" s="765" cm="1">
        <f t="array" aca="1" ref="F31" ca="1">OFFSET(E31,-1,1)</f>
        <v>0</v>
      </c>
      <c r="G31" s="72" t="s">
        <v>1206</v>
      </c>
      <c r="H31" s="42" t="s">
        <v>969</v>
      </c>
      <c r="I31" s="62"/>
      <c r="J31" s="364"/>
      <c r="K31" s="364" t="str">
        <f ca="1">F31&amp;"18komm"</f>
        <v>018komm</v>
      </c>
      <c r="L31" s="607" cm="1">
        <f t="array" ref="L31">AK31</f>
        <v>0</v>
      </c>
      <c r="M31" s="62"/>
      <c r="N31" s="62"/>
      <c r="O31" s="62"/>
      <c r="P31" s="62"/>
      <c r="Q31" s="62"/>
      <c r="R31" s="62"/>
      <c r="S31" s="62"/>
      <c r="T31" s="353" t="b" cm="1">
        <f t="array" ref="T31">T30</f>
        <v>0</v>
      </c>
      <c r="U31" s="62"/>
      <c r="V31" s="62"/>
      <c r="W31" s="62"/>
      <c r="X31" s="964"/>
      <c r="Y31" s="62"/>
      <c r="Z31" s="992"/>
      <c r="AA31" s="62"/>
      <c r="AB31" s="256" t="s">
        <v>575</v>
      </c>
      <c r="AC31" s="127" t="s">
        <v>1207</v>
      </c>
      <c r="AD31" s="9" t="s">
        <v>828</v>
      </c>
      <c r="AE31" s="854"/>
      <c r="AF31" s="854"/>
      <c r="AG31" s="854"/>
      <c r="AH31" s="854"/>
      <c r="AI31" s="142"/>
      <c r="AJ31" s="142"/>
      <c r="AK31" s="830"/>
      <c r="AL31" s="62"/>
      <c r="AM31"/>
      <c r="AN31" s="661" t="s">
        <v>1208</v>
      </c>
    </row>
    <row r="32" spans="1:40" s="62" customFormat="1" ht="14.65" hidden="1" customHeight="1" x14ac:dyDescent="0.15">
      <c r="B32" s="326"/>
      <c r="E32" s="179">
        <v>15</v>
      </c>
      <c r="F32" s="3" cm="1">
        <f t="array" aca="1" ref="F32" ca="1">OFFSET(E32,-1,1)</f>
        <v>0</v>
      </c>
      <c r="G32" s="72" t="s">
        <v>1209</v>
      </c>
      <c r="H32" s="42" t="s">
        <v>971</v>
      </c>
      <c r="J32" s="364"/>
      <c r="K32" s="364" t="str">
        <f ca="1">F32&amp;"11komm"</f>
        <v>011komm</v>
      </c>
      <c r="L32" s="607" cm="1">
        <f t="array" ref="L32">AK32</f>
        <v>0</v>
      </c>
      <c r="T32" s="353" t="b" cm="1">
        <f t="array" ref="T32">T31</f>
        <v>0</v>
      </c>
      <c r="X32" s="964"/>
      <c r="Z32" s="992"/>
      <c r="AB32" s="256" t="s">
        <v>579</v>
      </c>
      <c r="AC32" s="127" t="s">
        <v>1210</v>
      </c>
      <c r="AD32" s="9" t="s">
        <v>828</v>
      </c>
      <c r="AE32" s="854"/>
      <c r="AF32" s="854"/>
      <c r="AG32" s="854"/>
      <c r="AH32" s="854"/>
      <c r="AI32" s="142"/>
      <c r="AJ32" s="142"/>
      <c r="AK32" s="830"/>
      <c r="AN32" s="678" t="s">
        <v>1211</v>
      </c>
    </row>
    <row r="33" spans="2:40" s="62" customFormat="1" ht="14.65" hidden="1" customHeight="1" x14ac:dyDescent="0.15">
      <c r="B33" s="326"/>
      <c r="E33" s="179">
        <v>15</v>
      </c>
      <c r="F33" s="3" cm="1">
        <f t="array" aca="1" ref="F33" ca="1">OFFSET(E33,-1,1)</f>
        <v>0</v>
      </c>
      <c r="G33" s="72" t="s">
        <v>1212</v>
      </c>
      <c r="H33" s="42" t="s">
        <v>973</v>
      </c>
      <c r="J33" s="364"/>
      <c r="K33" s="364" t="str">
        <f ca="1">F33&amp;"12komm"</f>
        <v>012komm</v>
      </c>
      <c r="L33" s="607" cm="1">
        <f t="array" ref="L33">AK33</f>
        <v>0</v>
      </c>
      <c r="T33" s="353" t="b" cm="1">
        <f t="array" ref="T33">T32</f>
        <v>0</v>
      </c>
      <c r="X33" s="964"/>
      <c r="Z33" s="992"/>
      <c r="AB33" s="256" t="s">
        <v>795</v>
      </c>
      <c r="AC33" s="127" t="s">
        <v>1213</v>
      </c>
      <c r="AD33" s="9" t="s">
        <v>828</v>
      </c>
      <c r="AE33" s="854"/>
      <c r="AF33" s="854"/>
      <c r="AG33" s="854"/>
      <c r="AH33" s="854"/>
      <c r="AI33" s="142"/>
      <c r="AJ33" s="142"/>
      <c r="AK33" s="830"/>
      <c r="AN33" s="678" t="s">
        <v>1214</v>
      </c>
    </row>
    <row r="34" spans="2:40" s="62" customFormat="1" ht="14.65" hidden="1" customHeight="1" x14ac:dyDescent="0.15">
      <c r="B34" s="326"/>
      <c r="E34" s="179">
        <v>15</v>
      </c>
      <c r="F34" s="3" cm="1">
        <f t="array" aca="1" ref="F34" ca="1">OFFSET(E34,-1,1)</f>
        <v>0</v>
      </c>
      <c r="G34" s="72" t="s">
        <v>1215</v>
      </c>
      <c r="H34" s="42" t="s">
        <v>975</v>
      </c>
      <c r="J34" s="364"/>
      <c r="K34" s="364" t="str">
        <f ca="1">F34&amp;"13komm"</f>
        <v>013komm</v>
      </c>
      <c r="L34" s="607" cm="1">
        <f t="array" ref="L34">AK34</f>
        <v>0</v>
      </c>
      <c r="T34" s="353" t="b" cm="1">
        <f t="array" ref="T34">T33</f>
        <v>0</v>
      </c>
      <c r="X34" s="964"/>
      <c r="Z34" s="992"/>
      <c r="AB34" s="256" t="s">
        <v>976</v>
      </c>
      <c r="AC34" s="127" t="s">
        <v>1216</v>
      </c>
      <c r="AD34" s="9" t="s">
        <v>828</v>
      </c>
      <c r="AE34" s="854"/>
      <c r="AF34" s="854"/>
      <c r="AG34" s="854"/>
      <c r="AH34" s="854"/>
      <c r="AI34" s="142"/>
      <c r="AJ34" s="142"/>
      <c r="AK34" s="830"/>
      <c r="AN34" s="678" t="s">
        <v>1217</v>
      </c>
    </row>
    <row r="35" spans="2:40" s="62" customFormat="1" ht="14.65" hidden="1" customHeight="1" x14ac:dyDescent="0.15">
      <c r="B35" s="326"/>
      <c r="E35" s="179">
        <v>15</v>
      </c>
      <c r="F35" s="3" cm="1">
        <f t="array" aca="1" ref="F35" ca="1">OFFSET(E35,-1,1)</f>
        <v>0</v>
      </c>
      <c r="G35" s="72" t="s">
        <v>1218</v>
      </c>
      <c r="H35" s="42" t="s">
        <v>978</v>
      </c>
      <c r="J35" s="364"/>
      <c r="K35" s="364" t="str">
        <f ca="1">F35&amp;"14komm"</f>
        <v>014komm</v>
      </c>
      <c r="L35" s="607" cm="1">
        <f t="array" ref="L35">AK35</f>
        <v>0</v>
      </c>
      <c r="T35" s="353" t="b" cm="1">
        <f t="array" ref="T35">T34</f>
        <v>0</v>
      </c>
      <c r="X35" s="964"/>
      <c r="Z35" s="992"/>
      <c r="AB35" s="256" t="s">
        <v>979</v>
      </c>
      <c r="AC35" s="127" t="s">
        <v>1219</v>
      </c>
      <c r="AD35" s="9" t="s">
        <v>828</v>
      </c>
      <c r="AE35" s="854"/>
      <c r="AF35" s="854"/>
      <c r="AG35" s="854"/>
      <c r="AH35" s="854"/>
      <c r="AI35" s="142"/>
      <c r="AJ35" s="142"/>
      <c r="AK35" s="830"/>
      <c r="AN35" s="678" t="s">
        <v>1220</v>
      </c>
    </row>
    <row r="36" spans="2:40" s="62" customFormat="1" ht="14.65" hidden="1" customHeight="1" x14ac:dyDescent="0.15">
      <c r="B36" s="326"/>
      <c r="E36" s="179">
        <v>15</v>
      </c>
      <c r="F36" s="3" cm="1">
        <f t="array" aca="1" ref="F36" ca="1">OFFSET(E36,-1,1)</f>
        <v>0</v>
      </c>
      <c r="G36" s="72" t="s">
        <v>1221</v>
      </c>
      <c r="H36" s="42" t="s">
        <v>1222</v>
      </c>
      <c r="J36" s="364"/>
      <c r="K36" s="364" t="str">
        <f ca="1">F36&amp;"15komm"</f>
        <v>015komm</v>
      </c>
      <c r="L36" s="607" cm="1">
        <f t="array" ref="L36">AK36</f>
        <v>0</v>
      </c>
      <c r="T36" s="353" t="b" cm="1">
        <f t="array" ref="T36">T35</f>
        <v>0</v>
      </c>
      <c r="X36" s="964"/>
      <c r="Z36" s="992"/>
      <c r="AB36" s="256" t="s">
        <v>1223</v>
      </c>
      <c r="AC36" s="127" t="s">
        <v>1224</v>
      </c>
      <c r="AD36" s="9" t="s">
        <v>828</v>
      </c>
      <c r="AE36" s="854"/>
      <c r="AF36" s="854"/>
      <c r="AG36" s="854"/>
      <c r="AH36" s="854"/>
      <c r="AI36" s="142"/>
      <c r="AJ36" s="142"/>
      <c r="AK36" s="830"/>
      <c r="AN36" s="678" t="s">
        <v>1225</v>
      </c>
    </row>
    <row r="37" spans="2:40" s="62" customFormat="1" ht="14.65" hidden="1" customHeight="1" x14ac:dyDescent="0.15">
      <c r="B37" s="326"/>
      <c r="E37" s="179">
        <v>15</v>
      </c>
      <c r="F37" s="3" cm="1">
        <f t="array" aca="1" ref="F37" ca="1">OFFSET(E37,-1,1)</f>
        <v>0</v>
      </c>
      <c r="G37" s="72" t="s">
        <v>1226</v>
      </c>
      <c r="H37" s="42" t="s">
        <v>1227</v>
      </c>
      <c r="J37" s="364"/>
      <c r="K37" s="364" t="str">
        <f ca="1">F37&amp;"16komm"</f>
        <v>016komm</v>
      </c>
      <c r="L37" s="607" cm="1">
        <f t="array" ref="L37">AK37</f>
        <v>0</v>
      </c>
      <c r="T37" s="353" t="b" cm="1">
        <f t="array" ref="T37">T36</f>
        <v>0</v>
      </c>
      <c r="X37" s="964"/>
      <c r="Z37" s="992"/>
      <c r="AB37" s="256" t="s">
        <v>1228</v>
      </c>
      <c r="AC37" s="127" t="s">
        <v>1229</v>
      </c>
      <c r="AD37" s="9" t="s">
        <v>828</v>
      </c>
      <c r="AE37" s="854"/>
      <c r="AF37" s="854"/>
      <c r="AG37" s="854"/>
      <c r="AH37" s="854"/>
      <c r="AI37" s="142"/>
      <c r="AJ37" s="142"/>
      <c r="AK37" s="830"/>
      <c r="AN37" s="678" t="s">
        <v>1230</v>
      </c>
    </row>
    <row r="38" spans="2:40" s="62" customFormat="1" ht="32.85" hidden="1" customHeight="1" x14ac:dyDescent="0.15">
      <c r="B38" s="326"/>
      <c r="E38" s="179">
        <v>33.75</v>
      </c>
      <c r="F38" s="3" cm="1">
        <f t="array" aca="1" ref="F38" ca="1">OFFSET(E38,-1,1)</f>
        <v>0</v>
      </c>
      <c r="G38" s="253" t="s">
        <v>1231</v>
      </c>
      <c r="H38" s="42" t="s">
        <v>335</v>
      </c>
      <c r="J38" s="364"/>
      <c r="K38" s="364" t="str">
        <f ca="1">F38&amp;"2komm"</f>
        <v>02komm</v>
      </c>
      <c r="L38" s="607" cm="1">
        <f t="array" ref="L38">AK38</f>
        <v>0</v>
      </c>
      <c r="T38" s="353" t="b" cm="1">
        <f t="array" ref="T38">T37</f>
        <v>0</v>
      </c>
      <c r="X38" s="964"/>
      <c r="Z38" s="992"/>
      <c r="AB38" s="256" t="s">
        <v>454</v>
      </c>
      <c r="AC38" s="246" t="s">
        <v>1232</v>
      </c>
      <c r="AD38" s="9" t="s">
        <v>828</v>
      </c>
      <c r="AE38" s="854"/>
      <c r="AF38" s="854"/>
      <c r="AG38" s="854"/>
      <c r="AH38" s="854"/>
      <c r="AI38" s="142"/>
      <c r="AJ38" s="142"/>
      <c r="AK38" s="830"/>
      <c r="AN38" s="678" t="s">
        <v>1233</v>
      </c>
    </row>
    <row r="39" spans="2:40" s="62" customFormat="1" ht="14.65" hidden="1" customHeight="1" x14ac:dyDescent="0.15">
      <c r="B39" s="326"/>
      <c r="E39" s="179">
        <v>15</v>
      </c>
      <c r="F39" s="3" cm="1">
        <f t="array" aca="1" ref="F39" ca="1">OFFSET(E39,-1,1)</f>
        <v>0</v>
      </c>
      <c r="G39" s="253" t="s">
        <v>1234</v>
      </c>
      <c r="H39" s="42" t="s">
        <v>334</v>
      </c>
      <c r="J39" s="364"/>
      <c r="K39" s="364" t="str">
        <f ca="1">F39&amp;"3komm"</f>
        <v>03komm</v>
      </c>
      <c r="L39" s="607" cm="1">
        <f t="array" ref="L39">AK39</f>
        <v>0</v>
      </c>
      <c r="T39" s="353" t="b" cm="1">
        <f t="array" ref="T39">T38</f>
        <v>0</v>
      </c>
      <c r="X39" s="964"/>
      <c r="Z39" s="992"/>
      <c r="AB39" s="256" t="s">
        <v>460</v>
      </c>
      <c r="AC39" s="246" t="s">
        <v>1235</v>
      </c>
      <c r="AD39" s="9" t="s">
        <v>828</v>
      </c>
      <c r="AE39" s="854"/>
      <c r="AF39" s="854"/>
      <c r="AG39" s="854"/>
      <c r="AH39" s="854"/>
      <c r="AI39" s="142"/>
      <c r="AJ39" s="142"/>
      <c r="AK39" s="830"/>
      <c r="AN39" s="678" t="s">
        <v>1236</v>
      </c>
    </row>
    <row r="40" spans="2:40" s="62" customFormat="1" ht="14.65" hidden="1" customHeight="1" x14ac:dyDescent="0.15">
      <c r="B40" s="326"/>
      <c r="E40" s="179">
        <v>15</v>
      </c>
      <c r="F40" s="3" cm="1">
        <f t="array" aca="1" ref="F40" ca="1">OFFSET(E40,-1,1)</f>
        <v>0</v>
      </c>
      <c r="G40" s="253" t="s">
        <v>1237</v>
      </c>
      <c r="H40" s="42" t="s">
        <v>532</v>
      </c>
      <c r="K40" s="364" t="str">
        <f ca="1">F40&amp;"4komm"</f>
        <v>04komm</v>
      </c>
      <c r="L40" s="607" cm="1">
        <f t="array" ref="L40">AK40</f>
        <v>0</v>
      </c>
      <c r="T40" s="353" t="b" cm="1">
        <f t="array" ref="T40">T39</f>
        <v>0</v>
      </c>
      <c r="X40" s="964"/>
      <c r="Z40" s="992"/>
      <c r="AB40" s="256" t="s">
        <v>536</v>
      </c>
      <c r="AC40" s="246" t="s">
        <v>1238</v>
      </c>
      <c r="AD40" s="9" t="s">
        <v>828</v>
      </c>
      <c r="AE40" s="854"/>
      <c r="AF40" s="854"/>
      <c r="AG40" s="854"/>
      <c r="AH40" s="854"/>
      <c r="AI40" s="142"/>
      <c r="AJ40" s="142"/>
      <c r="AK40" s="830"/>
      <c r="AN40" s="678" t="s">
        <v>1239</v>
      </c>
    </row>
    <row r="41" spans="2:40" s="62" customFormat="1" ht="14.65" hidden="1" customHeight="1" x14ac:dyDescent="0.15">
      <c r="B41" s="326"/>
      <c r="E41" s="179">
        <v>15</v>
      </c>
      <c r="F41" s="3" cm="1">
        <f t="array" aca="1" ref="F41" ca="1">OFFSET(E41,-1,1)</f>
        <v>0</v>
      </c>
      <c r="G41" s="253" t="s">
        <v>1240</v>
      </c>
      <c r="H41" s="42" t="s">
        <v>535</v>
      </c>
      <c r="K41" s="364" t="str">
        <f ca="1">F41&amp;"5komm"</f>
        <v>05komm</v>
      </c>
      <c r="L41" s="607" cm="1">
        <f t="array" ref="L41">AK41</f>
        <v>0</v>
      </c>
      <c r="T41" s="353" t="b" cm="1">
        <f t="array" ref="T41">T40</f>
        <v>0</v>
      </c>
      <c r="X41" s="964"/>
      <c r="Z41" s="992"/>
      <c r="AB41" s="256" t="s">
        <v>602</v>
      </c>
      <c r="AC41" s="246" t="s">
        <v>1241</v>
      </c>
      <c r="AD41" s="9" t="s">
        <v>828</v>
      </c>
      <c r="AE41" s="854"/>
      <c r="AF41" s="854"/>
      <c r="AG41" s="854"/>
      <c r="AH41" s="854"/>
      <c r="AI41" s="142"/>
      <c r="AJ41" s="142"/>
      <c r="AK41" s="830"/>
      <c r="AN41" s="678" t="s">
        <v>1242</v>
      </c>
    </row>
    <row r="42" spans="2:40" s="62" customFormat="1" ht="14.65" hidden="1" customHeight="1" x14ac:dyDescent="0.15">
      <c r="B42" s="326"/>
      <c r="E42" s="179">
        <v>15</v>
      </c>
      <c r="F42" s="3" cm="1">
        <f t="array" aca="1" ref="F42" ca="1">OFFSET(E42,-1,1)</f>
        <v>0</v>
      </c>
      <c r="G42" s="253" t="s">
        <v>1243</v>
      </c>
      <c r="H42" s="42" t="s">
        <v>586</v>
      </c>
      <c r="K42" s="364" t="str">
        <f ca="1">F42&amp;"6komm"</f>
        <v>06komm</v>
      </c>
      <c r="L42" s="607" cm="1">
        <f t="array" ref="L42">AK42</f>
        <v>0</v>
      </c>
      <c r="T42" s="353" t="b" cm="1">
        <f t="array" ref="T42">T41</f>
        <v>0</v>
      </c>
      <c r="X42" s="964"/>
      <c r="Z42" s="992"/>
      <c r="AB42" s="256" t="s">
        <v>610</v>
      </c>
      <c r="AC42" s="246" t="s">
        <v>1244</v>
      </c>
      <c r="AD42" s="9" t="s">
        <v>828</v>
      </c>
      <c r="AE42" s="171">
        <f t="shared" ref="AE42:AJ42" si="2">SUM(AE43:AE45)</f>
        <v>0</v>
      </c>
      <c r="AF42" s="171">
        <f t="shared" si="2"/>
        <v>0</v>
      </c>
      <c r="AG42" s="171">
        <f t="shared" si="2"/>
        <v>0</v>
      </c>
      <c r="AH42" s="171">
        <f t="shared" si="2"/>
        <v>0</v>
      </c>
      <c r="AI42" s="171">
        <f t="shared" si="2"/>
        <v>0</v>
      </c>
      <c r="AJ42" s="171">
        <f t="shared" si="2"/>
        <v>0</v>
      </c>
      <c r="AK42" s="830"/>
      <c r="AN42" s="678" t="s">
        <v>394</v>
      </c>
    </row>
    <row r="43" spans="2:40" s="62" customFormat="1" ht="14.65" hidden="1" customHeight="1" x14ac:dyDescent="0.15">
      <c r="B43" s="326"/>
      <c r="E43" s="179">
        <v>15</v>
      </c>
      <c r="F43" s="3" cm="1">
        <f t="array" aca="1" ref="F43" ca="1">OFFSET(E43,-1,1)</f>
        <v>0</v>
      </c>
      <c r="G43" s="253" t="s">
        <v>1245</v>
      </c>
      <c r="H43" s="42" t="s">
        <v>589</v>
      </c>
      <c r="K43" s="364" t="str">
        <f ca="1">F43&amp;"7komm"</f>
        <v>07komm</v>
      </c>
      <c r="L43" s="607" cm="1">
        <f t="array" ref="L43">AK43</f>
        <v>0</v>
      </c>
      <c r="T43" s="353" t="b" cm="1">
        <f t="array" ref="T43">T42</f>
        <v>0</v>
      </c>
      <c r="X43" s="964"/>
      <c r="Z43" s="992"/>
      <c r="AB43" s="256" t="s">
        <v>614</v>
      </c>
      <c r="AC43" s="127" t="s">
        <v>1246</v>
      </c>
      <c r="AD43" s="9" t="s">
        <v>828</v>
      </c>
      <c r="AE43" s="854"/>
      <c r="AF43" s="854"/>
      <c r="AG43" s="854"/>
      <c r="AH43" s="854"/>
      <c r="AI43" s="142"/>
      <c r="AJ43" s="142"/>
      <c r="AK43" s="830"/>
      <c r="AN43" s="678" t="s">
        <v>1247</v>
      </c>
    </row>
    <row r="44" spans="2:40" s="62" customFormat="1" ht="43.9" hidden="1" customHeight="1" x14ac:dyDescent="0.15">
      <c r="B44" s="326"/>
      <c r="E44" s="179">
        <v>45</v>
      </c>
      <c r="F44" s="3" cm="1">
        <f t="array" aca="1" ref="F44" ca="1">OFFSET(E44,-1,1)</f>
        <v>0</v>
      </c>
      <c r="G44" s="253" t="s">
        <v>1248</v>
      </c>
      <c r="H44" s="42" t="s">
        <v>593</v>
      </c>
      <c r="K44" s="364" t="str">
        <f ca="1">F44&amp;"8komm"</f>
        <v>08komm</v>
      </c>
      <c r="L44" s="607" cm="1">
        <f t="array" ref="L44">AK44</f>
        <v>0</v>
      </c>
      <c r="T44" s="353" t="b" cm="1">
        <f t="array" ref="T44">T43</f>
        <v>0</v>
      </c>
      <c r="X44" s="964"/>
      <c r="Z44" s="992"/>
      <c r="AB44" s="256" t="s">
        <v>631</v>
      </c>
      <c r="AC44" s="127" t="s">
        <v>1249</v>
      </c>
      <c r="AD44" s="9" t="s">
        <v>828</v>
      </c>
      <c r="AE44" s="854"/>
      <c r="AF44" s="854"/>
      <c r="AG44" s="854"/>
      <c r="AH44" s="854"/>
      <c r="AI44" s="142"/>
      <c r="AJ44" s="142"/>
      <c r="AK44" s="830"/>
      <c r="AN44" s="678" t="s">
        <v>1250</v>
      </c>
    </row>
    <row r="45" spans="2:40" s="62" customFormat="1" ht="14.65" hidden="1" customHeight="1" x14ac:dyDescent="0.15">
      <c r="B45" s="326"/>
      <c r="E45" s="179">
        <v>15</v>
      </c>
      <c r="F45" s="3" cm="1">
        <f t="array" aca="1" ref="F45" ca="1">OFFSET(E45,-1,1)</f>
        <v>0</v>
      </c>
      <c r="G45" s="72" t="s">
        <v>1251</v>
      </c>
      <c r="H45" s="42" t="s">
        <v>597</v>
      </c>
      <c r="K45" s="364" t="str">
        <f ca="1">F45&amp;"9komm"</f>
        <v>09komm</v>
      </c>
      <c r="L45" s="607" cm="1">
        <f t="array" ref="L45">AK45</f>
        <v>0</v>
      </c>
      <c r="T45" s="353" t="b" cm="1">
        <f t="array" ref="T45">T44</f>
        <v>0</v>
      </c>
      <c r="X45" s="964"/>
      <c r="Z45" s="992"/>
      <c r="AB45" s="256" t="s">
        <v>643</v>
      </c>
      <c r="AC45" s="127" t="s">
        <v>1252</v>
      </c>
      <c r="AD45" s="9" t="s">
        <v>828</v>
      </c>
      <c r="AE45" s="854"/>
      <c r="AF45" s="854"/>
      <c r="AG45" s="854"/>
      <c r="AH45" s="854"/>
      <c r="AI45" s="142"/>
      <c r="AJ45" s="142"/>
      <c r="AK45" s="830"/>
      <c r="AN45" s="678" t="s">
        <v>1253</v>
      </c>
    </row>
    <row r="46" spans="2:40" ht="10.5" customHeight="1" x14ac:dyDescent="0.15">
      <c r="C46" s="62"/>
      <c r="D46" s="62"/>
      <c r="E46" s="179">
        <v>11.25</v>
      </c>
      <c r="F46" s="17" t="str" cm="1">
        <f t="array" ref="F46">X46</f>
        <v>1</v>
      </c>
      <c r="G46" s="62"/>
      <c r="H46" s="62"/>
      <c r="I46" s="62"/>
      <c r="J46" s="62"/>
      <c r="K46" s="62"/>
      <c r="L46" s="62"/>
      <c r="M46" s="62"/>
      <c r="N46" s="62"/>
      <c r="O46" s="62"/>
      <c r="P46" s="62"/>
      <c r="Q46" s="62"/>
      <c r="R46" s="62"/>
      <c r="S46" s="62"/>
      <c r="T46" s="353" t="b">
        <f>X46&gt;0</f>
        <v>1</v>
      </c>
      <c r="U46" s="62"/>
      <c r="V46" s="62" t="str" cm="1">
        <f t="array" ref="V46">ФОТ!$AB$52</f>
        <v>Тариф 1 (Водоснабжение) - тариф на техническую воду</v>
      </c>
      <c r="W46" s="62"/>
      <c r="X46" s="964" t="s">
        <v>275</v>
      </c>
      <c r="Y46" s="62"/>
      <c r="Z46" s="992"/>
      <c r="AA46" s="62"/>
      <c r="AB46" s="155" t="str" cm="1">
        <f t="array" ref="AB46">ФОТ!$AB$52</f>
        <v>Тариф 1 (Водоснабжение) - тариф на техническую воду</v>
      </c>
      <c r="AC46" s="94"/>
      <c r="AD46" s="94"/>
      <c r="AE46" s="214">
        <f t="shared" ref="AE46:AJ46" ca="1" si="3">AE47+AE48+AE49+AE57+AE58+AE59+AE60+AE61</f>
        <v>0</v>
      </c>
      <c r="AF46" s="214">
        <f t="shared" ca="1" si="3"/>
        <v>0</v>
      </c>
      <c r="AG46" s="214">
        <f t="shared" ca="1" si="3"/>
        <v>0</v>
      </c>
      <c r="AH46" s="214">
        <f t="shared" ca="1" si="3"/>
        <v>0</v>
      </c>
      <c r="AI46" s="214">
        <f t="shared" ca="1" si="3"/>
        <v>0</v>
      </c>
      <c r="AJ46" s="214">
        <f t="shared" ca="1" si="3"/>
        <v>0</v>
      </c>
      <c r="AK46" s="88"/>
      <c r="AL46" s="62"/>
    </row>
    <row r="47" spans="2:40" ht="21.75" customHeight="1" x14ac:dyDescent="0.15">
      <c r="C47" s="62"/>
      <c r="D47" s="62"/>
      <c r="E47" s="179">
        <v>22.5</v>
      </c>
      <c r="F47" s="3" t="str" cm="1">
        <f t="array" aca="1" ref="F47" ca="1">OFFSET(E47,-1,1)</f>
        <v>1</v>
      </c>
      <c r="G47" s="62"/>
      <c r="H47" s="42" t="s">
        <v>331</v>
      </c>
      <c r="I47" s="62"/>
      <c r="J47" s="62"/>
      <c r="K47" s="62"/>
      <c r="L47" s="62"/>
      <c r="M47" s="62"/>
      <c r="N47" s="62"/>
      <c r="O47" s="62"/>
      <c r="P47" s="62"/>
      <c r="Q47" s="62"/>
      <c r="R47" s="62"/>
      <c r="S47" s="62"/>
      <c r="T47" s="353" t="b" cm="1">
        <f t="array" ref="T47">T46</f>
        <v>1</v>
      </c>
      <c r="U47" s="62"/>
      <c r="V47" s="62"/>
      <c r="W47" s="62"/>
      <c r="X47" s="964"/>
      <c r="Y47" s="62"/>
      <c r="Z47" s="992"/>
      <c r="AA47" s="62"/>
      <c r="AB47" s="256">
        <v>1</v>
      </c>
      <c r="AC47" s="246" t="s">
        <v>1186</v>
      </c>
      <c r="AD47" s="9" t="s">
        <v>828</v>
      </c>
      <c r="AE47" s="406">
        <f ca="1">SUMIFS(ФОТ!AE$25:AE$127,ФОТ!$F$25:$F$127,$F47,ФОТ!$AC$25:$AC$127,$AC47)</f>
        <v>0</v>
      </c>
      <c r="AF47" s="406">
        <f ca="1">SUMIFS(ФОТ!AF$25:AF$127,ФОТ!$F$25:$F$127,$F47,ФОТ!$AC$25:$AC$127,$AC47)</f>
        <v>0</v>
      </c>
      <c r="AG47" s="406">
        <f ca="1">SUMIFS(ФОТ!AG$25:AG$127,ФОТ!$F$25:$F$127,$F47,ФОТ!$AC$25:$AC$127,$AC47)</f>
        <v>0</v>
      </c>
      <c r="AH47" s="406">
        <f ca="1">SUMIFS(ФОТ!AH$25:AH$127,ФОТ!$F$25:$F$127,$F47,ФОТ!$AC$25:$AC$127,$AC47)</f>
        <v>0</v>
      </c>
      <c r="AI47" s="406">
        <f ca="1">SUMIFS(ФОТ!AI$25:AI$127,ФОТ!$F$25:$F$127,$F47,ФОТ!$AC$25:$AC$127,$AC47)</f>
        <v>0</v>
      </c>
      <c r="AJ47" s="406">
        <f ca="1">SUMIFS(ФОТ!AJ$25:AJ$127,ФОТ!$F$25:$F$127,$F47,ФОТ!$AC$25:$AC$127,$AC47)</f>
        <v>0</v>
      </c>
      <c r="AK47" s="217"/>
      <c r="AL47" s="62"/>
      <c r="AN47" s="671" t="s">
        <v>1202</v>
      </c>
    </row>
    <row r="48" spans="2:40" ht="21.75" customHeight="1" x14ac:dyDescent="0.15">
      <c r="C48" s="62"/>
      <c r="D48" s="62"/>
      <c r="E48" s="179">
        <v>22.5</v>
      </c>
      <c r="F48" s="3" t="str" cm="1">
        <f t="array" aca="1" ref="F48" ca="1">OFFSET(E48,-1,1)</f>
        <v>1</v>
      </c>
      <c r="G48" s="62"/>
      <c r="H48" s="42" t="s">
        <v>332</v>
      </c>
      <c r="I48" s="62"/>
      <c r="J48" s="364"/>
      <c r="K48" s="364"/>
      <c r="L48" s="364"/>
      <c r="M48" s="62"/>
      <c r="N48" s="62"/>
      <c r="O48" s="62"/>
      <c r="P48" s="62"/>
      <c r="Q48" s="62"/>
      <c r="R48" s="62"/>
      <c r="S48" s="62"/>
      <c r="T48" s="353" t="b" cm="1">
        <f t="array" ref="T48">T47</f>
        <v>1</v>
      </c>
      <c r="U48" s="62"/>
      <c r="V48" s="62"/>
      <c r="W48" s="62"/>
      <c r="X48" s="964"/>
      <c r="Y48" s="62"/>
      <c r="Z48" s="992"/>
      <c r="AA48" s="62"/>
      <c r="AB48" s="256" t="s">
        <v>285</v>
      </c>
      <c r="AC48" s="246" t="s">
        <v>1191</v>
      </c>
      <c r="AD48" s="9" t="s">
        <v>828</v>
      </c>
      <c r="AE48" s="406">
        <f ca="1">SUMIFS(ФОТ!AE$25:AE$127,ФОТ!$F$25:$F$127,$F48,ФОТ!$AC$25:$AC$127,$AC48)</f>
        <v>0</v>
      </c>
      <c r="AF48" s="406">
        <f ca="1">SUMIFS(ФОТ!AF$25:AF$127,ФОТ!$F$25:$F$127,$F48,ФОТ!$AC$25:$AC$127,$AC48)</f>
        <v>0</v>
      </c>
      <c r="AG48" s="406">
        <f ca="1">SUMIFS(ФОТ!AG$25:AG$127,ФОТ!$F$25:$F$127,$F48,ФОТ!$AC$25:$AC$127,$AC48)</f>
        <v>0</v>
      </c>
      <c r="AH48" s="406">
        <f ca="1">SUMIFS(ФОТ!AH$25:AH$127,ФОТ!$F$25:$F$127,$F48,ФОТ!$AC$25:$AC$127,$AC48)</f>
        <v>0</v>
      </c>
      <c r="AI48" s="406">
        <f ca="1">SUMIFS(ФОТ!AI$25:AI$127,ФОТ!$F$25:$F$127,$F48,ФОТ!$AC$25:$AC$127,$AC48)</f>
        <v>0</v>
      </c>
      <c r="AJ48" s="406">
        <f ca="1">SUMIFS(ФОТ!AJ$25:AJ$127,ФОТ!$F$25:$F$127,$F48,ФОТ!$AC$25:$AC$127,$AC48)</f>
        <v>0</v>
      </c>
      <c r="AK48" s="217"/>
      <c r="AL48" s="62"/>
      <c r="AN48" s="671" t="s">
        <v>1192</v>
      </c>
    </row>
    <row r="49" spans="1:40" ht="32.25" customHeight="1" x14ac:dyDescent="0.15">
      <c r="C49" s="62"/>
      <c r="D49" s="62"/>
      <c r="E49" s="179">
        <v>33.75</v>
      </c>
      <c r="F49" s="3" t="str" cm="1">
        <f t="array" aca="1" ref="F49" ca="1">OFFSET(E49,-1,1)</f>
        <v>1</v>
      </c>
      <c r="G49" s="253" t="s">
        <v>1203</v>
      </c>
      <c r="H49" s="42" t="s">
        <v>333</v>
      </c>
      <c r="I49" s="62"/>
      <c r="J49" s="364"/>
      <c r="K49" s="364" t="str">
        <f ca="1">F49&amp;"17komm"</f>
        <v>117komm</v>
      </c>
      <c r="L49" s="607" cm="1">
        <f t="array" ref="L49">AK49</f>
        <v>0</v>
      </c>
      <c r="M49" s="62"/>
      <c r="N49" s="62"/>
      <c r="O49" s="62"/>
      <c r="P49" s="62"/>
      <c r="Q49" s="62"/>
      <c r="R49" s="62"/>
      <c r="S49" s="62"/>
      <c r="T49" s="353" t="b" cm="1">
        <f t="array" ref="T49">T48</f>
        <v>1</v>
      </c>
      <c r="U49" s="62"/>
      <c r="V49" s="62"/>
      <c r="W49" s="62"/>
      <c r="X49" s="964"/>
      <c r="Y49" s="62"/>
      <c r="Z49" s="992"/>
      <c r="AA49" s="62"/>
      <c r="AB49" s="256" t="s">
        <v>291</v>
      </c>
      <c r="AC49" s="246" t="s">
        <v>1204</v>
      </c>
      <c r="AD49" s="9" t="s">
        <v>828</v>
      </c>
      <c r="AE49" s="151">
        <f t="shared" ref="AE49:AJ49" si="4">SUM(AE50:AE56)</f>
        <v>0</v>
      </c>
      <c r="AF49" s="151">
        <f t="shared" si="4"/>
        <v>0</v>
      </c>
      <c r="AG49" s="151">
        <f t="shared" si="4"/>
        <v>0</v>
      </c>
      <c r="AH49" s="151">
        <f t="shared" si="4"/>
        <v>0</v>
      </c>
      <c r="AI49" s="151">
        <f t="shared" si="4"/>
        <v>0</v>
      </c>
      <c r="AJ49" s="151">
        <f t="shared" si="4"/>
        <v>0</v>
      </c>
      <c r="AK49" s="217"/>
      <c r="AL49" s="62"/>
      <c r="AN49" s="671" t="s">
        <v>1205</v>
      </c>
    </row>
    <row r="50" spans="1:40" ht="14.25" customHeight="1" x14ac:dyDescent="0.15">
      <c r="A50"/>
      <c r="B50" s="327"/>
      <c r="C50" s="62"/>
      <c r="D50" s="62"/>
      <c r="E50" s="179">
        <v>15</v>
      </c>
      <c r="F50" s="765" t="str" cm="1">
        <f t="array" aca="1" ref="F50" ca="1">OFFSET(E50,-1,1)</f>
        <v>1</v>
      </c>
      <c r="G50" s="72" t="s">
        <v>1206</v>
      </c>
      <c r="H50" s="42" t="s">
        <v>969</v>
      </c>
      <c r="I50" s="62"/>
      <c r="J50" s="364"/>
      <c r="K50" s="364" t="str">
        <f ca="1">F50&amp;"18komm"</f>
        <v>118komm</v>
      </c>
      <c r="L50" s="607" cm="1">
        <f t="array" ref="L50">AK50</f>
        <v>0</v>
      </c>
      <c r="M50" s="62"/>
      <c r="N50" s="62"/>
      <c r="O50" s="62"/>
      <c r="P50" s="62"/>
      <c r="Q50" s="62"/>
      <c r="R50" s="62"/>
      <c r="S50" s="62"/>
      <c r="T50" s="353" t="b" cm="1">
        <f t="array" ref="T50">T49</f>
        <v>1</v>
      </c>
      <c r="U50" s="62"/>
      <c r="V50" s="62"/>
      <c r="W50" s="62"/>
      <c r="X50" s="964"/>
      <c r="Y50" s="62"/>
      <c r="Z50" s="992"/>
      <c r="AA50" s="62"/>
      <c r="AB50" s="256" t="s">
        <v>575</v>
      </c>
      <c r="AC50" s="127" t="s">
        <v>1207</v>
      </c>
      <c r="AD50" s="9" t="s">
        <v>828</v>
      </c>
      <c r="AE50" s="142"/>
      <c r="AF50" s="142"/>
      <c r="AG50" s="142"/>
      <c r="AH50" s="142"/>
      <c r="AI50" s="142"/>
      <c r="AJ50" s="142"/>
      <c r="AK50" s="217"/>
      <c r="AL50" s="62"/>
      <c r="AM50"/>
      <c r="AN50" s="661" t="s">
        <v>1208</v>
      </c>
    </row>
    <row r="51" spans="1:40" s="326" customFormat="1" ht="14.25" customHeight="1" x14ac:dyDescent="0.15">
      <c r="A51" s="62"/>
      <c r="C51" s="62"/>
      <c r="D51" s="62"/>
      <c r="E51" s="179">
        <v>15</v>
      </c>
      <c r="F51" s="3" t="str" cm="1">
        <f t="array" aca="1" ref="F51" ca="1">OFFSET(E51,-1,1)</f>
        <v>1</v>
      </c>
      <c r="G51" s="72" t="s">
        <v>1209</v>
      </c>
      <c r="H51" s="42" t="s">
        <v>971</v>
      </c>
      <c r="I51" s="62"/>
      <c r="J51" s="364"/>
      <c r="K51" s="364" t="str">
        <f ca="1">F51&amp;"11komm"</f>
        <v>111komm</v>
      </c>
      <c r="L51" s="607" cm="1">
        <f t="array" ref="L51">AK51</f>
        <v>0</v>
      </c>
      <c r="M51" s="62"/>
      <c r="N51" s="62"/>
      <c r="O51" s="62"/>
      <c r="P51" s="62"/>
      <c r="Q51" s="62"/>
      <c r="R51" s="62"/>
      <c r="S51" s="62"/>
      <c r="T51" s="353" t="b" cm="1">
        <f t="array" ref="T51">T50</f>
        <v>1</v>
      </c>
      <c r="U51" s="62"/>
      <c r="V51" s="62"/>
      <c r="W51" s="62"/>
      <c r="X51" s="964"/>
      <c r="Y51" s="62"/>
      <c r="Z51" s="992"/>
      <c r="AA51" s="62"/>
      <c r="AB51" s="256" t="s">
        <v>579</v>
      </c>
      <c r="AC51" s="127" t="s">
        <v>1210</v>
      </c>
      <c r="AD51" s="9" t="s">
        <v>828</v>
      </c>
      <c r="AE51" s="142"/>
      <c r="AF51" s="142"/>
      <c r="AG51" s="142"/>
      <c r="AH51" s="142"/>
      <c r="AI51" s="142"/>
      <c r="AJ51" s="142"/>
      <c r="AK51" s="217"/>
      <c r="AL51" s="62"/>
      <c r="AM51" s="62"/>
      <c r="AN51" s="678" t="s">
        <v>1211</v>
      </c>
    </row>
    <row r="52" spans="1:40" s="326" customFormat="1" ht="14.25" customHeight="1" x14ac:dyDescent="0.15">
      <c r="A52" s="62"/>
      <c r="C52" s="62"/>
      <c r="D52" s="62"/>
      <c r="E52" s="179">
        <v>15</v>
      </c>
      <c r="F52" s="3" t="str" cm="1">
        <f t="array" aca="1" ref="F52" ca="1">OFFSET(E52,-1,1)</f>
        <v>1</v>
      </c>
      <c r="G52" s="72" t="s">
        <v>1212</v>
      </c>
      <c r="H52" s="42" t="s">
        <v>973</v>
      </c>
      <c r="I52" s="62"/>
      <c r="J52" s="364"/>
      <c r="K52" s="364" t="str">
        <f ca="1">F52&amp;"12komm"</f>
        <v>112komm</v>
      </c>
      <c r="L52" s="607" cm="1">
        <f t="array" ref="L52">AK52</f>
        <v>0</v>
      </c>
      <c r="M52" s="62"/>
      <c r="N52" s="62"/>
      <c r="O52" s="62"/>
      <c r="P52" s="62"/>
      <c r="Q52" s="62"/>
      <c r="R52" s="62"/>
      <c r="S52" s="62"/>
      <c r="T52" s="353" t="b" cm="1">
        <f t="array" ref="T52">T51</f>
        <v>1</v>
      </c>
      <c r="U52" s="62"/>
      <c r="V52" s="62"/>
      <c r="W52" s="62"/>
      <c r="X52" s="964"/>
      <c r="Y52" s="62"/>
      <c r="Z52" s="992"/>
      <c r="AA52" s="62"/>
      <c r="AB52" s="256" t="s">
        <v>795</v>
      </c>
      <c r="AC52" s="127" t="s">
        <v>1213</v>
      </c>
      <c r="AD52" s="9" t="s">
        <v>828</v>
      </c>
      <c r="AE52" s="142"/>
      <c r="AF52" s="142"/>
      <c r="AG52" s="142"/>
      <c r="AH52" s="142"/>
      <c r="AI52" s="142"/>
      <c r="AJ52" s="142"/>
      <c r="AK52" s="217"/>
      <c r="AL52" s="62"/>
      <c r="AM52" s="62"/>
      <c r="AN52" s="678" t="s">
        <v>1214</v>
      </c>
    </row>
    <row r="53" spans="1:40" s="326" customFormat="1" ht="14.25" customHeight="1" x14ac:dyDescent="0.15">
      <c r="A53" s="62"/>
      <c r="C53" s="62"/>
      <c r="D53" s="62"/>
      <c r="E53" s="179">
        <v>15</v>
      </c>
      <c r="F53" s="3" t="str" cm="1">
        <f t="array" aca="1" ref="F53" ca="1">OFFSET(E53,-1,1)</f>
        <v>1</v>
      </c>
      <c r="G53" s="72" t="s">
        <v>1215</v>
      </c>
      <c r="H53" s="42" t="s">
        <v>975</v>
      </c>
      <c r="I53" s="62"/>
      <c r="J53" s="364"/>
      <c r="K53" s="364" t="str">
        <f ca="1">F53&amp;"13komm"</f>
        <v>113komm</v>
      </c>
      <c r="L53" s="607" cm="1">
        <f t="array" ref="L53">AK53</f>
        <v>0</v>
      </c>
      <c r="M53" s="62"/>
      <c r="N53" s="62"/>
      <c r="O53" s="62"/>
      <c r="P53" s="62"/>
      <c r="Q53" s="62"/>
      <c r="R53" s="62"/>
      <c r="S53" s="62"/>
      <c r="T53" s="353" t="b" cm="1">
        <f t="array" ref="T53">T52</f>
        <v>1</v>
      </c>
      <c r="U53" s="62"/>
      <c r="V53" s="62"/>
      <c r="W53" s="62"/>
      <c r="X53" s="964"/>
      <c r="Y53" s="62"/>
      <c r="Z53" s="992"/>
      <c r="AA53" s="62"/>
      <c r="AB53" s="256" t="s">
        <v>976</v>
      </c>
      <c r="AC53" s="127" t="s">
        <v>1216</v>
      </c>
      <c r="AD53" s="9" t="s">
        <v>828</v>
      </c>
      <c r="AE53" s="142"/>
      <c r="AF53" s="142"/>
      <c r="AG53" s="142"/>
      <c r="AH53" s="142"/>
      <c r="AI53" s="142"/>
      <c r="AJ53" s="142"/>
      <c r="AK53" s="217"/>
      <c r="AL53" s="62"/>
      <c r="AM53" s="62"/>
      <c r="AN53" s="678" t="s">
        <v>1217</v>
      </c>
    </row>
    <row r="54" spans="1:40" s="326" customFormat="1" ht="14.25" customHeight="1" x14ac:dyDescent="0.15">
      <c r="A54" s="62"/>
      <c r="C54" s="62"/>
      <c r="D54" s="62"/>
      <c r="E54" s="179">
        <v>15</v>
      </c>
      <c r="F54" s="3" t="str" cm="1">
        <f t="array" aca="1" ref="F54" ca="1">OFFSET(E54,-1,1)</f>
        <v>1</v>
      </c>
      <c r="G54" s="72" t="s">
        <v>1218</v>
      </c>
      <c r="H54" s="42" t="s">
        <v>978</v>
      </c>
      <c r="I54" s="62"/>
      <c r="J54" s="364"/>
      <c r="K54" s="364" t="str">
        <f ca="1">F54&amp;"14komm"</f>
        <v>114komm</v>
      </c>
      <c r="L54" s="607" cm="1">
        <f t="array" ref="L54">AK54</f>
        <v>0</v>
      </c>
      <c r="M54" s="62"/>
      <c r="N54" s="62"/>
      <c r="O54" s="62"/>
      <c r="P54" s="62"/>
      <c r="Q54" s="62"/>
      <c r="R54" s="62"/>
      <c r="S54" s="62"/>
      <c r="T54" s="353" t="b" cm="1">
        <f t="array" ref="T54">T53</f>
        <v>1</v>
      </c>
      <c r="U54" s="62"/>
      <c r="V54" s="62"/>
      <c r="W54" s="62"/>
      <c r="X54" s="964"/>
      <c r="Y54" s="62"/>
      <c r="Z54" s="992"/>
      <c r="AA54" s="62"/>
      <c r="AB54" s="256" t="s">
        <v>979</v>
      </c>
      <c r="AC54" s="127" t="s">
        <v>1219</v>
      </c>
      <c r="AD54" s="9" t="s">
        <v>828</v>
      </c>
      <c r="AE54" s="142"/>
      <c r="AF54" s="142"/>
      <c r="AG54" s="142"/>
      <c r="AH54" s="142"/>
      <c r="AI54" s="142"/>
      <c r="AJ54" s="142"/>
      <c r="AK54" s="217"/>
      <c r="AL54" s="62"/>
      <c r="AM54" s="62"/>
      <c r="AN54" s="678" t="s">
        <v>1220</v>
      </c>
    </row>
    <row r="55" spans="1:40" s="326" customFormat="1" ht="14.25" customHeight="1" x14ac:dyDescent="0.15">
      <c r="A55" s="62"/>
      <c r="C55" s="62"/>
      <c r="D55" s="62"/>
      <c r="E55" s="179">
        <v>15</v>
      </c>
      <c r="F55" s="3" t="str" cm="1">
        <f t="array" aca="1" ref="F55" ca="1">OFFSET(E55,-1,1)</f>
        <v>1</v>
      </c>
      <c r="G55" s="72" t="s">
        <v>1221</v>
      </c>
      <c r="H55" s="42" t="s">
        <v>1222</v>
      </c>
      <c r="I55" s="62"/>
      <c r="J55" s="364"/>
      <c r="K55" s="364" t="str">
        <f ca="1">F55&amp;"15komm"</f>
        <v>115komm</v>
      </c>
      <c r="L55" s="607" cm="1">
        <f t="array" ref="L55">AK55</f>
        <v>0</v>
      </c>
      <c r="M55" s="62"/>
      <c r="N55" s="62"/>
      <c r="O55" s="62"/>
      <c r="P55" s="62"/>
      <c r="Q55" s="62"/>
      <c r="R55" s="62"/>
      <c r="S55" s="62"/>
      <c r="T55" s="353" t="b" cm="1">
        <f t="array" ref="T55">T54</f>
        <v>1</v>
      </c>
      <c r="U55" s="62"/>
      <c r="V55" s="62"/>
      <c r="W55" s="62"/>
      <c r="X55" s="964"/>
      <c r="Y55" s="62"/>
      <c r="Z55" s="992"/>
      <c r="AA55" s="62"/>
      <c r="AB55" s="256" t="s">
        <v>1223</v>
      </c>
      <c r="AC55" s="127" t="s">
        <v>1224</v>
      </c>
      <c r="AD55" s="9" t="s">
        <v>828</v>
      </c>
      <c r="AE55" s="142"/>
      <c r="AF55" s="142"/>
      <c r="AG55" s="142"/>
      <c r="AH55" s="142"/>
      <c r="AI55" s="142"/>
      <c r="AJ55" s="142"/>
      <c r="AK55" s="217"/>
      <c r="AL55" s="62"/>
      <c r="AM55" s="62"/>
      <c r="AN55" s="678" t="s">
        <v>1225</v>
      </c>
    </row>
    <row r="56" spans="1:40" s="326" customFormat="1" ht="14.25" customHeight="1" x14ac:dyDescent="0.15">
      <c r="A56" s="62"/>
      <c r="C56" s="62"/>
      <c r="D56" s="62"/>
      <c r="E56" s="179">
        <v>15</v>
      </c>
      <c r="F56" s="3" t="str" cm="1">
        <f t="array" aca="1" ref="F56" ca="1">OFFSET(E56,-1,1)</f>
        <v>1</v>
      </c>
      <c r="G56" s="72" t="s">
        <v>1226</v>
      </c>
      <c r="H56" s="42" t="s">
        <v>1227</v>
      </c>
      <c r="I56" s="62"/>
      <c r="J56" s="364"/>
      <c r="K56" s="364" t="str">
        <f ca="1">F56&amp;"16komm"</f>
        <v>116komm</v>
      </c>
      <c r="L56" s="607" cm="1">
        <f t="array" ref="L56">AK56</f>
        <v>0</v>
      </c>
      <c r="M56" s="62"/>
      <c r="N56" s="62"/>
      <c r="O56" s="62"/>
      <c r="P56" s="62"/>
      <c r="Q56" s="62"/>
      <c r="R56" s="62"/>
      <c r="S56" s="62"/>
      <c r="T56" s="353" t="b" cm="1">
        <f t="array" ref="T56">T55</f>
        <v>1</v>
      </c>
      <c r="U56" s="62"/>
      <c r="V56" s="62"/>
      <c r="W56" s="62"/>
      <c r="X56" s="964"/>
      <c r="Y56" s="62"/>
      <c r="Z56" s="992"/>
      <c r="AA56" s="62"/>
      <c r="AB56" s="256" t="s">
        <v>1228</v>
      </c>
      <c r="AC56" s="127" t="s">
        <v>1229</v>
      </c>
      <c r="AD56" s="9" t="s">
        <v>828</v>
      </c>
      <c r="AE56" s="142"/>
      <c r="AF56" s="142"/>
      <c r="AG56" s="142"/>
      <c r="AH56" s="142"/>
      <c r="AI56" s="142"/>
      <c r="AJ56" s="142"/>
      <c r="AK56" s="217"/>
      <c r="AL56" s="62"/>
      <c r="AM56" s="62"/>
      <c r="AN56" s="678" t="s">
        <v>1230</v>
      </c>
    </row>
    <row r="57" spans="1:40" s="326" customFormat="1" ht="32.25" customHeight="1" x14ac:dyDescent="0.15">
      <c r="A57" s="62"/>
      <c r="C57" s="62"/>
      <c r="D57" s="62"/>
      <c r="E57" s="179">
        <v>33.75</v>
      </c>
      <c r="F57" s="3" t="str" cm="1">
        <f t="array" aca="1" ref="F57" ca="1">OFFSET(E57,-1,1)</f>
        <v>1</v>
      </c>
      <c r="G57" s="253" t="s">
        <v>1231</v>
      </c>
      <c r="H57" s="42" t="s">
        <v>335</v>
      </c>
      <c r="I57" s="62"/>
      <c r="J57" s="364"/>
      <c r="K57" s="364" t="str">
        <f ca="1">F57&amp;"2komm"</f>
        <v>12komm</v>
      </c>
      <c r="L57" s="607" cm="1">
        <f t="array" ref="L57">AK57</f>
        <v>0</v>
      </c>
      <c r="M57" s="62"/>
      <c r="N57" s="62"/>
      <c r="O57" s="62"/>
      <c r="P57" s="62"/>
      <c r="Q57" s="62"/>
      <c r="R57" s="62"/>
      <c r="S57" s="62"/>
      <c r="T57" s="353" t="b" cm="1">
        <f t="array" ref="T57">T56</f>
        <v>1</v>
      </c>
      <c r="U57" s="62"/>
      <c r="V57" s="62"/>
      <c r="W57" s="62"/>
      <c r="X57" s="964"/>
      <c r="Y57" s="62"/>
      <c r="Z57" s="992"/>
      <c r="AA57" s="62"/>
      <c r="AB57" s="256" t="s">
        <v>454</v>
      </c>
      <c r="AC57" s="246" t="s">
        <v>1232</v>
      </c>
      <c r="AD57" s="9" t="s">
        <v>828</v>
      </c>
      <c r="AE57" s="142"/>
      <c r="AF57" s="142"/>
      <c r="AG57" s="142"/>
      <c r="AH57" s="142"/>
      <c r="AI57" s="142"/>
      <c r="AJ57" s="142"/>
      <c r="AK57" s="217"/>
      <c r="AL57" s="62"/>
      <c r="AM57" s="62"/>
      <c r="AN57" s="678" t="s">
        <v>1233</v>
      </c>
    </row>
    <row r="58" spans="1:40" s="326" customFormat="1" ht="14.25" customHeight="1" x14ac:dyDescent="0.15">
      <c r="A58" s="62"/>
      <c r="C58" s="62"/>
      <c r="D58" s="62"/>
      <c r="E58" s="179">
        <v>15</v>
      </c>
      <c r="F58" s="3" t="str" cm="1">
        <f t="array" aca="1" ref="F58" ca="1">OFFSET(E58,-1,1)</f>
        <v>1</v>
      </c>
      <c r="G58" s="253" t="s">
        <v>1234</v>
      </c>
      <c r="H58" s="42" t="s">
        <v>334</v>
      </c>
      <c r="I58" s="62"/>
      <c r="J58" s="364"/>
      <c r="K58" s="364" t="str">
        <f ca="1">F58&amp;"3komm"</f>
        <v>13komm</v>
      </c>
      <c r="L58" s="607" cm="1">
        <f t="array" ref="L58">AK58</f>
        <v>0</v>
      </c>
      <c r="M58" s="62"/>
      <c r="N58" s="62"/>
      <c r="O58" s="62"/>
      <c r="P58" s="62"/>
      <c r="Q58" s="62"/>
      <c r="R58" s="62"/>
      <c r="S58" s="62"/>
      <c r="T58" s="353" t="b" cm="1">
        <f t="array" ref="T58">T57</f>
        <v>1</v>
      </c>
      <c r="U58" s="62"/>
      <c r="V58" s="62"/>
      <c r="W58" s="62"/>
      <c r="X58" s="964"/>
      <c r="Y58" s="62"/>
      <c r="Z58" s="992"/>
      <c r="AA58" s="62"/>
      <c r="AB58" s="256" t="s">
        <v>460</v>
      </c>
      <c r="AC58" s="246" t="s">
        <v>1235</v>
      </c>
      <c r="AD58" s="9" t="s">
        <v>828</v>
      </c>
      <c r="AE58" s="142"/>
      <c r="AF58" s="142"/>
      <c r="AG58" s="142"/>
      <c r="AH58" s="142"/>
      <c r="AI58" s="142"/>
      <c r="AJ58" s="142"/>
      <c r="AK58" s="217"/>
      <c r="AL58" s="62"/>
      <c r="AM58" s="62"/>
      <c r="AN58" s="678" t="s">
        <v>1236</v>
      </c>
    </row>
    <row r="59" spans="1:40" s="326" customFormat="1" ht="14.25" customHeight="1" x14ac:dyDescent="0.15">
      <c r="A59" s="62"/>
      <c r="C59" s="62"/>
      <c r="D59" s="62"/>
      <c r="E59" s="179">
        <v>15</v>
      </c>
      <c r="F59" s="3" t="str" cm="1">
        <f t="array" aca="1" ref="F59" ca="1">OFFSET(E59,-1,1)</f>
        <v>1</v>
      </c>
      <c r="G59" s="253" t="s">
        <v>1237</v>
      </c>
      <c r="H59" s="42" t="s">
        <v>532</v>
      </c>
      <c r="I59" s="62"/>
      <c r="J59" s="62"/>
      <c r="K59" s="364" t="str">
        <f ca="1">F59&amp;"4komm"</f>
        <v>14komm</v>
      </c>
      <c r="L59" s="607" cm="1">
        <f t="array" ref="L59">AK59</f>
        <v>0</v>
      </c>
      <c r="M59" s="62"/>
      <c r="N59" s="62"/>
      <c r="O59" s="62"/>
      <c r="P59" s="62"/>
      <c r="Q59" s="62"/>
      <c r="R59" s="62"/>
      <c r="S59" s="62"/>
      <c r="T59" s="353" t="b" cm="1">
        <f t="array" ref="T59">T58</f>
        <v>1</v>
      </c>
      <c r="U59" s="62"/>
      <c r="V59" s="62"/>
      <c r="W59" s="62"/>
      <c r="X59" s="964"/>
      <c r="Y59" s="62"/>
      <c r="Z59" s="992"/>
      <c r="AA59" s="62"/>
      <c r="AB59" s="256" t="s">
        <v>536</v>
      </c>
      <c r="AC59" s="246" t="s">
        <v>1238</v>
      </c>
      <c r="AD59" s="9" t="s">
        <v>828</v>
      </c>
      <c r="AE59" s="142"/>
      <c r="AF59" s="142"/>
      <c r="AG59" s="142"/>
      <c r="AH59" s="142"/>
      <c r="AI59" s="142"/>
      <c r="AJ59" s="142"/>
      <c r="AK59" s="217"/>
      <c r="AL59" s="62"/>
      <c r="AM59" s="62"/>
      <c r="AN59" s="678" t="s">
        <v>1239</v>
      </c>
    </row>
    <row r="60" spans="1:40" s="326" customFormat="1" ht="14.25" customHeight="1" x14ac:dyDescent="0.15">
      <c r="A60" s="62"/>
      <c r="C60" s="62"/>
      <c r="D60" s="62"/>
      <c r="E60" s="179">
        <v>15</v>
      </c>
      <c r="F60" s="3" t="str" cm="1">
        <f t="array" aca="1" ref="F60" ca="1">OFFSET(E60,-1,1)</f>
        <v>1</v>
      </c>
      <c r="G60" s="253" t="s">
        <v>1240</v>
      </c>
      <c r="H60" s="42" t="s">
        <v>535</v>
      </c>
      <c r="I60" s="62"/>
      <c r="J60" s="62"/>
      <c r="K60" s="364" t="str">
        <f ca="1">F60&amp;"5komm"</f>
        <v>15komm</v>
      </c>
      <c r="L60" s="607" cm="1">
        <f t="array" ref="L60">AK60</f>
        <v>0</v>
      </c>
      <c r="M60" s="62"/>
      <c r="N60" s="62"/>
      <c r="O60" s="62"/>
      <c r="P60" s="62"/>
      <c r="Q60" s="62"/>
      <c r="R60" s="62"/>
      <c r="S60" s="62"/>
      <c r="T60" s="353" t="b" cm="1">
        <f t="array" ref="T60">T59</f>
        <v>1</v>
      </c>
      <c r="U60" s="62"/>
      <c r="V60" s="62"/>
      <c r="W60" s="62"/>
      <c r="X60" s="964"/>
      <c r="Y60" s="62"/>
      <c r="Z60" s="992"/>
      <c r="AA60" s="62"/>
      <c r="AB60" s="256" t="s">
        <v>602</v>
      </c>
      <c r="AC60" s="246" t="s">
        <v>1241</v>
      </c>
      <c r="AD60" s="9" t="s">
        <v>828</v>
      </c>
      <c r="AE60" s="142"/>
      <c r="AF60" s="142"/>
      <c r="AG60" s="142"/>
      <c r="AH60" s="142"/>
      <c r="AI60" s="142"/>
      <c r="AJ60" s="142"/>
      <c r="AK60" s="217"/>
      <c r="AL60" s="62"/>
      <c r="AM60" s="62"/>
      <c r="AN60" s="678" t="s">
        <v>1242</v>
      </c>
    </row>
    <row r="61" spans="1:40" s="326" customFormat="1" ht="14.25" customHeight="1" x14ac:dyDescent="0.15">
      <c r="A61" s="62"/>
      <c r="C61" s="62"/>
      <c r="D61" s="62"/>
      <c r="E61" s="179">
        <v>15</v>
      </c>
      <c r="F61" s="3" t="str" cm="1">
        <f t="array" aca="1" ref="F61" ca="1">OFFSET(E61,-1,1)</f>
        <v>1</v>
      </c>
      <c r="G61" s="253" t="s">
        <v>1243</v>
      </c>
      <c r="H61" s="42" t="s">
        <v>586</v>
      </c>
      <c r="I61" s="62"/>
      <c r="J61" s="62"/>
      <c r="K61" s="364" t="str">
        <f ca="1">F61&amp;"6komm"</f>
        <v>16komm</v>
      </c>
      <c r="L61" s="607" cm="1">
        <f t="array" ref="L61">AK61</f>
        <v>0</v>
      </c>
      <c r="M61" s="62"/>
      <c r="N61" s="62"/>
      <c r="O61" s="62"/>
      <c r="P61" s="62"/>
      <c r="Q61" s="62"/>
      <c r="R61" s="62"/>
      <c r="S61" s="62"/>
      <c r="T61" s="353" t="b" cm="1">
        <f t="array" ref="T61">T60</f>
        <v>1</v>
      </c>
      <c r="U61" s="62"/>
      <c r="V61" s="62"/>
      <c r="W61" s="62"/>
      <c r="X61" s="964"/>
      <c r="Y61" s="62"/>
      <c r="Z61" s="992"/>
      <c r="AA61" s="62"/>
      <c r="AB61" s="256" t="s">
        <v>610</v>
      </c>
      <c r="AC61" s="246" t="s">
        <v>1244</v>
      </c>
      <c r="AD61" s="9" t="s">
        <v>828</v>
      </c>
      <c r="AE61" s="171">
        <f t="shared" ref="AE61:AJ61" si="5">SUM(AE62:AE64)</f>
        <v>0</v>
      </c>
      <c r="AF61" s="171">
        <f t="shared" si="5"/>
        <v>0</v>
      </c>
      <c r="AG61" s="171">
        <f t="shared" si="5"/>
        <v>0</v>
      </c>
      <c r="AH61" s="171">
        <f t="shared" si="5"/>
        <v>0</v>
      </c>
      <c r="AI61" s="171">
        <f t="shared" si="5"/>
        <v>0</v>
      </c>
      <c r="AJ61" s="171">
        <f t="shared" si="5"/>
        <v>0</v>
      </c>
      <c r="AK61" s="217"/>
      <c r="AL61" s="62"/>
      <c r="AM61" s="62"/>
      <c r="AN61" s="678" t="s">
        <v>394</v>
      </c>
    </row>
    <row r="62" spans="1:40" s="326" customFormat="1" ht="14.25" customHeight="1" x14ac:dyDescent="0.15">
      <c r="A62" s="62"/>
      <c r="C62" s="62"/>
      <c r="D62" s="62"/>
      <c r="E62" s="179">
        <v>15</v>
      </c>
      <c r="F62" s="3" t="str" cm="1">
        <f t="array" aca="1" ref="F62" ca="1">OFFSET(E62,-1,1)</f>
        <v>1</v>
      </c>
      <c r="G62" s="253" t="s">
        <v>1245</v>
      </c>
      <c r="H62" s="42" t="s">
        <v>589</v>
      </c>
      <c r="I62" s="62"/>
      <c r="J62" s="62"/>
      <c r="K62" s="364" t="str">
        <f ca="1">F62&amp;"7komm"</f>
        <v>17komm</v>
      </c>
      <c r="L62" s="607" cm="1">
        <f t="array" ref="L62">AK62</f>
        <v>0</v>
      </c>
      <c r="M62" s="62"/>
      <c r="N62" s="62"/>
      <c r="O62" s="62"/>
      <c r="P62" s="62"/>
      <c r="Q62" s="62"/>
      <c r="R62" s="62"/>
      <c r="S62" s="62"/>
      <c r="T62" s="353" t="b" cm="1">
        <f t="array" ref="T62">T61</f>
        <v>1</v>
      </c>
      <c r="U62" s="62"/>
      <c r="V62" s="62"/>
      <c r="W62" s="62"/>
      <c r="X62" s="964"/>
      <c r="Y62" s="62"/>
      <c r="Z62" s="992"/>
      <c r="AA62" s="62"/>
      <c r="AB62" s="256" t="s">
        <v>614</v>
      </c>
      <c r="AC62" s="127" t="s">
        <v>1246</v>
      </c>
      <c r="AD62" s="9" t="s">
        <v>828</v>
      </c>
      <c r="AE62" s="142"/>
      <c r="AF62" s="142"/>
      <c r="AG62" s="142"/>
      <c r="AH62" s="142"/>
      <c r="AI62" s="142"/>
      <c r="AJ62" s="142"/>
      <c r="AK62" s="217"/>
      <c r="AL62" s="62"/>
      <c r="AM62" s="62"/>
      <c r="AN62" s="678" t="s">
        <v>1247</v>
      </c>
    </row>
    <row r="63" spans="1:40" s="326" customFormat="1" ht="43.5" customHeight="1" x14ac:dyDescent="0.15">
      <c r="A63" s="62"/>
      <c r="C63" s="62"/>
      <c r="D63" s="62"/>
      <c r="E63" s="179">
        <v>45</v>
      </c>
      <c r="F63" s="3" t="str" cm="1">
        <f t="array" aca="1" ref="F63" ca="1">OFFSET(E63,-1,1)</f>
        <v>1</v>
      </c>
      <c r="G63" s="253" t="s">
        <v>1248</v>
      </c>
      <c r="H63" s="42" t="s">
        <v>593</v>
      </c>
      <c r="I63" s="62"/>
      <c r="J63" s="62"/>
      <c r="K63" s="364" t="str">
        <f ca="1">F63&amp;"8komm"</f>
        <v>18komm</v>
      </c>
      <c r="L63" s="607" cm="1">
        <f t="array" ref="L63">AK63</f>
        <v>0</v>
      </c>
      <c r="M63" s="62"/>
      <c r="N63" s="62"/>
      <c r="O63" s="62"/>
      <c r="P63" s="62"/>
      <c r="Q63" s="62"/>
      <c r="R63" s="62"/>
      <c r="S63" s="62"/>
      <c r="T63" s="353" t="b" cm="1">
        <f t="array" ref="T63">T62</f>
        <v>1</v>
      </c>
      <c r="U63" s="62"/>
      <c r="V63" s="62"/>
      <c r="W63" s="62"/>
      <c r="X63" s="964"/>
      <c r="Y63" s="62"/>
      <c r="Z63" s="992"/>
      <c r="AA63" s="62"/>
      <c r="AB63" s="256" t="s">
        <v>631</v>
      </c>
      <c r="AC63" s="127" t="s">
        <v>1249</v>
      </c>
      <c r="AD63" s="9" t="s">
        <v>828</v>
      </c>
      <c r="AE63" s="142"/>
      <c r="AF63" s="142"/>
      <c r="AG63" s="142"/>
      <c r="AH63" s="142"/>
      <c r="AI63" s="142"/>
      <c r="AJ63" s="142"/>
      <c r="AK63" s="217"/>
      <c r="AL63" s="62"/>
      <c r="AM63" s="62"/>
      <c r="AN63" s="678" t="s">
        <v>1250</v>
      </c>
    </row>
    <row r="64" spans="1:40" s="326" customFormat="1" ht="14.25" customHeight="1" x14ac:dyDescent="0.15">
      <c r="A64" s="62"/>
      <c r="C64" s="62"/>
      <c r="D64" s="62"/>
      <c r="E64" s="179">
        <v>15</v>
      </c>
      <c r="F64" s="3" t="str" cm="1">
        <f t="array" aca="1" ref="F64" ca="1">OFFSET(E64,-1,1)</f>
        <v>1</v>
      </c>
      <c r="G64" s="72" t="s">
        <v>1251</v>
      </c>
      <c r="H64" s="42" t="s">
        <v>597</v>
      </c>
      <c r="I64" s="62"/>
      <c r="J64" s="62"/>
      <c r="K64" s="364" t="str">
        <f ca="1">F64&amp;"9komm"</f>
        <v>19komm</v>
      </c>
      <c r="L64" s="607" cm="1">
        <f t="array" ref="L64">AK64</f>
        <v>0</v>
      </c>
      <c r="M64" s="62"/>
      <c r="N64" s="62"/>
      <c r="O64" s="62"/>
      <c r="P64" s="62"/>
      <c r="Q64" s="62"/>
      <c r="R64" s="62"/>
      <c r="S64" s="62"/>
      <c r="T64" s="353" t="b" cm="1">
        <f t="array" ref="T64">T63</f>
        <v>1</v>
      </c>
      <c r="U64" s="62"/>
      <c r="V64" s="62"/>
      <c r="W64" s="62"/>
      <c r="X64" s="964"/>
      <c r="Y64" s="62"/>
      <c r="Z64" s="992"/>
      <c r="AA64" s="62"/>
      <c r="AB64" s="256" t="s">
        <v>643</v>
      </c>
      <c r="AC64" s="127" t="s">
        <v>1252</v>
      </c>
      <c r="AD64" s="9" t="s">
        <v>828</v>
      </c>
      <c r="AE64" s="142"/>
      <c r="AF64" s="142"/>
      <c r="AG64" s="142"/>
      <c r="AH64" s="142"/>
      <c r="AI64" s="142"/>
      <c r="AJ64" s="142"/>
      <c r="AK64" s="217"/>
      <c r="AL64" s="62"/>
      <c r="AM64" s="62"/>
      <c r="AN64" s="678" t="s">
        <v>1253</v>
      </c>
    </row>
    <row r="65" spans="1:40" ht="10.5" customHeight="1" x14ac:dyDescent="0.15">
      <c r="C65" s="62"/>
      <c r="D65" s="62"/>
      <c r="E65" s="179">
        <v>11.25</v>
      </c>
      <c r="F65" s="17" t="str" cm="1">
        <f t="array" ref="F65">X65</f>
        <v>2</v>
      </c>
      <c r="G65" s="62"/>
      <c r="H65" s="62"/>
      <c r="I65" s="62"/>
      <c r="J65" s="62"/>
      <c r="K65" s="62"/>
      <c r="L65" s="62"/>
      <c r="M65" s="62"/>
      <c r="N65" s="62"/>
      <c r="O65" s="62"/>
      <c r="P65" s="62"/>
      <c r="Q65" s="62"/>
      <c r="R65" s="62"/>
      <c r="S65" s="62"/>
      <c r="T65" s="353" t="b">
        <f>X65&gt;0</f>
        <v>1</v>
      </c>
      <c r="U65" s="62"/>
      <c r="V65" s="62" t="str" cm="1">
        <f t="array" ref="V65">ФОТ!$AB$77</f>
        <v>Тариф 2 (Водоотведение) - тариф на водоотведение</v>
      </c>
      <c r="W65" s="62"/>
      <c r="X65" s="964" t="s">
        <v>285</v>
      </c>
      <c r="Y65" s="62"/>
      <c r="Z65" s="992"/>
      <c r="AA65" s="62"/>
      <c r="AB65" s="155" t="str" cm="1">
        <f t="array" ref="AB65">ФОТ!$AB$77</f>
        <v>Тариф 2 (Водоотведение) - тариф на водоотведение</v>
      </c>
      <c r="AC65" s="94"/>
      <c r="AD65" s="94"/>
      <c r="AE65" s="214">
        <f t="shared" ref="AE65:AJ65" ca="1" si="6">AE66+AE67+AE68+AE76+AE77+AE78+AE79+AE80</f>
        <v>0</v>
      </c>
      <c r="AF65" s="214">
        <f t="shared" ca="1" si="6"/>
        <v>0</v>
      </c>
      <c r="AG65" s="214">
        <f t="shared" ca="1" si="6"/>
        <v>0</v>
      </c>
      <c r="AH65" s="214">
        <f t="shared" ca="1" si="6"/>
        <v>0</v>
      </c>
      <c r="AI65" s="214">
        <f t="shared" ca="1" si="6"/>
        <v>0</v>
      </c>
      <c r="AJ65" s="214">
        <f t="shared" ca="1" si="6"/>
        <v>0</v>
      </c>
      <c r="AK65" s="88"/>
      <c r="AL65" s="62"/>
    </row>
    <row r="66" spans="1:40" ht="21.75" customHeight="1" x14ac:dyDescent="0.15">
      <c r="C66" s="62"/>
      <c r="D66" s="62"/>
      <c r="E66" s="179">
        <v>22.5</v>
      </c>
      <c r="F66" s="3" t="str" cm="1">
        <f t="array" aca="1" ref="F66" ca="1">OFFSET(E66,-1,1)</f>
        <v>2</v>
      </c>
      <c r="G66" s="62"/>
      <c r="H66" s="42" t="s">
        <v>331</v>
      </c>
      <c r="I66" s="62"/>
      <c r="J66" s="62"/>
      <c r="K66" s="62"/>
      <c r="L66" s="62"/>
      <c r="M66" s="62"/>
      <c r="N66" s="62"/>
      <c r="O66" s="62"/>
      <c r="P66" s="62"/>
      <c r="Q66" s="62"/>
      <c r="R66" s="62"/>
      <c r="S66" s="62"/>
      <c r="T66" s="353" t="b" cm="1">
        <f t="array" ref="T66">T65</f>
        <v>1</v>
      </c>
      <c r="U66" s="62"/>
      <c r="V66" s="62"/>
      <c r="W66" s="62"/>
      <c r="X66" s="964"/>
      <c r="Y66" s="62"/>
      <c r="Z66" s="992"/>
      <c r="AA66" s="62"/>
      <c r="AB66" s="256">
        <v>1</v>
      </c>
      <c r="AC66" s="246" t="s">
        <v>1186</v>
      </c>
      <c r="AD66" s="9" t="s">
        <v>828</v>
      </c>
      <c r="AE66" s="406">
        <f ca="1">SUMIFS(ФОТ!AE$25:AE$127,ФОТ!$F$25:$F$127,$F66,ФОТ!$AC$25:$AC$127,$AC66)</f>
        <v>0</v>
      </c>
      <c r="AF66" s="406">
        <f ca="1">SUMIFS(ФОТ!AF$25:AF$127,ФОТ!$F$25:$F$127,$F66,ФОТ!$AC$25:$AC$127,$AC66)</f>
        <v>0</v>
      </c>
      <c r="AG66" s="406">
        <f ca="1">SUMIFS(ФОТ!AG$25:AG$127,ФОТ!$F$25:$F$127,$F66,ФОТ!$AC$25:$AC$127,$AC66)</f>
        <v>0</v>
      </c>
      <c r="AH66" s="406">
        <f ca="1">SUMIFS(ФОТ!AH$25:AH$127,ФОТ!$F$25:$F$127,$F66,ФОТ!$AC$25:$AC$127,$AC66)</f>
        <v>0</v>
      </c>
      <c r="AI66" s="406">
        <f ca="1">SUMIFS(ФОТ!AI$25:AI$127,ФОТ!$F$25:$F$127,$F66,ФОТ!$AC$25:$AC$127,$AC66)</f>
        <v>0</v>
      </c>
      <c r="AJ66" s="406">
        <f ca="1">SUMIFS(ФОТ!AJ$25:AJ$127,ФОТ!$F$25:$F$127,$F66,ФОТ!$AC$25:$AC$127,$AC66)</f>
        <v>0</v>
      </c>
      <c r="AK66" s="217"/>
      <c r="AL66" s="62"/>
      <c r="AN66" s="671" t="s">
        <v>1202</v>
      </c>
    </row>
    <row r="67" spans="1:40" ht="21.75" customHeight="1" x14ac:dyDescent="0.15">
      <c r="C67" s="62"/>
      <c r="D67" s="62"/>
      <c r="E67" s="179">
        <v>22.5</v>
      </c>
      <c r="F67" s="3" t="str" cm="1">
        <f t="array" aca="1" ref="F67" ca="1">OFFSET(E67,-1,1)</f>
        <v>2</v>
      </c>
      <c r="G67" s="62"/>
      <c r="H67" s="42" t="s">
        <v>332</v>
      </c>
      <c r="I67" s="62"/>
      <c r="J67" s="364"/>
      <c r="K67" s="364"/>
      <c r="L67" s="364"/>
      <c r="M67" s="62"/>
      <c r="N67" s="62"/>
      <c r="O67" s="62"/>
      <c r="P67" s="62"/>
      <c r="Q67" s="62"/>
      <c r="R67" s="62"/>
      <c r="S67" s="62"/>
      <c r="T67" s="353" t="b" cm="1">
        <f t="array" ref="T67">T66</f>
        <v>1</v>
      </c>
      <c r="U67" s="62"/>
      <c r="V67" s="62"/>
      <c r="W67" s="62"/>
      <c r="X67" s="964"/>
      <c r="Y67" s="62"/>
      <c r="Z67" s="992"/>
      <c r="AA67" s="62"/>
      <c r="AB67" s="256" t="s">
        <v>285</v>
      </c>
      <c r="AC67" s="246" t="s">
        <v>1191</v>
      </c>
      <c r="AD67" s="9" t="s">
        <v>828</v>
      </c>
      <c r="AE67" s="406">
        <f ca="1">SUMIFS(ФОТ!AE$25:AE$127,ФОТ!$F$25:$F$127,$F67,ФОТ!$AC$25:$AC$127,$AC67)</f>
        <v>0</v>
      </c>
      <c r="AF67" s="406">
        <f ca="1">SUMIFS(ФОТ!AF$25:AF$127,ФОТ!$F$25:$F$127,$F67,ФОТ!$AC$25:$AC$127,$AC67)</f>
        <v>0</v>
      </c>
      <c r="AG67" s="406">
        <f ca="1">SUMIFS(ФОТ!AG$25:AG$127,ФОТ!$F$25:$F$127,$F67,ФОТ!$AC$25:$AC$127,$AC67)</f>
        <v>0</v>
      </c>
      <c r="AH67" s="406">
        <f ca="1">SUMIFS(ФОТ!AH$25:AH$127,ФОТ!$F$25:$F$127,$F67,ФОТ!$AC$25:$AC$127,$AC67)</f>
        <v>0</v>
      </c>
      <c r="AI67" s="406">
        <f ca="1">SUMIFS(ФОТ!AI$25:AI$127,ФОТ!$F$25:$F$127,$F67,ФОТ!$AC$25:$AC$127,$AC67)</f>
        <v>0</v>
      </c>
      <c r="AJ67" s="406">
        <f ca="1">SUMIFS(ФОТ!AJ$25:AJ$127,ФОТ!$F$25:$F$127,$F67,ФОТ!$AC$25:$AC$127,$AC67)</f>
        <v>0</v>
      </c>
      <c r="AK67" s="217"/>
      <c r="AL67" s="62"/>
      <c r="AN67" s="671" t="s">
        <v>1192</v>
      </c>
    </row>
    <row r="68" spans="1:40" ht="32.25" customHeight="1" x14ac:dyDescent="0.15">
      <c r="C68" s="62"/>
      <c r="D68" s="62"/>
      <c r="E68" s="179">
        <v>33.75</v>
      </c>
      <c r="F68" s="3" t="str" cm="1">
        <f t="array" aca="1" ref="F68" ca="1">OFFSET(E68,-1,1)</f>
        <v>2</v>
      </c>
      <c r="G68" s="253" t="s">
        <v>1203</v>
      </c>
      <c r="H68" s="42" t="s">
        <v>333</v>
      </c>
      <c r="I68" s="62"/>
      <c r="J68" s="364"/>
      <c r="K68" s="364" t="str">
        <f ca="1">F68&amp;"17komm"</f>
        <v>217komm</v>
      </c>
      <c r="L68" s="607" cm="1">
        <f t="array" ref="L68">AK68</f>
        <v>0</v>
      </c>
      <c r="M68" s="62"/>
      <c r="N68" s="62"/>
      <c r="O68" s="62"/>
      <c r="P68" s="62"/>
      <c r="Q68" s="62"/>
      <c r="R68" s="62"/>
      <c r="S68" s="62"/>
      <c r="T68" s="353" t="b" cm="1">
        <f t="array" ref="T68">T67</f>
        <v>1</v>
      </c>
      <c r="U68" s="62"/>
      <c r="V68" s="62"/>
      <c r="W68" s="62"/>
      <c r="X68" s="964"/>
      <c r="Y68" s="62"/>
      <c r="Z68" s="992"/>
      <c r="AA68" s="62"/>
      <c r="AB68" s="256" t="s">
        <v>291</v>
      </c>
      <c r="AC68" s="246" t="s">
        <v>1204</v>
      </c>
      <c r="AD68" s="9" t="s">
        <v>828</v>
      </c>
      <c r="AE68" s="151">
        <f t="shared" ref="AE68:AJ68" si="7">SUM(AE69:AE75)</f>
        <v>0</v>
      </c>
      <c r="AF68" s="151">
        <f t="shared" si="7"/>
        <v>0</v>
      </c>
      <c r="AG68" s="151">
        <f t="shared" si="7"/>
        <v>0</v>
      </c>
      <c r="AH68" s="151">
        <f t="shared" si="7"/>
        <v>0</v>
      </c>
      <c r="AI68" s="151">
        <f t="shared" si="7"/>
        <v>0</v>
      </c>
      <c r="AJ68" s="151">
        <f t="shared" si="7"/>
        <v>0</v>
      </c>
      <c r="AK68" s="217"/>
      <c r="AL68" s="62"/>
      <c r="AN68" s="671" t="s">
        <v>1205</v>
      </c>
    </row>
    <row r="69" spans="1:40" ht="14.25" customHeight="1" x14ac:dyDescent="0.15">
      <c r="A69"/>
      <c r="B69" s="327"/>
      <c r="C69" s="62"/>
      <c r="D69" s="62"/>
      <c r="E69" s="179">
        <v>15</v>
      </c>
      <c r="F69" s="765" t="str" cm="1">
        <f t="array" aca="1" ref="F69" ca="1">OFFSET(E69,-1,1)</f>
        <v>2</v>
      </c>
      <c r="G69" s="72" t="s">
        <v>1206</v>
      </c>
      <c r="H69" s="42" t="s">
        <v>969</v>
      </c>
      <c r="I69" s="62"/>
      <c r="J69" s="364"/>
      <c r="K69" s="364" t="str">
        <f ca="1">F69&amp;"18komm"</f>
        <v>218komm</v>
      </c>
      <c r="L69" s="607" cm="1">
        <f t="array" ref="L69">AK69</f>
        <v>0</v>
      </c>
      <c r="M69" s="62"/>
      <c r="N69" s="62"/>
      <c r="O69" s="62"/>
      <c r="P69" s="62"/>
      <c r="Q69" s="62"/>
      <c r="R69" s="62"/>
      <c r="S69" s="62"/>
      <c r="T69" s="353" t="b" cm="1">
        <f t="array" ref="T69">T68</f>
        <v>1</v>
      </c>
      <c r="U69" s="62"/>
      <c r="V69" s="62"/>
      <c r="W69" s="62"/>
      <c r="X69" s="964"/>
      <c r="Y69" s="62"/>
      <c r="Z69" s="992"/>
      <c r="AA69" s="62"/>
      <c r="AB69" s="256" t="s">
        <v>575</v>
      </c>
      <c r="AC69" s="127" t="s">
        <v>1207</v>
      </c>
      <c r="AD69" s="9" t="s">
        <v>828</v>
      </c>
      <c r="AE69" s="142"/>
      <c r="AF69" s="142"/>
      <c r="AG69" s="142"/>
      <c r="AH69" s="142"/>
      <c r="AI69" s="142"/>
      <c r="AJ69" s="142"/>
      <c r="AK69" s="217"/>
      <c r="AL69" s="62"/>
      <c r="AM69"/>
      <c r="AN69" s="661" t="s">
        <v>1208</v>
      </c>
    </row>
    <row r="70" spans="1:40" s="326" customFormat="1" ht="14.25" customHeight="1" x14ac:dyDescent="0.15">
      <c r="A70" s="62"/>
      <c r="C70" s="62"/>
      <c r="D70" s="62"/>
      <c r="E70" s="179">
        <v>15</v>
      </c>
      <c r="F70" s="3" t="str" cm="1">
        <f t="array" aca="1" ref="F70" ca="1">OFFSET(E70,-1,1)</f>
        <v>2</v>
      </c>
      <c r="G70" s="72" t="s">
        <v>1209</v>
      </c>
      <c r="H70" s="42" t="s">
        <v>971</v>
      </c>
      <c r="I70" s="62"/>
      <c r="J70" s="364"/>
      <c r="K70" s="364" t="str">
        <f ca="1">F70&amp;"11komm"</f>
        <v>211komm</v>
      </c>
      <c r="L70" s="607" cm="1">
        <f t="array" ref="L70">AK70</f>
        <v>0</v>
      </c>
      <c r="M70" s="62"/>
      <c r="N70" s="62"/>
      <c r="O70" s="62"/>
      <c r="P70" s="62"/>
      <c r="Q70" s="62"/>
      <c r="R70" s="62"/>
      <c r="S70" s="62"/>
      <c r="T70" s="353" t="b" cm="1">
        <f t="array" ref="T70">T69</f>
        <v>1</v>
      </c>
      <c r="U70" s="62"/>
      <c r="V70" s="62"/>
      <c r="W70" s="62"/>
      <c r="X70" s="964"/>
      <c r="Y70" s="62"/>
      <c r="Z70" s="992"/>
      <c r="AA70" s="62"/>
      <c r="AB70" s="256" t="s">
        <v>579</v>
      </c>
      <c r="AC70" s="127" t="s">
        <v>1210</v>
      </c>
      <c r="AD70" s="9" t="s">
        <v>828</v>
      </c>
      <c r="AE70" s="142"/>
      <c r="AF70" s="142"/>
      <c r="AG70" s="142"/>
      <c r="AH70" s="142"/>
      <c r="AI70" s="142"/>
      <c r="AJ70" s="142"/>
      <c r="AK70" s="217"/>
      <c r="AL70" s="62"/>
      <c r="AM70" s="62"/>
      <c r="AN70" s="678" t="s">
        <v>1211</v>
      </c>
    </row>
    <row r="71" spans="1:40" s="326" customFormat="1" ht="14.25" customHeight="1" x14ac:dyDescent="0.15">
      <c r="A71" s="62"/>
      <c r="C71" s="62"/>
      <c r="D71" s="62"/>
      <c r="E71" s="179">
        <v>15</v>
      </c>
      <c r="F71" s="3" t="str" cm="1">
        <f t="array" aca="1" ref="F71" ca="1">OFFSET(E71,-1,1)</f>
        <v>2</v>
      </c>
      <c r="G71" s="72" t="s">
        <v>1212</v>
      </c>
      <c r="H71" s="42" t="s">
        <v>973</v>
      </c>
      <c r="I71" s="62"/>
      <c r="J71" s="364"/>
      <c r="K71" s="364" t="str">
        <f ca="1">F71&amp;"12komm"</f>
        <v>212komm</v>
      </c>
      <c r="L71" s="607" cm="1">
        <f t="array" ref="L71">AK71</f>
        <v>0</v>
      </c>
      <c r="M71" s="62"/>
      <c r="N71" s="62"/>
      <c r="O71" s="62"/>
      <c r="P71" s="62"/>
      <c r="Q71" s="62"/>
      <c r="R71" s="62"/>
      <c r="S71" s="62"/>
      <c r="T71" s="353" t="b" cm="1">
        <f t="array" ref="T71">T70</f>
        <v>1</v>
      </c>
      <c r="U71" s="62"/>
      <c r="V71" s="62"/>
      <c r="W71" s="62"/>
      <c r="X71" s="964"/>
      <c r="Y71" s="62"/>
      <c r="Z71" s="992"/>
      <c r="AA71" s="62"/>
      <c r="AB71" s="256" t="s">
        <v>795</v>
      </c>
      <c r="AC71" s="127" t="s">
        <v>1213</v>
      </c>
      <c r="AD71" s="9" t="s">
        <v>828</v>
      </c>
      <c r="AE71" s="142"/>
      <c r="AF71" s="142"/>
      <c r="AG71" s="142"/>
      <c r="AH71" s="142"/>
      <c r="AI71" s="142"/>
      <c r="AJ71" s="142"/>
      <c r="AK71" s="217"/>
      <c r="AL71" s="62"/>
      <c r="AM71" s="62"/>
      <c r="AN71" s="678" t="s">
        <v>1214</v>
      </c>
    </row>
    <row r="72" spans="1:40" s="326" customFormat="1" ht="14.25" customHeight="1" x14ac:dyDescent="0.15">
      <c r="A72" s="62"/>
      <c r="C72" s="62"/>
      <c r="D72" s="62"/>
      <c r="E72" s="179">
        <v>15</v>
      </c>
      <c r="F72" s="3" t="str" cm="1">
        <f t="array" aca="1" ref="F72" ca="1">OFFSET(E72,-1,1)</f>
        <v>2</v>
      </c>
      <c r="G72" s="72" t="s">
        <v>1215</v>
      </c>
      <c r="H72" s="42" t="s">
        <v>975</v>
      </c>
      <c r="I72" s="62"/>
      <c r="J72" s="364"/>
      <c r="K72" s="364" t="str">
        <f ca="1">F72&amp;"13komm"</f>
        <v>213komm</v>
      </c>
      <c r="L72" s="607" cm="1">
        <f t="array" ref="L72">AK72</f>
        <v>0</v>
      </c>
      <c r="M72" s="62"/>
      <c r="N72" s="62"/>
      <c r="O72" s="62"/>
      <c r="P72" s="62"/>
      <c r="Q72" s="62"/>
      <c r="R72" s="62"/>
      <c r="S72" s="62"/>
      <c r="T72" s="353" t="b" cm="1">
        <f t="array" ref="T72">T71</f>
        <v>1</v>
      </c>
      <c r="U72" s="62"/>
      <c r="V72" s="62"/>
      <c r="W72" s="62"/>
      <c r="X72" s="964"/>
      <c r="Y72" s="62"/>
      <c r="Z72" s="992"/>
      <c r="AA72" s="62"/>
      <c r="AB72" s="256" t="s">
        <v>976</v>
      </c>
      <c r="AC72" s="127" t="s">
        <v>1216</v>
      </c>
      <c r="AD72" s="9" t="s">
        <v>828</v>
      </c>
      <c r="AE72" s="142"/>
      <c r="AF72" s="142"/>
      <c r="AG72" s="142"/>
      <c r="AH72" s="142"/>
      <c r="AI72" s="142"/>
      <c r="AJ72" s="142"/>
      <c r="AK72" s="217"/>
      <c r="AL72" s="62"/>
      <c r="AM72" s="62"/>
      <c r="AN72" s="678" t="s">
        <v>1217</v>
      </c>
    </row>
    <row r="73" spans="1:40" s="326" customFormat="1" ht="14.25" customHeight="1" x14ac:dyDescent="0.15">
      <c r="A73" s="62"/>
      <c r="C73" s="62"/>
      <c r="D73" s="62"/>
      <c r="E73" s="179">
        <v>15</v>
      </c>
      <c r="F73" s="3" t="str" cm="1">
        <f t="array" aca="1" ref="F73" ca="1">OFFSET(E73,-1,1)</f>
        <v>2</v>
      </c>
      <c r="G73" s="72" t="s">
        <v>1218</v>
      </c>
      <c r="H73" s="42" t="s">
        <v>978</v>
      </c>
      <c r="I73" s="62"/>
      <c r="J73" s="364"/>
      <c r="K73" s="364" t="str">
        <f ca="1">F73&amp;"14komm"</f>
        <v>214komm</v>
      </c>
      <c r="L73" s="607" cm="1">
        <f t="array" ref="L73">AK73</f>
        <v>0</v>
      </c>
      <c r="M73" s="62"/>
      <c r="N73" s="62"/>
      <c r="O73" s="62"/>
      <c r="P73" s="62"/>
      <c r="Q73" s="62"/>
      <c r="R73" s="62"/>
      <c r="S73" s="62"/>
      <c r="T73" s="353" t="b" cm="1">
        <f t="array" ref="T73">T72</f>
        <v>1</v>
      </c>
      <c r="U73" s="62"/>
      <c r="V73" s="62"/>
      <c r="W73" s="62"/>
      <c r="X73" s="964"/>
      <c r="Y73" s="62"/>
      <c r="Z73" s="992"/>
      <c r="AA73" s="62"/>
      <c r="AB73" s="256" t="s">
        <v>979</v>
      </c>
      <c r="AC73" s="127" t="s">
        <v>1219</v>
      </c>
      <c r="AD73" s="9" t="s">
        <v>828</v>
      </c>
      <c r="AE73" s="142"/>
      <c r="AF73" s="142"/>
      <c r="AG73" s="142"/>
      <c r="AH73" s="142"/>
      <c r="AI73" s="142"/>
      <c r="AJ73" s="142"/>
      <c r="AK73" s="217"/>
      <c r="AL73" s="62"/>
      <c r="AM73" s="62"/>
      <c r="AN73" s="678" t="s">
        <v>1220</v>
      </c>
    </row>
    <row r="74" spans="1:40" s="326" customFormat="1" ht="14.25" customHeight="1" x14ac:dyDescent="0.15">
      <c r="A74" s="62"/>
      <c r="C74" s="62"/>
      <c r="D74" s="62"/>
      <c r="E74" s="179">
        <v>15</v>
      </c>
      <c r="F74" s="3" t="str" cm="1">
        <f t="array" aca="1" ref="F74" ca="1">OFFSET(E74,-1,1)</f>
        <v>2</v>
      </c>
      <c r="G74" s="72" t="s">
        <v>1221</v>
      </c>
      <c r="H74" s="42" t="s">
        <v>1222</v>
      </c>
      <c r="I74" s="62"/>
      <c r="J74" s="364"/>
      <c r="K74" s="364" t="str">
        <f ca="1">F74&amp;"15komm"</f>
        <v>215komm</v>
      </c>
      <c r="L74" s="607" cm="1">
        <f t="array" ref="L74">AK74</f>
        <v>0</v>
      </c>
      <c r="M74" s="62"/>
      <c r="N74" s="62"/>
      <c r="O74" s="62"/>
      <c r="P74" s="62"/>
      <c r="Q74" s="62"/>
      <c r="R74" s="62"/>
      <c r="S74" s="62"/>
      <c r="T74" s="353" t="b" cm="1">
        <f t="array" ref="T74">T73</f>
        <v>1</v>
      </c>
      <c r="U74" s="62"/>
      <c r="V74" s="62"/>
      <c r="W74" s="62"/>
      <c r="X74" s="964"/>
      <c r="Y74" s="62"/>
      <c r="Z74" s="992"/>
      <c r="AA74" s="62"/>
      <c r="AB74" s="256" t="s">
        <v>1223</v>
      </c>
      <c r="AC74" s="127" t="s">
        <v>1224</v>
      </c>
      <c r="AD74" s="9" t="s">
        <v>828</v>
      </c>
      <c r="AE74" s="142"/>
      <c r="AF74" s="142"/>
      <c r="AG74" s="142"/>
      <c r="AH74" s="142"/>
      <c r="AI74" s="142"/>
      <c r="AJ74" s="142"/>
      <c r="AK74" s="217"/>
      <c r="AL74" s="62"/>
      <c r="AM74" s="62"/>
      <c r="AN74" s="678" t="s">
        <v>1225</v>
      </c>
    </row>
    <row r="75" spans="1:40" s="326" customFormat="1" ht="14.25" customHeight="1" x14ac:dyDescent="0.15">
      <c r="A75" s="62"/>
      <c r="C75" s="62"/>
      <c r="D75" s="62"/>
      <c r="E75" s="179">
        <v>15</v>
      </c>
      <c r="F75" s="3" t="str" cm="1">
        <f t="array" aca="1" ref="F75" ca="1">OFFSET(E75,-1,1)</f>
        <v>2</v>
      </c>
      <c r="G75" s="72" t="s">
        <v>1226</v>
      </c>
      <c r="H75" s="42" t="s">
        <v>1227</v>
      </c>
      <c r="I75" s="62"/>
      <c r="J75" s="364"/>
      <c r="K75" s="364" t="str">
        <f ca="1">F75&amp;"16komm"</f>
        <v>216komm</v>
      </c>
      <c r="L75" s="607" cm="1">
        <f t="array" ref="L75">AK75</f>
        <v>0</v>
      </c>
      <c r="M75" s="62"/>
      <c r="N75" s="62"/>
      <c r="O75" s="62"/>
      <c r="P75" s="62"/>
      <c r="Q75" s="62"/>
      <c r="R75" s="62"/>
      <c r="S75" s="62"/>
      <c r="T75" s="353" t="b" cm="1">
        <f t="array" ref="T75">T74</f>
        <v>1</v>
      </c>
      <c r="U75" s="62"/>
      <c r="V75" s="62"/>
      <c r="W75" s="62"/>
      <c r="X75" s="964"/>
      <c r="Y75" s="62"/>
      <c r="Z75" s="992"/>
      <c r="AA75" s="62"/>
      <c r="AB75" s="256" t="s">
        <v>1228</v>
      </c>
      <c r="AC75" s="127" t="s">
        <v>1229</v>
      </c>
      <c r="AD75" s="9" t="s">
        <v>828</v>
      </c>
      <c r="AE75" s="142"/>
      <c r="AF75" s="142"/>
      <c r="AG75" s="142"/>
      <c r="AH75" s="142"/>
      <c r="AI75" s="142"/>
      <c r="AJ75" s="142"/>
      <c r="AK75" s="217"/>
      <c r="AL75" s="62"/>
      <c r="AM75" s="62"/>
      <c r="AN75" s="678" t="s">
        <v>1230</v>
      </c>
    </row>
    <row r="76" spans="1:40" s="326" customFormat="1" ht="32.25" customHeight="1" x14ac:dyDescent="0.15">
      <c r="A76" s="62"/>
      <c r="C76" s="62"/>
      <c r="D76" s="62"/>
      <c r="E76" s="179">
        <v>33.75</v>
      </c>
      <c r="F76" s="3" t="str" cm="1">
        <f t="array" aca="1" ref="F76" ca="1">OFFSET(E76,-1,1)</f>
        <v>2</v>
      </c>
      <c r="G76" s="253" t="s">
        <v>1231</v>
      </c>
      <c r="H76" s="42" t="s">
        <v>335</v>
      </c>
      <c r="I76" s="62"/>
      <c r="J76" s="364"/>
      <c r="K76" s="364" t="str">
        <f ca="1">F76&amp;"2komm"</f>
        <v>22komm</v>
      </c>
      <c r="L76" s="607" cm="1">
        <f t="array" ref="L76">AK76</f>
        <v>0</v>
      </c>
      <c r="M76" s="62"/>
      <c r="N76" s="62"/>
      <c r="O76" s="62"/>
      <c r="P76" s="62"/>
      <c r="Q76" s="62"/>
      <c r="R76" s="62"/>
      <c r="S76" s="62"/>
      <c r="T76" s="353" t="b" cm="1">
        <f t="array" ref="T76">T75</f>
        <v>1</v>
      </c>
      <c r="U76" s="62"/>
      <c r="V76" s="62"/>
      <c r="W76" s="62"/>
      <c r="X76" s="964"/>
      <c r="Y76" s="62"/>
      <c r="Z76" s="992"/>
      <c r="AA76" s="62"/>
      <c r="AB76" s="256" t="s">
        <v>454</v>
      </c>
      <c r="AC76" s="246" t="s">
        <v>1232</v>
      </c>
      <c r="AD76" s="9" t="s">
        <v>828</v>
      </c>
      <c r="AE76" s="142"/>
      <c r="AF76" s="142"/>
      <c r="AG76" s="142"/>
      <c r="AH76" s="142"/>
      <c r="AI76" s="142"/>
      <c r="AJ76" s="142"/>
      <c r="AK76" s="217"/>
      <c r="AL76" s="62"/>
      <c r="AM76" s="62"/>
      <c r="AN76" s="678" t="s">
        <v>1233</v>
      </c>
    </row>
    <row r="77" spans="1:40" s="326" customFormat="1" ht="14.25" customHeight="1" x14ac:dyDescent="0.15">
      <c r="A77" s="62"/>
      <c r="C77" s="62"/>
      <c r="D77" s="62"/>
      <c r="E77" s="179">
        <v>15</v>
      </c>
      <c r="F77" s="3" t="str" cm="1">
        <f t="array" aca="1" ref="F77" ca="1">OFFSET(E77,-1,1)</f>
        <v>2</v>
      </c>
      <c r="G77" s="253" t="s">
        <v>1234</v>
      </c>
      <c r="H77" s="42" t="s">
        <v>334</v>
      </c>
      <c r="I77" s="62"/>
      <c r="J77" s="364"/>
      <c r="K77" s="364" t="str">
        <f ca="1">F77&amp;"3komm"</f>
        <v>23komm</v>
      </c>
      <c r="L77" s="607" cm="1">
        <f t="array" ref="L77">AK77</f>
        <v>0</v>
      </c>
      <c r="M77" s="62"/>
      <c r="N77" s="62"/>
      <c r="O77" s="62"/>
      <c r="P77" s="62"/>
      <c r="Q77" s="62"/>
      <c r="R77" s="62"/>
      <c r="S77" s="62"/>
      <c r="T77" s="353" t="b" cm="1">
        <f t="array" ref="T77">T76</f>
        <v>1</v>
      </c>
      <c r="U77" s="62"/>
      <c r="V77" s="62"/>
      <c r="W77" s="62"/>
      <c r="X77" s="964"/>
      <c r="Y77" s="62"/>
      <c r="Z77" s="992"/>
      <c r="AA77" s="62"/>
      <c r="AB77" s="256" t="s">
        <v>460</v>
      </c>
      <c r="AC77" s="246" t="s">
        <v>1235</v>
      </c>
      <c r="AD77" s="9" t="s">
        <v>828</v>
      </c>
      <c r="AE77" s="142"/>
      <c r="AF77" s="142"/>
      <c r="AG77" s="142"/>
      <c r="AH77" s="142"/>
      <c r="AI77" s="142"/>
      <c r="AJ77" s="142"/>
      <c r="AK77" s="217"/>
      <c r="AL77" s="62"/>
      <c r="AM77" s="62"/>
      <c r="AN77" s="678" t="s">
        <v>1236</v>
      </c>
    </row>
    <row r="78" spans="1:40" s="326" customFormat="1" ht="14.25" customHeight="1" x14ac:dyDescent="0.15">
      <c r="A78" s="62"/>
      <c r="C78" s="62"/>
      <c r="D78" s="62"/>
      <c r="E78" s="179">
        <v>15</v>
      </c>
      <c r="F78" s="3" t="str" cm="1">
        <f t="array" aca="1" ref="F78" ca="1">OFFSET(E78,-1,1)</f>
        <v>2</v>
      </c>
      <c r="G78" s="253" t="s">
        <v>1237</v>
      </c>
      <c r="H78" s="42" t="s">
        <v>532</v>
      </c>
      <c r="I78" s="62"/>
      <c r="J78" s="62"/>
      <c r="K78" s="364" t="str">
        <f ca="1">F78&amp;"4komm"</f>
        <v>24komm</v>
      </c>
      <c r="L78" s="607" cm="1">
        <f t="array" ref="L78">AK78</f>
        <v>0</v>
      </c>
      <c r="M78" s="62"/>
      <c r="N78" s="62"/>
      <c r="O78" s="62"/>
      <c r="P78" s="62"/>
      <c r="Q78" s="62"/>
      <c r="R78" s="62"/>
      <c r="S78" s="62"/>
      <c r="T78" s="353" t="b" cm="1">
        <f t="array" ref="T78">T77</f>
        <v>1</v>
      </c>
      <c r="U78" s="62"/>
      <c r="V78" s="62"/>
      <c r="W78" s="62"/>
      <c r="X78" s="964"/>
      <c r="Y78" s="62"/>
      <c r="Z78" s="992"/>
      <c r="AA78" s="62"/>
      <c r="AB78" s="256" t="s">
        <v>536</v>
      </c>
      <c r="AC78" s="246" t="s">
        <v>1238</v>
      </c>
      <c r="AD78" s="9" t="s">
        <v>828</v>
      </c>
      <c r="AE78" s="142"/>
      <c r="AF78" s="142"/>
      <c r="AG78" s="142"/>
      <c r="AH78" s="142"/>
      <c r="AI78" s="142"/>
      <c r="AJ78" s="142"/>
      <c r="AK78" s="217"/>
      <c r="AL78" s="62"/>
      <c r="AM78" s="62"/>
      <c r="AN78" s="678" t="s">
        <v>1239</v>
      </c>
    </row>
    <row r="79" spans="1:40" s="326" customFormat="1" ht="14.25" customHeight="1" x14ac:dyDescent="0.15">
      <c r="A79" s="62"/>
      <c r="C79" s="62"/>
      <c r="D79" s="62"/>
      <c r="E79" s="179">
        <v>15</v>
      </c>
      <c r="F79" s="3" t="str" cm="1">
        <f t="array" aca="1" ref="F79" ca="1">OFFSET(E79,-1,1)</f>
        <v>2</v>
      </c>
      <c r="G79" s="253" t="s">
        <v>1240</v>
      </c>
      <c r="H79" s="42" t="s">
        <v>535</v>
      </c>
      <c r="I79" s="62"/>
      <c r="J79" s="62"/>
      <c r="K79" s="364" t="str">
        <f ca="1">F79&amp;"5komm"</f>
        <v>25komm</v>
      </c>
      <c r="L79" s="607" cm="1">
        <f t="array" ref="L79">AK79</f>
        <v>0</v>
      </c>
      <c r="M79" s="62"/>
      <c r="N79" s="62"/>
      <c r="O79" s="62"/>
      <c r="P79" s="62"/>
      <c r="Q79" s="62"/>
      <c r="R79" s="62"/>
      <c r="S79" s="62"/>
      <c r="T79" s="353" t="b" cm="1">
        <f t="array" ref="T79">T78</f>
        <v>1</v>
      </c>
      <c r="U79" s="62"/>
      <c r="V79" s="62"/>
      <c r="W79" s="62"/>
      <c r="X79" s="964"/>
      <c r="Y79" s="62"/>
      <c r="Z79" s="992"/>
      <c r="AA79" s="62"/>
      <c r="AB79" s="256" t="s">
        <v>602</v>
      </c>
      <c r="AC79" s="246" t="s">
        <v>1241</v>
      </c>
      <c r="AD79" s="9" t="s">
        <v>828</v>
      </c>
      <c r="AE79" s="142"/>
      <c r="AF79" s="142"/>
      <c r="AG79" s="142"/>
      <c r="AH79" s="142"/>
      <c r="AI79" s="142"/>
      <c r="AJ79" s="142"/>
      <c r="AK79" s="217"/>
      <c r="AL79" s="62"/>
      <c r="AM79" s="62"/>
      <c r="AN79" s="678" t="s">
        <v>1242</v>
      </c>
    </row>
    <row r="80" spans="1:40" s="326" customFormat="1" ht="14.25" customHeight="1" x14ac:dyDescent="0.15">
      <c r="A80" s="62"/>
      <c r="C80" s="62"/>
      <c r="D80" s="62"/>
      <c r="E80" s="179">
        <v>15</v>
      </c>
      <c r="F80" s="3" t="str" cm="1">
        <f t="array" aca="1" ref="F80" ca="1">OFFSET(E80,-1,1)</f>
        <v>2</v>
      </c>
      <c r="G80" s="253" t="s">
        <v>1243</v>
      </c>
      <c r="H80" s="42" t="s">
        <v>586</v>
      </c>
      <c r="I80" s="62"/>
      <c r="J80" s="62"/>
      <c r="K80" s="364" t="str">
        <f ca="1">F80&amp;"6komm"</f>
        <v>26komm</v>
      </c>
      <c r="L80" s="607" cm="1">
        <f t="array" ref="L80">AK80</f>
        <v>0</v>
      </c>
      <c r="M80" s="62"/>
      <c r="N80" s="62"/>
      <c r="O80" s="62"/>
      <c r="P80" s="62"/>
      <c r="Q80" s="62"/>
      <c r="R80" s="62"/>
      <c r="S80" s="62"/>
      <c r="T80" s="353" t="b" cm="1">
        <f t="array" ref="T80">T79</f>
        <v>1</v>
      </c>
      <c r="U80" s="62"/>
      <c r="V80" s="62"/>
      <c r="W80" s="62"/>
      <c r="X80" s="964"/>
      <c r="Y80" s="62"/>
      <c r="Z80" s="992"/>
      <c r="AA80" s="62"/>
      <c r="AB80" s="256" t="s">
        <v>610</v>
      </c>
      <c r="AC80" s="246" t="s">
        <v>1244</v>
      </c>
      <c r="AD80" s="9" t="s">
        <v>828</v>
      </c>
      <c r="AE80" s="171">
        <f t="shared" ref="AE80:AJ80" si="8">SUM(AE81:AE83)</f>
        <v>0</v>
      </c>
      <c r="AF80" s="171">
        <f t="shared" si="8"/>
        <v>0</v>
      </c>
      <c r="AG80" s="171">
        <f t="shared" si="8"/>
        <v>0</v>
      </c>
      <c r="AH80" s="171">
        <f t="shared" si="8"/>
        <v>0</v>
      </c>
      <c r="AI80" s="171">
        <f t="shared" si="8"/>
        <v>0</v>
      </c>
      <c r="AJ80" s="171">
        <f t="shared" si="8"/>
        <v>0</v>
      </c>
      <c r="AK80" s="217"/>
      <c r="AL80" s="62"/>
      <c r="AM80" s="62"/>
      <c r="AN80" s="678" t="s">
        <v>394</v>
      </c>
    </row>
    <row r="81" spans="1:40" s="326" customFormat="1" ht="14.25" customHeight="1" x14ac:dyDescent="0.15">
      <c r="A81" s="62"/>
      <c r="C81" s="62"/>
      <c r="D81" s="62"/>
      <c r="E81" s="179">
        <v>15</v>
      </c>
      <c r="F81" s="3" t="str" cm="1">
        <f t="array" aca="1" ref="F81" ca="1">OFFSET(E81,-1,1)</f>
        <v>2</v>
      </c>
      <c r="G81" s="253" t="s">
        <v>1245</v>
      </c>
      <c r="H81" s="42" t="s">
        <v>589</v>
      </c>
      <c r="I81" s="62"/>
      <c r="J81" s="62"/>
      <c r="K81" s="364" t="str">
        <f ca="1">F81&amp;"7komm"</f>
        <v>27komm</v>
      </c>
      <c r="L81" s="607" cm="1">
        <f t="array" ref="L81">AK81</f>
        <v>0</v>
      </c>
      <c r="M81" s="62"/>
      <c r="N81" s="62"/>
      <c r="O81" s="62"/>
      <c r="P81" s="62"/>
      <c r="Q81" s="62"/>
      <c r="R81" s="62"/>
      <c r="S81" s="62"/>
      <c r="T81" s="353" t="b" cm="1">
        <f t="array" ref="T81">T80</f>
        <v>1</v>
      </c>
      <c r="U81" s="62"/>
      <c r="V81" s="62"/>
      <c r="W81" s="62"/>
      <c r="X81" s="964"/>
      <c r="Y81" s="62"/>
      <c r="Z81" s="992"/>
      <c r="AA81" s="62"/>
      <c r="AB81" s="256" t="s">
        <v>614</v>
      </c>
      <c r="AC81" s="127" t="s">
        <v>1246</v>
      </c>
      <c r="AD81" s="9" t="s">
        <v>828</v>
      </c>
      <c r="AE81" s="142"/>
      <c r="AF81" s="142"/>
      <c r="AG81" s="142"/>
      <c r="AH81" s="142"/>
      <c r="AI81" s="142"/>
      <c r="AJ81" s="142"/>
      <c r="AK81" s="217"/>
      <c r="AL81" s="62"/>
      <c r="AM81" s="62"/>
      <c r="AN81" s="678" t="s">
        <v>1247</v>
      </c>
    </row>
    <row r="82" spans="1:40" s="326" customFormat="1" ht="43.5" customHeight="1" x14ac:dyDescent="0.15">
      <c r="A82" s="62"/>
      <c r="C82" s="62"/>
      <c r="D82" s="62"/>
      <c r="E82" s="179">
        <v>45</v>
      </c>
      <c r="F82" s="3" t="str" cm="1">
        <f t="array" aca="1" ref="F82" ca="1">OFFSET(E82,-1,1)</f>
        <v>2</v>
      </c>
      <c r="G82" s="253" t="s">
        <v>1248</v>
      </c>
      <c r="H82" s="42" t="s">
        <v>593</v>
      </c>
      <c r="I82" s="62"/>
      <c r="J82" s="62"/>
      <c r="K82" s="364" t="str">
        <f ca="1">F82&amp;"8komm"</f>
        <v>28komm</v>
      </c>
      <c r="L82" s="607" cm="1">
        <f t="array" ref="L82">AK82</f>
        <v>0</v>
      </c>
      <c r="M82" s="62"/>
      <c r="N82" s="62"/>
      <c r="O82" s="62"/>
      <c r="P82" s="62"/>
      <c r="Q82" s="62"/>
      <c r="R82" s="62"/>
      <c r="S82" s="62"/>
      <c r="T82" s="353" t="b" cm="1">
        <f t="array" ref="T82">T81</f>
        <v>1</v>
      </c>
      <c r="U82" s="62"/>
      <c r="V82" s="62"/>
      <c r="W82" s="62"/>
      <c r="X82" s="964"/>
      <c r="Y82" s="62"/>
      <c r="Z82" s="992"/>
      <c r="AA82" s="62"/>
      <c r="AB82" s="256" t="s">
        <v>631</v>
      </c>
      <c r="AC82" s="127" t="s">
        <v>1249</v>
      </c>
      <c r="AD82" s="9" t="s">
        <v>828</v>
      </c>
      <c r="AE82" s="142"/>
      <c r="AF82" s="142"/>
      <c r="AG82" s="142"/>
      <c r="AH82" s="142"/>
      <c r="AI82" s="142"/>
      <c r="AJ82" s="142"/>
      <c r="AK82" s="217"/>
      <c r="AL82" s="62"/>
      <c r="AM82" s="62"/>
      <c r="AN82" s="678" t="s">
        <v>1250</v>
      </c>
    </row>
    <row r="83" spans="1:40" s="326" customFormat="1" ht="14.25" customHeight="1" x14ac:dyDescent="0.15">
      <c r="A83" s="62"/>
      <c r="C83" s="62"/>
      <c r="D83" s="62"/>
      <c r="E83" s="179">
        <v>15</v>
      </c>
      <c r="F83" s="3" t="str" cm="1">
        <f t="array" aca="1" ref="F83" ca="1">OFFSET(E83,-1,1)</f>
        <v>2</v>
      </c>
      <c r="G83" s="72" t="s">
        <v>1251</v>
      </c>
      <c r="H83" s="42" t="s">
        <v>597</v>
      </c>
      <c r="I83" s="62"/>
      <c r="J83" s="62"/>
      <c r="K83" s="364" t="str">
        <f ca="1">F83&amp;"9komm"</f>
        <v>29komm</v>
      </c>
      <c r="L83" s="607" cm="1">
        <f t="array" ref="L83">AK83</f>
        <v>0</v>
      </c>
      <c r="M83" s="62"/>
      <c r="N83" s="62"/>
      <c r="O83" s="62"/>
      <c r="P83" s="62"/>
      <c r="Q83" s="62"/>
      <c r="R83" s="62"/>
      <c r="S83" s="62"/>
      <c r="T83" s="353" t="b" cm="1">
        <f t="array" ref="T83">T82</f>
        <v>1</v>
      </c>
      <c r="U83" s="62"/>
      <c r="V83" s="62"/>
      <c r="W83" s="62"/>
      <c r="X83" s="964"/>
      <c r="Y83" s="62"/>
      <c r="Z83" s="992"/>
      <c r="AA83" s="62"/>
      <c r="AB83" s="256" t="s">
        <v>643</v>
      </c>
      <c r="AC83" s="127" t="s">
        <v>1252</v>
      </c>
      <c r="AD83" s="9" t="s">
        <v>828</v>
      </c>
      <c r="AE83" s="142"/>
      <c r="AF83" s="142"/>
      <c r="AG83" s="142"/>
      <c r="AH83" s="142"/>
      <c r="AI83" s="142"/>
      <c r="AJ83" s="142"/>
      <c r="AK83" s="217"/>
      <c r="AL83" s="62"/>
      <c r="AM83" s="62"/>
      <c r="AN83" s="678" t="s">
        <v>1253</v>
      </c>
    </row>
    <row r="84" spans="1:40" ht="10.5" customHeight="1" x14ac:dyDescent="0.15">
      <c r="C84" s="62"/>
      <c r="D84" s="62"/>
      <c r="E84" s="179">
        <v>11.25</v>
      </c>
      <c r="F84" s="17" t="str" cm="1">
        <f t="array" ref="F84">X84</f>
        <v>3</v>
      </c>
      <c r="G84" s="62"/>
      <c r="H84" s="62"/>
      <c r="I84" s="62"/>
      <c r="J84" s="62"/>
      <c r="K84" s="62"/>
      <c r="L84" s="62"/>
      <c r="M84" s="62"/>
      <c r="N84" s="62"/>
      <c r="O84" s="62"/>
      <c r="P84" s="62"/>
      <c r="Q84" s="62"/>
      <c r="R84" s="62"/>
      <c r="S84" s="62"/>
      <c r="T84" s="353" t="b">
        <f>X84&gt;0</f>
        <v>1</v>
      </c>
      <c r="U84" s="62"/>
      <c r="V84" s="62" t="str" cm="1">
        <f t="array" ref="V84">ФОТ!$AB$102</f>
        <v>Тариф 3 (Водоотведение) - тариф на транспортировку сточных вод</v>
      </c>
      <c r="W84" s="62"/>
      <c r="X84" s="964" t="s">
        <v>291</v>
      </c>
      <c r="Y84" s="62"/>
      <c r="Z84" s="992"/>
      <c r="AA84" s="62"/>
      <c r="AB84" s="155" t="str" cm="1">
        <f t="array" ref="AB84">ФОТ!$AB$102</f>
        <v>Тариф 3 (Водоотведение) - тариф на транспортировку сточных вод</v>
      </c>
      <c r="AC84" s="94"/>
      <c r="AD84" s="94"/>
      <c r="AE84" s="214">
        <f t="shared" ref="AE84:AJ84" ca="1" si="9">AE85+AE86+AE87+AE95+AE96+AE97+AE98+AE99</f>
        <v>0</v>
      </c>
      <c r="AF84" s="214">
        <f t="shared" ca="1" si="9"/>
        <v>0</v>
      </c>
      <c r="AG84" s="214">
        <f t="shared" ca="1" si="9"/>
        <v>0</v>
      </c>
      <c r="AH84" s="214">
        <f t="shared" ca="1" si="9"/>
        <v>0</v>
      </c>
      <c r="AI84" s="214">
        <f t="shared" ca="1" si="9"/>
        <v>0</v>
      </c>
      <c r="AJ84" s="214">
        <f t="shared" ca="1" si="9"/>
        <v>0</v>
      </c>
      <c r="AK84" s="88"/>
      <c r="AL84" s="62"/>
    </row>
    <row r="85" spans="1:40" ht="21.75" customHeight="1" x14ac:dyDescent="0.15">
      <c r="C85" s="62"/>
      <c r="D85" s="62"/>
      <c r="E85" s="179">
        <v>22.5</v>
      </c>
      <c r="F85" s="3" t="str" cm="1">
        <f t="array" aca="1" ref="F85" ca="1">OFFSET(E85,-1,1)</f>
        <v>3</v>
      </c>
      <c r="G85" s="62"/>
      <c r="H85" s="42" t="s">
        <v>331</v>
      </c>
      <c r="I85" s="62"/>
      <c r="J85" s="62"/>
      <c r="K85" s="62"/>
      <c r="L85" s="62"/>
      <c r="M85" s="62"/>
      <c r="N85" s="62"/>
      <c r="O85" s="62"/>
      <c r="P85" s="62"/>
      <c r="Q85" s="62"/>
      <c r="R85" s="62"/>
      <c r="S85" s="62"/>
      <c r="T85" s="353" t="b" cm="1">
        <f t="array" ref="T85">T84</f>
        <v>1</v>
      </c>
      <c r="U85" s="62"/>
      <c r="V85" s="62"/>
      <c r="W85" s="62"/>
      <c r="X85" s="964"/>
      <c r="Y85" s="62"/>
      <c r="Z85" s="992"/>
      <c r="AA85" s="62"/>
      <c r="AB85" s="256">
        <v>1</v>
      </c>
      <c r="AC85" s="246" t="s">
        <v>1186</v>
      </c>
      <c r="AD85" s="9" t="s">
        <v>828</v>
      </c>
      <c r="AE85" s="406">
        <f ca="1">SUMIFS(ФОТ!AE$25:AE$127,ФОТ!$F$25:$F$127,$F85,ФОТ!$AC$25:$AC$127,$AC85)</f>
        <v>0</v>
      </c>
      <c r="AF85" s="406">
        <f ca="1">SUMIFS(ФОТ!AF$25:AF$127,ФОТ!$F$25:$F$127,$F85,ФОТ!$AC$25:$AC$127,$AC85)</f>
        <v>0</v>
      </c>
      <c r="AG85" s="406">
        <f ca="1">SUMIFS(ФОТ!AG$25:AG$127,ФОТ!$F$25:$F$127,$F85,ФОТ!$AC$25:$AC$127,$AC85)</f>
        <v>0</v>
      </c>
      <c r="AH85" s="406">
        <f ca="1">SUMIFS(ФОТ!AH$25:AH$127,ФОТ!$F$25:$F$127,$F85,ФОТ!$AC$25:$AC$127,$AC85)</f>
        <v>0</v>
      </c>
      <c r="AI85" s="406">
        <f ca="1">SUMIFS(ФОТ!AI$25:AI$127,ФОТ!$F$25:$F$127,$F85,ФОТ!$AC$25:$AC$127,$AC85)</f>
        <v>0</v>
      </c>
      <c r="AJ85" s="406">
        <f ca="1">SUMIFS(ФОТ!AJ$25:AJ$127,ФОТ!$F$25:$F$127,$F85,ФОТ!$AC$25:$AC$127,$AC85)</f>
        <v>0</v>
      </c>
      <c r="AK85" s="217"/>
      <c r="AL85" s="62"/>
      <c r="AN85" s="671" t="s">
        <v>1202</v>
      </c>
    </row>
    <row r="86" spans="1:40" ht="21.75" customHeight="1" x14ac:dyDescent="0.15">
      <c r="C86" s="62"/>
      <c r="D86" s="62"/>
      <c r="E86" s="179">
        <v>22.5</v>
      </c>
      <c r="F86" s="3" t="str" cm="1">
        <f t="array" aca="1" ref="F86" ca="1">OFFSET(E86,-1,1)</f>
        <v>3</v>
      </c>
      <c r="G86" s="62"/>
      <c r="H86" s="42" t="s">
        <v>332</v>
      </c>
      <c r="I86" s="62"/>
      <c r="J86" s="364"/>
      <c r="K86" s="364"/>
      <c r="L86" s="364"/>
      <c r="M86" s="62"/>
      <c r="N86" s="62"/>
      <c r="O86" s="62"/>
      <c r="P86" s="62"/>
      <c r="Q86" s="62"/>
      <c r="R86" s="62"/>
      <c r="S86" s="62"/>
      <c r="T86" s="353" t="b" cm="1">
        <f t="array" ref="T86">T85</f>
        <v>1</v>
      </c>
      <c r="U86" s="62"/>
      <c r="V86" s="62"/>
      <c r="W86" s="62"/>
      <c r="X86" s="964"/>
      <c r="Y86" s="62"/>
      <c r="Z86" s="992"/>
      <c r="AA86" s="62"/>
      <c r="AB86" s="256" t="s">
        <v>285</v>
      </c>
      <c r="AC86" s="246" t="s">
        <v>1191</v>
      </c>
      <c r="AD86" s="9" t="s">
        <v>828</v>
      </c>
      <c r="AE86" s="406">
        <f ca="1">SUMIFS(ФОТ!AE$25:AE$127,ФОТ!$F$25:$F$127,$F86,ФОТ!$AC$25:$AC$127,$AC86)</f>
        <v>0</v>
      </c>
      <c r="AF86" s="406">
        <f ca="1">SUMIFS(ФОТ!AF$25:AF$127,ФОТ!$F$25:$F$127,$F86,ФОТ!$AC$25:$AC$127,$AC86)</f>
        <v>0</v>
      </c>
      <c r="AG86" s="406">
        <f ca="1">SUMIFS(ФОТ!AG$25:AG$127,ФОТ!$F$25:$F$127,$F86,ФОТ!$AC$25:$AC$127,$AC86)</f>
        <v>0</v>
      </c>
      <c r="AH86" s="406">
        <f ca="1">SUMIFS(ФОТ!AH$25:AH$127,ФОТ!$F$25:$F$127,$F86,ФОТ!$AC$25:$AC$127,$AC86)</f>
        <v>0</v>
      </c>
      <c r="AI86" s="406">
        <f ca="1">SUMIFS(ФОТ!AI$25:AI$127,ФОТ!$F$25:$F$127,$F86,ФОТ!$AC$25:$AC$127,$AC86)</f>
        <v>0</v>
      </c>
      <c r="AJ86" s="406">
        <f ca="1">SUMIFS(ФОТ!AJ$25:AJ$127,ФОТ!$F$25:$F$127,$F86,ФОТ!$AC$25:$AC$127,$AC86)</f>
        <v>0</v>
      </c>
      <c r="AK86" s="217"/>
      <c r="AL86" s="62"/>
      <c r="AN86" s="671" t="s">
        <v>1192</v>
      </c>
    </row>
    <row r="87" spans="1:40" ht="32.25" customHeight="1" x14ac:dyDescent="0.15">
      <c r="C87" s="62"/>
      <c r="D87" s="62"/>
      <c r="E87" s="179">
        <v>33.75</v>
      </c>
      <c r="F87" s="3" t="str" cm="1">
        <f t="array" aca="1" ref="F87" ca="1">OFFSET(E87,-1,1)</f>
        <v>3</v>
      </c>
      <c r="G87" s="253" t="s">
        <v>1203</v>
      </c>
      <c r="H87" s="42" t="s">
        <v>333</v>
      </c>
      <c r="I87" s="62"/>
      <c r="J87" s="364"/>
      <c r="K87" s="364" t="str">
        <f ca="1">F87&amp;"17komm"</f>
        <v>317komm</v>
      </c>
      <c r="L87" s="607" cm="1">
        <f t="array" ref="L87">AK87</f>
        <v>0</v>
      </c>
      <c r="M87" s="62"/>
      <c r="N87" s="62"/>
      <c r="O87" s="62"/>
      <c r="P87" s="62"/>
      <c r="Q87" s="62"/>
      <c r="R87" s="62"/>
      <c r="S87" s="62"/>
      <c r="T87" s="353" t="b" cm="1">
        <f t="array" ref="T87">T86</f>
        <v>1</v>
      </c>
      <c r="U87" s="62"/>
      <c r="V87" s="62"/>
      <c r="W87" s="62"/>
      <c r="X87" s="964"/>
      <c r="Y87" s="62"/>
      <c r="Z87" s="992"/>
      <c r="AA87" s="62"/>
      <c r="AB87" s="256" t="s">
        <v>291</v>
      </c>
      <c r="AC87" s="246" t="s">
        <v>1204</v>
      </c>
      <c r="AD87" s="9" t="s">
        <v>828</v>
      </c>
      <c r="AE87" s="151">
        <f t="shared" ref="AE87:AJ87" si="10">SUM(AE88:AE94)</f>
        <v>0</v>
      </c>
      <c r="AF87" s="151">
        <f t="shared" si="10"/>
        <v>0</v>
      </c>
      <c r="AG87" s="151">
        <f t="shared" si="10"/>
        <v>0</v>
      </c>
      <c r="AH87" s="151">
        <f t="shared" si="10"/>
        <v>0</v>
      </c>
      <c r="AI87" s="151">
        <f t="shared" si="10"/>
        <v>0</v>
      </c>
      <c r="AJ87" s="151">
        <f t="shared" si="10"/>
        <v>0</v>
      </c>
      <c r="AK87" s="217"/>
      <c r="AL87" s="62"/>
      <c r="AN87" s="671" t="s">
        <v>1205</v>
      </c>
    </row>
    <row r="88" spans="1:40" ht="14.25" customHeight="1" x14ac:dyDescent="0.15">
      <c r="A88"/>
      <c r="B88" s="327"/>
      <c r="C88" s="62"/>
      <c r="D88" s="62"/>
      <c r="E88" s="179">
        <v>15</v>
      </c>
      <c r="F88" s="765" t="str" cm="1">
        <f t="array" aca="1" ref="F88" ca="1">OFFSET(E88,-1,1)</f>
        <v>3</v>
      </c>
      <c r="G88" s="72" t="s">
        <v>1206</v>
      </c>
      <c r="H88" s="42" t="s">
        <v>969</v>
      </c>
      <c r="I88" s="62"/>
      <c r="J88" s="364"/>
      <c r="K88" s="364" t="str">
        <f ca="1">F88&amp;"18komm"</f>
        <v>318komm</v>
      </c>
      <c r="L88" s="607" cm="1">
        <f t="array" ref="L88">AK88</f>
        <v>0</v>
      </c>
      <c r="M88" s="62"/>
      <c r="N88" s="62"/>
      <c r="O88" s="62"/>
      <c r="P88" s="62"/>
      <c r="Q88" s="62"/>
      <c r="R88" s="62"/>
      <c r="S88" s="62"/>
      <c r="T88" s="353" t="b" cm="1">
        <f t="array" ref="T88">T87</f>
        <v>1</v>
      </c>
      <c r="U88" s="62"/>
      <c r="V88" s="62"/>
      <c r="W88" s="62"/>
      <c r="X88" s="964"/>
      <c r="Y88" s="62"/>
      <c r="Z88" s="992"/>
      <c r="AA88" s="62"/>
      <c r="AB88" s="256" t="s">
        <v>575</v>
      </c>
      <c r="AC88" s="127" t="s">
        <v>1207</v>
      </c>
      <c r="AD88" s="9" t="s">
        <v>828</v>
      </c>
      <c r="AE88" s="142"/>
      <c r="AF88" s="142"/>
      <c r="AG88" s="142"/>
      <c r="AH88" s="142"/>
      <c r="AI88" s="142"/>
      <c r="AJ88" s="142"/>
      <c r="AK88" s="217"/>
      <c r="AL88" s="62"/>
      <c r="AM88"/>
      <c r="AN88" s="661" t="s">
        <v>1208</v>
      </c>
    </row>
    <row r="89" spans="1:40" s="326" customFormat="1" ht="14.25" customHeight="1" x14ac:dyDescent="0.15">
      <c r="A89" s="62"/>
      <c r="C89" s="62"/>
      <c r="D89" s="62"/>
      <c r="E89" s="179">
        <v>15</v>
      </c>
      <c r="F89" s="3" t="str" cm="1">
        <f t="array" aca="1" ref="F89" ca="1">OFFSET(E89,-1,1)</f>
        <v>3</v>
      </c>
      <c r="G89" s="72" t="s">
        <v>1209</v>
      </c>
      <c r="H89" s="42" t="s">
        <v>971</v>
      </c>
      <c r="I89" s="62"/>
      <c r="J89" s="364"/>
      <c r="K89" s="364" t="str">
        <f ca="1">F89&amp;"11komm"</f>
        <v>311komm</v>
      </c>
      <c r="L89" s="607" cm="1">
        <f t="array" ref="L89">AK89</f>
        <v>0</v>
      </c>
      <c r="M89" s="62"/>
      <c r="N89" s="62"/>
      <c r="O89" s="62"/>
      <c r="P89" s="62"/>
      <c r="Q89" s="62"/>
      <c r="R89" s="62"/>
      <c r="S89" s="62"/>
      <c r="T89" s="353" t="b" cm="1">
        <f t="array" ref="T89">T88</f>
        <v>1</v>
      </c>
      <c r="U89" s="62"/>
      <c r="V89" s="62"/>
      <c r="W89" s="62"/>
      <c r="X89" s="964"/>
      <c r="Y89" s="62"/>
      <c r="Z89" s="992"/>
      <c r="AA89" s="62"/>
      <c r="AB89" s="256" t="s">
        <v>579</v>
      </c>
      <c r="AC89" s="127" t="s">
        <v>1210</v>
      </c>
      <c r="AD89" s="9" t="s">
        <v>828</v>
      </c>
      <c r="AE89" s="142"/>
      <c r="AF89" s="142"/>
      <c r="AG89" s="142"/>
      <c r="AH89" s="142"/>
      <c r="AI89" s="142"/>
      <c r="AJ89" s="142"/>
      <c r="AK89" s="217"/>
      <c r="AL89" s="62"/>
      <c r="AM89" s="62"/>
      <c r="AN89" s="678" t="s">
        <v>1211</v>
      </c>
    </row>
    <row r="90" spans="1:40" s="326" customFormat="1" ht="14.25" customHeight="1" x14ac:dyDescent="0.15">
      <c r="A90" s="62"/>
      <c r="C90" s="62"/>
      <c r="D90" s="62"/>
      <c r="E90" s="179">
        <v>15</v>
      </c>
      <c r="F90" s="3" t="str" cm="1">
        <f t="array" aca="1" ref="F90" ca="1">OFFSET(E90,-1,1)</f>
        <v>3</v>
      </c>
      <c r="G90" s="72" t="s">
        <v>1212</v>
      </c>
      <c r="H90" s="42" t="s">
        <v>973</v>
      </c>
      <c r="I90" s="62"/>
      <c r="J90" s="364"/>
      <c r="K90" s="364" t="str">
        <f ca="1">F90&amp;"12komm"</f>
        <v>312komm</v>
      </c>
      <c r="L90" s="607" cm="1">
        <f t="array" ref="L90">AK90</f>
        <v>0</v>
      </c>
      <c r="M90" s="62"/>
      <c r="N90" s="62"/>
      <c r="O90" s="62"/>
      <c r="P90" s="62"/>
      <c r="Q90" s="62"/>
      <c r="R90" s="62"/>
      <c r="S90" s="62"/>
      <c r="T90" s="353" t="b" cm="1">
        <f t="array" ref="T90">T89</f>
        <v>1</v>
      </c>
      <c r="U90" s="62"/>
      <c r="V90" s="62"/>
      <c r="W90" s="62"/>
      <c r="X90" s="964"/>
      <c r="Y90" s="62"/>
      <c r="Z90" s="992"/>
      <c r="AA90" s="62"/>
      <c r="AB90" s="256" t="s">
        <v>795</v>
      </c>
      <c r="AC90" s="127" t="s">
        <v>1213</v>
      </c>
      <c r="AD90" s="9" t="s">
        <v>828</v>
      </c>
      <c r="AE90" s="142"/>
      <c r="AF90" s="142"/>
      <c r="AG90" s="142"/>
      <c r="AH90" s="142"/>
      <c r="AI90" s="142"/>
      <c r="AJ90" s="142"/>
      <c r="AK90" s="217"/>
      <c r="AL90" s="62"/>
      <c r="AM90" s="62"/>
      <c r="AN90" s="678" t="s">
        <v>1214</v>
      </c>
    </row>
    <row r="91" spans="1:40" s="326" customFormat="1" ht="14.25" customHeight="1" x14ac:dyDescent="0.15">
      <c r="A91" s="62"/>
      <c r="C91" s="62"/>
      <c r="D91" s="62"/>
      <c r="E91" s="179">
        <v>15</v>
      </c>
      <c r="F91" s="3" t="str" cm="1">
        <f t="array" aca="1" ref="F91" ca="1">OFFSET(E91,-1,1)</f>
        <v>3</v>
      </c>
      <c r="G91" s="72" t="s">
        <v>1215</v>
      </c>
      <c r="H91" s="42" t="s">
        <v>975</v>
      </c>
      <c r="I91" s="62"/>
      <c r="J91" s="364"/>
      <c r="K91" s="364" t="str">
        <f ca="1">F91&amp;"13komm"</f>
        <v>313komm</v>
      </c>
      <c r="L91" s="607" cm="1">
        <f t="array" ref="L91">AK91</f>
        <v>0</v>
      </c>
      <c r="M91" s="62"/>
      <c r="N91" s="62"/>
      <c r="O91" s="62"/>
      <c r="P91" s="62"/>
      <c r="Q91" s="62"/>
      <c r="R91" s="62"/>
      <c r="S91" s="62"/>
      <c r="T91" s="353" t="b" cm="1">
        <f t="array" ref="T91">T90</f>
        <v>1</v>
      </c>
      <c r="U91" s="62"/>
      <c r="V91" s="62"/>
      <c r="W91" s="62"/>
      <c r="X91" s="964"/>
      <c r="Y91" s="62"/>
      <c r="Z91" s="992"/>
      <c r="AA91" s="62"/>
      <c r="AB91" s="256" t="s">
        <v>976</v>
      </c>
      <c r="AC91" s="127" t="s">
        <v>1216</v>
      </c>
      <c r="AD91" s="9" t="s">
        <v>828</v>
      </c>
      <c r="AE91" s="142"/>
      <c r="AF91" s="142"/>
      <c r="AG91" s="142"/>
      <c r="AH91" s="142"/>
      <c r="AI91" s="142"/>
      <c r="AJ91" s="142"/>
      <c r="AK91" s="217"/>
      <c r="AL91" s="62"/>
      <c r="AM91" s="62"/>
      <c r="AN91" s="678" t="s">
        <v>1217</v>
      </c>
    </row>
    <row r="92" spans="1:40" s="326" customFormat="1" ht="14.25" customHeight="1" x14ac:dyDescent="0.15">
      <c r="A92" s="62"/>
      <c r="C92" s="62"/>
      <c r="D92" s="62"/>
      <c r="E92" s="179">
        <v>15</v>
      </c>
      <c r="F92" s="3" t="str" cm="1">
        <f t="array" aca="1" ref="F92" ca="1">OFFSET(E92,-1,1)</f>
        <v>3</v>
      </c>
      <c r="G92" s="72" t="s">
        <v>1218</v>
      </c>
      <c r="H92" s="42" t="s">
        <v>978</v>
      </c>
      <c r="I92" s="62"/>
      <c r="J92" s="364"/>
      <c r="K92" s="364" t="str">
        <f ca="1">F92&amp;"14komm"</f>
        <v>314komm</v>
      </c>
      <c r="L92" s="607" cm="1">
        <f t="array" ref="L92">AK92</f>
        <v>0</v>
      </c>
      <c r="M92" s="62"/>
      <c r="N92" s="62"/>
      <c r="O92" s="62"/>
      <c r="P92" s="62"/>
      <c r="Q92" s="62"/>
      <c r="R92" s="62"/>
      <c r="S92" s="62"/>
      <c r="T92" s="353" t="b" cm="1">
        <f t="array" ref="T92">T91</f>
        <v>1</v>
      </c>
      <c r="U92" s="62"/>
      <c r="V92" s="62"/>
      <c r="W92" s="62"/>
      <c r="X92" s="964"/>
      <c r="Y92" s="62"/>
      <c r="Z92" s="992"/>
      <c r="AA92" s="62"/>
      <c r="AB92" s="256" t="s">
        <v>979</v>
      </c>
      <c r="AC92" s="127" t="s">
        <v>1219</v>
      </c>
      <c r="AD92" s="9" t="s">
        <v>828</v>
      </c>
      <c r="AE92" s="142"/>
      <c r="AF92" s="142"/>
      <c r="AG92" s="142"/>
      <c r="AH92" s="142"/>
      <c r="AI92" s="142"/>
      <c r="AJ92" s="142"/>
      <c r="AK92" s="217"/>
      <c r="AL92" s="62"/>
      <c r="AM92" s="62"/>
      <c r="AN92" s="678" t="s">
        <v>1220</v>
      </c>
    </row>
    <row r="93" spans="1:40" s="326" customFormat="1" ht="14.25" customHeight="1" x14ac:dyDescent="0.15">
      <c r="A93" s="62"/>
      <c r="C93" s="62"/>
      <c r="D93" s="62"/>
      <c r="E93" s="179">
        <v>15</v>
      </c>
      <c r="F93" s="3" t="str" cm="1">
        <f t="array" aca="1" ref="F93" ca="1">OFFSET(E93,-1,1)</f>
        <v>3</v>
      </c>
      <c r="G93" s="72" t="s">
        <v>1221</v>
      </c>
      <c r="H93" s="42" t="s">
        <v>1222</v>
      </c>
      <c r="I93" s="62"/>
      <c r="J93" s="364"/>
      <c r="K93" s="364" t="str">
        <f ca="1">F93&amp;"15komm"</f>
        <v>315komm</v>
      </c>
      <c r="L93" s="607" cm="1">
        <f t="array" ref="L93">AK93</f>
        <v>0</v>
      </c>
      <c r="M93" s="62"/>
      <c r="N93" s="62"/>
      <c r="O93" s="62"/>
      <c r="P93" s="62"/>
      <c r="Q93" s="62"/>
      <c r="R93" s="62"/>
      <c r="S93" s="62"/>
      <c r="T93" s="353" t="b" cm="1">
        <f t="array" ref="T93">T92</f>
        <v>1</v>
      </c>
      <c r="U93" s="62"/>
      <c r="V93" s="62"/>
      <c r="W93" s="62"/>
      <c r="X93" s="964"/>
      <c r="Y93" s="62"/>
      <c r="Z93" s="992"/>
      <c r="AA93" s="62"/>
      <c r="AB93" s="256" t="s">
        <v>1223</v>
      </c>
      <c r="AC93" s="127" t="s">
        <v>1224</v>
      </c>
      <c r="AD93" s="9" t="s">
        <v>828</v>
      </c>
      <c r="AE93" s="142"/>
      <c r="AF93" s="142"/>
      <c r="AG93" s="142"/>
      <c r="AH93" s="142"/>
      <c r="AI93" s="142"/>
      <c r="AJ93" s="142"/>
      <c r="AK93" s="217"/>
      <c r="AL93" s="62"/>
      <c r="AM93" s="62"/>
      <c r="AN93" s="678" t="s">
        <v>1225</v>
      </c>
    </row>
    <row r="94" spans="1:40" s="326" customFormat="1" ht="14.25" customHeight="1" x14ac:dyDescent="0.15">
      <c r="A94" s="62"/>
      <c r="C94" s="62"/>
      <c r="D94" s="62"/>
      <c r="E94" s="179">
        <v>15</v>
      </c>
      <c r="F94" s="3" t="str" cm="1">
        <f t="array" aca="1" ref="F94" ca="1">OFFSET(E94,-1,1)</f>
        <v>3</v>
      </c>
      <c r="G94" s="72" t="s">
        <v>1226</v>
      </c>
      <c r="H94" s="42" t="s">
        <v>1227</v>
      </c>
      <c r="I94" s="62"/>
      <c r="J94" s="364"/>
      <c r="K94" s="364" t="str">
        <f ca="1">F94&amp;"16komm"</f>
        <v>316komm</v>
      </c>
      <c r="L94" s="607" cm="1">
        <f t="array" ref="L94">AK94</f>
        <v>0</v>
      </c>
      <c r="M94" s="62"/>
      <c r="N94" s="62"/>
      <c r="O94" s="62"/>
      <c r="P94" s="62"/>
      <c r="Q94" s="62"/>
      <c r="R94" s="62"/>
      <c r="S94" s="62"/>
      <c r="T94" s="353" t="b" cm="1">
        <f t="array" ref="T94">T93</f>
        <v>1</v>
      </c>
      <c r="U94" s="62"/>
      <c r="V94" s="62"/>
      <c r="W94" s="62"/>
      <c r="X94" s="964"/>
      <c r="Y94" s="62"/>
      <c r="Z94" s="992"/>
      <c r="AA94" s="62"/>
      <c r="AB94" s="256" t="s">
        <v>1228</v>
      </c>
      <c r="AC94" s="127" t="s">
        <v>1229</v>
      </c>
      <c r="AD94" s="9" t="s">
        <v>828</v>
      </c>
      <c r="AE94" s="142"/>
      <c r="AF94" s="142"/>
      <c r="AG94" s="142"/>
      <c r="AH94" s="142"/>
      <c r="AI94" s="142"/>
      <c r="AJ94" s="142"/>
      <c r="AK94" s="217"/>
      <c r="AL94" s="62"/>
      <c r="AM94" s="62"/>
      <c r="AN94" s="678" t="s">
        <v>1230</v>
      </c>
    </row>
    <row r="95" spans="1:40" s="326" customFormat="1" ht="32.25" customHeight="1" x14ac:dyDescent="0.15">
      <c r="A95" s="62"/>
      <c r="C95" s="62"/>
      <c r="D95" s="62"/>
      <c r="E95" s="179">
        <v>33.75</v>
      </c>
      <c r="F95" s="3" t="str" cm="1">
        <f t="array" aca="1" ref="F95" ca="1">OFFSET(E95,-1,1)</f>
        <v>3</v>
      </c>
      <c r="G95" s="253" t="s">
        <v>1231</v>
      </c>
      <c r="H95" s="42" t="s">
        <v>335</v>
      </c>
      <c r="I95" s="62"/>
      <c r="J95" s="364"/>
      <c r="K95" s="364" t="str">
        <f ca="1">F95&amp;"2komm"</f>
        <v>32komm</v>
      </c>
      <c r="L95" s="607" cm="1">
        <f t="array" ref="L95">AK95</f>
        <v>0</v>
      </c>
      <c r="M95" s="62"/>
      <c r="N95" s="62"/>
      <c r="O95" s="62"/>
      <c r="P95" s="62"/>
      <c r="Q95" s="62"/>
      <c r="R95" s="62"/>
      <c r="S95" s="62"/>
      <c r="T95" s="353" t="b" cm="1">
        <f t="array" ref="T95">T94</f>
        <v>1</v>
      </c>
      <c r="U95" s="62"/>
      <c r="V95" s="62"/>
      <c r="W95" s="62"/>
      <c r="X95" s="964"/>
      <c r="Y95" s="62"/>
      <c r="Z95" s="992"/>
      <c r="AA95" s="62"/>
      <c r="AB95" s="256" t="s">
        <v>454</v>
      </c>
      <c r="AC95" s="246" t="s">
        <v>1232</v>
      </c>
      <c r="AD95" s="9" t="s">
        <v>828</v>
      </c>
      <c r="AE95" s="142"/>
      <c r="AF95" s="142"/>
      <c r="AG95" s="142"/>
      <c r="AH95" s="142"/>
      <c r="AI95" s="142"/>
      <c r="AJ95" s="142"/>
      <c r="AK95" s="217"/>
      <c r="AL95" s="62"/>
      <c r="AM95" s="62"/>
      <c r="AN95" s="678" t="s">
        <v>1233</v>
      </c>
    </row>
    <row r="96" spans="1:40" s="326" customFormat="1" ht="14.25" customHeight="1" x14ac:dyDescent="0.15">
      <c r="A96" s="62"/>
      <c r="C96" s="62"/>
      <c r="D96" s="62"/>
      <c r="E96" s="179">
        <v>15</v>
      </c>
      <c r="F96" s="3" t="str" cm="1">
        <f t="array" aca="1" ref="F96" ca="1">OFFSET(E96,-1,1)</f>
        <v>3</v>
      </c>
      <c r="G96" s="253" t="s">
        <v>1234</v>
      </c>
      <c r="H96" s="42" t="s">
        <v>334</v>
      </c>
      <c r="I96" s="62"/>
      <c r="J96" s="364"/>
      <c r="K96" s="364" t="str">
        <f ca="1">F96&amp;"3komm"</f>
        <v>33komm</v>
      </c>
      <c r="L96" s="607" cm="1">
        <f t="array" ref="L96">AK96</f>
        <v>0</v>
      </c>
      <c r="M96" s="62"/>
      <c r="N96" s="62"/>
      <c r="O96" s="62"/>
      <c r="P96" s="62"/>
      <c r="Q96" s="62"/>
      <c r="R96" s="62"/>
      <c r="S96" s="62"/>
      <c r="T96" s="353" t="b" cm="1">
        <f t="array" ref="T96">T95</f>
        <v>1</v>
      </c>
      <c r="U96" s="62"/>
      <c r="V96" s="62"/>
      <c r="W96" s="62"/>
      <c r="X96" s="964"/>
      <c r="Y96" s="62"/>
      <c r="Z96" s="992"/>
      <c r="AA96" s="62"/>
      <c r="AB96" s="256" t="s">
        <v>460</v>
      </c>
      <c r="AC96" s="246" t="s">
        <v>1235</v>
      </c>
      <c r="AD96" s="9" t="s">
        <v>828</v>
      </c>
      <c r="AE96" s="142"/>
      <c r="AF96" s="142"/>
      <c r="AG96" s="142"/>
      <c r="AH96" s="142"/>
      <c r="AI96" s="142"/>
      <c r="AJ96" s="142"/>
      <c r="AK96" s="217"/>
      <c r="AL96" s="62"/>
      <c r="AM96" s="62"/>
      <c r="AN96" s="678" t="s">
        <v>1236</v>
      </c>
    </row>
    <row r="97" spans="1:40" s="326" customFormat="1" ht="14.25" customHeight="1" x14ac:dyDescent="0.15">
      <c r="A97" s="62"/>
      <c r="C97" s="62"/>
      <c r="D97" s="62"/>
      <c r="E97" s="179">
        <v>15</v>
      </c>
      <c r="F97" s="3" t="str" cm="1">
        <f t="array" aca="1" ref="F97" ca="1">OFFSET(E97,-1,1)</f>
        <v>3</v>
      </c>
      <c r="G97" s="253" t="s">
        <v>1237</v>
      </c>
      <c r="H97" s="42" t="s">
        <v>532</v>
      </c>
      <c r="I97" s="62"/>
      <c r="J97" s="62"/>
      <c r="K97" s="364" t="str">
        <f ca="1">F97&amp;"4komm"</f>
        <v>34komm</v>
      </c>
      <c r="L97" s="607" cm="1">
        <f t="array" ref="L97">AK97</f>
        <v>0</v>
      </c>
      <c r="M97" s="62"/>
      <c r="N97" s="62"/>
      <c r="O97" s="62"/>
      <c r="P97" s="62"/>
      <c r="Q97" s="62"/>
      <c r="R97" s="62"/>
      <c r="S97" s="62"/>
      <c r="T97" s="353" t="b" cm="1">
        <f t="array" ref="T97">T96</f>
        <v>1</v>
      </c>
      <c r="U97" s="62"/>
      <c r="V97" s="62"/>
      <c r="W97" s="62"/>
      <c r="X97" s="964"/>
      <c r="Y97" s="62"/>
      <c r="Z97" s="992"/>
      <c r="AA97" s="62"/>
      <c r="AB97" s="256" t="s">
        <v>536</v>
      </c>
      <c r="AC97" s="246" t="s">
        <v>1238</v>
      </c>
      <c r="AD97" s="9" t="s">
        <v>828</v>
      </c>
      <c r="AE97" s="142"/>
      <c r="AF97" s="142"/>
      <c r="AG97" s="142"/>
      <c r="AH97" s="142"/>
      <c r="AI97" s="142"/>
      <c r="AJ97" s="142"/>
      <c r="AK97" s="217"/>
      <c r="AL97" s="62"/>
      <c r="AM97" s="62"/>
      <c r="AN97" s="678" t="s">
        <v>1239</v>
      </c>
    </row>
    <row r="98" spans="1:40" s="326" customFormat="1" ht="14.25" customHeight="1" x14ac:dyDescent="0.15">
      <c r="A98" s="62"/>
      <c r="C98" s="62"/>
      <c r="D98" s="62"/>
      <c r="E98" s="179">
        <v>15</v>
      </c>
      <c r="F98" s="3" t="str" cm="1">
        <f t="array" aca="1" ref="F98" ca="1">OFFSET(E98,-1,1)</f>
        <v>3</v>
      </c>
      <c r="G98" s="253" t="s">
        <v>1240</v>
      </c>
      <c r="H98" s="42" t="s">
        <v>535</v>
      </c>
      <c r="I98" s="62"/>
      <c r="J98" s="62"/>
      <c r="K98" s="364" t="str">
        <f ca="1">F98&amp;"5komm"</f>
        <v>35komm</v>
      </c>
      <c r="L98" s="607" cm="1">
        <f t="array" ref="L98">AK98</f>
        <v>0</v>
      </c>
      <c r="M98" s="62"/>
      <c r="N98" s="62"/>
      <c r="O98" s="62"/>
      <c r="P98" s="62"/>
      <c r="Q98" s="62"/>
      <c r="R98" s="62"/>
      <c r="S98" s="62"/>
      <c r="T98" s="353" t="b" cm="1">
        <f t="array" ref="T98">T97</f>
        <v>1</v>
      </c>
      <c r="U98" s="62"/>
      <c r="V98" s="62"/>
      <c r="W98" s="62"/>
      <c r="X98" s="964"/>
      <c r="Y98" s="62"/>
      <c r="Z98" s="992"/>
      <c r="AA98" s="62"/>
      <c r="AB98" s="256" t="s">
        <v>602</v>
      </c>
      <c r="AC98" s="246" t="s">
        <v>1241</v>
      </c>
      <c r="AD98" s="9" t="s">
        <v>828</v>
      </c>
      <c r="AE98" s="142"/>
      <c r="AF98" s="142"/>
      <c r="AG98" s="142"/>
      <c r="AH98" s="142"/>
      <c r="AI98" s="142"/>
      <c r="AJ98" s="142"/>
      <c r="AK98" s="217"/>
      <c r="AL98" s="62"/>
      <c r="AM98" s="62"/>
      <c r="AN98" s="678" t="s">
        <v>1242</v>
      </c>
    </row>
    <row r="99" spans="1:40" s="326" customFormat="1" ht="14.25" customHeight="1" x14ac:dyDescent="0.15">
      <c r="A99" s="62"/>
      <c r="C99" s="62"/>
      <c r="D99" s="62"/>
      <c r="E99" s="179">
        <v>15</v>
      </c>
      <c r="F99" s="3" t="str" cm="1">
        <f t="array" aca="1" ref="F99" ca="1">OFFSET(E99,-1,1)</f>
        <v>3</v>
      </c>
      <c r="G99" s="253" t="s">
        <v>1243</v>
      </c>
      <c r="H99" s="42" t="s">
        <v>586</v>
      </c>
      <c r="I99" s="62"/>
      <c r="J99" s="62"/>
      <c r="K99" s="364" t="str">
        <f ca="1">F99&amp;"6komm"</f>
        <v>36komm</v>
      </c>
      <c r="L99" s="607" cm="1">
        <f t="array" ref="L99">AK99</f>
        <v>0</v>
      </c>
      <c r="M99" s="62"/>
      <c r="N99" s="62"/>
      <c r="O99" s="62"/>
      <c r="P99" s="62"/>
      <c r="Q99" s="62"/>
      <c r="R99" s="62"/>
      <c r="S99" s="62"/>
      <c r="T99" s="353" t="b" cm="1">
        <f t="array" ref="T99">T98</f>
        <v>1</v>
      </c>
      <c r="U99" s="62"/>
      <c r="V99" s="62"/>
      <c r="W99" s="62"/>
      <c r="X99" s="964"/>
      <c r="Y99" s="62"/>
      <c r="Z99" s="992"/>
      <c r="AA99" s="62"/>
      <c r="AB99" s="256" t="s">
        <v>610</v>
      </c>
      <c r="AC99" s="246" t="s">
        <v>1244</v>
      </c>
      <c r="AD99" s="9" t="s">
        <v>828</v>
      </c>
      <c r="AE99" s="171">
        <f t="shared" ref="AE99:AJ99" si="11">SUM(AE100:AE102)</f>
        <v>0</v>
      </c>
      <c r="AF99" s="171">
        <f t="shared" si="11"/>
        <v>0</v>
      </c>
      <c r="AG99" s="171">
        <f t="shared" si="11"/>
        <v>0</v>
      </c>
      <c r="AH99" s="171">
        <f t="shared" si="11"/>
        <v>0</v>
      </c>
      <c r="AI99" s="171">
        <f t="shared" si="11"/>
        <v>0</v>
      </c>
      <c r="AJ99" s="171">
        <f t="shared" si="11"/>
        <v>0</v>
      </c>
      <c r="AK99" s="217"/>
      <c r="AL99" s="62"/>
      <c r="AM99" s="62"/>
      <c r="AN99" s="678" t="s">
        <v>394</v>
      </c>
    </row>
    <row r="100" spans="1:40" s="326" customFormat="1" ht="14.25" customHeight="1" x14ac:dyDescent="0.15">
      <c r="A100" s="62"/>
      <c r="C100" s="62"/>
      <c r="D100" s="62"/>
      <c r="E100" s="179">
        <v>15</v>
      </c>
      <c r="F100" s="3" t="str" cm="1">
        <f t="array" aca="1" ref="F100" ca="1">OFFSET(E100,-1,1)</f>
        <v>3</v>
      </c>
      <c r="G100" s="253" t="s">
        <v>1245</v>
      </c>
      <c r="H100" s="42" t="s">
        <v>589</v>
      </c>
      <c r="I100" s="62"/>
      <c r="J100" s="62"/>
      <c r="K100" s="364" t="str">
        <f ca="1">F100&amp;"7komm"</f>
        <v>37komm</v>
      </c>
      <c r="L100" s="607" cm="1">
        <f t="array" ref="L100">AK100</f>
        <v>0</v>
      </c>
      <c r="M100" s="62"/>
      <c r="N100" s="62"/>
      <c r="O100" s="62"/>
      <c r="P100" s="62"/>
      <c r="Q100" s="62"/>
      <c r="R100" s="62"/>
      <c r="S100" s="62"/>
      <c r="T100" s="353" t="b" cm="1">
        <f t="array" ref="T100">T99</f>
        <v>1</v>
      </c>
      <c r="U100" s="62"/>
      <c r="V100" s="62"/>
      <c r="W100" s="62"/>
      <c r="X100" s="964"/>
      <c r="Y100" s="62"/>
      <c r="Z100" s="992"/>
      <c r="AA100" s="62"/>
      <c r="AB100" s="256" t="s">
        <v>614</v>
      </c>
      <c r="AC100" s="127" t="s">
        <v>1246</v>
      </c>
      <c r="AD100" s="9" t="s">
        <v>828</v>
      </c>
      <c r="AE100" s="142"/>
      <c r="AF100" s="142"/>
      <c r="AG100" s="142"/>
      <c r="AH100" s="142"/>
      <c r="AI100" s="142"/>
      <c r="AJ100" s="142"/>
      <c r="AK100" s="217"/>
      <c r="AL100" s="62"/>
      <c r="AM100" s="62"/>
      <c r="AN100" s="678" t="s">
        <v>1247</v>
      </c>
    </row>
    <row r="101" spans="1:40" s="326" customFormat="1" ht="43.5" customHeight="1" x14ac:dyDescent="0.15">
      <c r="A101" s="62"/>
      <c r="C101" s="62"/>
      <c r="D101" s="62"/>
      <c r="E101" s="179">
        <v>45</v>
      </c>
      <c r="F101" s="3" t="str" cm="1">
        <f t="array" aca="1" ref="F101" ca="1">OFFSET(E101,-1,1)</f>
        <v>3</v>
      </c>
      <c r="G101" s="253" t="s">
        <v>1248</v>
      </c>
      <c r="H101" s="42" t="s">
        <v>593</v>
      </c>
      <c r="I101" s="62"/>
      <c r="J101" s="62"/>
      <c r="K101" s="364" t="str">
        <f ca="1">F101&amp;"8komm"</f>
        <v>38komm</v>
      </c>
      <c r="L101" s="607" cm="1">
        <f t="array" ref="L101">AK101</f>
        <v>0</v>
      </c>
      <c r="M101" s="62"/>
      <c r="N101" s="62"/>
      <c r="O101" s="62"/>
      <c r="P101" s="62"/>
      <c r="Q101" s="62"/>
      <c r="R101" s="62"/>
      <c r="S101" s="62"/>
      <c r="T101" s="353" t="b" cm="1">
        <f t="array" ref="T101">T100</f>
        <v>1</v>
      </c>
      <c r="U101" s="62"/>
      <c r="V101" s="62"/>
      <c r="W101" s="62"/>
      <c r="X101" s="964"/>
      <c r="Y101" s="62"/>
      <c r="Z101" s="992"/>
      <c r="AA101" s="62"/>
      <c r="AB101" s="256" t="s">
        <v>631</v>
      </c>
      <c r="AC101" s="127" t="s">
        <v>1249</v>
      </c>
      <c r="AD101" s="9" t="s">
        <v>828</v>
      </c>
      <c r="AE101" s="142"/>
      <c r="AF101" s="142"/>
      <c r="AG101" s="142"/>
      <c r="AH101" s="142"/>
      <c r="AI101" s="142"/>
      <c r="AJ101" s="142"/>
      <c r="AK101" s="217"/>
      <c r="AL101" s="62"/>
      <c r="AM101" s="62"/>
      <c r="AN101" s="678" t="s">
        <v>1250</v>
      </c>
    </row>
    <row r="102" spans="1:40" s="326" customFormat="1" ht="14.25" customHeight="1" x14ac:dyDescent="0.15">
      <c r="A102" s="62"/>
      <c r="C102" s="62"/>
      <c r="D102" s="62"/>
      <c r="E102" s="179">
        <v>15</v>
      </c>
      <c r="F102" s="3" t="str" cm="1">
        <f t="array" aca="1" ref="F102" ca="1">OFFSET(E102,-1,1)</f>
        <v>3</v>
      </c>
      <c r="G102" s="72" t="s">
        <v>1251</v>
      </c>
      <c r="H102" s="42" t="s">
        <v>597</v>
      </c>
      <c r="I102" s="62"/>
      <c r="J102" s="62"/>
      <c r="K102" s="364" t="str">
        <f ca="1">F102&amp;"9komm"</f>
        <v>39komm</v>
      </c>
      <c r="L102" s="607" cm="1">
        <f t="array" ref="L102">AK102</f>
        <v>0</v>
      </c>
      <c r="M102" s="62"/>
      <c r="N102" s="62"/>
      <c r="O102" s="62"/>
      <c r="P102" s="62"/>
      <c r="Q102" s="62"/>
      <c r="R102" s="62"/>
      <c r="S102" s="62"/>
      <c r="T102" s="353" t="b" cm="1">
        <f t="array" ref="T102">T101</f>
        <v>1</v>
      </c>
      <c r="U102" s="62"/>
      <c r="V102" s="62"/>
      <c r="W102" s="62"/>
      <c r="X102" s="964"/>
      <c r="Y102" s="62"/>
      <c r="Z102" s="992"/>
      <c r="AA102" s="62"/>
      <c r="AB102" s="256" t="s">
        <v>643</v>
      </c>
      <c r="AC102" s="127" t="s">
        <v>1252</v>
      </c>
      <c r="AD102" s="9" t="s">
        <v>828</v>
      </c>
      <c r="AE102" s="142"/>
      <c r="AF102" s="142"/>
      <c r="AG102" s="142"/>
      <c r="AH102" s="142"/>
      <c r="AI102" s="142"/>
      <c r="AJ102" s="142"/>
      <c r="AK102" s="217"/>
      <c r="AL102" s="62"/>
      <c r="AM102" s="62"/>
      <c r="AN102" s="678" t="s">
        <v>1253</v>
      </c>
    </row>
    <row r="103" spans="1:40" s="62" customFormat="1" ht="10.9" customHeight="1" x14ac:dyDescent="0.15">
      <c r="B103" s="326"/>
      <c r="C103"/>
      <c r="D103"/>
      <c r="E103" s="179">
        <v>11.25</v>
      </c>
      <c r="F103" s="4"/>
      <c r="G103"/>
      <c r="H103"/>
      <c r="I103"/>
      <c r="J103"/>
      <c r="K103"/>
      <c r="L103"/>
      <c r="M103"/>
      <c r="N103"/>
      <c r="O103"/>
      <c r="P103"/>
      <c r="Q103"/>
      <c r="R103"/>
      <c r="S103"/>
      <c r="T103"/>
      <c r="U103" t="s">
        <v>176</v>
      </c>
      <c r="V103" s="56" t="s">
        <v>1254</v>
      </c>
      <c r="W103"/>
      <c r="X103"/>
      <c r="Y103"/>
      <c r="Z103"/>
      <c r="AA103"/>
      <c r="AB103"/>
      <c r="AC103" s="18"/>
      <c r="AD103" s="18"/>
      <c r="AE103" s="257"/>
      <c r="AF103" s="257"/>
      <c r="AG103" s="258"/>
      <c r="AH103" s="258"/>
      <c r="AI103" s="258"/>
      <c r="AJ103"/>
      <c r="AK103"/>
      <c r="AL103"/>
      <c r="AN103" s="678"/>
    </row>
    <row r="104" spans="1:40" s="62" customFormat="1" ht="14.65" customHeight="1" x14ac:dyDescent="0.15">
      <c r="B104" s="326"/>
      <c r="C104" s="17"/>
      <c r="D104" s="17"/>
      <c r="E104" s="461">
        <v>15</v>
      </c>
      <c r="F104" s="17"/>
      <c r="G104" s="17"/>
      <c r="H104" s="17"/>
      <c r="I104" s="17"/>
      <c r="J104" s="17"/>
      <c r="K104" s="17"/>
      <c r="L104" s="17"/>
      <c r="M104" s="17"/>
      <c r="N104" s="17"/>
      <c r="O104" s="17"/>
      <c r="P104" s="17"/>
      <c r="Q104" s="17"/>
      <c r="R104" s="253"/>
      <c r="S104" s="17"/>
      <c r="T104" s="17"/>
      <c r="U104" s="17"/>
      <c r="V104" s="17"/>
      <c r="W104" s="17"/>
      <c r="X104" s="17"/>
      <c r="Y104" s="17"/>
      <c r="Z104" s="17"/>
      <c r="AA104" s="17"/>
      <c r="AB104" s="993" t="s">
        <v>408</v>
      </c>
      <c r="AC104" s="993"/>
      <c r="AD104" s="993"/>
      <c r="AE104" s="993"/>
      <c r="AF104" s="993"/>
      <c r="AG104" s="993"/>
      <c r="AH104" s="993"/>
      <c r="AI104" s="1024"/>
      <c r="AJ104" s="1024"/>
      <c r="AK104" s="1024"/>
      <c r="AL104" s="17"/>
      <c r="AN104" s="678"/>
    </row>
    <row r="105" spans="1:40" s="62" customFormat="1" ht="14.65" customHeight="1" x14ac:dyDescent="0.15">
      <c r="B105" s="326"/>
      <c r="C105" s="17"/>
      <c r="D105" s="17"/>
      <c r="E105" s="461">
        <v>15</v>
      </c>
      <c r="F105" s="17"/>
      <c r="G105" s="17"/>
      <c r="H105" s="17"/>
      <c r="I105" s="17"/>
      <c r="J105" s="17"/>
      <c r="K105" s="17"/>
      <c r="L105" s="17"/>
      <c r="M105" s="17"/>
      <c r="N105" s="17"/>
      <c r="O105" s="17"/>
      <c r="P105" s="17"/>
      <c r="Q105" s="17"/>
      <c r="R105" s="253"/>
      <c r="S105" s="17"/>
      <c r="U105" s="17"/>
      <c r="V105" s="17"/>
      <c r="W105" s="17"/>
      <c r="X105" s="17"/>
      <c r="Y105" s="17"/>
      <c r="Z105" s="17"/>
      <c r="AA105" s="87"/>
      <c r="AB105" s="1025"/>
      <c r="AC105" s="1025"/>
      <c r="AD105" s="1025"/>
      <c r="AE105" s="1025"/>
      <c r="AF105" s="1025"/>
      <c r="AG105" s="1025"/>
      <c r="AH105" s="1025"/>
      <c r="AI105" s="1026"/>
      <c r="AJ105" s="1026"/>
      <c r="AK105" s="1026"/>
      <c r="AL105" s="17"/>
      <c r="AN105" s="678"/>
    </row>
    <row r="106" spans="1:40" s="62" customFormat="1" ht="14.65" hidden="1" customHeight="1" x14ac:dyDescent="0.15">
      <c r="B106" s="326"/>
      <c r="C106" s="17"/>
      <c r="D106" s="17"/>
      <c r="E106" s="461">
        <v>15</v>
      </c>
      <c r="F106" s="17"/>
      <c r="G106" s="17"/>
      <c r="H106" s="17"/>
      <c r="I106" s="17"/>
      <c r="J106" s="17"/>
      <c r="K106" s="17"/>
      <c r="L106" s="17"/>
      <c r="M106" s="17"/>
      <c r="N106" s="17"/>
      <c r="O106" s="17"/>
      <c r="P106" s="17"/>
      <c r="Q106" s="17"/>
      <c r="R106" s="253"/>
      <c r="S106" s="17"/>
      <c r="T106" s="353" t="b">
        <f>ROW(W106)&gt;ROW(W$106)</f>
        <v>0</v>
      </c>
      <c r="U106" s="17"/>
      <c r="V106" s="17"/>
      <c r="W106" s="517" t="s">
        <v>172</v>
      </c>
      <c r="X106" s="17"/>
      <c r="Y106" s="17"/>
      <c r="Z106" s="17"/>
      <c r="AA106" s="320" t="s">
        <v>173</v>
      </c>
      <c r="AB106" s="1037" t="s">
        <v>225</v>
      </c>
      <c r="AC106" s="1037"/>
      <c r="AD106" s="1037"/>
      <c r="AE106" s="1037"/>
      <c r="AF106" s="1037"/>
      <c r="AG106" s="1037"/>
      <c r="AH106" s="1037"/>
      <c r="AI106" s="1026"/>
      <c r="AJ106" s="1026"/>
      <c r="AK106" s="1038"/>
      <c r="AL106" s="17"/>
      <c r="AN106" s="678"/>
    </row>
    <row r="107" spans="1:40" s="62" customFormat="1" ht="14.65" customHeight="1" x14ac:dyDescent="0.15">
      <c r="B107" s="326"/>
      <c r="C107" s="17"/>
      <c r="D107" s="17"/>
      <c r="E107" s="461">
        <v>15</v>
      </c>
      <c r="F107" s="17"/>
      <c r="G107" s="17"/>
      <c r="H107" s="17"/>
      <c r="I107" s="17"/>
      <c r="J107" s="17"/>
      <c r="K107" s="17"/>
      <c r="L107" s="17"/>
      <c r="M107" s="17"/>
      <c r="N107" s="17"/>
      <c r="O107" s="17"/>
      <c r="P107" s="17"/>
      <c r="Q107" s="17"/>
      <c r="R107" s="253"/>
      <c r="S107" s="17"/>
      <c r="T107" s="17"/>
      <c r="U107" s="17"/>
      <c r="V107" s="17"/>
      <c r="W107" s="517" t="s">
        <v>419</v>
      </c>
      <c r="X107" s="17"/>
      <c r="Y107" s="17"/>
      <c r="Z107" s="17"/>
      <c r="AA107" s="17"/>
      <c r="AB107" s="474"/>
      <c r="AC107" s="382" t="s">
        <v>1255</v>
      </c>
      <c r="AD107" s="218"/>
      <c r="AE107" s="218"/>
      <c r="AF107" s="219"/>
      <c r="AG107" s="219"/>
      <c r="AH107" s="219"/>
      <c r="AI107" s="219"/>
      <c r="AJ107" s="219"/>
      <c r="AK107" s="220"/>
      <c r="AL107" s="17"/>
      <c r="AN107" s="678"/>
    </row>
    <row r="108" spans="1:40" ht="11.25" customHeight="1" x14ac:dyDescent="0.15">
      <c r="A108"/>
      <c r="B108" s="327"/>
      <c r="C108"/>
      <c r="D108"/>
      <c r="E108" s="454" t="s">
        <v>1098</v>
      </c>
      <c r="F108" s="4"/>
      <c r="G108"/>
      <c r="H108"/>
      <c r="I108"/>
      <c r="J108"/>
      <c r="K108"/>
      <c r="L108"/>
      <c r="M108"/>
      <c r="N108"/>
      <c r="O108"/>
      <c r="P108"/>
      <c r="Q108"/>
      <c r="R108"/>
      <c r="S108"/>
      <c r="T108"/>
      <c r="U108"/>
      <c r="V108"/>
      <c r="W108"/>
      <c r="X108"/>
      <c r="Y108"/>
      <c r="Z108"/>
      <c r="AA108"/>
      <c r="AB108"/>
      <c r="AC108" s="18"/>
      <c r="AD108" s="18"/>
      <c r="AE108" s="257"/>
      <c r="AF108" s="257"/>
      <c r="AG108" s="258"/>
      <c r="AH108" s="258"/>
      <c r="AI108" s="258"/>
      <c r="AJ108"/>
      <c r="AK108"/>
      <c r="AL108"/>
      <c r="AM108"/>
      <c r="AN108" s="661"/>
    </row>
  </sheetData>
  <sheetProtection formatColumns="0" formatRows="0" insertRows="0" deleteColumns="0" deleteRows="0" sort="0" autoFilter="0"/>
  <mergeCells count="15">
    <mergeCell ref="X27:X45"/>
    <mergeCell ref="Z27:Z45"/>
    <mergeCell ref="AB104:AK104"/>
    <mergeCell ref="AB105:AK105"/>
    <mergeCell ref="X46:X64"/>
    <mergeCell ref="Z46:Z64"/>
    <mergeCell ref="X65:X83"/>
    <mergeCell ref="Z65:Z83"/>
    <mergeCell ref="X84:X102"/>
    <mergeCell ref="Z84:Z102"/>
    <mergeCell ref="AB24:AB25"/>
    <mergeCell ref="AC24:AC25"/>
    <mergeCell ref="AD24:AD25"/>
    <mergeCell ref="AK24:AK25"/>
    <mergeCell ref="AB106:AK106"/>
  </mergeCells>
  <dataValidations count="1">
    <dataValidation type="decimal" allowBlank="1" showErrorMessage="1" errorTitle="Ошибка" error="Допускается ввод только неотрицательных чисел!" sqref="AH45 AH50:AH60 AH62:AH64 AH69:AH79 AH81:AH83 AH88:AH98 AH100:AH102 AG45 AG50:AG60 AG62:AG64 AG69:AG79 AG81:AG83 AG88:AG98 AG100:AG102 AF45 AF50:AF60 AF62:AF64 AF69:AF79 AF81:AF83 AF88:AF98 AF100:AF102 AE45 AE50:AE60 AE62:AE64 AE69:AE79 AE81:AE83 AE88:AE98 AE100:AE102 AE43:AJ44 AE31:AJ41 AI50 AJ50 AI51 AJ51 AI52 AJ52 AI53 AJ53 AI54 AJ54 AI55 AJ55 AI56 AJ56 AI57 AJ57 AI58 AJ58 AI59 AJ59 AI60 AJ60 AI62 AJ62 AI63 AJ63 AI69 AJ69 AI70 AJ70 AI71 AJ71 AI72 AJ72 AI73 AJ73 AI74 AJ74 AI75 AJ75 AI76 AJ76 AI77 AJ77 AI78 AJ78 AI79 AJ79 AI81 AJ81 AI82 AJ82 AI88 AJ88 AI89 AJ89 AI90 AJ90 AI91 AJ91 AI92 AJ92 AI93 AJ93 AI94 AJ94 AI95 AJ95 AI96 AJ96 AI97 AJ97 AI98 AJ98 AI100 AJ100 AI101 AJ101"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4C2F8-8F41-ECC9-EDC8-64B2F02E62D8}">
  <sheetPr>
    <tabColor rgb="FF002060"/>
    <outlinePr summaryBelow="0"/>
  </sheetPr>
  <dimension ref="A1:AR8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20" style="343" customWidth="1"/>
    <col min="38" max="38" width="3" style="343" customWidth="1"/>
    <col min="39" max="39" width="9.140625" style="343" hidden="1"/>
    <col min="40" max="42" width="9.140625" style="656" hidden="1"/>
    <col min="43" max="44" width="9.140625" style="448" hidden="1"/>
  </cols>
  <sheetData>
    <row r="1" spans="1:44" s="38" customFormat="1" ht="11.25" hidden="1" customHeight="1" x14ac:dyDescent="0.15">
      <c r="B1" s="43"/>
      <c r="F1" s="38" t="s">
        <v>320</v>
      </c>
      <c r="G1" s="38" t="s">
        <v>330</v>
      </c>
      <c r="H1" s="38" t="s">
        <v>355</v>
      </c>
      <c r="T1" s="353" t="s">
        <v>92</v>
      </c>
      <c r="U1" s="353" t="s">
        <v>97</v>
      </c>
      <c r="V1" s="353" t="s">
        <v>93</v>
      </c>
      <c r="W1" s="353" t="s">
        <v>94</v>
      </c>
      <c r="X1" s="353" t="s">
        <v>95</v>
      </c>
      <c r="Y1" s="355" t="s">
        <v>322</v>
      </c>
      <c r="Z1" s="353" t="s">
        <v>99</v>
      </c>
      <c r="AA1" s="354" t="s">
        <v>96</v>
      </c>
      <c r="AB1" s="4"/>
      <c r="AC1" s="354" t="s">
        <v>98</v>
      </c>
      <c r="AN1" s="656" t="s">
        <v>323</v>
      </c>
      <c r="AO1" s="656" t="s">
        <v>324</v>
      </c>
      <c r="AP1" s="656" t="s">
        <v>325</v>
      </c>
      <c r="AQ1" s="448" t="s">
        <v>328</v>
      </c>
      <c r="AR1" s="448" t="s">
        <v>329</v>
      </c>
    </row>
    <row r="2" spans="1:44" s="43" customFormat="1" ht="11.25" hidden="1" customHeight="1" x14ac:dyDescent="0.15">
      <c r="B2" s="342" t="s">
        <v>18</v>
      </c>
      <c r="AI2" s="342" t="b">
        <f>AI6&lt;=last_year_vis</f>
        <v>1</v>
      </c>
      <c r="AJ2" s="342" t="b">
        <f>AJ6&lt;=last_year_vis</f>
        <v>1</v>
      </c>
      <c r="AN2" s="665"/>
      <c r="AO2" s="665"/>
      <c r="AP2" s="665"/>
      <c r="AQ2" s="670"/>
      <c r="AR2" s="670"/>
    </row>
    <row r="3" spans="1:44" s="38" customFormat="1" ht="11.25" hidden="1" customHeight="1" x14ac:dyDescent="0.15">
      <c r="B3" s="43"/>
      <c r="AN3" s="656"/>
      <c r="AO3" s="656"/>
      <c r="AP3" s="656"/>
      <c r="AQ3" s="448"/>
      <c r="AR3" s="448"/>
    </row>
    <row r="4" spans="1:44" s="38" customFormat="1" ht="11.25" hidden="1" customHeight="1" x14ac:dyDescent="0.15">
      <c r="B4" s="43"/>
      <c r="AN4" s="656"/>
      <c r="AO4" s="656"/>
      <c r="AP4" s="656"/>
      <c r="AQ4" s="448"/>
      <c r="AR4" s="448"/>
    </row>
    <row r="5" spans="1:44" s="448" customFormat="1" ht="11.25" hidden="1" customHeight="1" x14ac:dyDescent="0.15">
      <c r="A5" s="38"/>
      <c r="B5" s="43"/>
      <c r="C5" s="38"/>
      <c r="D5" s="38"/>
      <c r="E5" s="448" t="s">
        <v>19</v>
      </c>
      <c r="AA5" s="448">
        <v>3</v>
      </c>
      <c r="AB5" s="448">
        <v>11</v>
      </c>
      <c r="AC5" s="448">
        <v>50.14</v>
      </c>
      <c r="AD5" s="448">
        <v>10.29</v>
      </c>
      <c r="AE5" s="448">
        <v>13</v>
      </c>
      <c r="AF5" s="448">
        <v>13</v>
      </c>
      <c r="AG5" s="448">
        <v>13</v>
      </c>
      <c r="AH5" s="448">
        <v>13</v>
      </c>
      <c r="AI5" s="448">
        <v>13</v>
      </c>
      <c r="AJ5" s="448">
        <v>13</v>
      </c>
      <c r="AK5" s="448">
        <v>20</v>
      </c>
      <c r="AL5" s="448">
        <v>3</v>
      </c>
      <c r="AN5" s="656"/>
      <c r="AO5" s="656"/>
      <c r="AP5" s="656"/>
    </row>
    <row r="6" spans="1:44" s="38" customFormat="1" ht="11.25" hidden="1" customHeight="1" x14ac:dyDescent="0.15">
      <c r="A6" s="38" t="s">
        <v>358</v>
      </c>
      <c r="B6" s="43"/>
      <c r="E6" s="448"/>
      <c r="AE6" s="38">
        <f>god-2</f>
        <v>2024</v>
      </c>
      <c r="AF6" s="38">
        <f>god-2</f>
        <v>2024</v>
      </c>
      <c r="AG6" s="38">
        <f>god-2</f>
        <v>2024</v>
      </c>
      <c r="AH6" s="38">
        <f>god-1</f>
        <v>2025</v>
      </c>
      <c r="AI6" s="17" cm="1">
        <f t="array" ref="AI6">god</f>
        <v>2026</v>
      </c>
      <c r="AJ6" s="17" cm="1">
        <f t="array" ref="AJ6">god</f>
        <v>2026</v>
      </c>
      <c r="AN6" s="656"/>
      <c r="AO6" s="656"/>
      <c r="AP6" s="656"/>
      <c r="AQ6" s="448"/>
      <c r="AR6" s="448"/>
    </row>
    <row r="7" spans="1:44" s="38" customFormat="1" ht="11.25" hidden="1" customHeight="1" x14ac:dyDescent="0.15">
      <c r="A7" s="38" t="s">
        <v>359</v>
      </c>
      <c r="B7" s="43"/>
      <c r="E7" s="448"/>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6"/>
      <c r="AO7" s="656"/>
      <c r="AP7" s="656"/>
      <c r="AQ7" s="448"/>
      <c r="AR7" s="448"/>
    </row>
    <row r="8" spans="1:44" s="38" customFormat="1" ht="11.25" hidden="1" customHeight="1" x14ac:dyDescent="0.15">
      <c r="B8" s="43"/>
      <c r="E8" s="448"/>
      <c r="AN8" s="656"/>
      <c r="AO8" s="656"/>
      <c r="AP8" s="656"/>
      <c r="AQ8" s="448"/>
      <c r="AR8" s="448"/>
    </row>
    <row r="9" spans="1:44" s="656" customFormat="1" ht="11.25" hidden="1" customHeight="1" x14ac:dyDescent="0.15">
      <c r="A9" s="656" t="s">
        <v>363</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2026</v>
      </c>
      <c r="AQ9" s="448"/>
      <c r="AR9" s="448"/>
    </row>
    <row r="10" spans="1:44" s="656" customFormat="1" ht="11.25" hidden="1" customHeight="1" x14ac:dyDescent="0.15">
      <c r="A10" s="656" t="s">
        <v>364</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Принято органом регулирования</v>
      </c>
      <c r="AQ10" s="448"/>
      <c r="AR10" s="448"/>
    </row>
    <row r="11" spans="1:44" s="656" customFormat="1" ht="11.25" hidden="1" customHeight="1" x14ac:dyDescent="0.15">
      <c r="A11" s="656" t="s">
        <v>365</v>
      </c>
      <c r="B11" s="665"/>
      <c r="AK11" s="658" t="str" cm="1">
        <f t="array" ref="AK11">AK24</f>
        <v>Ссылка на правовую норму (основание для принятия показателя в расчет тарифа)</v>
      </c>
      <c r="AQ11" s="448"/>
      <c r="AR11" s="448"/>
    </row>
    <row r="12" spans="1:44" s="656" customFormat="1" ht="11.25" hidden="1" customHeight="1" x14ac:dyDescent="0.15">
      <c r="A12" s="656" t="s">
        <v>337</v>
      </c>
      <c r="B12" s="665"/>
      <c r="AC12" s="656" t="s">
        <v>325</v>
      </c>
      <c r="AQ12" s="448"/>
      <c r="AR12" s="448"/>
    </row>
    <row r="13" spans="1:44" s="38" customFormat="1" ht="11.25" hidden="1" customHeight="1" x14ac:dyDescent="0.15">
      <c r="B13" s="43"/>
      <c r="E13" s="448"/>
      <c r="AN13" s="656"/>
      <c r="AO13" s="656"/>
      <c r="AP13" s="656"/>
      <c r="AQ13" s="448"/>
      <c r="AR13" s="448"/>
    </row>
    <row r="14" spans="1:44" s="38" customFormat="1" ht="11.25" hidden="1" customHeight="1" x14ac:dyDescent="0.15">
      <c r="B14" s="43"/>
      <c r="E14" s="448"/>
      <c r="AN14" s="656"/>
      <c r="AO14" s="656"/>
      <c r="AP14" s="656"/>
      <c r="AQ14" s="448"/>
      <c r="AR14" s="448"/>
    </row>
    <row r="15" spans="1:44" s="38" customFormat="1" ht="11.25" hidden="1" customHeight="1" x14ac:dyDescent="0.15">
      <c r="B15" s="43"/>
      <c r="E15" s="448"/>
      <c r="AN15" s="656"/>
      <c r="AO15" s="656"/>
      <c r="AP15" s="656"/>
      <c r="AQ15" s="448"/>
      <c r="AR15" s="448"/>
    </row>
    <row r="16" spans="1:44" s="38" customFormat="1" ht="11.25" hidden="1" customHeight="1" x14ac:dyDescent="0.15">
      <c r="B16" s="43"/>
      <c r="E16" s="448"/>
      <c r="AN16" s="656"/>
      <c r="AO16" s="656"/>
      <c r="AP16" s="656"/>
      <c r="AQ16" s="448"/>
      <c r="AR16" s="448"/>
    </row>
    <row r="17" spans="1:44" s="38" customFormat="1" ht="11.25" hidden="1" customHeight="1" x14ac:dyDescent="0.15">
      <c r="B17" s="43"/>
      <c r="E17" s="448"/>
      <c r="AE17" s="17"/>
      <c r="AF17" s="17"/>
      <c r="AG17" s="17"/>
      <c r="AH17" s="17"/>
      <c r="AK17" s="22"/>
      <c r="AN17" s="656"/>
      <c r="AO17" s="656"/>
      <c r="AP17" s="656"/>
      <c r="AQ17" s="448"/>
      <c r="AR17" s="448"/>
    </row>
    <row r="18" spans="1:44" s="38" customFormat="1" ht="11.25" hidden="1" customHeight="1" x14ac:dyDescent="0.15">
      <c r="A18" s="38" t="s">
        <v>366</v>
      </c>
      <c r="B18" s="43"/>
      <c r="E18" s="448"/>
      <c r="AC18" s="38" t="s">
        <v>367</v>
      </c>
      <c r="AN18" s="656"/>
      <c r="AO18" s="656"/>
      <c r="AP18" s="656"/>
      <c r="AQ18" s="448"/>
      <c r="AR18" s="448"/>
    </row>
    <row r="19" spans="1:44" s="38" customFormat="1" ht="11.25" hidden="1" customHeight="1" x14ac:dyDescent="0.15">
      <c r="B19" s="43"/>
      <c r="E19" s="448"/>
      <c r="AN19" s="656"/>
      <c r="AO19" s="656"/>
      <c r="AP19" s="656"/>
      <c r="AQ19" s="448"/>
      <c r="AR19" s="448"/>
    </row>
    <row r="20" spans="1:44" s="38" customFormat="1" ht="11.25" hidden="1" customHeight="1" x14ac:dyDescent="0.15">
      <c r="B20" s="43"/>
      <c r="E20" s="448"/>
      <c r="AN20" s="656"/>
      <c r="AO20" s="656"/>
      <c r="AP20" s="656"/>
      <c r="AQ20" s="448"/>
      <c r="AR20" s="448"/>
    </row>
    <row r="21" spans="1:44" ht="14.65" customHeight="1" x14ac:dyDescent="0.2">
      <c r="E21" s="448">
        <v>15</v>
      </c>
      <c r="AA21" s="325"/>
      <c r="AC21" s="267" t="str" cm="1">
        <f t="array" ref="AC21">tpl_title</f>
        <v>Кемеровская область / 2026 / КАО "Азот" (ИНН:4205000908, КПП:997550001) / ДПР: 2024-2028</v>
      </c>
    </row>
    <row r="22" spans="1:44" ht="19.5" customHeight="1" x14ac:dyDescent="0.2">
      <c r="E22" s="448">
        <v>20</v>
      </c>
      <c r="AB22" s="226" t="s">
        <v>65</v>
      </c>
      <c r="AC22" s="139"/>
      <c r="AD22" s="139"/>
      <c r="AE22" s="139"/>
      <c r="AF22" s="139"/>
      <c r="AG22" s="139"/>
      <c r="AH22" s="139"/>
      <c r="AI22" s="139"/>
      <c r="AJ22" s="139"/>
      <c r="AK22" s="344"/>
    </row>
    <row r="23" spans="1:44" ht="13.9" customHeight="1" x14ac:dyDescent="0.2">
      <c r="E23" s="448">
        <v>14.25</v>
      </c>
      <c r="AB23" s="38"/>
      <c r="AC23" s="38"/>
      <c r="AD23" s="38"/>
      <c r="AE23" s="38"/>
      <c r="AF23" s="38"/>
      <c r="AG23" s="38"/>
      <c r="AH23" s="38"/>
      <c r="AI23" s="38"/>
      <c r="AJ23" s="38"/>
      <c r="AK23" s="38"/>
    </row>
    <row r="24" spans="1:44" ht="14.65" customHeight="1" x14ac:dyDescent="0.2">
      <c r="E24" s="448">
        <v>15</v>
      </c>
      <c r="AB24" s="993" t="s">
        <v>21</v>
      </c>
      <c r="AC24" s="993" t="s">
        <v>367</v>
      </c>
      <c r="AD24" s="993" t="s">
        <v>1063</v>
      </c>
      <c r="AE24" s="10" t="str">
        <f>god-2&amp;" год"</f>
        <v>2024 год</v>
      </c>
      <c r="AF24" s="727" t="str">
        <f>god-2&amp;" год"</f>
        <v>2024 год</v>
      </c>
      <c r="AG24" s="10" t="str">
        <f>god-2&amp;" год"</f>
        <v>2024 год</v>
      </c>
      <c r="AH24" s="10" t="str">
        <f>god-1&amp;" год"</f>
        <v>2025 год</v>
      </c>
      <c r="AI24" s="725" t="str">
        <f>god&amp;" год"</f>
        <v>2026 год</v>
      </c>
      <c r="AJ24" s="11" t="str">
        <f>god&amp;" год"</f>
        <v>2026 год</v>
      </c>
      <c r="AK24" s="1054" t="s">
        <v>553</v>
      </c>
    </row>
    <row r="25" spans="1:44" ht="44.1" customHeight="1" x14ac:dyDescent="0.2">
      <c r="E25" s="448">
        <v>45.25</v>
      </c>
      <c r="AB25" s="993"/>
      <c r="AC25" s="993"/>
      <c r="AD25" s="993"/>
      <c r="AE25" s="10" t="s">
        <v>360</v>
      </c>
      <c r="AF25" s="727" t="s">
        <v>470</v>
      </c>
      <c r="AG25" s="10" t="s">
        <v>471</v>
      </c>
      <c r="AH25" s="10" t="s">
        <v>360</v>
      </c>
      <c r="AI25" s="729" t="s">
        <v>361</v>
      </c>
      <c r="AJ25" s="262" t="s">
        <v>360</v>
      </c>
      <c r="AK25" s="1054"/>
    </row>
    <row r="26" spans="1:44" ht="12" hidden="1" customHeight="1" x14ac:dyDescent="0.2">
      <c r="E26" s="448">
        <v>0</v>
      </c>
      <c r="AB26" s="523"/>
      <c r="AC26" s="523"/>
      <c r="AD26" s="523"/>
      <c r="AE26" s="528"/>
      <c r="AF26" s="528"/>
      <c r="AG26" s="528"/>
      <c r="AH26" s="528"/>
      <c r="AI26" s="62"/>
      <c r="AJ26" s="62"/>
      <c r="AK26" s="529"/>
    </row>
    <row r="27" spans="1:44" ht="14.65" hidden="1" customHeight="1" x14ac:dyDescent="0.2">
      <c r="E27" s="448">
        <v>15</v>
      </c>
      <c r="F27" s="17" cm="1">
        <f t="array" ref="F27">X27</f>
        <v>0</v>
      </c>
      <c r="G27" s="38" t="s">
        <v>1256</v>
      </c>
      <c r="T27" s="353" t="b">
        <f>X27&gt;0</f>
        <v>0</v>
      </c>
      <c r="V27" s="38" t="s">
        <v>264</v>
      </c>
      <c r="X27" s="990">
        <v>0</v>
      </c>
      <c r="Z27" s="967"/>
      <c r="AB27" s="135" t="str" cm="1">
        <f t="array" ref="AB27">INDEX('Общие сведения'!$AG$179:$AG$236,MATCH($X27,'Общие сведения'!$Z$179:$Z$236,0))</f>
        <v xml:space="preserve">Тариф 0 () - </v>
      </c>
      <c r="AC27" s="94"/>
      <c r="AD27" s="94"/>
      <c r="AE27" s="214">
        <f t="shared" ref="AE27:AJ27" ca="1" si="0">SUM(AE28:AE36)</f>
        <v>0</v>
      </c>
      <c r="AF27" s="214">
        <f t="shared" ca="1" si="0"/>
        <v>0</v>
      </c>
      <c r="AG27" s="214">
        <f t="shared" ca="1" si="0"/>
        <v>0</v>
      </c>
      <c r="AH27" s="214">
        <f t="shared" ca="1" si="0"/>
        <v>0</v>
      </c>
      <c r="AI27" s="214">
        <f t="shared" ca="1" si="0"/>
        <v>0</v>
      </c>
      <c r="AJ27" s="214">
        <f t="shared" ca="1" si="0"/>
        <v>0</v>
      </c>
      <c r="AK27" s="137"/>
    </row>
    <row r="28" spans="1:44" ht="21.95" hidden="1" customHeight="1" x14ac:dyDescent="0.2">
      <c r="E28" s="448">
        <v>22.5</v>
      </c>
      <c r="F28" s="3" cm="1">
        <f t="array" aca="1" ref="F28" ca="1">OFFSET(E28,-1,1)</f>
        <v>0</v>
      </c>
      <c r="G28" s="38" t="s">
        <v>331</v>
      </c>
      <c r="K28" s="40" t="str">
        <f ca="1">F28&amp;"komm"</f>
        <v>0komm</v>
      </c>
      <c r="L28" s="609" cm="1">
        <f t="array" ref="L28">AK28</f>
        <v>0</v>
      </c>
      <c r="T28" s="353" t="b" cm="1">
        <f t="array" ref="T28">T27</f>
        <v>0</v>
      </c>
      <c r="X28" s="990"/>
      <c r="Z28" s="967"/>
      <c r="AB28" s="133" t="s">
        <v>275</v>
      </c>
      <c r="AC28" s="346" t="s">
        <v>1257</v>
      </c>
      <c r="AD28" s="7" t="s">
        <v>828</v>
      </c>
      <c r="AE28" s="781"/>
      <c r="AF28" s="854"/>
      <c r="AG28" s="854"/>
      <c r="AH28" s="854"/>
      <c r="AI28" s="142"/>
      <c r="AJ28" s="142"/>
      <c r="AK28" s="826"/>
      <c r="AN28" s="656" t="s">
        <v>1258</v>
      </c>
    </row>
    <row r="29" spans="1:44" ht="21.95" hidden="1" customHeight="1" x14ac:dyDescent="0.2">
      <c r="E29" s="448">
        <v>22.5</v>
      </c>
      <c r="F29" s="3" cm="1">
        <f t="array" aca="1" ref="F29" ca="1">OFFSET(E29,-1,1)</f>
        <v>0</v>
      </c>
      <c r="G29" s="38" t="s">
        <v>332</v>
      </c>
      <c r="T29" s="353" t="b" cm="1">
        <f t="array" ref="T29">T28</f>
        <v>0</v>
      </c>
      <c r="X29" s="990"/>
      <c r="Z29" s="967"/>
      <c r="AB29" s="133" t="s">
        <v>285</v>
      </c>
      <c r="AC29" s="346" t="s">
        <v>1259</v>
      </c>
      <c r="AD29" s="7" t="s">
        <v>828</v>
      </c>
      <c r="AE29" s="781"/>
      <c r="AF29" s="854"/>
      <c r="AG29" s="854"/>
      <c r="AH29" s="854"/>
      <c r="AI29" s="142"/>
      <c r="AJ29" s="142"/>
      <c r="AK29" s="826"/>
      <c r="AN29" s="656" t="s">
        <v>1260</v>
      </c>
    </row>
    <row r="30" spans="1:44" ht="21.95" hidden="1" customHeight="1" x14ac:dyDescent="0.2">
      <c r="E30" s="448">
        <v>22.5</v>
      </c>
      <c r="F30" s="3" cm="1">
        <f t="array" aca="1" ref="F30" ca="1">OFFSET(E30,-1,1)</f>
        <v>0</v>
      </c>
      <c r="G30" s="38" t="s">
        <v>333</v>
      </c>
      <c r="T30" s="353" t="b" cm="1">
        <f t="array" ref="T30">T29</f>
        <v>0</v>
      </c>
      <c r="X30" s="990"/>
      <c r="Z30" s="967"/>
      <c r="AB30" s="133" t="s">
        <v>291</v>
      </c>
      <c r="AC30" s="346" t="s">
        <v>1261</v>
      </c>
      <c r="AD30" s="7" t="s">
        <v>828</v>
      </c>
      <c r="AE30" s="781"/>
      <c r="AF30" s="854"/>
      <c r="AG30" s="854"/>
      <c r="AH30" s="854"/>
      <c r="AI30" s="142"/>
      <c r="AJ30" s="142"/>
      <c r="AK30" s="826"/>
      <c r="AN30" s="656" t="s">
        <v>1262</v>
      </c>
    </row>
    <row r="31" spans="1:44" ht="32.85" hidden="1" customHeight="1" x14ac:dyDescent="0.2">
      <c r="E31" s="448">
        <v>33.75</v>
      </c>
      <c r="F31" s="765" cm="1">
        <f t="array" aca="1" ref="F31" ca="1">OFFSET(E31,-1,1)</f>
        <v>0</v>
      </c>
      <c r="G31" s="38" t="s">
        <v>335</v>
      </c>
      <c r="T31" s="353" t="b" cm="1">
        <f t="array" ref="T31">T30</f>
        <v>0</v>
      </c>
      <c r="X31" s="990"/>
      <c r="Z31" s="967"/>
      <c r="AB31" s="7">
        <v>4</v>
      </c>
      <c r="AC31" s="346" t="s">
        <v>1263</v>
      </c>
      <c r="AD31" s="7" t="s">
        <v>828</v>
      </c>
      <c r="AE31" s="171">
        <f ca="1">SUMIFS(ФОТ!AE$25:AE$127,ФОТ!$F$25:$F$127,$F31,ФОТ!$G$25:$G$127,"СП")+SUMIFS(ФОТ!AE$25:AE$127,ФОТ!$F$25:$F$127,$F31,ФОТ!$G$25:$G$127,"СОЦ_СП")</f>
        <v>0</v>
      </c>
      <c r="AF31" s="171">
        <f ca="1">SUMIFS(ФОТ!AF$25:AF$127,ФОТ!$F$25:$F$127,$F31,ФОТ!$G$25:$G$127,"СП")+SUMIFS(ФОТ!AF$25:AF$127,ФОТ!$F$25:$F$127,$F31,ФОТ!$G$25:$G$127,"СОЦ_СП")</f>
        <v>0</v>
      </c>
      <c r="AG31" s="171">
        <f ca="1">SUMIFS(ФОТ!AG$25:AG$127,ФОТ!$F$25:$F$127,$F31,ФОТ!$G$25:$G$127,"СП")+SUMIFS(ФОТ!AG$25:AG$127,ФОТ!$F$25:$F$127,$F31,ФОТ!$G$25:$G$127,"СОЦ_СП")</f>
        <v>0</v>
      </c>
      <c r="AH31" s="171">
        <f ca="1">SUMIFS(ФОТ!AH$25:AH$127,ФОТ!$F$25:$F$127,$F31,ФОТ!$G$25:$G$127,"СП")+SUMIFS(ФОТ!AH$25:AH$127,ФОТ!$F$25:$F$127,$F31,ФОТ!$G$25:$G$127,"СОЦ_СП")</f>
        <v>0</v>
      </c>
      <c r="AI31" s="171">
        <f ca="1">SUMIFS(ФОТ!AI$25:AI$127,ФОТ!$F$25:$F$127,$F31,ФОТ!$G$25:$G$127,"СП")+SUMIFS(ФОТ!AI$25:AI$127,ФОТ!$F$25:$F$127,$F31,ФОТ!$G$25:$G$127,"СОЦ_СП")</f>
        <v>0</v>
      </c>
      <c r="AJ31" s="171">
        <f ca="1">SUMIFS(ФОТ!AJ$25:AJ$127,ФОТ!$F$25:$F$127,$F31,ФОТ!$G$25:$G$127,"СП")+SUMIFS(ФОТ!AJ$25:AJ$127,ФОТ!$F$25:$F$127,$F31,ФОТ!$G$25:$G$127,"СОЦ_СП")</f>
        <v>0</v>
      </c>
      <c r="AK31" s="826"/>
      <c r="AM31"/>
      <c r="AN31" s="661" t="s">
        <v>1264</v>
      </c>
      <c r="AO31" s="661"/>
      <c r="AP31" s="661"/>
      <c r="AQ31" s="454"/>
      <c r="AR31" s="454"/>
    </row>
    <row r="32" spans="1:44" ht="32.85" hidden="1" customHeight="1" x14ac:dyDescent="0.2">
      <c r="E32" s="448">
        <v>33.75</v>
      </c>
      <c r="F32" s="3" cm="1">
        <f t="array" aca="1" ref="F32" ca="1">OFFSET(E32,-1,1)</f>
        <v>0</v>
      </c>
      <c r="G32" s="38" t="s">
        <v>334</v>
      </c>
      <c r="T32" s="353" t="b" cm="1">
        <f t="array" ref="T32">T31</f>
        <v>0</v>
      </c>
      <c r="X32" s="990"/>
      <c r="Z32" s="967"/>
      <c r="AB32" s="133" t="s">
        <v>460</v>
      </c>
      <c r="AC32" s="346" t="s">
        <v>1265</v>
      </c>
      <c r="AD32" s="7" t="s">
        <v>828</v>
      </c>
      <c r="AE32" s="781"/>
      <c r="AF32" s="781"/>
      <c r="AG32" s="781"/>
      <c r="AH32" s="781"/>
      <c r="AI32" s="141"/>
      <c r="AJ32" s="141"/>
      <c r="AK32" s="826"/>
      <c r="AN32" s="656" t="s">
        <v>1247</v>
      </c>
    </row>
    <row r="33" spans="1:44" ht="21.95" hidden="1" customHeight="1" x14ac:dyDescent="0.2">
      <c r="E33" s="448">
        <v>22.5</v>
      </c>
      <c r="F33" s="3" cm="1">
        <f t="array" aca="1" ref="F33" ca="1">OFFSET(E33,-1,1)</f>
        <v>0</v>
      </c>
      <c r="G33" s="38" t="s">
        <v>532</v>
      </c>
      <c r="T33" s="353" t="b" cm="1">
        <f t="array" ref="T33">T32</f>
        <v>0</v>
      </c>
      <c r="X33" s="990"/>
      <c r="Z33" s="967"/>
      <c r="AB33" s="133" t="s">
        <v>536</v>
      </c>
      <c r="AC33" s="346" t="s">
        <v>1266</v>
      </c>
      <c r="AD33" s="7" t="s">
        <v>828</v>
      </c>
      <c r="AE33" s="781"/>
      <c r="AF33" s="781"/>
      <c r="AG33" s="781"/>
      <c r="AH33" s="781"/>
      <c r="AI33" s="141"/>
      <c r="AJ33" s="141"/>
      <c r="AK33" s="826"/>
      <c r="AN33" s="656" t="s">
        <v>1233</v>
      </c>
    </row>
    <row r="34" spans="1:44" ht="43.9" hidden="1" customHeight="1" x14ac:dyDescent="0.2">
      <c r="E34" s="448">
        <v>45</v>
      </c>
      <c r="F34" s="3" cm="1">
        <f t="array" aca="1" ref="F34" ca="1">OFFSET(E34,-1,1)</f>
        <v>0</v>
      </c>
      <c r="G34" s="38" t="s">
        <v>535</v>
      </c>
      <c r="T34" s="353" t="b" cm="1">
        <f t="array" ref="T34">T33</f>
        <v>0</v>
      </c>
      <c r="X34" s="990"/>
      <c r="Z34" s="967"/>
      <c r="AB34" s="133" t="s">
        <v>602</v>
      </c>
      <c r="AC34" s="346" t="s">
        <v>1267</v>
      </c>
      <c r="AD34" s="7" t="s">
        <v>828</v>
      </c>
      <c r="AE34" s="781"/>
      <c r="AF34" s="781"/>
      <c r="AG34" s="781"/>
      <c r="AH34" s="781"/>
      <c r="AI34" s="141"/>
      <c r="AJ34" s="141"/>
      <c r="AK34" s="826"/>
      <c r="AN34" s="656" t="s">
        <v>1268</v>
      </c>
    </row>
    <row r="35" spans="1:44" ht="43.9" hidden="1" customHeight="1" x14ac:dyDescent="0.2">
      <c r="E35" s="448">
        <v>45</v>
      </c>
      <c r="F35" s="3" cm="1">
        <f t="array" aca="1" ref="F35" ca="1">OFFSET(E35,-1,1)</f>
        <v>0</v>
      </c>
      <c r="G35" s="38" t="s">
        <v>586</v>
      </c>
      <c r="T35" s="353" t="b" cm="1">
        <f t="array" ref="T35">T34</f>
        <v>0</v>
      </c>
      <c r="X35" s="990"/>
      <c r="Z35" s="967"/>
      <c r="AB35" s="133" t="s">
        <v>610</v>
      </c>
      <c r="AC35" s="346" t="s">
        <v>1269</v>
      </c>
      <c r="AD35" s="7" t="s">
        <v>828</v>
      </c>
      <c r="AE35" s="781"/>
      <c r="AF35" s="781"/>
      <c r="AG35" s="781"/>
      <c r="AH35" s="781"/>
      <c r="AI35" s="141"/>
      <c r="AJ35" s="141"/>
      <c r="AK35" s="826"/>
      <c r="AN35" s="656" t="s">
        <v>1270</v>
      </c>
    </row>
    <row r="36" spans="1:44" ht="14.65" hidden="1" customHeight="1" x14ac:dyDescent="0.2">
      <c r="E36" s="448">
        <v>15</v>
      </c>
      <c r="F36" s="3" cm="1">
        <f t="array" aca="1" ref="F36" ca="1">OFFSET(E36,-1,1)</f>
        <v>0</v>
      </c>
      <c r="G36" s="38" t="s">
        <v>601</v>
      </c>
      <c r="T36" s="353" t="b" cm="1">
        <f t="array" ref="T36">T35</f>
        <v>0</v>
      </c>
      <c r="X36" s="990"/>
      <c r="Z36" s="967"/>
      <c r="AB36" s="98">
        <v>9</v>
      </c>
      <c r="AC36" s="346" t="s">
        <v>1271</v>
      </c>
      <c r="AD36" s="7" t="s">
        <v>828</v>
      </c>
      <c r="AE36" s="148">
        <f t="shared" ref="AE36:AJ36" si="1">SUM(AE37:AE38)</f>
        <v>0</v>
      </c>
      <c r="AF36" s="148">
        <f t="shared" si="1"/>
        <v>0</v>
      </c>
      <c r="AG36" s="148">
        <f t="shared" si="1"/>
        <v>0</v>
      </c>
      <c r="AH36" s="148">
        <f t="shared" si="1"/>
        <v>0</v>
      </c>
      <c r="AI36" s="148">
        <f t="shared" si="1"/>
        <v>0</v>
      </c>
      <c r="AJ36" s="148">
        <f t="shared" si="1"/>
        <v>0</v>
      </c>
      <c r="AK36" s="826"/>
      <c r="AN36" s="656" t="s">
        <v>394</v>
      </c>
    </row>
    <row r="37" spans="1:44" ht="14.65" hidden="1" customHeight="1" x14ac:dyDescent="0.2">
      <c r="E37" s="448">
        <v>15</v>
      </c>
      <c r="F37" s="3" cm="1">
        <f t="array" aca="1" ref="F37" ca="1">OFFSET(E37,-1,1)</f>
        <v>0</v>
      </c>
      <c r="G37" s="38" t="s">
        <v>601</v>
      </c>
      <c r="H37" s="38" cm="1">
        <f t="array" ref="H37">AC37</f>
        <v>0</v>
      </c>
      <c r="T37" s="353" t="b">
        <f ca="1">AND(F37&gt;0,Y37&gt;0)</f>
        <v>0</v>
      </c>
      <c r="W37" s="517" t="s">
        <v>172</v>
      </c>
      <c r="X37" s="990"/>
      <c r="Y37" s="38">
        <v>0</v>
      </c>
      <c r="Z37" s="967"/>
      <c r="AA37" s="320" t="s">
        <v>173</v>
      </c>
      <c r="AB37" s="500" t="str">
        <f>"9."&amp;Y37</f>
        <v>9.0</v>
      </c>
      <c r="AC37" s="780"/>
      <c r="AD37" s="7" t="s">
        <v>828</v>
      </c>
      <c r="AE37" s="781"/>
      <c r="AF37" s="781"/>
      <c r="AG37" s="781"/>
      <c r="AH37" s="781"/>
      <c r="AI37" s="141"/>
      <c r="AJ37" s="141"/>
      <c r="AK37" s="826"/>
      <c r="AN37" s="656" t="s">
        <v>394</v>
      </c>
      <c r="AO37" s="656" t="s">
        <v>1272</v>
      </c>
      <c r="AP37" s="656" cm="1">
        <f t="array" ref="AP37">AC37</f>
        <v>0</v>
      </c>
      <c r="AR37" s="448" t="b">
        <v>1</v>
      </c>
    </row>
    <row r="38" spans="1:44" ht="14.65" hidden="1" customHeight="1" x14ac:dyDescent="0.2">
      <c r="A38" s="62"/>
      <c r="B38" s="326"/>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3" t="b">
        <f ca="1">F38&gt;0</f>
        <v>0</v>
      </c>
      <c r="U38" s="62"/>
      <c r="V38" s="62"/>
      <c r="W38" s="517" t="s">
        <v>824</v>
      </c>
      <c r="X38" s="990"/>
      <c r="Y38" s="62"/>
      <c r="Z38" s="967"/>
      <c r="AA38" s="62"/>
      <c r="AB38" s="144"/>
      <c r="AC38" s="145" t="s">
        <v>176</v>
      </c>
      <c r="AD38" s="145"/>
      <c r="AE38" s="145"/>
      <c r="AF38" s="145"/>
      <c r="AG38" s="145"/>
      <c r="AH38" s="145"/>
      <c r="AI38" s="145"/>
      <c r="AJ38" s="145"/>
      <c r="AK38" s="146"/>
      <c r="AL38" s="62"/>
      <c r="AQ38" s="448" t="s">
        <v>1272</v>
      </c>
    </row>
    <row r="39" spans="1:44" ht="14.25" customHeight="1" x14ac:dyDescent="0.2">
      <c r="E39" s="448">
        <v>15</v>
      </c>
      <c r="F39" s="17" t="str" cm="1">
        <f t="array" ref="F39">X39</f>
        <v>1</v>
      </c>
      <c r="G39" s="38" t="s">
        <v>1256</v>
      </c>
      <c r="T39" s="353" t="b">
        <f>X39&gt;0</f>
        <v>1</v>
      </c>
      <c r="V39" s="38" t="str" cm="1">
        <f t="array" ref="V39">Административные!$AB$46</f>
        <v>Тариф 1 (Водоснабжение) - тариф на техническую воду</v>
      </c>
      <c r="X39" s="990" t="s">
        <v>275</v>
      </c>
      <c r="Z39" s="967"/>
      <c r="AB39" s="135" t="str" cm="1">
        <f t="array" ref="AB39">Административные!$AB$46</f>
        <v>Тариф 1 (Водоснабжение) - тариф на техническую воду</v>
      </c>
      <c r="AC39" s="94"/>
      <c r="AD39" s="94"/>
      <c r="AE39" s="214">
        <f t="shared" ref="AE39:AJ39" ca="1" si="2">SUM(AE40:AE48)</f>
        <v>0</v>
      </c>
      <c r="AF39" s="214">
        <f t="shared" ca="1" si="2"/>
        <v>0</v>
      </c>
      <c r="AG39" s="214">
        <f t="shared" ca="1" si="2"/>
        <v>0</v>
      </c>
      <c r="AH39" s="214">
        <f t="shared" ca="1" si="2"/>
        <v>0</v>
      </c>
      <c r="AI39" s="214">
        <f t="shared" ca="1" si="2"/>
        <v>0</v>
      </c>
      <c r="AJ39" s="214">
        <f t="shared" ca="1" si="2"/>
        <v>0</v>
      </c>
      <c r="AK39" s="137"/>
    </row>
    <row r="40" spans="1:44" ht="21.75" customHeight="1" x14ac:dyDescent="0.2">
      <c r="E40" s="448">
        <v>22.5</v>
      </c>
      <c r="F40" s="3" t="str" cm="1">
        <f t="array" aca="1" ref="F40" ca="1">OFFSET(E40,-1,1)</f>
        <v>1</v>
      </c>
      <c r="G40" s="38" t="s">
        <v>331</v>
      </c>
      <c r="K40" s="40" t="str">
        <f ca="1">F40&amp;"komm"</f>
        <v>1komm</v>
      </c>
      <c r="L40" s="609" cm="1">
        <f t="array" ref="L40">AK40</f>
        <v>0</v>
      </c>
      <c r="T40" s="353" t="b" cm="1">
        <f t="array" ref="T40">T39</f>
        <v>1</v>
      </c>
      <c r="X40" s="990"/>
      <c r="Z40" s="967"/>
      <c r="AB40" s="133" t="s">
        <v>275</v>
      </c>
      <c r="AC40" s="346" t="s">
        <v>1257</v>
      </c>
      <c r="AD40" s="7" t="s">
        <v>828</v>
      </c>
      <c r="AE40" s="141"/>
      <c r="AF40" s="142"/>
      <c r="AG40" s="142"/>
      <c r="AH40" s="142"/>
      <c r="AI40" s="142"/>
      <c r="AJ40" s="142"/>
      <c r="AK40" s="113"/>
      <c r="AN40" s="656" t="s">
        <v>1258</v>
      </c>
    </row>
    <row r="41" spans="1:44" ht="21.75" customHeight="1" x14ac:dyDescent="0.2">
      <c r="E41" s="448">
        <v>22.5</v>
      </c>
      <c r="F41" s="3" t="str" cm="1">
        <f t="array" aca="1" ref="F41" ca="1">OFFSET(E41,-1,1)</f>
        <v>1</v>
      </c>
      <c r="G41" s="38" t="s">
        <v>332</v>
      </c>
      <c r="T41" s="353" t="b" cm="1">
        <f t="array" ref="T41">T40</f>
        <v>1</v>
      </c>
      <c r="X41" s="990"/>
      <c r="Z41" s="967"/>
      <c r="AB41" s="133" t="s">
        <v>285</v>
      </c>
      <c r="AC41" s="346" t="s">
        <v>1259</v>
      </c>
      <c r="AD41" s="7" t="s">
        <v>828</v>
      </c>
      <c r="AE41" s="141"/>
      <c r="AF41" s="142"/>
      <c r="AG41" s="142"/>
      <c r="AH41" s="142"/>
      <c r="AI41" s="142"/>
      <c r="AJ41" s="142"/>
      <c r="AK41" s="113"/>
      <c r="AN41" s="656" t="s">
        <v>1260</v>
      </c>
    </row>
    <row r="42" spans="1:44" ht="21.75" customHeight="1" x14ac:dyDescent="0.2">
      <c r="E42" s="448">
        <v>22.5</v>
      </c>
      <c r="F42" s="3" t="str" cm="1">
        <f t="array" aca="1" ref="F42" ca="1">OFFSET(E42,-1,1)</f>
        <v>1</v>
      </c>
      <c r="G42" s="38" t="s">
        <v>333</v>
      </c>
      <c r="T42" s="353" t="b" cm="1">
        <f t="array" ref="T42">T41</f>
        <v>1</v>
      </c>
      <c r="X42" s="990"/>
      <c r="Z42" s="967"/>
      <c r="AB42" s="133" t="s">
        <v>291</v>
      </c>
      <c r="AC42" s="346" t="s">
        <v>1261</v>
      </c>
      <c r="AD42" s="7" t="s">
        <v>828</v>
      </c>
      <c r="AE42" s="141"/>
      <c r="AF42" s="142"/>
      <c r="AG42" s="142"/>
      <c r="AH42" s="142"/>
      <c r="AI42" s="142"/>
      <c r="AJ42" s="142"/>
      <c r="AK42" s="113"/>
      <c r="AN42" s="656" t="s">
        <v>1262</v>
      </c>
    </row>
    <row r="43" spans="1:44" ht="32.25" customHeight="1" x14ac:dyDescent="0.2">
      <c r="E43" s="448">
        <v>33.75</v>
      </c>
      <c r="F43" s="765" t="str" cm="1">
        <f t="array" aca="1" ref="F43" ca="1">OFFSET(E43,-1,1)</f>
        <v>1</v>
      </c>
      <c r="G43" s="38" t="s">
        <v>335</v>
      </c>
      <c r="T43" s="353" t="b" cm="1">
        <f t="array" ref="T43">T42</f>
        <v>1</v>
      </c>
      <c r="X43" s="990"/>
      <c r="Z43" s="967"/>
      <c r="AB43" s="7">
        <v>4</v>
      </c>
      <c r="AC43" s="346" t="s">
        <v>1263</v>
      </c>
      <c r="AD43" s="7" t="s">
        <v>828</v>
      </c>
      <c r="AE43" s="171">
        <f ca="1">SUMIFS(ФОТ!AE$25:AE$127,ФОТ!$F$25:$F$127,$F43,ФОТ!$G$25:$G$127,"СП")+SUMIFS(ФОТ!AE$25:AE$127,ФОТ!$F$25:$F$127,$F43,ФОТ!$G$25:$G$127,"СОЦ_СП")</f>
        <v>0</v>
      </c>
      <c r="AF43" s="171">
        <f ca="1">SUMIFS(ФОТ!AF$25:AF$127,ФОТ!$F$25:$F$127,$F43,ФОТ!$G$25:$G$127,"СП")+SUMIFS(ФОТ!AF$25:AF$127,ФОТ!$F$25:$F$127,$F43,ФОТ!$G$25:$G$127,"СОЦ_СП")</f>
        <v>0</v>
      </c>
      <c r="AG43" s="171">
        <f ca="1">SUMIFS(ФОТ!AG$25:AG$127,ФОТ!$F$25:$F$127,$F43,ФОТ!$G$25:$G$127,"СП")+SUMIFS(ФОТ!AG$25:AG$127,ФОТ!$F$25:$F$127,$F43,ФОТ!$G$25:$G$127,"СОЦ_СП")</f>
        <v>0</v>
      </c>
      <c r="AH43" s="171">
        <f ca="1">SUMIFS(ФОТ!AH$25:AH$127,ФОТ!$F$25:$F$127,$F43,ФОТ!$G$25:$G$127,"СП")+SUMIFS(ФОТ!AH$25:AH$127,ФОТ!$F$25:$F$127,$F43,ФОТ!$G$25:$G$127,"СОЦ_СП")</f>
        <v>0</v>
      </c>
      <c r="AI43" s="171">
        <f ca="1">SUMIFS(ФОТ!AI$25:AI$127,ФОТ!$F$25:$F$127,$F43,ФОТ!$G$25:$G$127,"СП")+SUMIFS(ФОТ!AI$25:AI$127,ФОТ!$F$25:$F$127,$F43,ФОТ!$G$25:$G$127,"СОЦ_СП")</f>
        <v>0</v>
      </c>
      <c r="AJ43" s="171">
        <f ca="1">SUMIFS(ФОТ!AJ$25:AJ$127,ФОТ!$F$25:$F$127,$F43,ФОТ!$G$25:$G$127,"СП")+SUMIFS(ФОТ!AJ$25:AJ$127,ФОТ!$F$25:$F$127,$F43,ФОТ!$G$25:$G$127,"СОЦ_СП")</f>
        <v>0</v>
      </c>
      <c r="AK43" s="113"/>
      <c r="AM43"/>
      <c r="AN43" s="661" t="s">
        <v>1264</v>
      </c>
      <c r="AO43" s="661"/>
      <c r="AP43" s="661"/>
      <c r="AQ43" s="454"/>
      <c r="AR43" s="454"/>
    </row>
    <row r="44" spans="1:44" ht="32.25" customHeight="1" x14ac:dyDescent="0.2">
      <c r="E44" s="448">
        <v>33.75</v>
      </c>
      <c r="F44" s="3" t="str" cm="1">
        <f t="array" aca="1" ref="F44" ca="1">OFFSET(E44,-1,1)</f>
        <v>1</v>
      </c>
      <c r="G44" s="38" t="s">
        <v>334</v>
      </c>
      <c r="T44" s="353" t="b" cm="1">
        <f t="array" ref="T44">T43</f>
        <v>1</v>
      </c>
      <c r="X44" s="990"/>
      <c r="Z44" s="967"/>
      <c r="AB44" s="133" t="s">
        <v>460</v>
      </c>
      <c r="AC44" s="346" t="s">
        <v>1265</v>
      </c>
      <c r="AD44" s="7" t="s">
        <v>828</v>
      </c>
      <c r="AE44" s="141"/>
      <c r="AF44" s="141"/>
      <c r="AG44" s="141"/>
      <c r="AH44" s="141"/>
      <c r="AI44" s="141"/>
      <c r="AJ44" s="141"/>
      <c r="AK44" s="113"/>
      <c r="AN44" s="656" t="s">
        <v>1247</v>
      </c>
    </row>
    <row r="45" spans="1:44" ht="21.75" customHeight="1" x14ac:dyDescent="0.2">
      <c r="E45" s="448">
        <v>22.5</v>
      </c>
      <c r="F45" s="3" t="str" cm="1">
        <f t="array" aca="1" ref="F45" ca="1">OFFSET(E45,-1,1)</f>
        <v>1</v>
      </c>
      <c r="G45" s="38" t="s">
        <v>532</v>
      </c>
      <c r="T45" s="353" t="b" cm="1">
        <f t="array" ref="T45">T44</f>
        <v>1</v>
      </c>
      <c r="X45" s="990"/>
      <c r="Z45" s="967"/>
      <c r="AB45" s="133" t="s">
        <v>536</v>
      </c>
      <c r="AC45" s="346" t="s">
        <v>1266</v>
      </c>
      <c r="AD45" s="7" t="s">
        <v>828</v>
      </c>
      <c r="AE45" s="141"/>
      <c r="AF45" s="141"/>
      <c r="AG45" s="141"/>
      <c r="AH45" s="141"/>
      <c r="AI45" s="141"/>
      <c r="AJ45" s="141"/>
      <c r="AK45" s="113"/>
      <c r="AN45" s="656" t="s">
        <v>1233</v>
      </c>
    </row>
    <row r="46" spans="1:44" ht="43.5" customHeight="1" x14ac:dyDescent="0.2">
      <c r="E46" s="448">
        <v>45</v>
      </c>
      <c r="F46" s="3" t="str" cm="1">
        <f t="array" aca="1" ref="F46" ca="1">OFFSET(E46,-1,1)</f>
        <v>1</v>
      </c>
      <c r="G46" s="38" t="s">
        <v>535</v>
      </c>
      <c r="T46" s="353" t="b" cm="1">
        <f t="array" ref="T46">T45</f>
        <v>1</v>
      </c>
      <c r="X46" s="990"/>
      <c r="Z46" s="967"/>
      <c r="AB46" s="133" t="s">
        <v>602</v>
      </c>
      <c r="AC46" s="346" t="s">
        <v>1267</v>
      </c>
      <c r="AD46" s="7" t="s">
        <v>828</v>
      </c>
      <c r="AE46" s="141"/>
      <c r="AF46" s="141"/>
      <c r="AG46" s="141"/>
      <c r="AH46" s="141"/>
      <c r="AI46" s="141"/>
      <c r="AJ46" s="141"/>
      <c r="AK46" s="113"/>
      <c r="AN46" s="656" t="s">
        <v>1268</v>
      </c>
    </row>
    <row r="47" spans="1:44" ht="43.5" customHeight="1" x14ac:dyDescent="0.2">
      <c r="E47" s="448">
        <v>45</v>
      </c>
      <c r="F47" s="3" t="str" cm="1">
        <f t="array" aca="1" ref="F47" ca="1">OFFSET(E47,-1,1)</f>
        <v>1</v>
      </c>
      <c r="G47" s="38" t="s">
        <v>586</v>
      </c>
      <c r="T47" s="353" t="b" cm="1">
        <f t="array" ref="T47">T46</f>
        <v>1</v>
      </c>
      <c r="X47" s="990"/>
      <c r="Z47" s="967"/>
      <c r="AB47" s="133" t="s">
        <v>610</v>
      </c>
      <c r="AC47" s="346" t="s">
        <v>1269</v>
      </c>
      <c r="AD47" s="7" t="s">
        <v>828</v>
      </c>
      <c r="AE47" s="141"/>
      <c r="AF47" s="141"/>
      <c r="AG47" s="141"/>
      <c r="AH47" s="141"/>
      <c r="AI47" s="141"/>
      <c r="AJ47" s="141"/>
      <c r="AK47" s="113"/>
      <c r="AN47" s="656" t="s">
        <v>1270</v>
      </c>
    </row>
    <row r="48" spans="1:44" ht="14.25" customHeight="1" x14ac:dyDescent="0.2">
      <c r="E48" s="448">
        <v>15</v>
      </c>
      <c r="F48" s="3" t="str" cm="1">
        <f t="array" aca="1" ref="F48" ca="1">OFFSET(E48,-1,1)</f>
        <v>1</v>
      </c>
      <c r="G48" s="38" t="s">
        <v>601</v>
      </c>
      <c r="T48" s="353" t="b" cm="1">
        <f t="array" ref="T48">T47</f>
        <v>1</v>
      </c>
      <c r="X48" s="990"/>
      <c r="Z48" s="967"/>
      <c r="AB48" s="98">
        <v>9</v>
      </c>
      <c r="AC48" s="346" t="s">
        <v>1271</v>
      </c>
      <c r="AD48" s="7" t="s">
        <v>828</v>
      </c>
      <c r="AE48" s="148">
        <f t="shared" ref="AE48:AJ48" si="3">SUM(AE49:AE50)</f>
        <v>0</v>
      </c>
      <c r="AF48" s="148">
        <f t="shared" si="3"/>
        <v>0</v>
      </c>
      <c r="AG48" s="148">
        <f t="shared" si="3"/>
        <v>0</v>
      </c>
      <c r="AH48" s="148">
        <f t="shared" si="3"/>
        <v>0</v>
      </c>
      <c r="AI48" s="148">
        <f t="shared" si="3"/>
        <v>0</v>
      </c>
      <c r="AJ48" s="148">
        <f t="shared" si="3"/>
        <v>0</v>
      </c>
      <c r="AK48" s="113"/>
      <c r="AN48" s="656" t="s">
        <v>394</v>
      </c>
    </row>
    <row r="49" spans="1:44" ht="14.25" hidden="1" customHeight="1" x14ac:dyDescent="0.2">
      <c r="E49" s="448">
        <v>15</v>
      </c>
      <c r="F49" s="3" t="str" cm="1">
        <f t="array" aca="1" ref="F49" ca="1">OFFSET(E49,-1,1)</f>
        <v>1</v>
      </c>
      <c r="G49" s="38" t="s">
        <v>601</v>
      </c>
      <c r="H49" s="38" cm="1">
        <f t="array" ref="H49">AC49</f>
        <v>0</v>
      </c>
      <c r="T49" s="353" t="b">
        <f ca="1">AND(F49&gt;0,Y49&gt;0)</f>
        <v>0</v>
      </c>
      <c r="W49" s="517" t="s">
        <v>172</v>
      </c>
      <c r="X49" s="990"/>
      <c r="Y49" s="38">
        <v>0</v>
      </c>
      <c r="Z49" s="967"/>
      <c r="AA49" s="320" t="s">
        <v>173</v>
      </c>
      <c r="AB49" s="500" t="str">
        <f>"9."&amp;Y49</f>
        <v>9.0</v>
      </c>
      <c r="AC49" s="780"/>
      <c r="AD49" s="7" t="s">
        <v>828</v>
      </c>
      <c r="AE49" s="781"/>
      <c r="AF49" s="781"/>
      <c r="AG49" s="781"/>
      <c r="AH49" s="781"/>
      <c r="AI49" s="141"/>
      <c r="AJ49" s="141"/>
      <c r="AK49" s="826"/>
      <c r="AN49" s="656" t="s">
        <v>394</v>
      </c>
      <c r="AO49" s="656" t="s">
        <v>1272</v>
      </c>
      <c r="AP49" s="656" cm="1">
        <f t="array" ref="AP49">AC49</f>
        <v>0</v>
      </c>
      <c r="AR49" s="448" t="b">
        <v>1</v>
      </c>
    </row>
    <row r="50" spans="1:44" ht="14.25" customHeight="1" x14ac:dyDescent="0.2">
      <c r="A50" s="62"/>
      <c r="B50" s="326"/>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3" t="b">
        <f ca="1">F50&gt;0</f>
        <v>1</v>
      </c>
      <c r="U50" s="62"/>
      <c r="V50" s="62"/>
      <c r="W50" s="517" t="s">
        <v>824</v>
      </c>
      <c r="X50" s="990"/>
      <c r="Y50" s="62"/>
      <c r="Z50" s="967"/>
      <c r="AA50" s="62"/>
      <c r="AB50" s="144"/>
      <c r="AC50" s="145" t="s">
        <v>176</v>
      </c>
      <c r="AD50" s="145"/>
      <c r="AE50" s="145"/>
      <c r="AF50" s="145"/>
      <c r="AG50" s="145"/>
      <c r="AH50" s="145"/>
      <c r="AI50" s="145"/>
      <c r="AJ50" s="145"/>
      <c r="AK50" s="146"/>
      <c r="AL50" s="62"/>
      <c r="AQ50" s="448" t="s">
        <v>1272</v>
      </c>
    </row>
    <row r="51" spans="1:44" ht="14.25" customHeight="1" x14ac:dyDescent="0.2">
      <c r="E51" s="448">
        <v>15</v>
      </c>
      <c r="F51" s="17" t="str" cm="1">
        <f t="array" ref="F51">X51</f>
        <v>2</v>
      </c>
      <c r="G51" s="38" t="s">
        <v>1256</v>
      </c>
      <c r="T51" s="353" t="b">
        <f>X51&gt;0</f>
        <v>1</v>
      </c>
      <c r="V51" s="38" t="str" cm="1">
        <f t="array" ref="V51">Административные!$AB$65</f>
        <v>Тариф 2 (Водоотведение) - тариф на водоотведение</v>
      </c>
      <c r="X51" s="990" t="s">
        <v>285</v>
      </c>
      <c r="Z51" s="967"/>
      <c r="AB51" s="135" t="str" cm="1">
        <f t="array" ref="AB51">Административные!$AB$65</f>
        <v>Тариф 2 (Водоотведение) - тариф на водоотведение</v>
      </c>
      <c r="AC51" s="94"/>
      <c r="AD51" s="94"/>
      <c r="AE51" s="214">
        <f t="shared" ref="AE51:AJ51" ca="1" si="4">SUM(AE52:AE60)</f>
        <v>0</v>
      </c>
      <c r="AF51" s="214">
        <f t="shared" ca="1" si="4"/>
        <v>0</v>
      </c>
      <c r="AG51" s="214">
        <f t="shared" ca="1" si="4"/>
        <v>0</v>
      </c>
      <c r="AH51" s="214">
        <f t="shared" ca="1" si="4"/>
        <v>0</v>
      </c>
      <c r="AI51" s="214">
        <f t="shared" ca="1" si="4"/>
        <v>0</v>
      </c>
      <c r="AJ51" s="214">
        <f t="shared" ca="1" si="4"/>
        <v>0</v>
      </c>
      <c r="AK51" s="137"/>
    </row>
    <row r="52" spans="1:44" ht="21.75" customHeight="1" x14ac:dyDescent="0.2">
      <c r="E52" s="448">
        <v>22.5</v>
      </c>
      <c r="F52" s="3" t="str" cm="1">
        <f t="array" aca="1" ref="F52" ca="1">OFFSET(E52,-1,1)</f>
        <v>2</v>
      </c>
      <c r="G52" s="38" t="s">
        <v>331</v>
      </c>
      <c r="K52" s="40" t="str">
        <f ca="1">F52&amp;"komm"</f>
        <v>2komm</v>
      </c>
      <c r="L52" s="609" cm="1">
        <f t="array" ref="L52">AK52</f>
        <v>0</v>
      </c>
      <c r="T52" s="353" t="b" cm="1">
        <f t="array" ref="T52">T51</f>
        <v>1</v>
      </c>
      <c r="X52" s="990"/>
      <c r="Z52" s="967"/>
      <c r="AB52" s="133" t="s">
        <v>275</v>
      </c>
      <c r="AC52" s="346" t="s">
        <v>1257</v>
      </c>
      <c r="AD52" s="7" t="s">
        <v>828</v>
      </c>
      <c r="AE52" s="141"/>
      <c r="AF52" s="142"/>
      <c r="AG52" s="142"/>
      <c r="AH52" s="142"/>
      <c r="AI52" s="142"/>
      <c r="AJ52" s="142"/>
      <c r="AK52" s="113"/>
      <c r="AN52" s="656" t="s">
        <v>1258</v>
      </c>
    </row>
    <row r="53" spans="1:44" ht="21.75" customHeight="1" x14ac:dyDescent="0.2">
      <c r="E53" s="448">
        <v>22.5</v>
      </c>
      <c r="F53" s="3" t="str" cm="1">
        <f t="array" aca="1" ref="F53" ca="1">OFFSET(E53,-1,1)</f>
        <v>2</v>
      </c>
      <c r="G53" s="38" t="s">
        <v>332</v>
      </c>
      <c r="T53" s="353" t="b" cm="1">
        <f t="array" ref="T53">T52</f>
        <v>1</v>
      </c>
      <c r="X53" s="990"/>
      <c r="Z53" s="967"/>
      <c r="AB53" s="133" t="s">
        <v>285</v>
      </c>
      <c r="AC53" s="346" t="s">
        <v>1259</v>
      </c>
      <c r="AD53" s="7" t="s">
        <v>828</v>
      </c>
      <c r="AE53" s="141"/>
      <c r="AF53" s="142"/>
      <c r="AG53" s="142"/>
      <c r="AH53" s="142"/>
      <c r="AI53" s="142"/>
      <c r="AJ53" s="142"/>
      <c r="AK53" s="113"/>
      <c r="AN53" s="656" t="s">
        <v>1260</v>
      </c>
    </row>
    <row r="54" spans="1:44" ht="21.75" customHeight="1" x14ac:dyDescent="0.2">
      <c r="E54" s="448">
        <v>22.5</v>
      </c>
      <c r="F54" s="3" t="str" cm="1">
        <f t="array" aca="1" ref="F54" ca="1">OFFSET(E54,-1,1)</f>
        <v>2</v>
      </c>
      <c r="G54" s="38" t="s">
        <v>333</v>
      </c>
      <c r="T54" s="353" t="b" cm="1">
        <f t="array" ref="T54">T53</f>
        <v>1</v>
      </c>
      <c r="X54" s="990"/>
      <c r="Z54" s="967"/>
      <c r="AB54" s="133" t="s">
        <v>291</v>
      </c>
      <c r="AC54" s="346" t="s">
        <v>1261</v>
      </c>
      <c r="AD54" s="7" t="s">
        <v>828</v>
      </c>
      <c r="AE54" s="141"/>
      <c r="AF54" s="142"/>
      <c r="AG54" s="142"/>
      <c r="AH54" s="142"/>
      <c r="AI54" s="142"/>
      <c r="AJ54" s="142"/>
      <c r="AK54" s="113"/>
      <c r="AN54" s="656" t="s">
        <v>1262</v>
      </c>
    </row>
    <row r="55" spans="1:44" ht="32.25" customHeight="1" x14ac:dyDescent="0.2">
      <c r="E55" s="448">
        <v>33.75</v>
      </c>
      <c r="F55" s="765" t="str" cm="1">
        <f t="array" aca="1" ref="F55" ca="1">OFFSET(E55,-1,1)</f>
        <v>2</v>
      </c>
      <c r="G55" s="38" t="s">
        <v>335</v>
      </c>
      <c r="T55" s="353" t="b" cm="1">
        <f t="array" ref="T55">T54</f>
        <v>1</v>
      </c>
      <c r="X55" s="990"/>
      <c r="Z55" s="967"/>
      <c r="AB55" s="7">
        <v>4</v>
      </c>
      <c r="AC55" s="346" t="s">
        <v>1263</v>
      </c>
      <c r="AD55" s="7" t="s">
        <v>828</v>
      </c>
      <c r="AE55" s="171">
        <f ca="1">SUMIFS(ФОТ!AE$25:AE$127,ФОТ!$F$25:$F$127,$F55,ФОТ!$G$25:$G$127,"СП")+SUMIFS(ФОТ!AE$25:AE$127,ФОТ!$F$25:$F$127,$F55,ФОТ!$G$25:$G$127,"СОЦ_СП")</f>
        <v>0</v>
      </c>
      <c r="AF55" s="171">
        <f ca="1">SUMIFS(ФОТ!AF$25:AF$127,ФОТ!$F$25:$F$127,$F55,ФОТ!$G$25:$G$127,"СП")+SUMIFS(ФОТ!AF$25:AF$127,ФОТ!$F$25:$F$127,$F55,ФОТ!$G$25:$G$127,"СОЦ_СП")</f>
        <v>0</v>
      </c>
      <c r="AG55" s="171">
        <f ca="1">SUMIFS(ФОТ!AG$25:AG$127,ФОТ!$F$25:$F$127,$F55,ФОТ!$G$25:$G$127,"СП")+SUMIFS(ФОТ!AG$25:AG$127,ФОТ!$F$25:$F$127,$F55,ФОТ!$G$25:$G$127,"СОЦ_СП")</f>
        <v>0</v>
      </c>
      <c r="AH55" s="171">
        <f ca="1">SUMIFS(ФОТ!AH$25:AH$127,ФОТ!$F$25:$F$127,$F55,ФОТ!$G$25:$G$127,"СП")+SUMIFS(ФОТ!AH$25:AH$127,ФОТ!$F$25:$F$127,$F55,ФОТ!$G$25:$G$127,"СОЦ_СП")</f>
        <v>0</v>
      </c>
      <c r="AI55" s="171">
        <f ca="1">SUMIFS(ФОТ!AI$25:AI$127,ФОТ!$F$25:$F$127,$F55,ФОТ!$G$25:$G$127,"СП")+SUMIFS(ФОТ!AI$25:AI$127,ФОТ!$F$25:$F$127,$F55,ФОТ!$G$25:$G$127,"СОЦ_СП")</f>
        <v>0</v>
      </c>
      <c r="AJ55" s="171">
        <f ca="1">SUMIFS(ФОТ!AJ$25:AJ$127,ФОТ!$F$25:$F$127,$F55,ФОТ!$G$25:$G$127,"СП")+SUMIFS(ФОТ!AJ$25:AJ$127,ФОТ!$F$25:$F$127,$F55,ФОТ!$G$25:$G$127,"СОЦ_СП")</f>
        <v>0</v>
      </c>
      <c r="AK55" s="113"/>
      <c r="AM55"/>
      <c r="AN55" s="661" t="s">
        <v>1264</v>
      </c>
      <c r="AO55" s="661"/>
      <c r="AP55" s="661"/>
      <c r="AQ55" s="454"/>
      <c r="AR55" s="454"/>
    </row>
    <row r="56" spans="1:44" ht="32.25" customHeight="1" x14ac:dyDescent="0.2">
      <c r="E56" s="448">
        <v>33.75</v>
      </c>
      <c r="F56" s="3" t="str" cm="1">
        <f t="array" aca="1" ref="F56" ca="1">OFFSET(E56,-1,1)</f>
        <v>2</v>
      </c>
      <c r="G56" s="38" t="s">
        <v>334</v>
      </c>
      <c r="T56" s="353" t="b" cm="1">
        <f t="array" ref="T56">T55</f>
        <v>1</v>
      </c>
      <c r="X56" s="990"/>
      <c r="Z56" s="967"/>
      <c r="AB56" s="133" t="s">
        <v>460</v>
      </c>
      <c r="AC56" s="346" t="s">
        <v>1265</v>
      </c>
      <c r="AD56" s="7" t="s">
        <v>828</v>
      </c>
      <c r="AE56" s="141"/>
      <c r="AF56" s="141"/>
      <c r="AG56" s="141"/>
      <c r="AH56" s="141"/>
      <c r="AI56" s="141"/>
      <c r="AJ56" s="141"/>
      <c r="AK56" s="113"/>
      <c r="AN56" s="656" t="s">
        <v>1247</v>
      </c>
    </row>
    <row r="57" spans="1:44" ht="21.75" customHeight="1" x14ac:dyDescent="0.2">
      <c r="E57" s="448">
        <v>22.5</v>
      </c>
      <c r="F57" s="3" t="str" cm="1">
        <f t="array" aca="1" ref="F57" ca="1">OFFSET(E57,-1,1)</f>
        <v>2</v>
      </c>
      <c r="G57" s="38" t="s">
        <v>532</v>
      </c>
      <c r="T57" s="353" t="b" cm="1">
        <f t="array" ref="T57">T56</f>
        <v>1</v>
      </c>
      <c r="X57" s="990"/>
      <c r="Z57" s="967"/>
      <c r="AB57" s="133" t="s">
        <v>536</v>
      </c>
      <c r="AC57" s="346" t="s">
        <v>1266</v>
      </c>
      <c r="AD57" s="7" t="s">
        <v>828</v>
      </c>
      <c r="AE57" s="141"/>
      <c r="AF57" s="141"/>
      <c r="AG57" s="141"/>
      <c r="AH57" s="141"/>
      <c r="AI57" s="141"/>
      <c r="AJ57" s="141"/>
      <c r="AK57" s="113"/>
      <c r="AN57" s="656" t="s">
        <v>1233</v>
      </c>
    </row>
    <row r="58" spans="1:44" ht="43.5" customHeight="1" x14ac:dyDescent="0.2">
      <c r="E58" s="448">
        <v>45</v>
      </c>
      <c r="F58" s="3" t="str" cm="1">
        <f t="array" aca="1" ref="F58" ca="1">OFFSET(E58,-1,1)</f>
        <v>2</v>
      </c>
      <c r="G58" s="38" t="s">
        <v>535</v>
      </c>
      <c r="T58" s="353" t="b" cm="1">
        <f t="array" ref="T58">T57</f>
        <v>1</v>
      </c>
      <c r="X58" s="990"/>
      <c r="Z58" s="967"/>
      <c r="AB58" s="133" t="s">
        <v>602</v>
      </c>
      <c r="AC58" s="346" t="s">
        <v>1267</v>
      </c>
      <c r="AD58" s="7" t="s">
        <v>828</v>
      </c>
      <c r="AE58" s="141"/>
      <c r="AF58" s="141"/>
      <c r="AG58" s="141"/>
      <c r="AH58" s="141"/>
      <c r="AI58" s="141"/>
      <c r="AJ58" s="141"/>
      <c r="AK58" s="113"/>
      <c r="AN58" s="656" t="s">
        <v>1268</v>
      </c>
    </row>
    <row r="59" spans="1:44" ht="43.5" customHeight="1" x14ac:dyDescent="0.2">
      <c r="E59" s="448">
        <v>45</v>
      </c>
      <c r="F59" s="3" t="str" cm="1">
        <f t="array" aca="1" ref="F59" ca="1">OFFSET(E59,-1,1)</f>
        <v>2</v>
      </c>
      <c r="G59" s="38" t="s">
        <v>586</v>
      </c>
      <c r="T59" s="353" t="b" cm="1">
        <f t="array" ref="T59">T58</f>
        <v>1</v>
      </c>
      <c r="X59" s="990"/>
      <c r="Z59" s="967"/>
      <c r="AB59" s="133" t="s">
        <v>610</v>
      </c>
      <c r="AC59" s="346" t="s">
        <v>1269</v>
      </c>
      <c r="AD59" s="7" t="s">
        <v>828</v>
      </c>
      <c r="AE59" s="141"/>
      <c r="AF59" s="141"/>
      <c r="AG59" s="141"/>
      <c r="AH59" s="141"/>
      <c r="AI59" s="141"/>
      <c r="AJ59" s="141"/>
      <c r="AK59" s="113"/>
      <c r="AN59" s="656" t="s">
        <v>1270</v>
      </c>
    </row>
    <row r="60" spans="1:44" ht="14.25" customHeight="1" x14ac:dyDescent="0.2">
      <c r="E60" s="448">
        <v>15</v>
      </c>
      <c r="F60" s="3" t="str" cm="1">
        <f t="array" aca="1" ref="F60" ca="1">OFFSET(E60,-1,1)</f>
        <v>2</v>
      </c>
      <c r="G60" s="38" t="s">
        <v>601</v>
      </c>
      <c r="T60" s="353" t="b" cm="1">
        <f t="array" ref="T60">T59</f>
        <v>1</v>
      </c>
      <c r="X60" s="990"/>
      <c r="Z60" s="967"/>
      <c r="AB60" s="98">
        <v>9</v>
      </c>
      <c r="AC60" s="346" t="s">
        <v>1271</v>
      </c>
      <c r="AD60" s="7" t="s">
        <v>828</v>
      </c>
      <c r="AE60" s="148">
        <f t="shared" ref="AE60:AJ60" si="5">SUM(AE61:AE62)</f>
        <v>0</v>
      </c>
      <c r="AF60" s="148">
        <f t="shared" si="5"/>
        <v>0</v>
      </c>
      <c r="AG60" s="148">
        <f t="shared" si="5"/>
        <v>0</v>
      </c>
      <c r="AH60" s="148">
        <f t="shared" si="5"/>
        <v>0</v>
      </c>
      <c r="AI60" s="148">
        <f t="shared" si="5"/>
        <v>0</v>
      </c>
      <c r="AJ60" s="148">
        <f t="shared" si="5"/>
        <v>0</v>
      </c>
      <c r="AK60" s="113"/>
      <c r="AN60" s="656" t="s">
        <v>394</v>
      </c>
    </row>
    <row r="61" spans="1:44" ht="14.25" hidden="1" customHeight="1" x14ac:dyDescent="0.2">
      <c r="E61" s="448">
        <v>15</v>
      </c>
      <c r="F61" s="3" t="str" cm="1">
        <f t="array" aca="1" ref="F61" ca="1">OFFSET(E61,-1,1)</f>
        <v>2</v>
      </c>
      <c r="G61" s="38" t="s">
        <v>601</v>
      </c>
      <c r="H61" s="38" cm="1">
        <f t="array" ref="H61">AC61</f>
        <v>0</v>
      </c>
      <c r="T61" s="353" t="b">
        <f ca="1">AND(F61&gt;0,Y61&gt;0)</f>
        <v>0</v>
      </c>
      <c r="W61" s="517" t="s">
        <v>172</v>
      </c>
      <c r="X61" s="990"/>
      <c r="Y61" s="38">
        <v>0</v>
      </c>
      <c r="Z61" s="967"/>
      <c r="AA61" s="320" t="s">
        <v>173</v>
      </c>
      <c r="AB61" s="500" t="str">
        <f>"9."&amp;Y61</f>
        <v>9.0</v>
      </c>
      <c r="AC61" s="780"/>
      <c r="AD61" s="7" t="s">
        <v>828</v>
      </c>
      <c r="AE61" s="781"/>
      <c r="AF61" s="781"/>
      <c r="AG61" s="781"/>
      <c r="AH61" s="781"/>
      <c r="AI61" s="141"/>
      <c r="AJ61" s="141"/>
      <c r="AK61" s="826"/>
      <c r="AN61" s="656" t="s">
        <v>394</v>
      </c>
      <c r="AO61" s="656" t="s">
        <v>1272</v>
      </c>
      <c r="AP61" s="656" cm="1">
        <f t="array" ref="AP61">AC61</f>
        <v>0</v>
      </c>
      <c r="AR61" s="448" t="b">
        <v>1</v>
      </c>
    </row>
    <row r="62" spans="1:44" ht="14.25" customHeight="1" x14ac:dyDescent="0.2">
      <c r="A62" s="62"/>
      <c r="B62" s="326"/>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3" t="b">
        <f ca="1">F62&gt;0</f>
        <v>1</v>
      </c>
      <c r="U62" s="62"/>
      <c r="V62" s="62"/>
      <c r="W62" s="517" t="s">
        <v>824</v>
      </c>
      <c r="X62" s="990"/>
      <c r="Y62" s="62"/>
      <c r="Z62" s="967"/>
      <c r="AA62" s="62"/>
      <c r="AB62" s="144"/>
      <c r="AC62" s="145" t="s">
        <v>176</v>
      </c>
      <c r="AD62" s="145"/>
      <c r="AE62" s="145"/>
      <c r="AF62" s="145"/>
      <c r="AG62" s="145"/>
      <c r="AH62" s="145"/>
      <c r="AI62" s="145"/>
      <c r="AJ62" s="145"/>
      <c r="AK62" s="146"/>
      <c r="AL62" s="62"/>
      <c r="AQ62" s="448" t="s">
        <v>1272</v>
      </c>
    </row>
    <row r="63" spans="1:44" ht="14.25" customHeight="1" x14ac:dyDescent="0.2">
      <c r="E63" s="448">
        <v>15</v>
      </c>
      <c r="F63" s="17" t="str" cm="1">
        <f t="array" ref="F63">X63</f>
        <v>3</v>
      </c>
      <c r="G63" s="38" t="s">
        <v>1256</v>
      </c>
      <c r="T63" s="353" t="b">
        <f>X63&gt;0</f>
        <v>1</v>
      </c>
      <c r="V63" s="38" t="str" cm="1">
        <f t="array" ref="V63">Административные!$AB$84</f>
        <v>Тариф 3 (Водоотведение) - тариф на транспортировку сточных вод</v>
      </c>
      <c r="X63" s="990" t="s">
        <v>291</v>
      </c>
      <c r="Z63" s="967"/>
      <c r="AB63" s="135" t="str" cm="1">
        <f t="array" ref="AB63">Административные!$AB$84</f>
        <v>Тариф 3 (Водоотведение) - тариф на транспортировку сточных вод</v>
      </c>
      <c r="AC63" s="94"/>
      <c r="AD63" s="94"/>
      <c r="AE63" s="214">
        <f t="shared" ref="AE63:AJ63" ca="1" si="6">SUM(AE64:AE72)</f>
        <v>0</v>
      </c>
      <c r="AF63" s="214">
        <f t="shared" ca="1" si="6"/>
        <v>0</v>
      </c>
      <c r="AG63" s="214">
        <f t="shared" ca="1" si="6"/>
        <v>0</v>
      </c>
      <c r="AH63" s="214">
        <f t="shared" ca="1" si="6"/>
        <v>0</v>
      </c>
      <c r="AI63" s="214">
        <f t="shared" ca="1" si="6"/>
        <v>0</v>
      </c>
      <c r="AJ63" s="214">
        <f t="shared" ca="1" si="6"/>
        <v>0</v>
      </c>
      <c r="AK63" s="137"/>
    </row>
    <row r="64" spans="1:44" ht="21.75" customHeight="1" x14ac:dyDescent="0.2">
      <c r="E64" s="448">
        <v>22.5</v>
      </c>
      <c r="F64" s="3" t="str" cm="1">
        <f t="array" aca="1" ref="F64" ca="1">OFFSET(E64,-1,1)</f>
        <v>3</v>
      </c>
      <c r="G64" s="38" t="s">
        <v>331</v>
      </c>
      <c r="K64" s="40" t="str">
        <f ca="1">F64&amp;"komm"</f>
        <v>3komm</v>
      </c>
      <c r="L64" s="609" cm="1">
        <f t="array" ref="L64">AK64</f>
        <v>0</v>
      </c>
      <c r="T64" s="353" t="b" cm="1">
        <f t="array" ref="T64">T63</f>
        <v>1</v>
      </c>
      <c r="X64" s="990"/>
      <c r="Z64" s="967"/>
      <c r="AB64" s="133" t="s">
        <v>275</v>
      </c>
      <c r="AC64" s="346" t="s">
        <v>1257</v>
      </c>
      <c r="AD64" s="7" t="s">
        <v>828</v>
      </c>
      <c r="AE64" s="141"/>
      <c r="AF64" s="142"/>
      <c r="AG64" s="142"/>
      <c r="AH64" s="142"/>
      <c r="AI64" s="142"/>
      <c r="AJ64" s="142"/>
      <c r="AK64" s="113"/>
      <c r="AN64" s="656" t="s">
        <v>1258</v>
      </c>
    </row>
    <row r="65" spans="1:44" ht="21.75" customHeight="1" x14ac:dyDescent="0.2">
      <c r="E65" s="448">
        <v>22.5</v>
      </c>
      <c r="F65" s="3" t="str" cm="1">
        <f t="array" aca="1" ref="F65" ca="1">OFFSET(E65,-1,1)</f>
        <v>3</v>
      </c>
      <c r="G65" s="38" t="s">
        <v>332</v>
      </c>
      <c r="T65" s="353" t="b" cm="1">
        <f t="array" ref="T65">T64</f>
        <v>1</v>
      </c>
      <c r="X65" s="990"/>
      <c r="Z65" s="967"/>
      <c r="AB65" s="133" t="s">
        <v>285</v>
      </c>
      <c r="AC65" s="346" t="s">
        <v>1259</v>
      </c>
      <c r="AD65" s="7" t="s">
        <v>828</v>
      </c>
      <c r="AE65" s="141"/>
      <c r="AF65" s="142"/>
      <c r="AG65" s="142"/>
      <c r="AH65" s="142"/>
      <c r="AI65" s="142"/>
      <c r="AJ65" s="142"/>
      <c r="AK65" s="113"/>
      <c r="AN65" s="656" t="s">
        <v>1260</v>
      </c>
    </row>
    <row r="66" spans="1:44" ht="21.75" customHeight="1" x14ac:dyDescent="0.2">
      <c r="E66" s="448">
        <v>22.5</v>
      </c>
      <c r="F66" s="3" t="str" cm="1">
        <f t="array" aca="1" ref="F66" ca="1">OFFSET(E66,-1,1)</f>
        <v>3</v>
      </c>
      <c r="G66" s="38" t="s">
        <v>333</v>
      </c>
      <c r="T66" s="353" t="b" cm="1">
        <f t="array" ref="T66">T65</f>
        <v>1</v>
      </c>
      <c r="X66" s="990"/>
      <c r="Z66" s="967"/>
      <c r="AB66" s="133" t="s">
        <v>291</v>
      </c>
      <c r="AC66" s="346" t="s">
        <v>1261</v>
      </c>
      <c r="AD66" s="7" t="s">
        <v>828</v>
      </c>
      <c r="AE66" s="141"/>
      <c r="AF66" s="142"/>
      <c r="AG66" s="142"/>
      <c r="AH66" s="142"/>
      <c r="AI66" s="142"/>
      <c r="AJ66" s="142"/>
      <c r="AK66" s="113"/>
      <c r="AN66" s="656" t="s">
        <v>1262</v>
      </c>
    </row>
    <row r="67" spans="1:44" ht="32.25" customHeight="1" x14ac:dyDescent="0.2">
      <c r="E67" s="448">
        <v>33.75</v>
      </c>
      <c r="F67" s="765" t="str" cm="1">
        <f t="array" aca="1" ref="F67" ca="1">OFFSET(E67,-1,1)</f>
        <v>3</v>
      </c>
      <c r="G67" s="38" t="s">
        <v>335</v>
      </c>
      <c r="T67" s="353" t="b" cm="1">
        <f t="array" ref="T67">T66</f>
        <v>1</v>
      </c>
      <c r="X67" s="990"/>
      <c r="Z67" s="967"/>
      <c r="AB67" s="7">
        <v>4</v>
      </c>
      <c r="AC67" s="346" t="s">
        <v>1263</v>
      </c>
      <c r="AD67" s="7" t="s">
        <v>828</v>
      </c>
      <c r="AE67" s="171">
        <f ca="1">SUMIFS(ФОТ!AE$25:AE$127,ФОТ!$F$25:$F$127,$F67,ФОТ!$G$25:$G$127,"СП")+SUMIFS(ФОТ!AE$25:AE$127,ФОТ!$F$25:$F$127,$F67,ФОТ!$G$25:$G$127,"СОЦ_СП")</f>
        <v>0</v>
      </c>
      <c r="AF67" s="171">
        <f ca="1">SUMIFS(ФОТ!AF$25:AF$127,ФОТ!$F$25:$F$127,$F67,ФОТ!$G$25:$G$127,"СП")+SUMIFS(ФОТ!AF$25:AF$127,ФОТ!$F$25:$F$127,$F67,ФОТ!$G$25:$G$127,"СОЦ_СП")</f>
        <v>0</v>
      </c>
      <c r="AG67" s="171">
        <f ca="1">SUMIFS(ФОТ!AG$25:AG$127,ФОТ!$F$25:$F$127,$F67,ФОТ!$G$25:$G$127,"СП")+SUMIFS(ФОТ!AG$25:AG$127,ФОТ!$F$25:$F$127,$F67,ФОТ!$G$25:$G$127,"СОЦ_СП")</f>
        <v>0</v>
      </c>
      <c r="AH67" s="171">
        <f ca="1">SUMIFS(ФОТ!AH$25:AH$127,ФОТ!$F$25:$F$127,$F67,ФОТ!$G$25:$G$127,"СП")+SUMIFS(ФОТ!AH$25:AH$127,ФОТ!$F$25:$F$127,$F67,ФОТ!$G$25:$G$127,"СОЦ_СП")</f>
        <v>0</v>
      </c>
      <c r="AI67" s="171">
        <f ca="1">SUMIFS(ФОТ!AI$25:AI$127,ФОТ!$F$25:$F$127,$F67,ФОТ!$G$25:$G$127,"СП")+SUMIFS(ФОТ!AI$25:AI$127,ФОТ!$F$25:$F$127,$F67,ФОТ!$G$25:$G$127,"СОЦ_СП")</f>
        <v>0</v>
      </c>
      <c r="AJ67" s="171">
        <f ca="1">SUMIFS(ФОТ!AJ$25:AJ$127,ФОТ!$F$25:$F$127,$F67,ФОТ!$G$25:$G$127,"СП")+SUMIFS(ФОТ!AJ$25:AJ$127,ФОТ!$F$25:$F$127,$F67,ФОТ!$G$25:$G$127,"СОЦ_СП")</f>
        <v>0</v>
      </c>
      <c r="AK67" s="113"/>
      <c r="AM67"/>
      <c r="AN67" s="661" t="s">
        <v>1264</v>
      </c>
      <c r="AO67" s="661"/>
      <c r="AP67" s="661"/>
      <c r="AQ67" s="454"/>
      <c r="AR67" s="454"/>
    </row>
    <row r="68" spans="1:44" ht="32.25" customHeight="1" x14ac:dyDescent="0.2">
      <c r="E68" s="448">
        <v>33.75</v>
      </c>
      <c r="F68" s="3" t="str" cm="1">
        <f t="array" aca="1" ref="F68" ca="1">OFFSET(E68,-1,1)</f>
        <v>3</v>
      </c>
      <c r="G68" s="38" t="s">
        <v>334</v>
      </c>
      <c r="T68" s="353" t="b" cm="1">
        <f t="array" ref="T68">T67</f>
        <v>1</v>
      </c>
      <c r="X68" s="990"/>
      <c r="Z68" s="967"/>
      <c r="AB68" s="133" t="s">
        <v>460</v>
      </c>
      <c r="AC68" s="346" t="s">
        <v>1265</v>
      </c>
      <c r="AD68" s="7" t="s">
        <v>828</v>
      </c>
      <c r="AE68" s="141"/>
      <c r="AF68" s="141"/>
      <c r="AG68" s="141"/>
      <c r="AH68" s="141"/>
      <c r="AI68" s="141"/>
      <c r="AJ68" s="141"/>
      <c r="AK68" s="113"/>
      <c r="AN68" s="656" t="s">
        <v>1247</v>
      </c>
    </row>
    <row r="69" spans="1:44" ht="21.75" customHeight="1" x14ac:dyDescent="0.2">
      <c r="E69" s="448">
        <v>22.5</v>
      </c>
      <c r="F69" s="3" t="str" cm="1">
        <f t="array" aca="1" ref="F69" ca="1">OFFSET(E69,-1,1)</f>
        <v>3</v>
      </c>
      <c r="G69" s="38" t="s">
        <v>532</v>
      </c>
      <c r="T69" s="353" t="b" cm="1">
        <f t="array" ref="T69">T68</f>
        <v>1</v>
      </c>
      <c r="X69" s="990"/>
      <c r="Z69" s="967"/>
      <c r="AB69" s="133" t="s">
        <v>536</v>
      </c>
      <c r="AC69" s="346" t="s">
        <v>1266</v>
      </c>
      <c r="AD69" s="7" t="s">
        <v>828</v>
      </c>
      <c r="AE69" s="141"/>
      <c r="AF69" s="141"/>
      <c r="AG69" s="141"/>
      <c r="AH69" s="141"/>
      <c r="AI69" s="141"/>
      <c r="AJ69" s="141"/>
      <c r="AK69" s="113"/>
      <c r="AN69" s="656" t="s">
        <v>1233</v>
      </c>
    </row>
    <row r="70" spans="1:44" ht="43.5" customHeight="1" x14ac:dyDescent="0.2">
      <c r="E70" s="448">
        <v>45</v>
      </c>
      <c r="F70" s="3" t="str" cm="1">
        <f t="array" aca="1" ref="F70" ca="1">OFFSET(E70,-1,1)</f>
        <v>3</v>
      </c>
      <c r="G70" s="38" t="s">
        <v>535</v>
      </c>
      <c r="T70" s="353" t="b" cm="1">
        <f t="array" ref="T70">T69</f>
        <v>1</v>
      </c>
      <c r="X70" s="990"/>
      <c r="Z70" s="967"/>
      <c r="AB70" s="133" t="s">
        <v>602</v>
      </c>
      <c r="AC70" s="346" t="s">
        <v>1267</v>
      </c>
      <c r="AD70" s="7" t="s">
        <v>828</v>
      </c>
      <c r="AE70" s="141"/>
      <c r="AF70" s="141"/>
      <c r="AG70" s="141"/>
      <c r="AH70" s="141"/>
      <c r="AI70" s="141"/>
      <c r="AJ70" s="141"/>
      <c r="AK70" s="113"/>
      <c r="AN70" s="656" t="s">
        <v>1268</v>
      </c>
    </row>
    <row r="71" spans="1:44" ht="43.5" customHeight="1" x14ac:dyDescent="0.2">
      <c r="E71" s="448">
        <v>45</v>
      </c>
      <c r="F71" s="3" t="str" cm="1">
        <f t="array" aca="1" ref="F71" ca="1">OFFSET(E71,-1,1)</f>
        <v>3</v>
      </c>
      <c r="G71" s="38" t="s">
        <v>586</v>
      </c>
      <c r="T71" s="353" t="b" cm="1">
        <f t="array" ref="T71">T70</f>
        <v>1</v>
      </c>
      <c r="X71" s="990"/>
      <c r="Z71" s="967"/>
      <c r="AB71" s="133" t="s">
        <v>610</v>
      </c>
      <c r="AC71" s="346" t="s">
        <v>1269</v>
      </c>
      <c r="AD71" s="7" t="s">
        <v>828</v>
      </c>
      <c r="AE71" s="141"/>
      <c r="AF71" s="141"/>
      <c r="AG71" s="141"/>
      <c r="AH71" s="141"/>
      <c r="AI71" s="141"/>
      <c r="AJ71" s="141"/>
      <c r="AK71" s="113"/>
      <c r="AN71" s="656" t="s">
        <v>1270</v>
      </c>
    </row>
    <row r="72" spans="1:44" ht="14.25" customHeight="1" x14ac:dyDescent="0.2">
      <c r="E72" s="448">
        <v>15</v>
      </c>
      <c r="F72" s="3" t="str" cm="1">
        <f t="array" aca="1" ref="F72" ca="1">OFFSET(E72,-1,1)</f>
        <v>3</v>
      </c>
      <c r="G72" s="38" t="s">
        <v>601</v>
      </c>
      <c r="T72" s="353" t="b" cm="1">
        <f t="array" ref="T72">T71</f>
        <v>1</v>
      </c>
      <c r="X72" s="990"/>
      <c r="Z72" s="967"/>
      <c r="AB72" s="98">
        <v>9</v>
      </c>
      <c r="AC72" s="346" t="s">
        <v>1271</v>
      </c>
      <c r="AD72" s="7" t="s">
        <v>828</v>
      </c>
      <c r="AE72" s="148">
        <f t="shared" ref="AE72:AJ72" si="7">SUM(AE73:AE74)</f>
        <v>0</v>
      </c>
      <c r="AF72" s="148">
        <f t="shared" si="7"/>
        <v>0</v>
      </c>
      <c r="AG72" s="148">
        <f t="shared" si="7"/>
        <v>0</v>
      </c>
      <c r="AH72" s="148">
        <f t="shared" si="7"/>
        <v>0</v>
      </c>
      <c r="AI72" s="148">
        <f t="shared" si="7"/>
        <v>0</v>
      </c>
      <c r="AJ72" s="148">
        <f t="shared" si="7"/>
        <v>0</v>
      </c>
      <c r="AK72" s="113"/>
      <c r="AN72" s="656" t="s">
        <v>394</v>
      </c>
    </row>
    <row r="73" spans="1:44" ht="14.25" hidden="1" customHeight="1" x14ac:dyDescent="0.2">
      <c r="E73" s="448">
        <v>15</v>
      </c>
      <c r="F73" s="3" t="str" cm="1">
        <f t="array" aca="1" ref="F73" ca="1">OFFSET(E73,-1,1)</f>
        <v>3</v>
      </c>
      <c r="G73" s="38" t="s">
        <v>601</v>
      </c>
      <c r="H73" s="38" cm="1">
        <f t="array" ref="H73">AC73</f>
        <v>0</v>
      </c>
      <c r="T73" s="353" t="b">
        <f ca="1">AND(F73&gt;0,Y73&gt;0)</f>
        <v>0</v>
      </c>
      <c r="W73" s="517" t="s">
        <v>172</v>
      </c>
      <c r="X73" s="990"/>
      <c r="Y73" s="38">
        <v>0</v>
      </c>
      <c r="Z73" s="967"/>
      <c r="AA73" s="320" t="s">
        <v>173</v>
      </c>
      <c r="AB73" s="500" t="str">
        <f>"9."&amp;Y73</f>
        <v>9.0</v>
      </c>
      <c r="AC73" s="780"/>
      <c r="AD73" s="7" t="s">
        <v>828</v>
      </c>
      <c r="AE73" s="781"/>
      <c r="AF73" s="781"/>
      <c r="AG73" s="781"/>
      <c r="AH73" s="781"/>
      <c r="AI73" s="141"/>
      <c r="AJ73" s="141"/>
      <c r="AK73" s="826"/>
      <c r="AN73" s="656" t="s">
        <v>394</v>
      </c>
      <c r="AO73" s="656" t="s">
        <v>1272</v>
      </c>
      <c r="AP73" s="656" cm="1">
        <f t="array" ref="AP73">AC73</f>
        <v>0</v>
      </c>
      <c r="AR73" s="448" t="b">
        <v>1</v>
      </c>
    </row>
    <row r="74" spans="1:44" ht="14.25" customHeight="1" x14ac:dyDescent="0.2">
      <c r="A74" s="62"/>
      <c r="B74" s="326"/>
      <c r="C74" s="62"/>
      <c r="D74" s="62"/>
      <c r="E74" s="179">
        <v>15</v>
      </c>
      <c r="F74" s="3" t="str" cm="1">
        <f t="array" aca="1" ref="F74" ca="1">OFFSET(E74,-1,1)</f>
        <v>3</v>
      </c>
      <c r="G74" s="62"/>
      <c r="H74" s="66" t="str">
        <f>"!=='не определено'"</f>
        <v>!=='не определено'</v>
      </c>
      <c r="I74" s="62"/>
      <c r="J74" s="62"/>
      <c r="K74" s="62"/>
      <c r="L74" s="62"/>
      <c r="M74" s="62"/>
      <c r="N74" s="62"/>
      <c r="O74" s="62"/>
      <c r="P74" s="62"/>
      <c r="Q74" s="62"/>
      <c r="R74" s="62"/>
      <c r="S74" s="62"/>
      <c r="T74" s="353" t="b">
        <f ca="1">F74&gt;0</f>
        <v>1</v>
      </c>
      <c r="U74" s="62"/>
      <c r="V74" s="62"/>
      <c r="W74" s="517" t="s">
        <v>824</v>
      </c>
      <c r="X74" s="990"/>
      <c r="Y74" s="62"/>
      <c r="Z74" s="967"/>
      <c r="AA74" s="62"/>
      <c r="AB74" s="144"/>
      <c r="AC74" s="145" t="s">
        <v>176</v>
      </c>
      <c r="AD74" s="145"/>
      <c r="AE74" s="145"/>
      <c r="AF74" s="145"/>
      <c r="AG74" s="145"/>
      <c r="AH74" s="145"/>
      <c r="AI74" s="145"/>
      <c r="AJ74" s="145"/>
      <c r="AK74" s="146"/>
      <c r="AL74" s="62"/>
      <c r="AQ74" s="448" t="s">
        <v>1272</v>
      </c>
    </row>
    <row r="75" spans="1:44" ht="10.7" customHeight="1" x14ac:dyDescent="0.2">
      <c r="A75"/>
      <c r="B75" s="327"/>
      <c r="C75"/>
      <c r="D75"/>
      <c r="E75" s="448">
        <v>11</v>
      </c>
      <c r="F75" s="4"/>
      <c r="G75"/>
      <c r="H75"/>
      <c r="I75"/>
      <c r="J75"/>
      <c r="K75"/>
      <c r="L75"/>
      <c r="M75"/>
      <c r="N75"/>
      <c r="O75"/>
      <c r="P75"/>
      <c r="Q75"/>
      <c r="R75"/>
      <c r="S75"/>
      <c r="T75"/>
      <c r="U75" t="s">
        <v>176</v>
      </c>
      <c r="V75" s="56" t="s">
        <v>1273</v>
      </c>
      <c r="W75"/>
      <c r="X75"/>
      <c r="Y75"/>
      <c r="Z75"/>
      <c r="AA75"/>
      <c r="AB75"/>
      <c r="AC75" s="18"/>
      <c r="AD75" s="18"/>
      <c r="AE75" s="18"/>
      <c r="AF75" s="18"/>
      <c r="AG75"/>
      <c r="AH75"/>
      <c r="AI75"/>
      <c r="AJ75"/>
      <c r="AK75"/>
      <c r="AL75"/>
    </row>
    <row r="76" spans="1:44" ht="14.65" customHeight="1" x14ac:dyDescent="0.2">
      <c r="A76" s="17"/>
      <c r="B76" s="46"/>
      <c r="C76" s="17"/>
      <c r="D76" s="17"/>
      <c r="E76" s="461">
        <v>15</v>
      </c>
      <c r="F76" s="17"/>
      <c r="G76" s="17"/>
      <c r="H76" s="17"/>
      <c r="I76" s="17"/>
      <c r="J76" s="17"/>
      <c r="K76" s="17"/>
      <c r="L76" s="17"/>
      <c r="M76" s="17"/>
      <c r="N76" s="17"/>
      <c r="O76" s="17"/>
      <c r="P76" s="17"/>
      <c r="Q76" s="17"/>
      <c r="R76" s="17"/>
      <c r="S76" s="17"/>
      <c r="T76" s="17"/>
      <c r="U76" s="17"/>
      <c r="V76" s="17"/>
      <c r="W76" s="17"/>
      <c r="X76" s="17"/>
      <c r="Y76" s="17"/>
      <c r="Z76" s="17"/>
      <c r="AA76" s="17"/>
      <c r="AB76" s="993" t="s">
        <v>408</v>
      </c>
      <c r="AC76" s="993"/>
      <c r="AD76" s="993"/>
      <c r="AE76" s="993"/>
      <c r="AF76" s="993"/>
      <c r="AG76" s="993"/>
      <c r="AH76" s="993"/>
      <c r="AI76" s="1057"/>
      <c r="AJ76" s="1057"/>
      <c r="AK76" s="1057"/>
      <c r="AL76" s="17"/>
    </row>
    <row r="77" spans="1:44" ht="14.65" customHeight="1" x14ac:dyDescent="0.2">
      <c r="A77" s="17"/>
      <c r="B77" s="46"/>
      <c r="C77" s="17"/>
      <c r="D77" s="17"/>
      <c r="E77" s="461">
        <v>15</v>
      </c>
      <c r="F77" s="17"/>
      <c r="G77" s="17"/>
      <c r="H77" s="17"/>
      <c r="I77" s="17"/>
      <c r="J77" s="17"/>
      <c r="K77" s="17"/>
      <c r="L77" s="17"/>
      <c r="M77" s="17"/>
      <c r="N77" s="17"/>
      <c r="O77" s="17"/>
      <c r="P77" s="17"/>
      <c r="Q77" s="17"/>
      <c r="R77" s="17"/>
      <c r="S77" s="17"/>
      <c r="U77" s="17"/>
      <c r="V77" s="17"/>
      <c r="W77" s="17"/>
      <c r="X77" s="17"/>
      <c r="Y77" s="17"/>
      <c r="Z77" s="17"/>
      <c r="AA77" s="345"/>
      <c r="AB77" s="1025"/>
      <c r="AC77" s="1025"/>
      <c r="AD77" s="1025"/>
      <c r="AE77" s="1025"/>
      <c r="AF77" s="1025"/>
      <c r="AG77" s="1025"/>
      <c r="AH77" s="1025"/>
      <c r="AI77" s="1055"/>
      <c r="AJ77" s="1055"/>
      <c r="AK77" s="1055"/>
      <c r="AL77" s="17"/>
    </row>
    <row r="78" spans="1:44" ht="14.65" hidden="1" customHeight="1" x14ac:dyDescent="0.2">
      <c r="A78" s="17"/>
      <c r="B78" s="46"/>
      <c r="C78" s="17"/>
      <c r="D78" s="17"/>
      <c r="E78" s="461">
        <v>15</v>
      </c>
      <c r="F78" s="17"/>
      <c r="G78" s="17"/>
      <c r="H78" s="17"/>
      <c r="I78" s="17"/>
      <c r="J78" s="17"/>
      <c r="K78" s="17"/>
      <c r="L78" s="17"/>
      <c r="M78" s="17"/>
      <c r="N78" s="17"/>
      <c r="O78" s="17"/>
      <c r="P78" s="17"/>
      <c r="Q78" s="17"/>
      <c r="R78" s="17"/>
      <c r="S78" s="17"/>
      <c r="T78" s="353" t="b">
        <f>ROW(W78)&gt;ROW(W$78)</f>
        <v>0</v>
      </c>
      <c r="U78" s="17"/>
      <c r="V78" s="17"/>
      <c r="W78" s="517" t="s">
        <v>172</v>
      </c>
      <c r="X78" s="17"/>
      <c r="Y78" s="17"/>
      <c r="Z78" s="17"/>
      <c r="AA78" s="320" t="s">
        <v>173</v>
      </c>
      <c r="AB78" s="1037" t="s">
        <v>225</v>
      </c>
      <c r="AC78" s="1037"/>
      <c r="AD78" s="1037"/>
      <c r="AE78" s="1037"/>
      <c r="AF78" s="1037"/>
      <c r="AG78" s="1037"/>
      <c r="AH78" s="1037"/>
      <c r="AI78" s="1055"/>
      <c r="AJ78" s="1055"/>
      <c r="AK78" s="1056"/>
      <c r="AL78" s="17"/>
    </row>
    <row r="79" spans="1:44" s="62" customFormat="1" ht="14.65" customHeight="1" x14ac:dyDescent="0.15">
      <c r="A79" s="17"/>
      <c r="B79" s="46"/>
      <c r="C79" s="17"/>
      <c r="D79" s="17"/>
      <c r="E79" s="461">
        <v>15</v>
      </c>
      <c r="F79" s="17"/>
      <c r="G79" s="17"/>
      <c r="H79" s="17"/>
      <c r="I79" s="17"/>
      <c r="J79" s="17"/>
      <c r="K79" s="17"/>
      <c r="L79" s="17"/>
      <c r="M79" s="17"/>
      <c r="N79" s="17"/>
      <c r="O79" s="17"/>
      <c r="P79" s="17"/>
      <c r="Q79" s="17"/>
      <c r="R79" s="17"/>
      <c r="S79" s="17"/>
      <c r="T79" s="17"/>
      <c r="U79" s="17"/>
      <c r="V79" s="17"/>
      <c r="W79" s="517" t="s">
        <v>419</v>
      </c>
      <c r="X79" s="17"/>
      <c r="Y79" s="17"/>
      <c r="Z79" s="17"/>
      <c r="AA79" s="17"/>
      <c r="AB79" s="474"/>
      <c r="AC79" s="382" t="s">
        <v>420</v>
      </c>
      <c r="AD79" s="218"/>
      <c r="AE79" s="218"/>
      <c r="AF79" s="219"/>
      <c r="AG79" s="219"/>
      <c r="AH79" s="219"/>
      <c r="AI79" s="219"/>
      <c r="AJ79" s="219"/>
      <c r="AK79" s="220"/>
      <c r="AL79" s="17"/>
      <c r="AN79" s="678"/>
      <c r="AO79" s="678"/>
      <c r="AP79" s="678"/>
      <c r="AQ79" s="179"/>
      <c r="AR79" s="179"/>
    </row>
    <row r="80" spans="1:44" ht="10.7" customHeight="1" x14ac:dyDescent="0.2">
      <c r="E80" s="448">
        <v>11</v>
      </c>
      <c r="AL80" s="22"/>
      <c r="AM80"/>
      <c r="AN80" s="661"/>
      <c r="AO80" s="661"/>
      <c r="AP80" s="661"/>
      <c r="AQ80" s="454"/>
      <c r="AR80" s="454"/>
    </row>
    <row r="81" spans="1:26" ht="14.25" hidden="1" customHeight="1" x14ac:dyDescent="0.2">
      <c r="A81" s="343"/>
      <c r="B81" s="343"/>
      <c r="C81" s="343"/>
      <c r="D81" s="343"/>
      <c r="E81" s="499"/>
      <c r="F81" s="343"/>
      <c r="G81" s="343"/>
      <c r="H81" s="343"/>
      <c r="I81" s="343"/>
      <c r="J81" s="343"/>
      <c r="K81" s="343"/>
      <c r="L81" s="343"/>
      <c r="M81" s="343"/>
      <c r="N81" s="343"/>
      <c r="O81" s="343"/>
      <c r="P81" s="343"/>
      <c r="Q81" s="343"/>
      <c r="R81" s="343"/>
      <c r="S81" s="343"/>
      <c r="T81" s="343"/>
      <c r="U81" s="343"/>
      <c r="V81" s="343"/>
      <c r="W81" s="343"/>
      <c r="X81" s="343"/>
      <c r="Y81" s="343"/>
      <c r="Z81" s="343"/>
    </row>
  </sheetData>
  <sheetProtection formatColumns="0" formatRows="0" insertRows="0" deleteColumns="0" deleteRows="0" sort="0" autoFilter="0"/>
  <mergeCells count="15">
    <mergeCell ref="X27:X38"/>
    <mergeCell ref="Z27:Z38"/>
    <mergeCell ref="AB76:AK76"/>
    <mergeCell ref="AB77:AK77"/>
    <mergeCell ref="X39:X50"/>
    <mergeCell ref="Z39:Z50"/>
    <mergeCell ref="X51:X62"/>
    <mergeCell ref="Z51:Z62"/>
    <mergeCell ref="X63:X74"/>
    <mergeCell ref="Z63:Z74"/>
    <mergeCell ref="AB24:AB25"/>
    <mergeCell ref="AC24:AC25"/>
    <mergeCell ref="AD24:AD25"/>
    <mergeCell ref="AK24:AK25"/>
    <mergeCell ref="AB78:AK78"/>
  </mergeCells>
  <dataValidations count="2">
    <dataValidation allowBlank="1" showInputMessage="1" showErrorMessage="1" sqref="AI76:AK79 AI37:AJ37 AI49 AJ49 AI61 AJ61 AI73 AJ73"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AE64 AF64 AG64 AH64 AI64 AJ64 AE65 AF65 AG65 AH65 AI65 AJ65 AE66 AF66 AG66 AH66 AI66 AJ66 AE67 AF67 AG67 AH67 AI67 AJ67 AE68 AF68 AG68 AH68 AI68 AJ68 AE69 AF69 AG69 AH69 AI69 AJ69 AE70 AF70 AG70 AH70 AI70 AJ70 AE71 AF71 AG71 AH71 AI71 AJ71 AE73 AF73 AG73 AH73"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2FF8-E138-A1A9-45D8-DBBA39ED7BE8}">
  <sheetPr>
    <tabColor rgb="FF002060"/>
    <outlinePr summaryBelow="0" summaryRight="0"/>
    <pageSetUpPr fitToPage="1"/>
  </sheetPr>
  <dimension ref="A1:BJ90"/>
  <sheetViews>
    <sheetView showGridLines="0" zoomScale="120" workbookViewId="0">
      <pane xSplit="30" ySplit="25" topLeftCell="AE72" activePane="bottomRight" state="frozen"/>
      <selection pane="topRight" activeCell="AE1" sqref="AE1"/>
      <selection pane="bottomLeft" activeCell="A26" sqref="A26"/>
      <selection pane="bottomRight" activeCell="AB88" sqref="AB88:BC88"/>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94" style="38" customWidth="1"/>
    <col min="56" max="56" width="3" style="38" customWidth="1"/>
    <col min="57" max="57" width="9.140625" style="38" hidden="1"/>
    <col min="58" max="60" width="9.140625" style="656" hidden="1"/>
    <col min="61" max="62" width="9.140625" style="448" hidden="1"/>
  </cols>
  <sheetData>
    <row r="1" spans="1:62" ht="11.25" hidden="1" customHeight="1" x14ac:dyDescent="0.15">
      <c r="E1" s="38"/>
      <c r="F1" s="38" t="s">
        <v>320</v>
      </c>
      <c r="G1" s="38" t="s">
        <v>330</v>
      </c>
      <c r="I1" s="38" t="s">
        <v>355</v>
      </c>
      <c r="T1" s="353" t="s">
        <v>92</v>
      </c>
      <c r="U1" s="353" t="s">
        <v>97</v>
      </c>
      <c r="V1" s="353" t="s">
        <v>93</v>
      </c>
      <c r="W1" s="353" t="s">
        <v>94</v>
      </c>
      <c r="X1" s="353" t="s">
        <v>95</v>
      </c>
      <c r="Y1" s="355" t="s">
        <v>322</v>
      </c>
      <c r="Z1" s="353" t="s">
        <v>99</v>
      </c>
      <c r="AA1" s="354" t="s">
        <v>96</v>
      </c>
      <c r="AB1" s="4"/>
      <c r="AC1" s="354" t="s">
        <v>98</v>
      </c>
      <c r="BF1" s="656" t="s">
        <v>323</v>
      </c>
      <c r="BG1" s="656" t="s">
        <v>324</v>
      </c>
      <c r="BH1" s="656" t="s">
        <v>325</v>
      </c>
      <c r="BI1" s="448" t="s">
        <v>328</v>
      </c>
      <c r="BJ1" s="448" t="s">
        <v>329</v>
      </c>
    </row>
    <row r="2" spans="1:62" s="43" customFormat="1" ht="11.25" hidden="1" customHeight="1" x14ac:dyDescent="0.15">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c r="BG2" s="665"/>
      <c r="BH2" s="665"/>
      <c r="BI2" s="670"/>
      <c r="BJ2" s="670"/>
    </row>
    <row r="3" spans="1:62" ht="11.25" hidden="1" customHeight="1" x14ac:dyDescent="0.15">
      <c r="E3" s="38"/>
    </row>
    <row r="4" spans="1:62" ht="11.25" hidden="1" customHeight="1" x14ac:dyDescent="0.15">
      <c r="E4" s="38"/>
    </row>
    <row r="5" spans="1:62" s="448" customFormat="1" ht="11.25" hidden="1" customHeight="1" x14ac:dyDescent="0.15">
      <c r="A5" s="38"/>
      <c r="B5" s="43"/>
      <c r="C5" s="38"/>
      <c r="D5" s="38"/>
      <c r="E5" s="448" t="s">
        <v>19</v>
      </c>
      <c r="AA5" s="448">
        <v>3</v>
      </c>
      <c r="AB5" s="448">
        <v>6</v>
      </c>
      <c r="AC5" s="448">
        <v>35</v>
      </c>
      <c r="AD5" s="448">
        <v>12</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20</v>
      </c>
      <c r="BD5" s="448">
        <v>3</v>
      </c>
      <c r="BF5" s="656"/>
      <c r="BG5" s="656"/>
      <c r="BH5" s="656"/>
    </row>
    <row r="6" spans="1:62" ht="11.25" hidden="1" customHeight="1" x14ac:dyDescent="0.15">
      <c r="A6" s="38" t="s">
        <v>358</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359</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6" customFormat="1" ht="11.25" hidden="1" customHeight="1" x14ac:dyDescent="0.15">
      <c r="A9" s="656" t="s">
        <v>363</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2027</v>
      </c>
      <c r="AK9" s="656" cm="1">
        <f t="array" ref="AK9">AK6</f>
        <v>2028</v>
      </c>
      <c r="AL9" s="656" cm="1">
        <f t="array" ref="AL9">AL6</f>
        <v>2029</v>
      </c>
      <c r="AM9" s="656" cm="1">
        <f t="array" ref="AM9">AM6</f>
        <v>2030</v>
      </c>
      <c r="AN9" s="656" cm="1">
        <f t="array" ref="AN9">AN6</f>
        <v>2031</v>
      </c>
      <c r="AO9" s="656" cm="1">
        <f t="array" ref="AO9">AO6</f>
        <v>2032</v>
      </c>
      <c r="AP9" s="656" cm="1">
        <f t="array" ref="AP9">AP6</f>
        <v>2033</v>
      </c>
      <c r="AQ9" s="656" cm="1">
        <f t="array" ref="AQ9">AQ6</f>
        <v>2034</v>
      </c>
      <c r="AR9" s="656" cm="1">
        <f t="array" ref="AR9">AR6</f>
        <v>2035</v>
      </c>
      <c r="AS9" s="656" cm="1">
        <f t="array" ref="AS9">AS6</f>
        <v>2026</v>
      </c>
      <c r="AT9" s="656" cm="1">
        <f t="array" ref="AT9">AT6</f>
        <v>2027</v>
      </c>
      <c r="AU9" s="656" cm="1">
        <f t="array" ref="AU9">AU6</f>
        <v>2028</v>
      </c>
      <c r="AV9" s="656" cm="1">
        <f t="array" ref="AV9">AV6</f>
        <v>2029</v>
      </c>
      <c r="AW9" s="656" cm="1">
        <f t="array" ref="AW9">AW6</f>
        <v>2030</v>
      </c>
      <c r="AX9" s="656" cm="1">
        <f t="array" ref="AX9">AX6</f>
        <v>2031</v>
      </c>
      <c r="AY9" s="656" cm="1">
        <f t="array" ref="AY9">AY6</f>
        <v>2032</v>
      </c>
      <c r="AZ9" s="656" cm="1">
        <f t="array" ref="AZ9">AZ6</f>
        <v>2033</v>
      </c>
      <c r="BA9" s="656" cm="1">
        <f t="array" ref="BA9">BA6</f>
        <v>2034</v>
      </c>
      <c r="BB9" s="656" cm="1">
        <f t="array" ref="BB9">BB6</f>
        <v>2035</v>
      </c>
      <c r="BI9" s="448"/>
      <c r="BJ9" s="448"/>
    </row>
    <row r="10" spans="1:62" s="656" customFormat="1" ht="11.25" hidden="1" customHeight="1" x14ac:dyDescent="0.15">
      <c r="A10" s="656" t="s">
        <v>364</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I10" s="448"/>
      <c r="BJ10" s="448"/>
    </row>
    <row r="11" spans="1:62" s="656" customFormat="1" ht="11.25" hidden="1" customHeight="1" x14ac:dyDescent="0.15">
      <c r="A11" s="656" t="s">
        <v>365</v>
      </c>
      <c r="B11" s="665"/>
      <c r="BC11" s="656" t="str" cm="1">
        <f t="array" ref="BC11">BC24</f>
        <v>Ссылка на правовую норму (основание для принятия показателя в расчет тарифа)</v>
      </c>
      <c r="BI11" s="448"/>
      <c r="BJ11" s="448"/>
    </row>
    <row r="12" spans="1:62" s="656" customFormat="1" ht="11.25" hidden="1" customHeight="1" x14ac:dyDescent="0.15">
      <c r="A12" s="656" t="s">
        <v>337</v>
      </c>
      <c r="B12" s="665"/>
      <c r="AC12" s="656" t="s">
        <v>325</v>
      </c>
      <c r="BI12" s="448"/>
      <c r="BJ12" s="448"/>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366</v>
      </c>
      <c r="AC18" s="38" t="s">
        <v>367</v>
      </c>
    </row>
    <row r="19" spans="1:62" ht="11.25" hidden="1" customHeight="1" x14ac:dyDescent="0.15"/>
    <row r="20" spans="1:62" ht="11.25" hidden="1" customHeight="1" x14ac:dyDescent="0.15"/>
    <row r="21" spans="1:62" ht="14.65" customHeight="1" x14ac:dyDescent="0.15">
      <c r="E21" s="448">
        <v>15</v>
      </c>
      <c r="AA21" s="325"/>
      <c r="AC21" s="267" t="str" cm="1">
        <f t="array" ref="AC21">tpl_title</f>
        <v>Кемеровская область / 2026 / КАО "Азот" (ИНН:4205000908, КПП:997550001) / ДПР: 2024-2028</v>
      </c>
    </row>
    <row r="22" spans="1:62" ht="19.5" customHeight="1" x14ac:dyDescent="0.15">
      <c r="E22" s="448">
        <v>20</v>
      </c>
      <c r="AB22" s="226"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x14ac:dyDescent="0.15">
      <c r="E23" s="448">
        <v>11.25</v>
      </c>
    </row>
    <row r="24" spans="1:62" s="38" customFormat="1" ht="14.65" customHeight="1" x14ac:dyDescent="0.15">
      <c r="B24" s="43"/>
      <c r="E24" s="448">
        <v>15</v>
      </c>
      <c r="AB24" s="993" t="s">
        <v>21</v>
      </c>
      <c r="AC24" s="993" t="s">
        <v>367</v>
      </c>
      <c r="AD24" s="993" t="s">
        <v>1063</v>
      </c>
      <c r="AE24" s="261" t="str">
        <f>god-2&amp;" год"</f>
        <v>2024 год</v>
      </c>
      <c r="AF24" s="728" t="str">
        <f>god-2&amp;" год"</f>
        <v>2024 год</v>
      </c>
      <c r="AG24" s="261" t="str">
        <f>god-2&amp;" год"</f>
        <v>2024 год</v>
      </c>
      <c r="AH24" s="13" t="str">
        <f>god-1&amp;" год"</f>
        <v>2025 год</v>
      </c>
      <c r="AI24" s="725" t="str">
        <f>god&amp;" год"</f>
        <v>2026 год</v>
      </c>
      <c r="AJ24" s="725" t="str">
        <f>god+1&amp;" год"</f>
        <v>2027 год</v>
      </c>
      <c r="AK24" s="725" t="str">
        <f>god+2&amp;" год"</f>
        <v>2028 год</v>
      </c>
      <c r="AL24" s="725" t="str">
        <f>god+3&amp;" год"</f>
        <v>2029 год</v>
      </c>
      <c r="AM24" s="725" t="str">
        <f>god+4&amp;" год"</f>
        <v>2030 год</v>
      </c>
      <c r="AN24" s="725" t="str">
        <f>god+5&amp;" год"</f>
        <v>2031 год</v>
      </c>
      <c r="AO24" s="725" t="str">
        <f>god+6&amp;" год"</f>
        <v>2032 год</v>
      </c>
      <c r="AP24" s="725" t="str">
        <f>god+7&amp;" год"</f>
        <v>2033 год</v>
      </c>
      <c r="AQ24" s="725" t="str">
        <f>god+8&amp;" год"</f>
        <v>2034 год</v>
      </c>
      <c r="AR24" s="725"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4" t="s">
        <v>553</v>
      </c>
      <c r="BF24" s="656"/>
      <c r="BG24" s="656"/>
      <c r="BH24" s="656"/>
      <c r="BI24" s="448"/>
      <c r="BJ24" s="448"/>
    </row>
    <row r="25" spans="1:62" s="38" customFormat="1" ht="48.75" customHeight="1" x14ac:dyDescent="0.15">
      <c r="B25" s="43"/>
      <c r="E25" s="448">
        <v>50</v>
      </c>
      <c r="AB25" s="993"/>
      <c r="AC25" s="993"/>
      <c r="AD25" s="993"/>
      <c r="AE25" s="11" t="s">
        <v>360</v>
      </c>
      <c r="AF25" s="725" t="s">
        <v>470</v>
      </c>
      <c r="AG25" s="11" t="s">
        <v>471</v>
      </c>
      <c r="AH25" s="11" t="s">
        <v>360</v>
      </c>
      <c r="AI25" s="729" t="s">
        <v>361</v>
      </c>
      <c r="AJ25" s="729" t="s">
        <v>361</v>
      </c>
      <c r="AK25" s="729" t="s">
        <v>361</v>
      </c>
      <c r="AL25" s="729" t="s">
        <v>361</v>
      </c>
      <c r="AM25" s="729" t="s">
        <v>361</v>
      </c>
      <c r="AN25" s="729" t="s">
        <v>361</v>
      </c>
      <c r="AO25" s="729" t="s">
        <v>361</v>
      </c>
      <c r="AP25" s="729" t="s">
        <v>361</v>
      </c>
      <c r="AQ25" s="729" t="s">
        <v>361</v>
      </c>
      <c r="AR25" s="729" t="s">
        <v>361</v>
      </c>
      <c r="AS25" s="262" t="s">
        <v>360</v>
      </c>
      <c r="AT25" s="262" t="s">
        <v>360</v>
      </c>
      <c r="AU25" s="262" t="s">
        <v>360</v>
      </c>
      <c r="AV25" s="262" t="s">
        <v>360</v>
      </c>
      <c r="AW25" s="262" t="s">
        <v>360</v>
      </c>
      <c r="AX25" s="262" t="s">
        <v>360</v>
      </c>
      <c r="AY25" s="262" t="s">
        <v>360</v>
      </c>
      <c r="AZ25" s="262" t="s">
        <v>360</v>
      </c>
      <c r="BA25" s="262" t="s">
        <v>360</v>
      </c>
      <c r="BB25" s="262" t="s">
        <v>360</v>
      </c>
      <c r="BC25" s="1054"/>
      <c r="BF25" s="656"/>
      <c r="BG25" s="656"/>
      <c r="BH25" s="656"/>
      <c r="BI25" s="448"/>
      <c r="BJ25" s="448"/>
    </row>
    <row r="26" spans="1:62" ht="11.25" customHeight="1" x14ac:dyDescent="0.15">
      <c r="A26"/>
      <c r="B26" s="327"/>
      <c r="C26"/>
      <c r="D26"/>
      <c r="E26" s="454" t="s">
        <v>371</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4"/>
      <c r="BJ26" s="454"/>
    </row>
    <row r="27" spans="1:62" s="38" customFormat="1" ht="14.65" hidden="1" customHeight="1" x14ac:dyDescent="0.15">
      <c r="B27" s="43"/>
      <c r="E27" s="448">
        <v>15</v>
      </c>
      <c r="F27" s="17" cm="1">
        <f t="array" ref="F27">X27</f>
        <v>0</v>
      </c>
      <c r="T27" s="353" t="b">
        <f>X27&gt;0</f>
        <v>0</v>
      </c>
      <c r="V27" s="38" t="s">
        <v>264</v>
      </c>
      <c r="X27" s="990">
        <v>0</v>
      </c>
      <c r="Z27" s="967"/>
      <c r="AB27" s="135" t="str" cm="1">
        <f t="array" ref="AB27">INDEX('Общие сведения'!$AG$179:$AG$236,MATCH($X27,'Общие сведения'!$Z$179:$Z$236,0))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6"/>
      <c r="BG27" s="656"/>
      <c r="BH27" s="656"/>
      <c r="BI27" s="448"/>
      <c r="BJ27" s="448"/>
    </row>
    <row r="28" spans="1:62" s="38" customFormat="1" ht="21.95" hidden="1" customHeight="1" x14ac:dyDescent="0.15">
      <c r="B28" s="43"/>
      <c r="E28" s="448">
        <v>22.5</v>
      </c>
      <c r="F28" s="3" cm="1">
        <f t="array" aca="1" ref="F28" ca="1">OFFSET(E28,-1,1)</f>
        <v>0</v>
      </c>
      <c r="G28" s="38" t="s">
        <v>1256</v>
      </c>
      <c r="K28" s="40" t="str">
        <f ca="1">F28&amp;"komm"</f>
        <v>0komm</v>
      </c>
      <c r="L28" s="609" cm="1">
        <f t="array" ref="L28">BC28</f>
        <v>0</v>
      </c>
      <c r="T28" s="353" t="b" cm="1">
        <f t="array" ref="T28">T27</f>
        <v>0</v>
      </c>
      <c r="X28" s="990"/>
      <c r="Z28" s="967"/>
      <c r="AB28" s="147">
        <v>0</v>
      </c>
      <c r="AC28" s="132" t="s">
        <v>1274</v>
      </c>
      <c r="AD28" s="124" t="s">
        <v>828</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6"/>
      <c r="BF28" s="656" t="s">
        <v>1275</v>
      </c>
      <c r="BG28" s="656"/>
      <c r="BH28" s="656"/>
      <c r="BI28" s="448"/>
      <c r="BJ28" s="448"/>
    </row>
    <row r="29" spans="1:62" s="38" customFormat="1" ht="14.65" hidden="1" customHeight="1" x14ac:dyDescent="0.15">
      <c r="B29" s="43"/>
      <c r="E29" s="448">
        <v>15</v>
      </c>
      <c r="F29" s="3" cm="1">
        <f t="array" aca="1" ref="F29" ca="1">OFFSET(E29,-1,1)</f>
        <v>0</v>
      </c>
      <c r="G29" s="38" t="s">
        <v>331</v>
      </c>
      <c r="K29" s="40" t="str">
        <f ca="1">F29&amp;"1komm"</f>
        <v>01komm</v>
      </c>
      <c r="L29" s="609" cm="1">
        <f t="array" ref="L29">BC29</f>
        <v>0</v>
      </c>
      <c r="T29" s="353" t="b" cm="1">
        <f t="array" ref="T29">T28</f>
        <v>0</v>
      </c>
      <c r="X29" s="990"/>
      <c r="Z29" s="967"/>
      <c r="AB29" s="133" t="s">
        <v>275</v>
      </c>
      <c r="AC29" s="346" t="s">
        <v>1276</v>
      </c>
      <c r="AD29" s="7" t="s">
        <v>828</v>
      </c>
      <c r="AE29" s="781"/>
      <c r="AF29" s="854"/>
      <c r="AG29" s="854"/>
      <c r="AH29" s="854"/>
      <c r="AI29" s="142"/>
      <c r="AJ29" s="854"/>
      <c r="AK29" s="854"/>
      <c r="AL29" s="854"/>
      <c r="AM29" s="854"/>
      <c r="AN29" s="854"/>
      <c r="AO29" s="854"/>
      <c r="AP29" s="854"/>
      <c r="AQ29" s="854"/>
      <c r="AR29" s="854"/>
      <c r="AS29" s="142"/>
      <c r="AT29" s="854"/>
      <c r="AU29" s="854"/>
      <c r="AV29" s="854"/>
      <c r="AW29" s="854"/>
      <c r="AX29" s="854"/>
      <c r="AY29" s="854"/>
      <c r="AZ29" s="854"/>
      <c r="BA29" s="854"/>
      <c r="BB29" s="854"/>
      <c r="BC29" s="826"/>
      <c r="BF29" s="656" t="s">
        <v>1277</v>
      </c>
      <c r="BG29" s="656"/>
      <c r="BH29" s="656"/>
      <c r="BI29" s="448"/>
      <c r="BJ29" s="448"/>
    </row>
    <row r="30" spans="1:62" s="38" customFormat="1" ht="21.95" hidden="1" customHeight="1" x14ac:dyDescent="0.15">
      <c r="B30" s="44"/>
      <c r="C30" s="22"/>
      <c r="D30" s="22"/>
      <c r="E30" s="449">
        <v>22.5</v>
      </c>
      <c r="F30" s="3" cm="1">
        <f t="array" aca="1" ref="F30" ca="1">OFFSET(E30,-1,1)</f>
        <v>0</v>
      </c>
      <c r="G30" s="22" t="s">
        <v>332</v>
      </c>
      <c r="H30" s="22"/>
      <c r="I30" s="22"/>
      <c r="J30" s="22"/>
      <c r="K30" s="40" t="str">
        <f ca="1">F30&amp;"2komm"</f>
        <v>02komm</v>
      </c>
      <c r="L30" s="609" cm="1">
        <f t="array" ref="L30">BC30</f>
        <v>0</v>
      </c>
      <c r="M30" s="22"/>
      <c r="N30" s="22"/>
      <c r="O30" s="22"/>
      <c r="P30" s="22"/>
      <c r="Q30" s="22"/>
      <c r="R30" s="22"/>
      <c r="S30" s="22"/>
      <c r="T30" s="353" t="b" cm="1">
        <f t="array" ref="T30">T29</f>
        <v>0</v>
      </c>
      <c r="U30" s="22"/>
      <c r="V30" s="22"/>
      <c r="X30" s="990"/>
      <c r="Z30" s="967"/>
      <c r="AB30" s="133" t="s">
        <v>285</v>
      </c>
      <c r="AC30" s="346" t="s">
        <v>1278</v>
      </c>
      <c r="AD30" s="7" t="s">
        <v>828</v>
      </c>
      <c r="AE30" s="781"/>
      <c r="AF30" s="854"/>
      <c r="AG30" s="854"/>
      <c r="AH30" s="854"/>
      <c r="AI30" s="142"/>
      <c r="AJ30" s="854"/>
      <c r="AK30" s="854"/>
      <c r="AL30" s="854"/>
      <c r="AM30" s="854"/>
      <c r="AN30" s="854"/>
      <c r="AO30" s="854"/>
      <c r="AP30" s="854"/>
      <c r="AQ30" s="854"/>
      <c r="AR30" s="854"/>
      <c r="AS30" s="142"/>
      <c r="AT30" s="854"/>
      <c r="AU30" s="854"/>
      <c r="AV30" s="854"/>
      <c r="AW30" s="854"/>
      <c r="AX30" s="854"/>
      <c r="AY30" s="854"/>
      <c r="AZ30" s="854"/>
      <c r="BA30" s="854"/>
      <c r="BB30" s="854"/>
      <c r="BC30" s="826"/>
      <c r="BF30" s="656" t="s">
        <v>1279</v>
      </c>
      <c r="BG30" s="656"/>
      <c r="BH30" s="656"/>
      <c r="BI30" s="448"/>
      <c r="BJ30" s="448"/>
    </row>
    <row r="31" spans="1:62" s="38" customFormat="1" ht="21.95" hidden="1" customHeight="1" x14ac:dyDescent="0.15">
      <c r="B31" s="44"/>
      <c r="C31" s="22"/>
      <c r="D31" s="22"/>
      <c r="E31" s="449">
        <v>22.5</v>
      </c>
      <c r="F31" s="3" cm="1">
        <f t="array" aca="1" ref="F31" ca="1">OFFSET(E31,-1,1)</f>
        <v>0</v>
      </c>
      <c r="G31" s="22" t="s">
        <v>333</v>
      </c>
      <c r="H31" s="22" t="s">
        <v>1280</v>
      </c>
      <c r="I31" s="22"/>
      <c r="J31" s="22"/>
      <c r="K31" s="40" t="str">
        <f ca="1">F31&amp;"3komm"</f>
        <v>03komm</v>
      </c>
      <c r="L31" s="609" cm="1">
        <f t="array" ref="L31">BC31</f>
        <v>0</v>
      </c>
      <c r="M31" s="22"/>
      <c r="N31" s="22"/>
      <c r="O31" s="22"/>
      <c r="P31" s="22"/>
      <c r="Q31" s="22"/>
      <c r="R31" s="22"/>
      <c r="S31" s="22"/>
      <c r="T31" s="353" t="b" cm="1">
        <f t="array" ref="T31">T30</f>
        <v>0</v>
      </c>
      <c r="U31" s="22"/>
      <c r="V31" s="22"/>
      <c r="X31" s="990"/>
      <c r="Z31" s="967"/>
      <c r="AB31" s="133" t="s">
        <v>291</v>
      </c>
      <c r="AC31" s="346" t="s">
        <v>1281</v>
      </c>
      <c r="AD31" s="7" t="s">
        <v>828</v>
      </c>
      <c r="AE31" s="781"/>
      <c r="AF31" s="854"/>
      <c r="AG31" s="854"/>
      <c r="AH31" s="854"/>
      <c r="AI31" s="142"/>
      <c r="AJ31" s="854"/>
      <c r="AK31" s="854"/>
      <c r="AL31" s="854"/>
      <c r="AM31" s="854"/>
      <c r="AN31" s="854"/>
      <c r="AO31" s="854"/>
      <c r="AP31" s="854"/>
      <c r="AQ31" s="854"/>
      <c r="AR31" s="854"/>
      <c r="AS31" s="142"/>
      <c r="AT31" s="854"/>
      <c r="AU31" s="854"/>
      <c r="AV31" s="854"/>
      <c r="AW31" s="854"/>
      <c r="AX31" s="854"/>
      <c r="AY31" s="854"/>
      <c r="AZ31" s="854"/>
      <c r="BA31" s="854"/>
      <c r="BB31" s="854"/>
      <c r="BC31" s="826"/>
      <c r="BF31" s="656" t="s">
        <v>1282</v>
      </c>
      <c r="BG31" s="656"/>
      <c r="BH31" s="656"/>
      <c r="BI31" s="448"/>
      <c r="BJ31" s="448"/>
    </row>
    <row r="32" spans="1:62" ht="14.65" hidden="1" customHeight="1" x14ac:dyDescent="0.15">
      <c r="B32" s="44"/>
      <c r="C32" s="22"/>
      <c r="D32" s="22"/>
      <c r="E32" s="449">
        <v>15</v>
      </c>
      <c r="F32" s="3" cm="1">
        <f t="array" aca="1" ref="F32" ca="1">OFFSET(E32,-1,1)</f>
        <v>0</v>
      </c>
      <c r="G32" s="22" t="s">
        <v>335</v>
      </c>
      <c r="H32" s="22"/>
      <c r="I32" s="22"/>
      <c r="J32" s="22"/>
      <c r="K32" s="40" t="str">
        <f ca="1">F32&amp;"4komm"</f>
        <v>04komm</v>
      </c>
      <c r="L32" s="609" cm="1">
        <f t="array" ref="L32">BC32</f>
        <v>0</v>
      </c>
      <c r="M32" s="22"/>
      <c r="N32" s="22"/>
      <c r="O32" s="22"/>
      <c r="P32" s="22"/>
      <c r="Q32" s="22"/>
      <c r="R32" s="22"/>
      <c r="S32" s="22"/>
      <c r="T32" s="353" t="b" cm="1">
        <f t="array" ref="T32">T31</f>
        <v>0</v>
      </c>
      <c r="U32" s="22"/>
      <c r="V32" s="22"/>
      <c r="X32" s="990"/>
      <c r="Z32" s="967"/>
      <c r="AB32" s="590">
        <v>4</v>
      </c>
      <c r="AC32" s="346" t="s">
        <v>1283</v>
      </c>
      <c r="AD32" s="7" t="s">
        <v>828</v>
      </c>
      <c r="AE32" s="855"/>
      <c r="AF32" s="855"/>
      <c r="AG32" s="855"/>
      <c r="AH32" s="855"/>
      <c r="AI32" s="143"/>
      <c r="AJ32" s="855"/>
      <c r="AK32" s="855"/>
      <c r="AL32" s="855"/>
      <c r="AM32" s="855"/>
      <c r="AN32" s="855"/>
      <c r="AO32" s="855"/>
      <c r="AP32" s="855"/>
      <c r="AQ32" s="855"/>
      <c r="AR32" s="855"/>
      <c r="AS32" s="143"/>
      <c r="AT32" s="855"/>
      <c r="AU32" s="855"/>
      <c r="AV32" s="855"/>
      <c r="AW32" s="855"/>
      <c r="AX32" s="855"/>
      <c r="AY32" s="855"/>
      <c r="AZ32" s="855"/>
      <c r="BA32" s="855"/>
      <c r="BB32" s="855"/>
      <c r="BC32" s="826"/>
      <c r="BF32" s="656" t="s">
        <v>1284</v>
      </c>
    </row>
    <row r="33" spans="1:62" s="38" customFormat="1" ht="14.65" hidden="1" customHeight="1" x14ac:dyDescent="0.15">
      <c r="B33" s="44"/>
      <c r="C33" s="22"/>
      <c r="D33" s="22"/>
      <c r="E33" s="449">
        <v>15</v>
      </c>
      <c r="F33" s="3" cm="1">
        <f t="array" aca="1" ref="F33" ca="1">OFFSET(E33,-1,1)</f>
        <v>0</v>
      </c>
      <c r="G33" s="22" t="s">
        <v>334</v>
      </c>
      <c r="H33" s="22"/>
      <c r="I33" s="22"/>
      <c r="J33" s="22"/>
      <c r="K33" s="40" t="str">
        <f ca="1">F33&amp;"5komm"</f>
        <v>05komm</v>
      </c>
      <c r="L33" s="609" cm="1">
        <f t="array" ref="L33">BC33</f>
        <v>0</v>
      </c>
      <c r="M33" s="22"/>
      <c r="N33" s="22"/>
      <c r="O33" s="22"/>
      <c r="P33" s="22"/>
      <c r="Q33" s="22"/>
      <c r="R33" s="22"/>
      <c r="S33" s="22"/>
      <c r="T33" s="353" t="b" cm="1">
        <f t="array" ref="T33">T32</f>
        <v>0</v>
      </c>
      <c r="U33" s="22"/>
      <c r="V33" s="22"/>
      <c r="X33" s="990"/>
      <c r="Z33" s="967"/>
      <c r="AB33" s="133" t="s">
        <v>460</v>
      </c>
      <c r="AC33" s="346" t="s">
        <v>1285</v>
      </c>
      <c r="AD33" s="7" t="s">
        <v>828</v>
      </c>
      <c r="AE33" s="781"/>
      <c r="AF33" s="781"/>
      <c r="AG33" s="781"/>
      <c r="AH33" s="781"/>
      <c r="AI33" s="141"/>
      <c r="AJ33" s="781"/>
      <c r="AK33" s="781"/>
      <c r="AL33" s="781"/>
      <c r="AM33" s="781"/>
      <c r="AN33" s="781"/>
      <c r="AO33" s="781"/>
      <c r="AP33" s="781"/>
      <c r="AQ33" s="781"/>
      <c r="AR33" s="781"/>
      <c r="AS33" s="141"/>
      <c r="AT33" s="781"/>
      <c r="AU33" s="781"/>
      <c r="AV33" s="781"/>
      <c r="AW33" s="781"/>
      <c r="AX33" s="781"/>
      <c r="AY33" s="781"/>
      <c r="AZ33" s="781"/>
      <c r="BA33" s="781"/>
      <c r="BB33" s="781"/>
      <c r="BC33" s="826"/>
      <c r="BF33" s="656" t="s">
        <v>1286</v>
      </c>
      <c r="BG33" s="656"/>
      <c r="BH33" s="656"/>
      <c r="BI33" s="448"/>
      <c r="BJ33" s="448"/>
    </row>
    <row r="34" spans="1:62" s="38" customFormat="1" ht="14.65" hidden="1" customHeight="1" x14ac:dyDescent="0.15">
      <c r="B34" s="44"/>
      <c r="C34" s="22"/>
      <c r="D34" s="22"/>
      <c r="E34" s="449">
        <v>15</v>
      </c>
      <c r="F34" s="3" cm="1">
        <f t="array" aca="1" ref="F34" ca="1">OFFSET(E34,-1,1)</f>
        <v>0</v>
      </c>
      <c r="G34" s="22" t="s">
        <v>532</v>
      </c>
      <c r="H34" s="22"/>
      <c r="I34" s="22"/>
      <c r="J34" s="22"/>
      <c r="K34" s="40" t="str">
        <f ca="1">F34&amp;"6komm"</f>
        <v>06komm</v>
      </c>
      <c r="L34" s="609" cm="1">
        <f t="array" ref="L34">BC34</f>
        <v>0</v>
      </c>
      <c r="M34" s="22"/>
      <c r="N34" s="22"/>
      <c r="O34" s="22"/>
      <c r="P34" s="22"/>
      <c r="Q34" s="22"/>
      <c r="R34" s="22"/>
      <c r="S34" s="22"/>
      <c r="T34" s="353" t="b" cm="1">
        <f t="array" ref="T34">T33</f>
        <v>0</v>
      </c>
      <c r="U34" s="22"/>
      <c r="V34" s="22"/>
      <c r="X34" s="990"/>
      <c r="Z34" s="967"/>
      <c r="AB34" s="133" t="s">
        <v>536</v>
      </c>
      <c r="AC34" s="346" t="s">
        <v>1287</v>
      </c>
      <c r="AD34" s="7" t="s">
        <v>828</v>
      </c>
      <c r="AE34" s="781"/>
      <c r="AF34" s="781"/>
      <c r="AG34" s="781"/>
      <c r="AH34" s="781"/>
      <c r="AI34" s="141"/>
      <c r="AJ34" s="781"/>
      <c r="AK34" s="781"/>
      <c r="AL34" s="781"/>
      <c r="AM34" s="781"/>
      <c r="AN34" s="781"/>
      <c r="AO34" s="781"/>
      <c r="AP34" s="781"/>
      <c r="AQ34" s="781"/>
      <c r="AR34" s="781"/>
      <c r="AS34" s="141"/>
      <c r="AT34" s="781"/>
      <c r="AU34" s="781"/>
      <c r="AV34" s="781"/>
      <c r="AW34" s="781"/>
      <c r="AX34" s="781"/>
      <c r="AY34" s="781"/>
      <c r="AZ34" s="781"/>
      <c r="BA34" s="781"/>
      <c r="BB34" s="781"/>
      <c r="BC34" s="826"/>
      <c r="BF34" s="656" t="s">
        <v>1288</v>
      </c>
      <c r="BG34" s="656"/>
      <c r="BH34" s="656"/>
      <c r="BI34" s="448"/>
      <c r="BJ34" s="448"/>
    </row>
    <row r="35" spans="1:62" s="38" customFormat="1" ht="14.65" hidden="1" customHeight="1" x14ac:dyDescent="0.15">
      <c r="B35" s="44"/>
      <c r="C35" s="22"/>
      <c r="D35" s="22"/>
      <c r="E35" s="449">
        <v>15</v>
      </c>
      <c r="F35" s="3" cm="1">
        <f t="array" aca="1" ref="F35" ca="1">OFFSET(E35,-1,1)</f>
        <v>0</v>
      </c>
      <c r="G35" s="22" t="s">
        <v>535</v>
      </c>
      <c r="H35" s="22" t="s">
        <v>1289</v>
      </c>
      <c r="I35" s="22"/>
      <c r="J35" s="22"/>
      <c r="K35" s="40" t="str">
        <f ca="1">F35&amp;"7komm"</f>
        <v>07komm</v>
      </c>
      <c r="L35" s="609" cm="1">
        <f t="array" ref="L35">BC35</f>
        <v>0</v>
      </c>
      <c r="M35" s="22"/>
      <c r="N35" s="22"/>
      <c r="O35" s="22"/>
      <c r="P35" s="22"/>
      <c r="Q35" s="22"/>
      <c r="R35" s="22"/>
      <c r="S35" s="22"/>
      <c r="T35" s="353" t="b" cm="1">
        <f t="array" ref="T35">T34</f>
        <v>0</v>
      </c>
      <c r="U35" s="22"/>
      <c r="V35" s="22"/>
      <c r="X35" s="990"/>
      <c r="Z35" s="967"/>
      <c r="AB35" s="133" t="s">
        <v>602</v>
      </c>
      <c r="AC35" s="346" t="s">
        <v>1290</v>
      </c>
      <c r="AD35" s="7" t="s">
        <v>828</v>
      </c>
      <c r="AE35" s="781"/>
      <c r="AF35" s="781"/>
      <c r="AG35" s="781"/>
      <c r="AH35" s="781"/>
      <c r="AI35" s="141"/>
      <c r="AJ35" s="781"/>
      <c r="AK35" s="781"/>
      <c r="AL35" s="781"/>
      <c r="AM35" s="781"/>
      <c r="AN35" s="781"/>
      <c r="AO35" s="781"/>
      <c r="AP35" s="781"/>
      <c r="AQ35" s="781"/>
      <c r="AR35" s="781"/>
      <c r="AS35" s="141"/>
      <c r="AT35" s="781"/>
      <c r="AU35" s="781"/>
      <c r="AV35" s="781"/>
      <c r="AW35" s="781"/>
      <c r="AX35" s="781"/>
      <c r="AY35" s="781"/>
      <c r="AZ35" s="781"/>
      <c r="BA35" s="781"/>
      <c r="BB35" s="781"/>
      <c r="BC35" s="826"/>
      <c r="BF35" s="656" t="s">
        <v>1291</v>
      </c>
      <c r="BG35" s="656"/>
      <c r="BH35" s="656"/>
      <c r="BI35" s="448"/>
      <c r="BJ35" s="448"/>
    </row>
    <row r="36" spans="1:62" s="38" customFormat="1" ht="21.95" hidden="1" customHeight="1" x14ac:dyDescent="0.15">
      <c r="B36" s="44"/>
      <c r="C36" s="22"/>
      <c r="D36" s="22"/>
      <c r="E36" s="449">
        <v>22.5</v>
      </c>
      <c r="F36" s="3" cm="1">
        <f t="array" aca="1" ref="F36" ca="1">OFFSET(E36,-1,1)</f>
        <v>0</v>
      </c>
      <c r="G36" s="22" t="s">
        <v>586</v>
      </c>
      <c r="H36" s="22"/>
      <c r="I36" s="22"/>
      <c r="J36" s="22"/>
      <c r="K36" s="40" t="str">
        <f ca="1">F36&amp;"8komm"</f>
        <v>08komm</v>
      </c>
      <c r="L36" s="609" cm="1">
        <f t="array" ref="L36">BC36</f>
        <v>0</v>
      </c>
      <c r="M36" s="22"/>
      <c r="N36" s="22"/>
      <c r="O36" s="22"/>
      <c r="P36" s="22"/>
      <c r="Q36" s="22"/>
      <c r="R36" s="22"/>
      <c r="S36" s="22"/>
      <c r="T36" s="353" t="b" cm="1">
        <f t="array" ref="T36">T35</f>
        <v>0</v>
      </c>
      <c r="U36" s="22"/>
      <c r="V36" s="22"/>
      <c r="X36" s="990"/>
      <c r="Z36" s="967"/>
      <c r="AB36" s="133" t="s">
        <v>610</v>
      </c>
      <c r="AC36" s="346" t="s">
        <v>1292</v>
      </c>
      <c r="AD36" s="7" t="s">
        <v>828</v>
      </c>
      <c r="AE36" s="781"/>
      <c r="AF36" s="781"/>
      <c r="AG36" s="781"/>
      <c r="AH36" s="781"/>
      <c r="AI36" s="141"/>
      <c r="AJ36" s="781"/>
      <c r="AK36" s="781"/>
      <c r="AL36" s="781"/>
      <c r="AM36" s="781"/>
      <c r="AN36" s="781"/>
      <c r="AO36" s="781"/>
      <c r="AP36" s="781"/>
      <c r="AQ36" s="781"/>
      <c r="AR36" s="781"/>
      <c r="AS36" s="141"/>
      <c r="AT36" s="781"/>
      <c r="AU36" s="781"/>
      <c r="AV36" s="781"/>
      <c r="AW36" s="781"/>
      <c r="AX36" s="781"/>
      <c r="AY36" s="781"/>
      <c r="AZ36" s="781"/>
      <c r="BA36" s="781"/>
      <c r="BB36" s="781"/>
      <c r="BC36" s="826"/>
      <c r="BF36" s="656" t="s">
        <v>1293</v>
      </c>
      <c r="BG36" s="656"/>
      <c r="BH36" s="656"/>
      <c r="BI36" s="448"/>
      <c r="BJ36" s="448"/>
    </row>
    <row r="37" spans="1:62" s="40" customFormat="1" ht="21.95" hidden="1" customHeight="1" x14ac:dyDescent="0.15">
      <c r="B37" s="44"/>
      <c r="C37" s="22"/>
      <c r="D37" s="22"/>
      <c r="E37" s="449">
        <v>22.5</v>
      </c>
      <c r="F37" s="3" cm="1">
        <f t="array" aca="1" ref="F37" ca="1">OFFSET(E37,-1,1)</f>
        <v>0</v>
      </c>
      <c r="G37" s="22"/>
      <c r="H37" s="22"/>
      <c r="I37" s="22"/>
      <c r="J37" s="22"/>
      <c r="K37" s="40" t="str">
        <f ca="1">F37&amp;"9komm"</f>
        <v>09komm</v>
      </c>
      <c r="L37" s="609" cm="1">
        <f t="array" ref="L37">BC37</f>
        <v>0</v>
      </c>
      <c r="M37" s="22"/>
      <c r="N37" s="22"/>
      <c r="O37" s="22"/>
      <c r="P37" s="22"/>
      <c r="Q37" s="22"/>
      <c r="R37" s="22"/>
      <c r="S37" s="22"/>
      <c r="T37" s="353" t="b" cm="1">
        <f t="array" ref="T37">T36</f>
        <v>0</v>
      </c>
      <c r="U37" s="22"/>
      <c r="V37" s="22"/>
      <c r="X37" s="990"/>
      <c r="Z37" s="967"/>
      <c r="AB37" s="133" t="s">
        <v>768</v>
      </c>
      <c r="AC37" s="346" t="s">
        <v>1294</v>
      </c>
      <c r="AD37" s="7" t="s">
        <v>828</v>
      </c>
      <c r="AE37" s="781"/>
      <c r="AF37" s="781"/>
      <c r="AG37" s="781"/>
      <c r="AH37" s="781"/>
      <c r="AI37" s="141"/>
      <c r="AJ37" s="781"/>
      <c r="AK37" s="781"/>
      <c r="AL37" s="781"/>
      <c r="AM37" s="781"/>
      <c r="AN37" s="781"/>
      <c r="AO37" s="781"/>
      <c r="AP37" s="781"/>
      <c r="AQ37" s="781"/>
      <c r="AR37" s="781"/>
      <c r="AS37" s="141"/>
      <c r="AT37" s="781"/>
      <c r="AU37" s="781"/>
      <c r="AV37" s="781"/>
      <c r="AW37" s="781"/>
      <c r="AX37" s="781"/>
      <c r="AY37" s="781"/>
      <c r="AZ37" s="781"/>
      <c r="BA37" s="781"/>
      <c r="BB37" s="781"/>
      <c r="BC37" s="775"/>
      <c r="BF37" s="662" t="s">
        <v>1295</v>
      </c>
      <c r="BG37" s="662"/>
      <c r="BH37" s="662"/>
      <c r="BI37" s="502"/>
      <c r="BJ37" s="502"/>
    </row>
    <row r="38" spans="1:62" ht="14.65" hidden="1" customHeight="1" x14ac:dyDescent="0.15">
      <c r="B38" s="44"/>
      <c r="C38" s="22"/>
      <c r="D38" s="22"/>
      <c r="E38" s="449">
        <v>15</v>
      </c>
      <c r="F38" s="3" cm="1">
        <f t="array" aca="1" ref="F38" ca="1">OFFSET(E38,-1,1)</f>
        <v>0</v>
      </c>
      <c r="G38" s="22" t="s">
        <v>601</v>
      </c>
      <c r="H38" s="274"/>
      <c r="I38" s="22"/>
      <c r="J38" s="22"/>
      <c r="K38" s="40" t="str">
        <f ca="1">F38&amp;"10komm"</f>
        <v>010komm</v>
      </c>
      <c r="L38" s="609" cm="1">
        <f t="array" ref="L38">BC38</f>
        <v>0</v>
      </c>
      <c r="M38" s="22"/>
      <c r="N38" s="22"/>
      <c r="O38" s="22"/>
      <c r="P38" s="22"/>
      <c r="Q38" s="22"/>
      <c r="R38" s="22"/>
      <c r="S38" s="22"/>
      <c r="T38" s="353" t="b" cm="1">
        <f t="array" ref="T38">T37</f>
        <v>0</v>
      </c>
      <c r="U38" s="22"/>
      <c r="V38" s="22"/>
      <c r="X38" s="990"/>
      <c r="Z38" s="967"/>
      <c r="AB38" s="590">
        <v>10</v>
      </c>
      <c r="AC38" s="346" t="s">
        <v>1296</v>
      </c>
      <c r="AD38" s="7" t="s">
        <v>828</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6"/>
      <c r="BF38" s="656" t="s">
        <v>1297</v>
      </c>
    </row>
    <row r="39" spans="1:62" ht="14.65" hidden="1" customHeight="1" x14ac:dyDescent="0.15">
      <c r="B39" s="44"/>
      <c r="C39" s="22"/>
      <c r="D39" s="22"/>
      <c r="E39" s="449">
        <v>15</v>
      </c>
      <c r="F39" s="3" cm="1">
        <f t="array" aca="1" ref="F39" ca="1">OFFSET(E39,-1,1)</f>
        <v>0</v>
      </c>
      <c r="G39" s="22" t="s">
        <v>601</v>
      </c>
      <c r="H39" s="274"/>
      <c r="I39" s="410" cm="1">
        <f t="array" ref="I39">AC39</f>
        <v>0</v>
      </c>
      <c r="J39" s="22"/>
      <c r="K39" s="22"/>
      <c r="L39" s="22"/>
      <c r="M39" s="22"/>
      <c r="N39" s="22"/>
      <c r="O39" s="22"/>
      <c r="P39" s="22"/>
      <c r="Q39" s="22"/>
      <c r="R39" s="22"/>
      <c r="S39" s="22"/>
      <c r="T39" s="353" t="b">
        <f ca="1">AND(F39&gt;0,Y39&gt;0)</f>
        <v>0</v>
      </c>
      <c r="U39" s="22"/>
      <c r="V39" s="22"/>
      <c r="W39" s="517" t="s">
        <v>172</v>
      </c>
      <c r="X39" s="990"/>
      <c r="Y39" s="38">
        <v>0</v>
      </c>
      <c r="Z39" s="967"/>
      <c r="AA39" s="320" t="s">
        <v>173</v>
      </c>
      <c r="AB39" s="500" t="str">
        <f>"10."&amp;Y39</f>
        <v>10.0</v>
      </c>
      <c r="AC39" s="856"/>
      <c r="AD39" s="7" t="s">
        <v>828</v>
      </c>
      <c r="AE39" s="781"/>
      <c r="AF39" s="781"/>
      <c r="AG39" s="781"/>
      <c r="AH39" s="781"/>
      <c r="AI39" s="141"/>
      <c r="AJ39" s="781"/>
      <c r="AK39" s="781"/>
      <c r="AL39" s="781"/>
      <c r="AM39" s="781"/>
      <c r="AN39" s="781"/>
      <c r="AO39" s="781"/>
      <c r="AP39" s="781"/>
      <c r="AQ39" s="781"/>
      <c r="AR39" s="781"/>
      <c r="AS39" s="141"/>
      <c r="AT39" s="781"/>
      <c r="AU39" s="781"/>
      <c r="AV39" s="781"/>
      <c r="AW39" s="781"/>
      <c r="AX39" s="781"/>
      <c r="AY39" s="781"/>
      <c r="AZ39" s="781"/>
      <c r="BA39" s="781"/>
      <c r="BB39" s="781"/>
      <c r="BC39" s="826"/>
      <c r="BF39" s="656" t="s">
        <v>1297</v>
      </c>
      <c r="BG39" s="656" t="s">
        <v>1298</v>
      </c>
      <c r="BH39" s="687" cm="1">
        <f t="array" ref="BH39">AC39</f>
        <v>0</v>
      </c>
      <c r="BJ39" s="448" t="b">
        <v>1</v>
      </c>
    </row>
    <row r="40" spans="1:62" s="38" customFormat="1" ht="14.65" hidden="1" customHeight="1" x14ac:dyDescent="0.15">
      <c r="B40" s="44"/>
      <c r="C40" s="22"/>
      <c r="D40" s="22"/>
      <c r="E40" s="449">
        <v>15</v>
      </c>
      <c r="F40" s="3" cm="1">
        <f t="array" aca="1" ref="F40" ca="1">OFFSET(E40,-1,1)</f>
        <v>0</v>
      </c>
      <c r="G40" s="22"/>
      <c r="I40" s="22" t="str">
        <f>"!=='не определено'"</f>
        <v>!=='не определено'</v>
      </c>
      <c r="J40" s="22"/>
      <c r="K40" s="22"/>
      <c r="L40" s="22"/>
      <c r="M40" s="22"/>
      <c r="N40" s="22"/>
      <c r="O40" s="22"/>
      <c r="P40" s="22"/>
      <c r="Q40" s="22"/>
      <c r="R40" s="22"/>
      <c r="S40" s="22"/>
      <c r="T40" s="353" t="b">
        <f ca="1">F40&gt;0</f>
        <v>0</v>
      </c>
      <c r="U40" s="22"/>
      <c r="V40" s="22"/>
      <c r="W40" s="517" t="s">
        <v>397</v>
      </c>
      <c r="X40" s="990"/>
      <c r="Z40" s="967"/>
      <c r="AB40" s="546"/>
      <c r="AC40" s="172" t="s">
        <v>176</v>
      </c>
      <c r="AD40" s="547"/>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6"/>
      <c r="BG40" s="656"/>
      <c r="BH40" s="656"/>
      <c r="BI40" s="448" t="s">
        <v>1298</v>
      </c>
      <c r="BJ40" s="448"/>
    </row>
    <row r="41" spans="1:62" s="396" customFormat="1" ht="28.35" customHeight="1" x14ac:dyDescent="0.15">
      <c r="A41" s="38"/>
      <c r="B41" s="43"/>
      <c r="C41" s="38"/>
      <c r="D41" s="38"/>
      <c r="E41" s="448">
        <v>15</v>
      </c>
      <c r="F41" s="17" t="str" cm="1">
        <f t="array" ref="F41">X41</f>
        <v>1</v>
      </c>
      <c r="G41" s="38"/>
      <c r="H41" s="38"/>
      <c r="I41" s="38"/>
      <c r="J41" s="38"/>
      <c r="K41" s="38"/>
      <c r="L41" s="38"/>
      <c r="M41" s="38"/>
      <c r="N41" s="38"/>
      <c r="O41" s="38"/>
      <c r="P41" s="38"/>
      <c r="Q41" s="38"/>
      <c r="R41" s="38"/>
      <c r="S41" s="38"/>
      <c r="T41" s="353" t="b">
        <f>X41&gt;0</f>
        <v>1</v>
      </c>
      <c r="U41" s="38"/>
      <c r="V41" s="38" t="str" cm="1">
        <f t="array" ref="V41">'Сбытовые расходы ГО'!$AB$39</f>
        <v>Тариф 1 (Водоснабжение) - тариф на техническую воду</v>
      </c>
      <c r="W41" s="38"/>
      <c r="X41" s="990" t="s">
        <v>275</v>
      </c>
      <c r="Y41" s="38"/>
      <c r="Z41" s="967"/>
      <c r="AA41" s="38"/>
      <c r="AB41" s="135" t="str" cm="1">
        <f t="array" ref="AB41">'Сбытовые расходы ГО'!$AB$39</f>
        <v>Тариф 1 (Водоснабжение) - тариф на техническую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6"/>
      <c r="BG41" s="656"/>
      <c r="BH41" s="656"/>
      <c r="BI41" s="448"/>
      <c r="BJ41" s="448"/>
    </row>
    <row r="42" spans="1:62" s="396" customFormat="1" ht="62.85" customHeight="1" x14ac:dyDescent="0.15">
      <c r="A42" s="38"/>
      <c r="B42" s="43"/>
      <c r="C42" s="38"/>
      <c r="D42" s="38"/>
      <c r="E42" s="448">
        <v>22.5</v>
      </c>
      <c r="F42" s="3" t="str" cm="1">
        <f t="array" aca="1" ref="F42" ca="1">OFFSET(E42,-1,1)</f>
        <v>1</v>
      </c>
      <c r="G42" s="38" t="s">
        <v>1256</v>
      </c>
      <c r="H42" s="38"/>
      <c r="I42" s="38"/>
      <c r="J42" s="38"/>
      <c r="K42" s="40" t="str">
        <f ca="1">F42&amp;"komm"</f>
        <v>1komm</v>
      </c>
      <c r="L42" s="609" t="str" cm="1">
        <f t="array" ref="L42">BC42</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M42" s="38"/>
      <c r="N42" s="38"/>
      <c r="O42" s="38"/>
      <c r="P42" s="38"/>
      <c r="Q42" s="38"/>
      <c r="R42" s="38"/>
      <c r="S42" s="38"/>
      <c r="T42" s="353" t="b" cm="1">
        <f t="array" ref="T42">T41</f>
        <v>1</v>
      </c>
      <c r="U42" s="38"/>
      <c r="V42" s="38"/>
      <c r="W42" s="38"/>
      <c r="X42" s="990"/>
      <c r="Y42" s="38"/>
      <c r="Z42" s="967"/>
      <c r="AA42" s="38"/>
      <c r="AB42" s="147">
        <v>0</v>
      </c>
      <c r="AC42" s="132" t="s">
        <v>1274</v>
      </c>
      <c r="AD42" s="124" t="s">
        <v>828</v>
      </c>
      <c r="AE42" s="140">
        <f t="shared" ref="AE42:BB42" si="3">SUM(AE43:AE52)</f>
        <v>19524.778777153999</v>
      </c>
      <c r="AF42" s="140">
        <f t="shared" si="3"/>
        <v>20113.000735426896</v>
      </c>
      <c r="AG42" s="140">
        <f t="shared" si="3"/>
        <v>20113.014334812699</v>
      </c>
      <c r="AH42" s="140">
        <f t="shared" si="3"/>
        <v>25906.171578960002</v>
      </c>
      <c r="AI42" s="140">
        <f t="shared" si="3"/>
        <v>32079.612572521102</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26515.485691682399</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1299</v>
      </c>
      <c r="BD42" s="38"/>
      <c r="BE42" s="38"/>
      <c r="BF42" s="656" t="s">
        <v>1275</v>
      </c>
      <c r="BG42" s="656"/>
      <c r="BH42" s="656"/>
      <c r="BI42" s="448"/>
      <c r="BJ42" s="448"/>
    </row>
    <row r="43" spans="1:62" s="396" customFormat="1" ht="14.25" customHeight="1" x14ac:dyDescent="0.15">
      <c r="A43" s="38"/>
      <c r="B43" s="43"/>
      <c r="C43" s="38"/>
      <c r="D43" s="38"/>
      <c r="E43" s="448">
        <v>15</v>
      </c>
      <c r="F43" s="3" t="str" cm="1">
        <f t="array" aca="1" ref="F43" ca="1">OFFSET(E43,-1,1)</f>
        <v>1</v>
      </c>
      <c r="G43" s="38" t="s">
        <v>331</v>
      </c>
      <c r="H43" s="38"/>
      <c r="I43" s="38"/>
      <c r="J43" s="38"/>
      <c r="K43" s="40" t="str">
        <f ca="1">F43&amp;"1komm"</f>
        <v>11komm</v>
      </c>
      <c r="L43" s="609" cm="1">
        <f t="array" ref="L43">BC43</f>
        <v>0</v>
      </c>
      <c r="M43" s="38"/>
      <c r="N43" s="38"/>
      <c r="O43" s="38"/>
      <c r="P43" s="38"/>
      <c r="Q43" s="38"/>
      <c r="R43" s="38"/>
      <c r="S43" s="38"/>
      <c r="T43" s="353" t="b" cm="1">
        <f t="array" ref="T43">T42</f>
        <v>1</v>
      </c>
      <c r="U43" s="38"/>
      <c r="V43" s="38"/>
      <c r="W43" s="38"/>
      <c r="X43" s="990"/>
      <c r="Y43" s="38"/>
      <c r="Z43" s="967"/>
      <c r="AA43" s="38"/>
      <c r="AB43" s="133" t="s">
        <v>275</v>
      </c>
      <c r="AC43" s="346" t="s">
        <v>1276</v>
      </c>
      <c r="AD43" s="7" t="s">
        <v>828</v>
      </c>
      <c r="AE43" s="141"/>
      <c r="AF43" s="142"/>
      <c r="AG43" s="142"/>
      <c r="AH43" s="142"/>
      <c r="AI43" s="142"/>
      <c r="AJ43" s="854"/>
      <c r="AK43" s="854"/>
      <c r="AL43" s="142"/>
      <c r="AM43" s="142"/>
      <c r="AN43" s="142"/>
      <c r="AO43" s="142"/>
      <c r="AP43" s="142"/>
      <c r="AQ43" s="142"/>
      <c r="AR43" s="142"/>
      <c r="AS43" s="142"/>
      <c r="AT43" s="854"/>
      <c r="AU43" s="854"/>
      <c r="AV43" s="142"/>
      <c r="AW43" s="142"/>
      <c r="AX43" s="142"/>
      <c r="AY43" s="142"/>
      <c r="AZ43" s="142"/>
      <c r="BA43" s="142"/>
      <c r="BB43" s="142"/>
      <c r="BC43" s="113"/>
      <c r="BD43" s="38"/>
      <c r="BE43" s="38"/>
      <c r="BF43" s="656" t="s">
        <v>1277</v>
      </c>
      <c r="BG43" s="656"/>
      <c r="BH43" s="656"/>
      <c r="BI43" s="448"/>
      <c r="BJ43" s="448"/>
    </row>
    <row r="44" spans="1:62" s="396" customFormat="1" ht="21.75" customHeight="1" x14ac:dyDescent="0.15">
      <c r="A44" s="38"/>
      <c r="B44" s="44"/>
      <c r="C44" s="22"/>
      <c r="D44" s="22"/>
      <c r="E44" s="449">
        <v>22.5</v>
      </c>
      <c r="F44" s="3" t="str" cm="1">
        <f t="array" aca="1" ref="F44" ca="1">OFFSET(E44,-1,1)</f>
        <v>1</v>
      </c>
      <c r="G44" s="22" t="s">
        <v>332</v>
      </c>
      <c r="H44" s="22"/>
      <c r="I44" s="22"/>
      <c r="J44" s="22"/>
      <c r="K44" s="40" t="str">
        <f ca="1">F44&amp;"2komm"</f>
        <v>12komm</v>
      </c>
      <c r="L44" s="609" cm="1">
        <f t="array" ref="L44">BC44</f>
        <v>0</v>
      </c>
      <c r="M44" s="22"/>
      <c r="N44" s="22"/>
      <c r="O44" s="22"/>
      <c r="P44" s="22"/>
      <c r="Q44" s="22"/>
      <c r="R44" s="22"/>
      <c r="S44" s="22"/>
      <c r="T44" s="353" t="b" cm="1">
        <f t="array" ref="T44">T43</f>
        <v>1</v>
      </c>
      <c r="U44" s="22"/>
      <c r="V44" s="22"/>
      <c r="W44" s="38"/>
      <c r="X44" s="990"/>
      <c r="Y44" s="38"/>
      <c r="Z44" s="967"/>
      <c r="AA44" s="38"/>
      <c r="AB44" s="133" t="s">
        <v>285</v>
      </c>
      <c r="AC44" s="346" t="s">
        <v>1278</v>
      </c>
      <c r="AD44" s="7" t="s">
        <v>828</v>
      </c>
      <c r="AE44" s="141"/>
      <c r="AF44" s="142"/>
      <c r="AG44" s="142"/>
      <c r="AH44" s="142"/>
      <c r="AI44" s="142"/>
      <c r="AJ44" s="854"/>
      <c r="AK44" s="854"/>
      <c r="AL44" s="142"/>
      <c r="AM44" s="142"/>
      <c r="AN44" s="142"/>
      <c r="AO44" s="142"/>
      <c r="AP44" s="142"/>
      <c r="AQ44" s="142"/>
      <c r="AR44" s="142"/>
      <c r="AS44" s="142"/>
      <c r="AT44" s="854"/>
      <c r="AU44" s="854"/>
      <c r="AV44" s="142"/>
      <c r="AW44" s="142"/>
      <c r="AX44" s="142"/>
      <c r="AY44" s="142"/>
      <c r="AZ44" s="142"/>
      <c r="BA44" s="142"/>
      <c r="BB44" s="142"/>
      <c r="BC44" s="113"/>
      <c r="BD44" s="38"/>
      <c r="BE44" s="38"/>
      <c r="BF44" s="656" t="s">
        <v>1279</v>
      </c>
      <c r="BG44" s="656"/>
      <c r="BH44" s="656"/>
      <c r="BI44" s="448"/>
      <c r="BJ44" s="448"/>
    </row>
    <row r="45" spans="1:62" s="396" customFormat="1" ht="21.75" customHeight="1" x14ac:dyDescent="0.15">
      <c r="A45" s="38"/>
      <c r="B45" s="44"/>
      <c r="C45" s="22"/>
      <c r="D45" s="22"/>
      <c r="E45" s="449">
        <v>22.5</v>
      </c>
      <c r="F45" s="3" t="str" cm="1">
        <f t="array" aca="1" ref="F45" ca="1">OFFSET(E45,-1,1)</f>
        <v>1</v>
      </c>
      <c r="G45" s="22" t="s">
        <v>333</v>
      </c>
      <c r="H45" s="22" t="s">
        <v>1280</v>
      </c>
      <c r="I45" s="22"/>
      <c r="J45" s="22"/>
      <c r="K45" s="40" t="str">
        <f ca="1">F45&amp;"3komm"</f>
        <v>13komm</v>
      </c>
      <c r="L45" s="609" cm="1">
        <f t="array" ref="L45">BC45</f>
        <v>0</v>
      </c>
      <c r="M45" s="22"/>
      <c r="N45" s="22"/>
      <c r="O45" s="22"/>
      <c r="P45" s="22"/>
      <c r="Q45" s="22"/>
      <c r="R45" s="22"/>
      <c r="S45" s="22"/>
      <c r="T45" s="353" t="b" cm="1">
        <f t="array" ref="T45">T44</f>
        <v>1</v>
      </c>
      <c r="U45" s="22"/>
      <c r="V45" s="22"/>
      <c r="W45" s="38"/>
      <c r="X45" s="990"/>
      <c r="Y45" s="38"/>
      <c r="Z45" s="967"/>
      <c r="AA45" s="38"/>
      <c r="AB45" s="133" t="s">
        <v>291</v>
      </c>
      <c r="AC45" s="346" t="s">
        <v>1281</v>
      </c>
      <c r="AD45" s="7" t="s">
        <v>828</v>
      </c>
      <c r="AE45" s="141"/>
      <c r="AF45" s="142"/>
      <c r="AG45" s="142"/>
      <c r="AH45" s="142"/>
      <c r="AI45" s="142"/>
      <c r="AJ45" s="854"/>
      <c r="AK45" s="854"/>
      <c r="AL45" s="142"/>
      <c r="AM45" s="142"/>
      <c r="AN45" s="142"/>
      <c r="AO45" s="142"/>
      <c r="AP45" s="142"/>
      <c r="AQ45" s="142"/>
      <c r="AR45" s="142"/>
      <c r="AS45" s="142"/>
      <c r="AT45" s="854"/>
      <c r="AU45" s="854"/>
      <c r="AV45" s="142"/>
      <c r="AW45" s="142"/>
      <c r="AX45" s="142"/>
      <c r="AY45" s="142"/>
      <c r="AZ45" s="142"/>
      <c r="BA45" s="142"/>
      <c r="BB45" s="142"/>
      <c r="BC45" s="113"/>
      <c r="BD45" s="38"/>
      <c r="BE45" s="38"/>
      <c r="BF45" s="656" t="s">
        <v>1282</v>
      </c>
      <c r="BG45" s="656"/>
      <c r="BH45" s="656"/>
      <c r="BI45" s="448"/>
      <c r="BJ45" s="448"/>
    </row>
    <row r="46" spans="1:62" ht="14.25" customHeight="1" x14ac:dyDescent="0.15">
      <c r="B46" s="44"/>
      <c r="C46" s="22"/>
      <c r="D46" s="22"/>
      <c r="E46" s="449">
        <v>15</v>
      </c>
      <c r="F46" s="3" t="str" cm="1">
        <f t="array" aca="1" ref="F46" ca="1">OFFSET(E46,-1,1)</f>
        <v>1</v>
      </c>
      <c r="G46" s="22" t="s">
        <v>335</v>
      </c>
      <c r="H46" s="22"/>
      <c r="I46" s="22"/>
      <c r="J46" s="22"/>
      <c r="K46" s="40" t="str">
        <f ca="1">F46&amp;"4komm"</f>
        <v>14komm</v>
      </c>
      <c r="L46" s="609" cm="1">
        <f t="array" ref="L46">BC46</f>
        <v>0</v>
      </c>
      <c r="M46" s="22"/>
      <c r="N46" s="22"/>
      <c r="O46" s="22"/>
      <c r="P46" s="22"/>
      <c r="Q46" s="22"/>
      <c r="R46" s="22"/>
      <c r="S46" s="22"/>
      <c r="T46" s="353" t="b" cm="1">
        <f t="array" ref="T46">T45</f>
        <v>1</v>
      </c>
      <c r="U46" s="22"/>
      <c r="V46" s="22"/>
      <c r="X46" s="990"/>
      <c r="Z46" s="967"/>
      <c r="AB46" s="590">
        <v>4</v>
      </c>
      <c r="AC46" s="346" t="s">
        <v>1283</v>
      </c>
      <c r="AD46" s="7" t="s">
        <v>828</v>
      </c>
      <c r="AE46" s="143"/>
      <c r="AF46" s="143"/>
      <c r="AG46" s="143"/>
      <c r="AH46" s="143"/>
      <c r="AI46" s="143"/>
      <c r="AJ46" s="855"/>
      <c r="AK46" s="855"/>
      <c r="AL46" s="143"/>
      <c r="AM46" s="143"/>
      <c r="AN46" s="143"/>
      <c r="AO46" s="143"/>
      <c r="AP46" s="143"/>
      <c r="AQ46" s="143"/>
      <c r="AR46" s="143"/>
      <c r="AS46" s="143"/>
      <c r="AT46" s="855"/>
      <c r="AU46" s="855"/>
      <c r="AV46" s="143"/>
      <c r="AW46" s="143"/>
      <c r="AX46" s="143"/>
      <c r="AY46" s="143"/>
      <c r="AZ46" s="143"/>
      <c r="BA46" s="143"/>
      <c r="BB46" s="143"/>
      <c r="BC46" s="113"/>
      <c r="BF46" s="656" t="s">
        <v>1284</v>
      </c>
    </row>
    <row r="47" spans="1:62" s="396" customFormat="1" ht="96.6" customHeight="1" x14ac:dyDescent="0.15">
      <c r="A47" s="38"/>
      <c r="B47" s="44"/>
      <c r="C47" s="22"/>
      <c r="D47" s="22"/>
      <c r="E47" s="449">
        <v>15</v>
      </c>
      <c r="F47" s="3" t="str" cm="1">
        <f t="array" aca="1" ref="F47" ca="1">OFFSET(E47,-1,1)</f>
        <v>1</v>
      </c>
      <c r="G47" s="22" t="s">
        <v>334</v>
      </c>
      <c r="H47" s="22"/>
      <c r="I47" s="22"/>
      <c r="J47" s="22"/>
      <c r="K47" s="40" t="str">
        <f ca="1">F47&amp;"5komm"</f>
        <v>15komm</v>
      </c>
      <c r="L47" s="609" t="str" cm="1">
        <f t="array" ref="L47">BC47</f>
        <v>Рассчитано, исходя из принятого планового объема забора воды из р. Томь  (в целях реализации на сторону) и ставки  270,00 руб./тыс. м3 согласно Постановлению Правительства РФ от 30.12.2006 г. № 876 "О СТАВКАХ ПЛАТЫ ЗА ПОЛЬЗОВАНИЕ ВОДНЫМИ ОБЪЕКТАМИ, НАХОДЯЩИМИСЯ В ФЕДЕРАЛЬНОЙ СОБСТВЕННОСТИ", с учетом коэффициента  4,84, установленного Постановлением Правительства РФ от  от 21.12.2024 N 1847, с учетом  ИПЦ Минэкономразвития России  104,3% на 2026 год.</v>
      </c>
      <c r="M47" s="22"/>
      <c r="N47" s="22"/>
      <c r="O47" s="22"/>
      <c r="P47" s="22"/>
      <c r="Q47" s="22"/>
      <c r="R47" s="22"/>
      <c r="S47" s="22"/>
      <c r="T47" s="353" t="b" cm="1">
        <f t="array" ref="T47">T46</f>
        <v>1</v>
      </c>
      <c r="U47" s="22"/>
      <c r="V47" s="22"/>
      <c r="W47" s="38"/>
      <c r="X47" s="990"/>
      <c r="Y47" s="38"/>
      <c r="Z47" s="967"/>
      <c r="AA47" s="38"/>
      <c r="AB47" s="133" t="s">
        <v>460</v>
      </c>
      <c r="AC47" s="346" t="s">
        <v>1285</v>
      </c>
      <c r="AD47" s="7" t="s">
        <v>828</v>
      </c>
      <c r="AE47" s="141">
        <v>18774.753204000001</v>
      </c>
      <c r="AF47" s="141">
        <v>19632.334334812698</v>
      </c>
      <c r="AG47" s="141">
        <v>19632.334334812698</v>
      </c>
      <c r="AH47" s="141">
        <v>25470.752958960002</v>
      </c>
      <c r="AI47" s="141">
        <v>31465.7772</v>
      </c>
      <c r="AJ47" s="781"/>
      <c r="AK47" s="781"/>
      <c r="AL47" s="141"/>
      <c r="AM47" s="141"/>
      <c r="AN47" s="141"/>
      <c r="AO47" s="141"/>
      <c r="AP47" s="141"/>
      <c r="AQ47" s="141"/>
      <c r="AR47" s="141"/>
      <c r="AS47" s="141">
        <v>26242.775244447999</v>
      </c>
      <c r="AT47" s="781"/>
      <c r="AU47" s="781"/>
      <c r="AV47" s="141"/>
      <c r="AW47" s="141"/>
      <c r="AX47" s="141"/>
      <c r="AY47" s="141"/>
      <c r="AZ47" s="141"/>
      <c r="BA47" s="141"/>
      <c r="BB47" s="141"/>
      <c r="BC47" s="113" t="s">
        <v>1300</v>
      </c>
      <c r="BD47" s="38"/>
      <c r="BE47" s="38"/>
      <c r="BF47" s="656" t="s">
        <v>1286</v>
      </c>
      <c r="BG47" s="656"/>
      <c r="BH47" s="656"/>
      <c r="BI47" s="448"/>
      <c r="BJ47" s="448"/>
    </row>
    <row r="48" spans="1:62" s="396" customFormat="1" ht="85.35" customHeight="1" x14ac:dyDescent="0.15">
      <c r="A48" s="38"/>
      <c r="B48" s="44"/>
      <c r="C48" s="22"/>
      <c r="D48" s="22"/>
      <c r="E48" s="449">
        <v>15</v>
      </c>
      <c r="F48" s="3" t="str" cm="1">
        <f t="array" aca="1" ref="F48" ca="1">OFFSET(E48,-1,1)</f>
        <v>1</v>
      </c>
      <c r="G48" s="22" t="s">
        <v>532</v>
      </c>
      <c r="H48" s="22"/>
      <c r="I48" s="22"/>
      <c r="J48" s="22"/>
      <c r="K48" s="40" t="str">
        <f ca="1">F48&amp;"6komm"</f>
        <v>16komm</v>
      </c>
      <c r="L48" s="609" t="str" cm="1">
        <f t="array" ref="L48">BC48</f>
        <v>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отчислений по ДВИЖИМОМУ ИМУЩЕСТВУ):  остаточная стоимость на 31.12.2024  - 47923,75 тыс. руб, на 31.12.2025 - 36311,12 тыс. руб., на 31.12.2026 - 24698,48  тыс. руб.), ставка налога - 2,2%, сумма налога ВСЕГО - 671,10554 тыс. руб. Принято в доле реализации на сторону 0,40636.</v>
      </c>
      <c r="M48" s="22"/>
      <c r="N48" s="22"/>
      <c r="O48" s="22"/>
      <c r="P48" s="22"/>
      <c r="Q48" s="22"/>
      <c r="R48" s="22"/>
      <c r="S48" s="22"/>
      <c r="T48" s="353" t="b" cm="1">
        <f t="array" ref="T48">T47</f>
        <v>1</v>
      </c>
      <c r="U48" s="22"/>
      <c r="V48" s="22"/>
      <c r="W48" s="38"/>
      <c r="X48" s="990"/>
      <c r="Y48" s="38"/>
      <c r="Z48" s="967"/>
      <c r="AA48" s="38"/>
      <c r="AB48" s="133" t="s">
        <v>536</v>
      </c>
      <c r="AC48" s="346" t="s">
        <v>1287</v>
      </c>
      <c r="AD48" s="7" t="s">
        <v>828</v>
      </c>
      <c r="AE48" s="141">
        <v>750.02557315399997</v>
      </c>
      <c r="AF48" s="141">
        <v>480.66640061419997</v>
      </c>
      <c r="AG48" s="141">
        <v>480.68</v>
      </c>
      <c r="AH48" s="141">
        <v>435.41861999999998</v>
      </c>
      <c r="AI48" s="141">
        <v>613.8353725211</v>
      </c>
      <c r="AJ48" s="781"/>
      <c r="AK48" s="781"/>
      <c r="AL48" s="141"/>
      <c r="AM48" s="141"/>
      <c r="AN48" s="141"/>
      <c r="AO48" s="141"/>
      <c r="AP48" s="141"/>
      <c r="AQ48" s="141"/>
      <c r="AR48" s="141"/>
      <c r="AS48" s="141">
        <v>272.71044723440002</v>
      </c>
      <c r="AT48" s="781"/>
      <c r="AU48" s="781"/>
      <c r="AV48" s="141"/>
      <c r="AW48" s="141"/>
      <c r="AX48" s="141"/>
      <c r="AY48" s="141"/>
      <c r="AZ48" s="141"/>
      <c r="BA48" s="141"/>
      <c r="BB48" s="141"/>
      <c r="BC48" s="113" t="s">
        <v>1301</v>
      </c>
      <c r="BD48" s="38"/>
      <c r="BE48" s="38"/>
      <c r="BF48" s="656" t="s">
        <v>1288</v>
      </c>
      <c r="BG48" s="656"/>
      <c r="BH48" s="656"/>
      <c r="BI48" s="448"/>
      <c r="BJ48" s="448"/>
    </row>
    <row r="49" spans="1:62" s="396" customFormat="1" ht="14.25" customHeight="1" x14ac:dyDescent="0.15">
      <c r="A49" s="38"/>
      <c r="B49" s="44"/>
      <c r="C49" s="22"/>
      <c r="D49" s="22"/>
      <c r="E49" s="449">
        <v>15</v>
      </c>
      <c r="F49" s="3" t="str" cm="1">
        <f t="array" aca="1" ref="F49" ca="1">OFFSET(E49,-1,1)</f>
        <v>1</v>
      </c>
      <c r="G49" s="22" t="s">
        <v>535</v>
      </c>
      <c r="H49" s="22" t="s">
        <v>1289</v>
      </c>
      <c r="I49" s="22"/>
      <c r="J49" s="22"/>
      <c r="K49" s="40" t="str">
        <f ca="1">F49&amp;"7komm"</f>
        <v>17komm</v>
      </c>
      <c r="L49" s="609" cm="1">
        <f t="array" ref="L49">BC49</f>
        <v>0</v>
      </c>
      <c r="M49" s="22"/>
      <c r="N49" s="22"/>
      <c r="O49" s="22"/>
      <c r="P49" s="22"/>
      <c r="Q49" s="22"/>
      <c r="R49" s="22"/>
      <c r="S49" s="22"/>
      <c r="T49" s="353" t="b" cm="1">
        <f t="array" ref="T49">T48</f>
        <v>1</v>
      </c>
      <c r="U49" s="22"/>
      <c r="V49" s="22"/>
      <c r="W49" s="38"/>
      <c r="X49" s="990"/>
      <c r="Y49" s="38"/>
      <c r="Z49" s="967"/>
      <c r="AA49" s="38"/>
      <c r="AB49" s="133" t="s">
        <v>602</v>
      </c>
      <c r="AC49" s="346" t="s">
        <v>1290</v>
      </c>
      <c r="AD49" s="7" t="s">
        <v>828</v>
      </c>
      <c r="AE49" s="141"/>
      <c r="AF49" s="141"/>
      <c r="AG49" s="141"/>
      <c r="AH49" s="141"/>
      <c r="AI49" s="141"/>
      <c r="AJ49" s="781"/>
      <c r="AK49" s="781"/>
      <c r="AL49" s="141"/>
      <c r="AM49" s="141"/>
      <c r="AN49" s="141"/>
      <c r="AO49" s="141"/>
      <c r="AP49" s="141"/>
      <c r="AQ49" s="141"/>
      <c r="AR49" s="141"/>
      <c r="AS49" s="141"/>
      <c r="AT49" s="781"/>
      <c r="AU49" s="781"/>
      <c r="AV49" s="141"/>
      <c r="AW49" s="141"/>
      <c r="AX49" s="141"/>
      <c r="AY49" s="141"/>
      <c r="AZ49" s="141"/>
      <c r="BA49" s="141"/>
      <c r="BB49" s="141"/>
      <c r="BC49" s="113"/>
      <c r="BD49" s="38"/>
      <c r="BE49" s="38"/>
      <c r="BF49" s="656" t="s">
        <v>1291</v>
      </c>
      <c r="BG49" s="656"/>
      <c r="BH49" s="656"/>
      <c r="BI49" s="448"/>
      <c r="BJ49" s="448"/>
    </row>
    <row r="50" spans="1:62" s="396" customFormat="1" ht="21.75" customHeight="1" x14ac:dyDescent="0.15">
      <c r="A50" s="38"/>
      <c r="B50" s="44"/>
      <c r="C50" s="22"/>
      <c r="D50" s="22"/>
      <c r="E50" s="449">
        <v>22.5</v>
      </c>
      <c r="F50" s="3" t="str" cm="1">
        <f t="array" aca="1" ref="F50" ca="1">OFFSET(E50,-1,1)</f>
        <v>1</v>
      </c>
      <c r="G50" s="22" t="s">
        <v>586</v>
      </c>
      <c r="H50" s="22"/>
      <c r="I50" s="22"/>
      <c r="J50" s="22"/>
      <c r="K50" s="40" t="str">
        <f ca="1">F50&amp;"8komm"</f>
        <v>18komm</v>
      </c>
      <c r="L50" s="609" cm="1">
        <f t="array" ref="L50">BC50</f>
        <v>0</v>
      </c>
      <c r="M50" s="22"/>
      <c r="N50" s="22"/>
      <c r="O50" s="22"/>
      <c r="P50" s="22"/>
      <c r="Q50" s="22"/>
      <c r="R50" s="22"/>
      <c r="S50" s="22"/>
      <c r="T50" s="353" t="b" cm="1">
        <f t="array" ref="T50">T49</f>
        <v>1</v>
      </c>
      <c r="U50" s="22"/>
      <c r="V50" s="22"/>
      <c r="W50" s="38"/>
      <c r="X50" s="990"/>
      <c r="Y50" s="38"/>
      <c r="Z50" s="967"/>
      <c r="AA50" s="38"/>
      <c r="AB50" s="133" t="s">
        <v>610</v>
      </c>
      <c r="AC50" s="346" t="s">
        <v>1292</v>
      </c>
      <c r="AD50" s="7" t="s">
        <v>828</v>
      </c>
      <c r="AE50" s="141"/>
      <c r="AF50" s="141"/>
      <c r="AG50" s="141"/>
      <c r="AH50" s="141"/>
      <c r="AI50" s="141"/>
      <c r="AJ50" s="781"/>
      <c r="AK50" s="781"/>
      <c r="AL50" s="141"/>
      <c r="AM50" s="141"/>
      <c r="AN50" s="141"/>
      <c r="AO50" s="141"/>
      <c r="AP50" s="141"/>
      <c r="AQ50" s="141"/>
      <c r="AR50" s="141"/>
      <c r="AS50" s="141"/>
      <c r="AT50" s="781"/>
      <c r="AU50" s="781"/>
      <c r="AV50" s="141"/>
      <c r="AW50" s="141"/>
      <c r="AX50" s="141"/>
      <c r="AY50" s="141"/>
      <c r="AZ50" s="141"/>
      <c r="BA50" s="141"/>
      <c r="BB50" s="141"/>
      <c r="BC50" s="113"/>
      <c r="BD50" s="38"/>
      <c r="BE50" s="38"/>
      <c r="BF50" s="656" t="s">
        <v>1293</v>
      </c>
      <c r="BG50" s="656"/>
      <c r="BH50" s="656"/>
      <c r="BI50" s="448"/>
      <c r="BJ50" s="448"/>
    </row>
    <row r="51" spans="1:62" s="40" customFormat="1" ht="21.75" customHeight="1" x14ac:dyDescent="0.15">
      <c r="B51" s="44"/>
      <c r="C51" s="22"/>
      <c r="D51" s="22"/>
      <c r="E51" s="449">
        <v>22.5</v>
      </c>
      <c r="F51" s="3" t="str" cm="1">
        <f t="array" aca="1" ref="F51" ca="1">OFFSET(E51,-1,1)</f>
        <v>1</v>
      </c>
      <c r="G51" s="22"/>
      <c r="H51" s="22"/>
      <c r="I51" s="22"/>
      <c r="J51" s="22"/>
      <c r="K51" s="40" t="str">
        <f ca="1">F51&amp;"9komm"</f>
        <v>19komm</v>
      </c>
      <c r="L51" s="609" cm="1">
        <f t="array" ref="L51">BC51</f>
        <v>0</v>
      </c>
      <c r="M51" s="22"/>
      <c r="N51" s="22"/>
      <c r="O51" s="22"/>
      <c r="P51" s="22"/>
      <c r="Q51" s="22"/>
      <c r="R51" s="22"/>
      <c r="S51" s="22"/>
      <c r="T51" s="353" t="b" cm="1">
        <f t="array" ref="T51">T50</f>
        <v>1</v>
      </c>
      <c r="U51" s="22"/>
      <c r="V51" s="22"/>
      <c r="X51" s="990"/>
      <c r="Z51" s="967"/>
      <c r="AB51" s="133" t="s">
        <v>768</v>
      </c>
      <c r="AC51" s="346" t="s">
        <v>1294</v>
      </c>
      <c r="AD51" s="7" t="s">
        <v>828</v>
      </c>
      <c r="AE51" s="141"/>
      <c r="AF51" s="141"/>
      <c r="AG51" s="141"/>
      <c r="AH51" s="141"/>
      <c r="AI51" s="141"/>
      <c r="AJ51" s="781"/>
      <c r="AK51" s="781"/>
      <c r="AL51" s="141"/>
      <c r="AM51" s="141"/>
      <c r="AN51" s="141"/>
      <c r="AO51" s="141"/>
      <c r="AP51" s="141"/>
      <c r="AQ51" s="141"/>
      <c r="AR51" s="141"/>
      <c r="AS51" s="141"/>
      <c r="AT51" s="781"/>
      <c r="AU51" s="781"/>
      <c r="AV51" s="141"/>
      <c r="AW51" s="141"/>
      <c r="AX51" s="141"/>
      <c r="AY51" s="141"/>
      <c r="AZ51" s="141"/>
      <c r="BA51" s="141"/>
      <c r="BB51" s="141"/>
      <c r="BC51" s="196"/>
      <c r="BF51" s="662" t="s">
        <v>1295</v>
      </c>
      <c r="BG51" s="662"/>
      <c r="BH51" s="662"/>
      <c r="BI51" s="502"/>
      <c r="BJ51" s="502"/>
    </row>
    <row r="52" spans="1:62" ht="14.25" customHeight="1" x14ac:dyDescent="0.15">
      <c r="B52" s="44"/>
      <c r="C52" s="22"/>
      <c r="D52" s="22"/>
      <c r="E52" s="449">
        <v>15</v>
      </c>
      <c r="F52" s="3" t="str" cm="1">
        <f t="array" aca="1" ref="F52" ca="1">OFFSET(E52,-1,1)</f>
        <v>1</v>
      </c>
      <c r="G52" s="22" t="s">
        <v>601</v>
      </c>
      <c r="H52" s="274"/>
      <c r="I52" s="22"/>
      <c r="J52" s="22"/>
      <c r="K52" s="40" t="str">
        <f ca="1">F52&amp;"10komm"</f>
        <v>110komm</v>
      </c>
      <c r="L52" s="609" cm="1">
        <f t="array" ref="L52">BC52</f>
        <v>0</v>
      </c>
      <c r="M52" s="22"/>
      <c r="N52" s="22"/>
      <c r="O52" s="22"/>
      <c r="P52" s="22"/>
      <c r="Q52" s="22"/>
      <c r="R52" s="22"/>
      <c r="S52" s="22"/>
      <c r="T52" s="353" t="b" cm="1">
        <f t="array" ref="T52">T51</f>
        <v>1</v>
      </c>
      <c r="U52" s="22"/>
      <c r="V52" s="22"/>
      <c r="X52" s="990"/>
      <c r="Z52" s="967"/>
      <c r="AB52" s="590">
        <v>10</v>
      </c>
      <c r="AC52" s="346" t="s">
        <v>1296</v>
      </c>
      <c r="AD52" s="7" t="s">
        <v>828</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6" t="s">
        <v>1297</v>
      </c>
    </row>
    <row r="53" spans="1:62" ht="14.25" hidden="1" customHeight="1" x14ac:dyDescent="0.15">
      <c r="B53" s="44"/>
      <c r="C53" s="22"/>
      <c r="D53" s="22"/>
      <c r="E53" s="449">
        <v>15</v>
      </c>
      <c r="F53" s="3" t="str" cm="1">
        <f t="array" aca="1" ref="F53" ca="1">OFFSET(E53,-1,1)</f>
        <v>1</v>
      </c>
      <c r="G53" s="22" t="s">
        <v>601</v>
      </c>
      <c r="H53" s="274"/>
      <c r="I53" s="410" cm="1">
        <f t="array" ref="I53">AC53</f>
        <v>0</v>
      </c>
      <c r="J53" s="22"/>
      <c r="K53" s="22"/>
      <c r="L53" s="22"/>
      <c r="M53" s="22"/>
      <c r="N53" s="22"/>
      <c r="O53" s="22"/>
      <c r="P53" s="22"/>
      <c r="Q53" s="22"/>
      <c r="R53" s="22"/>
      <c r="S53" s="22"/>
      <c r="T53" s="353" t="b">
        <f ca="1">AND(F53&gt;0,Y53&gt;0)</f>
        <v>0</v>
      </c>
      <c r="U53" s="22"/>
      <c r="V53" s="22"/>
      <c r="W53" s="517" t="s">
        <v>172</v>
      </c>
      <c r="X53" s="990"/>
      <c r="Y53" s="38">
        <v>0</v>
      </c>
      <c r="Z53" s="967"/>
      <c r="AA53" s="320" t="s">
        <v>173</v>
      </c>
      <c r="AB53" s="500" t="str">
        <f>"10."&amp;Y53</f>
        <v>10.0</v>
      </c>
      <c r="AC53" s="856"/>
      <c r="AD53" s="7" t="s">
        <v>828</v>
      </c>
      <c r="AE53" s="781"/>
      <c r="AF53" s="781"/>
      <c r="AG53" s="781"/>
      <c r="AH53" s="781"/>
      <c r="AI53" s="141"/>
      <c r="AJ53" s="781"/>
      <c r="AK53" s="781"/>
      <c r="AL53" s="781"/>
      <c r="AM53" s="781"/>
      <c r="AN53" s="781"/>
      <c r="AO53" s="781"/>
      <c r="AP53" s="781"/>
      <c r="AQ53" s="781"/>
      <c r="AR53" s="781"/>
      <c r="AS53" s="141"/>
      <c r="AT53" s="781"/>
      <c r="AU53" s="781"/>
      <c r="AV53" s="781"/>
      <c r="AW53" s="781"/>
      <c r="AX53" s="781"/>
      <c r="AY53" s="781"/>
      <c r="AZ53" s="781"/>
      <c r="BA53" s="781"/>
      <c r="BB53" s="781"/>
      <c r="BC53" s="826"/>
      <c r="BF53" s="656" t="s">
        <v>1297</v>
      </c>
      <c r="BG53" s="656" t="s">
        <v>1298</v>
      </c>
      <c r="BH53" s="687" cm="1">
        <f t="array" ref="BH53">AC53</f>
        <v>0</v>
      </c>
      <c r="BJ53" s="448" t="b">
        <v>1</v>
      </c>
    </row>
    <row r="54" spans="1:62" s="396" customFormat="1" ht="14.25" customHeight="1" x14ac:dyDescent="0.15">
      <c r="A54" s="38"/>
      <c r="B54" s="44"/>
      <c r="C54" s="22"/>
      <c r="D54" s="22"/>
      <c r="E54" s="449">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3" t="b">
        <f ca="1">F54&gt;0</f>
        <v>1</v>
      </c>
      <c r="U54" s="22"/>
      <c r="V54" s="22"/>
      <c r="W54" s="517" t="s">
        <v>397</v>
      </c>
      <c r="X54" s="990"/>
      <c r="Y54" s="38"/>
      <c r="Z54" s="967"/>
      <c r="AA54" s="38"/>
      <c r="AB54" s="546"/>
      <c r="AC54" s="172" t="s">
        <v>176</v>
      </c>
      <c r="AD54" s="547"/>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6"/>
      <c r="BG54" s="656"/>
      <c r="BH54" s="656"/>
      <c r="BI54" s="448" t="s">
        <v>1298</v>
      </c>
      <c r="BJ54" s="448"/>
    </row>
    <row r="55" spans="1:62" s="396" customFormat="1" ht="30.95" customHeight="1" x14ac:dyDescent="0.15">
      <c r="A55" s="38"/>
      <c r="B55" s="43"/>
      <c r="C55" s="38"/>
      <c r="D55" s="38"/>
      <c r="E55" s="448">
        <v>15</v>
      </c>
      <c r="F55" s="17" t="str" cm="1">
        <f t="array" ref="F55">X55</f>
        <v>2</v>
      </c>
      <c r="G55" s="38"/>
      <c r="H55" s="38"/>
      <c r="I55" s="38"/>
      <c r="J55" s="38"/>
      <c r="K55" s="38"/>
      <c r="L55" s="38"/>
      <c r="M55" s="38"/>
      <c r="N55" s="38"/>
      <c r="O55" s="38"/>
      <c r="P55" s="38"/>
      <c r="Q55" s="38"/>
      <c r="R55" s="38"/>
      <c r="S55" s="38"/>
      <c r="T55" s="353" t="b">
        <f>X55&gt;0</f>
        <v>1</v>
      </c>
      <c r="U55" s="38"/>
      <c r="V55" s="38" t="str" cm="1">
        <f t="array" ref="V55">'Сбытовые расходы ГО'!$AB$51</f>
        <v>Тариф 2 (Водоотведение) - тариф на водоотведение</v>
      </c>
      <c r="W55" s="38"/>
      <c r="X55" s="990" t="s">
        <v>285</v>
      </c>
      <c r="Y55" s="38"/>
      <c r="Z55" s="967"/>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6"/>
      <c r="BG55" s="656"/>
      <c r="BH55" s="656"/>
      <c r="BI55" s="448"/>
      <c r="BJ55" s="448"/>
    </row>
    <row r="56" spans="1:62" s="396" customFormat="1" ht="60.4" customHeight="1" x14ac:dyDescent="0.15">
      <c r="A56" s="38"/>
      <c r="B56" s="43"/>
      <c r="C56" s="38"/>
      <c r="D56" s="38"/>
      <c r="E56" s="448">
        <v>22.5</v>
      </c>
      <c r="F56" s="3" t="str" cm="1">
        <f t="array" aca="1" ref="F56" ca="1">OFFSET(E56,-1,1)</f>
        <v>2</v>
      </c>
      <c r="G56" s="38" t="s">
        <v>1256</v>
      </c>
      <c r="H56" s="38"/>
      <c r="I56" s="38"/>
      <c r="J56" s="38"/>
      <c r="K56" s="40" t="str">
        <f ca="1">F56&amp;"komm"</f>
        <v>2komm</v>
      </c>
      <c r="L56" s="609" t="str" cm="1">
        <f t="array" ref="L56">BC56</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M56" s="38"/>
      <c r="N56" s="38"/>
      <c r="O56" s="38"/>
      <c r="P56" s="38"/>
      <c r="Q56" s="38"/>
      <c r="R56" s="38"/>
      <c r="S56" s="38"/>
      <c r="T56" s="353" t="b" cm="1">
        <f t="array" ref="T56">T55</f>
        <v>1</v>
      </c>
      <c r="U56" s="38"/>
      <c r="V56" s="38"/>
      <c r="W56" s="38"/>
      <c r="X56" s="990"/>
      <c r="Y56" s="38"/>
      <c r="Z56" s="967"/>
      <c r="AA56" s="38"/>
      <c r="AB56" s="147">
        <v>0</v>
      </c>
      <c r="AC56" s="132" t="s">
        <v>1274</v>
      </c>
      <c r="AD56" s="124" t="s">
        <v>828</v>
      </c>
      <c r="AE56" s="140">
        <f t="shared" ref="AE56:BB56" si="5">SUM(AE57:AE66)</f>
        <v>293.05513215000002</v>
      </c>
      <c r="AF56" s="140">
        <f t="shared" si="5"/>
        <v>512.55999999999995</v>
      </c>
      <c r="AG56" s="140">
        <f t="shared" si="5"/>
        <v>512.55999999999995</v>
      </c>
      <c r="AH56" s="140">
        <f t="shared" si="5"/>
        <v>19.082649</v>
      </c>
      <c r="AI56" s="140">
        <f t="shared" si="5"/>
        <v>809.22308958170004</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511.17885000000001</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t="s">
        <v>1299</v>
      </c>
      <c r="BD56" s="38"/>
      <c r="BE56" s="38"/>
      <c r="BF56" s="656" t="s">
        <v>1275</v>
      </c>
      <c r="BG56" s="656"/>
      <c r="BH56" s="656"/>
      <c r="BI56" s="448"/>
      <c r="BJ56" s="448"/>
    </row>
    <row r="57" spans="1:62" s="396" customFormat="1" ht="14.25" customHeight="1" x14ac:dyDescent="0.15">
      <c r="A57" s="38"/>
      <c r="B57" s="43"/>
      <c r="C57" s="38"/>
      <c r="D57" s="38"/>
      <c r="E57" s="448">
        <v>15</v>
      </c>
      <c r="F57" s="3" t="str" cm="1">
        <f t="array" aca="1" ref="F57" ca="1">OFFSET(E57,-1,1)</f>
        <v>2</v>
      </c>
      <c r="G57" s="38" t="s">
        <v>331</v>
      </c>
      <c r="H57" s="38"/>
      <c r="I57" s="38"/>
      <c r="J57" s="38"/>
      <c r="K57" s="40" t="str">
        <f ca="1">F57&amp;"1komm"</f>
        <v>21komm</v>
      </c>
      <c r="L57" s="609" cm="1">
        <f t="array" ref="L57">BC57</f>
        <v>0</v>
      </c>
      <c r="M57" s="38"/>
      <c r="N57" s="38"/>
      <c r="O57" s="38"/>
      <c r="P57" s="38"/>
      <c r="Q57" s="38"/>
      <c r="R57" s="38"/>
      <c r="S57" s="38"/>
      <c r="T57" s="353" t="b" cm="1">
        <f t="array" ref="T57">T56</f>
        <v>1</v>
      </c>
      <c r="U57" s="38"/>
      <c r="V57" s="38"/>
      <c r="W57" s="38"/>
      <c r="X57" s="990"/>
      <c r="Y57" s="38"/>
      <c r="Z57" s="967"/>
      <c r="AA57" s="38"/>
      <c r="AB57" s="133" t="s">
        <v>275</v>
      </c>
      <c r="AC57" s="346" t="s">
        <v>1276</v>
      </c>
      <c r="AD57" s="7" t="s">
        <v>828</v>
      </c>
      <c r="AE57" s="141"/>
      <c r="AF57" s="142"/>
      <c r="AG57" s="142"/>
      <c r="AH57" s="142"/>
      <c r="AI57" s="142"/>
      <c r="AJ57" s="854"/>
      <c r="AK57" s="854"/>
      <c r="AL57" s="142"/>
      <c r="AM57" s="142"/>
      <c r="AN57" s="142"/>
      <c r="AO57" s="142"/>
      <c r="AP57" s="142"/>
      <c r="AQ57" s="142"/>
      <c r="AR57" s="142"/>
      <c r="AS57" s="142"/>
      <c r="AT57" s="854"/>
      <c r="AU57" s="854"/>
      <c r="AV57" s="142"/>
      <c r="AW57" s="142"/>
      <c r="AX57" s="142"/>
      <c r="AY57" s="142"/>
      <c r="AZ57" s="142"/>
      <c r="BA57" s="142"/>
      <c r="BB57" s="142"/>
      <c r="BC57" s="113"/>
      <c r="BD57" s="38"/>
      <c r="BE57" s="38"/>
      <c r="BF57" s="656" t="s">
        <v>1277</v>
      </c>
      <c r="BG57" s="656"/>
      <c r="BH57" s="656"/>
      <c r="BI57" s="448"/>
      <c r="BJ57" s="448"/>
    </row>
    <row r="58" spans="1:62" s="396" customFormat="1" ht="21.75" customHeight="1" x14ac:dyDescent="0.15">
      <c r="A58" s="38"/>
      <c r="B58" s="44"/>
      <c r="C58" s="22"/>
      <c r="D58" s="22"/>
      <c r="E58" s="449">
        <v>22.5</v>
      </c>
      <c r="F58" s="3" t="str" cm="1">
        <f t="array" aca="1" ref="F58" ca="1">OFFSET(E58,-1,1)</f>
        <v>2</v>
      </c>
      <c r="G58" s="22" t="s">
        <v>332</v>
      </c>
      <c r="H58" s="22"/>
      <c r="I58" s="22"/>
      <c r="J58" s="22"/>
      <c r="K58" s="40" t="str">
        <f ca="1">F58&amp;"2komm"</f>
        <v>22komm</v>
      </c>
      <c r="L58" s="609" cm="1">
        <f t="array" ref="L58">BC58</f>
        <v>0</v>
      </c>
      <c r="M58" s="22"/>
      <c r="N58" s="22"/>
      <c r="O58" s="22"/>
      <c r="P58" s="22"/>
      <c r="Q58" s="22"/>
      <c r="R58" s="22"/>
      <c r="S58" s="22"/>
      <c r="T58" s="353" t="b" cm="1">
        <f t="array" ref="T58">T57</f>
        <v>1</v>
      </c>
      <c r="U58" s="22"/>
      <c r="V58" s="22"/>
      <c r="W58" s="38"/>
      <c r="X58" s="990"/>
      <c r="Y58" s="38"/>
      <c r="Z58" s="967"/>
      <c r="AA58" s="38"/>
      <c r="AB58" s="133" t="s">
        <v>285</v>
      </c>
      <c r="AC58" s="346" t="s">
        <v>1278</v>
      </c>
      <c r="AD58" s="7" t="s">
        <v>828</v>
      </c>
      <c r="AE58" s="141"/>
      <c r="AF58" s="142"/>
      <c r="AG58" s="142"/>
      <c r="AH58" s="142"/>
      <c r="AI58" s="142"/>
      <c r="AJ58" s="854"/>
      <c r="AK58" s="854"/>
      <c r="AL58" s="142"/>
      <c r="AM58" s="142"/>
      <c r="AN58" s="142"/>
      <c r="AO58" s="142"/>
      <c r="AP58" s="142"/>
      <c r="AQ58" s="142"/>
      <c r="AR58" s="142"/>
      <c r="AS58" s="142"/>
      <c r="AT58" s="854"/>
      <c r="AU58" s="854"/>
      <c r="AV58" s="142"/>
      <c r="AW58" s="142"/>
      <c r="AX58" s="142"/>
      <c r="AY58" s="142"/>
      <c r="AZ58" s="142"/>
      <c r="BA58" s="142"/>
      <c r="BB58" s="142"/>
      <c r="BC58" s="113"/>
      <c r="BD58" s="38"/>
      <c r="BE58" s="38"/>
      <c r="BF58" s="656" t="s">
        <v>1279</v>
      </c>
      <c r="BG58" s="656"/>
      <c r="BH58" s="656"/>
      <c r="BI58" s="448"/>
      <c r="BJ58" s="448"/>
    </row>
    <row r="59" spans="1:62" s="396" customFormat="1" ht="21.75" customHeight="1" x14ac:dyDescent="0.15">
      <c r="A59" s="38"/>
      <c r="B59" s="44"/>
      <c r="C59" s="22"/>
      <c r="D59" s="22"/>
      <c r="E59" s="449">
        <v>22.5</v>
      </c>
      <c r="F59" s="3" t="str" cm="1">
        <f t="array" aca="1" ref="F59" ca="1">OFFSET(E59,-1,1)</f>
        <v>2</v>
      </c>
      <c r="G59" s="22" t="s">
        <v>333</v>
      </c>
      <c r="H59" s="22" t="s">
        <v>1280</v>
      </c>
      <c r="I59" s="22"/>
      <c r="J59" s="22"/>
      <c r="K59" s="40" t="str">
        <f ca="1">F59&amp;"3komm"</f>
        <v>23komm</v>
      </c>
      <c r="L59" s="609" cm="1">
        <f t="array" ref="L59">BC59</f>
        <v>0</v>
      </c>
      <c r="M59" s="22"/>
      <c r="N59" s="22"/>
      <c r="O59" s="22"/>
      <c r="P59" s="22"/>
      <c r="Q59" s="22"/>
      <c r="R59" s="22"/>
      <c r="S59" s="22"/>
      <c r="T59" s="353" t="b" cm="1">
        <f t="array" ref="T59">T58</f>
        <v>1</v>
      </c>
      <c r="U59" s="22"/>
      <c r="V59" s="22"/>
      <c r="W59" s="38"/>
      <c r="X59" s="990"/>
      <c r="Y59" s="38"/>
      <c r="Z59" s="967"/>
      <c r="AA59" s="38"/>
      <c r="AB59" s="133" t="s">
        <v>291</v>
      </c>
      <c r="AC59" s="346" t="s">
        <v>1281</v>
      </c>
      <c r="AD59" s="7" t="s">
        <v>828</v>
      </c>
      <c r="AE59" s="141"/>
      <c r="AF59" s="142"/>
      <c r="AG59" s="142"/>
      <c r="AH59" s="142"/>
      <c r="AI59" s="142"/>
      <c r="AJ59" s="854"/>
      <c r="AK59" s="854"/>
      <c r="AL59" s="142"/>
      <c r="AM59" s="142"/>
      <c r="AN59" s="142"/>
      <c r="AO59" s="142"/>
      <c r="AP59" s="142"/>
      <c r="AQ59" s="142"/>
      <c r="AR59" s="142"/>
      <c r="AS59" s="142"/>
      <c r="AT59" s="854"/>
      <c r="AU59" s="854"/>
      <c r="AV59" s="142"/>
      <c r="AW59" s="142"/>
      <c r="AX59" s="142"/>
      <c r="AY59" s="142"/>
      <c r="AZ59" s="142"/>
      <c r="BA59" s="142"/>
      <c r="BB59" s="142"/>
      <c r="BC59" s="113"/>
      <c r="BD59" s="38"/>
      <c r="BE59" s="38"/>
      <c r="BF59" s="656" t="s">
        <v>1282</v>
      </c>
      <c r="BG59" s="656"/>
      <c r="BH59" s="656"/>
      <c r="BI59" s="448"/>
      <c r="BJ59" s="448"/>
    </row>
    <row r="60" spans="1:62" ht="14.25" customHeight="1" x14ac:dyDescent="0.15">
      <c r="B60" s="44"/>
      <c r="C60" s="22"/>
      <c r="D60" s="22"/>
      <c r="E60" s="449">
        <v>15</v>
      </c>
      <c r="F60" s="3" t="str" cm="1">
        <f t="array" aca="1" ref="F60" ca="1">OFFSET(E60,-1,1)</f>
        <v>2</v>
      </c>
      <c r="G60" s="22" t="s">
        <v>335</v>
      </c>
      <c r="H60" s="22"/>
      <c r="I60" s="22"/>
      <c r="J60" s="22"/>
      <c r="K60" s="40" t="str">
        <f ca="1">F60&amp;"4komm"</f>
        <v>24komm</v>
      </c>
      <c r="L60" s="609" cm="1">
        <f t="array" ref="L60">BC60</f>
        <v>0</v>
      </c>
      <c r="M60" s="22"/>
      <c r="N60" s="22"/>
      <c r="O60" s="22"/>
      <c r="P60" s="22"/>
      <c r="Q60" s="22"/>
      <c r="R60" s="22"/>
      <c r="S60" s="22"/>
      <c r="T60" s="353" t="b" cm="1">
        <f t="array" ref="T60">T59</f>
        <v>1</v>
      </c>
      <c r="U60" s="22"/>
      <c r="V60" s="22"/>
      <c r="X60" s="990"/>
      <c r="Z60" s="967"/>
      <c r="AB60" s="590">
        <v>4</v>
      </c>
      <c r="AC60" s="346" t="s">
        <v>1283</v>
      </c>
      <c r="AD60" s="7" t="s">
        <v>828</v>
      </c>
      <c r="AE60" s="143"/>
      <c r="AF60" s="143"/>
      <c r="AG60" s="143"/>
      <c r="AH60" s="143"/>
      <c r="AI60" s="143"/>
      <c r="AJ60" s="855"/>
      <c r="AK60" s="855"/>
      <c r="AL60" s="143"/>
      <c r="AM60" s="143"/>
      <c r="AN60" s="143"/>
      <c r="AO60" s="143"/>
      <c r="AP60" s="143"/>
      <c r="AQ60" s="143"/>
      <c r="AR60" s="143"/>
      <c r="AS60" s="143"/>
      <c r="AT60" s="855"/>
      <c r="AU60" s="855"/>
      <c r="AV60" s="143"/>
      <c r="AW60" s="143"/>
      <c r="AX60" s="143"/>
      <c r="AY60" s="143"/>
      <c r="AZ60" s="143"/>
      <c r="BA60" s="143"/>
      <c r="BB60" s="143"/>
      <c r="BC60" s="113"/>
      <c r="BF60" s="656" t="s">
        <v>1284</v>
      </c>
    </row>
    <row r="61" spans="1:62" s="396" customFormat="1" ht="14.25" customHeight="1" x14ac:dyDescent="0.15">
      <c r="A61" s="38"/>
      <c r="B61" s="44"/>
      <c r="C61" s="22"/>
      <c r="D61" s="22"/>
      <c r="E61" s="449">
        <v>15</v>
      </c>
      <c r="F61" s="3" t="str" cm="1">
        <f t="array" aca="1" ref="F61" ca="1">OFFSET(E61,-1,1)</f>
        <v>2</v>
      </c>
      <c r="G61" s="22" t="s">
        <v>334</v>
      </c>
      <c r="H61" s="22"/>
      <c r="I61" s="22"/>
      <c r="J61" s="22"/>
      <c r="K61" s="40" t="str">
        <f ca="1">F61&amp;"5komm"</f>
        <v>25komm</v>
      </c>
      <c r="L61" s="609" cm="1">
        <f t="array" ref="L61">BC61</f>
        <v>0</v>
      </c>
      <c r="M61" s="22"/>
      <c r="N61" s="22"/>
      <c r="O61" s="22"/>
      <c r="P61" s="22"/>
      <c r="Q61" s="22"/>
      <c r="R61" s="22"/>
      <c r="S61" s="22"/>
      <c r="T61" s="353" t="b" cm="1">
        <f t="array" ref="T61">T60</f>
        <v>1</v>
      </c>
      <c r="U61" s="22"/>
      <c r="V61" s="22"/>
      <c r="W61" s="38"/>
      <c r="X61" s="990"/>
      <c r="Y61" s="38"/>
      <c r="Z61" s="967"/>
      <c r="AA61" s="38"/>
      <c r="AB61" s="133" t="s">
        <v>460</v>
      </c>
      <c r="AC61" s="346" t="s">
        <v>1285</v>
      </c>
      <c r="AD61" s="7" t="s">
        <v>828</v>
      </c>
      <c r="AE61" s="141"/>
      <c r="AF61" s="141"/>
      <c r="AG61" s="141"/>
      <c r="AH61" s="141"/>
      <c r="AI61" s="141"/>
      <c r="AJ61" s="781"/>
      <c r="AK61" s="781"/>
      <c r="AL61" s="141"/>
      <c r="AM61" s="141"/>
      <c r="AN61" s="141"/>
      <c r="AO61" s="141"/>
      <c r="AP61" s="141"/>
      <c r="AQ61" s="141"/>
      <c r="AR61" s="141"/>
      <c r="AS61" s="141"/>
      <c r="AT61" s="781"/>
      <c r="AU61" s="781"/>
      <c r="AV61" s="141"/>
      <c r="AW61" s="141"/>
      <c r="AX61" s="141"/>
      <c r="AY61" s="141"/>
      <c r="AZ61" s="141"/>
      <c r="BA61" s="141"/>
      <c r="BB61" s="141"/>
      <c r="BC61" s="113"/>
      <c r="BD61" s="38"/>
      <c r="BE61" s="38"/>
      <c r="BF61" s="656" t="s">
        <v>1286</v>
      </c>
      <c r="BG61" s="656"/>
      <c r="BH61" s="656"/>
      <c r="BI61" s="448"/>
      <c r="BJ61" s="448"/>
    </row>
    <row r="62" spans="1:62" s="396" customFormat="1" ht="76.7" customHeight="1" x14ac:dyDescent="0.15">
      <c r="A62" s="38"/>
      <c r="B62" s="44"/>
      <c r="C62" s="22"/>
      <c r="D62" s="22"/>
      <c r="E62" s="449">
        <v>15</v>
      </c>
      <c r="F62" s="3" t="str" cm="1">
        <f t="array" aca="1" ref="F62" ca="1">OFFSET(E62,-1,1)</f>
        <v>2</v>
      </c>
      <c r="G62" s="22" t="s">
        <v>532</v>
      </c>
      <c r="H62" s="22"/>
      <c r="I62" s="22"/>
      <c r="J62" s="22"/>
      <c r="K62" s="40" t="str">
        <f ca="1">F62&amp;"6komm"</f>
        <v>26komm</v>
      </c>
      <c r="L62" s="609" t="str" cm="1">
        <f t="array" ref="L62">BC62</f>
        <v>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отчисл-й по ДВИЖИМОМУ ИМУЩЕСТВУ):  остаточная стоимость на 31.12.2024  - 224642,73 тыс. руб, на 31.12.2025 - 194036,804 тыс. руб., на 31.12.2026 - 163430,878 тыс. руб., ставка налога - 2,2%, сумма налога ВСЕГО - 3932,144 тыс. руб. Принято в доле реализации на сторону 0,13.</v>
      </c>
      <c r="M62" s="22"/>
      <c r="N62" s="22"/>
      <c r="O62" s="22"/>
      <c r="P62" s="22"/>
      <c r="Q62" s="22"/>
      <c r="R62" s="22"/>
      <c r="S62" s="22"/>
      <c r="T62" s="353" t="b" cm="1">
        <f t="array" ref="T62">T61</f>
        <v>1</v>
      </c>
      <c r="U62" s="22"/>
      <c r="V62" s="22"/>
      <c r="W62" s="38"/>
      <c r="X62" s="990"/>
      <c r="Y62" s="38"/>
      <c r="Z62" s="967"/>
      <c r="AA62" s="38"/>
      <c r="AB62" s="133" t="s">
        <v>536</v>
      </c>
      <c r="AC62" s="346" t="s">
        <v>1287</v>
      </c>
      <c r="AD62" s="7" t="s">
        <v>828</v>
      </c>
      <c r="AE62" s="141">
        <v>293.05513215000002</v>
      </c>
      <c r="AF62" s="141">
        <v>512.55999999999995</v>
      </c>
      <c r="AG62" s="141">
        <v>512.55999999999995</v>
      </c>
      <c r="AH62" s="141">
        <v>19.082649</v>
      </c>
      <c r="AI62" s="141">
        <v>809.22308958170004</v>
      </c>
      <c r="AJ62" s="781"/>
      <c r="AK62" s="781"/>
      <c r="AL62" s="141"/>
      <c r="AM62" s="141"/>
      <c r="AN62" s="141"/>
      <c r="AO62" s="141"/>
      <c r="AP62" s="141"/>
      <c r="AQ62" s="141"/>
      <c r="AR62" s="141"/>
      <c r="AS62" s="141">
        <v>511.17885000000001</v>
      </c>
      <c r="AT62" s="781"/>
      <c r="AU62" s="781"/>
      <c r="AV62" s="141"/>
      <c r="AW62" s="141"/>
      <c r="AX62" s="141"/>
      <c r="AY62" s="141"/>
      <c r="AZ62" s="141"/>
      <c r="BA62" s="141"/>
      <c r="BB62" s="141"/>
      <c r="BC62" s="113" t="s">
        <v>1302</v>
      </c>
      <c r="BD62" s="38"/>
      <c r="BE62" s="38"/>
      <c r="BF62" s="656" t="s">
        <v>1288</v>
      </c>
      <c r="BG62" s="656"/>
      <c r="BH62" s="656"/>
      <c r="BI62" s="448"/>
      <c r="BJ62" s="448"/>
    </row>
    <row r="63" spans="1:62" s="396" customFormat="1" ht="14.25" customHeight="1" x14ac:dyDescent="0.15">
      <c r="A63" s="38"/>
      <c r="B63" s="44"/>
      <c r="C63" s="22"/>
      <c r="D63" s="22"/>
      <c r="E63" s="449">
        <v>15</v>
      </c>
      <c r="F63" s="3" t="str" cm="1">
        <f t="array" aca="1" ref="F63" ca="1">OFFSET(E63,-1,1)</f>
        <v>2</v>
      </c>
      <c r="G63" s="22" t="s">
        <v>535</v>
      </c>
      <c r="H63" s="22" t="s">
        <v>1289</v>
      </c>
      <c r="I63" s="22"/>
      <c r="J63" s="22"/>
      <c r="K63" s="40" t="str">
        <f ca="1">F63&amp;"7komm"</f>
        <v>27komm</v>
      </c>
      <c r="L63" s="609" cm="1">
        <f t="array" ref="L63">BC63</f>
        <v>0</v>
      </c>
      <c r="M63" s="22"/>
      <c r="N63" s="22"/>
      <c r="O63" s="22"/>
      <c r="P63" s="22"/>
      <c r="Q63" s="22"/>
      <c r="R63" s="22"/>
      <c r="S63" s="22"/>
      <c r="T63" s="353" t="b" cm="1">
        <f t="array" ref="T63">T62</f>
        <v>1</v>
      </c>
      <c r="U63" s="22"/>
      <c r="V63" s="22"/>
      <c r="W63" s="38"/>
      <c r="X63" s="990"/>
      <c r="Y63" s="38"/>
      <c r="Z63" s="967"/>
      <c r="AA63" s="38"/>
      <c r="AB63" s="133" t="s">
        <v>602</v>
      </c>
      <c r="AC63" s="346" t="s">
        <v>1290</v>
      </c>
      <c r="AD63" s="7" t="s">
        <v>828</v>
      </c>
      <c r="AE63" s="141"/>
      <c r="AF63" s="141"/>
      <c r="AG63" s="141"/>
      <c r="AH63" s="141"/>
      <c r="AI63" s="141"/>
      <c r="AJ63" s="781"/>
      <c r="AK63" s="781"/>
      <c r="AL63" s="141"/>
      <c r="AM63" s="141"/>
      <c r="AN63" s="141"/>
      <c r="AO63" s="141"/>
      <c r="AP63" s="141"/>
      <c r="AQ63" s="141"/>
      <c r="AR63" s="141"/>
      <c r="AS63" s="141"/>
      <c r="AT63" s="781"/>
      <c r="AU63" s="781"/>
      <c r="AV63" s="141"/>
      <c r="AW63" s="141"/>
      <c r="AX63" s="141"/>
      <c r="AY63" s="141"/>
      <c r="AZ63" s="141"/>
      <c r="BA63" s="141"/>
      <c r="BB63" s="141"/>
      <c r="BC63" s="113"/>
      <c r="BD63" s="38"/>
      <c r="BE63" s="38"/>
      <c r="BF63" s="656" t="s">
        <v>1291</v>
      </c>
      <c r="BG63" s="656"/>
      <c r="BH63" s="656"/>
      <c r="BI63" s="448"/>
      <c r="BJ63" s="448"/>
    </row>
    <row r="64" spans="1:62" s="396" customFormat="1" ht="21.75" customHeight="1" x14ac:dyDescent="0.15">
      <c r="A64" s="38"/>
      <c r="B64" s="44"/>
      <c r="C64" s="22"/>
      <c r="D64" s="22"/>
      <c r="E64" s="449">
        <v>22.5</v>
      </c>
      <c r="F64" s="3" t="str" cm="1">
        <f t="array" aca="1" ref="F64" ca="1">OFFSET(E64,-1,1)</f>
        <v>2</v>
      </c>
      <c r="G64" s="22" t="s">
        <v>586</v>
      </c>
      <c r="H64" s="22"/>
      <c r="I64" s="22"/>
      <c r="J64" s="22"/>
      <c r="K64" s="40" t="str">
        <f ca="1">F64&amp;"8komm"</f>
        <v>28komm</v>
      </c>
      <c r="L64" s="609" cm="1">
        <f t="array" ref="L64">BC64</f>
        <v>0</v>
      </c>
      <c r="M64" s="22"/>
      <c r="N64" s="22"/>
      <c r="O64" s="22"/>
      <c r="P64" s="22"/>
      <c r="Q64" s="22"/>
      <c r="R64" s="22"/>
      <c r="S64" s="22"/>
      <c r="T64" s="353" t="b" cm="1">
        <f t="array" ref="T64">T63</f>
        <v>1</v>
      </c>
      <c r="U64" s="22"/>
      <c r="V64" s="22"/>
      <c r="W64" s="38"/>
      <c r="X64" s="990"/>
      <c r="Y64" s="38"/>
      <c r="Z64" s="967"/>
      <c r="AA64" s="38"/>
      <c r="AB64" s="133" t="s">
        <v>610</v>
      </c>
      <c r="AC64" s="346" t="s">
        <v>1292</v>
      </c>
      <c r="AD64" s="7" t="s">
        <v>828</v>
      </c>
      <c r="AE64" s="141"/>
      <c r="AF64" s="141"/>
      <c r="AG64" s="141"/>
      <c r="AH64" s="141"/>
      <c r="AI64" s="141"/>
      <c r="AJ64" s="781"/>
      <c r="AK64" s="781"/>
      <c r="AL64" s="141"/>
      <c r="AM64" s="141"/>
      <c r="AN64" s="141"/>
      <c r="AO64" s="141"/>
      <c r="AP64" s="141"/>
      <c r="AQ64" s="141"/>
      <c r="AR64" s="141"/>
      <c r="AS64" s="141"/>
      <c r="AT64" s="781"/>
      <c r="AU64" s="781"/>
      <c r="AV64" s="141"/>
      <c r="AW64" s="141"/>
      <c r="AX64" s="141"/>
      <c r="AY64" s="141"/>
      <c r="AZ64" s="141"/>
      <c r="BA64" s="141"/>
      <c r="BB64" s="141"/>
      <c r="BC64" s="113"/>
      <c r="BD64" s="38"/>
      <c r="BE64" s="38"/>
      <c r="BF64" s="656" t="s">
        <v>1293</v>
      </c>
      <c r="BG64" s="656"/>
      <c r="BH64" s="656"/>
      <c r="BI64" s="448"/>
      <c r="BJ64" s="448"/>
    </row>
    <row r="65" spans="1:62" s="40" customFormat="1" ht="21.75" customHeight="1" x14ac:dyDescent="0.15">
      <c r="B65" s="44"/>
      <c r="C65" s="22"/>
      <c r="D65" s="22"/>
      <c r="E65" s="449">
        <v>22.5</v>
      </c>
      <c r="F65" s="3" t="str" cm="1">
        <f t="array" aca="1" ref="F65" ca="1">OFFSET(E65,-1,1)</f>
        <v>2</v>
      </c>
      <c r="G65" s="22"/>
      <c r="H65" s="22"/>
      <c r="I65" s="22"/>
      <c r="J65" s="22"/>
      <c r="K65" s="40" t="str">
        <f ca="1">F65&amp;"9komm"</f>
        <v>29komm</v>
      </c>
      <c r="L65" s="609" cm="1">
        <f t="array" ref="L65">BC65</f>
        <v>0</v>
      </c>
      <c r="M65" s="22"/>
      <c r="N65" s="22"/>
      <c r="O65" s="22"/>
      <c r="P65" s="22"/>
      <c r="Q65" s="22"/>
      <c r="R65" s="22"/>
      <c r="S65" s="22"/>
      <c r="T65" s="353" t="b" cm="1">
        <f t="array" ref="T65">T64</f>
        <v>1</v>
      </c>
      <c r="U65" s="22"/>
      <c r="V65" s="22"/>
      <c r="X65" s="990"/>
      <c r="Z65" s="967"/>
      <c r="AB65" s="133" t="s">
        <v>768</v>
      </c>
      <c r="AC65" s="346" t="s">
        <v>1294</v>
      </c>
      <c r="AD65" s="7" t="s">
        <v>828</v>
      </c>
      <c r="AE65" s="141"/>
      <c r="AF65" s="141"/>
      <c r="AG65" s="141"/>
      <c r="AH65" s="141"/>
      <c r="AI65" s="141"/>
      <c r="AJ65" s="781"/>
      <c r="AK65" s="781"/>
      <c r="AL65" s="141"/>
      <c r="AM65" s="141"/>
      <c r="AN65" s="141"/>
      <c r="AO65" s="141"/>
      <c r="AP65" s="141"/>
      <c r="AQ65" s="141"/>
      <c r="AR65" s="141"/>
      <c r="AS65" s="141"/>
      <c r="AT65" s="781"/>
      <c r="AU65" s="781"/>
      <c r="AV65" s="141"/>
      <c r="AW65" s="141"/>
      <c r="AX65" s="141"/>
      <c r="AY65" s="141"/>
      <c r="AZ65" s="141"/>
      <c r="BA65" s="141"/>
      <c r="BB65" s="141"/>
      <c r="BC65" s="196"/>
      <c r="BF65" s="662" t="s">
        <v>1295</v>
      </c>
      <c r="BG65" s="662"/>
      <c r="BH65" s="662"/>
      <c r="BI65" s="502"/>
      <c r="BJ65" s="502"/>
    </row>
    <row r="66" spans="1:62" ht="14.25" customHeight="1" x14ac:dyDescent="0.15">
      <c r="B66" s="44"/>
      <c r="C66" s="22"/>
      <c r="D66" s="22"/>
      <c r="E66" s="449">
        <v>15</v>
      </c>
      <c r="F66" s="3" t="str" cm="1">
        <f t="array" aca="1" ref="F66" ca="1">OFFSET(E66,-1,1)</f>
        <v>2</v>
      </c>
      <c r="G66" s="22" t="s">
        <v>601</v>
      </c>
      <c r="H66" s="274"/>
      <c r="I66" s="22"/>
      <c r="J66" s="22"/>
      <c r="K66" s="40" t="str">
        <f ca="1">F66&amp;"10komm"</f>
        <v>210komm</v>
      </c>
      <c r="L66" s="609" cm="1">
        <f t="array" ref="L66">BC66</f>
        <v>0</v>
      </c>
      <c r="M66" s="22"/>
      <c r="N66" s="22"/>
      <c r="O66" s="22"/>
      <c r="P66" s="22"/>
      <c r="Q66" s="22"/>
      <c r="R66" s="22"/>
      <c r="S66" s="22"/>
      <c r="T66" s="353" t="b" cm="1">
        <f t="array" ref="T66">T65</f>
        <v>1</v>
      </c>
      <c r="U66" s="22"/>
      <c r="V66" s="22"/>
      <c r="X66" s="990"/>
      <c r="Z66" s="967"/>
      <c r="AB66" s="590">
        <v>10</v>
      </c>
      <c r="AC66" s="346" t="s">
        <v>1296</v>
      </c>
      <c r="AD66" s="7" t="s">
        <v>828</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6" t="s">
        <v>1297</v>
      </c>
    </row>
    <row r="67" spans="1:62" ht="14.25" hidden="1" customHeight="1" x14ac:dyDescent="0.15">
      <c r="B67" s="44"/>
      <c r="C67" s="22"/>
      <c r="D67" s="22"/>
      <c r="E67" s="449">
        <v>15</v>
      </c>
      <c r="F67" s="3" t="str" cm="1">
        <f t="array" aca="1" ref="F67" ca="1">OFFSET(E67,-1,1)</f>
        <v>2</v>
      </c>
      <c r="G67" s="22" t="s">
        <v>601</v>
      </c>
      <c r="H67" s="274"/>
      <c r="I67" s="410" cm="1">
        <f t="array" ref="I67">AC67</f>
        <v>0</v>
      </c>
      <c r="J67" s="22"/>
      <c r="K67" s="22"/>
      <c r="L67" s="22"/>
      <c r="M67" s="22"/>
      <c r="N67" s="22"/>
      <c r="O67" s="22"/>
      <c r="P67" s="22"/>
      <c r="Q67" s="22"/>
      <c r="R67" s="22"/>
      <c r="S67" s="22"/>
      <c r="T67" s="353" t="b">
        <f ca="1">AND(F67&gt;0,Y67&gt;0)</f>
        <v>0</v>
      </c>
      <c r="U67" s="22"/>
      <c r="V67" s="22"/>
      <c r="W67" s="517" t="s">
        <v>172</v>
      </c>
      <c r="X67" s="990"/>
      <c r="Y67" s="38">
        <v>0</v>
      </c>
      <c r="Z67" s="967"/>
      <c r="AA67" s="320" t="s">
        <v>173</v>
      </c>
      <c r="AB67" s="500" t="str">
        <f>"10."&amp;Y67</f>
        <v>10.0</v>
      </c>
      <c r="AC67" s="856"/>
      <c r="AD67" s="7" t="s">
        <v>828</v>
      </c>
      <c r="AE67" s="781"/>
      <c r="AF67" s="781"/>
      <c r="AG67" s="781"/>
      <c r="AH67" s="781"/>
      <c r="AI67" s="141"/>
      <c r="AJ67" s="781"/>
      <c r="AK67" s="781"/>
      <c r="AL67" s="781"/>
      <c r="AM67" s="781"/>
      <c r="AN67" s="781"/>
      <c r="AO67" s="781"/>
      <c r="AP67" s="781"/>
      <c r="AQ67" s="781"/>
      <c r="AR67" s="781"/>
      <c r="AS67" s="141"/>
      <c r="AT67" s="781"/>
      <c r="AU67" s="781"/>
      <c r="AV67" s="781"/>
      <c r="AW67" s="781"/>
      <c r="AX67" s="781"/>
      <c r="AY67" s="781"/>
      <c r="AZ67" s="781"/>
      <c r="BA67" s="781"/>
      <c r="BB67" s="781"/>
      <c r="BC67" s="826"/>
      <c r="BF67" s="656" t="s">
        <v>1297</v>
      </c>
      <c r="BG67" s="656" t="s">
        <v>1298</v>
      </c>
      <c r="BH67" s="687" cm="1">
        <f t="array" ref="BH67">AC67</f>
        <v>0</v>
      </c>
      <c r="BJ67" s="448" t="b">
        <v>1</v>
      </c>
    </row>
    <row r="68" spans="1:62" s="396" customFormat="1" ht="14.25" customHeight="1" x14ac:dyDescent="0.15">
      <c r="A68" s="38"/>
      <c r="B68" s="44"/>
      <c r="C68" s="22"/>
      <c r="D68" s="22"/>
      <c r="E68" s="449">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3" t="b">
        <f ca="1">F68&gt;0</f>
        <v>1</v>
      </c>
      <c r="U68" s="22"/>
      <c r="V68" s="22"/>
      <c r="W68" s="517" t="s">
        <v>397</v>
      </c>
      <c r="X68" s="990"/>
      <c r="Y68" s="38"/>
      <c r="Z68" s="967"/>
      <c r="AA68" s="38"/>
      <c r="AB68" s="546"/>
      <c r="AC68" s="172" t="s">
        <v>176</v>
      </c>
      <c r="AD68" s="547"/>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6"/>
      <c r="BG68" s="656"/>
      <c r="BH68" s="656"/>
      <c r="BI68" s="448" t="s">
        <v>1298</v>
      </c>
      <c r="BJ68" s="448"/>
    </row>
    <row r="69" spans="1:62" s="396" customFormat="1" ht="24.75" customHeight="1" x14ac:dyDescent="0.15">
      <c r="A69" s="38"/>
      <c r="B69" s="43"/>
      <c r="C69" s="38"/>
      <c r="D69" s="38"/>
      <c r="E69" s="448">
        <v>15</v>
      </c>
      <c r="F69" s="17" t="str" cm="1">
        <f t="array" ref="F69">X69</f>
        <v>3</v>
      </c>
      <c r="G69" s="38"/>
      <c r="H69" s="38"/>
      <c r="I69" s="38"/>
      <c r="J69" s="38"/>
      <c r="K69" s="38"/>
      <c r="L69" s="38"/>
      <c r="M69" s="38"/>
      <c r="N69" s="38"/>
      <c r="O69" s="38"/>
      <c r="P69" s="38"/>
      <c r="Q69" s="38"/>
      <c r="R69" s="38"/>
      <c r="S69" s="38"/>
      <c r="T69" s="353" t="b">
        <f>X69&gt;0</f>
        <v>1</v>
      </c>
      <c r="U69" s="38"/>
      <c r="V69" s="38" t="str" cm="1">
        <f t="array" ref="V69">'Сбытовые расходы ГО'!$AB$63</f>
        <v>Тариф 3 (Водоотведение) - тариф на транспортировку сточных вод</v>
      </c>
      <c r="W69" s="38"/>
      <c r="X69" s="990" t="s">
        <v>291</v>
      </c>
      <c r="Y69" s="38"/>
      <c r="Z69" s="967"/>
      <c r="AA69" s="38"/>
      <c r="AB69" s="135" t="str" cm="1">
        <f t="array" ref="AB69">'Сбытовые расходы ГО'!$AB$63</f>
        <v>Тариф 3 (Водоотведение) - тариф на транспортировку сточных вод</v>
      </c>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38"/>
      <c r="BE69" s="38"/>
      <c r="BF69" s="656"/>
      <c r="BG69" s="656"/>
      <c r="BH69" s="656"/>
      <c r="BI69" s="448"/>
      <c r="BJ69" s="448"/>
    </row>
    <row r="70" spans="1:62" s="396" customFormat="1" ht="57.2" customHeight="1" x14ac:dyDescent="0.15">
      <c r="A70" s="38"/>
      <c r="B70" s="43"/>
      <c r="C70" s="38"/>
      <c r="D70" s="38"/>
      <c r="E70" s="448">
        <v>22.5</v>
      </c>
      <c r="F70" s="3" t="str" cm="1">
        <f t="array" aca="1" ref="F70" ca="1">OFFSET(E70,-1,1)</f>
        <v>3</v>
      </c>
      <c r="G70" s="38" t="s">
        <v>1256</v>
      </c>
      <c r="H70" s="38"/>
      <c r="I70" s="38"/>
      <c r="J70" s="38"/>
      <c r="K70" s="40" t="str">
        <f ca="1">F70&amp;"komm"</f>
        <v>3komm</v>
      </c>
      <c r="L70" s="609" t="str" cm="1">
        <f t="array" ref="L70">BC70</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M70" s="38"/>
      <c r="N70" s="38"/>
      <c r="O70" s="38"/>
      <c r="P70" s="38"/>
      <c r="Q70" s="38"/>
      <c r="R70" s="38"/>
      <c r="S70" s="38"/>
      <c r="T70" s="353" t="b" cm="1">
        <f t="array" ref="T70">T69</f>
        <v>1</v>
      </c>
      <c r="U70" s="38"/>
      <c r="V70" s="38"/>
      <c r="W70" s="38"/>
      <c r="X70" s="990"/>
      <c r="Y70" s="38"/>
      <c r="Z70" s="967"/>
      <c r="AA70" s="38"/>
      <c r="AB70" s="147">
        <v>0</v>
      </c>
      <c r="AC70" s="132" t="s">
        <v>1274</v>
      </c>
      <c r="AD70" s="124" t="s">
        <v>828</v>
      </c>
      <c r="AE70" s="140">
        <f t="shared" ref="AE70:BB70" si="7">SUM(AE71:AE80)</f>
        <v>2064.0943790719998</v>
      </c>
      <c r="AF70" s="140">
        <f t="shared" si="7"/>
        <v>301.19613069579998</v>
      </c>
      <c r="AG70" s="140">
        <f t="shared" si="7"/>
        <v>301.19613069579998</v>
      </c>
      <c r="AH70" s="140">
        <f t="shared" si="7"/>
        <v>127.87089852</v>
      </c>
      <c r="AI70" s="140">
        <f t="shared" si="7"/>
        <v>280.07739749960001</v>
      </c>
      <c r="AJ70" s="140">
        <f t="shared" si="7"/>
        <v>0</v>
      </c>
      <c r="AK70" s="140">
        <f t="shared" si="7"/>
        <v>0</v>
      </c>
      <c r="AL70" s="140">
        <f t="shared" si="7"/>
        <v>0</v>
      </c>
      <c r="AM70" s="140">
        <f t="shared" si="7"/>
        <v>0</v>
      </c>
      <c r="AN70" s="140">
        <f t="shared" si="7"/>
        <v>0</v>
      </c>
      <c r="AO70" s="140">
        <f t="shared" si="7"/>
        <v>0</v>
      </c>
      <c r="AP70" s="140">
        <f t="shared" si="7"/>
        <v>0</v>
      </c>
      <c r="AQ70" s="140">
        <f t="shared" si="7"/>
        <v>0</v>
      </c>
      <c r="AR70" s="140">
        <f t="shared" si="7"/>
        <v>0</v>
      </c>
      <c r="AS70" s="140">
        <f t="shared" si="7"/>
        <v>186.47520039119999</v>
      </c>
      <c r="AT70" s="140">
        <f t="shared" si="7"/>
        <v>0</v>
      </c>
      <c r="AU70" s="140">
        <f t="shared" si="7"/>
        <v>0</v>
      </c>
      <c r="AV70" s="140">
        <f t="shared" si="7"/>
        <v>0</v>
      </c>
      <c r="AW70" s="140">
        <f t="shared" si="7"/>
        <v>0</v>
      </c>
      <c r="AX70" s="140">
        <f t="shared" si="7"/>
        <v>0</v>
      </c>
      <c r="AY70" s="140">
        <f t="shared" si="7"/>
        <v>0</v>
      </c>
      <c r="AZ70" s="140">
        <f t="shared" si="7"/>
        <v>0</v>
      </c>
      <c r="BA70" s="140">
        <f t="shared" si="7"/>
        <v>0</v>
      </c>
      <c r="BB70" s="140">
        <f t="shared" si="7"/>
        <v>0</v>
      </c>
      <c r="BC70" s="113" t="s">
        <v>1299</v>
      </c>
      <c r="BD70" s="38"/>
      <c r="BE70" s="38"/>
      <c r="BF70" s="656" t="s">
        <v>1275</v>
      </c>
      <c r="BG70" s="656"/>
      <c r="BH70" s="656"/>
      <c r="BI70" s="448"/>
      <c r="BJ70" s="448"/>
    </row>
    <row r="71" spans="1:62" s="396" customFormat="1" ht="14.25" customHeight="1" x14ac:dyDescent="0.15">
      <c r="A71" s="38"/>
      <c r="B71" s="43"/>
      <c r="C71" s="38"/>
      <c r="D71" s="38"/>
      <c r="E71" s="448">
        <v>15</v>
      </c>
      <c r="F71" s="3" t="str" cm="1">
        <f t="array" aca="1" ref="F71" ca="1">OFFSET(E71,-1,1)</f>
        <v>3</v>
      </c>
      <c r="G71" s="38" t="s">
        <v>331</v>
      </c>
      <c r="H71" s="38"/>
      <c r="I71" s="38"/>
      <c r="J71" s="38"/>
      <c r="K71" s="40" t="str">
        <f ca="1">F71&amp;"1komm"</f>
        <v>31komm</v>
      </c>
      <c r="L71" s="609" cm="1">
        <f t="array" ref="L71">BC71</f>
        <v>0</v>
      </c>
      <c r="M71" s="38"/>
      <c r="N71" s="38"/>
      <c r="O71" s="38"/>
      <c r="P71" s="38"/>
      <c r="Q71" s="38"/>
      <c r="R71" s="38"/>
      <c r="S71" s="38"/>
      <c r="T71" s="353" t="b" cm="1">
        <f t="array" ref="T71">T70</f>
        <v>1</v>
      </c>
      <c r="U71" s="38"/>
      <c r="V71" s="38"/>
      <c r="W71" s="38"/>
      <c r="X71" s="990"/>
      <c r="Y71" s="38"/>
      <c r="Z71" s="967"/>
      <c r="AA71" s="38"/>
      <c r="AB71" s="133" t="s">
        <v>275</v>
      </c>
      <c r="AC71" s="346" t="s">
        <v>1276</v>
      </c>
      <c r="AD71" s="7" t="s">
        <v>828</v>
      </c>
      <c r="AE71" s="141"/>
      <c r="AF71" s="142"/>
      <c r="AG71" s="142"/>
      <c r="AH71" s="142"/>
      <c r="AI71" s="142"/>
      <c r="AJ71" s="854"/>
      <c r="AK71" s="854"/>
      <c r="AL71" s="142"/>
      <c r="AM71" s="142"/>
      <c r="AN71" s="142"/>
      <c r="AO71" s="142"/>
      <c r="AP71" s="142"/>
      <c r="AQ71" s="142"/>
      <c r="AR71" s="142"/>
      <c r="AS71" s="142"/>
      <c r="AT71" s="854"/>
      <c r="AU71" s="854"/>
      <c r="AV71" s="142"/>
      <c r="AW71" s="142"/>
      <c r="AX71" s="142"/>
      <c r="AY71" s="142"/>
      <c r="AZ71" s="142"/>
      <c r="BA71" s="142"/>
      <c r="BB71" s="142"/>
      <c r="BC71" s="113"/>
      <c r="BD71" s="38"/>
      <c r="BE71" s="38"/>
      <c r="BF71" s="656" t="s">
        <v>1277</v>
      </c>
      <c r="BG71" s="656"/>
      <c r="BH71" s="656"/>
      <c r="BI71" s="448"/>
      <c r="BJ71" s="448"/>
    </row>
    <row r="72" spans="1:62" s="396" customFormat="1" ht="21.75" customHeight="1" x14ac:dyDescent="0.15">
      <c r="A72" s="38"/>
      <c r="B72" s="44"/>
      <c r="C72" s="22"/>
      <c r="D72" s="22"/>
      <c r="E72" s="449">
        <v>22.5</v>
      </c>
      <c r="F72" s="3" t="str" cm="1">
        <f t="array" aca="1" ref="F72" ca="1">OFFSET(E72,-1,1)</f>
        <v>3</v>
      </c>
      <c r="G72" s="22" t="s">
        <v>332</v>
      </c>
      <c r="H72" s="22"/>
      <c r="I72" s="22"/>
      <c r="J72" s="22"/>
      <c r="K72" s="40" t="str">
        <f ca="1">F72&amp;"2komm"</f>
        <v>32komm</v>
      </c>
      <c r="L72" s="609" cm="1">
        <f t="array" ref="L72">BC72</f>
        <v>0</v>
      </c>
      <c r="M72" s="22"/>
      <c r="N72" s="22"/>
      <c r="O72" s="22"/>
      <c r="P72" s="22"/>
      <c r="Q72" s="22"/>
      <c r="R72" s="22"/>
      <c r="S72" s="22"/>
      <c r="T72" s="353" t="b" cm="1">
        <f t="array" ref="T72">T71</f>
        <v>1</v>
      </c>
      <c r="U72" s="22"/>
      <c r="V72" s="22"/>
      <c r="W72" s="38"/>
      <c r="X72" s="990"/>
      <c r="Y72" s="38"/>
      <c r="Z72" s="967"/>
      <c r="AA72" s="38"/>
      <c r="AB72" s="133" t="s">
        <v>285</v>
      </c>
      <c r="AC72" s="346" t="s">
        <v>1278</v>
      </c>
      <c r="AD72" s="7" t="s">
        <v>828</v>
      </c>
      <c r="AE72" s="141"/>
      <c r="AF72" s="142"/>
      <c r="AG72" s="142"/>
      <c r="AH72" s="142"/>
      <c r="AI72" s="142"/>
      <c r="AJ72" s="854"/>
      <c r="AK72" s="854"/>
      <c r="AL72" s="142"/>
      <c r="AM72" s="142"/>
      <c r="AN72" s="142"/>
      <c r="AO72" s="142"/>
      <c r="AP72" s="142"/>
      <c r="AQ72" s="142"/>
      <c r="AR72" s="142"/>
      <c r="AS72" s="142"/>
      <c r="AT72" s="854"/>
      <c r="AU72" s="854"/>
      <c r="AV72" s="142"/>
      <c r="AW72" s="142"/>
      <c r="AX72" s="142"/>
      <c r="AY72" s="142"/>
      <c r="AZ72" s="142"/>
      <c r="BA72" s="142"/>
      <c r="BB72" s="142"/>
      <c r="BC72" s="113"/>
      <c r="BD72" s="38"/>
      <c r="BE72" s="38"/>
      <c r="BF72" s="656" t="s">
        <v>1279</v>
      </c>
      <c r="BG72" s="656"/>
      <c r="BH72" s="656"/>
      <c r="BI72" s="448"/>
      <c r="BJ72" s="448"/>
    </row>
    <row r="73" spans="1:62" s="396" customFormat="1" ht="21.75" customHeight="1" x14ac:dyDescent="0.15">
      <c r="A73" s="38"/>
      <c r="B73" s="44"/>
      <c r="C73" s="22"/>
      <c r="D73" s="22"/>
      <c r="E73" s="449">
        <v>22.5</v>
      </c>
      <c r="F73" s="3" t="str" cm="1">
        <f t="array" aca="1" ref="F73" ca="1">OFFSET(E73,-1,1)</f>
        <v>3</v>
      </c>
      <c r="G73" s="22" t="s">
        <v>333</v>
      </c>
      <c r="H73" s="22" t="s">
        <v>1280</v>
      </c>
      <c r="I73" s="22"/>
      <c r="J73" s="22"/>
      <c r="K73" s="40" t="str">
        <f ca="1">F73&amp;"3komm"</f>
        <v>33komm</v>
      </c>
      <c r="L73" s="609" cm="1">
        <f t="array" ref="L73">BC73</f>
        <v>0</v>
      </c>
      <c r="M73" s="22"/>
      <c r="N73" s="22"/>
      <c r="O73" s="22"/>
      <c r="P73" s="22"/>
      <c r="Q73" s="22"/>
      <c r="R73" s="22"/>
      <c r="S73" s="22"/>
      <c r="T73" s="353" t="b" cm="1">
        <f t="array" ref="T73">T72</f>
        <v>1</v>
      </c>
      <c r="U73" s="22"/>
      <c r="V73" s="22"/>
      <c r="W73" s="38"/>
      <c r="X73" s="990"/>
      <c r="Y73" s="38"/>
      <c r="Z73" s="967"/>
      <c r="AA73" s="38"/>
      <c r="AB73" s="133" t="s">
        <v>291</v>
      </c>
      <c r="AC73" s="346" t="s">
        <v>1281</v>
      </c>
      <c r="AD73" s="7" t="s">
        <v>828</v>
      </c>
      <c r="AE73" s="141"/>
      <c r="AF73" s="142"/>
      <c r="AG73" s="142"/>
      <c r="AH73" s="142"/>
      <c r="AI73" s="142"/>
      <c r="AJ73" s="854"/>
      <c r="AK73" s="854"/>
      <c r="AL73" s="142"/>
      <c r="AM73" s="142"/>
      <c r="AN73" s="142"/>
      <c r="AO73" s="142"/>
      <c r="AP73" s="142"/>
      <c r="AQ73" s="142"/>
      <c r="AR73" s="142"/>
      <c r="AS73" s="142"/>
      <c r="AT73" s="854"/>
      <c r="AU73" s="854"/>
      <c r="AV73" s="142"/>
      <c r="AW73" s="142"/>
      <c r="AX73" s="142"/>
      <c r="AY73" s="142"/>
      <c r="AZ73" s="142"/>
      <c r="BA73" s="142"/>
      <c r="BB73" s="142"/>
      <c r="BC73" s="113"/>
      <c r="BD73" s="38"/>
      <c r="BE73" s="38"/>
      <c r="BF73" s="656" t="s">
        <v>1282</v>
      </c>
      <c r="BG73" s="656"/>
      <c r="BH73" s="656"/>
      <c r="BI73" s="448"/>
      <c r="BJ73" s="448"/>
    </row>
    <row r="74" spans="1:62" ht="14.25" customHeight="1" x14ac:dyDescent="0.15">
      <c r="B74" s="44"/>
      <c r="C74" s="22"/>
      <c r="D74" s="22"/>
      <c r="E74" s="449">
        <v>15</v>
      </c>
      <c r="F74" s="3" t="str" cm="1">
        <f t="array" aca="1" ref="F74" ca="1">OFFSET(E74,-1,1)</f>
        <v>3</v>
      </c>
      <c r="G74" s="22" t="s">
        <v>335</v>
      </c>
      <c r="H74" s="22"/>
      <c r="I74" s="22"/>
      <c r="J74" s="22"/>
      <c r="K74" s="40" t="str">
        <f ca="1">F74&amp;"4komm"</f>
        <v>34komm</v>
      </c>
      <c r="L74" s="609" cm="1">
        <f t="array" ref="L74">BC74</f>
        <v>0</v>
      </c>
      <c r="M74" s="22"/>
      <c r="N74" s="22"/>
      <c r="O74" s="22"/>
      <c r="P74" s="22"/>
      <c r="Q74" s="22"/>
      <c r="R74" s="22"/>
      <c r="S74" s="22"/>
      <c r="T74" s="353" t="b" cm="1">
        <f t="array" ref="T74">T73</f>
        <v>1</v>
      </c>
      <c r="U74" s="22"/>
      <c r="V74" s="22"/>
      <c r="X74" s="990"/>
      <c r="Z74" s="967"/>
      <c r="AB74" s="590">
        <v>4</v>
      </c>
      <c r="AC74" s="346" t="s">
        <v>1283</v>
      </c>
      <c r="AD74" s="7" t="s">
        <v>828</v>
      </c>
      <c r="AE74" s="143"/>
      <c r="AF74" s="143"/>
      <c r="AG74" s="143"/>
      <c r="AH74" s="143"/>
      <c r="AI74" s="143"/>
      <c r="AJ74" s="855"/>
      <c r="AK74" s="855"/>
      <c r="AL74" s="143"/>
      <c r="AM74" s="143"/>
      <c r="AN74" s="143"/>
      <c r="AO74" s="143"/>
      <c r="AP74" s="143"/>
      <c r="AQ74" s="143"/>
      <c r="AR74" s="143"/>
      <c r="AS74" s="143"/>
      <c r="AT74" s="855"/>
      <c r="AU74" s="855"/>
      <c r="AV74" s="143"/>
      <c r="AW74" s="143"/>
      <c r="AX74" s="143"/>
      <c r="AY74" s="143"/>
      <c r="AZ74" s="143"/>
      <c r="BA74" s="143"/>
      <c r="BB74" s="143"/>
      <c r="BC74" s="113"/>
      <c r="BF74" s="656" t="s">
        <v>1284</v>
      </c>
    </row>
    <row r="75" spans="1:62" s="396" customFormat="1" ht="14.25" customHeight="1" x14ac:dyDescent="0.15">
      <c r="A75" s="38"/>
      <c r="B75" s="44"/>
      <c r="C75" s="22"/>
      <c r="D75" s="22"/>
      <c r="E75" s="449">
        <v>15</v>
      </c>
      <c r="F75" s="3" t="str" cm="1">
        <f t="array" aca="1" ref="F75" ca="1">OFFSET(E75,-1,1)</f>
        <v>3</v>
      </c>
      <c r="G75" s="22" t="s">
        <v>334</v>
      </c>
      <c r="H75" s="22"/>
      <c r="I75" s="22"/>
      <c r="J75" s="22"/>
      <c r="K75" s="40" t="str">
        <f ca="1">F75&amp;"5komm"</f>
        <v>35komm</v>
      </c>
      <c r="L75" s="609" cm="1">
        <f t="array" ref="L75">BC75</f>
        <v>0</v>
      </c>
      <c r="M75" s="22"/>
      <c r="N75" s="22"/>
      <c r="O75" s="22"/>
      <c r="P75" s="22"/>
      <c r="Q75" s="22"/>
      <c r="R75" s="22"/>
      <c r="S75" s="22"/>
      <c r="T75" s="353" t="b" cm="1">
        <f t="array" ref="T75">T74</f>
        <v>1</v>
      </c>
      <c r="U75" s="22"/>
      <c r="V75" s="22"/>
      <c r="W75" s="38"/>
      <c r="X75" s="990"/>
      <c r="Y75" s="38"/>
      <c r="Z75" s="967"/>
      <c r="AA75" s="38"/>
      <c r="AB75" s="133" t="s">
        <v>460</v>
      </c>
      <c r="AC75" s="346" t="s">
        <v>1285</v>
      </c>
      <c r="AD75" s="7" t="s">
        <v>828</v>
      </c>
      <c r="AE75" s="141"/>
      <c r="AF75" s="141"/>
      <c r="AG75" s="141"/>
      <c r="AH75" s="141"/>
      <c r="AI75" s="141"/>
      <c r="AJ75" s="781"/>
      <c r="AK75" s="781"/>
      <c r="AL75" s="141"/>
      <c r="AM75" s="141"/>
      <c r="AN75" s="141"/>
      <c r="AO75" s="141"/>
      <c r="AP75" s="141"/>
      <c r="AQ75" s="141"/>
      <c r="AR75" s="141"/>
      <c r="AS75" s="141"/>
      <c r="AT75" s="781"/>
      <c r="AU75" s="781"/>
      <c r="AV75" s="141"/>
      <c r="AW75" s="141"/>
      <c r="AX75" s="141"/>
      <c r="AY75" s="141"/>
      <c r="AZ75" s="141"/>
      <c r="BA75" s="141"/>
      <c r="BB75" s="141"/>
      <c r="BC75" s="113"/>
      <c r="BD75" s="38"/>
      <c r="BE75" s="38"/>
      <c r="BF75" s="656" t="s">
        <v>1286</v>
      </c>
      <c r="BG75" s="656"/>
      <c r="BH75" s="656"/>
      <c r="BI75" s="448"/>
      <c r="BJ75" s="448"/>
    </row>
    <row r="76" spans="1:62" s="396" customFormat="1" ht="72.95" customHeight="1" x14ac:dyDescent="0.15">
      <c r="A76" s="38"/>
      <c r="B76" s="44"/>
      <c r="C76" s="22"/>
      <c r="D76" s="22"/>
      <c r="E76" s="449">
        <v>15</v>
      </c>
      <c r="F76" s="3" t="str" cm="1">
        <f t="array" aca="1" ref="F76" ca="1">OFFSET(E76,-1,1)</f>
        <v>3</v>
      </c>
      <c r="G76" s="22" t="s">
        <v>532</v>
      </c>
      <c r="H76" s="22"/>
      <c r="I76" s="22"/>
      <c r="J76" s="22"/>
      <c r="K76" s="40" t="str">
        <f ca="1">F76&amp;"6komm"</f>
        <v>36komm</v>
      </c>
      <c r="L76" s="609" t="str" cm="1">
        <f t="array" ref="L76">BC76</f>
        <v>Рассчитано в соответствии с Главой 30 "Налог на имущество организаций" Налогового кодекса РФ, на основании представленной Ведомости амортизации   за 2024 г. (с исключением отчисл-й по ДВИЖИМОМУ ИМУЩЕСТВУ):  остаточная стоимость на 31.12.2024  - (12728,68+7415,09) тыс. руб, на 31.12.2025 - (11327,84 + 3707,544) тыс. руб., на 31.12.2026 - ( 9927,01 + 0,02) тыс. руб., ставка налога - 2,2%, сумма налога ВСЕГО - 3932,144 тыс. руб. Принято в доле реализации на сторону 0,679.</v>
      </c>
      <c r="M76" s="22"/>
      <c r="N76" s="22"/>
      <c r="O76" s="22"/>
      <c r="P76" s="22"/>
      <c r="Q76" s="22"/>
      <c r="R76" s="22"/>
      <c r="S76" s="22"/>
      <c r="T76" s="353" t="b" cm="1">
        <f t="array" ref="T76">T75</f>
        <v>1</v>
      </c>
      <c r="U76" s="22"/>
      <c r="V76" s="22"/>
      <c r="W76" s="38"/>
      <c r="X76" s="990"/>
      <c r="Y76" s="38"/>
      <c r="Z76" s="967"/>
      <c r="AA76" s="38"/>
      <c r="AB76" s="133" t="s">
        <v>536</v>
      </c>
      <c r="AC76" s="346" t="s">
        <v>1287</v>
      </c>
      <c r="AD76" s="7" t="s">
        <v>828</v>
      </c>
      <c r="AE76" s="141">
        <v>2064.0943790719998</v>
      </c>
      <c r="AF76" s="141">
        <v>301.19613069579998</v>
      </c>
      <c r="AG76" s="141">
        <v>301.19613069579998</v>
      </c>
      <c r="AH76" s="141">
        <v>127.87089852</v>
      </c>
      <c r="AI76" s="141">
        <v>280.07739749960001</v>
      </c>
      <c r="AJ76" s="781"/>
      <c r="AK76" s="781"/>
      <c r="AL76" s="141"/>
      <c r="AM76" s="141"/>
      <c r="AN76" s="141"/>
      <c r="AO76" s="141"/>
      <c r="AP76" s="141"/>
      <c r="AQ76" s="141"/>
      <c r="AR76" s="141"/>
      <c r="AS76" s="141">
        <v>186.47520039119999</v>
      </c>
      <c r="AT76" s="781"/>
      <c r="AU76" s="781"/>
      <c r="AV76" s="141"/>
      <c r="AW76" s="141"/>
      <c r="AX76" s="141"/>
      <c r="AY76" s="141"/>
      <c r="AZ76" s="141"/>
      <c r="BA76" s="141"/>
      <c r="BB76" s="141"/>
      <c r="BC76" s="113" t="s">
        <v>1303</v>
      </c>
      <c r="BD76" s="38"/>
      <c r="BE76" s="38"/>
      <c r="BF76" s="656" t="s">
        <v>1288</v>
      </c>
      <c r="BG76" s="656"/>
      <c r="BH76" s="656"/>
      <c r="BI76" s="448"/>
      <c r="BJ76" s="448"/>
    </row>
    <row r="77" spans="1:62" s="396" customFormat="1" ht="14.25" customHeight="1" x14ac:dyDescent="0.15">
      <c r="A77" s="38"/>
      <c r="B77" s="44"/>
      <c r="C77" s="22"/>
      <c r="D77" s="22"/>
      <c r="E77" s="449">
        <v>15</v>
      </c>
      <c r="F77" s="3" t="str" cm="1">
        <f t="array" aca="1" ref="F77" ca="1">OFFSET(E77,-1,1)</f>
        <v>3</v>
      </c>
      <c r="G77" s="22" t="s">
        <v>535</v>
      </c>
      <c r="H77" s="22" t="s">
        <v>1289</v>
      </c>
      <c r="I77" s="22"/>
      <c r="J77" s="22"/>
      <c r="K77" s="40" t="str">
        <f ca="1">F77&amp;"7komm"</f>
        <v>37komm</v>
      </c>
      <c r="L77" s="609" cm="1">
        <f t="array" ref="L77">BC77</f>
        <v>0</v>
      </c>
      <c r="M77" s="22"/>
      <c r="N77" s="22"/>
      <c r="O77" s="22"/>
      <c r="P77" s="22"/>
      <c r="Q77" s="22"/>
      <c r="R77" s="22"/>
      <c r="S77" s="22"/>
      <c r="T77" s="353" t="b" cm="1">
        <f t="array" ref="T77">T76</f>
        <v>1</v>
      </c>
      <c r="U77" s="22"/>
      <c r="V77" s="22"/>
      <c r="W77" s="38"/>
      <c r="X77" s="990"/>
      <c r="Y77" s="38"/>
      <c r="Z77" s="967"/>
      <c r="AA77" s="38"/>
      <c r="AB77" s="133" t="s">
        <v>602</v>
      </c>
      <c r="AC77" s="346" t="s">
        <v>1290</v>
      </c>
      <c r="AD77" s="7" t="s">
        <v>828</v>
      </c>
      <c r="AE77" s="141"/>
      <c r="AF77" s="141"/>
      <c r="AG77" s="141"/>
      <c r="AH77" s="141"/>
      <c r="AI77" s="141"/>
      <c r="AJ77" s="781"/>
      <c r="AK77" s="781"/>
      <c r="AL77" s="141"/>
      <c r="AM77" s="141"/>
      <c r="AN77" s="141"/>
      <c r="AO77" s="141"/>
      <c r="AP77" s="141"/>
      <c r="AQ77" s="141"/>
      <c r="AR77" s="141"/>
      <c r="AS77" s="141"/>
      <c r="AT77" s="781"/>
      <c r="AU77" s="781"/>
      <c r="AV77" s="141"/>
      <c r="AW77" s="141"/>
      <c r="AX77" s="141"/>
      <c r="AY77" s="141"/>
      <c r="AZ77" s="141"/>
      <c r="BA77" s="141"/>
      <c r="BB77" s="141"/>
      <c r="BC77" s="113"/>
      <c r="BD77" s="38"/>
      <c r="BE77" s="38"/>
      <c r="BF77" s="656" t="s">
        <v>1291</v>
      </c>
      <c r="BG77" s="656"/>
      <c r="BH77" s="656"/>
      <c r="BI77" s="448"/>
      <c r="BJ77" s="448"/>
    </row>
    <row r="78" spans="1:62" s="396" customFormat="1" ht="21.75" customHeight="1" x14ac:dyDescent="0.15">
      <c r="A78" s="38"/>
      <c r="B78" s="44"/>
      <c r="C78" s="22"/>
      <c r="D78" s="22"/>
      <c r="E78" s="449">
        <v>22.5</v>
      </c>
      <c r="F78" s="3" t="str" cm="1">
        <f t="array" aca="1" ref="F78" ca="1">OFFSET(E78,-1,1)</f>
        <v>3</v>
      </c>
      <c r="G78" s="22" t="s">
        <v>586</v>
      </c>
      <c r="H78" s="22"/>
      <c r="I78" s="22"/>
      <c r="J78" s="22"/>
      <c r="K78" s="40" t="str">
        <f ca="1">F78&amp;"8komm"</f>
        <v>38komm</v>
      </c>
      <c r="L78" s="609" cm="1">
        <f t="array" ref="L78">BC78</f>
        <v>0</v>
      </c>
      <c r="M78" s="22"/>
      <c r="N78" s="22"/>
      <c r="O78" s="22"/>
      <c r="P78" s="22"/>
      <c r="Q78" s="22"/>
      <c r="R78" s="22"/>
      <c r="S78" s="22"/>
      <c r="T78" s="353" t="b" cm="1">
        <f t="array" ref="T78">T77</f>
        <v>1</v>
      </c>
      <c r="U78" s="22"/>
      <c r="V78" s="22"/>
      <c r="W78" s="38"/>
      <c r="X78" s="990"/>
      <c r="Y78" s="38"/>
      <c r="Z78" s="967"/>
      <c r="AA78" s="38"/>
      <c r="AB78" s="133" t="s">
        <v>610</v>
      </c>
      <c r="AC78" s="346" t="s">
        <v>1292</v>
      </c>
      <c r="AD78" s="7" t="s">
        <v>828</v>
      </c>
      <c r="AE78" s="141"/>
      <c r="AF78" s="141"/>
      <c r="AG78" s="141"/>
      <c r="AH78" s="141"/>
      <c r="AI78" s="141"/>
      <c r="AJ78" s="781"/>
      <c r="AK78" s="781"/>
      <c r="AL78" s="141"/>
      <c r="AM78" s="141"/>
      <c r="AN78" s="141"/>
      <c r="AO78" s="141"/>
      <c r="AP78" s="141"/>
      <c r="AQ78" s="141"/>
      <c r="AR78" s="141"/>
      <c r="AS78" s="141"/>
      <c r="AT78" s="781"/>
      <c r="AU78" s="781"/>
      <c r="AV78" s="141"/>
      <c r="AW78" s="141"/>
      <c r="AX78" s="141"/>
      <c r="AY78" s="141"/>
      <c r="AZ78" s="141"/>
      <c r="BA78" s="141"/>
      <c r="BB78" s="141"/>
      <c r="BC78" s="113"/>
      <c r="BD78" s="38"/>
      <c r="BE78" s="38"/>
      <c r="BF78" s="656" t="s">
        <v>1293</v>
      </c>
      <c r="BG78" s="656"/>
      <c r="BH78" s="656"/>
      <c r="BI78" s="448"/>
      <c r="BJ78" s="448"/>
    </row>
    <row r="79" spans="1:62" s="40" customFormat="1" ht="21.75" customHeight="1" x14ac:dyDescent="0.15">
      <c r="B79" s="44"/>
      <c r="C79" s="22"/>
      <c r="D79" s="22"/>
      <c r="E79" s="449">
        <v>22.5</v>
      </c>
      <c r="F79" s="3" t="str" cm="1">
        <f t="array" aca="1" ref="F79" ca="1">OFFSET(E79,-1,1)</f>
        <v>3</v>
      </c>
      <c r="G79" s="22"/>
      <c r="H79" s="22"/>
      <c r="I79" s="22"/>
      <c r="J79" s="22"/>
      <c r="K79" s="40" t="str">
        <f ca="1">F79&amp;"9komm"</f>
        <v>39komm</v>
      </c>
      <c r="L79" s="609" cm="1">
        <f t="array" ref="L79">BC79</f>
        <v>0</v>
      </c>
      <c r="M79" s="22"/>
      <c r="N79" s="22"/>
      <c r="O79" s="22"/>
      <c r="P79" s="22"/>
      <c r="Q79" s="22"/>
      <c r="R79" s="22"/>
      <c r="S79" s="22"/>
      <c r="T79" s="353" t="b" cm="1">
        <f t="array" ref="T79">T78</f>
        <v>1</v>
      </c>
      <c r="U79" s="22"/>
      <c r="V79" s="22"/>
      <c r="X79" s="990"/>
      <c r="Z79" s="967"/>
      <c r="AB79" s="133" t="s">
        <v>768</v>
      </c>
      <c r="AC79" s="346" t="s">
        <v>1294</v>
      </c>
      <c r="AD79" s="7" t="s">
        <v>828</v>
      </c>
      <c r="AE79" s="141"/>
      <c r="AF79" s="141"/>
      <c r="AG79" s="141"/>
      <c r="AH79" s="141"/>
      <c r="AI79" s="141"/>
      <c r="AJ79" s="781"/>
      <c r="AK79" s="781"/>
      <c r="AL79" s="141"/>
      <c r="AM79" s="141"/>
      <c r="AN79" s="141"/>
      <c r="AO79" s="141"/>
      <c r="AP79" s="141"/>
      <c r="AQ79" s="141"/>
      <c r="AR79" s="141"/>
      <c r="AS79" s="141"/>
      <c r="AT79" s="781"/>
      <c r="AU79" s="781"/>
      <c r="AV79" s="141"/>
      <c r="AW79" s="141"/>
      <c r="AX79" s="141"/>
      <c r="AY79" s="141"/>
      <c r="AZ79" s="141"/>
      <c r="BA79" s="141"/>
      <c r="BB79" s="141"/>
      <c r="BC79" s="196"/>
      <c r="BF79" s="662" t="s">
        <v>1295</v>
      </c>
      <c r="BG79" s="662"/>
      <c r="BH79" s="662"/>
      <c r="BI79" s="502"/>
      <c r="BJ79" s="502"/>
    </row>
    <row r="80" spans="1:62" ht="14.25" customHeight="1" x14ac:dyDescent="0.15">
      <c r="B80" s="44"/>
      <c r="C80" s="22"/>
      <c r="D80" s="22"/>
      <c r="E80" s="449">
        <v>15</v>
      </c>
      <c r="F80" s="3" t="str" cm="1">
        <f t="array" aca="1" ref="F80" ca="1">OFFSET(E80,-1,1)</f>
        <v>3</v>
      </c>
      <c r="G80" s="22" t="s">
        <v>601</v>
      </c>
      <c r="H80" s="274"/>
      <c r="I80" s="22"/>
      <c r="J80" s="22"/>
      <c r="K80" s="40" t="str">
        <f ca="1">F80&amp;"10komm"</f>
        <v>310komm</v>
      </c>
      <c r="L80" s="609" cm="1">
        <f t="array" ref="L80">BC80</f>
        <v>0</v>
      </c>
      <c r="M80" s="22"/>
      <c r="N80" s="22"/>
      <c r="O80" s="22"/>
      <c r="P80" s="22"/>
      <c r="Q80" s="22"/>
      <c r="R80" s="22"/>
      <c r="S80" s="22"/>
      <c r="T80" s="353" t="b" cm="1">
        <f t="array" ref="T80">T79</f>
        <v>1</v>
      </c>
      <c r="U80" s="22"/>
      <c r="V80" s="22"/>
      <c r="X80" s="990"/>
      <c r="Z80" s="967"/>
      <c r="AB80" s="590">
        <v>10</v>
      </c>
      <c r="AC80" s="346" t="s">
        <v>1296</v>
      </c>
      <c r="AD80" s="7" t="s">
        <v>828</v>
      </c>
      <c r="AE80" s="148">
        <f t="shared" ref="AE80:BB80" si="8">SUM(AE81:AE82)</f>
        <v>0</v>
      </c>
      <c r="AF80" s="148">
        <f t="shared" si="8"/>
        <v>0</v>
      </c>
      <c r="AG80" s="148">
        <f t="shared" si="8"/>
        <v>0</v>
      </c>
      <c r="AH80" s="148">
        <f t="shared" si="8"/>
        <v>0</v>
      </c>
      <c r="AI80" s="148">
        <f t="shared" si="8"/>
        <v>0</v>
      </c>
      <c r="AJ80" s="148">
        <f t="shared" si="8"/>
        <v>0</v>
      </c>
      <c r="AK80" s="148">
        <f t="shared" si="8"/>
        <v>0</v>
      </c>
      <c r="AL80" s="148">
        <f t="shared" si="8"/>
        <v>0</v>
      </c>
      <c r="AM80" s="148">
        <f t="shared" si="8"/>
        <v>0</v>
      </c>
      <c r="AN80" s="148">
        <f t="shared" si="8"/>
        <v>0</v>
      </c>
      <c r="AO80" s="148">
        <f t="shared" si="8"/>
        <v>0</v>
      </c>
      <c r="AP80" s="148">
        <f t="shared" si="8"/>
        <v>0</v>
      </c>
      <c r="AQ80" s="148">
        <f t="shared" si="8"/>
        <v>0</v>
      </c>
      <c r="AR80" s="148">
        <f t="shared" si="8"/>
        <v>0</v>
      </c>
      <c r="AS80" s="148">
        <f t="shared" si="8"/>
        <v>0</v>
      </c>
      <c r="AT80" s="148">
        <f t="shared" si="8"/>
        <v>0</v>
      </c>
      <c r="AU80" s="148">
        <f t="shared" si="8"/>
        <v>0</v>
      </c>
      <c r="AV80" s="148">
        <f t="shared" si="8"/>
        <v>0</v>
      </c>
      <c r="AW80" s="148">
        <f t="shared" si="8"/>
        <v>0</v>
      </c>
      <c r="AX80" s="148">
        <f t="shared" si="8"/>
        <v>0</v>
      </c>
      <c r="AY80" s="148">
        <f t="shared" si="8"/>
        <v>0</v>
      </c>
      <c r="AZ80" s="148">
        <f t="shared" si="8"/>
        <v>0</v>
      </c>
      <c r="BA80" s="148">
        <f t="shared" si="8"/>
        <v>0</v>
      </c>
      <c r="BB80" s="148">
        <f t="shared" si="8"/>
        <v>0</v>
      </c>
      <c r="BC80" s="113"/>
      <c r="BF80" s="656" t="s">
        <v>1297</v>
      </c>
    </row>
    <row r="81" spans="1:62" ht="14.25" hidden="1" customHeight="1" x14ac:dyDescent="0.15">
      <c r="B81" s="44"/>
      <c r="C81" s="22"/>
      <c r="D81" s="22"/>
      <c r="E81" s="449">
        <v>15</v>
      </c>
      <c r="F81" s="3" t="str" cm="1">
        <f t="array" aca="1" ref="F81" ca="1">OFFSET(E81,-1,1)</f>
        <v>3</v>
      </c>
      <c r="G81" s="22" t="s">
        <v>601</v>
      </c>
      <c r="H81" s="274"/>
      <c r="I81" s="410" cm="1">
        <f t="array" ref="I81">AC81</f>
        <v>0</v>
      </c>
      <c r="J81" s="22"/>
      <c r="K81" s="22"/>
      <c r="L81" s="22"/>
      <c r="M81" s="22"/>
      <c r="N81" s="22"/>
      <c r="O81" s="22"/>
      <c r="P81" s="22"/>
      <c r="Q81" s="22"/>
      <c r="R81" s="22"/>
      <c r="S81" s="22"/>
      <c r="T81" s="353" t="b">
        <f ca="1">AND(F81&gt;0,Y81&gt;0)</f>
        <v>0</v>
      </c>
      <c r="U81" s="22"/>
      <c r="V81" s="22"/>
      <c r="W81" s="517" t="s">
        <v>172</v>
      </c>
      <c r="X81" s="990"/>
      <c r="Y81" s="38">
        <v>0</v>
      </c>
      <c r="Z81" s="967"/>
      <c r="AA81" s="320" t="s">
        <v>173</v>
      </c>
      <c r="AB81" s="500" t="str">
        <f>"10."&amp;Y81</f>
        <v>10.0</v>
      </c>
      <c r="AC81" s="856"/>
      <c r="AD81" s="7" t="s">
        <v>828</v>
      </c>
      <c r="AE81" s="781"/>
      <c r="AF81" s="781"/>
      <c r="AG81" s="781"/>
      <c r="AH81" s="781"/>
      <c r="AI81" s="141"/>
      <c r="AJ81" s="781"/>
      <c r="AK81" s="781"/>
      <c r="AL81" s="781"/>
      <c r="AM81" s="781"/>
      <c r="AN81" s="781"/>
      <c r="AO81" s="781"/>
      <c r="AP81" s="781"/>
      <c r="AQ81" s="781"/>
      <c r="AR81" s="781"/>
      <c r="AS81" s="141"/>
      <c r="AT81" s="781"/>
      <c r="AU81" s="781"/>
      <c r="AV81" s="781"/>
      <c r="AW81" s="781"/>
      <c r="AX81" s="781"/>
      <c r="AY81" s="781"/>
      <c r="AZ81" s="781"/>
      <c r="BA81" s="781"/>
      <c r="BB81" s="781"/>
      <c r="BC81" s="826"/>
      <c r="BF81" s="656" t="s">
        <v>1297</v>
      </c>
      <c r="BG81" s="656" t="s">
        <v>1298</v>
      </c>
      <c r="BH81" s="687" cm="1">
        <f t="array" ref="BH81">AC81</f>
        <v>0</v>
      </c>
      <c r="BJ81" s="448" t="b">
        <v>1</v>
      </c>
    </row>
    <row r="82" spans="1:62" s="396" customFormat="1" ht="14.25" customHeight="1" x14ac:dyDescent="0.15">
      <c r="A82" s="38"/>
      <c r="B82" s="44"/>
      <c r="C82" s="22"/>
      <c r="D82" s="22"/>
      <c r="E82" s="449">
        <v>15</v>
      </c>
      <c r="F82" s="3" t="str" cm="1">
        <f t="array" aca="1" ref="F82" ca="1">OFFSET(E82,-1,1)</f>
        <v>3</v>
      </c>
      <c r="G82" s="22"/>
      <c r="H82" s="38"/>
      <c r="I82" s="22" t="str">
        <f>"!=='не определено'"</f>
        <v>!=='не определено'</v>
      </c>
      <c r="J82" s="22"/>
      <c r="K82" s="22"/>
      <c r="L82" s="22"/>
      <c r="M82" s="22"/>
      <c r="N82" s="22"/>
      <c r="O82" s="22"/>
      <c r="P82" s="22"/>
      <c r="Q82" s="22"/>
      <c r="R82" s="22"/>
      <c r="S82" s="22"/>
      <c r="T82" s="353" t="b">
        <f ca="1">F82&gt;0</f>
        <v>1</v>
      </c>
      <c r="U82" s="22"/>
      <c r="V82" s="22"/>
      <c r="W82" s="517" t="s">
        <v>397</v>
      </c>
      <c r="X82" s="990"/>
      <c r="Y82" s="38"/>
      <c r="Z82" s="967"/>
      <c r="AA82" s="38"/>
      <c r="AB82" s="546"/>
      <c r="AC82" s="172" t="s">
        <v>176</v>
      </c>
      <c r="AD82" s="547"/>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D82" s="38"/>
      <c r="BE82" s="38"/>
      <c r="BF82" s="656"/>
      <c r="BG82" s="656"/>
      <c r="BH82" s="656"/>
      <c r="BI82" s="448" t="s">
        <v>1298</v>
      </c>
      <c r="BJ82" s="448"/>
    </row>
    <row r="83" spans="1:62" ht="10.9" customHeight="1" x14ac:dyDescent="0.15">
      <c r="A83"/>
      <c r="B83" s="411"/>
      <c r="C83"/>
      <c r="D83"/>
      <c r="E83" s="454">
        <v>11.25</v>
      </c>
      <c r="F83" s="4"/>
      <c r="G83"/>
      <c r="H83"/>
      <c r="I83"/>
      <c r="J83"/>
      <c r="K83"/>
      <c r="L83"/>
      <c r="M83"/>
      <c r="N83"/>
      <c r="O83"/>
      <c r="P83"/>
      <c r="Q83"/>
      <c r="R83"/>
      <c r="S83"/>
      <c r="T83"/>
      <c r="U83" t="s">
        <v>176</v>
      </c>
      <c r="V83" s="517" t="s">
        <v>1304</v>
      </c>
      <c r="W83"/>
      <c r="X83"/>
      <c r="Y83"/>
      <c r="Z83"/>
      <c r="AA83"/>
      <c r="AB83"/>
      <c r="AC83" s="18"/>
      <c r="AD83" s="18"/>
      <c r="AE83" s="18"/>
      <c r="AF83" s="18"/>
      <c r="AG83"/>
      <c r="AH83"/>
      <c r="AI83"/>
      <c r="AJ83"/>
      <c r="AK83"/>
      <c r="AL83"/>
      <c r="AM83"/>
      <c r="AN83"/>
      <c r="AO83"/>
      <c r="AP83"/>
      <c r="AQ83" s="19"/>
      <c r="AR83"/>
      <c r="AS83"/>
      <c r="AT83"/>
      <c r="AU83"/>
      <c r="AV83"/>
      <c r="AW83"/>
      <c r="AX83"/>
      <c r="AY83"/>
      <c r="AZ83"/>
      <c r="BA83"/>
      <c r="BB83"/>
      <c r="BC83"/>
      <c r="BD83"/>
      <c r="BE83"/>
      <c r="BF83" s="661"/>
      <c r="BG83" s="661"/>
      <c r="BH83" s="661"/>
      <c r="BI83" s="454"/>
      <c r="BJ83" s="454"/>
    </row>
    <row r="84" spans="1:62" ht="14.65" customHeight="1" x14ac:dyDescent="0.15">
      <c r="A84" s="17"/>
      <c r="B84" s="384"/>
      <c r="C84" s="59"/>
      <c r="D84" s="59"/>
      <c r="E84" s="462">
        <v>15</v>
      </c>
      <c r="F84" s="59"/>
      <c r="G84" s="59"/>
      <c r="H84" s="59"/>
      <c r="I84" s="59"/>
      <c r="J84" s="59"/>
      <c r="K84" s="59"/>
      <c r="L84" s="59"/>
      <c r="M84" s="59"/>
      <c r="N84" s="59"/>
      <c r="O84" s="59"/>
      <c r="P84" s="59"/>
      <c r="Q84" s="59"/>
      <c r="R84" s="59"/>
      <c r="S84" s="59"/>
      <c r="T84" s="59"/>
      <c r="U84" s="59"/>
      <c r="V84" s="59"/>
      <c r="W84" s="17"/>
      <c r="X84" s="17"/>
      <c r="Y84" s="17"/>
      <c r="Z84" s="17"/>
      <c r="AA84" s="17"/>
      <c r="AB84" s="993" t="s">
        <v>408</v>
      </c>
      <c r="AC84" s="993"/>
      <c r="AD84" s="993"/>
      <c r="AE84" s="993"/>
      <c r="AF84" s="993"/>
      <c r="AG84" s="993"/>
      <c r="AH84" s="993"/>
      <c r="AI84" s="1024"/>
      <c r="AJ84" s="1024"/>
      <c r="AK84" s="1024"/>
      <c r="AL84" s="1024"/>
      <c r="AM84" s="1024"/>
      <c r="AN84" s="1024"/>
      <c r="AO84" s="1024"/>
      <c r="AP84" s="1024"/>
      <c r="AQ84" s="1024"/>
      <c r="AR84" s="1024"/>
      <c r="AS84" s="1024"/>
      <c r="AT84" s="1024"/>
      <c r="AU84" s="1024"/>
      <c r="AV84" s="1024"/>
      <c r="AW84" s="1024"/>
      <c r="AX84" s="1024"/>
      <c r="AY84" s="1024"/>
      <c r="AZ84" s="1024"/>
      <c r="BA84" s="1024"/>
      <c r="BB84" s="1024"/>
      <c r="BC84" s="1024"/>
      <c r="BD84" s="17"/>
      <c r="BE84"/>
      <c r="BF84" s="661"/>
      <c r="BG84" s="661"/>
      <c r="BH84" s="661"/>
      <c r="BI84" s="454"/>
      <c r="BJ84" s="454"/>
    </row>
    <row r="85" spans="1:62" ht="32.25" customHeight="1" x14ac:dyDescent="0.15">
      <c r="A85" s="17"/>
      <c r="B85" s="384"/>
      <c r="C85" s="59"/>
      <c r="D85" s="59"/>
      <c r="E85" s="462">
        <v>15</v>
      </c>
      <c r="F85" s="59"/>
      <c r="G85" s="59"/>
      <c r="H85" s="59"/>
      <c r="I85" s="59"/>
      <c r="J85" s="59"/>
      <c r="K85" s="59"/>
      <c r="L85" s="59"/>
      <c r="M85" s="59"/>
      <c r="N85" s="59"/>
      <c r="O85" s="59"/>
      <c r="P85" s="59"/>
      <c r="Q85" s="59"/>
      <c r="R85" s="59"/>
      <c r="S85" s="59"/>
      <c r="T85" s="59"/>
      <c r="U85" s="59"/>
      <c r="V85" s="59"/>
      <c r="W85" s="17"/>
      <c r="X85" s="17"/>
      <c r="Y85" s="17"/>
      <c r="Z85" s="17"/>
      <c r="AA85" s="87"/>
      <c r="AB85" s="1025" t="s">
        <v>1305</v>
      </c>
      <c r="AC85" s="1025"/>
      <c r="AD85" s="1025"/>
      <c r="AE85" s="1025"/>
      <c r="AF85" s="1025"/>
      <c r="AG85" s="1025"/>
      <c r="AH85" s="1025"/>
      <c r="AI85" s="1026"/>
      <c r="AJ85" s="1038"/>
      <c r="AK85" s="1038"/>
      <c r="AL85" s="1038"/>
      <c r="AM85" s="1038"/>
      <c r="AN85" s="1038"/>
      <c r="AO85" s="1038"/>
      <c r="AP85" s="1038"/>
      <c r="AQ85" s="1038"/>
      <c r="AR85" s="1038"/>
      <c r="AS85" s="1026"/>
      <c r="AT85" s="1038"/>
      <c r="AU85" s="1038"/>
      <c r="AV85" s="1038"/>
      <c r="AW85" s="1038"/>
      <c r="AX85" s="1038"/>
      <c r="AY85" s="1038"/>
      <c r="AZ85" s="1038"/>
      <c r="BA85" s="1038"/>
      <c r="BB85" s="1038"/>
      <c r="BC85" s="1026"/>
      <c r="BD85" s="17"/>
      <c r="BE85"/>
      <c r="BF85" s="661"/>
      <c r="BG85" s="661"/>
      <c r="BH85" s="661"/>
      <c r="BI85" s="454"/>
      <c r="BJ85" s="454"/>
    </row>
    <row r="86" spans="1:62" ht="14.65" hidden="1" customHeight="1" x14ac:dyDescent="0.15">
      <c r="A86" s="17"/>
      <c r="B86" s="46"/>
      <c r="C86" s="17"/>
      <c r="D86" s="17"/>
      <c r="E86" s="461">
        <v>15</v>
      </c>
      <c r="F86" s="17"/>
      <c r="G86" s="17"/>
      <c r="H86" s="17"/>
      <c r="I86" s="17"/>
      <c r="J86" s="17"/>
      <c r="K86" s="17"/>
      <c r="L86" s="17"/>
      <c r="M86" s="17"/>
      <c r="N86" s="17"/>
      <c r="O86" s="17"/>
      <c r="P86" s="17"/>
      <c r="Q86" s="17"/>
      <c r="R86" s="17"/>
      <c r="S86" s="17"/>
      <c r="T86" s="353" t="b">
        <f>ROW(W86)&gt;ROW(W$86)</f>
        <v>0</v>
      </c>
      <c r="U86" s="17"/>
      <c r="V86" s="17"/>
      <c r="W86" s="517" t="s">
        <v>172</v>
      </c>
      <c r="X86" s="17"/>
      <c r="Y86" s="17"/>
      <c r="Z86" s="17"/>
      <c r="AA86" s="320" t="s">
        <v>173</v>
      </c>
      <c r="AB86" s="1037" t="s">
        <v>225</v>
      </c>
      <c r="AC86" s="1037"/>
      <c r="AD86" s="1037"/>
      <c r="AE86" s="1037"/>
      <c r="AF86" s="1037"/>
      <c r="AG86" s="1037"/>
      <c r="AH86" s="1037"/>
      <c r="AI86" s="1026"/>
      <c r="AJ86" s="1038"/>
      <c r="AK86" s="1038"/>
      <c r="AL86" s="1038"/>
      <c r="AM86" s="1038"/>
      <c r="AN86" s="1038"/>
      <c r="AO86" s="1038"/>
      <c r="AP86" s="1038"/>
      <c r="AQ86" s="1038"/>
      <c r="AR86" s="1038"/>
      <c r="AS86" s="1026"/>
      <c r="AT86" s="1038"/>
      <c r="AU86" s="1038"/>
      <c r="AV86" s="1038"/>
      <c r="AW86" s="1038"/>
      <c r="AX86" s="1038"/>
      <c r="AY86" s="1038"/>
      <c r="AZ86" s="1038"/>
      <c r="BA86" s="1038"/>
      <c r="BB86" s="1038"/>
      <c r="BC86" s="1038"/>
      <c r="BD86" s="17"/>
      <c r="BE86"/>
      <c r="BF86" s="661"/>
      <c r="BG86" s="661"/>
      <c r="BH86" s="661"/>
      <c r="BI86" s="454"/>
      <c r="BJ86" s="454"/>
    </row>
    <row r="87" spans="1:62" ht="39.200000000000003" customHeight="1" x14ac:dyDescent="0.15">
      <c r="A87" s="17"/>
      <c r="B87" s="46"/>
      <c r="C87" s="17"/>
      <c r="D87" s="17"/>
      <c r="E87" s="461">
        <v>15</v>
      </c>
      <c r="F87" s="17"/>
      <c r="G87" s="17"/>
      <c r="H87" s="17"/>
      <c r="I87" s="17"/>
      <c r="J87" s="17"/>
      <c r="K87" s="17"/>
      <c r="L87" s="17"/>
      <c r="M87" s="17"/>
      <c r="N87" s="17"/>
      <c r="O87" s="17"/>
      <c r="P87" s="17"/>
      <c r="Q87" s="17"/>
      <c r="R87" s="17"/>
      <c r="S87" s="17"/>
      <c r="T87" s="353" t="b">
        <f>ROW(W87)&gt;ROW(W$86)</f>
        <v>1</v>
      </c>
      <c r="U87" s="17"/>
      <c r="V87" s="17"/>
      <c r="W87" s="517"/>
      <c r="X87" s="17"/>
      <c r="Y87" s="17" t="s">
        <v>225</v>
      </c>
      <c r="Z87" s="17"/>
      <c r="AA87" s="320" t="s">
        <v>173</v>
      </c>
      <c r="AB87" s="1025" t="s">
        <v>1306</v>
      </c>
      <c r="AC87" s="1025"/>
      <c r="AD87" s="1025"/>
      <c r="AE87" s="1025"/>
      <c r="AF87" s="1025"/>
      <c r="AG87" s="1025"/>
      <c r="AH87" s="1025"/>
      <c r="AI87" s="1026"/>
      <c r="AJ87" s="1038"/>
      <c r="AK87" s="1038"/>
      <c r="AL87" s="1026"/>
      <c r="AM87" s="1026"/>
      <c r="AN87" s="1026"/>
      <c r="AO87" s="1026"/>
      <c r="AP87" s="1026"/>
      <c r="AQ87" s="1026"/>
      <c r="AR87" s="1026"/>
      <c r="AS87" s="1026"/>
      <c r="AT87" s="1038"/>
      <c r="AU87" s="1038"/>
      <c r="AV87" s="1026"/>
      <c r="AW87" s="1026"/>
      <c r="AX87" s="1026"/>
      <c r="AY87" s="1026"/>
      <c r="AZ87" s="1026"/>
      <c r="BA87" s="1026"/>
      <c r="BB87" s="1026"/>
      <c r="BC87" s="1026"/>
      <c r="BD87" s="17"/>
      <c r="BE87"/>
      <c r="BF87" s="661"/>
      <c r="BG87" s="661"/>
      <c r="BH87" s="661"/>
      <c r="BI87" s="454"/>
      <c r="BJ87" s="454"/>
    </row>
    <row r="88" spans="1:62" ht="14.25" customHeight="1" x14ac:dyDescent="0.15">
      <c r="A88" s="17"/>
      <c r="B88" s="46"/>
      <c r="C88" s="17"/>
      <c r="D88" s="17"/>
      <c r="E88" s="461">
        <v>15</v>
      </c>
      <c r="F88" s="17"/>
      <c r="G88" s="17"/>
      <c r="H88" s="17"/>
      <c r="I88" s="17"/>
      <c r="J88" s="17"/>
      <c r="K88" s="17"/>
      <c r="L88" s="17"/>
      <c r="M88" s="17"/>
      <c r="N88" s="17"/>
      <c r="O88" s="17"/>
      <c r="P88" s="17"/>
      <c r="Q88" s="17"/>
      <c r="R88" s="17"/>
      <c r="S88" s="17"/>
      <c r="T88" s="353" t="b">
        <f>ROW(W88)&gt;ROW(W$86)</f>
        <v>1</v>
      </c>
      <c r="U88" s="17"/>
      <c r="V88" s="17"/>
      <c r="W88" s="517"/>
      <c r="X88" s="17"/>
      <c r="Y88" s="17" t="s">
        <v>225</v>
      </c>
      <c r="Z88" s="17"/>
      <c r="AA88" s="320" t="s">
        <v>173</v>
      </c>
      <c r="AB88" s="1025" t="s">
        <v>225</v>
      </c>
      <c r="AC88" s="1025"/>
      <c r="AD88" s="1025"/>
      <c r="AE88" s="1025"/>
      <c r="AF88" s="1025"/>
      <c r="AG88" s="1025"/>
      <c r="AH88" s="1025"/>
      <c r="AI88" s="1026"/>
      <c r="AJ88" s="1038"/>
      <c r="AK88" s="1038"/>
      <c r="AL88" s="1026"/>
      <c r="AM88" s="1026"/>
      <c r="AN88" s="1026"/>
      <c r="AO88" s="1026"/>
      <c r="AP88" s="1026"/>
      <c r="AQ88" s="1026"/>
      <c r="AR88" s="1026"/>
      <c r="AS88" s="1026"/>
      <c r="AT88" s="1038"/>
      <c r="AU88" s="1038"/>
      <c r="AV88" s="1026"/>
      <c r="AW88" s="1026"/>
      <c r="AX88" s="1026"/>
      <c r="AY88" s="1026"/>
      <c r="AZ88" s="1026"/>
      <c r="BA88" s="1026"/>
      <c r="BB88" s="1026"/>
      <c r="BC88" s="1026"/>
      <c r="BD88" s="17"/>
      <c r="BE88"/>
      <c r="BF88" s="661"/>
      <c r="BG88" s="661"/>
      <c r="BH88" s="661"/>
      <c r="BI88" s="454"/>
      <c r="BJ88" s="454"/>
    </row>
    <row r="89" spans="1:62" ht="14.65" customHeight="1" x14ac:dyDescent="0.15">
      <c r="A89" s="17"/>
      <c r="B89" s="46"/>
      <c r="C89" s="17"/>
      <c r="D89" s="17"/>
      <c r="E89" s="461">
        <v>15</v>
      </c>
      <c r="F89" s="17"/>
      <c r="G89" s="17"/>
      <c r="H89" s="17"/>
      <c r="I89" s="17"/>
      <c r="J89" s="17"/>
      <c r="K89" s="17"/>
      <c r="L89" s="17"/>
      <c r="M89" s="17"/>
      <c r="N89" s="17"/>
      <c r="O89" s="17"/>
      <c r="P89" s="17"/>
      <c r="Q89" s="17"/>
      <c r="R89" s="17"/>
      <c r="S89" s="17"/>
      <c r="T89" s="17"/>
      <c r="U89" s="17"/>
      <c r="V89" s="17"/>
      <c r="W89" s="517" t="s">
        <v>419</v>
      </c>
      <c r="X89" s="17"/>
      <c r="Y89" s="17"/>
      <c r="Z89" s="17"/>
      <c r="AA89" s="17"/>
      <c r="AB89" s="474"/>
      <c r="AC89" s="382" t="s">
        <v>1255</v>
      </c>
      <c r="AD89" s="218"/>
      <c r="AE89" s="218"/>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20"/>
      <c r="BD89" s="17"/>
      <c r="BE89"/>
      <c r="BF89" s="661"/>
      <c r="BG89" s="661"/>
      <c r="BH89" s="661"/>
      <c r="BI89" s="454"/>
      <c r="BJ89" s="454"/>
    </row>
    <row r="90" spans="1:62" ht="10.9" customHeight="1" x14ac:dyDescent="0.15">
      <c r="E90" s="448">
        <v>11.25</v>
      </c>
      <c r="BD90" s="22"/>
      <c r="BE90"/>
      <c r="BF90" s="661"/>
      <c r="BG90" s="661"/>
      <c r="BH90" s="661"/>
      <c r="BI90" s="454"/>
      <c r="BJ90" s="454"/>
    </row>
  </sheetData>
  <sheetProtection formatColumns="0" formatRows="0" insertRows="0" deleteColumns="0" deleteRows="0" sort="0" autoFilter="0"/>
  <mergeCells count="17">
    <mergeCell ref="AB87:BC87"/>
    <mergeCell ref="AB88:BC88"/>
    <mergeCell ref="X27:X40"/>
    <mergeCell ref="Z27:Z40"/>
    <mergeCell ref="AB84:BC84"/>
    <mergeCell ref="AB85:BC85"/>
    <mergeCell ref="X41:X54"/>
    <mergeCell ref="Z41:Z54"/>
    <mergeCell ref="X55:X68"/>
    <mergeCell ref="Z55:Z68"/>
    <mergeCell ref="X69:X82"/>
    <mergeCell ref="Z69:Z82"/>
    <mergeCell ref="AB24:AB25"/>
    <mergeCell ref="AC24:AC25"/>
    <mergeCell ref="AD24:AD25"/>
    <mergeCell ref="BC24:BC25"/>
    <mergeCell ref="AB86:BC86"/>
  </mergeCells>
  <dataValidations count="2">
    <dataValidation allowBlank="1" showInputMessage="1" showErrorMessage="1" sqref="AI84:BC6554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AE71 AF71 AG71 AH71 AI71 AJ71 AK71 AL71 AM71 AN71 AO71 AP71 AQ71 AR71 AS71 AT71 AU71 AV71 AW71 AX71 AY71 AZ71 BA71 BB71 AE72 AF72 AG72 AH72 AI72 AJ72 AK72 AL72 AM72 AN72 AO72 AP72 AQ72 AR72 AS72 AT72 AU72 AV72 AW72 AX72 AY72 AZ72 BA72 BB72 AE73 AF73 AG73 AH73 AI73 AJ73 AK73 AL73 AM73 AN73 AO73 AP73 AQ73 AR73 AS73 AT73 AU73 AV73 AW73 AX73 AY73 AZ73 BA73 BB73 AE74 AF74 AG74 AH74 AI74 AJ74 AK74 AL74 AM74 AN74 AO74 AP74 AQ74 AR74 AS74 AT74 AU74 AV74 AW74 AX74 AY74 AZ74 BA74 BB74 AE75 AF75 AG75 AH75 AI75 AJ75 AK75 AL75 AM75 AN75 AO75 AP75 AQ75 AR75 AS75 AT75 AU75 AV75 AW75 AX75 AY75 AZ75 BA75 BB75 AE76 AF76 AG76 AH76 AI76 AJ76 AK76 AL76 AM76 AN76 AO76 AP76 AQ76 AR76 AS76 AT76 AU76 AV76 AW76 AX76 AY76 AZ76 BA76 BB76 AE77 AF77 AG77 AH77 AI77 AJ77 AK77 AL77 AM77 AN77 AO77 AP77 AQ77 AR77 AS77 AT77 AU77 AV77 AW77 AX77 AY77 AZ77 BA77 BB77 AE78 AF78 AG78 AH78 AI78 AJ78 AK78 AL78 AM78 AN78 AO78 AP78 AQ78 AR78 AS78 AT78 AU78 AV78 AW78 AX78 AY78 AZ78 BA78 BB78 AE79 AF79 AG79 AH79 AI79 AJ79 AK79 AL79 AM79 AN79 AO79 AP79 AQ79 AR79 AS79 AT79 AU79 AV79 AW79 AX79 AY79 AZ79 BA79 BB79 AE81 AF81 AG81 AH81 AI81 AJ81 AK81 AL81 AM81 AN81 AO81 AP81 AQ81 AR81 AS81 AT81 AU81 AV81 AW81"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328C1-23F9-DBC1-5A87-395E9C94C528}">
  <sheetPr>
    <tabColor rgb="FF002060"/>
    <outlinePr summaryBelow="0" summaryRight="0"/>
    <pageSetUpPr fitToPage="1"/>
  </sheetPr>
  <dimension ref="A1:BH150"/>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6" hidden="1"/>
  </cols>
  <sheetData>
    <row r="1" spans="1:60" ht="11.25" hidden="1" customHeight="1" x14ac:dyDescent="0.15">
      <c r="E1" s="38"/>
      <c r="F1" s="38" t="s">
        <v>320</v>
      </c>
      <c r="H1" s="38" t="s">
        <v>330</v>
      </c>
      <c r="T1" s="353" t="s">
        <v>92</v>
      </c>
      <c r="U1" s="353" t="s">
        <v>97</v>
      </c>
      <c r="V1" s="353" t="s">
        <v>93</v>
      </c>
      <c r="W1" s="353" t="s">
        <v>94</v>
      </c>
      <c r="X1" s="353" t="s">
        <v>95</v>
      </c>
      <c r="Y1" s="355" t="s">
        <v>322</v>
      </c>
      <c r="Z1" s="353" t="s">
        <v>99</v>
      </c>
      <c r="AA1" s="354" t="s">
        <v>96</v>
      </c>
      <c r="AB1" s="354" t="s">
        <v>98</v>
      </c>
      <c r="AC1" s="354" t="s">
        <v>98</v>
      </c>
      <c r="BH1" s="656" t="s">
        <v>323</v>
      </c>
    </row>
    <row r="2" spans="1:60" s="43" customFormat="1" ht="11.25" hidden="1" customHeight="1" x14ac:dyDescent="0.15">
      <c r="B2" s="342" t="s">
        <v>18</v>
      </c>
      <c r="AK2" s="342" t="b">
        <f t="shared" ref="AK2:BD2" si="0">AK6&lt;=last_year_vis</f>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H2" s="665"/>
    </row>
    <row r="3" spans="1:60" ht="11.25" hidden="1" customHeight="1" x14ac:dyDescent="0.15">
      <c r="E3" s="38"/>
    </row>
    <row r="4" spans="1:60" ht="11.25" hidden="1" customHeight="1" x14ac:dyDescent="0.15">
      <c r="E4" s="38"/>
    </row>
    <row r="5" spans="1:60" s="448" customFormat="1" ht="11.25" hidden="1" customHeight="1" x14ac:dyDescent="0.15">
      <c r="A5" s="38"/>
      <c r="B5" s="43"/>
      <c r="C5" s="38"/>
      <c r="D5" s="38"/>
      <c r="E5" s="448" t="s">
        <v>19</v>
      </c>
      <c r="AA5" s="448">
        <v>3</v>
      </c>
      <c r="AB5" s="448">
        <v>11</v>
      </c>
      <c r="AC5" s="448">
        <v>54</v>
      </c>
      <c r="AD5" s="448">
        <v>11.14</v>
      </c>
      <c r="AE5" s="448">
        <v>14.14</v>
      </c>
      <c r="AF5" s="448">
        <v>12.57</v>
      </c>
      <c r="AG5" s="448">
        <v>14.29</v>
      </c>
      <c r="AH5" s="448">
        <v>14.43</v>
      </c>
      <c r="AI5" s="448">
        <v>14.29</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12.57</v>
      </c>
      <c r="AZ5" s="448">
        <v>12.57</v>
      </c>
      <c r="BA5" s="448">
        <v>12.57</v>
      </c>
      <c r="BB5" s="448">
        <v>12.57</v>
      </c>
      <c r="BC5" s="448">
        <v>12.57</v>
      </c>
      <c r="BD5" s="448">
        <v>12.57</v>
      </c>
      <c r="BE5" s="448">
        <v>20</v>
      </c>
      <c r="BF5" s="448">
        <v>3</v>
      </c>
      <c r="BH5" s="656"/>
    </row>
    <row r="6" spans="1:60" ht="11.25" hidden="1" customHeight="1" x14ac:dyDescent="0.15">
      <c r="A6" s="38" t="s">
        <v>358</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359</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6" customFormat="1" ht="11.25" hidden="1" customHeight="1" x14ac:dyDescent="0.15">
      <c r="A9" s="656" t="s">
        <v>363</v>
      </c>
      <c r="B9" s="665"/>
      <c r="AE9" s="656" cm="1">
        <f t="array" ref="AE9">AE6</f>
        <v>2024</v>
      </c>
      <c r="AF9" s="656" cm="1">
        <f t="array" ref="AF9">AF6</f>
        <v>2024</v>
      </c>
      <c r="AG9" s="656" cm="1">
        <f t="array" ref="AG9">AG6</f>
        <v>2024</v>
      </c>
      <c r="AH9" s="656" cm="1">
        <f t="array" ref="AH9">AH6</f>
        <v>2024</v>
      </c>
      <c r="AI9" s="656" cm="1">
        <f t="array" ref="AI9">AI6</f>
        <v>2025</v>
      </c>
      <c r="AJ9" s="656" cm="1">
        <f t="array" ref="AJ9">AJ6</f>
        <v>2025</v>
      </c>
      <c r="AK9" s="656" cm="1">
        <f t="array" ref="AK9">AK6</f>
        <v>2026</v>
      </c>
      <c r="AL9" s="656" cm="1">
        <f t="array" ref="AL9">AL6</f>
        <v>2027</v>
      </c>
      <c r="AM9" s="656" cm="1">
        <f t="array" ref="AM9">AM6</f>
        <v>2028</v>
      </c>
      <c r="AN9" s="656" cm="1">
        <f t="array" ref="AN9">AN6</f>
        <v>2029</v>
      </c>
      <c r="AO9" s="656" cm="1">
        <f t="array" ref="AO9">AO6</f>
        <v>2030</v>
      </c>
      <c r="AP9" s="656" cm="1">
        <f t="array" ref="AP9">AP6</f>
        <v>2031</v>
      </c>
      <c r="AQ9" s="656" cm="1">
        <f t="array" ref="AQ9">AQ6</f>
        <v>2032</v>
      </c>
      <c r="AR9" s="656" cm="1">
        <f t="array" ref="AR9">AR6</f>
        <v>2033</v>
      </c>
      <c r="AS9" s="656" cm="1">
        <f t="array" ref="AS9">AS6</f>
        <v>2034</v>
      </c>
      <c r="AT9" s="656" cm="1">
        <f t="array" ref="AT9">AT6</f>
        <v>2035</v>
      </c>
      <c r="AU9" s="656" cm="1">
        <f t="array" ref="AU9">AU6</f>
        <v>2026</v>
      </c>
      <c r="AV9" s="656" cm="1">
        <f t="array" ref="AV9">AV6</f>
        <v>2027</v>
      </c>
      <c r="AW9" s="656" cm="1">
        <f t="array" ref="AW9">AW6</f>
        <v>2028</v>
      </c>
      <c r="AX9" s="656" cm="1">
        <f t="array" ref="AX9">AX6</f>
        <v>2029</v>
      </c>
      <c r="AY9" s="656" cm="1">
        <f t="array" ref="AY9">AY6</f>
        <v>2030</v>
      </c>
      <c r="AZ9" s="656" cm="1">
        <f t="array" ref="AZ9">AZ6</f>
        <v>2031</v>
      </c>
      <c r="BA9" s="656" cm="1">
        <f t="array" ref="BA9">BA6</f>
        <v>2032</v>
      </c>
      <c r="BB9" s="656" cm="1">
        <f t="array" ref="BB9">BB6</f>
        <v>2033</v>
      </c>
      <c r="BC9" s="656" cm="1">
        <f t="array" ref="BC9">BC6</f>
        <v>2034</v>
      </c>
      <c r="BD9" s="656" cm="1">
        <f t="array" ref="BD9">BD6</f>
        <v>2035</v>
      </c>
    </row>
    <row r="10" spans="1:60" s="656" customFormat="1" ht="11.25" hidden="1" customHeight="1" x14ac:dyDescent="0.15">
      <c r="A10" s="656" t="s">
        <v>364</v>
      </c>
      <c r="B10" s="665"/>
      <c r="AE10" s="656" t="str" cm="1">
        <f t="array" ref="AE10">AE27</f>
        <v>Плановый размер финансирования утвержденной инвестиционной программы</v>
      </c>
      <c r="AF10" s="656" t="str" cm="1">
        <f t="array" ref="AF10">AF27</f>
        <v>Принято органом регулирования</v>
      </c>
      <c r="AG10" s="656" t="str" cm="1">
        <f t="array" ref="AG10">AG27</f>
        <v>Объем фактического ввода объектов системы водоснабжения и водоотведения в эксплуатацию по данным организации</v>
      </c>
      <c r="AH10" s="656" t="str" cm="1">
        <f t="array" ref="AH10">AH27</f>
        <v>Объем фактического ввода объектов системы водоснабжения и водоотведения в эксплуатацию, принятый органом регулирования</v>
      </c>
      <c r="AI10" s="656" t="str" cm="1">
        <f t="array" ref="AI10">AI27</f>
        <v>Плановый размер финансирования утвержденной инвестиционной программы</v>
      </c>
      <c r="AJ10" s="656" t="str" cm="1">
        <f t="array" ref="AJ10">AJ27</f>
        <v>Принято органом регулирования</v>
      </c>
      <c r="AK10" s="656" t="str" cm="1">
        <f t="array" ref="AK10">AK27</f>
        <v>Предложение организации</v>
      </c>
      <c r="AL10" s="656" t="str" cm="1">
        <f t="array" ref="AL10">AL27</f>
        <v>Предложение организации</v>
      </c>
      <c r="AM10" s="656" t="str" cm="1">
        <f t="array" ref="AM10">AM27</f>
        <v>Предложение организации</v>
      </c>
      <c r="AN10" s="656" t="str" cm="1">
        <f t="array" ref="AN10">AN27</f>
        <v>Предложение организации</v>
      </c>
      <c r="AO10" s="656" t="str" cm="1">
        <f t="array" ref="AO10">AO27</f>
        <v>Предложение организации</v>
      </c>
      <c r="AP10" s="656" t="str" cm="1">
        <f t="array" ref="AP10">AP27</f>
        <v>Предложение организации</v>
      </c>
      <c r="AQ10" s="656" t="str" cm="1">
        <f t="array" ref="AQ10">AQ27</f>
        <v>Предложение организации</v>
      </c>
      <c r="AR10" s="656" t="str" cm="1">
        <f t="array" ref="AR10">AR27</f>
        <v>Предложение организации</v>
      </c>
      <c r="AS10" s="656" t="str" cm="1">
        <f t="array" ref="AS10">AS27</f>
        <v>Предложение организации</v>
      </c>
      <c r="AT10" s="656" t="str" cm="1">
        <f t="array" ref="AT10">AT27</f>
        <v>Предложение организации</v>
      </c>
      <c r="AU10" s="656" t="str" cm="1">
        <f t="array" ref="AU10">AU27</f>
        <v>Принято органом регулирования</v>
      </c>
      <c r="AV10" s="656" t="str" cm="1">
        <f t="array" ref="AV10">AV27</f>
        <v>Принято органом регулирования</v>
      </c>
      <c r="AW10" s="656" t="str" cm="1">
        <f t="array" ref="AW10">AW27</f>
        <v>Принято органом регулирования</v>
      </c>
      <c r="AX10" s="656" t="str" cm="1">
        <f t="array" ref="AX10">AX27</f>
        <v>Принято органом регулирования</v>
      </c>
      <c r="AY10" s="656" t="str" cm="1">
        <f t="array" ref="AY10">AY27</f>
        <v>Принято органом регулирования</v>
      </c>
      <c r="AZ10" s="656" t="str" cm="1">
        <f t="array" ref="AZ10">AZ27</f>
        <v>Принято органом регулирования</v>
      </c>
      <c r="BA10" s="656" t="str" cm="1">
        <f t="array" ref="BA10">BA27</f>
        <v>Принято органом регулирования</v>
      </c>
      <c r="BB10" s="656" t="str" cm="1">
        <f t="array" ref="BB10">BB27</f>
        <v>Принято органом регулирования</v>
      </c>
      <c r="BC10" s="656" t="str" cm="1">
        <f t="array" ref="BC10">BC27</f>
        <v>Принято органом регулирования</v>
      </c>
      <c r="BD10" s="656" t="str" cm="1">
        <f t="array" ref="BD10">BD27</f>
        <v>Принято органом регулирования</v>
      </c>
    </row>
    <row r="11" spans="1:60" s="656" customFormat="1" ht="11.25" hidden="1" customHeight="1" x14ac:dyDescent="0.15">
      <c r="A11" s="656" t="s">
        <v>365</v>
      </c>
      <c r="B11" s="665"/>
      <c r="BE11" s="656"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48">
        <v>15</v>
      </c>
      <c r="AA21" s="325"/>
      <c r="AC21" s="3" t="str" cm="1">
        <f t="array" ref="AC21">tpl_title</f>
        <v>Кемеровская область / 2026 / КАО "Азот" (ИНН:4205000908, КПП:997550001) / ДПР: 2024-2028</v>
      </c>
    </row>
    <row r="22" spans="1:60" ht="19.5" customHeight="1" x14ac:dyDescent="0.15">
      <c r="E22" s="448">
        <v>20</v>
      </c>
      <c r="AB22" s="226"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x14ac:dyDescent="0.15">
      <c r="E23" s="448">
        <v>11.25</v>
      </c>
    </row>
    <row r="24" spans="1:60" ht="21.95" customHeight="1" x14ac:dyDescent="0.15">
      <c r="E24" s="448">
        <v>22.5</v>
      </c>
      <c r="AB24" s="1058" t="s">
        <v>1307</v>
      </c>
      <c r="AC24" s="1058"/>
      <c r="AD24" s="252" t="str">
        <f>"нет"</f>
        <v>нет</v>
      </c>
    </row>
    <row r="25" spans="1:60" ht="10.9" customHeight="1" x14ac:dyDescent="0.15">
      <c r="E25" s="448">
        <v>11.25</v>
      </c>
    </row>
    <row r="26" spans="1:60" ht="14.65" customHeight="1" x14ac:dyDescent="0.15">
      <c r="E26" s="448">
        <v>15</v>
      </c>
      <c r="AB26" s="991" t="s">
        <v>21</v>
      </c>
      <c r="AC26" s="993" t="s">
        <v>1308</v>
      </c>
      <c r="AD26" s="993" t="s">
        <v>368</v>
      </c>
      <c r="AE26" s="9" t="str">
        <f>god-2&amp;" год"</f>
        <v>2024 год</v>
      </c>
      <c r="AF26" s="9" t="str">
        <f>god-2&amp;" год"</f>
        <v>2024 год</v>
      </c>
      <c r="AG26" s="730" t="str">
        <f>god-2&amp;" год"</f>
        <v>2024 год</v>
      </c>
      <c r="AH26" s="9" t="str">
        <f>god-2&amp;" год"</f>
        <v>2024 год</v>
      </c>
      <c r="AI26" s="618" t="str">
        <f>god-1&amp;" год"</f>
        <v>2025 год</v>
      </c>
      <c r="AJ26" s="618" t="str">
        <f>god-1&amp;" год"</f>
        <v>2025 год</v>
      </c>
      <c r="AK26" s="726" t="str">
        <f>god&amp;" год"</f>
        <v>2026 год</v>
      </c>
      <c r="AL26" s="726" t="str">
        <f>god+1&amp;" год"</f>
        <v>2027 год</v>
      </c>
      <c r="AM26" s="726" t="str">
        <f>god+2&amp;" год"</f>
        <v>2028 год</v>
      </c>
      <c r="AN26" s="726" t="str">
        <f>god+3&amp;" год"</f>
        <v>2029 год</v>
      </c>
      <c r="AO26" s="726" t="str">
        <f>god+4&amp;" год"</f>
        <v>2030 год</v>
      </c>
      <c r="AP26" s="726" t="str">
        <f>god+5&amp;" год"</f>
        <v>2031 год</v>
      </c>
      <c r="AQ26" s="726" t="str">
        <f>god+6&amp;" год"</f>
        <v>2032 год</v>
      </c>
      <c r="AR26" s="726" t="str">
        <f>god+7&amp;" год"</f>
        <v>2033 год</v>
      </c>
      <c r="AS26" s="726" t="str">
        <f>god+8&amp;" год"</f>
        <v>2034 год</v>
      </c>
      <c r="AT26" s="726"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993" t="s">
        <v>553</v>
      </c>
    </row>
    <row r="27" spans="1:60" s="62" customFormat="1" ht="122.85" customHeight="1" x14ac:dyDescent="0.15">
      <c r="B27" s="326"/>
      <c r="E27" s="179">
        <v>126</v>
      </c>
      <c r="AB27" s="991"/>
      <c r="AC27" s="993"/>
      <c r="AD27" s="993"/>
      <c r="AE27" s="9" t="s">
        <v>1309</v>
      </c>
      <c r="AF27" s="9" t="s">
        <v>360</v>
      </c>
      <c r="AG27" s="730" t="s">
        <v>1310</v>
      </c>
      <c r="AH27" s="9" t="s">
        <v>1311</v>
      </c>
      <c r="AI27" s="9" t="s">
        <v>1309</v>
      </c>
      <c r="AJ27" s="619" t="s">
        <v>360</v>
      </c>
      <c r="AK27" s="731" t="s">
        <v>361</v>
      </c>
      <c r="AL27" s="731" t="s">
        <v>361</v>
      </c>
      <c r="AM27" s="731" t="s">
        <v>361</v>
      </c>
      <c r="AN27" s="731" t="s">
        <v>361</v>
      </c>
      <c r="AO27" s="731" t="s">
        <v>361</v>
      </c>
      <c r="AP27" s="731" t="s">
        <v>361</v>
      </c>
      <c r="AQ27" s="731" t="s">
        <v>361</v>
      </c>
      <c r="AR27" s="731" t="s">
        <v>361</v>
      </c>
      <c r="AS27" s="731" t="s">
        <v>361</v>
      </c>
      <c r="AT27" s="731" t="s">
        <v>361</v>
      </c>
      <c r="AU27" s="584" t="s">
        <v>360</v>
      </c>
      <c r="AV27" s="584" t="s">
        <v>360</v>
      </c>
      <c r="AW27" s="584" t="s">
        <v>360</v>
      </c>
      <c r="AX27" s="584" t="s">
        <v>360</v>
      </c>
      <c r="AY27" s="584" t="s">
        <v>360</v>
      </c>
      <c r="AZ27" s="584" t="s">
        <v>360</v>
      </c>
      <c r="BA27" s="584" t="s">
        <v>360</v>
      </c>
      <c r="BB27" s="584" t="s">
        <v>360</v>
      </c>
      <c r="BC27" s="584" t="s">
        <v>360</v>
      </c>
      <c r="BD27" s="584" t="s">
        <v>360</v>
      </c>
      <c r="BE27" s="993"/>
      <c r="BH27" s="678"/>
    </row>
    <row r="28" spans="1:60" ht="11.25" hidden="1" customHeight="1" x14ac:dyDescent="0.15">
      <c r="A28" s="315"/>
      <c r="B28" s="479"/>
      <c r="C28" s="315"/>
      <c r="D28" s="315"/>
      <c r="E28" s="480">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61"/>
    </row>
    <row r="29" spans="1:60" ht="14.65" hidden="1" customHeight="1" x14ac:dyDescent="0.15">
      <c r="B29" s="38"/>
      <c r="E29" s="448">
        <v>15</v>
      </c>
      <c r="F29" s="17" cm="1">
        <f t="array" ref="F29">X29</f>
        <v>0</v>
      </c>
      <c r="T29" s="353" t="b">
        <f>X29&gt;0</f>
        <v>0</v>
      </c>
      <c r="V29" s="38" t="s">
        <v>264</v>
      </c>
      <c r="X29" s="990">
        <v>0</v>
      </c>
      <c r="Z29" s="967"/>
      <c r="AB29" s="155" t="str" cm="1">
        <f t="array" ref="AB29">INDEX('Общие сведения'!$AG$179:$AG$236,MATCH($X29,'Общие сведения'!$Z$179:$Z$236,0))</f>
        <v xml:space="preserve">Тариф 0 () - </v>
      </c>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row>
    <row r="30" spans="1:60" s="154" customFormat="1" ht="21.95" hidden="1" customHeight="1" x14ac:dyDescent="0.15">
      <c r="B30" s="38"/>
      <c r="E30" s="501">
        <v>22.5</v>
      </c>
      <c r="F30" s="3" cm="1">
        <f t="array" aca="1" ref="F30" ca="1">OFFSET(E30,-1,1)</f>
        <v>0</v>
      </c>
      <c r="G30" s="38"/>
      <c r="H30" s="38" t="s">
        <v>331</v>
      </c>
      <c r="T30" s="353" t="b" cm="1">
        <f t="array" ref="T30">T29</f>
        <v>0</v>
      </c>
      <c r="X30" s="990"/>
      <c r="Z30" s="967"/>
      <c r="AB30" s="131">
        <v>1</v>
      </c>
      <c r="AC30" s="125" t="s">
        <v>1312</v>
      </c>
      <c r="AD30" s="124" t="s">
        <v>828</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5"/>
      <c r="BH30" s="688" t="s">
        <v>1313</v>
      </c>
    </row>
    <row r="31" spans="1:60" ht="14.65" hidden="1" customHeight="1" x14ac:dyDescent="0.15">
      <c r="B31" s="38"/>
      <c r="E31" s="448">
        <v>15</v>
      </c>
      <c r="F31" s="3" cm="1">
        <f t="array" aca="1" ref="F31" ca="1">OFFSET(E31,-1,1)</f>
        <v>0</v>
      </c>
      <c r="H31" s="38" t="s">
        <v>482</v>
      </c>
      <c r="T31" s="353" t="b" cm="1">
        <f t="array" ref="T31">T30</f>
        <v>0</v>
      </c>
      <c r="X31" s="990"/>
      <c r="Z31" s="967"/>
      <c r="AB31" s="133" t="s">
        <v>939</v>
      </c>
      <c r="AC31" s="127" t="s">
        <v>1314</v>
      </c>
      <c r="AD31" s="7" t="s">
        <v>828</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5"/>
      <c r="BH31" s="656" t="s">
        <v>1315</v>
      </c>
    </row>
    <row r="32" spans="1:60" ht="14.65" hidden="1" customHeight="1" x14ac:dyDescent="0.15">
      <c r="B32" s="38"/>
      <c r="E32" s="448">
        <v>15</v>
      </c>
      <c r="F32" s="3" cm="1">
        <f t="array" aca="1" ref="F32" ca="1">OFFSET(E32,-1,1)</f>
        <v>0</v>
      </c>
      <c r="H32" s="38" t="s">
        <v>1070</v>
      </c>
      <c r="T32" s="353" t="b" cm="1">
        <f t="array" ref="T32">T31</f>
        <v>0</v>
      </c>
      <c r="X32" s="990"/>
      <c r="Z32" s="967"/>
      <c r="AB32" s="133" t="s">
        <v>1071</v>
      </c>
      <c r="AC32" s="134" t="s">
        <v>1316</v>
      </c>
      <c r="AD32" s="7" t="s">
        <v>828</v>
      </c>
      <c r="AE32" s="778"/>
      <c r="AF32" s="778"/>
      <c r="AG32" s="778"/>
      <c r="AH32" s="778"/>
      <c r="AI32" s="778"/>
      <c r="AJ32" s="778"/>
      <c r="AK32" s="128"/>
      <c r="AL32" s="778"/>
      <c r="AM32" s="778"/>
      <c r="AN32" s="778"/>
      <c r="AO32" s="778"/>
      <c r="AP32" s="778"/>
      <c r="AQ32" s="778"/>
      <c r="AR32" s="778"/>
      <c r="AS32" s="778"/>
      <c r="AT32" s="778"/>
      <c r="AU32" s="128"/>
      <c r="AV32" s="778"/>
      <c r="AW32" s="778"/>
      <c r="AX32" s="778"/>
      <c r="AY32" s="778"/>
      <c r="AZ32" s="778"/>
      <c r="BA32" s="778"/>
      <c r="BB32" s="778"/>
      <c r="BC32" s="778"/>
      <c r="BD32" s="778"/>
      <c r="BE32" s="775"/>
      <c r="BH32" s="656" t="s">
        <v>1247</v>
      </c>
    </row>
    <row r="33" spans="2:60" ht="14.65" hidden="1" customHeight="1" x14ac:dyDescent="0.15">
      <c r="B33" s="38"/>
      <c r="E33" s="448">
        <v>15</v>
      </c>
      <c r="F33" s="3" cm="1">
        <f t="array" aca="1" ref="F33" ca="1">OFFSET(E33,-1,1)</f>
        <v>0</v>
      </c>
      <c r="H33" s="38" t="s">
        <v>1074</v>
      </c>
      <c r="K33" s="40" t="str">
        <f ca="1">F33&amp;"1komm"</f>
        <v>01komm</v>
      </c>
      <c r="L33" s="609" cm="1">
        <f t="array" ref="L33">BE33</f>
        <v>0</v>
      </c>
      <c r="T33" s="353" t="b" cm="1">
        <f t="array" ref="T33">T32</f>
        <v>0</v>
      </c>
      <c r="X33" s="990"/>
      <c r="Z33" s="967"/>
      <c r="AB33" s="133" t="s">
        <v>1075</v>
      </c>
      <c r="AC33" s="134" t="s">
        <v>1317</v>
      </c>
      <c r="AD33" s="7" t="s">
        <v>828</v>
      </c>
      <c r="AE33" s="778"/>
      <c r="AF33" s="778"/>
      <c r="AG33" s="778"/>
      <c r="AH33" s="778"/>
      <c r="AI33" s="778"/>
      <c r="AJ33" s="778"/>
      <c r="AK33" s="128"/>
      <c r="AL33" s="778"/>
      <c r="AM33" s="778"/>
      <c r="AN33" s="778"/>
      <c r="AO33" s="778"/>
      <c r="AP33" s="778"/>
      <c r="AQ33" s="778"/>
      <c r="AR33" s="778"/>
      <c r="AS33" s="778"/>
      <c r="AT33" s="778"/>
      <c r="AU33" s="128"/>
      <c r="AV33" s="778"/>
      <c r="AW33" s="778"/>
      <c r="AX33" s="778"/>
      <c r="AY33" s="778"/>
      <c r="AZ33" s="778"/>
      <c r="BA33" s="778"/>
      <c r="BB33" s="778"/>
      <c r="BC33" s="778"/>
      <c r="BD33" s="778"/>
      <c r="BE33" s="775"/>
      <c r="BH33" s="656" t="s">
        <v>1318</v>
      </c>
    </row>
    <row r="34" spans="2:60" ht="14.65" hidden="1" customHeight="1" x14ac:dyDescent="0.15">
      <c r="B34" s="38"/>
      <c r="E34" s="448">
        <v>15</v>
      </c>
      <c r="F34" s="3" cm="1">
        <f t="array" aca="1" ref="F34" ca="1">OFFSET(E34,-1,1)</f>
        <v>0</v>
      </c>
      <c r="H34" s="38" t="s">
        <v>1319</v>
      </c>
      <c r="T34" s="353" t="b" cm="1">
        <f t="array" ref="T34">T33</f>
        <v>0</v>
      </c>
      <c r="X34" s="990"/>
      <c r="Z34" s="967"/>
      <c r="AB34" s="133" t="s">
        <v>1320</v>
      </c>
      <c r="AC34" s="134" t="s">
        <v>1321</v>
      </c>
      <c r="AD34" s="7" t="s">
        <v>828</v>
      </c>
      <c r="AE34" s="778"/>
      <c r="AF34" s="778"/>
      <c r="AG34" s="778"/>
      <c r="AH34" s="778"/>
      <c r="AI34" s="778"/>
      <c r="AJ34" s="778"/>
      <c r="AK34" s="128"/>
      <c r="AL34" s="778"/>
      <c r="AM34" s="778"/>
      <c r="AN34" s="778"/>
      <c r="AO34" s="778"/>
      <c r="AP34" s="778"/>
      <c r="AQ34" s="778"/>
      <c r="AR34" s="778"/>
      <c r="AS34" s="778"/>
      <c r="AT34" s="778"/>
      <c r="AU34" s="128"/>
      <c r="AV34" s="778"/>
      <c r="AW34" s="778"/>
      <c r="AX34" s="778"/>
      <c r="AY34" s="778"/>
      <c r="AZ34" s="778"/>
      <c r="BA34" s="778"/>
      <c r="BB34" s="778"/>
      <c r="BC34" s="778"/>
      <c r="BD34" s="778"/>
      <c r="BE34" s="775"/>
      <c r="BH34" s="656" t="s">
        <v>1322</v>
      </c>
    </row>
    <row r="35" spans="2:60" ht="14.65" hidden="1" customHeight="1" x14ac:dyDescent="0.15">
      <c r="B35" s="38"/>
      <c r="E35" s="448">
        <v>15</v>
      </c>
      <c r="F35" s="3" cm="1">
        <f t="array" aca="1" ref="F35" ca="1">OFFSET(E35,-1,1)</f>
        <v>0</v>
      </c>
      <c r="H35" s="38" t="s">
        <v>1323</v>
      </c>
      <c r="T35" s="353" t="b" cm="1">
        <f t="array" ref="T35">T34</f>
        <v>0</v>
      </c>
      <c r="X35" s="990"/>
      <c r="Z35" s="967"/>
      <c r="AB35" s="133" t="s">
        <v>1324</v>
      </c>
      <c r="AC35" s="134" t="s">
        <v>1325</v>
      </c>
      <c r="AD35" s="7" t="s">
        <v>828</v>
      </c>
      <c r="AE35" s="778"/>
      <c r="AF35" s="778"/>
      <c r="AG35" s="778"/>
      <c r="AH35" s="778"/>
      <c r="AI35" s="778"/>
      <c r="AJ35" s="778"/>
      <c r="AK35" s="128"/>
      <c r="AL35" s="778"/>
      <c r="AM35" s="778"/>
      <c r="AN35" s="778"/>
      <c r="AO35" s="778"/>
      <c r="AP35" s="778"/>
      <c r="AQ35" s="778"/>
      <c r="AR35" s="778"/>
      <c r="AS35" s="778"/>
      <c r="AT35" s="778"/>
      <c r="AU35" s="128"/>
      <c r="AV35" s="778"/>
      <c r="AW35" s="778"/>
      <c r="AX35" s="778"/>
      <c r="AY35" s="778"/>
      <c r="AZ35" s="778"/>
      <c r="BA35" s="778"/>
      <c r="BB35" s="778"/>
      <c r="BC35" s="778"/>
      <c r="BD35" s="778"/>
      <c r="BE35" s="775"/>
      <c r="BH35" s="656" t="s">
        <v>1326</v>
      </c>
    </row>
    <row r="36" spans="2:60" ht="21.95" hidden="1" customHeight="1" x14ac:dyDescent="0.15">
      <c r="B36" s="38"/>
      <c r="E36" s="448">
        <v>22.5</v>
      </c>
      <c r="F36" s="3" cm="1">
        <f t="array" aca="1" ref="F36" ca="1">OFFSET(E36,-1,1)</f>
        <v>0</v>
      </c>
      <c r="T36" s="353" t="b" cm="1">
        <f t="array" ref="T36">T35</f>
        <v>0</v>
      </c>
      <c r="X36" s="990"/>
      <c r="Z36" s="967"/>
      <c r="AB36" s="133" t="s">
        <v>1327</v>
      </c>
      <c r="AC36" s="134" t="s">
        <v>1328</v>
      </c>
      <c r="AD36" s="7" t="s">
        <v>828</v>
      </c>
      <c r="AE36" s="778">
        <f t="shared" ref="AE36:BD36" si="3">AE37+AE38+AE39+AE40</f>
        <v>0</v>
      </c>
      <c r="AF36" s="778">
        <f t="shared" si="3"/>
        <v>0</v>
      </c>
      <c r="AG36" s="778">
        <f t="shared" si="3"/>
        <v>0</v>
      </c>
      <c r="AH36" s="778">
        <f t="shared" si="3"/>
        <v>0</v>
      </c>
      <c r="AI36" s="778">
        <f t="shared" si="3"/>
        <v>0</v>
      </c>
      <c r="AJ36" s="778">
        <f t="shared" si="3"/>
        <v>0</v>
      </c>
      <c r="AK36" s="128">
        <f t="shared" si="3"/>
        <v>0</v>
      </c>
      <c r="AL36" s="778">
        <f t="shared" si="3"/>
        <v>0</v>
      </c>
      <c r="AM36" s="778">
        <f t="shared" si="3"/>
        <v>0</v>
      </c>
      <c r="AN36" s="778">
        <f t="shared" si="3"/>
        <v>0</v>
      </c>
      <c r="AO36" s="778">
        <f t="shared" si="3"/>
        <v>0</v>
      </c>
      <c r="AP36" s="778">
        <f t="shared" si="3"/>
        <v>0</v>
      </c>
      <c r="AQ36" s="778">
        <f t="shared" si="3"/>
        <v>0</v>
      </c>
      <c r="AR36" s="778">
        <f t="shared" si="3"/>
        <v>0</v>
      </c>
      <c r="AS36" s="778">
        <f t="shared" si="3"/>
        <v>0</v>
      </c>
      <c r="AT36" s="778">
        <f t="shared" si="3"/>
        <v>0</v>
      </c>
      <c r="AU36" s="128">
        <f t="shared" si="3"/>
        <v>0</v>
      </c>
      <c r="AV36" s="778">
        <f t="shared" si="3"/>
        <v>0</v>
      </c>
      <c r="AW36" s="778">
        <f t="shared" si="3"/>
        <v>0</v>
      </c>
      <c r="AX36" s="778">
        <f t="shared" si="3"/>
        <v>0</v>
      </c>
      <c r="AY36" s="778">
        <f t="shared" si="3"/>
        <v>0</v>
      </c>
      <c r="AZ36" s="778">
        <f t="shared" si="3"/>
        <v>0</v>
      </c>
      <c r="BA36" s="778">
        <f t="shared" si="3"/>
        <v>0</v>
      </c>
      <c r="BB36" s="778">
        <f t="shared" si="3"/>
        <v>0</v>
      </c>
      <c r="BC36" s="778">
        <f t="shared" si="3"/>
        <v>0</v>
      </c>
      <c r="BD36" s="778">
        <f t="shared" si="3"/>
        <v>0</v>
      </c>
      <c r="BE36" s="775"/>
      <c r="BH36" s="656" t="s">
        <v>1329</v>
      </c>
    </row>
    <row r="37" spans="2:60" ht="44.65" hidden="1" customHeight="1" x14ac:dyDescent="0.15">
      <c r="B37" s="38"/>
      <c r="E37" s="448">
        <v>45.75</v>
      </c>
      <c r="F37" s="3" cm="1">
        <f t="array" aca="1" ref="F37" ca="1">OFFSET(E37,-1,1)</f>
        <v>0</v>
      </c>
      <c r="T37" s="353" t="b" cm="1">
        <f t="array" ref="T37">T36</f>
        <v>0</v>
      </c>
      <c r="X37" s="990"/>
      <c r="Z37" s="967"/>
      <c r="AB37" s="133" t="s">
        <v>1330</v>
      </c>
      <c r="AC37" s="543" t="s">
        <v>1331</v>
      </c>
      <c r="AD37" s="7" t="s">
        <v>828</v>
      </c>
      <c r="AE37" s="778"/>
      <c r="AF37" s="778"/>
      <c r="AG37" s="778"/>
      <c r="AH37" s="778"/>
      <c r="AI37" s="778"/>
      <c r="AJ37" s="778"/>
      <c r="AK37" s="128"/>
      <c r="AL37" s="778"/>
      <c r="AM37" s="778"/>
      <c r="AN37" s="778"/>
      <c r="AO37" s="778"/>
      <c r="AP37" s="778"/>
      <c r="AQ37" s="778"/>
      <c r="AR37" s="778"/>
      <c r="AS37" s="778"/>
      <c r="AT37" s="778"/>
      <c r="AU37" s="128"/>
      <c r="AV37" s="778"/>
      <c r="AW37" s="778"/>
      <c r="AX37" s="778"/>
      <c r="AY37" s="778"/>
      <c r="AZ37" s="778"/>
      <c r="BA37" s="778"/>
      <c r="BB37" s="778"/>
      <c r="BC37" s="778"/>
      <c r="BD37" s="778"/>
      <c r="BE37" s="775"/>
      <c r="BH37" s="656" t="s">
        <v>1332</v>
      </c>
    </row>
    <row r="38" spans="2:60" ht="44.65" hidden="1" customHeight="1" x14ac:dyDescent="0.15">
      <c r="B38" s="38"/>
      <c r="E38" s="448">
        <v>45.75</v>
      </c>
      <c r="F38" s="3" cm="1">
        <f t="array" aca="1" ref="F38" ca="1">OFFSET(E38,-1,1)</f>
        <v>0</v>
      </c>
      <c r="T38" s="353" t="b" cm="1">
        <f t="array" ref="T38">T37</f>
        <v>0</v>
      </c>
      <c r="X38" s="990"/>
      <c r="Z38" s="967"/>
      <c r="AB38" s="133" t="s">
        <v>1333</v>
      </c>
      <c r="AC38" s="543" t="s">
        <v>1334</v>
      </c>
      <c r="AD38" s="7" t="s">
        <v>828</v>
      </c>
      <c r="AE38" s="778"/>
      <c r="AF38" s="778"/>
      <c r="AG38" s="778"/>
      <c r="AH38" s="778"/>
      <c r="AI38" s="778"/>
      <c r="AJ38" s="778"/>
      <c r="AK38" s="128"/>
      <c r="AL38" s="778"/>
      <c r="AM38" s="778"/>
      <c r="AN38" s="778"/>
      <c r="AO38" s="778"/>
      <c r="AP38" s="778"/>
      <c r="AQ38" s="778"/>
      <c r="AR38" s="778"/>
      <c r="AS38" s="778"/>
      <c r="AT38" s="778"/>
      <c r="AU38" s="128"/>
      <c r="AV38" s="778"/>
      <c r="AW38" s="778"/>
      <c r="AX38" s="778"/>
      <c r="AY38" s="778"/>
      <c r="AZ38" s="778"/>
      <c r="BA38" s="778"/>
      <c r="BB38" s="778"/>
      <c r="BC38" s="778"/>
      <c r="BD38" s="778"/>
      <c r="BE38" s="775"/>
      <c r="BH38" s="656" t="s">
        <v>1335</v>
      </c>
    </row>
    <row r="39" spans="2:60" ht="44.65" hidden="1" customHeight="1" x14ac:dyDescent="0.15">
      <c r="B39" s="38"/>
      <c r="E39" s="448">
        <v>45.75</v>
      </c>
      <c r="F39" s="3" cm="1">
        <f t="array" aca="1" ref="F39" ca="1">OFFSET(E39,-1,1)</f>
        <v>0</v>
      </c>
      <c r="T39" s="353" t="b" cm="1">
        <f t="array" ref="T39">T38</f>
        <v>0</v>
      </c>
      <c r="X39" s="990"/>
      <c r="Z39" s="967"/>
      <c r="AB39" s="133" t="s">
        <v>1336</v>
      </c>
      <c r="AC39" s="543" t="s">
        <v>1337</v>
      </c>
      <c r="AD39" s="7" t="s">
        <v>828</v>
      </c>
      <c r="AE39" s="778"/>
      <c r="AF39" s="778"/>
      <c r="AG39" s="778"/>
      <c r="AH39" s="778"/>
      <c r="AI39" s="778"/>
      <c r="AJ39" s="778"/>
      <c r="AK39" s="128"/>
      <c r="AL39" s="778"/>
      <c r="AM39" s="778"/>
      <c r="AN39" s="778"/>
      <c r="AO39" s="778"/>
      <c r="AP39" s="778"/>
      <c r="AQ39" s="778"/>
      <c r="AR39" s="778"/>
      <c r="AS39" s="778"/>
      <c r="AT39" s="778"/>
      <c r="AU39" s="128"/>
      <c r="AV39" s="778"/>
      <c r="AW39" s="778"/>
      <c r="AX39" s="778"/>
      <c r="AY39" s="778"/>
      <c r="AZ39" s="778"/>
      <c r="BA39" s="778"/>
      <c r="BB39" s="778"/>
      <c r="BC39" s="778"/>
      <c r="BD39" s="778"/>
      <c r="BE39" s="775"/>
      <c r="BH39" s="656" t="s">
        <v>1338</v>
      </c>
    </row>
    <row r="40" spans="2:60" ht="21.95" hidden="1" customHeight="1" x14ac:dyDescent="0.15">
      <c r="B40" s="38"/>
      <c r="E40" s="448">
        <v>22.5</v>
      </c>
      <c r="F40" s="3" cm="1">
        <f t="array" aca="1" ref="F40" ca="1">OFFSET(E40,-1,1)</f>
        <v>0</v>
      </c>
      <c r="T40" s="353" t="b" cm="1">
        <f t="array" ref="T40">T39</f>
        <v>0</v>
      </c>
      <c r="X40" s="990"/>
      <c r="Z40" s="967"/>
      <c r="AB40" s="133" t="s">
        <v>1339</v>
      </c>
      <c r="AC40" s="543" t="s">
        <v>1340</v>
      </c>
      <c r="AD40" s="7" t="s">
        <v>828</v>
      </c>
      <c r="AE40" s="778"/>
      <c r="AF40" s="778"/>
      <c r="AG40" s="778"/>
      <c r="AH40" s="778"/>
      <c r="AI40" s="778"/>
      <c r="AJ40" s="778"/>
      <c r="AK40" s="128"/>
      <c r="AL40" s="778"/>
      <c r="AM40" s="778"/>
      <c r="AN40" s="778"/>
      <c r="AO40" s="778"/>
      <c r="AP40" s="778"/>
      <c r="AQ40" s="778"/>
      <c r="AR40" s="778"/>
      <c r="AS40" s="778"/>
      <c r="AT40" s="778"/>
      <c r="AU40" s="128"/>
      <c r="AV40" s="778"/>
      <c r="AW40" s="778"/>
      <c r="AX40" s="778"/>
      <c r="AY40" s="778"/>
      <c r="AZ40" s="778"/>
      <c r="BA40" s="778"/>
      <c r="BB40" s="778"/>
      <c r="BC40" s="778"/>
      <c r="BD40" s="778"/>
      <c r="BE40" s="775"/>
      <c r="BH40" s="656" t="s">
        <v>1341</v>
      </c>
    </row>
    <row r="41" spans="2:60" ht="14.65" hidden="1" customHeight="1" x14ac:dyDescent="0.15">
      <c r="B41" s="38"/>
      <c r="E41" s="448">
        <v>15</v>
      </c>
      <c r="F41" s="3" cm="1">
        <f t="array" aca="1" ref="F41" ca="1">OFFSET(E41,-1,1)</f>
        <v>0</v>
      </c>
      <c r="H41" s="38" t="s">
        <v>486</v>
      </c>
      <c r="T41" s="353" t="b" cm="1">
        <f t="array" ref="T41">T40</f>
        <v>0</v>
      </c>
      <c r="X41" s="990"/>
      <c r="Z41" s="967"/>
      <c r="AB41" s="133" t="s">
        <v>942</v>
      </c>
      <c r="AC41" s="127" t="s">
        <v>1342</v>
      </c>
      <c r="AD41" s="7" t="s">
        <v>828</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5"/>
      <c r="BH41" s="656" t="s">
        <v>1343</v>
      </c>
    </row>
    <row r="42" spans="2:60" ht="14.65" hidden="1" customHeight="1" x14ac:dyDescent="0.15">
      <c r="B42" s="38"/>
      <c r="E42" s="448">
        <v>15</v>
      </c>
      <c r="F42" s="3" cm="1">
        <f t="array" aca="1" ref="F42" ca="1">OFFSET(E42,-1,1)</f>
        <v>0</v>
      </c>
      <c r="H42" s="38" t="s">
        <v>1344</v>
      </c>
      <c r="T42" s="353" t="b" cm="1">
        <f t="array" ref="T42">T41</f>
        <v>0</v>
      </c>
      <c r="X42" s="990"/>
      <c r="Z42" s="967"/>
      <c r="AB42" s="133" t="s">
        <v>1345</v>
      </c>
      <c r="AC42" s="134" t="s">
        <v>1346</v>
      </c>
      <c r="AD42" s="7" t="s">
        <v>828</v>
      </c>
      <c r="AE42" s="778"/>
      <c r="AF42" s="778"/>
      <c r="AG42" s="778"/>
      <c r="AH42" s="778"/>
      <c r="AI42" s="778"/>
      <c r="AJ42" s="778"/>
      <c r="AK42" s="128"/>
      <c r="AL42" s="778"/>
      <c r="AM42" s="778"/>
      <c r="AN42" s="778"/>
      <c r="AO42" s="778"/>
      <c r="AP42" s="778"/>
      <c r="AQ42" s="778"/>
      <c r="AR42" s="778"/>
      <c r="AS42" s="778"/>
      <c r="AT42" s="778"/>
      <c r="AU42" s="128"/>
      <c r="AV42" s="778"/>
      <c r="AW42" s="778"/>
      <c r="AX42" s="778"/>
      <c r="AY42" s="778"/>
      <c r="AZ42" s="778"/>
      <c r="BA42" s="778"/>
      <c r="BB42" s="778"/>
      <c r="BC42" s="778"/>
      <c r="BD42" s="778"/>
      <c r="BE42" s="775"/>
      <c r="BH42" s="656" t="s">
        <v>1268</v>
      </c>
    </row>
    <row r="43" spans="2:60" ht="14.65" hidden="1" customHeight="1" x14ac:dyDescent="0.15">
      <c r="B43" s="38"/>
      <c r="E43" s="448">
        <v>15</v>
      </c>
      <c r="F43" s="3" cm="1">
        <f t="array" aca="1" ref="F43" ca="1">OFFSET(E43,-1,1)</f>
        <v>0</v>
      </c>
      <c r="H43" s="38" t="s">
        <v>1347</v>
      </c>
      <c r="T43" s="353" t="b" cm="1">
        <f t="array" ref="T43">T42</f>
        <v>0</v>
      </c>
      <c r="X43" s="990"/>
      <c r="Z43" s="967"/>
      <c r="AB43" s="133" t="s">
        <v>1348</v>
      </c>
      <c r="AC43" s="134" t="s">
        <v>1349</v>
      </c>
      <c r="AD43" s="7" t="s">
        <v>828</v>
      </c>
      <c r="AE43" s="778"/>
      <c r="AF43" s="778"/>
      <c r="AG43" s="778"/>
      <c r="AH43" s="778"/>
      <c r="AI43" s="778"/>
      <c r="AJ43" s="778"/>
      <c r="AK43" s="128"/>
      <c r="AL43" s="778"/>
      <c r="AM43" s="778"/>
      <c r="AN43" s="778"/>
      <c r="AO43" s="778"/>
      <c r="AP43" s="778"/>
      <c r="AQ43" s="778"/>
      <c r="AR43" s="778"/>
      <c r="AS43" s="778"/>
      <c r="AT43" s="778"/>
      <c r="AU43" s="128"/>
      <c r="AV43" s="778"/>
      <c r="AW43" s="778"/>
      <c r="AX43" s="778"/>
      <c r="AY43" s="778"/>
      <c r="AZ43" s="778"/>
      <c r="BA43" s="778"/>
      <c r="BB43" s="778"/>
      <c r="BC43" s="778"/>
      <c r="BD43" s="778"/>
      <c r="BE43" s="775"/>
      <c r="BH43" s="656" t="s">
        <v>1350</v>
      </c>
    </row>
    <row r="44" spans="2:60" ht="14.65" hidden="1" customHeight="1" x14ac:dyDescent="0.15">
      <c r="B44" s="38"/>
      <c r="E44" s="448">
        <v>15</v>
      </c>
      <c r="F44" s="3" cm="1">
        <f t="array" aca="1" ref="F44" ca="1">OFFSET(E44,-1,1)</f>
        <v>0</v>
      </c>
      <c r="H44" s="38" t="s">
        <v>1351</v>
      </c>
      <c r="T44" s="353" t="b" cm="1">
        <f t="array" ref="T44">T43</f>
        <v>0</v>
      </c>
      <c r="X44" s="990"/>
      <c r="Z44" s="967"/>
      <c r="AB44" s="133" t="s">
        <v>1352</v>
      </c>
      <c r="AC44" s="134" t="s">
        <v>1353</v>
      </c>
      <c r="AD44" s="7" t="s">
        <v>828</v>
      </c>
      <c r="AE44" s="778"/>
      <c r="AF44" s="778"/>
      <c r="AG44" s="778"/>
      <c r="AH44" s="778"/>
      <c r="AI44" s="778"/>
      <c r="AJ44" s="778"/>
      <c r="AK44" s="128"/>
      <c r="AL44" s="778"/>
      <c r="AM44" s="778"/>
      <c r="AN44" s="778"/>
      <c r="AO44" s="778"/>
      <c r="AP44" s="778"/>
      <c r="AQ44" s="778"/>
      <c r="AR44" s="778"/>
      <c r="AS44" s="778"/>
      <c r="AT44" s="778"/>
      <c r="AU44" s="128"/>
      <c r="AV44" s="778"/>
      <c r="AW44" s="778"/>
      <c r="AX44" s="778"/>
      <c r="AY44" s="778"/>
      <c r="AZ44" s="778"/>
      <c r="BA44" s="778"/>
      <c r="BB44" s="778"/>
      <c r="BC44" s="778"/>
      <c r="BD44" s="778"/>
      <c r="BE44" s="775"/>
      <c r="BH44" s="656" t="s">
        <v>1354</v>
      </c>
    </row>
    <row r="45" spans="2:60" ht="14.65" hidden="1" customHeight="1" x14ac:dyDescent="0.15">
      <c r="B45" s="38"/>
      <c r="E45" s="448">
        <v>15</v>
      </c>
      <c r="F45" s="3" cm="1">
        <f t="array" aca="1" ref="F45" ca="1">OFFSET(E45,-1,1)</f>
        <v>0</v>
      </c>
      <c r="H45" s="38" t="s">
        <v>489</v>
      </c>
      <c r="T45" s="353" t="b" cm="1">
        <f t="array" ref="T45">T44</f>
        <v>0</v>
      </c>
      <c r="X45" s="990"/>
      <c r="Z45" s="967"/>
      <c r="AB45" s="133" t="s">
        <v>945</v>
      </c>
      <c r="AC45" s="127" t="s">
        <v>1355</v>
      </c>
      <c r="AD45" s="7" t="s">
        <v>828</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5"/>
      <c r="BH45" s="656" t="s">
        <v>1356</v>
      </c>
    </row>
    <row r="46" spans="2:60" ht="14.65" hidden="1" customHeight="1" x14ac:dyDescent="0.15">
      <c r="B46" s="38"/>
      <c r="E46" s="448">
        <v>15</v>
      </c>
      <c r="F46" s="3" cm="1">
        <f t="array" aca="1" ref="F46" ca="1">OFFSET(E46,-1,1)</f>
        <v>0</v>
      </c>
      <c r="H46" s="38" t="s">
        <v>1357</v>
      </c>
      <c r="T46" s="353" t="b" cm="1">
        <f t="array" ref="T46">T45</f>
        <v>0</v>
      </c>
      <c r="X46" s="990"/>
      <c r="Z46" s="967"/>
      <c r="AB46" s="133" t="s">
        <v>1358</v>
      </c>
      <c r="AC46" s="134" t="s">
        <v>1359</v>
      </c>
      <c r="AD46" s="7" t="s">
        <v>828</v>
      </c>
      <c r="AE46" s="778"/>
      <c r="AF46" s="778"/>
      <c r="AG46" s="778"/>
      <c r="AH46" s="778"/>
      <c r="AI46" s="778"/>
      <c r="AJ46" s="778"/>
      <c r="AK46" s="128"/>
      <c r="AL46" s="778"/>
      <c r="AM46" s="778"/>
      <c r="AN46" s="778"/>
      <c r="AO46" s="778"/>
      <c r="AP46" s="778"/>
      <c r="AQ46" s="778"/>
      <c r="AR46" s="778"/>
      <c r="AS46" s="778"/>
      <c r="AT46" s="778"/>
      <c r="AU46" s="128"/>
      <c r="AV46" s="778"/>
      <c r="AW46" s="778"/>
      <c r="AX46" s="778"/>
      <c r="AY46" s="778"/>
      <c r="AZ46" s="778"/>
      <c r="BA46" s="778"/>
      <c r="BB46" s="778"/>
      <c r="BC46" s="778"/>
      <c r="BD46" s="778"/>
      <c r="BE46" s="775"/>
      <c r="BH46" s="656" t="s">
        <v>1360</v>
      </c>
    </row>
    <row r="47" spans="2:60" ht="14.65" hidden="1" customHeight="1" x14ac:dyDescent="0.15">
      <c r="B47" s="38"/>
      <c r="E47" s="448">
        <v>15</v>
      </c>
      <c r="F47" s="3" cm="1">
        <f t="array" aca="1" ref="F47" ca="1">OFFSET(E47,-1,1)</f>
        <v>0</v>
      </c>
      <c r="H47" s="38" t="s">
        <v>1361</v>
      </c>
      <c r="T47" s="353" t="b" cm="1">
        <f t="array" ref="T47">T46</f>
        <v>0</v>
      </c>
      <c r="X47" s="990"/>
      <c r="Z47" s="967"/>
      <c r="AB47" s="133" t="s">
        <v>1362</v>
      </c>
      <c r="AC47" s="134" t="s">
        <v>1363</v>
      </c>
      <c r="AD47" s="7" t="s">
        <v>828</v>
      </c>
      <c r="AE47" s="778"/>
      <c r="AF47" s="778"/>
      <c r="AG47" s="778"/>
      <c r="AH47" s="778"/>
      <c r="AI47" s="778"/>
      <c r="AJ47" s="778"/>
      <c r="AK47" s="128"/>
      <c r="AL47" s="778"/>
      <c r="AM47" s="778"/>
      <c r="AN47" s="778"/>
      <c r="AO47" s="778"/>
      <c r="AP47" s="778"/>
      <c r="AQ47" s="778"/>
      <c r="AR47" s="778"/>
      <c r="AS47" s="778"/>
      <c r="AT47" s="778"/>
      <c r="AU47" s="128"/>
      <c r="AV47" s="778"/>
      <c r="AW47" s="778"/>
      <c r="AX47" s="778"/>
      <c r="AY47" s="778"/>
      <c r="AZ47" s="778"/>
      <c r="BA47" s="778"/>
      <c r="BB47" s="778"/>
      <c r="BC47" s="778"/>
      <c r="BD47" s="778"/>
      <c r="BE47" s="775"/>
      <c r="BH47" s="656" t="s">
        <v>1364</v>
      </c>
    </row>
    <row r="48" spans="2:60" ht="14.65" hidden="1" customHeight="1" x14ac:dyDescent="0.15">
      <c r="B48" s="38"/>
      <c r="E48" s="448">
        <v>15</v>
      </c>
      <c r="F48" s="3" cm="1">
        <f t="array" aca="1" ref="F48" ca="1">OFFSET(E48,-1,1)</f>
        <v>0</v>
      </c>
      <c r="H48" s="38" t="s">
        <v>1365</v>
      </c>
      <c r="T48" s="353" t="b" cm="1">
        <f t="array" ref="T48">T47</f>
        <v>0</v>
      </c>
      <c r="X48" s="990"/>
      <c r="Z48" s="967"/>
      <c r="AB48" s="133" t="s">
        <v>1366</v>
      </c>
      <c r="AC48" s="134" t="s">
        <v>1367</v>
      </c>
      <c r="AD48" s="7" t="s">
        <v>828</v>
      </c>
      <c r="AE48" s="778"/>
      <c r="AF48" s="778"/>
      <c r="AG48" s="778"/>
      <c r="AH48" s="778"/>
      <c r="AI48" s="778"/>
      <c r="AJ48" s="778"/>
      <c r="AK48" s="128"/>
      <c r="AL48" s="778"/>
      <c r="AM48" s="778"/>
      <c r="AN48" s="778"/>
      <c r="AO48" s="778"/>
      <c r="AP48" s="778"/>
      <c r="AQ48" s="778"/>
      <c r="AR48" s="778"/>
      <c r="AS48" s="778"/>
      <c r="AT48" s="778"/>
      <c r="AU48" s="128"/>
      <c r="AV48" s="778"/>
      <c r="AW48" s="778"/>
      <c r="AX48" s="778"/>
      <c r="AY48" s="778"/>
      <c r="AZ48" s="778"/>
      <c r="BA48" s="778"/>
      <c r="BB48" s="778"/>
      <c r="BC48" s="778"/>
      <c r="BD48" s="778"/>
      <c r="BE48" s="775"/>
      <c r="BH48" s="656" t="s">
        <v>1368</v>
      </c>
    </row>
    <row r="49" spans="1:60" ht="14.65" hidden="1" customHeight="1" x14ac:dyDescent="0.15">
      <c r="B49" s="38"/>
      <c r="E49" s="448">
        <v>15</v>
      </c>
      <c r="F49" s="3" cm="1">
        <f t="array" aca="1" ref="F49" ca="1">OFFSET(E49,-1,1)</f>
        <v>0</v>
      </c>
      <c r="H49" s="38" t="s">
        <v>493</v>
      </c>
      <c r="T49" s="353" t="b" cm="1">
        <f t="array" ref="T49">T48</f>
        <v>0</v>
      </c>
      <c r="X49" s="990"/>
      <c r="Z49" s="967"/>
      <c r="AB49" s="133" t="s">
        <v>948</v>
      </c>
      <c r="AC49" s="127" t="s">
        <v>1369</v>
      </c>
      <c r="AD49" s="7" t="s">
        <v>828</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5"/>
      <c r="BH49" s="656" t="s">
        <v>1370</v>
      </c>
    </row>
    <row r="50" spans="1:60" ht="14.65" hidden="1" customHeight="1" x14ac:dyDescent="0.15">
      <c r="B50" s="38"/>
      <c r="E50" s="448">
        <v>15</v>
      </c>
      <c r="F50" s="3" cm="1">
        <f t="array" aca="1" ref="F50" ca="1">OFFSET(E50,-1,1)</f>
        <v>0</v>
      </c>
      <c r="H50" s="38" t="s">
        <v>1371</v>
      </c>
      <c r="T50" s="353" t="b" cm="1">
        <f t="array" ref="T50">T49</f>
        <v>0</v>
      </c>
      <c r="X50" s="990"/>
      <c r="Z50" s="967"/>
      <c r="AB50" s="133" t="s">
        <v>1087</v>
      </c>
      <c r="AC50" s="134" t="s">
        <v>1081</v>
      </c>
      <c r="AD50" s="7" t="s">
        <v>828</v>
      </c>
      <c r="AE50" s="778"/>
      <c r="AF50" s="778"/>
      <c r="AG50" s="778"/>
      <c r="AH50" s="778"/>
      <c r="AI50" s="778"/>
      <c r="AJ50" s="778"/>
      <c r="AK50" s="128"/>
      <c r="AL50" s="778"/>
      <c r="AM50" s="778"/>
      <c r="AN50" s="778"/>
      <c r="AO50" s="778"/>
      <c r="AP50" s="778"/>
      <c r="AQ50" s="778"/>
      <c r="AR50" s="778"/>
      <c r="AS50" s="778"/>
      <c r="AT50" s="778"/>
      <c r="AU50" s="128"/>
      <c r="AV50" s="778"/>
      <c r="AW50" s="778"/>
      <c r="AX50" s="778"/>
      <c r="AY50" s="778"/>
      <c r="AZ50" s="778"/>
      <c r="BA50" s="778"/>
      <c r="BB50" s="778"/>
      <c r="BC50" s="778"/>
      <c r="BD50" s="778"/>
      <c r="BE50" s="775"/>
      <c r="BH50" s="656" t="s">
        <v>1083</v>
      </c>
    </row>
    <row r="51" spans="1:60" ht="21.95" hidden="1" customHeight="1" x14ac:dyDescent="0.15">
      <c r="B51" s="38"/>
      <c r="E51" s="448">
        <v>22.5</v>
      </c>
      <c r="F51" s="3" cm="1">
        <f t="array" aca="1" ref="F51" ca="1">OFFSET(E51,-1,1)</f>
        <v>0</v>
      </c>
      <c r="H51" s="38" t="s">
        <v>1372</v>
      </c>
      <c r="T51" s="353" t="b" cm="1">
        <f t="array" ref="T51">T50</f>
        <v>0</v>
      </c>
      <c r="X51" s="990"/>
      <c r="Z51" s="967"/>
      <c r="AB51" s="133" t="s">
        <v>1090</v>
      </c>
      <c r="AC51" s="134" t="s">
        <v>1373</v>
      </c>
      <c r="AD51" s="7" t="s">
        <v>828</v>
      </c>
      <c r="AE51" s="778"/>
      <c r="AF51" s="778"/>
      <c r="AG51" s="778"/>
      <c r="AH51" s="778"/>
      <c r="AI51" s="778"/>
      <c r="AJ51" s="778"/>
      <c r="AK51" s="128"/>
      <c r="AL51" s="778"/>
      <c r="AM51" s="778"/>
      <c r="AN51" s="778"/>
      <c r="AO51" s="778"/>
      <c r="AP51" s="778"/>
      <c r="AQ51" s="778"/>
      <c r="AR51" s="778"/>
      <c r="AS51" s="778"/>
      <c r="AT51" s="778"/>
      <c r="AU51" s="128"/>
      <c r="AV51" s="778"/>
      <c r="AW51" s="778"/>
      <c r="AX51" s="778"/>
      <c r="AY51" s="778"/>
      <c r="AZ51" s="778"/>
      <c r="BA51" s="778"/>
      <c r="BB51" s="778"/>
      <c r="BC51" s="778"/>
      <c r="BD51" s="778"/>
      <c r="BE51" s="775"/>
      <c r="BH51" s="656" t="s">
        <v>1374</v>
      </c>
    </row>
    <row r="52" spans="1:60" ht="21.95" hidden="1" customHeight="1" x14ac:dyDescent="0.15">
      <c r="B52" s="38"/>
      <c r="E52" s="448">
        <v>22.5</v>
      </c>
      <c r="F52" s="3" cm="1">
        <f t="array" aca="1" ref="F52" ca="1">OFFSET(E52,-1,1)</f>
        <v>0</v>
      </c>
      <c r="H52" s="38" t="s">
        <v>1375</v>
      </c>
      <c r="T52" s="353" t="b" cm="1">
        <f t="array" ref="T52">T51</f>
        <v>0</v>
      </c>
      <c r="X52" s="990"/>
      <c r="Z52" s="967"/>
      <c r="AB52" s="133" t="s">
        <v>1376</v>
      </c>
      <c r="AC52" s="134" t="s">
        <v>1377</v>
      </c>
      <c r="AD52" s="7" t="s">
        <v>828</v>
      </c>
      <c r="AE52" s="778"/>
      <c r="AF52" s="778"/>
      <c r="AG52" s="778"/>
      <c r="AH52" s="778"/>
      <c r="AI52" s="778"/>
      <c r="AJ52" s="778"/>
      <c r="AK52" s="128"/>
      <c r="AL52" s="778"/>
      <c r="AM52" s="778"/>
      <c r="AN52" s="778"/>
      <c r="AO52" s="778"/>
      <c r="AP52" s="778"/>
      <c r="AQ52" s="778"/>
      <c r="AR52" s="778"/>
      <c r="AS52" s="778"/>
      <c r="AT52" s="778"/>
      <c r="AU52" s="128"/>
      <c r="AV52" s="778"/>
      <c r="AW52" s="778"/>
      <c r="AX52" s="778"/>
      <c r="AY52" s="778"/>
      <c r="AZ52" s="778"/>
      <c r="BA52" s="778"/>
      <c r="BB52" s="778"/>
      <c r="BC52" s="778"/>
      <c r="BD52" s="778"/>
      <c r="BE52" s="775"/>
      <c r="BH52" s="656" t="s">
        <v>1378</v>
      </c>
    </row>
    <row r="53" spans="1:60" ht="14.65" hidden="1" customHeight="1" x14ac:dyDescent="0.15">
      <c r="B53" s="38"/>
      <c r="E53" s="448">
        <v>15</v>
      </c>
      <c r="F53" s="3" cm="1">
        <f t="array" aca="1" ref="F53" ca="1">OFFSET(E53,-1,1)</f>
        <v>0</v>
      </c>
      <c r="H53" s="38" t="s">
        <v>1379</v>
      </c>
      <c r="T53" s="353" t="b" cm="1">
        <f t="array" ref="T53">T52</f>
        <v>0</v>
      </c>
      <c r="X53" s="990"/>
      <c r="Z53" s="967"/>
      <c r="AB53" s="133" t="s">
        <v>1380</v>
      </c>
      <c r="AC53" s="134" t="s">
        <v>1381</v>
      </c>
      <c r="AD53" s="7" t="s">
        <v>828</v>
      </c>
      <c r="AE53" s="778"/>
      <c r="AF53" s="778"/>
      <c r="AG53" s="778"/>
      <c r="AH53" s="778"/>
      <c r="AI53" s="778"/>
      <c r="AJ53" s="778"/>
      <c r="AK53" s="128"/>
      <c r="AL53" s="778"/>
      <c r="AM53" s="778"/>
      <c r="AN53" s="778"/>
      <c r="AO53" s="778"/>
      <c r="AP53" s="778"/>
      <c r="AQ53" s="778"/>
      <c r="AR53" s="778"/>
      <c r="AS53" s="778"/>
      <c r="AT53" s="778"/>
      <c r="AU53" s="128"/>
      <c r="AV53" s="778"/>
      <c r="AW53" s="778"/>
      <c r="AX53" s="778"/>
      <c r="AY53" s="778"/>
      <c r="AZ53" s="778"/>
      <c r="BA53" s="778"/>
      <c r="BB53" s="778"/>
      <c r="BC53" s="778"/>
      <c r="BD53" s="778"/>
      <c r="BE53" s="775"/>
      <c r="BH53" s="656" t="s">
        <v>1382</v>
      </c>
    </row>
    <row r="54" spans="1:60" s="154" customFormat="1" ht="21.95" hidden="1" customHeight="1" x14ac:dyDescent="0.15">
      <c r="B54" s="38"/>
      <c r="E54" s="501">
        <v>22.5</v>
      </c>
      <c r="F54" s="3" cm="1">
        <f t="array" aca="1" ref="F54" ca="1">OFFSET(E54,-1,1)</f>
        <v>0</v>
      </c>
      <c r="G54" s="38"/>
      <c r="H54" s="38" t="s">
        <v>332</v>
      </c>
      <c r="T54" s="353" t="b" cm="1">
        <f t="array" ref="T54">T53</f>
        <v>0</v>
      </c>
      <c r="X54" s="990"/>
      <c r="Z54" s="967"/>
      <c r="AB54" s="131" t="s">
        <v>285</v>
      </c>
      <c r="AC54" s="132" t="s">
        <v>1383</v>
      </c>
      <c r="AD54" s="124" t="s">
        <v>828</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5"/>
      <c r="BH54" s="688" t="s">
        <v>1384</v>
      </c>
    </row>
    <row r="55" spans="1:60" ht="14.65" hidden="1" customHeight="1" x14ac:dyDescent="0.15">
      <c r="B55" s="38"/>
      <c r="E55" s="448">
        <v>15</v>
      </c>
      <c r="F55" s="3" cm="1">
        <f t="array" aca="1" ref="F55" ca="1">OFFSET(E55,-1,1)</f>
        <v>0</v>
      </c>
      <c r="H55" s="38" t="s">
        <v>500</v>
      </c>
      <c r="K55" s="40" t="str">
        <f ca="1">F55&amp;"2komm"</f>
        <v>02komm</v>
      </c>
      <c r="L55" s="40" cm="1">
        <f t="array" ref="L55">BE55</f>
        <v>0</v>
      </c>
      <c r="T55" s="353" t="b" cm="1">
        <f t="array" ref="T55">T54</f>
        <v>0</v>
      </c>
      <c r="X55" s="990"/>
      <c r="Z55" s="967"/>
      <c r="AB55" s="133" t="s">
        <v>561</v>
      </c>
      <c r="AC55" s="127" t="s">
        <v>1385</v>
      </c>
      <c r="AD55" s="7" t="s">
        <v>828</v>
      </c>
      <c r="AE55" s="778"/>
      <c r="AF55" s="778"/>
      <c r="AG55" s="778"/>
      <c r="AH55" s="778"/>
      <c r="AI55" s="778"/>
      <c r="AJ55" s="778"/>
      <c r="AK55" s="128"/>
      <c r="AL55" s="778"/>
      <c r="AM55" s="778"/>
      <c r="AN55" s="778"/>
      <c r="AO55" s="778"/>
      <c r="AP55" s="778"/>
      <c r="AQ55" s="778"/>
      <c r="AR55" s="778"/>
      <c r="AS55" s="778"/>
      <c r="AT55" s="778"/>
      <c r="AU55" s="128"/>
      <c r="AV55" s="778"/>
      <c r="AW55" s="778"/>
      <c r="AX55" s="778"/>
      <c r="AY55" s="778"/>
      <c r="AZ55" s="778"/>
      <c r="BA55" s="778"/>
      <c r="BB55" s="778"/>
      <c r="BC55" s="778"/>
      <c r="BD55" s="778"/>
      <c r="BE55" s="775"/>
      <c r="BH55" s="656" t="s">
        <v>1386</v>
      </c>
    </row>
    <row r="56" spans="1:60" ht="14.65" hidden="1" customHeight="1" x14ac:dyDescent="0.15">
      <c r="B56" s="38"/>
      <c r="E56" s="448">
        <v>15</v>
      </c>
      <c r="F56" s="3" cm="1">
        <f t="array" aca="1" ref="F56" ca="1">OFFSET(E56,-1,1)</f>
        <v>0</v>
      </c>
      <c r="H56" s="38" t="s">
        <v>503</v>
      </c>
      <c r="K56" s="40" t="str">
        <f ca="1">F56&amp;"3komm"</f>
        <v>03komm</v>
      </c>
      <c r="L56" s="40" cm="1">
        <f t="array" ref="L56">BE56</f>
        <v>0</v>
      </c>
      <c r="T56" s="353" t="b" cm="1">
        <f t="array" ref="T56">T55</f>
        <v>0</v>
      </c>
      <c r="X56" s="990"/>
      <c r="Z56" s="967"/>
      <c r="AB56" s="133" t="s">
        <v>565</v>
      </c>
      <c r="AC56" s="127" t="s">
        <v>1387</v>
      </c>
      <c r="AD56" s="7" t="s">
        <v>828</v>
      </c>
      <c r="AE56" s="778"/>
      <c r="AF56" s="778"/>
      <c r="AG56" s="778"/>
      <c r="AH56" s="778"/>
      <c r="AI56" s="778"/>
      <c r="AJ56" s="778"/>
      <c r="AK56" s="128"/>
      <c r="AL56" s="778"/>
      <c r="AM56" s="778"/>
      <c r="AN56" s="778"/>
      <c r="AO56" s="778"/>
      <c r="AP56" s="778"/>
      <c r="AQ56" s="778"/>
      <c r="AR56" s="778"/>
      <c r="AS56" s="778"/>
      <c r="AT56" s="778"/>
      <c r="AU56" s="128"/>
      <c r="AV56" s="778"/>
      <c r="AW56" s="778"/>
      <c r="AX56" s="778"/>
      <c r="AY56" s="778"/>
      <c r="AZ56" s="778"/>
      <c r="BA56" s="778"/>
      <c r="BB56" s="778"/>
      <c r="BC56" s="778"/>
      <c r="BD56" s="778"/>
      <c r="BE56" s="775"/>
      <c r="BH56" s="656" t="s">
        <v>1388</v>
      </c>
    </row>
    <row r="57" spans="1:60" ht="14.65" hidden="1" customHeight="1" x14ac:dyDescent="0.15">
      <c r="B57" s="38"/>
      <c r="E57" s="448">
        <v>15</v>
      </c>
      <c r="F57" s="3" cm="1">
        <f t="array" aca="1" ref="F57" ca="1">OFFSET(E57,-1,1)</f>
        <v>0</v>
      </c>
      <c r="H57" s="38" t="s">
        <v>959</v>
      </c>
      <c r="T57" s="353" t="b" cm="1">
        <f t="array" ref="T57">T56</f>
        <v>0</v>
      </c>
      <c r="X57" s="990"/>
      <c r="Z57" s="967"/>
      <c r="AB57" s="133" t="s">
        <v>569</v>
      </c>
      <c r="AC57" s="127" t="s">
        <v>1389</v>
      </c>
      <c r="AD57" s="7" t="s">
        <v>828</v>
      </c>
      <c r="AE57" s="778"/>
      <c r="AF57" s="778"/>
      <c r="AG57" s="778"/>
      <c r="AH57" s="778"/>
      <c r="AI57" s="778"/>
      <c r="AJ57" s="778"/>
      <c r="AK57" s="128"/>
      <c r="AL57" s="778"/>
      <c r="AM57" s="778"/>
      <c r="AN57" s="778"/>
      <c r="AO57" s="778"/>
      <c r="AP57" s="778"/>
      <c r="AQ57" s="778"/>
      <c r="AR57" s="778"/>
      <c r="AS57" s="778"/>
      <c r="AT57" s="778"/>
      <c r="AU57" s="128"/>
      <c r="AV57" s="778"/>
      <c r="AW57" s="778"/>
      <c r="AX57" s="778"/>
      <c r="AY57" s="778"/>
      <c r="AZ57" s="778"/>
      <c r="BA57" s="778"/>
      <c r="BB57" s="778"/>
      <c r="BC57" s="778"/>
      <c r="BD57" s="778"/>
      <c r="BE57" s="775"/>
      <c r="BH57" s="656" t="s">
        <v>1390</v>
      </c>
    </row>
    <row r="58" spans="1:60" ht="14.25" customHeight="1" x14ac:dyDescent="0.15">
      <c r="B58" s="38"/>
      <c r="E58" s="448">
        <v>15</v>
      </c>
      <c r="F58" s="17" t="str" cm="1">
        <f t="array" ref="F58">X58</f>
        <v>1</v>
      </c>
      <c r="T58" s="353" t="b">
        <f>X58&gt;0</f>
        <v>1</v>
      </c>
      <c r="V58" s="38" t="str" cm="1">
        <f t="array" ref="V58">Налоги!$AB$41</f>
        <v>Тариф 1 (Водоснабжение) - тариф на техническую воду</v>
      </c>
      <c r="X58" s="990" t="s">
        <v>275</v>
      </c>
      <c r="Z58" s="967"/>
      <c r="AB58" s="155" t="str" cm="1">
        <f t="array" ref="AB58">Налоги!$AB$41</f>
        <v>Тариф 1 (Водоснабжение) - тариф на техническую воду</v>
      </c>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row>
    <row r="59" spans="1:60" s="857" customFormat="1" ht="21.75" customHeight="1" x14ac:dyDescent="0.15">
      <c r="A59" s="154"/>
      <c r="B59" s="38"/>
      <c r="C59" s="154"/>
      <c r="D59" s="154"/>
      <c r="E59" s="501">
        <v>22.5</v>
      </c>
      <c r="F59" s="3" t="str" cm="1">
        <f t="array" aca="1" ref="F59" ca="1">OFFSET(E59,-1,1)</f>
        <v>1</v>
      </c>
      <c r="G59" s="38"/>
      <c r="H59" s="38" t="s">
        <v>331</v>
      </c>
      <c r="I59" s="154"/>
      <c r="J59" s="154"/>
      <c r="K59" s="154"/>
      <c r="L59" s="154"/>
      <c r="M59" s="154"/>
      <c r="N59" s="154"/>
      <c r="O59" s="154"/>
      <c r="P59" s="154"/>
      <c r="Q59" s="154"/>
      <c r="R59" s="154"/>
      <c r="S59" s="154"/>
      <c r="T59" s="353" t="b" cm="1">
        <f t="array" ref="T59">T58</f>
        <v>1</v>
      </c>
      <c r="U59" s="154"/>
      <c r="V59" s="154"/>
      <c r="W59" s="154"/>
      <c r="X59" s="990"/>
      <c r="Y59" s="154"/>
      <c r="Z59" s="967"/>
      <c r="AA59" s="154"/>
      <c r="AB59" s="131">
        <v>1</v>
      </c>
      <c r="AC59" s="125" t="s">
        <v>1312</v>
      </c>
      <c r="AD59" s="124" t="s">
        <v>828</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8" t="s">
        <v>1313</v>
      </c>
    </row>
    <row r="60" spans="1:60" ht="14.25" customHeight="1" x14ac:dyDescent="0.15">
      <c r="B60" s="38"/>
      <c r="E60" s="448">
        <v>15</v>
      </c>
      <c r="F60" s="3" t="str" cm="1">
        <f t="array" aca="1" ref="F60" ca="1">OFFSET(E60,-1,1)</f>
        <v>1</v>
      </c>
      <c r="H60" s="38" t="s">
        <v>482</v>
      </c>
      <c r="T60" s="353" t="b" cm="1">
        <f t="array" ref="T60">T59</f>
        <v>1</v>
      </c>
      <c r="X60" s="990"/>
      <c r="Z60" s="967"/>
      <c r="AB60" s="133" t="s">
        <v>939</v>
      </c>
      <c r="AC60" s="127" t="s">
        <v>1314</v>
      </c>
      <c r="AD60" s="7" t="s">
        <v>828</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6" t="s">
        <v>1315</v>
      </c>
    </row>
    <row r="61" spans="1:60" ht="14.25" customHeight="1" x14ac:dyDescent="0.15">
      <c r="B61" s="38"/>
      <c r="E61" s="448">
        <v>15</v>
      </c>
      <c r="F61" s="3" t="str" cm="1">
        <f t="array" aca="1" ref="F61" ca="1">OFFSET(E61,-1,1)</f>
        <v>1</v>
      </c>
      <c r="H61" s="38" t="s">
        <v>1070</v>
      </c>
      <c r="T61" s="353" t="b" cm="1">
        <f t="array" ref="T61">T60</f>
        <v>1</v>
      </c>
      <c r="X61" s="990"/>
      <c r="Z61" s="967"/>
      <c r="AB61" s="133" t="s">
        <v>1071</v>
      </c>
      <c r="AC61" s="134" t="s">
        <v>1316</v>
      </c>
      <c r="AD61" s="7" t="s">
        <v>828</v>
      </c>
      <c r="AE61" s="128"/>
      <c r="AF61" s="128"/>
      <c r="AG61" s="128"/>
      <c r="AH61" s="128"/>
      <c r="AI61" s="128"/>
      <c r="AJ61" s="128"/>
      <c r="AK61" s="128"/>
      <c r="AL61" s="778"/>
      <c r="AM61" s="778"/>
      <c r="AN61" s="128"/>
      <c r="AO61" s="128"/>
      <c r="AP61" s="128"/>
      <c r="AQ61" s="128"/>
      <c r="AR61" s="128"/>
      <c r="AS61" s="128"/>
      <c r="AT61" s="128"/>
      <c r="AU61" s="128"/>
      <c r="AV61" s="778"/>
      <c r="AW61" s="778"/>
      <c r="AX61" s="128"/>
      <c r="AY61" s="128"/>
      <c r="AZ61" s="128"/>
      <c r="BA61" s="128"/>
      <c r="BB61" s="128"/>
      <c r="BC61" s="128"/>
      <c r="BD61" s="128"/>
      <c r="BE61" s="196"/>
      <c r="BH61" s="656" t="s">
        <v>1247</v>
      </c>
    </row>
    <row r="62" spans="1:60" ht="14.25" customHeight="1" x14ac:dyDescent="0.15">
      <c r="B62" s="38"/>
      <c r="E62" s="448">
        <v>15</v>
      </c>
      <c r="F62" s="3" t="str" cm="1">
        <f t="array" aca="1" ref="F62" ca="1">OFFSET(E62,-1,1)</f>
        <v>1</v>
      </c>
      <c r="H62" s="38" t="s">
        <v>1074</v>
      </c>
      <c r="K62" s="40" t="str">
        <f ca="1">F62&amp;"1komm"</f>
        <v>11komm</v>
      </c>
      <c r="L62" s="609" cm="1">
        <f t="array" ref="L62">BE62</f>
        <v>0</v>
      </c>
      <c r="T62" s="353" t="b" cm="1">
        <f t="array" ref="T62">T61</f>
        <v>1</v>
      </c>
      <c r="X62" s="990"/>
      <c r="Z62" s="967"/>
      <c r="AB62" s="133" t="s">
        <v>1075</v>
      </c>
      <c r="AC62" s="134" t="s">
        <v>1317</v>
      </c>
      <c r="AD62" s="7" t="s">
        <v>828</v>
      </c>
      <c r="AE62" s="128"/>
      <c r="AF62" s="128"/>
      <c r="AG62" s="128"/>
      <c r="AH62" s="128"/>
      <c r="AI62" s="128"/>
      <c r="AJ62" s="128"/>
      <c r="AK62" s="128"/>
      <c r="AL62" s="778"/>
      <c r="AM62" s="778"/>
      <c r="AN62" s="128"/>
      <c r="AO62" s="128"/>
      <c r="AP62" s="128"/>
      <c r="AQ62" s="128"/>
      <c r="AR62" s="128"/>
      <c r="AS62" s="128"/>
      <c r="AT62" s="128"/>
      <c r="AU62" s="128"/>
      <c r="AV62" s="778"/>
      <c r="AW62" s="778"/>
      <c r="AX62" s="128"/>
      <c r="AY62" s="128"/>
      <c r="AZ62" s="128"/>
      <c r="BA62" s="128"/>
      <c r="BB62" s="128"/>
      <c r="BC62" s="128"/>
      <c r="BD62" s="128"/>
      <c r="BE62" s="196"/>
      <c r="BH62" s="656" t="s">
        <v>1318</v>
      </c>
    </row>
    <row r="63" spans="1:60" ht="14.25" customHeight="1" x14ac:dyDescent="0.15">
      <c r="B63" s="38"/>
      <c r="E63" s="448">
        <v>15</v>
      </c>
      <c r="F63" s="3" t="str" cm="1">
        <f t="array" aca="1" ref="F63" ca="1">OFFSET(E63,-1,1)</f>
        <v>1</v>
      </c>
      <c r="H63" s="38" t="s">
        <v>1319</v>
      </c>
      <c r="T63" s="353" t="b" cm="1">
        <f t="array" ref="T63">T62</f>
        <v>1</v>
      </c>
      <c r="X63" s="990"/>
      <c r="Z63" s="967"/>
      <c r="AB63" s="133" t="s">
        <v>1320</v>
      </c>
      <c r="AC63" s="134" t="s">
        <v>1321</v>
      </c>
      <c r="AD63" s="7" t="s">
        <v>828</v>
      </c>
      <c r="AE63" s="128"/>
      <c r="AF63" s="128"/>
      <c r="AG63" s="128"/>
      <c r="AH63" s="128"/>
      <c r="AI63" s="128"/>
      <c r="AJ63" s="128"/>
      <c r="AK63" s="128"/>
      <c r="AL63" s="778"/>
      <c r="AM63" s="778"/>
      <c r="AN63" s="128"/>
      <c r="AO63" s="128"/>
      <c r="AP63" s="128"/>
      <c r="AQ63" s="128"/>
      <c r="AR63" s="128"/>
      <c r="AS63" s="128"/>
      <c r="AT63" s="128"/>
      <c r="AU63" s="128"/>
      <c r="AV63" s="778"/>
      <c r="AW63" s="778"/>
      <c r="AX63" s="128"/>
      <c r="AY63" s="128"/>
      <c r="AZ63" s="128"/>
      <c r="BA63" s="128"/>
      <c r="BB63" s="128"/>
      <c r="BC63" s="128"/>
      <c r="BD63" s="128"/>
      <c r="BE63" s="196"/>
      <c r="BH63" s="656" t="s">
        <v>1322</v>
      </c>
    </row>
    <row r="64" spans="1:60" ht="14.25" customHeight="1" x14ac:dyDescent="0.15">
      <c r="B64" s="38"/>
      <c r="E64" s="448">
        <v>15</v>
      </c>
      <c r="F64" s="3" t="str" cm="1">
        <f t="array" aca="1" ref="F64" ca="1">OFFSET(E64,-1,1)</f>
        <v>1</v>
      </c>
      <c r="H64" s="38" t="s">
        <v>1323</v>
      </c>
      <c r="T64" s="353" t="b" cm="1">
        <f t="array" ref="T64">T63</f>
        <v>1</v>
      </c>
      <c r="X64" s="990"/>
      <c r="Z64" s="967"/>
      <c r="AB64" s="133" t="s">
        <v>1324</v>
      </c>
      <c r="AC64" s="134" t="s">
        <v>1325</v>
      </c>
      <c r="AD64" s="7" t="s">
        <v>828</v>
      </c>
      <c r="AE64" s="128"/>
      <c r="AF64" s="128"/>
      <c r="AG64" s="128"/>
      <c r="AH64" s="128"/>
      <c r="AI64" s="128"/>
      <c r="AJ64" s="128"/>
      <c r="AK64" s="128"/>
      <c r="AL64" s="778"/>
      <c r="AM64" s="778"/>
      <c r="AN64" s="128"/>
      <c r="AO64" s="128"/>
      <c r="AP64" s="128"/>
      <c r="AQ64" s="128"/>
      <c r="AR64" s="128"/>
      <c r="AS64" s="128"/>
      <c r="AT64" s="128"/>
      <c r="AU64" s="128"/>
      <c r="AV64" s="778"/>
      <c r="AW64" s="778"/>
      <c r="AX64" s="128"/>
      <c r="AY64" s="128"/>
      <c r="AZ64" s="128"/>
      <c r="BA64" s="128"/>
      <c r="BB64" s="128"/>
      <c r="BC64" s="128"/>
      <c r="BD64" s="128"/>
      <c r="BE64" s="196"/>
      <c r="BH64" s="656" t="s">
        <v>1326</v>
      </c>
    </row>
    <row r="65" spans="2:60" ht="21.75" customHeight="1" x14ac:dyDescent="0.15">
      <c r="B65" s="38"/>
      <c r="E65" s="448">
        <v>22.5</v>
      </c>
      <c r="F65" s="3" t="str" cm="1">
        <f t="array" aca="1" ref="F65" ca="1">OFFSET(E65,-1,1)</f>
        <v>1</v>
      </c>
      <c r="T65" s="353" t="b" cm="1">
        <f t="array" ref="T65">T64</f>
        <v>1</v>
      </c>
      <c r="X65" s="990"/>
      <c r="Z65" s="967"/>
      <c r="AB65" s="133" t="s">
        <v>1327</v>
      </c>
      <c r="AC65" s="134" t="s">
        <v>1328</v>
      </c>
      <c r="AD65" s="7" t="s">
        <v>828</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8">
        <f t="shared" si="10"/>
        <v>0</v>
      </c>
      <c r="AM65" s="778">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78">
        <f t="shared" si="10"/>
        <v>0</v>
      </c>
      <c r="AW65" s="778">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6" t="s">
        <v>1329</v>
      </c>
    </row>
    <row r="66" spans="2:60" ht="44.25" customHeight="1" x14ac:dyDescent="0.15">
      <c r="B66" s="38"/>
      <c r="E66" s="448">
        <v>45.75</v>
      </c>
      <c r="F66" s="3" t="str" cm="1">
        <f t="array" aca="1" ref="F66" ca="1">OFFSET(E66,-1,1)</f>
        <v>1</v>
      </c>
      <c r="T66" s="353" t="b" cm="1">
        <f t="array" ref="T66">T65</f>
        <v>1</v>
      </c>
      <c r="X66" s="990"/>
      <c r="Z66" s="967"/>
      <c r="AB66" s="133" t="s">
        <v>1330</v>
      </c>
      <c r="AC66" s="543" t="s">
        <v>1331</v>
      </c>
      <c r="AD66" s="7" t="s">
        <v>828</v>
      </c>
      <c r="AE66" s="128"/>
      <c r="AF66" s="128"/>
      <c r="AG66" s="128"/>
      <c r="AH66" s="128"/>
      <c r="AI66" s="128"/>
      <c r="AJ66" s="128"/>
      <c r="AK66" s="128"/>
      <c r="AL66" s="778"/>
      <c r="AM66" s="778"/>
      <c r="AN66" s="128"/>
      <c r="AO66" s="128"/>
      <c r="AP66" s="128"/>
      <c r="AQ66" s="128"/>
      <c r="AR66" s="128"/>
      <c r="AS66" s="128"/>
      <c r="AT66" s="128"/>
      <c r="AU66" s="128"/>
      <c r="AV66" s="778"/>
      <c r="AW66" s="778"/>
      <c r="AX66" s="128"/>
      <c r="AY66" s="128"/>
      <c r="AZ66" s="128"/>
      <c r="BA66" s="128"/>
      <c r="BB66" s="128"/>
      <c r="BC66" s="128"/>
      <c r="BD66" s="128"/>
      <c r="BE66" s="196"/>
      <c r="BH66" s="656" t="s">
        <v>1332</v>
      </c>
    </row>
    <row r="67" spans="2:60" ht="44.25" customHeight="1" x14ac:dyDescent="0.15">
      <c r="B67" s="38"/>
      <c r="E67" s="448">
        <v>45.75</v>
      </c>
      <c r="F67" s="3" t="str" cm="1">
        <f t="array" aca="1" ref="F67" ca="1">OFFSET(E67,-1,1)</f>
        <v>1</v>
      </c>
      <c r="T67" s="353" t="b" cm="1">
        <f t="array" ref="T67">T66</f>
        <v>1</v>
      </c>
      <c r="X67" s="990"/>
      <c r="Z67" s="967"/>
      <c r="AB67" s="133" t="s">
        <v>1333</v>
      </c>
      <c r="AC67" s="543" t="s">
        <v>1334</v>
      </c>
      <c r="AD67" s="7" t="s">
        <v>828</v>
      </c>
      <c r="AE67" s="128"/>
      <c r="AF67" s="128"/>
      <c r="AG67" s="128"/>
      <c r="AH67" s="128"/>
      <c r="AI67" s="128"/>
      <c r="AJ67" s="128"/>
      <c r="AK67" s="128"/>
      <c r="AL67" s="778"/>
      <c r="AM67" s="778"/>
      <c r="AN67" s="128"/>
      <c r="AO67" s="128"/>
      <c r="AP67" s="128"/>
      <c r="AQ67" s="128"/>
      <c r="AR67" s="128"/>
      <c r="AS67" s="128"/>
      <c r="AT67" s="128"/>
      <c r="AU67" s="128"/>
      <c r="AV67" s="778"/>
      <c r="AW67" s="778"/>
      <c r="AX67" s="128"/>
      <c r="AY67" s="128"/>
      <c r="AZ67" s="128"/>
      <c r="BA67" s="128"/>
      <c r="BB67" s="128"/>
      <c r="BC67" s="128"/>
      <c r="BD67" s="128"/>
      <c r="BE67" s="196"/>
      <c r="BH67" s="656" t="s">
        <v>1335</v>
      </c>
    </row>
    <row r="68" spans="2:60" ht="44.25" customHeight="1" x14ac:dyDescent="0.15">
      <c r="B68" s="38"/>
      <c r="E68" s="448">
        <v>45.75</v>
      </c>
      <c r="F68" s="3" t="str" cm="1">
        <f t="array" aca="1" ref="F68" ca="1">OFFSET(E68,-1,1)</f>
        <v>1</v>
      </c>
      <c r="T68" s="353" t="b" cm="1">
        <f t="array" ref="T68">T67</f>
        <v>1</v>
      </c>
      <c r="X68" s="990"/>
      <c r="Z68" s="967"/>
      <c r="AB68" s="133" t="s">
        <v>1336</v>
      </c>
      <c r="AC68" s="543" t="s">
        <v>1337</v>
      </c>
      <c r="AD68" s="7" t="s">
        <v>828</v>
      </c>
      <c r="AE68" s="128"/>
      <c r="AF68" s="128"/>
      <c r="AG68" s="128"/>
      <c r="AH68" s="128"/>
      <c r="AI68" s="128"/>
      <c r="AJ68" s="128"/>
      <c r="AK68" s="128"/>
      <c r="AL68" s="778"/>
      <c r="AM68" s="778"/>
      <c r="AN68" s="128"/>
      <c r="AO68" s="128"/>
      <c r="AP68" s="128"/>
      <c r="AQ68" s="128"/>
      <c r="AR68" s="128"/>
      <c r="AS68" s="128"/>
      <c r="AT68" s="128"/>
      <c r="AU68" s="128"/>
      <c r="AV68" s="778"/>
      <c r="AW68" s="778"/>
      <c r="AX68" s="128"/>
      <c r="AY68" s="128"/>
      <c r="AZ68" s="128"/>
      <c r="BA68" s="128"/>
      <c r="BB68" s="128"/>
      <c r="BC68" s="128"/>
      <c r="BD68" s="128"/>
      <c r="BE68" s="196"/>
      <c r="BH68" s="656" t="s">
        <v>1338</v>
      </c>
    </row>
    <row r="69" spans="2:60" ht="21.75" customHeight="1" x14ac:dyDescent="0.15">
      <c r="B69" s="38"/>
      <c r="E69" s="448">
        <v>22.5</v>
      </c>
      <c r="F69" s="3" t="str" cm="1">
        <f t="array" aca="1" ref="F69" ca="1">OFFSET(E69,-1,1)</f>
        <v>1</v>
      </c>
      <c r="T69" s="353" t="b" cm="1">
        <f t="array" ref="T69">T68</f>
        <v>1</v>
      </c>
      <c r="X69" s="990"/>
      <c r="Z69" s="967"/>
      <c r="AB69" s="133" t="s">
        <v>1339</v>
      </c>
      <c r="AC69" s="543" t="s">
        <v>1340</v>
      </c>
      <c r="AD69" s="7" t="s">
        <v>828</v>
      </c>
      <c r="AE69" s="128"/>
      <c r="AF69" s="128"/>
      <c r="AG69" s="128"/>
      <c r="AH69" s="128"/>
      <c r="AI69" s="128"/>
      <c r="AJ69" s="128"/>
      <c r="AK69" s="128"/>
      <c r="AL69" s="778"/>
      <c r="AM69" s="778"/>
      <c r="AN69" s="128"/>
      <c r="AO69" s="128"/>
      <c r="AP69" s="128"/>
      <c r="AQ69" s="128"/>
      <c r="AR69" s="128"/>
      <c r="AS69" s="128"/>
      <c r="AT69" s="128"/>
      <c r="AU69" s="128"/>
      <c r="AV69" s="778"/>
      <c r="AW69" s="778"/>
      <c r="AX69" s="128"/>
      <c r="AY69" s="128"/>
      <c r="AZ69" s="128"/>
      <c r="BA69" s="128"/>
      <c r="BB69" s="128"/>
      <c r="BC69" s="128"/>
      <c r="BD69" s="128"/>
      <c r="BE69" s="196"/>
      <c r="BH69" s="656" t="s">
        <v>1341</v>
      </c>
    </row>
    <row r="70" spans="2:60" ht="14.25" customHeight="1" x14ac:dyDescent="0.15">
      <c r="B70" s="38"/>
      <c r="E70" s="448">
        <v>15</v>
      </c>
      <c r="F70" s="3" t="str" cm="1">
        <f t="array" aca="1" ref="F70" ca="1">OFFSET(E70,-1,1)</f>
        <v>1</v>
      </c>
      <c r="H70" s="38" t="s">
        <v>486</v>
      </c>
      <c r="T70" s="353" t="b" cm="1">
        <f t="array" ref="T70">T69</f>
        <v>1</v>
      </c>
      <c r="X70" s="990"/>
      <c r="Z70" s="967"/>
      <c r="AB70" s="133" t="s">
        <v>942</v>
      </c>
      <c r="AC70" s="127" t="s">
        <v>1342</v>
      </c>
      <c r="AD70" s="7" t="s">
        <v>828</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6" t="s">
        <v>1343</v>
      </c>
    </row>
    <row r="71" spans="2:60" ht="14.25" customHeight="1" x14ac:dyDescent="0.15">
      <c r="B71" s="38"/>
      <c r="E71" s="448">
        <v>15</v>
      </c>
      <c r="F71" s="3" t="str" cm="1">
        <f t="array" aca="1" ref="F71" ca="1">OFFSET(E71,-1,1)</f>
        <v>1</v>
      </c>
      <c r="H71" s="38" t="s">
        <v>1344</v>
      </c>
      <c r="T71" s="353" t="b" cm="1">
        <f t="array" ref="T71">T70</f>
        <v>1</v>
      </c>
      <c r="X71" s="990"/>
      <c r="Z71" s="967"/>
      <c r="AB71" s="133" t="s">
        <v>1345</v>
      </c>
      <c r="AC71" s="134" t="s">
        <v>1346</v>
      </c>
      <c r="AD71" s="7" t="s">
        <v>828</v>
      </c>
      <c r="AE71" s="128"/>
      <c r="AF71" s="128"/>
      <c r="AG71" s="128"/>
      <c r="AH71" s="128"/>
      <c r="AI71" s="128"/>
      <c r="AJ71" s="128"/>
      <c r="AK71" s="128"/>
      <c r="AL71" s="778"/>
      <c r="AM71" s="778"/>
      <c r="AN71" s="128"/>
      <c r="AO71" s="128"/>
      <c r="AP71" s="128"/>
      <c r="AQ71" s="128"/>
      <c r="AR71" s="128"/>
      <c r="AS71" s="128"/>
      <c r="AT71" s="128"/>
      <c r="AU71" s="128"/>
      <c r="AV71" s="778"/>
      <c r="AW71" s="778"/>
      <c r="AX71" s="128"/>
      <c r="AY71" s="128"/>
      <c r="AZ71" s="128"/>
      <c r="BA71" s="128"/>
      <c r="BB71" s="128"/>
      <c r="BC71" s="128"/>
      <c r="BD71" s="128"/>
      <c r="BE71" s="196"/>
      <c r="BH71" s="656" t="s">
        <v>1268</v>
      </c>
    </row>
    <row r="72" spans="2:60" ht="14.25" customHeight="1" x14ac:dyDescent="0.15">
      <c r="B72" s="38"/>
      <c r="E72" s="448">
        <v>15</v>
      </c>
      <c r="F72" s="3" t="str" cm="1">
        <f t="array" aca="1" ref="F72" ca="1">OFFSET(E72,-1,1)</f>
        <v>1</v>
      </c>
      <c r="H72" s="38" t="s">
        <v>1347</v>
      </c>
      <c r="T72" s="353" t="b" cm="1">
        <f t="array" ref="T72">T71</f>
        <v>1</v>
      </c>
      <c r="X72" s="990"/>
      <c r="Z72" s="967"/>
      <c r="AB72" s="133" t="s">
        <v>1348</v>
      </c>
      <c r="AC72" s="134" t="s">
        <v>1349</v>
      </c>
      <c r="AD72" s="7" t="s">
        <v>828</v>
      </c>
      <c r="AE72" s="128"/>
      <c r="AF72" s="128"/>
      <c r="AG72" s="128"/>
      <c r="AH72" s="128"/>
      <c r="AI72" s="128"/>
      <c r="AJ72" s="128"/>
      <c r="AK72" s="128"/>
      <c r="AL72" s="778"/>
      <c r="AM72" s="778"/>
      <c r="AN72" s="128"/>
      <c r="AO72" s="128"/>
      <c r="AP72" s="128"/>
      <c r="AQ72" s="128"/>
      <c r="AR72" s="128"/>
      <c r="AS72" s="128"/>
      <c r="AT72" s="128"/>
      <c r="AU72" s="128"/>
      <c r="AV72" s="778"/>
      <c r="AW72" s="778"/>
      <c r="AX72" s="128"/>
      <c r="AY72" s="128"/>
      <c r="AZ72" s="128"/>
      <c r="BA72" s="128"/>
      <c r="BB72" s="128"/>
      <c r="BC72" s="128"/>
      <c r="BD72" s="128"/>
      <c r="BE72" s="196"/>
      <c r="BH72" s="656" t="s">
        <v>1350</v>
      </c>
    </row>
    <row r="73" spans="2:60" ht="14.25" customHeight="1" x14ac:dyDescent="0.15">
      <c r="B73" s="38"/>
      <c r="E73" s="448">
        <v>15</v>
      </c>
      <c r="F73" s="3" t="str" cm="1">
        <f t="array" aca="1" ref="F73" ca="1">OFFSET(E73,-1,1)</f>
        <v>1</v>
      </c>
      <c r="H73" s="38" t="s">
        <v>1351</v>
      </c>
      <c r="T73" s="353" t="b" cm="1">
        <f t="array" ref="T73">T72</f>
        <v>1</v>
      </c>
      <c r="X73" s="990"/>
      <c r="Z73" s="967"/>
      <c r="AB73" s="133" t="s">
        <v>1352</v>
      </c>
      <c r="AC73" s="134" t="s">
        <v>1353</v>
      </c>
      <c r="AD73" s="7" t="s">
        <v>828</v>
      </c>
      <c r="AE73" s="128"/>
      <c r="AF73" s="128"/>
      <c r="AG73" s="128"/>
      <c r="AH73" s="128"/>
      <c r="AI73" s="128"/>
      <c r="AJ73" s="128"/>
      <c r="AK73" s="128"/>
      <c r="AL73" s="778"/>
      <c r="AM73" s="778"/>
      <c r="AN73" s="128"/>
      <c r="AO73" s="128"/>
      <c r="AP73" s="128"/>
      <c r="AQ73" s="128"/>
      <c r="AR73" s="128"/>
      <c r="AS73" s="128"/>
      <c r="AT73" s="128"/>
      <c r="AU73" s="128"/>
      <c r="AV73" s="778"/>
      <c r="AW73" s="778"/>
      <c r="AX73" s="128"/>
      <c r="AY73" s="128"/>
      <c r="AZ73" s="128"/>
      <c r="BA73" s="128"/>
      <c r="BB73" s="128"/>
      <c r="BC73" s="128"/>
      <c r="BD73" s="128"/>
      <c r="BE73" s="196"/>
      <c r="BH73" s="656" t="s">
        <v>1354</v>
      </c>
    </row>
    <row r="74" spans="2:60" ht="14.25" customHeight="1" x14ac:dyDescent="0.15">
      <c r="B74" s="38"/>
      <c r="E74" s="448">
        <v>15</v>
      </c>
      <c r="F74" s="3" t="str" cm="1">
        <f t="array" aca="1" ref="F74" ca="1">OFFSET(E74,-1,1)</f>
        <v>1</v>
      </c>
      <c r="H74" s="38" t="s">
        <v>489</v>
      </c>
      <c r="T74" s="353" t="b" cm="1">
        <f t="array" ref="T74">T73</f>
        <v>1</v>
      </c>
      <c r="X74" s="990"/>
      <c r="Z74" s="967"/>
      <c r="AB74" s="133" t="s">
        <v>945</v>
      </c>
      <c r="AC74" s="127" t="s">
        <v>1355</v>
      </c>
      <c r="AD74" s="7" t="s">
        <v>828</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6" t="s">
        <v>1356</v>
      </c>
    </row>
    <row r="75" spans="2:60" ht="14.25" customHeight="1" x14ac:dyDescent="0.15">
      <c r="B75" s="38"/>
      <c r="E75" s="448">
        <v>15</v>
      </c>
      <c r="F75" s="3" t="str" cm="1">
        <f t="array" aca="1" ref="F75" ca="1">OFFSET(E75,-1,1)</f>
        <v>1</v>
      </c>
      <c r="H75" s="38" t="s">
        <v>1357</v>
      </c>
      <c r="T75" s="353" t="b" cm="1">
        <f t="array" ref="T75">T74</f>
        <v>1</v>
      </c>
      <c r="X75" s="990"/>
      <c r="Z75" s="967"/>
      <c r="AB75" s="133" t="s">
        <v>1358</v>
      </c>
      <c r="AC75" s="134" t="s">
        <v>1359</v>
      </c>
      <c r="AD75" s="7" t="s">
        <v>828</v>
      </c>
      <c r="AE75" s="128"/>
      <c r="AF75" s="128"/>
      <c r="AG75" s="128"/>
      <c r="AH75" s="128"/>
      <c r="AI75" s="128"/>
      <c r="AJ75" s="128"/>
      <c r="AK75" s="128"/>
      <c r="AL75" s="778"/>
      <c r="AM75" s="778"/>
      <c r="AN75" s="128"/>
      <c r="AO75" s="128"/>
      <c r="AP75" s="128"/>
      <c r="AQ75" s="128"/>
      <c r="AR75" s="128"/>
      <c r="AS75" s="128"/>
      <c r="AT75" s="128"/>
      <c r="AU75" s="128"/>
      <c r="AV75" s="778"/>
      <c r="AW75" s="778"/>
      <c r="AX75" s="128"/>
      <c r="AY75" s="128"/>
      <c r="AZ75" s="128"/>
      <c r="BA75" s="128"/>
      <c r="BB75" s="128"/>
      <c r="BC75" s="128"/>
      <c r="BD75" s="128"/>
      <c r="BE75" s="196"/>
      <c r="BH75" s="656" t="s">
        <v>1360</v>
      </c>
    </row>
    <row r="76" spans="2:60" ht="14.25" customHeight="1" x14ac:dyDescent="0.15">
      <c r="B76" s="38"/>
      <c r="E76" s="448">
        <v>15</v>
      </c>
      <c r="F76" s="3" t="str" cm="1">
        <f t="array" aca="1" ref="F76" ca="1">OFFSET(E76,-1,1)</f>
        <v>1</v>
      </c>
      <c r="H76" s="38" t="s">
        <v>1361</v>
      </c>
      <c r="T76" s="353" t="b" cm="1">
        <f t="array" ref="T76">T75</f>
        <v>1</v>
      </c>
      <c r="X76" s="990"/>
      <c r="Z76" s="967"/>
      <c r="AB76" s="133" t="s">
        <v>1362</v>
      </c>
      <c r="AC76" s="134" t="s">
        <v>1363</v>
      </c>
      <c r="AD76" s="7" t="s">
        <v>828</v>
      </c>
      <c r="AE76" s="128"/>
      <c r="AF76" s="128"/>
      <c r="AG76" s="128"/>
      <c r="AH76" s="128"/>
      <c r="AI76" s="128"/>
      <c r="AJ76" s="128"/>
      <c r="AK76" s="128"/>
      <c r="AL76" s="778"/>
      <c r="AM76" s="778"/>
      <c r="AN76" s="128"/>
      <c r="AO76" s="128"/>
      <c r="AP76" s="128"/>
      <c r="AQ76" s="128"/>
      <c r="AR76" s="128"/>
      <c r="AS76" s="128"/>
      <c r="AT76" s="128"/>
      <c r="AU76" s="128"/>
      <c r="AV76" s="778"/>
      <c r="AW76" s="778"/>
      <c r="AX76" s="128"/>
      <c r="AY76" s="128"/>
      <c r="AZ76" s="128"/>
      <c r="BA76" s="128"/>
      <c r="BB76" s="128"/>
      <c r="BC76" s="128"/>
      <c r="BD76" s="128"/>
      <c r="BE76" s="196"/>
      <c r="BH76" s="656" t="s">
        <v>1364</v>
      </c>
    </row>
    <row r="77" spans="2:60" ht="14.25" customHeight="1" x14ac:dyDescent="0.15">
      <c r="B77" s="38"/>
      <c r="E77" s="448">
        <v>15</v>
      </c>
      <c r="F77" s="3" t="str" cm="1">
        <f t="array" aca="1" ref="F77" ca="1">OFFSET(E77,-1,1)</f>
        <v>1</v>
      </c>
      <c r="H77" s="38" t="s">
        <v>1365</v>
      </c>
      <c r="T77" s="353" t="b" cm="1">
        <f t="array" ref="T77">T76</f>
        <v>1</v>
      </c>
      <c r="X77" s="990"/>
      <c r="Z77" s="967"/>
      <c r="AB77" s="133" t="s">
        <v>1366</v>
      </c>
      <c r="AC77" s="134" t="s">
        <v>1367</v>
      </c>
      <c r="AD77" s="7" t="s">
        <v>828</v>
      </c>
      <c r="AE77" s="128"/>
      <c r="AF77" s="128"/>
      <c r="AG77" s="128"/>
      <c r="AH77" s="128"/>
      <c r="AI77" s="128"/>
      <c r="AJ77" s="128"/>
      <c r="AK77" s="128"/>
      <c r="AL77" s="778"/>
      <c r="AM77" s="778"/>
      <c r="AN77" s="128"/>
      <c r="AO77" s="128"/>
      <c r="AP77" s="128"/>
      <c r="AQ77" s="128"/>
      <c r="AR77" s="128"/>
      <c r="AS77" s="128"/>
      <c r="AT77" s="128"/>
      <c r="AU77" s="128"/>
      <c r="AV77" s="778"/>
      <c r="AW77" s="778"/>
      <c r="AX77" s="128"/>
      <c r="AY77" s="128"/>
      <c r="AZ77" s="128"/>
      <c r="BA77" s="128"/>
      <c r="BB77" s="128"/>
      <c r="BC77" s="128"/>
      <c r="BD77" s="128"/>
      <c r="BE77" s="196"/>
      <c r="BH77" s="656" t="s">
        <v>1368</v>
      </c>
    </row>
    <row r="78" spans="2:60" ht="14.25" customHeight="1" x14ac:dyDescent="0.15">
      <c r="B78" s="38"/>
      <c r="E78" s="448">
        <v>15</v>
      </c>
      <c r="F78" s="3" t="str" cm="1">
        <f t="array" aca="1" ref="F78" ca="1">OFFSET(E78,-1,1)</f>
        <v>1</v>
      </c>
      <c r="H78" s="38" t="s">
        <v>493</v>
      </c>
      <c r="T78" s="353" t="b" cm="1">
        <f t="array" ref="T78">T77</f>
        <v>1</v>
      </c>
      <c r="X78" s="990"/>
      <c r="Z78" s="967"/>
      <c r="AB78" s="133" t="s">
        <v>948</v>
      </c>
      <c r="AC78" s="127" t="s">
        <v>1369</v>
      </c>
      <c r="AD78" s="7" t="s">
        <v>828</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6" t="s">
        <v>1370</v>
      </c>
    </row>
    <row r="79" spans="2:60" ht="14.25" customHeight="1" x14ac:dyDescent="0.15">
      <c r="B79" s="38"/>
      <c r="E79" s="448">
        <v>15</v>
      </c>
      <c r="F79" s="3" t="str" cm="1">
        <f t="array" aca="1" ref="F79" ca="1">OFFSET(E79,-1,1)</f>
        <v>1</v>
      </c>
      <c r="H79" s="38" t="s">
        <v>1371</v>
      </c>
      <c r="T79" s="353" t="b" cm="1">
        <f t="array" ref="T79">T78</f>
        <v>1</v>
      </c>
      <c r="X79" s="990"/>
      <c r="Z79" s="967"/>
      <c r="AB79" s="133" t="s">
        <v>1087</v>
      </c>
      <c r="AC79" s="134" t="s">
        <v>1081</v>
      </c>
      <c r="AD79" s="7" t="s">
        <v>828</v>
      </c>
      <c r="AE79" s="128"/>
      <c r="AF79" s="128"/>
      <c r="AG79" s="128"/>
      <c r="AH79" s="128"/>
      <c r="AI79" s="128"/>
      <c r="AJ79" s="128"/>
      <c r="AK79" s="128"/>
      <c r="AL79" s="778"/>
      <c r="AM79" s="778"/>
      <c r="AN79" s="128"/>
      <c r="AO79" s="128"/>
      <c r="AP79" s="128"/>
      <c r="AQ79" s="128"/>
      <c r="AR79" s="128"/>
      <c r="AS79" s="128"/>
      <c r="AT79" s="128"/>
      <c r="AU79" s="128"/>
      <c r="AV79" s="778"/>
      <c r="AW79" s="778"/>
      <c r="AX79" s="128"/>
      <c r="AY79" s="128"/>
      <c r="AZ79" s="128"/>
      <c r="BA79" s="128"/>
      <c r="BB79" s="128"/>
      <c r="BC79" s="128"/>
      <c r="BD79" s="128"/>
      <c r="BE79" s="196"/>
      <c r="BH79" s="656" t="s">
        <v>1083</v>
      </c>
    </row>
    <row r="80" spans="2:60" ht="21.75" customHeight="1" x14ac:dyDescent="0.15">
      <c r="B80" s="38"/>
      <c r="E80" s="448">
        <v>22.5</v>
      </c>
      <c r="F80" s="3" t="str" cm="1">
        <f t="array" aca="1" ref="F80" ca="1">OFFSET(E80,-1,1)</f>
        <v>1</v>
      </c>
      <c r="H80" s="38" t="s">
        <v>1372</v>
      </c>
      <c r="T80" s="353" t="b" cm="1">
        <f t="array" ref="T80">T79</f>
        <v>1</v>
      </c>
      <c r="X80" s="990"/>
      <c r="Z80" s="967"/>
      <c r="AB80" s="133" t="s">
        <v>1090</v>
      </c>
      <c r="AC80" s="134" t="s">
        <v>1373</v>
      </c>
      <c r="AD80" s="7" t="s">
        <v>828</v>
      </c>
      <c r="AE80" s="128"/>
      <c r="AF80" s="128"/>
      <c r="AG80" s="128"/>
      <c r="AH80" s="128"/>
      <c r="AI80" s="128"/>
      <c r="AJ80" s="128"/>
      <c r="AK80" s="128"/>
      <c r="AL80" s="778"/>
      <c r="AM80" s="778"/>
      <c r="AN80" s="128"/>
      <c r="AO80" s="128"/>
      <c r="AP80" s="128"/>
      <c r="AQ80" s="128"/>
      <c r="AR80" s="128"/>
      <c r="AS80" s="128"/>
      <c r="AT80" s="128"/>
      <c r="AU80" s="128"/>
      <c r="AV80" s="778"/>
      <c r="AW80" s="778"/>
      <c r="AX80" s="128"/>
      <c r="AY80" s="128"/>
      <c r="AZ80" s="128"/>
      <c r="BA80" s="128"/>
      <c r="BB80" s="128"/>
      <c r="BC80" s="128"/>
      <c r="BD80" s="128"/>
      <c r="BE80" s="196"/>
      <c r="BH80" s="656" t="s">
        <v>1374</v>
      </c>
    </row>
    <row r="81" spans="1:60" ht="21.75" customHeight="1" x14ac:dyDescent="0.15">
      <c r="B81" s="38"/>
      <c r="E81" s="448">
        <v>22.5</v>
      </c>
      <c r="F81" s="3" t="str" cm="1">
        <f t="array" aca="1" ref="F81" ca="1">OFFSET(E81,-1,1)</f>
        <v>1</v>
      </c>
      <c r="H81" s="38" t="s">
        <v>1375</v>
      </c>
      <c r="T81" s="353" t="b" cm="1">
        <f t="array" ref="T81">T80</f>
        <v>1</v>
      </c>
      <c r="X81" s="990"/>
      <c r="Z81" s="967"/>
      <c r="AB81" s="133" t="s">
        <v>1376</v>
      </c>
      <c r="AC81" s="134" t="s">
        <v>1377</v>
      </c>
      <c r="AD81" s="7" t="s">
        <v>828</v>
      </c>
      <c r="AE81" s="128"/>
      <c r="AF81" s="128"/>
      <c r="AG81" s="128"/>
      <c r="AH81" s="128"/>
      <c r="AI81" s="128"/>
      <c r="AJ81" s="128"/>
      <c r="AK81" s="128"/>
      <c r="AL81" s="778"/>
      <c r="AM81" s="778"/>
      <c r="AN81" s="128"/>
      <c r="AO81" s="128"/>
      <c r="AP81" s="128"/>
      <c r="AQ81" s="128"/>
      <c r="AR81" s="128"/>
      <c r="AS81" s="128"/>
      <c r="AT81" s="128"/>
      <c r="AU81" s="128"/>
      <c r="AV81" s="778"/>
      <c r="AW81" s="778"/>
      <c r="AX81" s="128"/>
      <c r="AY81" s="128"/>
      <c r="AZ81" s="128"/>
      <c r="BA81" s="128"/>
      <c r="BB81" s="128"/>
      <c r="BC81" s="128"/>
      <c r="BD81" s="128"/>
      <c r="BE81" s="196"/>
      <c r="BH81" s="656" t="s">
        <v>1378</v>
      </c>
    </row>
    <row r="82" spans="1:60" ht="14.25" customHeight="1" x14ac:dyDescent="0.15">
      <c r="B82" s="38"/>
      <c r="E82" s="448">
        <v>15</v>
      </c>
      <c r="F82" s="3" t="str" cm="1">
        <f t="array" aca="1" ref="F82" ca="1">OFFSET(E82,-1,1)</f>
        <v>1</v>
      </c>
      <c r="H82" s="38" t="s">
        <v>1379</v>
      </c>
      <c r="T82" s="353" t="b" cm="1">
        <f t="array" ref="T82">T81</f>
        <v>1</v>
      </c>
      <c r="X82" s="990"/>
      <c r="Z82" s="967"/>
      <c r="AB82" s="133" t="s">
        <v>1380</v>
      </c>
      <c r="AC82" s="134" t="s">
        <v>1381</v>
      </c>
      <c r="AD82" s="7" t="s">
        <v>828</v>
      </c>
      <c r="AE82" s="128"/>
      <c r="AF82" s="128"/>
      <c r="AG82" s="128"/>
      <c r="AH82" s="128"/>
      <c r="AI82" s="128"/>
      <c r="AJ82" s="128"/>
      <c r="AK82" s="128"/>
      <c r="AL82" s="778"/>
      <c r="AM82" s="778"/>
      <c r="AN82" s="128"/>
      <c r="AO82" s="128"/>
      <c r="AP82" s="128"/>
      <c r="AQ82" s="128"/>
      <c r="AR82" s="128"/>
      <c r="AS82" s="128"/>
      <c r="AT82" s="128"/>
      <c r="AU82" s="128"/>
      <c r="AV82" s="778"/>
      <c r="AW82" s="778"/>
      <c r="AX82" s="128"/>
      <c r="AY82" s="128"/>
      <c r="AZ82" s="128"/>
      <c r="BA82" s="128"/>
      <c r="BB82" s="128"/>
      <c r="BC82" s="128"/>
      <c r="BD82" s="128"/>
      <c r="BE82" s="196"/>
      <c r="BH82" s="656" t="s">
        <v>1382</v>
      </c>
    </row>
    <row r="83" spans="1:60" s="857" customFormat="1" ht="21.75" customHeight="1" x14ac:dyDescent="0.15">
      <c r="A83" s="154"/>
      <c r="B83" s="38"/>
      <c r="C83" s="154"/>
      <c r="D83" s="154"/>
      <c r="E83" s="501">
        <v>22.5</v>
      </c>
      <c r="F83" s="3" t="str" cm="1">
        <f t="array" aca="1" ref="F83" ca="1">OFFSET(E83,-1,1)</f>
        <v>1</v>
      </c>
      <c r="G83" s="38"/>
      <c r="H83" s="38" t="s">
        <v>332</v>
      </c>
      <c r="I83" s="154"/>
      <c r="J83" s="154"/>
      <c r="K83" s="154"/>
      <c r="L83" s="154"/>
      <c r="M83" s="154"/>
      <c r="N83" s="154"/>
      <c r="O83" s="154"/>
      <c r="P83" s="154"/>
      <c r="Q83" s="154"/>
      <c r="R83" s="154"/>
      <c r="S83" s="154"/>
      <c r="T83" s="353" t="b" cm="1">
        <f t="array" ref="T83">T82</f>
        <v>1</v>
      </c>
      <c r="U83" s="154"/>
      <c r="V83" s="154"/>
      <c r="W83" s="154"/>
      <c r="X83" s="990"/>
      <c r="Y83" s="154"/>
      <c r="Z83" s="967"/>
      <c r="AA83" s="154"/>
      <c r="AB83" s="131" t="s">
        <v>285</v>
      </c>
      <c r="AC83" s="132" t="s">
        <v>1383</v>
      </c>
      <c r="AD83" s="124" t="s">
        <v>828</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8" t="s">
        <v>1384</v>
      </c>
    </row>
    <row r="84" spans="1:60" ht="14.25" customHeight="1" x14ac:dyDescent="0.15">
      <c r="B84" s="38"/>
      <c r="E84" s="448">
        <v>15</v>
      </c>
      <c r="F84" s="3" t="str" cm="1">
        <f t="array" aca="1" ref="F84" ca="1">OFFSET(E84,-1,1)</f>
        <v>1</v>
      </c>
      <c r="H84" s="38" t="s">
        <v>500</v>
      </c>
      <c r="K84" s="40" t="str">
        <f ca="1">F84&amp;"2komm"</f>
        <v>12komm</v>
      </c>
      <c r="L84" s="40" cm="1">
        <f t="array" ref="L84">BE84</f>
        <v>0</v>
      </c>
      <c r="T84" s="353" t="b" cm="1">
        <f t="array" ref="T84">T83</f>
        <v>1</v>
      </c>
      <c r="X84" s="990"/>
      <c r="Z84" s="967"/>
      <c r="AB84" s="133" t="s">
        <v>561</v>
      </c>
      <c r="AC84" s="127" t="s">
        <v>1385</v>
      </c>
      <c r="AD84" s="7" t="s">
        <v>828</v>
      </c>
      <c r="AE84" s="128"/>
      <c r="AF84" s="128"/>
      <c r="AG84" s="128"/>
      <c r="AH84" s="128"/>
      <c r="AI84" s="128"/>
      <c r="AJ84" s="128"/>
      <c r="AK84" s="128"/>
      <c r="AL84" s="778"/>
      <c r="AM84" s="778"/>
      <c r="AN84" s="128"/>
      <c r="AO84" s="128"/>
      <c r="AP84" s="128"/>
      <c r="AQ84" s="128"/>
      <c r="AR84" s="128"/>
      <c r="AS84" s="128"/>
      <c r="AT84" s="128"/>
      <c r="AU84" s="128"/>
      <c r="AV84" s="778"/>
      <c r="AW84" s="778"/>
      <c r="AX84" s="128"/>
      <c r="AY84" s="128"/>
      <c r="AZ84" s="128"/>
      <c r="BA84" s="128"/>
      <c r="BB84" s="128"/>
      <c r="BC84" s="128"/>
      <c r="BD84" s="128"/>
      <c r="BE84" s="196"/>
      <c r="BH84" s="656" t="s">
        <v>1386</v>
      </c>
    </row>
    <row r="85" spans="1:60" ht="14.25" customHeight="1" x14ac:dyDescent="0.15">
      <c r="B85" s="38"/>
      <c r="E85" s="448">
        <v>15</v>
      </c>
      <c r="F85" s="3" t="str" cm="1">
        <f t="array" aca="1" ref="F85" ca="1">OFFSET(E85,-1,1)</f>
        <v>1</v>
      </c>
      <c r="H85" s="38" t="s">
        <v>503</v>
      </c>
      <c r="K85" s="40" t="str">
        <f ca="1">F85&amp;"3komm"</f>
        <v>13komm</v>
      </c>
      <c r="L85" s="40" cm="1">
        <f t="array" ref="L85">BE85</f>
        <v>0</v>
      </c>
      <c r="T85" s="353" t="b" cm="1">
        <f t="array" ref="T85">T84</f>
        <v>1</v>
      </c>
      <c r="X85" s="990"/>
      <c r="Z85" s="967"/>
      <c r="AB85" s="133" t="s">
        <v>565</v>
      </c>
      <c r="AC85" s="127" t="s">
        <v>1387</v>
      </c>
      <c r="AD85" s="7" t="s">
        <v>828</v>
      </c>
      <c r="AE85" s="128"/>
      <c r="AF85" s="128"/>
      <c r="AG85" s="128"/>
      <c r="AH85" s="128"/>
      <c r="AI85" s="128"/>
      <c r="AJ85" s="128"/>
      <c r="AK85" s="128"/>
      <c r="AL85" s="778"/>
      <c r="AM85" s="778"/>
      <c r="AN85" s="128"/>
      <c r="AO85" s="128"/>
      <c r="AP85" s="128"/>
      <c r="AQ85" s="128"/>
      <c r="AR85" s="128"/>
      <c r="AS85" s="128"/>
      <c r="AT85" s="128"/>
      <c r="AU85" s="128"/>
      <c r="AV85" s="778"/>
      <c r="AW85" s="778"/>
      <c r="AX85" s="128"/>
      <c r="AY85" s="128"/>
      <c r="AZ85" s="128"/>
      <c r="BA85" s="128"/>
      <c r="BB85" s="128"/>
      <c r="BC85" s="128"/>
      <c r="BD85" s="128"/>
      <c r="BE85" s="196"/>
      <c r="BH85" s="656" t="s">
        <v>1388</v>
      </c>
    </row>
    <row r="86" spans="1:60" ht="14.25" customHeight="1" x14ac:dyDescent="0.15">
      <c r="B86" s="38"/>
      <c r="E86" s="448">
        <v>15</v>
      </c>
      <c r="F86" s="3" t="str" cm="1">
        <f t="array" aca="1" ref="F86" ca="1">OFFSET(E86,-1,1)</f>
        <v>1</v>
      </c>
      <c r="H86" s="38" t="s">
        <v>959</v>
      </c>
      <c r="T86" s="353" t="b" cm="1">
        <f t="array" ref="T86">T85</f>
        <v>1</v>
      </c>
      <c r="X86" s="990"/>
      <c r="Z86" s="967"/>
      <c r="AB86" s="133" t="s">
        <v>569</v>
      </c>
      <c r="AC86" s="127" t="s">
        <v>1389</v>
      </c>
      <c r="AD86" s="7" t="s">
        <v>828</v>
      </c>
      <c r="AE86" s="128"/>
      <c r="AF86" s="128"/>
      <c r="AG86" s="128"/>
      <c r="AH86" s="128"/>
      <c r="AI86" s="128"/>
      <c r="AJ86" s="128"/>
      <c r="AK86" s="128"/>
      <c r="AL86" s="778"/>
      <c r="AM86" s="778"/>
      <c r="AN86" s="128"/>
      <c r="AO86" s="128"/>
      <c r="AP86" s="128"/>
      <c r="AQ86" s="128"/>
      <c r="AR86" s="128"/>
      <c r="AS86" s="128"/>
      <c r="AT86" s="128"/>
      <c r="AU86" s="128"/>
      <c r="AV86" s="778"/>
      <c r="AW86" s="778"/>
      <c r="AX86" s="128"/>
      <c r="AY86" s="128"/>
      <c r="AZ86" s="128"/>
      <c r="BA86" s="128"/>
      <c r="BB86" s="128"/>
      <c r="BC86" s="128"/>
      <c r="BD86" s="128"/>
      <c r="BE86" s="196"/>
      <c r="BH86" s="656" t="s">
        <v>1390</v>
      </c>
    </row>
    <row r="87" spans="1:60" ht="14.25" customHeight="1" x14ac:dyDescent="0.15">
      <c r="B87" s="38"/>
      <c r="E87" s="448">
        <v>15</v>
      </c>
      <c r="F87" s="17" t="str" cm="1">
        <f t="array" ref="F87">X87</f>
        <v>2</v>
      </c>
      <c r="T87" s="353" t="b">
        <f>X87&gt;0</f>
        <v>1</v>
      </c>
      <c r="V87" s="38" t="str" cm="1">
        <f t="array" ref="V87">Налоги!$AB$55</f>
        <v>Тариф 2 (Водоотведение) - тариф на водоотведение</v>
      </c>
      <c r="X87" s="990" t="s">
        <v>285</v>
      </c>
      <c r="Z87" s="967"/>
      <c r="AB87" s="155" t="str" cm="1">
        <f t="array" ref="AB87">Налоги!$AB$55</f>
        <v>Тариф 2 (Водоотведение) - тариф на водоотведение</v>
      </c>
      <c r="AC87" s="562"/>
      <c r="AD87" s="562"/>
      <c r="AE87" s="562"/>
      <c r="AF87" s="562"/>
      <c r="AG87" s="562"/>
      <c r="AH87" s="562"/>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row>
    <row r="88" spans="1:60" s="857" customFormat="1" ht="21.75" customHeight="1" x14ac:dyDescent="0.15">
      <c r="A88" s="154"/>
      <c r="B88" s="38"/>
      <c r="C88" s="154"/>
      <c r="D88" s="154"/>
      <c r="E88" s="501">
        <v>22.5</v>
      </c>
      <c r="F88" s="3" t="str" cm="1">
        <f t="array" aca="1" ref="F88" ca="1">OFFSET(E88,-1,1)</f>
        <v>2</v>
      </c>
      <c r="G88" s="38"/>
      <c r="H88" s="38" t="s">
        <v>331</v>
      </c>
      <c r="I88" s="154"/>
      <c r="J88" s="154"/>
      <c r="K88" s="154"/>
      <c r="L88" s="154"/>
      <c r="M88" s="154"/>
      <c r="N88" s="154"/>
      <c r="O88" s="154"/>
      <c r="P88" s="154"/>
      <c r="Q88" s="154"/>
      <c r="R88" s="154"/>
      <c r="S88" s="154"/>
      <c r="T88" s="353" t="b" cm="1">
        <f t="array" ref="T88">T87</f>
        <v>1</v>
      </c>
      <c r="U88" s="154"/>
      <c r="V88" s="154"/>
      <c r="W88" s="154"/>
      <c r="X88" s="990"/>
      <c r="Y88" s="154"/>
      <c r="Z88" s="967"/>
      <c r="AA88" s="154"/>
      <c r="AB88" s="131">
        <v>1</v>
      </c>
      <c r="AC88" s="125" t="s">
        <v>1312</v>
      </c>
      <c r="AD88" s="124" t="s">
        <v>828</v>
      </c>
      <c r="AE88" s="126">
        <f t="shared" ref="AE88:BD88" si="15">AE89+AE99+AE103+AE107</f>
        <v>0</v>
      </c>
      <c r="AF88" s="126">
        <f t="shared" si="15"/>
        <v>0</v>
      </c>
      <c r="AG88" s="126">
        <f t="shared" si="15"/>
        <v>0</v>
      </c>
      <c r="AH88" s="126">
        <f t="shared" si="15"/>
        <v>0</v>
      </c>
      <c r="AI88" s="126">
        <f t="shared" si="15"/>
        <v>0</v>
      </c>
      <c r="AJ88" s="126">
        <f t="shared" si="15"/>
        <v>0</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0</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c r="BF88" s="154"/>
      <c r="BG88" s="154"/>
      <c r="BH88" s="688" t="s">
        <v>1313</v>
      </c>
    </row>
    <row r="89" spans="1:60" ht="14.25" customHeight="1" x14ac:dyDescent="0.15">
      <c r="B89" s="38"/>
      <c r="E89" s="448">
        <v>15</v>
      </c>
      <c r="F89" s="3" t="str" cm="1">
        <f t="array" aca="1" ref="F89" ca="1">OFFSET(E89,-1,1)</f>
        <v>2</v>
      </c>
      <c r="H89" s="38" t="s">
        <v>482</v>
      </c>
      <c r="T89" s="353" t="b" cm="1">
        <f t="array" ref="T89">T88</f>
        <v>1</v>
      </c>
      <c r="X89" s="990"/>
      <c r="Z89" s="967"/>
      <c r="AB89" s="133" t="s">
        <v>939</v>
      </c>
      <c r="AC89" s="127" t="s">
        <v>1314</v>
      </c>
      <c r="AD89" s="7" t="s">
        <v>828</v>
      </c>
      <c r="AE89" s="171">
        <f t="shared" ref="AE89:BD89" si="16">AE90+AE91+AE92+AE93+AE94</f>
        <v>0</v>
      </c>
      <c r="AF89" s="171">
        <f t="shared" si="16"/>
        <v>0</v>
      </c>
      <c r="AG89" s="171">
        <f t="shared" si="16"/>
        <v>0</v>
      </c>
      <c r="AH89" s="171">
        <f t="shared" si="16"/>
        <v>0</v>
      </c>
      <c r="AI89" s="171">
        <f t="shared" si="16"/>
        <v>0</v>
      </c>
      <c r="AJ89" s="171">
        <f t="shared" si="16"/>
        <v>0</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0</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6" t="s">
        <v>1315</v>
      </c>
    </row>
    <row r="90" spans="1:60" ht="14.25" customHeight="1" x14ac:dyDescent="0.15">
      <c r="B90" s="38"/>
      <c r="E90" s="448">
        <v>15</v>
      </c>
      <c r="F90" s="3" t="str" cm="1">
        <f t="array" aca="1" ref="F90" ca="1">OFFSET(E90,-1,1)</f>
        <v>2</v>
      </c>
      <c r="H90" s="38" t="s">
        <v>1070</v>
      </c>
      <c r="T90" s="353" t="b" cm="1">
        <f t="array" ref="T90">T89</f>
        <v>1</v>
      </c>
      <c r="X90" s="990"/>
      <c r="Z90" s="967"/>
      <c r="AB90" s="133" t="s">
        <v>1071</v>
      </c>
      <c r="AC90" s="134" t="s">
        <v>1316</v>
      </c>
      <c r="AD90" s="7" t="s">
        <v>828</v>
      </c>
      <c r="AE90" s="128"/>
      <c r="AF90" s="128"/>
      <c r="AG90" s="128"/>
      <c r="AH90" s="128"/>
      <c r="AI90" s="128"/>
      <c r="AJ90" s="128"/>
      <c r="AK90" s="128"/>
      <c r="AL90" s="778"/>
      <c r="AM90" s="778"/>
      <c r="AN90" s="128"/>
      <c r="AO90" s="128"/>
      <c r="AP90" s="128"/>
      <c r="AQ90" s="128"/>
      <c r="AR90" s="128"/>
      <c r="AS90" s="128"/>
      <c r="AT90" s="128"/>
      <c r="AU90" s="128"/>
      <c r="AV90" s="778"/>
      <c r="AW90" s="778"/>
      <c r="AX90" s="128"/>
      <c r="AY90" s="128"/>
      <c r="AZ90" s="128"/>
      <c r="BA90" s="128"/>
      <c r="BB90" s="128"/>
      <c r="BC90" s="128"/>
      <c r="BD90" s="128"/>
      <c r="BE90" s="196"/>
      <c r="BH90" s="656" t="s">
        <v>1247</v>
      </c>
    </row>
    <row r="91" spans="1:60" ht="14.25" customHeight="1" x14ac:dyDescent="0.15">
      <c r="B91" s="38"/>
      <c r="E91" s="448">
        <v>15</v>
      </c>
      <c r="F91" s="3" t="str" cm="1">
        <f t="array" aca="1" ref="F91" ca="1">OFFSET(E91,-1,1)</f>
        <v>2</v>
      </c>
      <c r="H91" s="38" t="s">
        <v>1074</v>
      </c>
      <c r="K91" s="40" t="str">
        <f ca="1">F91&amp;"1komm"</f>
        <v>21komm</v>
      </c>
      <c r="L91" s="609" cm="1">
        <f t="array" ref="L91">BE91</f>
        <v>0</v>
      </c>
      <c r="T91" s="353" t="b" cm="1">
        <f t="array" ref="T91">T90</f>
        <v>1</v>
      </c>
      <c r="X91" s="990"/>
      <c r="Z91" s="967"/>
      <c r="AB91" s="133" t="s">
        <v>1075</v>
      </c>
      <c r="AC91" s="134" t="s">
        <v>1317</v>
      </c>
      <c r="AD91" s="7" t="s">
        <v>828</v>
      </c>
      <c r="AE91" s="128"/>
      <c r="AF91" s="128"/>
      <c r="AG91" s="128"/>
      <c r="AH91" s="128"/>
      <c r="AI91" s="128"/>
      <c r="AJ91" s="128"/>
      <c r="AK91" s="128"/>
      <c r="AL91" s="778"/>
      <c r="AM91" s="778"/>
      <c r="AN91" s="128"/>
      <c r="AO91" s="128"/>
      <c r="AP91" s="128"/>
      <c r="AQ91" s="128"/>
      <c r="AR91" s="128"/>
      <c r="AS91" s="128"/>
      <c r="AT91" s="128"/>
      <c r="AU91" s="128"/>
      <c r="AV91" s="778"/>
      <c r="AW91" s="778"/>
      <c r="AX91" s="128"/>
      <c r="AY91" s="128"/>
      <c r="AZ91" s="128"/>
      <c r="BA91" s="128"/>
      <c r="BB91" s="128"/>
      <c r="BC91" s="128"/>
      <c r="BD91" s="128"/>
      <c r="BE91" s="196"/>
      <c r="BH91" s="656" t="s">
        <v>1318</v>
      </c>
    </row>
    <row r="92" spans="1:60" ht="14.25" customHeight="1" x14ac:dyDescent="0.15">
      <c r="B92" s="38"/>
      <c r="E92" s="448">
        <v>15</v>
      </c>
      <c r="F92" s="3" t="str" cm="1">
        <f t="array" aca="1" ref="F92" ca="1">OFFSET(E92,-1,1)</f>
        <v>2</v>
      </c>
      <c r="H92" s="38" t="s">
        <v>1319</v>
      </c>
      <c r="T92" s="353" t="b" cm="1">
        <f t="array" ref="T92">T91</f>
        <v>1</v>
      </c>
      <c r="X92" s="990"/>
      <c r="Z92" s="967"/>
      <c r="AB92" s="133" t="s">
        <v>1320</v>
      </c>
      <c r="AC92" s="134" t="s">
        <v>1321</v>
      </c>
      <c r="AD92" s="7" t="s">
        <v>828</v>
      </c>
      <c r="AE92" s="128"/>
      <c r="AF92" s="128"/>
      <c r="AG92" s="128"/>
      <c r="AH92" s="128"/>
      <c r="AI92" s="128"/>
      <c r="AJ92" s="128"/>
      <c r="AK92" s="128"/>
      <c r="AL92" s="778"/>
      <c r="AM92" s="778"/>
      <c r="AN92" s="128"/>
      <c r="AO92" s="128"/>
      <c r="AP92" s="128"/>
      <c r="AQ92" s="128"/>
      <c r="AR92" s="128"/>
      <c r="AS92" s="128"/>
      <c r="AT92" s="128"/>
      <c r="AU92" s="128"/>
      <c r="AV92" s="778"/>
      <c r="AW92" s="778"/>
      <c r="AX92" s="128"/>
      <c r="AY92" s="128"/>
      <c r="AZ92" s="128"/>
      <c r="BA92" s="128"/>
      <c r="BB92" s="128"/>
      <c r="BC92" s="128"/>
      <c r="BD92" s="128"/>
      <c r="BE92" s="196"/>
      <c r="BH92" s="656" t="s">
        <v>1322</v>
      </c>
    </row>
    <row r="93" spans="1:60" ht="14.25" customHeight="1" x14ac:dyDescent="0.15">
      <c r="B93" s="38"/>
      <c r="E93" s="448">
        <v>15</v>
      </c>
      <c r="F93" s="3" t="str" cm="1">
        <f t="array" aca="1" ref="F93" ca="1">OFFSET(E93,-1,1)</f>
        <v>2</v>
      </c>
      <c r="H93" s="38" t="s">
        <v>1323</v>
      </c>
      <c r="T93" s="353" t="b" cm="1">
        <f t="array" ref="T93">T92</f>
        <v>1</v>
      </c>
      <c r="X93" s="990"/>
      <c r="Z93" s="967"/>
      <c r="AB93" s="133" t="s">
        <v>1324</v>
      </c>
      <c r="AC93" s="134" t="s">
        <v>1325</v>
      </c>
      <c r="AD93" s="7" t="s">
        <v>828</v>
      </c>
      <c r="AE93" s="128"/>
      <c r="AF93" s="128"/>
      <c r="AG93" s="128"/>
      <c r="AH93" s="128"/>
      <c r="AI93" s="128"/>
      <c r="AJ93" s="128"/>
      <c r="AK93" s="128"/>
      <c r="AL93" s="778"/>
      <c r="AM93" s="778"/>
      <c r="AN93" s="128"/>
      <c r="AO93" s="128"/>
      <c r="AP93" s="128"/>
      <c r="AQ93" s="128"/>
      <c r="AR93" s="128"/>
      <c r="AS93" s="128"/>
      <c r="AT93" s="128"/>
      <c r="AU93" s="128"/>
      <c r="AV93" s="778"/>
      <c r="AW93" s="778"/>
      <c r="AX93" s="128"/>
      <c r="AY93" s="128"/>
      <c r="AZ93" s="128"/>
      <c r="BA93" s="128"/>
      <c r="BB93" s="128"/>
      <c r="BC93" s="128"/>
      <c r="BD93" s="128"/>
      <c r="BE93" s="196"/>
      <c r="BH93" s="656" t="s">
        <v>1326</v>
      </c>
    </row>
    <row r="94" spans="1:60" ht="21.75" customHeight="1" x14ac:dyDescent="0.15">
      <c r="B94" s="38"/>
      <c r="E94" s="448">
        <v>22.5</v>
      </c>
      <c r="F94" s="3" t="str" cm="1">
        <f t="array" aca="1" ref="F94" ca="1">OFFSET(E94,-1,1)</f>
        <v>2</v>
      </c>
      <c r="T94" s="353" t="b" cm="1">
        <f t="array" ref="T94">T93</f>
        <v>1</v>
      </c>
      <c r="X94" s="990"/>
      <c r="Z94" s="967"/>
      <c r="AB94" s="133" t="s">
        <v>1327</v>
      </c>
      <c r="AC94" s="134" t="s">
        <v>1328</v>
      </c>
      <c r="AD94" s="7" t="s">
        <v>828</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78">
        <f t="shared" si="17"/>
        <v>0</v>
      </c>
      <c r="AM94" s="778">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78">
        <f t="shared" si="17"/>
        <v>0</v>
      </c>
      <c r="AW94" s="778">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6" t="s">
        <v>1329</v>
      </c>
    </row>
    <row r="95" spans="1:60" ht="44.25" customHeight="1" x14ac:dyDescent="0.15">
      <c r="B95" s="38"/>
      <c r="E95" s="448">
        <v>45.75</v>
      </c>
      <c r="F95" s="3" t="str" cm="1">
        <f t="array" aca="1" ref="F95" ca="1">OFFSET(E95,-1,1)</f>
        <v>2</v>
      </c>
      <c r="T95" s="353" t="b" cm="1">
        <f t="array" ref="T95">T94</f>
        <v>1</v>
      </c>
      <c r="X95" s="990"/>
      <c r="Z95" s="967"/>
      <c r="AB95" s="133" t="s">
        <v>1330</v>
      </c>
      <c r="AC95" s="543" t="s">
        <v>1331</v>
      </c>
      <c r="AD95" s="7" t="s">
        <v>828</v>
      </c>
      <c r="AE95" s="128"/>
      <c r="AF95" s="128"/>
      <c r="AG95" s="128"/>
      <c r="AH95" s="128"/>
      <c r="AI95" s="128"/>
      <c r="AJ95" s="128"/>
      <c r="AK95" s="128"/>
      <c r="AL95" s="778"/>
      <c r="AM95" s="778"/>
      <c r="AN95" s="128"/>
      <c r="AO95" s="128"/>
      <c r="AP95" s="128"/>
      <c r="AQ95" s="128"/>
      <c r="AR95" s="128"/>
      <c r="AS95" s="128"/>
      <c r="AT95" s="128"/>
      <c r="AU95" s="128"/>
      <c r="AV95" s="778"/>
      <c r="AW95" s="778"/>
      <c r="AX95" s="128"/>
      <c r="AY95" s="128"/>
      <c r="AZ95" s="128"/>
      <c r="BA95" s="128"/>
      <c r="BB95" s="128"/>
      <c r="BC95" s="128"/>
      <c r="BD95" s="128"/>
      <c r="BE95" s="196"/>
      <c r="BH95" s="656" t="s">
        <v>1332</v>
      </c>
    </row>
    <row r="96" spans="1:60" ht="44.25" customHeight="1" x14ac:dyDescent="0.15">
      <c r="B96" s="38"/>
      <c r="E96" s="448">
        <v>45.75</v>
      </c>
      <c r="F96" s="3" t="str" cm="1">
        <f t="array" aca="1" ref="F96" ca="1">OFFSET(E96,-1,1)</f>
        <v>2</v>
      </c>
      <c r="T96" s="353" t="b" cm="1">
        <f t="array" ref="T96">T95</f>
        <v>1</v>
      </c>
      <c r="X96" s="990"/>
      <c r="Z96" s="967"/>
      <c r="AB96" s="133" t="s">
        <v>1333</v>
      </c>
      <c r="AC96" s="543" t="s">
        <v>1334</v>
      </c>
      <c r="AD96" s="7" t="s">
        <v>828</v>
      </c>
      <c r="AE96" s="128"/>
      <c r="AF96" s="128"/>
      <c r="AG96" s="128"/>
      <c r="AH96" s="128"/>
      <c r="AI96" s="128"/>
      <c r="AJ96" s="128"/>
      <c r="AK96" s="128"/>
      <c r="AL96" s="778"/>
      <c r="AM96" s="778"/>
      <c r="AN96" s="128"/>
      <c r="AO96" s="128"/>
      <c r="AP96" s="128"/>
      <c r="AQ96" s="128"/>
      <c r="AR96" s="128"/>
      <c r="AS96" s="128"/>
      <c r="AT96" s="128"/>
      <c r="AU96" s="128"/>
      <c r="AV96" s="778"/>
      <c r="AW96" s="778"/>
      <c r="AX96" s="128"/>
      <c r="AY96" s="128"/>
      <c r="AZ96" s="128"/>
      <c r="BA96" s="128"/>
      <c r="BB96" s="128"/>
      <c r="BC96" s="128"/>
      <c r="BD96" s="128"/>
      <c r="BE96" s="196"/>
      <c r="BH96" s="656" t="s">
        <v>1335</v>
      </c>
    </row>
    <row r="97" spans="1:60" ht="44.25" customHeight="1" x14ac:dyDescent="0.15">
      <c r="B97" s="38"/>
      <c r="E97" s="448">
        <v>45.75</v>
      </c>
      <c r="F97" s="3" t="str" cm="1">
        <f t="array" aca="1" ref="F97" ca="1">OFFSET(E97,-1,1)</f>
        <v>2</v>
      </c>
      <c r="T97" s="353" t="b" cm="1">
        <f t="array" ref="T97">T96</f>
        <v>1</v>
      </c>
      <c r="X97" s="990"/>
      <c r="Z97" s="967"/>
      <c r="AB97" s="133" t="s">
        <v>1336</v>
      </c>
      <c r="AC97" s="543" t="s">
        <v>1337</v>
      </c>
      <c r="AD97" s="7" t="s">
        <v>828</v>
      </c>
      <c r="AE97" s="128"/>
      <c r="AF97" s="128"/>
      <c r="AG97" s="128"/>
      <c r="AH97" s="128"/>
      <c r="AI97" s="128"/>
      <c r="AJ97" s="128"/>
      <c r="AK97" s="128"/>
      <c r="AL97" s="778"/>
      <c r="AM97" s="778"/>
      <c r="AN97" s="128"/>
      <c r="AO97" s="128"/>
      <c r="AP97" s="128"/>
      <c r="AQ97" s="128"/>
      <c r="AR97" s="128"/>
      <c r="AS97" s="128"/>
      <c r="AT97" s="128"/>
      <c r="AU97" s="128"/>
      <c r="AV97" s="778"/>
      <c r="AW97" s="778"/>
      <c r="AX97" s="128"/>
      <c r="AY97" s="128"/>
      <c r="AZ97" s="128"/>
      <c r="BA97" s="128"/>
      <c r="BB97" s="128"/>
      <c r="BC97" s="128"/>
      <c r="BD97" s="128"/>
      <c r="BE97" s="196"/>
      <c r="BH97" s="656" t="s">
        <v>1338</v>
      </c>
    </row>
    <row r="98" spans="1:60" ht="21.75" customHeight="1" x14ac:dyDescent="0.15">
      <c r="B98" s="38"/>
      <c r="E98" s="448">
        <v>22.5</v>
      </c>
      <c r="F98" s="3" t="str" cm="1">
        <f t="array" aca="1" ref="F98" ca="1">OFFSET(E98,-1,1)</f>
        <v>2</v>
      </c>
      <c r="T98" s="353" t="b" cm="1">
        <f t="array" ref="T98">T97</f>
        <v>1</v>
      </c>
      <c r="X98" s="990"/>
      <c r="Z98" s="967"/>
      <c r="AB98" s="133" t="s">
        <v>1339</v>
      </c>
      <c r="AC98" s="543" t="s">
        <v>1340</v>
      </c>
      <c r="AD98" s="7" t="s">
        <v>828</v>
      </c>
      <c r="AE98" s="128"/>
      <c r="AF98" s="128"/>
      <c r="AG98" s="128"/>
      <c r="AH98" s="128"/>
      <c r="AI98" s="128"/>
      <c r="AJ98" s="128"/>
      <c r="AK98" s="128"/>
      <c r="AL98" s="778"/>
      <c r="AM98" s="778"/>
      <c r="AN98" s="128"/>
      <c r="AO98" s="128"/>
      <c r="AP98" s="128"/>
      <c r="AQ98" s="128"/>
      <c r="AR98" s="128"/>
      <c r="AS98" s="128"/>
      <c r="AT98" s="128"/>
      <c r="AU98" s="128"/>
      <c r="AV98" s="778"/>
      <c r="AW98" s="778"/>
      <c r="AX98" s="128"/>
      <c r="AY98" s="128"/>
      <c r="AZ98" s="128"/>
      <c r="BA98" s="128"/>
      <c r="BB98" s="128"/>
      <c r="BC98" s="128"/>
      <c r="BD98" s="128"/>
      <c r="BE98" s="196"/>
      <c r="BH98" s="656" t="s">
        <v>1341</v>
      </c>
    </row>
    <row r="99" spans="1:60" ht="14.25" customHeight="1" x14ac:dyDescent="0.15">
      <c r="B99" s="38"/>
      <c r="E99" s="448">
        <v>15</v>
      </c>
      <c r="F99" s="3" t="str" cm="1">
        <f t="array" aca="1" ref="F99" ca="1">OFFSET(E99,-1,1)</f>
        <v>2</v>
      </c>
      <c r="H99" s="38" t="s">
        <v>486</v>
      </c>
      <c r="T99" s="353" t="b" cm="1">
        <f t="array" ref="T99">T98</f>
        <v>1</v>
      </c>
      <c r="X99" s="990"/>
      <c r="Z99" s="967"/>
      <c r="AB99" s="133" t="s">
        <v>942</v>
      </c>
      <c r="AC99" s="127" t="s">
        <v>1342</v>
      </c>
      <c r="AD99" s="7" t="s">
        <v>828</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6" t="s">
        <v>1343</v>
      </c>
    </row>
    <row r="100" spans="1:60" ht="14.25" customHeight="1" x14ac:dyDescent="0.15">
      <c r="B100" s="38"/>
      <c r="E100" s="448">
        <v>15</v>
      </c>
      <c r="F100" s="3" t="str" cm="1">
        <f t="array" aca="1" ref="F100" ca="1">OFFSET(E100,-1,1)</f>
        <v>2</v>
      </c>
      <c r="H100" s="38" t="s">
        <v>1344</v>
      </c>
      <c r="T100" s="353" t="b" cm="1">
        <f t="array" ref="T100">T99</f>
        <v>1</v>
      </c>
      <c r="X100" s="990"/>
      <c r="Z100" s="967"/>
      <c r="AB100" s="133" t="s">
        <v>1345</v>
      </c>
      <c r="AC100" s="134" t="s">
        <v>1346</v>
      </c>
      <c r="AD100" s="7" t="s">
        <v>828</v>
      </c>
      <c r="AE100" s="128"/>
      <c r="AF100" s="128"/>
      <c r="AG100" s="128"/>
      <c r="AH100" s="128"/>
      <c r="AI100" s="128"/>
      <c r="AJ100" s="128"/>
      <c r="AK100" s="128"/>
      <c r="AL100" s="778"/>
      <c r="AM100" s="778"/>
      <c r="AN100" s="128"/>
      <c r="AO100" s="128"/>
      <c r="AP100" s="128"/>
      <c r="AQ100" s="128"/>
      <c r="AR100" s="128"/>
      <c r="AS100" s="128"/>
      <c r="AT100" s="128"/>
      <c r="AU100" s="128"/>
      <c r="AV100" s="778"/>
      <c r="AW100" s="778"/>
      <c r="AX100" s="128"/>
      <c r="AY100" s="128"/>
      <c r="AZ100" s="128"/>
      <c r="BA100" s="128"/>
      <c r="BB100" s="128"/>
      <c r="BC100" s="128"/>
      <c r="BD100" s="128"/>
      <c r="BE100" s="196"/>
      <c r="BH100" s="656" t="s">
        <v>1268</v>
      </c>
    </row>
    <row r="101" spans="1:60" ht="14.25" customHeight="1" x14ac:dyDescent="0.15">
      <c r="B101" s="38"/>
      <c r="E101" s="448">
        <v>15</v>
      </c>
      <c r="F101" s="3" t="str" cm="1">
        <f t="array" aca="1" ref="F101" ca="1">OFFSET(E101,-1,1)</f>
        <v>2</v>
      </c>
      <c r="H101" s="38" t="s">
        <v>1347</v>
      </c>
      <c r="T101" s="353" t="b" cm="1">
        <f t="array" ref="T101">T100</f>
        <v>1</v>
      </c>
      <c r="X101" s="990"/>
      <c r="Z101" s="967"/>
      <c r="AB101" s="133" t="s">
        <v>1348</v>
      </c>
      <c r="AC101" s="134" t="s">
        <v>1349</v>
      </c>
      <c r="AD101" s="7" t="s">
        <v>828</v>
      </c>
      <c r="AE101" s="128"/>
      <c r="AF101" s="128"/>
      <c r="AG101" s="128"/>
      <c r="AH101" s="128"/>
      <c r="AI101" s="128"/>
      <c r="AJ101" s="128"/>
      <c r="AK101" s="128"/>
      <c r="AL101" s="778"/>
      <c r="AM101" s="778"/>
      <c r="AN101" s="128"/>
      <c r="AO101" s="128"/>
      <c r="AP101" s="128"/>
      <c r="AQ101" s="128"/>
      <c r="AR101" s="128"/>
      <c r="AS101" s="128"/>
      <c r="AT101" s="128"/>
      <c r="AU101" s="128"/>
      <c r="AV101" s="778"/>
      <c r="AW101" s="778"/>
      <c r="AX101" s="128"/>
      <c r="AY101" s="128"/>
      <c r="AZ101" s="128"/>
      <c r="BA101" s="128"/>
      <c r="BB101" s="128"/>
      <c r="BC101" s="128"/>
      <c r="BD101" s="128"/>
      <c r="BE101" s="196"/>
      <c r="BH101" s="656" t="s">
        <v>1350</v>
      </c>
    </row>
    <row r="102" spans="1:60" ht="14.25" customHeight="1" x14ac:dyDescent="0.15">
      <c r="B102" s="38"/>
      <c r="E102" s="448">
        <v>15</v>
      </c>
      <c r="F102" s="3" t="str" cm="1">
        <f t="array" aca="1" ref="F102" ca="1">OFFSET(E102,-1,1)</f>
        <v>2</v>
      </c>
      <c r="H102" s="38" t="s">
        <v>1351</v>
      </c>
      <c r="T102" s="353" t="b" cm="1">
        <f t="array" ref="T102">T101</f>
        <v>1</v>
      </c>
      <c r="X102" s="990"/>
      <c r="Z102" s="967"/>
      <c r="AB102" s="133" t="s">
        <v>1352</v>
      </c>
      <c r="AC102" s="134" t="s">
        <v>1353</v>
      </c>
      <c r="AD102" s="7" t="s">
        <v>828</v>
      </c>
      <c r="AE102" s="128"/>
      <c r="AF102" s="128"/>
      <c r="AG102" s="128"/>
      <c r="AH102" s="128"/>
      <c r="AI102" s="128"/>
      <c r="AJ102" s="128"/>
      <c r="AK102" s="128"/>
      <c r="AL102" s="778"/>
      <c r="AM102" s="778"/>
      <c r="AN102" s="128"/>
      <c r="AO102" s="128"/>
      <c r="AP102" s="128"/>
      <c r="AQ102" s="128"/>
      <c r="AR102" s="128"/>
      <c r="AS102" s="128"/>
      <c r="AT102" s="128"/>
      <c r="AU102" s="128"/>
      <c r="AV102" s="778"/>
      <c r="AW102" s="778"/>
      <c r="AX102" s="128"/>
      <c r="AY102" s="128"/>
      <c r="AZ102" s="128"/>
      <c r="BA102" s="128"/>
      <c r="BB102" s="128"/>
      <c r="BC102" s="128"/>
      <c r="BD102" s="128"/>
      <c r="BE102" s="196"/>
      <c r="BH102" s="656" t="s">
        <v>1354</v>
      </c>
    </row>
    <row r="103" spans="1:60" ht="14.25" customHeight="1" x14ac:dyDescent="0.15">
      <c r="B103" s="38"/>
      <c r="E103" s="448">
        <v>15</v>
      </c>
      <c r="F103" s="3" t="str" cm="1">
        <f t="array" aca="1" ref="F103" ca="1">OFFSET(E103,-1,1)</f>
        <v>2</v>
      </c>
      <c r="H103" s="38" t="s">
        <v>489</v>
      </c>
      <c r="T103" s="353" t="b" cm="1">
        <f t="array" ref="T103">T102</f>
        <v>1</v>
      </c>
      <c r="X103" s="990"/>
      <c r="Z103" s="967"/>
      <c r="AB103" s="133" t="s">
        <v>945</v>
      </c>
      <c r="AC103" s="127" t="s">
        <v>1355</v>
      </c>
      <c r="AD103" s="7" t="s">
        <v>828</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6" t="s">
        <v>1356</v>
      </c>
    </row>
    <row r="104" spans="1:60" ht="14.25" customHeight="1" x14ac:dyDescent="0.15">
      <c r="B104" s="38"/>
      <c r="E104" s="448">
        <v>15</v>
      </c>
      <c r="F104" s="3" t="str" cm="1">
        <f t="array" aca="1" ref="F104" ca="1">OFFSET(E104,-1,1)</f>
        <v>2</v>
      </c>
      <c r="H104" s="38" t="s">
        <v>1357</v>
      </c>
      <c r="T104" s="353" t="b" cm="1">
        <f t="array" ref="T104">T103</f>
        <v>1</v>
      </c>
      <c r="X104" s="990"/>
      <c r="Z104" s="967"/>
      <c r="AB104" s="133" t="s">
        <v>1358</v>
      </c>
      <c r="AC104" s="134" t="s">
        <v>1359</v>
      </c>
      <c r="AD104" s="7" t="s">
        <v>828</v>
      </c>
      <c r="AE104" s="128"/>
      <c r="AF104" s="128"/>
      <c r="AG104" s="128"/>
      <c r="AH104" s="128"/>
      <c r="AI104" s="128"/>
      <c r="AJ104" s="128"/>
      <c r="AK104" s="128"/>
      <c r="AL104" s="778"/>
      <c r="AM104" s="778"/>
      <c r="AN104" s="128"/>
      <c r="AO104" s="128"/>
      <c r="AP104" s="128"/>
      <c r="AQ104" s="128"/>
      <c r="AR104" s="128"/>
      <c r="AS104" s="128"/>
      <c r="AT104" s="128"/>
      <c r="AU104" s="128"/>
      <c r="AV104" s="778"/>
      <c r="AW104" s="778"/>
      <c r="AX104" s="128"/>
      <c r="AY104" s="128"/>
      <c r="AZ104" s="128"/>
      <c r="BA104" s="128"/>
      <c r="BB104" s="128"/>
      <c r="BC104" s="128"/>
      <c r="BD104" s="128"/>
      <c r="BE104" s="196"/>
      <c r="BH104" s="656" t="s">
        <v>1360</v>
      </c>
    </row>
    <row r="105" spans="1:60" ht="14.25" customHeight="1" x14ac:dyDescent="0.15">
      <c r="B105" s="38"/>
      <c r="E105" s="448">
        <v>15</v>
      </c>
      <c r="F105" s="3" t="str" cm="1">
        <f t="array" aca="1" ref="F105" ca="1">OFFSET(E105,-1,1)</f>
        <v>2</v>
      </c>
      <c r="H105" s="38" t="s">
        <v>1361</v>
      </c>
      <c r="T105" s="353" t="b" cm="1">
        <f t="array" ref="T105">T104</f>
        <v>1</v>
      </c>
      <c r="X105" s="990"/>
      <c r="Z105" s="967"/>
      <c r="AB105" s="133" t="s">
        <v>1362</v>
      </c>
      <c r="AC105" s="134" t="s">
        <v>1363</v>
      </c>
      <c r="AD105" s="7" t="s">
        <v>828</v>
      </c>
      <c r="AE105" s="128"/>
      <c r="AF105" s="128"/>
      <c r="AG105" s="128"/>
      <c r="AH105" s="128"/>
      <c r="AI105" s="128"/>
      <c r="AJ105" s="128"/>
      <c r="AK105" s="128"/>
      <c r="AL105" s="778"/>
      <c r="AM105" s="778"/>
      <c r="AN105" s="128"/>
      <c r="AO105" s="128"/>
      <c r="AP105" s="128"/>
      <c r="AQ105" s="128"/>
      <c r="AR105" s="128"/>
      <c r="AS105" s="128"/>
      <c r="AT105" s="128"/>
      <c r="AU105" s="128"/>
      <c r="AV105" s="778"/>
      <c r="AW105" s="778"/>
      <c r="AX105" s="128"/>
      <c r="AY105" s="128"/>
      <c r="AZ105" s="128"/>
      <c r="BA105" s="128"/>
      <c r="BB105" s="128"/>
      <c r="BC105" s="128"/>
      <c r="BD105" s="128"/>
      <c r="BE105" s="196"/>
      <c r="BH105" s="656" t="s">
        <v>1364</v>
      </c>
    </row>
    <row r="106" spans="1:60" ht="14.25" customHeight="1" x14ac:dyDescent="0.15">
      <c r="B106" s="38"/>
      <c r="E106" s="448">
        <v>15</v>
      </c>
      <c r="F106" s="3" t="str" cm="1">
        <f t="array" aca="1" ref="F106" ca="1">OFFSET(E106,-1,1)</f>
        <v>2</v>
      </c>
      <c r="H106" s="38" t="s">
        <v>1365</v>
      </c>
      <c r="T106" s="353" t="b" cm="1">
        <f t="array" ref="T106">T105</f>
        <v>1</v>
      </c>
      <c r="X106" s="990"/>
      <c r="Z106" s="967"/>
      <c r="AB106" s="133" t="s">
        <v>1366</v>
      </c>
      <c r="AC106" s="134" t="s">
        <v>1367</v>
      </c>
      <c r="AD106" s="7" t="s">
        <v>828</v>
      </c>
      <c r="AE106" s="128"/>
      <c r="AF106" s="128"/>
      <c r="AG106" s="128"/>
      <c r="AH106" s="128"/>
      <c r="AI106" s="128"/>
      <c r="AJ106" s="128"/>
      <c r="AK106" s="128"/>
      <c r="AL106" s="778"/>
      <c r="AM106" s="778"/>
      <c r="AN106" s="128"/>
      <c r="AO106" s="128"/>
      <c r="AP106" s="128"/>
      <c r="AQ106" s="128"/>
      <c r="AR106" s="128"/>
      <c r="AS106" s="128"/>
      <c r="AT106" s="128"/>
      <c r="AU106" s="128"/>
      <c r="AV106" s="778"/>
      <c r="AW106" s="778"/>
      <c r="AX106" s="128"/>
      <c r="AY106" s="128"/>
      <c r="AZ106" s="128"/>
      <c r="BA106" s="128"/>
      <c r="BB106" s="128"/>
      <c r="BC106" s="128"/>
      <c r="BD106" s="128"/>
      <c r="BE106" s="196"/>
      <c r="BH106" s="656" t="s">
        <v>1368</v>
      </c>
    </row>
    <row r="107" spans="1:60" ht="14.25" customHeight="1" x14ac:dyDescent="0.15">
      <c r="B107" s="38"/>
      <c r="E107" s="448">
        <v>15</v>
      </c>
      <c r="F107" s="3" t="str" cm="1">
        <f t="array" aca="1" ref="F107" ca="1">OFFSET(E107,-1,1)</f>
        <v>2</v>
      </c>
      <c r="H107" s="38" t="s">
        <v>493</v>
      </c>
      <c r="T107" s="353" t="b" cm="1">
        <f t="array" ref="T107">T106</f>
        <v>1</v>
      </c>
      <c r="X107" s="990"/>
      <c r="Z107" s="967"/>
      <c r="AB107" s="133" t="s">
        <v>948</v>
      </c>
      <c r="AC107" s="127" t="s">
        <v>1369</v>
      </c>
      <c r="AD107" s="7" t="s">
        <v>828</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6" t="s">
        <v>1370</v>
      </c>
    </row>
    <row r="108" spans="1:60" ht="14.25" customHeight="1" x14ac:dyDescent="0.15">
      <c r="B108" s="38"/>
      <c r="E108" s="448">
        <v>15</v>
      </c>
      <c r="F108" s="3" t="str" cm="1">
        <f t="array" aca="1" ref="F108" ca="1">OFFSET(E108,-1,1)</f>
        <v>2</v>
      </c>
      <c r="H108" s="38" t="s">
        <v>1371</v>
      </c>
      <c r="T108" s="353" t="b" cm="1">
        <f t="array" ref="T108">T107</f>
        <v>1</v>
      </c>
      <c r="X108" s="990"/>
      <c r="Z108" s="967"/>
      <c r="AB108" s="133" t="s">
        <v>1087</v>
      </c>
      <c r="AC108" s="134" t="s">
        <v>1081</v>
      </c>
      <c r="AD108" s="7" t="s">
        <v>828</v>
      </c>
      <c r="AE108" s="128"/>
      <c r="AF108" s="128"/>
      <c r="AG108" s="128"/>
      <c r="AH108" s="128"/>
      <c r="AI108" s="128"/>
      <c r="AJ108" s="128"/>
      <c r="AK108" s="128"/>
      <c r="AL108" s="778"/>
      <c r="AM108" s="778"/>
      <c r="AN108" s="128"/>
      <c r="AO108" s="128"/>
      <c r="AP108" s="128"/>
      <c r="AQ108" s="128"/>
      <c r="AR108" s="128"/>
      <c r="AS108" s="128"/>
      <c r="AT108" s="128"/>
      <c r="AU108" s="128"/>
      <c r="AV108" s="778"/>
      <c r="AW108" s="778"/>
      <c r="AX108" s="128"/>
      <c r="AY108" s="128"/>
      <c r="AZ108" s="128"/>
      <c r="BA108" s="128"/>
      <c r="BB108" s="128"/>
      <c r="BC108" s="128"/>
      <c r="BD108" s="128"/>
      <c r="BE108" s="196"/>
      <c r="BH108" s="656" t="s">
        <v>1083</v>
      </c>
    </row>
    <row r="109" spans="1:60" ht="21.75" customHeight="1" x14ac:dyDescent="0.15">
      <c r="B109" s="38"/>
      <c r="E109" s="448">
        <v>22.5</v>
      </c>
      <c r="F109" s="3" t="str" cm="1">
        <f t="array" aca="1" ref="F109" ca="1">OFFSET(E109,-1,1)</f>
        <v>2</v>
      </c>
      <c r="H109" s="38" t="s">
        <v>1372</v>
      </c>
      <c r="T109" s="353" t="b" cm="1">
        <f t="array" ref="T109">T108</f>
        <v>1</v>
      </c>
      <c r="X109" s="990"/>
      <c r="Z109" s="967"/>
      <c r="AB109" s="133" t="s">
        <v>1090</v>
      </c>
      <c r="AC109" s="134" t="s">
        <v>1373</v>
      </c>
      <c r="AD109" s="7" t="s">
        <v>828</v>
      </c>
      <c r="AE109" s="128"/>
      <c r="AF109" s="128"/>
      <c r="AG109" s="128"/>
      <c r="AH109" s="128"/>
      <c r="AI109" s="128"/>
      <c r="AJ109" s="128"/>
      <c r="AK109" s="128"/>
      <c r="AL109" s="778"/>
      <c r="AM109" s="778"/>
      <c r="AN109" s="128"/>
      <c r="AO109" s="128"/>
      <c r="AP109" s="128"/>
      <c r="AQ109" s="128"/>
      <c r="AR109" s="128"/>
      <c r="AS109" s="128"/>
      <c r="AT109" s="128"/>
      <c r="AU109" s="128"/>
      <c r="AV109" s="778"/>
      <c r="AW109" s="778"/>
      <c r="AX109" s="128"/>
      <c r="AY109" s="128"/>
      <c r="AZ109" s="128"/>
      <c r="BA109" s="128"/>
      <c r="BB109" s="128"/>
      <c r="BC109" s="128"/>
      <c r="BD109" s="128"/>
      <c r="BE109" s="196"/>
      <c r="BH109" s="656" t="s">
        <v>1374</v>
      </c>
    </row>
    <row r="110" spans="1:60" ht="21.75" customHeight="1" x14ac:dyDescent="0.15">
      <c r="B110" s="38"/>
      <c r="E110" s="448">
        <v>22.5</v>
      </c>
      <c r="F110" s="3" t="str" cm="1">
        <f t="array" aca="1" ref="F110" ca="1">OFFSET(E110,-1,1)</f>
        <v>2</v>
      </c>
      <c r="H110" s="38" t="s">
        <v>1375</v>
      </c>
      <c r="T110" s="353" t="b" cm="1">
        <f t="array" ref="T110">T109</f>
        <v>1</v>
      </c>
      <c r="X110" s="990"/>
      <c r="Z110" s="967"/>
      <c r="AB110" s="133" t="s">
        <v>1376</v>
      </c>
      <c r="AC110" s="134" t="s">
        <v>1377</v>
      </c>
      <c r="AD110" s="7" t="s">
        <v>828</v>
      </c>
      <c r="AE110" s="128"/>
      <c r="AF110" s="128"/>
      <c r="AG110" s="128"/>
      <c r="AH110" s="128"/>
      <c r="AI110" s="128"/>
      <c r="AJ110" s="128"/>
      <c r="AK110" s="128"/>
      <c r="AL110" s="778"/>
      <c r="AM110" s="778"/>
      <c r="AN110" s="128"/>
      <c r="AO110" s="128"/>
      <c r="AP110" s="128"/>
      <c r="AQ110" s="128"/>
      <c r="AR110" s="128"/>
      <c r="AS110" s="128"/>
      <c r="AT110" s="128"/>
      <c r="AU110" s="128"/>
      <c r="AV110" s="778"/>
      <c r="AW110" s="778"/>
      <c r="AX110" s="128"/>
      <c r="AY110" s="128"/>
      <c r="AZ110" s="128"/>
      <c r="BA110" s="128"/>
      <c r="BB110" s="128"/>
      <c r="BC110" s="128"/>
      <c r="BD110" s="128"/>
      <c r="BE110" s="196"/>
      <c r="BH110" s="656" t="s">
        <v>1378</v>
      </c>
    </row>
    <row r="111" spans="1:60" ht="14.25" customHeight="1" x14ac:dyDescent="0.15">
      <c r="B111" s="38"/>
      <c r="E111" s="448">
        <v>15</v>
      </c>
      <c r="F111" s="3" t="str" cm="1">
        <f t="array" aca="1" ref="F111" ca="1">OFFSET(E111,-1,1)</f>
        <v>2</v>
      </c>
      <c r="H111" s="38" t="s">
        <v>1379</v>
      </c>
      <c r="T111" s="353" t="b" cm="1">
        <f t="array" ref="T111">T110</f>
        <v>1</v>
      </c>
      <c r="X111" s="990"/>
      <c r="Z111" s="967"/>
      <c r="AB111" s="133" t="s">
        <v>1380</v>
      </c>
      <c r="AC111" s="134" t="s">
        <v>1381</v>
      </c>
      <c r="AD111" s="7" t="s">
        <v>828</v>
      </c>
      <c r="AE111" s="128"/>
      <c r="AF111" s="128"/>
      <c r="AG111" s="128"/>
      <c r="AH111" s="128"/>
      <c r="AI111" s="128"/>
      <c r="AJ111" s="128"/>
      <c r="AK111" s="128"/>
      <c r="AL111" s="778"/>
      <c r="AM111" s="778"/>
      <c r="AN111" s="128"/>
      <c r="AO111" s="128"/>
      <c r="AP111" s="128"/>
      <c r="AQ111" s="128"/>
      <c r="AR111" s="128"/>
      <c r="AS111" s="128"/>
      <c r="AT111" s="128"/>
      <c r="AU111" s="128"/>
      <c r="AV111" s="778"/>
      <c r="AW111" s="778"/>
      <c r="AX111" s="128"/>
      <c r="AY111" s="128"/>
      <c r="AZ111" s="128"/>
      <c r="BA111" s="128"/>
      <c r="BB111" s="128"/>
      <c r="BC111" s="128"/>
      <c r="BD111" s="128"/>
      <c r="BE111" s="196"/>
      <c r="BH111" s="656" t="s">
        <v>1382</v>
      </c>
    </row>
    <row r="112" spans="1:60" s="857" customFormat="1" ht="21.75" customHeight="1" x14ac:dyDescent="0.15">
      <c r="A112" s="154"/>
      <c r="B112" s="38"/>
      <c r="C112" s="154"/>
      <c r="D112" s="154"/>
      <c r="E112" s="501">
        <v>22.5</v>
      </c>
      <c r="F112" s="3" t="str" cm="1">
        <f t="array" aca="1" ref="F112" ca="1">OFFSET(E112,-1,1)</f>
        <v>2</v>
      </c>
      <c r="G112" s="38"/>
      <c r="H112" s="38" t="s">
        <v>332</v>
      </c>
      <c r="I112" s="154"/>
      <c r="J112" s="154"/>
      <c r="K112" s="154"/>
      <c r="L112" s="154"/>
      <c r="M112" s="154"/>
      <c r="N112" s="154"/>
      <c r="O112" s="154"/>
      <c r="P112" s="154"/>
      <c r="Q112" s="154"/>
      <c r="R112" s="154"/>
      <c r="S112" s="154"/>
      <c r="T112" s="353" t="b" cm="1">
        <f t="array" ref="T112">T111</f>
        <v>1</v>
      </c>
      <c r="U112" s="154"/>
      <c r="V112" s="154"/>
      <c r="W112" s="154"/>
      <c r="X112" s="990"/>
      <c r="Y112" s="154"/>
      <c r="Z112" s="967"/>
      <c r="AA112" s="154"/>
      <c r="AB112" s="131" t="s">
        <v>285</v>
      </c>
      <c r="AC112" s="132" t="s">
        <v>1383</v>
      </c>
      <c r="AD112" s="124" t="s">
        <v>828</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88" t="s">
        <v>1384</v>
      </c>
    </row>
    <row r="113" spans="1:60" ht="14.25" customHeight="1" x14ac:dyDescent="0.15">
      <c r="B113" s="38"/>
      <c r="E113" s="448">
        <v>15</v>
      </c>
      <c r="F113" s="3" t="str" cm="1">
        <f t="array" aca="1" ref="F113" ca="1">OFFSET(E113,-1,1)</f>
        <v>2</v>
      </c>
      <c r="H113" s="38" t="s">
        <v>500</v>
      </c>
      <c r="K113" s="40" t="str">
        <f ca="1">F113&amp;"2komm"</f>
        <v>22komm</v>
      </c>
      <c r="L113" s="40" cm="1">
        <f t="array" ref="L113">BE113</f>
        <v>0</v>
      </c>
      <c r="T113" s="353" t="b" cm="1">
        <f t="array" ref="T113">T112</f>
        <v>1</v>
      </c>
      <c r="X113" s="990"/>
      <c r="Z113" s="967"/>
      <c r="AB113" s="133" t="s">
        <v>561</v>
      </c>
      <c r="AC113" s="127" t="s">
        <v>1385</v>
      </c>
      <c r="AD113" s="7" t="s">
        <v>828</v>
      </c>
      <c r="AE113" s="128"/>
      <c r="AF113" s="128"/>
      <c r="AG113" s="128"/>
      <c r="AH113" s="128"/>
      <c r="AI113" s="128"/>
      <c r="AJ113" s="128"/>
      <c r="AK113" s="128"/>
      <c r="AL113" s="778"/>
      <c r="AM113" s="778"/>
      <c r="AN113" s="128"/>
      <c r="AO113" s="128"/>
      <c r="AP113" s="128"/>
      <c r="AQ113" s="128"/>
      <c r="AR113" s="128"/>
      <c r="AS113" s="128"/>
      <c r="AT113" s="128"/>
      <c r="AU113" s="128"/>
      <c r="AV113" s="778"/>
      <c r="AW113" s="778"/>
      <c r="AX113" s="128"/>
      <c r="AY113" s="128"/>
      <c r="AZ113" s="128"/>
      <c r="BA113" s="128"/>
      <c r="BB113" s="128"/>
      <c r="BC113" s="128"/>
      <c r="BD113" s="128"/>
      <c r="BE113" s="196"/>
      <c r="BH113" s="656" t="s">
        <v>1386</v>
      </c>
    </row>
    <row r="114" spans="1:60" ht="14.25" customHeight="1" x14ac:dyDescent="0.15">
      <c r="B114" s="38"/>
      <c r="E114" s="448">
        <v>15</v>
      </c>
      <c r="F114" s="3" t="str" cm="1">
        <f t="array" aca="1" ref="F114" ca="1">OFFSET(E114,-1,1)</f>
        <v>2</v>
      </c>
      <c r="H114" s="38" t="s">
        <v>503</v>
      </c>
      <c r="K114" s="40" t="str">
        <f ca="1">F114&amp;"3komm"</f>
        <v>23komm</v>
      </c>
      <c r="L114" s="40" cm="1">
        <f t="array" ref="L114">BE114</f>
        <v>0</v>
      </c>
      <c r="T114" s="353" t="b" cm="1">
        <f t="array" ref="T114">T113</f>
        <v>1</v>
      </c>
      <c r="X114" s="990"/>
      <c r="Z114" s="967"/>
      <c r="AB114" s="133" t="s">
        <v>565</v>
      </c>
      <c r="AC114" s="127" t="s">
        <v>1387</v>
      </c>
      <c r="AD114" s="7" t="s">
        <v>828</v>
      </c>
      <c r="AE114" s="128"/>
      <c r="AF114" s="128"/>
      <c r="AG114" s="128"/>
      <c r="AH114" s="128"/>
      <c r="AI114" s="128"/>
      <c r="AJ114" s="128"/>
      <c r="AK114" s="128"/>
      <c r="AL114" s="778"/>
      <c r="AM114" s="778"/>
      <c r="AN114" s="128"/>
      <c r="AO114" s="128"/>
      <c r="AP114" s="128"/>
      <c r="AQ114" s="128"/>
      <c r="AR114" s="128"/>
      <c r="AS114" s="128"/>
      <c r="AT114" s="128"/>
      <c r="AU114" s="128"/>
      <c r="AV114" s="778"/>
      <c r="AW114" s="778"/>
      <c r="AX114" s="128"/>
      <c r="AY114" s="128"/>
      <c r="AZ114" s="128"/>
      <c r="BA114" s="128"/>
      <c r="BB114" s="128"/>
      <c r="BC114" s="128"/>
      <c r="BD114" s="128"/>
      <c r="BE114" s="196"/>
      <c r="BH114" s="656" t="s">
        <v>1388</v>
      </c>
    </row>
    <row r="115" spans="1:60" ht="14.25" customHeight="1" x14ac:dyDescent="0.15">
      <c r="B115" s="38"/>
      <c r="E115" s="448">
        <v>15</v>
      </c>
      <c r="F115" s="3" t="str" cm="1">
        <f t="array" aca="1" ref="F115" ca="1">OFFSET(E115,-1,1)</f>
        <v>2</v>
      </c>
      <c r="H115" s="38" t="s">
        <v>959</v>
      </c>
      <c r="T115" s="353" t="b" cm="1">
        <f t="array" ref="T115">T114</f>
        <v>1</v>
      </c>
      <c r="X115" s="990"/>
      <c r="Z115" s="967"/>
      <c r="AB115" s="133" t="s">
        <v>569</v>
      </c>
      <c r="AC115" s="127" t="s">
        <v>1389</v>
      </c>
      <c r="AD115" s="7" t="s">
        <v>828</v>
      </c>
      <c r="AE115" s="128"/>
      <c r="AF115" s="128"/>
      <c r="AG115" s="128"/>
      <c r="AH115" s="128"/>
      <c r="AI115" s="128"/>
      <c r="AJ115" s="128"/>
      <c r="AK115" s="128"/>
      <c r="AL115" s="778"/>
      <c r="AM115" s="778"/>
      <c r="AN115" s="128"/>
      <c r="AO115" s="128"/>
      <c r="AP115" s="128"/>
      <c r="AQ115" s="128"/>
      <c r="AR115" s="128"/>
      <c r="AS115" s="128"/>
      <c r="AT115" s="128"/>
      <c r="AU115" s="128"/>
      <c r="AV115" s="778"/>
      <c r="AW115" s="778"/>
      <c r="AX115" s="128"/>
      <c r="AY115" s="128"/>
      <c r="AZ115" s="128"/>
      <c r="BA115" s="128"/>
      <c r="BB115" s="128"/>
      <c r="BC115" s="128"/>
      <c r="BD115" s="128"/>
      <c r="BE115" s="196"/>
      <c r="BH115" s="656" t="s">
        <v>1390</v>
      </c>
    </row>
    <row r="116" spans="1:60" ht="14.25" customHeight="1" x14ac:dyDescent="0.15">
      <c r="B116" s="38"/>
      <c r="E116" s="448">
        <v>15</v>
      </c>
      <c r="F116" s="17" t="str" cm="1">
        <f t="array" ref="F116">X116</f>
        <v>3</v>
      </c>
      <c r="T116" s="353" t="b">
        <f>X116&gt;0</f>
        <v>1</v>
      </c>
      <c r="V116" s="38" t="str" cm="1">
        <f t="array" ref="V116">Налоги!$AB$69</f>
        <v>Тариф 3 (Водоотведение) - тариф на транспортировку сточных вод</v>
      </c>
      <c r="X116" s="990" t="s">
        <v>291</v>
      </c>
      <c r="Z116" s="967"/>
      <c r="AB116" s="155" t="str" cm="1">
        <f t="array" ref="AB116">Налоги!$AB$69</f>
        <v>Тариф 3 (Водоотведение) - тариф на транспортировку сточных вод</v>
      </c>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row>
    <row r="117" spans="1:60" s="857" customFormat="1" ht="21.75" customHeight="1" x14ac:dyDescent="0.15">
      <c r="A117" s="154"/>
      <c r="B117" s="38"/>
      <c r="C117" s="154"/>
      <c r="D117" s="154"/>
      <c r="E117" s="501">
        <v>22.5</v>
      </c>
      <c r="F117" s="3" t="str" cm="1">
        <f t="array" aca="1" ref="F117" ca="1">OFFSET(E117,-1,1)</f>
        <v>3</v>
      </c>
      <c r="G117" s="38"/>
      <c r="H117" s="38" t="s">
        <v>331</v>
      </c>
      <c r="I117" s="154"/>
      <c r="J117" s="154"/>
      <c r="K117" s="154"/>
      <c r="L117" s="154"/>
      <c r="M117" s="154"/>
      <c r="N117" s="154"/>
      <c r="O117" s="154"/>
      <c r="P117" s="154"/>
      <c r="Q117" s="154"/>
      <c r="R117" s="154"/>
      <c r="S117" s="154"/>
      <c r="T117" s="353" t="b" cm="1">
        <f t="array" ref="T117">T116</f>
        <v>1</v>
      </c>
      <c r="U117" s="154"/>
      <c r="V117" s="154"/>
      <c r="W117" s="154"/>
      <c r="X117" s="990"/>
      <c r="Y117" s="154"/>
      <c r="Z117" s="967"/>
      <c r="AA117" s="154"/>
      <c r="AB117" s="131">
        <v>1</v>
      </c>
      <c r="AC117" s="125" t="s">
        <v>1312</v>
      </c>
      <c r="AD117" s="124" t="s">
        <v>828</v>
      </c>
      <c r="AE117" s="126">
        <f t="shared" ref="AE117:BD117" si="22">AE118+AE128+AE132+AE136</f>
        <v>0</v>
      </c>
      <c r="AF117" s="126">
        <f t="shared" si="22"/>
        <v>0</v>
      </c>
      <c r="AG117" s="126">
        <f t="shared" si="22"/>
        <v>0</v>
      </c>
      <c r="AH117" s="126">
        <f t="shared" si="22"/>
        <v>0</v>
      </c>
      <c r="AI117" s="126">
        <f t="shared" si="22"/>
        <v>0</v>
      </c>
      <c r="AJ117" s="126">
        <f t="shared" si="22"/>
        <v>0</v>
      </c>
      <c r="AK117" s="126">
        <f t="shared" si="22"/>
        <v>0</v>
      </c>
      <c r="AL117" s="126">
        <f t="shared" si="22"/>
        <v>0</v>
      </c>
      <c r="AM117" s="126">
        <f t="shared" si="22"/>
        <v>0</v>
      </c>
      <c r="AN117" s="126">
        <f t="shared" si="22"/>
        <v>0</v>
      </c>
      <c r="AO117" s="126">
        <f t="shared" si="22"/>
        <v>0</v>
      </c>
      <c r="AP117" s="126">
        <f t="shared" si="22"/>
        <v>0</v>
      </c>
      <c r="AQ117" s="126">
        <f t="shared" si="22"/>
        <v>0</v>
      </c>
      <c r="AR117" s="126">
        <f t="shared" si="22"/>
        <v>0</v>
      </c>
      <c r="AS117" s="126">
        <f t="shared" si="22"/>
        <v>0</v>
      </c>
      <c r="AT117" s="126">
        <f t="shared" si="22"/>
        <v>0</v>
      </c>
      <c r="AU117" s="126">
        <f t="shared" si="22"/>
        <v>0</v>
      </c>
      <c r="AV117" s="126">
        <f t="shared" si="22"/>
        <v>0</v>
      </c>
      <c r="AW117" s="126">
        <f t="shared" si="22"/>
        <v>0</v>
      </c>
      <c r="AX117" s="126">
        <f t="shared" si="22"/>
        <v>0</v>
      </c>
      <c r="AY117" s="126">
        <f t="shared" si="22"/>
        <v>0</v>
      </c>
      <c r="AZ117" s="126">
        <f t="shared" si="22"/>
        <v>0</v>
      </c>
      <c r="BA117" s="126">
        <f t="shared" si="22"/>
        <v>0</v>
      </c>
      <c r="BB117" s="126">
        <f t="shared" si="22"/>
        <v>0</v>
      </c>
      <c r="BC117" s="126">
        <f t="shared" si="22"/>
        <v>0</v>
      </c>
      <c r="BD117" s="126">
        <f t="shared" si="22"/>
        <v>0</v>
      </c>
      <c r="BE117" s="196"/>
      <c r="BF117" s="154"/>
      <c r="BG117" s="154"/>
      <c r="BH117" s="688" t="s">
        <v>1313</v>
      </c>
    </row>
    <row r="118" spans="1:60" ht="14.25" customHeight="1" x14ac:dyDescent="0.15">
      <c r="B118" s="38"/>
      <c r="E118" s="448">
        <v>15</v>
      </c>
      <c r="F118" s="3" t="str" cm="1">
        <f t="array" aca="1" ref="F118" ca="1">OFFSET(E118,-1,1)</f>
        <v>3</v>
      </c>
      <c r="H118" s="38" t="s">
        <v>482</v>
      </c>
      <c r="T118" s="353" t="b" cm="1">
        <f t="array" ref="T118">T117</f>
        <v>1</v>
      </c>
      <c r="X118" s="990"/>
      <c r="Z118" s="967"/>
      <c r="AB118" s="133" t="s">
        <v>939</v>
      </c>
      <c r="AC118" s="127" t="s">
        <v>1314</v>
      </c>
      <c r="AD118" s="7" t="s">
        <v>828</v>
      </c>
      <c r="AE118" s="171">
        <f t="shared" ref="AE118:BD118" si="23">AE119+AE120+AE121+AE122+AE123</f>
        <v>0</v>
      </c>
      <c r="AF118" s="171">
        <f t="shared" si="23"/>
        <v>0</v>
      </c>
      <c r="AG118" s="171">
        <f t="shared" si="23"/>
        <v>0</v>
      </c>
      <c r="AH118" s="171">
        <f t="shared" si="23"/>
        <v>0</v>
      </c>
      <c r="AI118" s="171">
        <f t="shared" si="23"/>
        <v>0</v>
      </c>
      <c r="AJ118" s="171">
        <f t="shared" si="23"/>
        <v>0</v>
      </c>
      <c r="AK118" s="171">
        <f t="shared" si="23"/>
        <v>0</v>
      </c>
      <c r="AL118" s="171">
        <f t="shared" si="23"/>
        <v>0</v>
      </c>
      <c r="AM118" s="171">
        <f t="shared" si="23"/>
        <v>0</v>
      </c>
      <c r="AN118" s="171">
        <f t="shared" si="23"/>
        <v>0</v>
      </c>
      <c r="AO118" s="171">
        <f t="shared" si="23"/>
        <v>0</v>
      </c>
      <c r="AP118" s="171">
        <f t="shared" si="23"/>
        <v>0</v>
      </c>
      <c r="AQ118" s="171">
        <f t="shared" si="23"/>
        <v>0</v>
      </c>
      <c r="AR118" s="171">
        <f t="shared" si="23"/>
        <v>0</v>
      </c>
      <c r="AS118" s="171">
        <f t="shared" si="23"/>
        <v>0</v>
      </c>
      <c r="AT118" s="171">
        <f t="shared" si="23"/>
        <v>0</v>
      </c>
      <c r="AU118" s="171">
        <f t="shared" si="23"/>
        <v>0</v>
      </c>
      <c r="AV118" s="171">
        <f t="shared" si="23"/>
        <v>0</v>
      </c>
      <c r="AW118" s="171">
        <f t="shared" si="23"/>
        <v>0</v>
      </c>
      <c r="AX118" s="171">
        <f t="shared" si="23"/>
        <v>0</v>
      </c>
      <c r="AY118" s="171">
        <f t="shared" si="23"/>
        <v>0</v>
      </c>
      <c r="AZ118" s="171">
        <f t="shared" si="23"/>
        <v>0</v>
      </c>
      <c r="BA118" s="171">
        <f t="shared" si="23"/>
        <v>0</v>
      </c>
      <c r="BB118" s="171">
        <f t="shared" si="23"/>
        <v>0</v>
      </c>
      <c r="BC118" s="171">
        <f t="shared" si="23"/>
        <v>0</v>
      </c>
      <c r="BD118" s="171">
        <f t="shared" si="23"/>
        <v>0</v>
      </c>
      <c r="BE118" s="196"/>
      <c r="BH118" s="656" t="s">
        <v>1315</v>
      </c>
    </row>
    <row r="119" spans="1:60" ht="14.25" customHeight="1" x14ac:dyDescent="0.15">
      <c r="B119" s="38"/>
      <c r="E119" s="448">
        <v>15</v>
      </c>
      <c r="F119" s="3" t="str" cm="1">
        <f t="array" aca="1" ref="F119" ca="1">OFFSET(E119,-1,1)</f>
        <v>3</v>
      </c>
      <c r="H119" s="38" t="s">
        <v>1070</v>
      </c>
      <c r="T119" s="353" t="b" cm="1">
        <f t="array" ref="T119">T118</f>
        <v>1</v>
      </c>
      <c r="X119" s="990"/>
      <c r="Z119" s="967"/>
      <c r="AB119" s="133" t="s">
        <v>1071</v>
      </c>
      <c r="AC119" s="134" t="s">
        <v>1316</v>
      </c>
      <c r="AD119" s="7" t="s">
        <v>828</v>
      </c>
      <c r="AE119" s="128"/>
      <c r="AF119" s="128"/>
      <c r="AG119" s="128"/>
      <c r="AH119" s="128"/>
      <c r="AI119" s="128"/>
      <c r="AJ119" s="128"/>
      <c r="AK119" s="128"/>
      <c r="AL119" s="778"/>
      <c r="AM119" s="778"/>
      <c r="AN119" s="128"/>
      <c r="AO119" s="128"/>
      <c r="AP119" s="128"/>
      <c r="AQ119" s="128"/>
      <c r="AR119" s="128"/>
      <c r="AS119" s="128"/>
      <c r="AT119" s="128"/>
      <c r="AU119" s="128"/>
      <c r="AV119" s="778"/>
      <c r="AW119" s="778"/>
      <c r="AX119" s="128"/>
      <c r="AY119" s="128"/>
      <c r="AZ119" s="128"/>
      <c r="BA119" s="128"/>
      <c r="BB119" s="128"/>
      <c r="BC119" s="128"/>
      <c r="BD119" s="128"/>
      <c r="BE119" s="196"/>
      <c r="BH119" s="656" t="s">
        <v>1247</v>
      </c>
    </row>
    <row r="120" spans="1:60" ht="14.25" customHeight="1" x14ac:dyDescent="0.15">
      <c r="B120" s="38"/>
      <c r="E120" s="448">
        <v>15</v>
      </c>
      <c r="F120" s="3" t="str" cm="1">
        <f t="array" aca="1" ref="F120" ca="1">OFFSET(E120,-1,1)</f>
        <v>3</v>
      </c>
      <c r="H120" s="38" t="s">
        <v>1074</v>
      </c>
      <c r="K120" s="40" t="str">
        <f ca="1">F120&amp;"1komm"</f>
        <v>31komm</v>
      </c>
      <c r="L120" s="609" cm="1">
        <f t="array" ref="L120">BE120</f>
        <v>0</v>
      </c>
      <c r="T120" s="353" t="b" cm="1">
        <f t="array" ref="T120">T119</f>
        <v>1</v>
      </c>
      <c r="X120" s="990"/>
      <c r="Z120" s="967"/>
      <c r="AB120" s="133" t="s">
        <v>1075</v>
      </c>
      <c r="AC120" s="134" t="s">
        <v>1317</v>
      </c>
      <c r="AD120" s="7" t="s">
        <v>828</v>
      </c>
      <c r="AE120" s="128"/>
      <c r="AF120" s="128"/>
      <c r="AG120" s="128"/>
      <c r="AH120" s="128"/>
      <c r="AI120" s="128"/>
      <c r="AJ120" s="128"/>
      <c r="AK120" s="128"/>
      <c r="AL120" s="778"/>
      <c r="AM120" s="778"/>
      <c r="AN120" s="128"/>
      <c r="AO120" s="128"/>
      <c r="AP120" s="128"/>
      <c r="AQ120" s="128"/>
      <c r="AR120" s="128"/>
      <c r="AS120" s="128"/>
      <c r="AT120" s="128"/>
      <c r="AU120" s="128"/>
      <c r="AV120" s="778"/>
      <c r="AW120" s="778"/>
      <c r="AX120" s="128"/>
      <c r="AY120" s="128"/>
      <c r="AZ120" s="128"/>
      <c r="BA120" s="128"/>
      <c r="BB120" s="128"/>
      <c r="BC120" s="128"/>
      <c r="BD120" s="128"/>
      <c r="BE120" s="196"/>
      <c r="BH120" s="656" t="s">
        <v>1318</v>
      </c>
    </row>
    <row r="121" spans="1:60" ht="14.25" customHeight="1" x14ac:dyDescent="0.15">
      <c r="B121" s="38"/>
      <c r="E121" s="448">
        <v>15</v>
      </c>
      <c r="F121" s="3" t="str" cm="1">
        <f t="array" aca="1" ref="F121" ca="1">OFFSET(E121,-1,1)</f>
        <v>3</v>
      </c>
      <c r="H121" s="38" t="s">
        <v>1319</v>
      </c>
      <c r="T121" s="353" t="b" cm="1">
        <f t="array" ref="T121">T120</f>
        <v>1</v>
      </c>
      <c r="X121" s="990"/>
      <c r="Z121" s="967"/>
      <c r="AB121" s="133" t="s">
        <v>1320</v>
      </c>
      <c r="AC121" s="134" t="s">
        <v>1321</v>
      </c>
      <c r="AD121" s="7" t="s">
        <v>828</v>
      </c>
      <c r="AE121" s="128"/>
      <c r="AF121" s="128"/>
      <c r="AG121" s="128"/>
      <c r="AH121" s="128"/>
      <c r="AI121" s="128"/>
      <c r="AJ121" s="128"/>
      <c r="AK121" s="128"/>
      <c r="AL121" s="778"/>
      <c r="AM121" s="778"/>
      <c r="AN121" s="128"/>
      <c r="AO121" s="128"/>
      <c r="AP121" s="128"/>
      <c r="AQ121" s="128"/>
      <c r="AR121" s="128"/>
      <c r="AS121" s="128"/>
      <c r="AT121" s="128"/>
      <c r="AU121" s="128"/>
      <c r="AV121" s="778"/>
      <c r="AW121" s="778"/>
      <c r="AX121" s="128"/>
      <c r="AY121" s="128"/>
      <c r="AZ121" s="128"/>
      <c r="BA121" s="128"/>
      <c r="BB121" s="128"/>
      <c r="BC121" s="128"/>
      <c r="BD121" s="128"/>
      <c r="BE121" s="196"/>
      <c r="BH121" s="656" t="s">
        <v>1322</v>
      </c>
    </row>
    <row r="122" spans="1:60" ht="14.25" customHeight="1" x14ac:dyDescent="0.15">
      <c r="B122" s="38"/>
      <c r="E122" s="448">
        <v>15</v>
      </c>
      <c r="F122" s="3" t="str" cm="1">
        <f t="array" aca="1" ref="F122" ca="1">OFFSET(E122,-1,1)</f>
        <v>3</v>
      </c>
      <c r="H122" s="38" t="s">
        <v>1323</v>
      </c>
      <c r="T122" s="353" t="b" cm="1">
        <f t="array" ref="T122">T121</f>
        <v>1</v>
      </c>
      <c r="X122" s="990"/>
      <c r="Z122" s="967"/>
      <c r="AB122" s="133" t="s">
        <v>1324</v>
      </c>
      <c r="AC122" s="134" t="s">
        <v>1325</v>
      </c>
      <c r="AD122" s="7" t="s">
        <v>828</v>
      </c>
      <c r="AE122" s="128"/>
      <c r="AF122" s="128"/>
      <c r="AG122" s="128"/>
      <c r="AH122" s="128"/>
      <c r="AI122" s="128"/>
      <c r="AJ122" s="128"/>
      <c r="AK122" s="128"/>
      <c r="AL122" s="778"/>
      <c r="AM122" s="778"/>
      <c r="AN122" s="128"/>
      <c r="AO122" s="128"/>
      <c r="AP122" s="128"/>
      <c r="AQ122" s="128"/>
      <c r="AR122" s="128"/>
      <c r="AS122" s="128"/>
      <c r="AT122" s="128"/>
      <c r="AU122" s="128"/>
      <c r="AV122" s="778"/>
      <c r="AW122" s="778"/>
      <c r="AX122" s="128"/>
      <c r="AY122" s="128"/>
      <c r="AZ122" s="128"/>
      <c r="BA122" s="128"/>
      <c r="BB122" s="128"/>
      <c r="BC122" s="128"/>
      <c r="BD122" s="128"/>
      <c r="BE122" s="196"/>
      <c r="BH122" s="656" t="s">
        <v>1326</v>
      </c>
    </row>
    <row r="123" spans="1:60" ht="21.75" customHeight="1" x14ac:dyDescent="0.15">
      <c r="B123" s="38"/>
      <c r="E123" s="448">
        <v>22.5</v>
      </c>
      <c r="F123" s="3" t="str" cm="1">
        <f t="array" aca="1" ref="F123" ca="1">OFFSET(E123,-1,1)</f>
        <v>3</v>
      </c>
      <c r="T123" s="353" t="b" cm="1">
        <f t="array" ref="T123">T122</f>
        <v>1</v>
      </c>
      <c r="X123" s="990"/>
      <c r="Z123" s="967"/>
      <c r="AB123" s="133" t="s">
        <v>1327</v>
      </c>
      <c r="AC123" s="134" t="s">
        <v>1328</v>
      </c>
      <c r="AD123" s="7" t="s">
        <v>828</v>
      </c>
      <c r="AE123" s="128">
        <f t="shared" ref="AE123:BD123" si="24">AE124+AE125+AE126+AE127</f>
        <v>0</v>
      </c>
      <c r="AF123" s="128">
        <f t="shared" si="24"/>
        <v>0</v>
      </c>
      <c r="AG123" s="128">
        <f t="shared" si="24"/>
        <v>0</v>
      </c>
      <c r="AH123" s="128">
        <f t="shared" si="24"/>
        <v>0</v>
      </c>
      <c r="AI123" s="128">
        <f t="shared" si="24"/>
        <v>0</v>
      </c>
      <c r="AJ123" s="128">
        <f t="shared" si="24"/>
        <v>0</v>
      </c>
      <c r="AK123" s="128">
        <f t="shared" si="24"/>
        <v>0</v>
      </c>
      <c r="AL123" s="778">
        <f t="shared" si="24"/>
        <v>0</v>
      </c>
      <c r="AM123" s="778">
        <f t="shared" si="24"/>
        <v>0</v>
      </c>
      <c r="AN123" s="128">
        <f t="shared" si="24"/>
        <v>0</v>
      </c>
      <c r="AO123" s="128">
        <f t="shared" si="24"/>
        <v>0</v>
      </c>
      <c r="AP123" s="128">
        <f t="shared" si="24"/>
        <v>0</v>
      </c>
      <c r="AQ123" s="128">
        <f t="shared" si="24"/>
        <v>0</v>
      </c>
      <c r="AR123" s="128">
        <f t="shared" si="24"/>
        <v>0</v>
      </c>
      <c r="AS123" s="128">
        <f t="shared" si="24"/>
        <v>0</v>
      </c>
      <c r="AT123" s="128">
        <f t="shared" si="24"/>
        <v>0</v>
      </c>
      <c r="AU123" s="128">
        <f t="shared" si="24"/>
        <v>0</v>
      </c>
      <c r="AV123" s="778">
        <f t="shared" si="24"/>
        <v>0</v>
      </c>
      <c r="AW123" s="778">
        <f t="shared" si="24"/>
        <v>0</v>
      </c>
      <c r="AX123" s="128">
        <f t="shared" si="24"/>
        <v>0</v>
      </c>
      <c r="AY123" s="128">
        <f t="shared" si="24"/>
        <v>0</v>
      </c>
      <c r="AZ123" s="128">
        <f t="shared" si="24"/>
        <v>0</v>
      </c>
      <c r="BA123" s="128">
        <f t="shared" si="24"/>
        <v>0</v>
      </c>
      <c r="BB123" s="128">
        <f t="shared" si="24"/>
        <v>0</v>
      </c>
      <c r="BC123" s="128">
        <f t="shared" si="24"/>
        <v>0</v>
      </c>
      <c r="BD123" s="128">
        <f t="shared" si="24"/>
        <v>0</v>
      </c>
      <c r="BE123" s="196"/>
      <c r="BH123" s="656" t="s">
        <v>1329</v>
      </c>
    </row>
    <row r="124" spans="1:60" ht="44.25" customHeight="1" x14ac:dyDescent="0.15">
      <c r="B124" s="38"/>
      <c r="E124" s="448">
        <v>45.75</v>
      </c>
      <c r="F124" s="3" t="str" cm="1">
        <f t="array" aca="1" ref="F124" ca="1">OFFSET(E124,-1,1)</f>
        <v>3</v>
      </c>
      <c r="T124" s="353" t="b" cm="1">
        <f t="array" ref="T124">T123</f>
        <v>1</v>
      </c>
      <c r="X124" s="990"/>
      <c r="Z124" s="967"/>
      <c r="AB124" s="133" t="s">
        <v>1330</v>
      </c>
      <c r="AC124" s="543" t="s">
        <v>1331</v>
      </c>
      <c r="AD124" s="7" t="s">
        <v>828</v>
      </c>
      <c r="AE124" s="128"/>
      <c r="AF124" s="128"/>
      <c r="AG124" s="128"/>
      <c r="AH124" s="128"/>
      <c r="AI124" s="128"/>
      <c r="AJ124" s="128"/>
      <c r="AK124" s="128"/>
      <c r="AL124" s="778"/>
      <c r="AM124" s="778"/>
      <c r="AN124" s="128"/>
      <c r="AO124" s="128"/>
      <c r="AP124" s="128"/>
      <c r="AQ124" s="128"/>
      <c r="AR124" s="128"/>
      <c r="AS124" s="128"/>
      <c r="AT124" s="128"/>
      <c r="AU124" s="128"/>
      <c r="AV124" s="778"/>
      <c r="AW124" s="778"/>
      <c r="AX124" s="128"/>
      <c r="AY124" s="128"/>
      <c r="AZ124" s="128"/>
      <c r="BA124" s="128"/>
      <c r="BB124" s="128"/>
      <c r="BC124" s="128"/>
      <c r="BD124" s="128"/>
      <c r="BE124" s="196"/>
      <c r="BH124" s="656" t="s">
        <v>1332</v>
      </c>
    </row>
    <row r="125" spans="1:60" ht="44.25" customHeight="1" x14ac:dyDescent="0.15">
      <c r="B125" s="38"/>
      <c r="E125" s="448">
        <v>45.75</v>
      </c>
      <c r="F125" s="3" t="str" cm="1">
        <f t="array" aca="1" ref="F125" ca="1">OFFSET(E125,-1,1)</f>
        <v>3</v>
      </c>
      <c r="T125" s="353" t="b" cm="1">
        <f t="array" ref="T125">T124</f>
        <v>1</v>
      </c>
      <c r="X125" s="990"/>
      <c r="Z125" s="967"/>
      <c r="AB125" s="133" t="s">
        <v>1333</v>
      </c>
      <c r="AC125" s="543" t="s">
        <v>1334</v>
      </c>
      <c r="AD125" s="7" t="s">
        <v>828</v>
      </c>
      <c r="AE125" s="128"/>
      <c r="AF125" s="128"/>
      <c r="AG125" s="128"/>
      <c r="AH125" s="128"/>
      <c r="AI125" s="128"/>
      <c r="AJ125" s="128"/>
      <c r="AK125" s="128"/>
      <c r="AL125" s="778"/>
      <c r="AM125" s="778"/>
      <c r="AN125" s="128"/>
      <c r="AO125" s="128"/>
      <c r="AP125" s="128"/>
      <c r="AQ125" s="128"/>
      <c r="AR125" s="128"/>
      <c r="AS125" s="128"/>
      <c r="AT125" s="128"/>
      <c r="AU125" s="128"/>
      <c r="AV125" s="778"/>
      <c r="AW125" s="778"/>
      <c r="AX125" s="128"/>
      <c r="AY125" s="128"/>
      <c r="AZ125" s="128"/>
      <c r="BA125" s="128"/>
      <c r="BB125" s="128"/>
      <c r="BC125" s="128"/>
      <c r="BD125" s="128"/>
      <c r="BE125" s="196"/>
      <c r="BH125" s="656" t="s">
        <v>1335</v>
      </c>
    </row>
    <row r="126" spans="1:60" ht="44.25" customHeight="1" x14ac:dyDescent="0.15">
      <c r="B126" s="38"/>
      <c r="E126" s="448">
        <v>45.75</v>
      </c>
      <c r="F126" s="3" t="str" cm="1">
        <f t="array" aca="1" ref="F126" ca="1">OFFSET(E126,-1,1)</f>
        <v>3</v>
      </c>
      <c r="T126" s="353" t="b" cm="1">
        <f t="array" ref="T126">T125</f>
        <v>1</v>
      </c>
      <c r="X126" s="990"/>
      <c r="Z126" s="967"/>
      <c r="AB126" s="133" t="s">
        <v>1336</v>
      </c>
      <c r="AC126" s="543" t="s">
        <v>1337</v>
      </c>
      <c r="AD126" s="7" t="s">
        <v>828</v>
      </c>
      <c r="AE126" s="128"/>
      <c r="AF126" s="128"/>
      <c r="AG126" s="128"/>
      <c r="AH126" s="128"/>
      <c r="AI126" s="128"/>
      <c r="AJ126" s="128"/>
      <c r="AK126" s="128"/>
      <c r="AL126" s="778"/>
      <c r="AM126" s="778"/>
      <c r="AN126" s="128"/>
      <c r="AO126" s="128"/>
      <c r="AP126" s="128"/>
      <c r="AQ126" s="128"/>
      <c r="AR126" s="128"/>
      <c r="AS126" s="128"/>
      <c r="AT126" s="128"/>
      <c r="AU126" s="128"/>
      <c r="AV126" s="778"/>
      <c r="AW126" s="778"/>
      <c r="AX126" s="128"/>
      <c r="AY126" s="128"/>
      <c r="AZ126" s="128"/>
      <c r="BA126" s="128"/>
      <c r="BB126" s="128"/>
      <c r="BC126" s="128"/>
      <c r="BD126" s="128"/>
      <c r="BE126" s="196"/>
      <c r="BH126" s="656" t="s">
        <v>1338</v>
      </c>
    </row>
    <row r="127" spans="1:60" ht="21.75" customHeight="1" x14ac:dyDescent="0.15">
      <c r="B127" s="38"/>
      <c r="E127" s="448">
        <v>22.5</v>
      </c>
      <c r="F127" s="3" t="str" cm="1">
        <f t="array" aca="1" ref="F127" ca="1">OFFSET(E127,-1,1)</f>
        <v>3</v>
      </c>
      <c r="T127" s="353" t="b" cm="1">
        <f t="array" ref="T127">T126</f>
        <v>1</v>
      </c>
      <c r="X127" s="990"/>
      <c r="Z127" s="967"/>
      <c r="AB127" s="133" t="s">
        <v>1339</v>
      </c>
      <c r="AC127" s="543" t="s">
        <v>1340</v>
      </c>
      <c r="AD127" s="7" t="s">
        <v>828</v>
      </c>
      <c r="AE127" s="128"/>
      <c r="AF127" s="128"/>
      <c r="AG127" s="128"/>
      <c r="AH127" s="128"/>
      <c r="AI127" s="128"/>
      <c r="AJ127" s="128"/>
      <c r="AK127" s="128"/>
      <c r="AL127" s="778"/>
      <c r="AM127" s="778"/>
      <c r="AN127" s="128"/>
      <c r="AO127" s="128"/>
      <c r="AP127" s="128"/>
      <c r="AQ127" s="128"/>
      <c r="AR127" s="128"/>
      <c r="AS127" s="128"/>
      <c r="AT127" s="128"/>
      <c r="AU127" s="128"/>
      <c r="AV127" s="778"/>
      <c r="AW127" s="778"/>
      <c r="AX127" s="128"/>
      <c r="AY127" s="128"/>
      <c r="AZ127" s="128"/>
      <c r="BA127" s="128"/>
      <c r="BB127" s="128"/>
      <c r="BC127" s="128"/>
      <c r="BD127" s="128"/>
      <c r="BE127" s="196"/>
      <c r="BH127" s="656" t="s">
        <v>1341</v>
      </c>
    </row>
    <row r="128" spans="1:60" ht="14.25" customHeight="1" x14ac:dyDescent="0.15">
      <c r="B128" s="38"/>
      <c r="E128" s="448">
        <v>15</v>
      </c>
      <c r="F128" s="3" t="str" cm="1">
        <f t="array" aca="1" ref="F128" ca="1">OFFSET(E128,-1,1)</f>
        <v>3</v>
      </c>
      <c r="H128" s="38" t="s">
        <v>486</v>
      </c>
      <c r="T128" s="353" t="b" cm="1">
        <f t="array" ref="T128">T127</f>
        <v>1</v>
      </c>
      <c r="X128" s="990"/>
      <c r="Z128" s="967"/>
      <c r="AB128" s="133" t="s">
        <v>942</v>
      </c>
      <c r="AC128" s="127" t="s">
        <v>1342</v>
      </c>
      <c r="AD128" s="7" t="s">
        <v>828</v>
      </c>
      <c r="AE128" s="171">
        <f t="shared" ref="AE128:BD128" si="25">AE129+AE130+AE131</f>
        <v>0</v>
      </c>
      <c r="AF128" s="171">
        <f t="shared" si="25"/>
        <v>0</v>
      </c>
      <c r="AG128" s="171">
        <f t="shared" si="25"/>
        <v>0</v>
      </c>
      <c r="AH128" s="171">
        <f t="shared" si="25"/>
        <v>0</v>
      </c>
      <c r="AI128" s="171">
        <f t="shared" si="25"/>
        <v>0</v>
      </c>
      <c r="AJ128" s="171">
        <f t="shared" si="25"/>
        <v>0</v>
      </c>
      <c r="AK128" s="171">
        <f t="shared" si="25"/>
        <v>0</v>
      </c>
      <c r="AL128" s="171">
        <f t="shared" si="25"/>
        <v>0</v>
      </c>
      <c r="AM128" s="171">
        <f t="shared" si="25"/>
        <v>0</v>
      </c>
      <c r="AN128" s="171">
        <f t="shared" si="25"/>
        <v>0</v>
      </c>
      <c r="AO128" s="171">
        <f t="shared" si="25"/>
        <v>0</v>
      </c>
      <c r="AP128" s="171">
        <f t="shared" si="25"/>
        <v>0</v>
      </c>
      <c r="AQ128" s="171">
        <f t="shared" si="25"/>
        <v>0</v>
      </c>
      <c r="AR128" s="171">
        <f t="shared" si="25"/>
        <v>0</v>
      </c>
      <c r="AS128" s="171">
        <f t="shared" si="25"/>
        <v>0</v>
      </c>
      <c r="AT128" s="171">
        <f t="shared" si="25"/>
        <v>0</v>
      </c>
      <c r="AU128" s="171">
        <f t="shared" si="25"/>
        <v>0</v>
      </c>
      <c r="AV128" s="171">
        <f t="shared" si="25"/>
        <v>0</v>
      </c>
      <c r="AW128" s="171">
        <f t="shared" si="25"/>
        <v>0</v>
      </c>
      <c r="AX128" s="171">
        <f t="shared" si="25"/>
        <v>0</v>
      </c>
      <c r="AY128" s="171">
        <f t="shared" si="25"/>
        <v>0</v>
      </c>
      <c r="AZ128" s="171">
        <f t="shared" si="25"/>
        <v>0</v>
      </c>
      <c r="BA128" s="171">
        <f t="shared" si="25"/>
        <v>0</v>
      </c>
      <c r="BB128" s="171">
        <f t="shared" si="25"/>
        <v>0</v>
      </c>
      <c r="BC128" s="171">
        <f t="shared" si="25"/>
        <v>0</v>
      </c>
      <c r="BD128" s="171">
        <f t="shared" si="25"/>
        <v>0</v>
      </c>
      <c r="BE128" s="196"/>
      <c r="BH128" s="656" t="s">
        <v>1343</v>
      </c>
    </row>
    <row r="129" spans="1:60" ht="14.25" customHeight="1" x14ac:dyDescent="0.15">
      <c r="B129" s="38"/>
      <c r="E129" s="448">
        <v>15</v>
      </c>
      <c r="F129" s="3" t="str" cm="1">
        <f t="array" aca="1" ref="F129" ca="1">OFFSET(E129,-1,1)</f>
        <v>3</v>
      </c>
      <c r="H129" s="38" t="s">
        <v>1344</v>
      </c>
      <c r="T129" s="353" t="b" cm="1">
        <f t="array" ref="T129">T128</f>
        <v>1</v>
      </c>
      <c r="X129" s="990"/>
      <c r="Z129" s="967"/>
      <c r="AB129" s="133" t="s">
        <v>1345</v>
      </c>
      <c r="AC129" s="134" t="s">
        <v>1346</v>
      </c>
      <c r="AD129" s="7" t="s">
        <v>828</v>
      </c>
      <c r="AE129" s="128"/>
      <c r="AF129" s="128"/>
      <c r="AG129" s="128"/>
      <c r="AH129" s="128"/>
      <c r="AI129" s="128"/>
      <c r="AJ129" s="128"/>
      <c r="AK129" s="128"/>
      <c r="AL129" s="778"/>
      <c r="AM129" s="778"/>
      <c r="AN129" s="128"/>
      <c r="AO129" s="128"/>
      <c r="AP129" s="128"/>
      <c r="AQ129" s="128"/>
      <c r="AR129" s="128"/>
      <c r="AS129" s="128"/>
      <c r="AT129" s="128"/>
      <c r="AU129" s="128"/>
      <c r="AV129" s="778"/>
      <c r="AW129" s="778"/>
      <c r="AX129" s="128"/>
      <c r="AY129" s="128"/>
      <c r="AZ129" s="128"/>
      <c r="BA129" s="128"/>
      <c r="BB129" s="128"/>
      <c r="BC129" s="128"/>
      <c r="BD129" s="128"/>
      <c r="BE129" s="196"/>
      <c r="BH129" s="656" t="s">
        <v>1268</v>
      </c>
    </row>
    <row r="130" spans="1:60" ht="14.25" customHeight="1" x14ac:dyDescent="0.15">
      <c r="B130" s="38"/>
      <c r="E130" s="448">
        <v>15</v>
      </c>
      <c r="F130" s="3" t="str" cm="1">
        <f t="array" aca="1" ref="F130" ca="1">OFFSET(E130,-1,1)</f>
        <v>3</v>
      </c>
      <c r="H130" s="38" t="s">
        <v>1347</v>
      </c>
      <c r="T130" s="353" t="b" cm="1">
        <f t="array" ref="T130">T129</f>
        <v>1</v>
      </c>
      <c r="X130" s="990"/>
      <c r="Z130" s="967"/>
      <c r="AB130" s="133" t="s">
        <v>1348</v>
      </c>
      <c r="AC130" s="134" t="s">
        <v>1349</v>
      </c>
      <c r="AD130" s="7" t="s">
        <v>828</v>
      </c>
      <c r="AE130" s="128"/>
      <c r="AF130" s="128"/>
      <c r="AG130" s="128"/>
      <c r="AH130" s="128"/>
      <c r="AI130" s="128"/>
      <c r="AJ130" s="128"/>
      <c r="AK130" s="128"/>
      <c r="AL130" s="778"/>
      <c r="AM130" s="778"/>
      <c r="AN130" s="128"/>
      <c r="AO130" s="128"/>
      <c r="AP130" s="128"/>
      <c r="AQ130" s="128"/>
      <c r="AR130" s="128"/>
      <c r="AS130" s="128"/>
      <c r="AT130" s="128"/>
      <c r="AU130" s="128"/>
      <c r="AV130" s="778"/>
      <c r="AW130" s="778"/>
      <c r="AX130" s="128"/>
      <c r="AY130" s="128"/>
      <c r="AZ130" s="128"/>
      <c r="BA130" s="128"/>
      <c r="BB130" s="128"/>
      <c r="BC130" s="128"/>
      <c r="BD130" s="128"/>
      <c r="BE130" s="196"/>
      <c r="BH130" s="656" t="s">
        <v>1350</v>
      </c>
    </row>
    <row r="131" spans="1:60" ht="14.25" customHeight="1" x14ac:dyDescent="0.15">
      <c r="B131" s="38"/>
      <c r="E131" s="448">
        <v>15</v>
      </c>
      <c r="F131" s="3" t="str" cm="1">
        <f t="array" aca="1" ref="F131" ca="1">OFFSET(E131,-1,1)</f>
        <v>3</v>
      </c>
      <c r="H131" s="38" t="s">
        <v>1351</v>
      </c>
      <c r="T131" s="353" t="b" cm="1">
        <f t="array" ref="T131">T130</f>
        <v>1</v>
      </c>
      <c r="X131" s="990"/>
      <c r="Z131" s="967"/>
      <c r="AB131" s="133" t="s">
        <v>1352</v>
      </c>
      <c r="AC131" s="134" t="s">
        <v>1353</v>
      </c>
      <c r="AD131" s="7" t="s">
        <v>828</v>
      </c>
      <c r="AE131" s="128"/>
      <c r="AF131" s="128"/>
      <c r="AG131" s="128"/>
      <c r="AH131" s="128"/>
      <c r="AI131" s="128"/>
      <c r="AJ131" s="128"/>
      <c r="AK131" s="128"/>
      <c r="AL131" s="778"/>
      <c r="AM131" s="778"/>
      <c r="AN131" s="128"/>
      <c r="AO131" s="128"/>
      <c r="AP131" s="128"/>
      <c r="AQ131" s="128"/>
      <c r="AR131" s="128"/>
      <c r="AS131" s="128"/>
      <c r="AT131" s="128"/>
      <c r="AU131" s="128"/>
      <c r="AV131" s="778"/>
      <c r="AW131" s="778"/>
      <c r="AX131" s="128"/>
      <c r="AY131" s="128"/>
      <c r="AZ131" s="128"/>
      <c r="BA131" s="128"/>
      <c r="BB131" s="128"/>
      <c r="BC131" s="128"/>
      <c r="BD131" s="128"/>
      <c r="BE131" s="196"/>
      <c r="BH131" s="656" t="s">
        <v>1354</v>
      </c>
    </row>
    <row r="132" spans="1:60" ht="14.25" customHeight="1" x14ac:dyDescent="0.15">
      <c r="B132" s="38"/>
      <c r="E132" s="448">
        <v>15</v>
      </c>
      <c r="F132" s="3" t="str" cm="1">
        <f t="array" aca="1" ref="F132" ca="1">OFFSET(E132,-1,1)</f>
        <v>3</v>
      </c>
      <c r="H132" s="38" t="s">
        <v>489</v>
      </c>
      <c r="T132" s="353" t="b" cm="1">
        <f t="array" ref="T132">T131</f>
        <v>1</v>
      </c>
      <c r="X132" s="990"/>
      <c r="Z132" s="967"/>
      <c r="AB132" s="133" t="s">
        <v>945</v>
      </c>
      <c r="AC132" s="127" t="s">
        <v>1355</v>
      </c>
      <c r="AD132" s="7" t="s">
        <v>828</v>
      </c>
      <c r="AE132" s="171">
        <f t="shared" ref="AE132:BD132" si="26">AE133+AE134+AE135</f>
        <v>0</v>
      </c>
      <c r="AF132" s="171">
        <f t="shared" si="26"/>
        <v>0</v>
      </c>
      <c r="AG132" s="171">
        <f t="shared" si="26"/>
        <v>0</v>
      </c>
      <c r="AH132" s="171">
        <f t="shared" si="26"/>
        <v>0</v>
      </c>
      <c r="AI132" s="171">
        <f t="shared" si="26"/>
        <v>0</v>
      </c>
      <c r="AJ132" s="171">
        <f t="shared" si="26"/>
        <v>0</v>
      </c>
      <c r="AK132" s="171">
        <f t="shared" si="26"/>
        <v>0</v>
      </c>
      <c r="AL132" s="171">
        <f t="shared" si="26"/>
        <v>0</v>
      </c>
      <c r="AM132" s="171">
        <f t="shared" si="26"/>
        <v>0</v>
      </c>
      <c r="AN132" s="171">
        <f t="shared" si="26"/>
        <v>0</v>
      </c>
      <c r="AO132" s="171">
        <f t="shared" si="26"/>
        <v>0</v>
      </c>
      <c r="AP132" s="171">
        <f t="shared" si="26"/>
        <v>0</v>
      </c>
      <c r="AQ132" s="171">
        <f t="shared" si="26"/>
        <v>0</v>
      </c>
      <c r="AR132" s="171">
        <f t="shared" si="26"/>
        <v>0</v>
      </c>
      <c r="AS132" s="171">
        <f t="shared" si="26"/>
        <v>0</v>
      </c>
      <c r="AT132" s="171">
        <f t="shared" si="26"/>
        <v>0</v>
      </c>
      <c r="AU132" s="171">
        <f t="shared" si="26"/>
        <v>0</v>
      </c>
      <c r="AV132" s="171">
        <f t="shared" si="26"/>
        <v>0</v>
      </c>
      <c r="AW132" s="171">
        <f t="shared" si="26"/>
        <v>0</v>
      </c>
      <c r="AX132" s="171">
        <f t="shared" si="26"/>
        <v>0</v>
      </c>
      <c r="AY132" s="171">
        <f t="shared" si="26"/>
        <v>0</v>
      </c>
      <c r="AZ132" s="171">
        <f t="shared" si="26"/>
        <v>0</v>
      </c>
      <c r="BA132" s="171">
        <f t="shared" si="26"/>
        <v>0</v>
      </c>
      <c r="BB132" s="171">
        <f t="shared" si="26"/>
        <v>0</v>
      </c>
      <c r="BC132" s="171">
        <f t="shared" si="26"/>
        <v>0</v>
      </c>
      <c r="BD132" s="171">
        <f t="shared" si="26"/>
        <v>0</v>
      </c>
      <c r="BE132" s="196"/>
      <c r="BH132" s="656" t="s">
        <v>1356</v>
      </c>
    </row>
    <row r="133" spans="1:60" ht="14.25" customHeight="1" x14ac:dyDescent="0.15">
      <c r="B133" s="38"/>
      <c r="E133" s="448">
        <v>15</v>
      </c>
      <c r="F133" s="3" t="str" cm="1">
        <f t="array" aca="1" ref="F133" ca="1">OFFSET(E133,-1,1)</f>
        <v>3</v>
      </c>
      <c r="H133" s="38" t="s">
        <v>1357</v>
      </c>
      <c r="T133" s="353" t="b" cm="1">
        <f t="array" ref="T133">T132</f>
        <v>1</v>
      </c>
      <c r="X133" s="990"/>
      <c r="Z133" s="967"/>
      <c r="AB133" s="133" t="s">
        <v>1358</v>
      </c>
      <c r="AC133" s="134" t="s">
        <v>1359</v>
      </c>
      <c r="AD133" s="7" t="s">
        <v>828</v>
      </c>
      <c r="AE133" s="128"/>
      <c r="AF133" s="128"/>
      <c r="AG133" s="128"/>
      <c r="AH133" s="128"/>
      <c r="AI133" s="128"/>
      <c r="AJ133" s="128"/>
      <c r="AK133" s="128"/>
      <c r="AL133" s="778"/>
      <c r="AM133" s="778"/>
      <c r="AN133" s="128"/>
      <c r="AO133" s="128"/>
      <c r="AP133" s="128"/>
      <c r="AQ133" s="128"/>
      <c r="AR133" s="128"/>
      <c r="AS133" s="128"/>
      <c r="AT133" s="128"/>
      <c r="AU133" s="128"/>
      <c r="AV133" s="778"/>
      <c r="AW133" s="778"/>
      <c r="AX133" s="128"/>
      <c r="AY133" s="128"/>
      <c r="AZ133" s="128"/>
      <c r="BA133" s="128"/>
      <c r="BB133" s="128"/>
      <c r="BC133" s="128"/>
      <c r="BD133" s="128"/>
      <c r="BE133" s="196"/>
      <c r="BH133" s="656" t="s">
        <v>1360</v>
      </c>
    </row>
    <row r="134" spans="1:60" ht="14.25" customHeight="1" x14ac:dyDescent="0.15">
      <c r="B134" s="38"/>
      <c r="E134" s="448">
        <v>15</v>
      </c>
      <c r="F134" s="3" t="str" cm="1">
        <f t="array" aca="1" ref="F134" ca="1">OFFSET(E134,-1,1)</f>
        <v>3</v>
      </c>
      <c r="H134" s="38" t="s">
        <v>1361</v>
      </c>
      <c r="T134" s="353" t="b" cm="1">
        <f t="array" ref="T134">T133</f>
        <v>1</v>
      </c>
      <c r="X134" s="990"/>
      <c r="Z134" s="967"/>
      <c r="AB134" s="133" t="s">
        <v>1362</v>
      </c>
      <c r="AC134" s="134" t="s">
        <v>1363</v>
      </c>
      <c r="AD134" s="7" t="s">
        <v>828</v>
      </c>
      <c r="AE134" s="128"/>
      <c r="AF134" s="128"/>
      <c r="AG134" s="128"/>
      <c r="AH134" s="128"/>
      <c r="AI134" s="128"/>
      <c r="AJ134" s="128"/>
      <c r="AK134" s="128"/>
      <c r="AL134" s="778"/>
      <c r="AM134" s="778"/>
      <c r="AN134" s="128"/>
      <c r="AO134" s="128"/>
      <c r="AP134" s="128"/>
      <c r="AQ134" s="128"/>
      <c r="AR134" s="128"/>
      <c r="AS134" s="128"/>
      <c r="AT134" s="128"/>
      <c r="AU134" s="128"/>
      <c r="AV134" s="778"/>
      <c r="AW134" s="778"/>
      <c r="AX134" s="128"/>
      <c r="AY134" s="128"/>
      <c r="AZ134" s="128"/>
      <c r="BA134" s="128"/>
      <c r="BB134" s="128"/>
      <c r="BC134" s="128"/>
      <c r="BD134" s="128"/>
      <c r="BE134" s="196"/>
      <c r="BH134" s="656" t="s">
        <v>1364</v>
      </c>
    </row>
    <row r="135" spans="1:60" ht="14.25" customHeight="1" x14ac:dyDescent="0.15">
      <c r="B135" s="38"/>
      <c r="E135" s="448">
        <v>15</v>
      </c>
      <c r="F135" s="3" t="str" cm="1">
        <f t="array" aca="1" ref="F135" ca="1">OFFSET(E135,-1,1)</f>
        <v>3</v>
      </c>
      <c r="H135" s="38" t="s">
        <v>1365</v>
      </c>
      <c r="T135" s="353" t="b" cm="1">
        <f t="array" ref="T135">T134</f>
        <v>1</v>
      </c>
      <c r="X135" s="990"/>
      <c r="Z135" s="967"/>
      <c r="AB135" s="133" t="s">
        <v>1366</v>
      </c>
      <c r="AC135" s="134" t="s">
        <v>1367</v>
      </c>
      <c r="AD135" s="7" t="s">
        <v>828</v>
      </c>
      <c r="AE135" s="128"/>
      <c r="AF135" s="128"/>
      <c r="AG135" s="128"/>
      <c r="AH135" s="128"/>
      <c r="AI135" s="128"/>
      <c r="AJ135" s="128"/>
      <c r="AK135" s="128"/>
      <c r="AL135" s="778"/>
      <c r="AM135" s="778"/>
      <c r="AN135" s="128"/>
      <c r="AO135" s="128"/>
      <c r="AP135" s="128"/>
      <c r="AQ135" s="128"/>
      <c r="AR135" s="128"/>
      <c r="AS135" s="128"/>
      <c r="AT135" s="128"/>
      <c r="AU135" s="128"/>
      <c r="AV135" s="778"/>
      <c r="AW135" s="778"/>
      <c r="AX135" s="128"/>
      <c r="AY135" s="128"/>
      <c r="AZ135" s="128"/>
      <c r="BA135" s="128"/>
      <c r="BB135" s="128"/>
      <c r="BC135" s="128"/>
      <c r="BD135" s="128"/>
      <c r="BE135" s="196"/>
      <c r="BH135" s="656" t="s">
        <v>1368</v>
      </c>
    </row>
    <row r="136" spans="1:60" ht="14.25" customHeight="1" x14ac:dyDescent="0.15">
      <c r="B136" s="38"/>
      <c r="E136" s="448">
        <v>15</v>
      </c>
      <c r="F136" s="3" t="str" cm="1">
        <f t="array" aca="1" ref="F136" ca="1">OFFSET(E136,-1,1)</f>
        <v>3</v>
      </c>
      <c r="H136" s="38" t="s">
        <v>493</v>
      </c>
      <c r="T136" s="353" t="b" cm="1">
        <f t="array" ref="T136">T135</f>
        <v>1</v>
      </c>
      <c r="X136" s="990"/>
      <c r="Z136" s="967"/>
      <c r="AB136" s="133" t="s">
        <v>948</v>
      </c>
      <c r="AC136" s="127" t="s">
        <v>1369</v>
      </c>
      <c r="AD136" s="7" t="s">
        <v>828</v>
      </c>
      <c r="AE136" s="171">
        <f t="shared" ref="AE136:BD136" si="27">AE137+AE138+AE139+AE140</f>
        <v>0</v>
      </c>
      <c r="AF136" s="171">
        <f t="shared" si="27"/>
        <v>0</v>
      </c>
      <c r="AG136" s="171">
        <f t="shared" si="27"/>
        <v>0</v>
      </c>
      <c r="AH136" s="171">
        <f t="shared" si="27"/>
        <v>0</v>
      </c>
      <c r="AI136" s="171">
        <f t="shared" si="27"/>
        <v>0</v>
      </c>
      <c r="AJ136" s="171">
        <f t="shared" si="27"/>
        <v>0</v>
      </c>
      <c r="AK136" s="171">
        <f t="shared" si="27"/>
        <v>0</v>
      </c>
      <c r="AL136" s="171">
        <f t="shared" si="27"/>
        <v>0</v>
      </c>
      <c r="AM136" s="171">
        <f t="shared" si="27"/>
        <v>0</v>
      </c>
      <c r="AN136" s="171">
        <f t="shared" si="27"/>
        <v>0</v>
      </c>
      <c r="AO136" s="171">
        <f t="shared" si="27"/>
        <v>0</v>
      </c>
      <c r="AP136" s="171">
        <f t="shared" si="27"/>
        <v>0</v>
      </c>
      <c r="AQ136" s="171">
        <f t="shared" si="27"/>
        <v>0</v>
      </c>
      <c r="AR136" s="171">
        <f t="shared" si="27"/>
        <v>0</v>
      </c>
      <c r="AS136" s="171">
        <f t="shared" si="27"/>
        <v>0</v>
      </c>
      <c r="AT136" s="171">
        <f t="shared" si="27"/>
        <v>0</v>
      </c>
      <c r="AU136" s="171">
        <f t="shared" si="27"/>
        <v>0</v>
      </c>
      <c r="AV136" s="171">
        <f t="shared" si="27"/>
        <v>0</v>
      </c>
      <c r="AW136" s="171">
        <f t="shared" si="27"/>
        <v>0</v>
      </c>
      <c r="AX136" s="171">
        <f t="shared" si="27"/>
        <v>0</v>
      </c>
      <c r="AY136" s="171">
        <f t="shared" si="27"/>
        <v>0</v>
      </c>
      <c r="AZ136" s="171">
        <f t="shared" si="27"/>
        <v>0</v>
      </c>
      <c r="BA136" s="171">
        <f t="shared" si="27"/>
        <v>0</v>
      </c>
      <c r="BB136" s="171">
        <f t="shared" si="27"/>
        <v>0</v>
      </c>
      <c r="BC136" s="171">
        <f t="shared" si="27"/>
        <v>0</v>
      </c>
      <c r="BD136" s="171">
        <f t="shared" si="27"/>
        <v>0</v>
      </c>
      <c r="BE136" s="196"/>
      <c r="BH136" s="656" t="s">
        <v>1370</v>
      </c>
    </row>
    <row r="137" spans="1:60" ht="14.25" customHeight="1" x14ac:dyDescent="0.15">
      <c r="B137" s="38"/>
      <c r="E137" s="448">
        <v>15</v>
      </c>
      <c r="F137" s="3" t="str" cm="1">
        <f t="array" aca="1" ref="F137" ca="1">OFFSET(E137,-1,1)</f>
        <v>3</v>
      </c>
      <c r="H137" s="38" t="s">
        <v>1371</v>
      </c>
      <c r="T137" s="353" t="b" cm="1">
        <f t="array" ref="T137">T136</f>
        <v>1</v>
      </c>
      <c r="X137" s="990"/>
      <c r="Z137" s="967"/>
      <c r="AB137" s="133" t="s">
        <v>1087</v>
      </c>
      <c r="AC137" s="134" t="s">
        <v>1081</v>
      </c>
      <c r="AD137" s="7" t="s">
        <v>828</v>
      </c>
      <c r="AE137" s="128"/>
      <c r="AF137" s="128"/>
      <c r="AG137" s="128"/>
      <c r="AH137" s="128"/>
      <c r="AI137" s="128"/>
      <c r="AJ137" s="128"/>
      <c r="AK137" s="128"/>
      <c r="AL137" s="778"/>
      <c r="AM137" s="778"/>
      <c r="AN137" s="128"/>
      <c r="AO137" s="128"/>
      <c r="AP137" s="128"/>
      <c r="AQ137" s="128"/>
      <c r="AR137" s="128"/>
      <c r="AS137" s="128"/>
      <c r="AT137" s="128"/>
      <c r="AU137" s="128"/>
      <c r="AV137" s="778"/>
      <c r="AW137" s="778"/>
      <c r="AX137" s="128"/>
      <c r="AY137" s="128"/>
      <c r="AZ137" s="128"/>
      <c r="BA137" s="128"/>
      <c r="BB137" s="128"/>
      <c r="BC137" s="128"/>
      <c r="BD137" s="128"/>
      <c r="BE137" s="196"/>
      <c r="BH137" s="656" t="s">
        <v>1083</v>
      </c>
    </row>
    <row r="138" spans="1:60" ht="21.75" customHeight="1" x14ac:dyDescent="0.15">
      <c r="B138" s="38"/>
      <c r="E138" s="448">
        <v>22.5</v>
      </c>
      <c r="F138" s="3" t="str" cm="1">
        <f t="array" aca="1" ref="F138" ca="1">OFFSET(E138,-1,1)</f>
        <v>3</v>
      </c>
      <c r="H138" s="38" t="s">
        <v>1372</v>
      </c>
      <c r="T138" s="353" t="b" cm="1">
        <f t="array" ref="T138">T137</f>
        <v>1</v>
      </c>
      <c r="X138" s="990"/>
      <c r="Z138" s="967"/>
      <c r="AB138" s="133" t="s">
        <v>1090</v>
      </c>
      <c r="AC138" s="134" t="s">
        <v>1373</v>
      </c>
      <c r="AD138" s="7" t="s">
        <v>828</v>
      </c>
      <c r="AE138" s="128"/>
      <c r="AF138" s="128"/>
      <c r="AG138" s="128"/>
      <c r="AH138" s="128"/>
      <c r="AI138" s="128"/>
      <c r="AJ138" s="128"/>
      <c r="AK138" s="128"/>
      <c r="AL138" s="778"/>
      <c r="AM138" s="778"/>
      <c r="AN138" s="128"/>
      <c r="AO138" s="128"/>
      <c r="AP138" s="128"/>
      <c r="AQ138" s="128"/>
      <c r="AR138" s="128"/>
      <c r="AS138" s="128"/>
      <c r="AT138" s="128"/>
      <c r="AU138" s="128"/>
      <c r="AV138" s="778"/>
      <c r="AW138" s="778"/>
      <c r="AX138" s="128"/>
      <c r="AY138" s="128"/>
      <c r="AZ138" s="128"/>
      <c r="BA138" s="128"/>
      <c r="BB138" s="128"/>
      <c r="BC138" s="128"/>
      <c r="BD138" s="128"/>
      <c r="BE138" s="196"/>
      <c r="BH138" s="656" t="s">
        <v>1374</v>
      </c>
    </row>
    <row r="139" spans="1:60" ht="21.75" customHeight="1" x14ac:dyDescent="0.15">
      <c r="B139" s="38"/>
      <c r="E139" s="448">
        <v>22.5</v>
      </c>
      <c r="F139" s="3" t="str" cm="1">
        <f t="array" aca="1" ref="F139" ca="1">OFFSET(E139,-1,1)</f>
        <v>3</v>
      </c>
      <c r="H139" s="38" t="s">
        <v>1375</v>
      </c>
      <c r="T139" s="353" t="b" cm="1">
        <f t="array" ref="T139">T138</f>
        <v>1</v>
      </c>
      <c r="X139" s="990"/>
      <c r="Z139" s="967"/>
      <c r="AB139" s="133" t="s">
        <v>1376</v>
      </c>
      <c r="AC139" s="134" t="s">
        <v>1377</v>
      </c>
      <c r="AD139" s="7" t="s">
        <v>828</v>
      </c>
      <c r="AE139" s="128"/>
      <c r="AF139" s="128"/>
      <c r="AG139" s="128"/>
      <c r="AH139" s="128"/>
      <c r="AI139" s="128"/>
      <c r="AJ139" s="128"/>
      <c r="AK139" s="128"/>
      <c r="AL139" s="778"/>
      <c r="AM139" s="778"/>
      <c r="AN139" s="128"/>
      <c r="AO139" s="128"/>
      <c r="AP139" s="128"/>
      <c r="AQ139" s="128"/>
      <c r="AR139" s="128"/>
      <c r="AS139" s="128"/>
      <c r="AT139" s="128"/>
      <c r="AU139" s="128"/>
      <c r="AV139" s="778"/>
      <c r="AW139" s="778"/>
      <c r="AX139" s="128"/>
      <c r="AY139" s="128"/>
      <c r="AZ139" s="128"/>
      <c r="BA139" s="128"/>
      <c r="BB139" s="128"/>
      <c r="BC139" s="128"/>
      <c r="BD139" s="128"/>
      <c r="BE139" s="196"/>
      <c r="BH139" s="656" t="s">
        <v>1378</v>
      </c>
    </row>
    <row r="140" spans="1:60" ht="14.25" customHeight="1" x14ac:dyDescent="0.15">
      <c r="B140" s="38"/>
      <c r="E140" s="448">
        <v>15</v>
      </c>
      <c r="F140" s="3" t="str" cm="1">
        <f t="array" aca="1" ref="F140" ca="1">OFFSET(E140,-1,1)</f>
        <v>3</v>
      </c>
      <c r="H140" s="38" t="s">
        <v>1379</v>
      </c>
      <c r="T140" s="353" t="b" cm="1">
        <f t="array" ref="T140">T139</f>
        <v>1</v>
      </c>
      <c r="X140" s="990"/>
      <c r="Z140" s="967"/>
      <c r="AB140" s="133" t="s">
        <v>1380</v>
      </c>
      <c r="AC140" s="134" t="s">
        <v>1381</v>
      </c>
      <c r="AD140" s="7" t="s">
        <v>828</v>
      </c>
      <c r="AE140" s="128"/>
      <c r="AF140" s="128"/>
      <c r="AG140" s="128"/>
      <c r="AH140" s="128"/>
      <c r="AI140" s="128"/>
      <c r="AJ140" s="128"/>
      <c r="AK140" s="128"/>
      <c r="AL140" s="778"/>
      <c r="AM140" s="778"/>
      <c r="AN140" s="128"/>
      <c r="AO140" s="128"/>
      <c r="AP140" s="128"/>
      <c r="AQ140" s="128"/>
      <c r="AR140" s="128"/>
      <c r="AS140" s="128"/>
      <c r="AT140" s="128"/>
      <c r="AU140" s="128"/>
      <c r="AV140" s="778"/>
      <c r="AW140" s="778"/>
      <c r="AX140" s="128"/>
      <c r="AY140" s="128"/>
      <c r="AZ140" s="128"/>
      <c r="BA140" s="128"/>
      <c r="BB140" s="128"/>
      <c r="BC140" s="128"/>
      <c r="BD140" s="128"/>
      <c r="BE140" s="196"/>
      <c r="BH140" s="656" t="s">
        <v>1382</v>
      </c>
    </row>
    <row r="141" spans="1:60" s="857" customFormat="1" ht="21.75" customHeight="1" x14ac:dyDescent="0.15">
      <c r="A141" s="154"/>
      <c r="B141" s="38"/>
      <c r="C141" s="154"/>
      <c r="D141" s="154"/>
      <c r="E141" s="501">
        <v>22.5</v>
      </c>
      <c r="F141" s="3" t="str" cm="1">
        <f t="array" aca="1" ref="F141" ca="1">OFFSET(E141,-1,1)</f>
        <v>3</v>
      </c>
      <c r="G141" s="38"/>
      <c r="H141" s="38" t="s">
        <v>332</v>
      </c>
      <c r="I141" s="154"/>
      <c r="J141" s="154"/>
      <c r="K141" s="154"/>
      <c r="L141" s="154"/>
      <c r="M141" s="154"/>
      <c r="N141" s="154"/>
      <c r="O141" s="154"/>
      <c r="P141" s="154"/>
      <c r="Q141" s="154"/>
      <c r="R141" s="154"/>
      <c r="S141" s="154"/>
      <c r="T141" s="353" t="b" cm="1">
        <f t="array" ref="T141">T140</f>
        <v>1</v>
      </c>
      <c r="U141" s="154"/>
      <c r="V141" s="154"/>
      <c r="W141" s="154"/>
      <c r="X141" s="990"/>
      <c r="Y141" s="154"/>
      <c r="Z141" s="967"/>
      <c r="AA141" s="154"/>
      <c r="AB141" s="131" t="s">
        <v>285</v>
      </c>
      <c r="AC141" s="132" t="s">
        <v>1383</v>
      </c>
      <c r="AD141" s="124" t="s">
        <v>828</v>
      </c>
      <c r="AE141" s="126">
        <f t="shared" ref="AE141:BD141" si="28">AE142+AE143+AE144</f>
        <v>0</v>
      </c>
      <c r="AF141" s="126">
        <f t="shared" si="28"/>
        <v>0</v>
      </c>
      <c r="AG141" s="126">
        <f t="shared" si="28"/>
        <v>0</v>
      </c>
      <c r="AH141" s="126">
        <f t="shared" si="28"/>
        <v>0</v>
      </c>
      <c r="AI141" s="126">
        <f t="shared" si="28"/>
        <v>0</v>
      </c>
      <c r="AJ141" s="126">
        <f t="shared" si="28"/>
        <v>0</v>
      </c>
      <c r="AK141" s="126">
        <f t="shared" si="28"/>
        <v>0</v>
      </c>
      <c r="AL141" s="126">
        <f t="shared" si="28"/>
        <v>0</v>
      </c>
      <c r="AM141" s="126">
        <f t="shared" si="28"/>
        <v>0</v>
      </c>
      <c r="AN141" s="126">
        <f t="shared" si="28"/>
        <v>0</v>
      </c>
      <c r="AO141" s="126">
        <f t="shared" si="28"/>
        <v>0</v>
      </c>
      <c r="AP141" s="126">
        <f t="shared" si="28"/>
        <v>0</v>
      </c>
      <c r="AQ141" s="126">
        <f t="shared" si="28"/>
        <v>0</v>
      </c>
      <c r="AR141" s="126">
        <f t="shared" si="28"/>
        <v>0</v>
      </c>
      <c r="AS141" s="126">
        <f t="shared" si="28"/>
        <v>0</v>
      </c>
      <c r="AT141" s="126">
        <f t="shared" si="28"/>
        <v>0</v>
      </c>
      <c r="AU141" s="126">
        <f t="shared" si="28"/>
        <v>0</v>
      </c>
      <c r="AV141" s="126">
        <f t="shared" si="28"/>
        <v>0</v>
      </c>
      <c r="AW141" s="126">
        <f t="shared" si="28"/>
        <v>0</v>
      </c>
      <c r="AX141" s="126">
        <f t="shared" si="28"/>
        <v>0</v>
      </c>
      <c r="AY141" s="126">
        <f t="shared" si="28"/>
        <v>0</v>
      </c>
      <c r="AZ141" s="126">
        <f t="shared" si="28"/>
        <v>0</v>
      </c>
      <c r="BA141" s="126">
        <f t="shared" si="28"/>
        <v>0</v>
      </c>
      <c r="BB141" s="126">
        <f t="shared" si="28"/>
        <v>0</v>
      </c>
      <c r="BC141" s="126">
        <f t="shared" si="28"/>
        <v>0</v>
      </c>
      <c r="BD141" s="126">
        <f t="shared" si="28"/>
        <v>0</v>
      </c>
      <c r="BE141" s="196"/>
      <c r="BF141" s="154"/>
      <c r="BG141" s="154"/>
      <c r="BH141" s="688" t="s">
        <v>1384</v>
      </c>
    </row>
    <row r="142" spans="1:60" ht="14.25" customHeight="1" x14ac:dyDescent="0.15">
      <c r="B142" s="38"/>
      <c r="E142" s="448">
        <v>15</v>
      </c>
      <c r="F142" s="3" t="str" cm="1">
        <f t="array" aca="1" ref="F142" ca="1">OFFSET(E142,-1,1)</f>
        <v>3</v>
      </c>
      <c r="H142" s="38" t="s">
        <v>500</v>
      </c>
      <c r="K142" s="40" t="str">
        <f ca="1">F142&amp;"2komm"</f>
        <v>32komm</v>
      </c>
      <c r="L142" s="40" cm="1">
        <f t="array" ref="L142">BE142</f>
        <v>0</v>
      </c>
      <c r="T142" s="353" t="b" cm="1">
        <f t="array" ref="T142">T141</f>
        <v>1</v>
      </c>
      <c r="X142" s="990"/>
      <c r="Z142" s="967"/>
      <c r="AB142" s="133" t="s">
        <v>561</v>
      </c>
      <c r="AC142" s="127" t="s">
        <v>1385</v>
      </c>
      <c r="AD142" s="7" t="s">
        <v>828</v>
      </c>
      <c r="AE142" s="128"/>
      <c r="AF142" s="128"/>
      <c r="AG142" s="128"/>
      <c r="AH142" s="128"/>
      <c r="AI142" s="128"/>
      <c r="AJ142" s="128"/>
      <c r="AK142" s="128"/>
      <c r="AL142" s="778"/>
      <c r="AM142" s="778"/>
      <c r="AN142" s="128"/>
      <c r="AO142" s="128"/>
      <c r="AP142" s="128"/>
      <c r="AQ142" s="128"/>
      <c r="AR142" s="128"/>
      <c r="AS142" s="128"/>
      <c r="AT142" s="128"/>
      <c r="AU142" s="128"/>
      <c r="AV142" s="778"/>
      <c r="AW142" s="778"/>
      <c r="AX142" s="128"/>
      <c r="AY142" s="128"/>
      <c r="AZ142" s="128"/>
      <c r="BA142" s="128"/>
      <c r="BB142" s="128"/>
      <c r="BC142" s="128"/>
      <c r="BD142" s="128"/>
      <c r="BE142" s="196"/>
      <c r="BH142" s="656" t="s">
        <v>1386</v>
      </c>
    </row>
    <row r="143" spans="1:60" ht="14.25" customHeight="1" x14ac:dyDescent="0.15">
      <c r="B143" s="38"/>
      <c r="E143" s="448">
        <v>15</v>
      </c>
      <c r="F143" s="3" t="str" cm="1">
        <f t="array" aca="1" ref="F143" ca="1">OFFSET(E143,-1,1)</f>
        <v>3</v>
      </c>
      <c r="H143" s="38" t="s">
        <v>503</v>
      </c>
      <c r="K143" s="40" t="str">
        <f ca="1">F143&amp;"3komm"</f>
        <v>33komm</v>
      </c>
      <c r="L143" s="40" cm="1">
        <f t="array" ref="L143">BE143</f>
        <v>0</v>
      </c>
      <c r="T143" s="353" t="b" cm="1">
        <f t="array" ref="T143">T142</f>
        <v>1</v>
      </c>
      <c r="X143" s="990"/>
      <c r="Z143" s="967"/>
      <c r="AB143" s="133" t="s">
        <v>565</v>
      </c>
      <c r="AC143" s="127" t="s">
        <v>1387</v>
      </c>
      <c r="AD143" s="7" t="s">
        <v>828</v>
      </c>
      <c r="AE143" s="128"/>
      <c r="AF143" s="128"/>
      <c r="AG143" s="128"/>
      <c r="AH143" s="128"/>
      <c r="AI143" s="128"/>
      <c r="AJ143" s="128"/>
      <c r="AK143" s="128"/>
      <c r="AL143" s="778"/>
      <c r="AM143" s="778"/>
      <c r="AN143" s="128"/>
      <c r="AO143" s="128"/>
      <c r="AP143" s="128"/>
      <c r="AQ143" s="128"/>
      <c r="AR143" s="128"/>
      <c r="AS143" s="128"/>
      <c r="AT143" s="128"/>
      <c r="AU143" s="128"/>
      <c r="AV143" s="778"/>
      <c r="AW143" s="778"/>
      <c r="AX143" s="128"/>
      <c r="AY143" s="128"/>
      <c r="AZ143" s="128"/>
      <c r="BA143" s="128"/>
      <c r="BB143" s="128"/>
      <c r="BC143" s="128"/>
      <c r="BD143" s="128"/>
      <c r="BE143" s="196"/>
      <c r="BH143" s="656" t="s">
        <v>1388</v>
      </c>
    </row>
    <row r="144" spans="1:60" ht="14.25" customHeight="1" x14ac:dyDescent="0.15">
      <c r="B144" s="38"/>
      <c r="E144" s="448">
        <v>15</v>
      </c>
      <c r="F144" s="3" t="str" cm="1">
        <f t="array" aca="1" ref="F144" ca="1">OFFSET(E144,-1,1)</f>
        <v>3</v>
      </c>
      <c r="H144" s="38" t="s">
        <v>959</v>
      </c>
      <c r="T144" s="353" t="b" cm="1">
        <f t="array" ref="T144">T143</f>
        <v>1</v>
      </c>
      <c r="X144" s="990"/>
      <c r="Z144" s="967"/>
      <c r="AB144" s="133" t="s">
        <v>569</v>
      </c>
      <c r="AC144" s="127" t="s">
        <v>1389</v>
      </c>
      <c r="AD144" s="7" t="s">
        <v>828</v>
      </c>
      <c r="AE144" s="128"/>
      <c r="AF144" s="128"/>
      <c r="AG144" s="128"/>
      <c r="AH144" s="128"/>
      <c r="AI144" s="128"/>
      <c r="AJ144" s="128"/>
      <c r="AK144" s="128"/>
      <c r="AL144" s="778"/>
      <c r="AM144" s="778"/>
      <c r="AN144" s="128"/>
      <c r="AO144" s="128"/>
      <c r="AP144" s="128"/>
      <c r="AQ144" s="128"/>
      <c r="AR144" s="128"/>
      <c r="AS144" s="128"/>
      <c r="AT144" s="128"/>
      <c r="AU144" s="128"/>
      <c r="AV144" s="778"/>
      <c r="AW144" s="778"/>
      <c r="AX144" s="128"/>
      <c r="AY144" s="128"/>
      <c r="AZ144" s="128"/>
      <c r="BA144" s="128"/>
      <c r="BB144" s="128"/>
      <c r="BC144" s="128"/>
      <c r="BD144" s="128"/>
      <c r="BE144" s="196"/>
      <c r="BH144" s="656" t="s">
        <v>1390</v>
      </c>
    </row>
    <row r="145" spans="1:60" ht="25.35" customHeight="1" x14ac:dyDescent="0.15">
      <c r="A145" s="315"/>
      <c r="B145" s="479"/>
      <c r="C145" s="315"/>
      <c r="D145" s="315"/>
      <c r="E145" s="480">
        <v>26</v>
      </c>
      <c r="F145" s="315"/>
      <c r="G145" s="315"/>
      <c r="H145" s="315"/>
      <c r="I145" s="315"/>
      <c r="J145" s="315"/>
      <c r="K145" s="315"/>
      <c r="L145" s="315"/>
      <c r="M145" s="315"/>
      <c r="N145" s="315"/>
      <c r="O145" s="315"/>
      <c r="P145" s="315"/>
      <c r="Q145" s="253"/>
      <c r="R145" s="315"/>
      <c r="S145" s="315"/>
      <c r="T145" s="315"/>
      <c r="U145" s="315" t="s">
        <v>176</v>
      </c>
      <c r="V145" s="56" t="s">
        <v>1391</v>
      </c>
      <c r="W145" s="315"/>
      <c r="X145" s="315"/>
      <c r="Y145" s="315"/>
      <c r="Z145" s="315"/>
      <c r="AC145" s="17" t="s">
        <v>1392</v>
      </c>
      <c r="BG145"/>
      <c r="BH145" s="661"/>
    </row>
    <row r="146" spans="1:60" ht="14.65" customHeight="1" x14ac:dyDescent="0.15">
      <c r="E146" s="448">
        <v>15</v>
      </c>
      <c r="AB146" s="993" t="s">
        <v>408</v>
      </c>
      <c r="AC146" s="1059"/>
      <c r="AD146" s="1059"/>
      <c r="AE146" s="1059"/>
      <c r="AF146" s="1059"/>
      <c r="AG146" s="1059"/>
      <c r="AH146" s="1059"/>
      <c r="AI146" s="1059"/>
      <c r="AJ146" s="1059"/>
      <c r="AK146" s="1059"/>
      <c r="AL146" s="1059"/>
      <c r="AM146" s="1059"/>
      <c r="AN146" s="1059"/>
      <c r="AO146" s="1059"/>
      <c r="AP146" s="1059"/>
      <c r="AQ146" s="1059"/>
      <c r="AR146" s="1059"/>
      <c r="AS146" s="1059"/>
      <c r="AT146" s="1059"/>
      <c r="AU146" s="1059"/>
      <c r="AV146" s="1059"/>
      <c r="AW146" s="1059"/>
      <c r="AX146" s="1059"/>
      <c r="AY146" s="1059"/>
      <c r="AZ146" s="1059"/>
      <c r="BA146" s="1059"/>
      <c r="BB146" s="1059"/>
      <c r="BC146" s="1059"/>
      <c r="BD146" s="1059"/>
      <c r="BE146" s="1059"/>
    </row>
    <row r="147" spans="1:60" ht="14.65" customHeight="1" x14ac:dyDescent="0.15">
      <c r="E147" s="448">
        <v>15</v>
      </c>
      <c r="AA147" s="87"/>
      <c r="AB147" s="1060"/>
      <c r="AC147" s="1060"/>
      <c r="AD147" s="1060"/>
      <c r="AE147" s="1060"/>
      <c r="AF147" s="1060"/>
      <c r="AG147" s="1060"/>
      <c r="AH147" s="1060"/>
      <c r="AI147" s="1060"/>
      <c r="AJ147" s="1060"/>
      <c r="AK147" s="1060"/>
      <c r="AL147" s="1061"/>
      <c r="AM147" s="1061"/>
      <c r="AN147" s="1061"/>
      <c r="AO147" s="1061"/>
      <c r="AP147" s="1061"/>
      <c r="AQ147" s="1061"/>
      <c r="AR147" s="1061"/>
      <c r="AS147" s="1061"/>
      <c r="AT147" s="1061"/>
      <c r="AU147" s="1060"/>
      <c r="AV147" s="1061"/>
      <c r="AW147" s="1061"/>
      <c r="AX147" s="1061"/>
      <c r="AY147" s="1061"/>
      <c r="AZ147" s="1061"/>
      <c r="BA147" s="1061"/>
      <c r="BB147" s="1061"/>
      <c r="BC147" s="1061"/>
      <c r="BD147" s="1061"/>
      <c r="BE147" s="1060"/>
    </row>
    <row r="148" spans="1:60" ht="14.65" hidden="1" customHeight="1" x14ac:dyDescent="0.15">
      <c r="E148" s="448">
        <v>15</v>
      </c>
      <c r="T148" s="353" t="b">
        <f>ROW(W148)&gt;ROW(W$148)</f>
        <v>0</v>
      </c>
      <c r="W148" s="517" t="s">
        <v>172</v>
      </c>
      <c r="AA148" s="320" t="s">
        <v>173</v>
      </c>
      <c r="AB148" s="1061" t="s">
        <v>225</v>
      </c>
      <c r="AC148" s="1061"/>
      <c r="AD148" s="1061"/>
      <c r="AE148" s="1061"/>
      <c r="AF148" s="1061"/>
      <c r="AG148" s="1061"/>
      <c r="AH148" s="1061"/>
      <c r="AI148" s="1061"/>
      <c r="AJ148" s="1061"/>
      <c r="AK148" s="1060"/>
      <c r="AL148" s="1061"/>
      <c r="AM148" s="1061"/>
      <c r="AN148" s="1061"/>
      <c r="AO148" s="1061"/>
      <c r="AP148" s="1061"/>
      <c r="AQ148" s="1061"/>
      <c r="AR148" s="1061"/>
      <c r="AS148" s="1061"/>
      <c r="AT148" s="1061"/>
      <c r="AU148" s="1060"/>
      <c r="AV148" s="1061"/>
      <c r="AW148" s="1061"/>
      <c r="AX148" s="1061"/>
      <c r="AY148" s="1061"/>
      <c r="AZ148" s="1061"/>
      <c r="BA148" s="1061"/>
      <c r="BB148" s="1061"/>
      <c r="BC148" s="1061"/>
      <c r="BD148" s="1061"/>
      <c r="BE148" s="1061"/>
    </row>
    <row r="149" spans="1:60" ht="14.65" customHeight="1" x14ac:dyDescent="0.15">
      <c r="E149" s="448">
        <v>15</v>
      </c>
      <c r="W149" s="517" t="s">
        <v>419</v>
      </c>
      <c r="AB149" s="474"/>
      <c r="AC149" s="382" t="s">
        <v>420</v>
      </c>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187"/>
    </row>
    <row r="150" spans="1:60" ht="10.7" customHeight="1" x14ac:dyDescent="0.15">
      <c r="E150" s="448">
        <v>11</v>
      </c>
      <c r="BF150" s="22"/>
    </row>
  </sheetData>
  <sheetProtection formatColumns="0" formatRows="0" insertRows="0" deleteColumns="0" deleteRows="0" sort="0" autoFilter="0"/>
  <mergeCells count="16">
    <mergeCell ref="AB147:BE147"/>
    <mergeCell ref="AB26:AB27"/>
    <mergeCell ref="AC26:AC27"/>
    <mergeCell ref="AD26:AD27"/>
    <mergeCell ref="AB148:BE148"/>
    <mergeCell ref="X29:X57"/>
    <mergeCell ref="Z29:Z57"/>
    <mergeCell ref="AB24:AC24"/>
    <mergeCell ref="BE26:BE27"/>
    <mergeCell ref="AB146:BE146"/>
    <mergeCell ref="X58:X86"/>
    <mergeCell ref="Z58:Z86"/>
    <mergeCell ref="X87:X115"/>
    <mergeCell ref="Z87:Z115"/>
    <mergeCell ref="X116:X144"/>
    <mergeCell ref="Z116:Z144"/>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B87E8-D078-D1EE-90C8-30CDC4E288F8}">
  <sheetPr>
    <tabColor rgb="FF002060"/>
    <outlinePr summaryBelow="0" summaryRight="0"/>
  </sheetPr>
  <dimension ref="A1:BB64"/>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6" hidden="1"/>
  </cols>
  <sheetData>
    <row r="1" spans="1:54" ht="11.25" hidden="1" customHeight="1" x14ac:dyDescent="0.15">
      <c r="E1" s="38"/>
      <c r="F1" s="38" t="s">
        <v>320</v>
      </c>
      <c r="G1" s="38" t="s">
        <v>330</v>
      </c>
      <c r="T1" s="353" t="s">
        <v>92</v>
      </c>
      <c r="U1" s="353" t="s">
        <v>97</v>
      </c>
      <c r="V1" s="353" t="s">
        <v>93</v>
      </c>
      <c r="W1" s="353" t="s">
        <v>94</v>
      </c>
      <c r="X1" s="353" t="s">
        <v>95</v>
      </c>
      <c r="Y1" s="355" t="s">
        <v>322</v>
      </c>
      <c r="Z1" s="353" t="s">
        <v>99</v>
      </c>
      <c r="AA1" s="354" t="s">
        <v>96</v>
      </c>
      <c r="AB1" s="4"/>
      <c r="AC1" s="354" t="s">
        <v>98</v>
      </c>
      <c r="BB1" s="656" t="s">
        <v>323</v>
      </c>
    </row>
    <row r="2" spans="1:54" s="43" customFormat="1" ht="11.25" hidden="1" customHeight="1" x14ac:dyDescent="0.15">
      <c r="B2" s="342" t="s">
        <v>18</v>
      </c>
      <c r="AE2" s="342" t="b">
        <f t="shared" ref="AE2:AX2" si="0">AE6&lt;=last_year_vis</f>
        <v>1</v>
      </c>
      <c r="AF2" s="342" t="b">
        <f t="shared" si="0"/>
        <v>0</v>
      </c>
      <c r="AG2" s="342" t="b">
        <f t="shared" si="0"/>
        <v>0</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BB2" s="665"/>
    </row>
    <row r="3" spans="1:54" ht="11.25" hidden="1" customHeight="1" x14ac:dyDescent="0.15">
      <c r="E3" s="38"/>
    </row>
    <row r="4" spans="1:54" ht="11.25" hidden="1" customHeight="1" x14ac:dyDescent="0.15">
      <c r="E4" s="38"/>
    </row>
    <row r="5" spans="1:54" s="448" customFormat="1" ht="11.25" hidden="1" customHeight="1" x14ac:dyDescent="0.15">
      <c r="A5" s="38"/>
      <c r="B5" s="43"/>
      <c r="C5" s="38"/>
      <c r="D5" s="38"/>
      <c r="E5" s="448" t="s">
        <v>19</v>
      </c>
      <c r="AA5" s="448">
        <v>3</v>
      </c>
      <c r="AB5" s="448">
        <v>11</v>
      </c>
      <c r="AC5" s="448">
        <v>50</v>
      </c>
      <c r="AD5" s="448">
        <v>10</v>
      </c>
      <c r="AE5" s="448">
        <v>12.57</v>
      </c>
      <c r="AF5" s="448">
        <v>12.57</v>
      </c>
      <c r="AG5" s="448">
        <v>12.57</v>
      </c>
      <c r="AH5" s="448">
        <v>12.57</v>
      </c>
      <c r="AI5" s="448">
        <v>12.57</v>
      </c>
      <c r="AJ5" s="448">
        <v>12.57</v>
      </c>
      <c r="AK5" s="448">
        <v>12.57</v>
      </c>
      <c r="AL5" s="448">
        <v>12.57</v>
      </c>
      <c r="AM5" s="448">
        <v>12.57</v>
      </c>
      <c r="AN5" s="448">
        <v>12.57</v>
      </c>
      <c r="AO5" s="448">
        <v>12.57</v>
      </c>
      <c r="AP5" s="448">
        <v>12.57</v>
      </c>
      <c r="AQ5" s="448">
        <v>12.57</v>
      </c>
      <c r="AR5" s="448">
        <v>12.57</v>
      </c>
      <c r="AS5" s="448">
        <v>12.57</v>
      </c>
      <c r="AT5" s="448">
        <v>12.57</v>
      </c>
      <c r="AU5" s="448">
        <v>12.57</v>
      </c>
      <c r="AV5" s="448">
        <v>12.57</v>
      </c>
      <c r="AW5" s="448">
        <v>12.57</v>
      </c>
      <c r="AX5" s="448">
        <v>12.57</v>
      </c>
      <c r="AY5" s="448">
        <v>20</v>
      </c>
      <c r="AZ5" s="448">
        <v>3</v>
      </c>
      <c r="BB5" s="656"/>
    </row>
    <row r="6" spans="1:54" ht="11.25" hidden="1" customHeight="1" x14ac:dyDescent="0.15">
      <c r="A6" s="38" t="s">
        <v>358</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359</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6" customFormat="1" ht="11.25" hidden="1" customHeight="1" x14ac:dyDescent="0.15">
      <c r="A9" s="656" t="s">
        <v>363</v>
      </c>
      <c r="B9" s="665"/>
      <c r="AE9" s="656" cm="1">
        <f t="array" ref="AE9">AE6</f>
        <v>2026</v>
      </c>
      <c r="AF9" s="656" cm="1">
        <f t="array" ref="AF9">AF6</f>
        <v>2027</v>
      </c>
      <c r="AG9" s="656" cm="1">
        <f t="array" ref="AG9">AG6</f>
        <v>2028</v>
      </c>
      <c r="AH9" s="656" cm="1">
        <f t="array" ref="AH9">AH6</f>
        <v>2029</v>
      </c>
      <c r="AI9" s="656" cm="1">
        <f t="array" ref="AI9">AI6</f>
        <v>2030</v>
      </c>
      <c r="AJ9" s="656" cm="1">
        <f t="array" ref="AJ9">AJ6</f>
        <v>2031</v>
      </c>
      <c r="AK9" s="656" cm="1">
        <f t="array" ref="AK9">AK6</f>
        <v>2032</v>
      </c>
      <c r="AL9" s="656" cm="1">
        <f t="array" ref="AL9">AL6</f>
        <v>2033</v>
      </c>
      <c r="AM9" s="656" cm="1">
        <f t="array" ref="AM9">AM6</f>
        <v>2034</v>
      </c>
      <c r="AN9" s="656" cm="1">
        <f t="array" ref="AN9">AN6</f>
        <v>2035</v>
      </c>
      <c r="AO9" s="656" cm="1">
        <f t="array" ref="AO9">AO6</f>
        <v>2026</v>
      </c>
      <c r="AP9" s="656" cm="1">
        <f t="array" ref="AP9">AP6</f>
        <v>2027</v>
      </c>
      <c r="AQ9" s="656" cm="1">
        <f t="array" ref="AQ9">AQ6</f>
        <v>2028</v>
      </c>
      <c r="AR9" s="656" cm="1">
        <f t="array" ref="AR9">AR6</f>
        <v>2029</v>
      </c>
      <c r="AS9" s="656" cm="1">
        <f t="array" ref="AS9">AS6</f>
        <v>2030</v>
      </c>
      <c r="AT9" s="656" cm="1">
        <f t="array" ref="AT9">AT6</f>
        <v>2031</v>
      </c>
      <c r="AU9" s="656" cm="1">
        <f t="array" ref="AU9">AU6</f>
        <v>2032</v>
      </c>
      <c r="AV9" s="656" cm="1">
        <f t="array" ref="AV9">AV6</f>
        <v>2033</v>
      </c>
      <c r="AW9" s="656" cm="1">
        <f t="array" ref="AW9">AW6</f>
        <v>2034</v>
      </c>
      <c r="AX9" s="656" cm="1">
        <f t="array" ref="AX9">AX6</f>
        <v>2035</v>
      </c>
    </row>
    <row r="10" spans="1:54" s="656" customFormat="1" ht="11.25" hidden="1" customHeight="1" x14ac:dyDescent="0.15">
      <c r="A10" s="656" t="s">
        <v>364</v>
      </c>
      <c r="B10" s="665"/>
      <c r="AE10" s="656" t="str" cm="1">
        <f t="array" ref="AE10">AE25</f>
        <v>Предложения организации</v>
      </c>
      <c r="AF10" s="656" t="str" cm="1">
        <f t="array" ref="AF10">AF25</f>
        <v>Предложения организации</v>
      </c>
      <c r="AG10" s="656" t="str" cm="1">
        <f t="array" ref="AG10">AG25</f>
        <v>Предложения организации</v>
      </c>
      <c r="AH10" s="656" t="str" cm="1">
        <f t="array" ref="AH10">AH25</f>
        <v>Предложения организации</v>
      </c>
      <c r="AI10" s="656" t="str" cm="1">
        <f t="array" ref="AI10">AI25</f>
        <v>Предложения организации</v>
      </c>
      <c r="AJ10" s="656" t="str" cm="1">
        <f t="array" ref="AJ10">AJ25</f>
        <v>Предложения организации</v>
      </c>
      <c r="AK10" s="656" t="str" cm="1">
        <f t="array" ref="AK10">AK25</f>
        <v>Предложения организации</v>
      </c>
      <c r="AL10" s="656" t="str" cm="1">
        <f t="array" ref="AL10">AL25</f>
        <v>Предложения организации</v>
      </c>
      <c r="AM10" s="656" t="str" cm="1">
        <f t="array" ref="AM10">AM25</f>
        <v>Предложения организации</v>
      </c>
      <c r="AN10" s="656" t="str" cm="1">
        <f t="array" ref="AN10">AN25</f>
        <v>Предложения организации</v>
      </c>
      <c r="AO10" s="656" t="str" cm="1">
        <f t="array" ref="AO10">AO25</f>
        <v>Принято органом регулирования</v>
      </c>
      <c r="AP10" s="656" t="str" cm="1">
        <f t="array" ref="AP10">AP25</f>
        <v>Принято органом регулирования</v>
      </c>
      <c r="AQ10" s="656" t="str" cm="1">
        <f t="array" ref="AQ10">AQ25</f>
        <v>Принято органом регулирования</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row>
    <row r="11" spans="1:54" s="656" customFormat="1" ht="11.25" hidden="1" customHeight="1" x14ac:dyDescent="0.15">
      <c r="A11" s="656" t="s">
        <v>365</v>
      </c>
      <c r="B11" s="665"/>
      <c r="AY11" s="656"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48">
        <v>15</v>
      </c>
      <c r="AA21" s="325"/>
      <c r="AB21" s="70"/>
      <c r="AC21" s="3" t="str" cm="1">
        <f t="array" ref="AC21">tpl_title</f>
        <v>Кемеровская область / 2026 / КАО "Азот" (ИНН:4205000908, КПП:997550001)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48">
        <v>20</v>
      </c>
      <c r="AB22" s="226"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x14ac:dyDescent="0.15">
      <c r="E23" s="448">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48">
        <v>21.5</v>
      </c>
      <c r="AB24" s="991" t="s">
        <v>21</v>
      </c>
      <c r="AC24" s="1062" t="s">
        <v>1393</v>
      </c>
      <c r="AD24" s="1062" t="s">
        <v>368</v>
      </c>
      <c r="AE24" s="725" t="str">
        <f>god&amp;" год"</f>
        <v>2026 год</v>
      </c>
      <c r="AF24" s="725" t="str">
        <f>god+1&amp;" год"</f>
        <v>2027 год</v>
      </c>
      <c r="AG24" s="725" t="str">
        <f>god+2&amp;" год"</f>
        <v>2028 год</v>
      </c>
      <c r="AH24" s="725" t="str">
        <f>god+3&amp;" год"</f>
        <v>2029 год</v>
      </c>
      <c r="AI24" s="725" t="str">
        <f>god+4&amp;" год"</f>
        <v>2030 год</v>
      </c>
      <c r="AJ24" s="725" t="str">
        <f>god+5&amp;" год"</f>
        <v>2031 год</v>
      </c>
      <c r="AK24" s="725" t="str">
        <f>god+6&amp;" год"</f>
        <v>2032 год</v>
      </c>
      <c r="AL24" s="725" t="str">
        <f>god+7&amp;" год"</f>
        <v>2033 год</v>
      </c>
      <c r="AM24" s="725" t="str">
        <f>god+8&amp;" год"</f>
        <v>2034 год</v>
      </c>
      <c r="AN24" s="725"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54" t="s">
        <v>553</v>
      </c>
    </row>
    <row r="25" spans="1:54" ht="56.25" customHeight="1" x14ac:dyDescent="0.15">
      <c r="E25" s="448">
        <v>57.75</v>
      </c>
      <c r="F25" s="22"/>
      <c r="G25" s="22"/>
      <c r="H25" s="22"/>
      <c r="I25" s="22"/>
      <c r="J25" s="22"/>
      <c r="AB25" s="991"/>
      <c r="AC25" s="1062"/>
      <c r="AD25" s="1062"/>
      <c r="AE25" s="727" t="s">
        <v>1394</v>
      </c>
      <c r="AF25" s="727" t="s">
        <v>1394</v>
      </c>
      <c r="AG25" s="727" t="s">
        <v>1394</v>
      </c>
      <c r="AH25" s="727" t="s">
        <v>1394</v>
      </c>
      <c r="AI25" s="727" t="s">
        <v>1394</v>
      </c>
      <c r="AJ25" s="727" t="s">
        <v>1394</v>
      </c>
      <c r="AK25" s="727" t="s">
        <v>1394</v>
      </c>
      <c r="AL25" s="727" t="s">
        <v>1394</v>
      </c>
      <c r="AM25" s="727" t="s">
        <v>1394</v>
      </c>
      <c r="AN25" s="727" t="s">
        <v>1394</v>
      </c>
      <c r="AO25" s="10" t="s">
        <v>360</v>
      </c>
      <c r="AP25" s="10" t="s">
        <v>360</v>
      </c>
      <c r="AQ25" s="10" t="s">
        <v>360</v>
      </c>
      <c r="AR25" s="10" t="s">
        <v>360</v>
      </c>
      <c r="AS25" s="10" t="s">
        <v>360</v>
      </c>
      <c r="AT25" s="10" t="s">
        <v>360</v>
      </c>
      <c r="AU25" s="10" t="s">
        <v>360</v>
      </c>
      <c r="AV25" s="10" t="s">
        <v>360</v>
      </c>
      <c r="AW25" s="10" t="s">
        <v>360</v>
      </c>
      <c r="AX25" s="10" t="s">
        <v>360</v>
      </c>
      <c r="AY25" s="1054"/>
    </row>
    <row r="26" spans="1:54" ht="11.25" hidden="1" customHeight="1" x14ac:dyDescent="0.15">
      <c r="A26"/>
      <c r="B26" s="327"/>
      <c r="C26"/>
      <c r="D26"/>
      <c r="E26" s="448">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48">
        <v>15</v>
      </c>
      <c r="F27" s="59" cm="1">
        <f t="array" ref="F27">X27</f>
        <v>0</v>
      </c>
      <c r="G27" s="22"/>
      <c r="H27" s="22"/>
      <c r="I27" s="22"/>
      <c r="J27" s="22"/>
      <c r="T27" s="353" t="b">
        <f>X27&gt;0</f>
        <v>0</v>
      </c>
      <c r="V27" s="38" t="s">
        <v>264</v>
      </c>
      <c r="X27" s="990">
        <v>0</v>
      </c>
      <c r="Y27" s="22"/>
      <c r="Z27" s="1023"/>
      <c r="AA27" s="22"/>
      <c r="AB27" s="155" t="str" cm="1">
        <f t="array" ref="AB27">INDEX('Общие сведения'!$AG$179:$AG$236,MATCH($X27,'Общие сведения'!$Z$179:$Z$236,0))</f>
        <v xml:space="preserve">Тариф 0 () - </v>
      </c>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22"/>
    </row>
    <row r="28" spans="1:54" ht="14.65" hidden="1" customHeight="1" x14ac:dyDescent="0.15">
      <c r="A28" s="154"/>
      <c r="B28" s="328"/>
      <c r="C28" s="154"/>
      <c r="D28" s="154"/>
      <c r="E28" s="501">
        <v>15</v>
      </c>
      <c r="F28" s="3" cm="1">
        <f t="array" aca="1" ref="F28" ca="1">OFFSET(E28,-1,1)</f>
        <v>0</v>
      </c>
      <c r="G28" s="22" t="s">
        <v>331</v>
      </c>
      <c r="H28" s="63"/>
      <c r="I28" s="63"/>
      <c r="J28" s="63"/>
      <c r="K28" s="154"/>
      <c r="L28" s="154"/>
      <c r="M28" s="154"/>
      <c r="N28" s="154"/>
      <c r="O28" s="154"/>
      <c r="P28" s="154"/>
      <c r="Q28" s="154"/>
      <c r="R28" s="154"/>
      <c r="S28" s="154"/>
      <c r="T28" s="353" t="b" cm="1">
        <f t="array" ref="T28">T27</f>
        <v>0</v>
      </c>
      <c r="U28" s="154"/>
      <c r="V28" s="154"/>
      <c r="W28" s="154"/>
      <c r="X28" s="990"/>
      <c r="Y28" s="63"/>
      <c r="Z28" s="1023"/>
      <c r="AA28" s="63"/>
      <c r="AB28" s="160" t="s">
        <v>275</v>
      </c>
      <c r="AC28" s="159" t="s">
        <v>1395</v>
      </c>
      <c r="AD28" s="160" t="s">
        <v>828</v>
      </c>
      <c r="AE28" s="569">
        <f t="shared" ref="AE28:AX28" si="1">AE29+AE30+AE31</f>
        <v>0</v>
      </c>
      <c r="AF28" s="569">
        <f t="shared" si="1"/>
        <v>0</v>
      </c>
      <c r="AG28" s="569">
        <f t="shared" si="1"/>
        <v>0</v>
      </c>
      <c r="AH28" s="569">
        <f t="shared" si="1"/>
        <v>0</v>
      </c>
      <c r="AI28" s="569">
        <f t="shared" si="1"/>
        <v>0</v>
      </c>
      <c r="AJ28" s="569">
        <f t="shared" si="1"/>
        <v>0</v>
      </c>
      <c r="AK28" s="569">
        <f t="shared" si="1"/>
        <v>0</v>
      </c>
      <c r="AL28" s="569">
        <f t="shared" si="1"/>
        <v>0</v>
      </c>
      <c r="AM28" s="569">
        <f t="shared" si="1"/>
        <v>0</v>
      </c>
      <c r="AN28" s="569">
        <f t="shared" si="1"/>
        <v>0</v>
      </c>
      <c r="AO28" s="569">
        <f t="shared" si="1"/>
        <v>0</v>
      </c>
      <c r="AP28" s="569">
        <f t="shared" si="1"/>
        <v>0</v>
      </c>
      <c r="AQ28" s="569">
        <f t="shared" si="1"/>
        <v>0</v>
      </c>
      <c r="AR28" s="569">
        <f t="shared" si="1"/>
        <v>0</v>
      </c>
      <c r="AS28" s="569">
        <f t="shared" si="1"/>
        <v>0</v>
      </c>
      <c r="AT28" s="569">
        <f t="shared" si="1"/>
        <v>0</v>
      </c>
      <c r="AU28" s="569">
        <f t="shared" si="1"/>
        <v>0</v>
      </c>
      <c r="AV28" s="569">
        <f t="shared" si="1"/>
        <v>0</v>
      </c>
      <c r="AW28" s="569">
        <f t="shared" si="1"/>
        <v>0</v>
      </c>
      <c r="AX28" s="569">
        <f t="shared" si="1"/>
        <v>0</v>
      </c>
      <c r="AY28" s="775"/>
      <c r="AZ28" s="63"/>
      <c r="BB28" s="656" t="s">
        <v>1329</v>
      </c>
    </row>
    <row r="29" spans="1:54" ht="14.65" hidden="1" customHeight="1" x14ac:dyDescent="0.15">
      <c r="E29" s="448">
        <v>15</v>
      </c>
      <c r="F29" s="3" cm="1">
        <f t="array" aca="1" ref="F29" ca="1">OFFSET(E29,-1,1)</f>
        <v>0</v>
      </c>
      <c r="G29" s="22" t="s">
        <v>482</v>
      </c>
      <c r="H29" s="22"/>
      <c r="I29" s="22"/>
      <c r="J29" s="22"/>
      <c r="T29" s="353" t="b" cm="1">
        <f t="array" ref="T29">T28</f>
        <v>0</v>
      </c>
      <c r="X29" s="990"/>
      <c r="Y29" s="22"/>
      <c r="Z29" s="1023"/>
      <c r="AA29" s="22"/>
      <c r="AB29" s="5" t="s">
        <v>939</v>
      </c>
      <c r="AC29" s="572" t="s">
        <v>1396</v>
      </c>
      <c r="AD29" s="5" t="s">
        <v>828</v>
      </c>
      <c r="AE29" s="141"/>
      <c r="AF29" s="781"/>
      <c r="AG29" s="781"/>
      <c r="AH29" s="781"/>
      <c r="AI29" s="781"/>
      <c r="AJ29" s="781"/>
      <c r="AK29" s="781"/>
      <c r="AL29" s="781"/>
      <c r="AM29" s="781"/>
      <c r="AN29" s="781"/>
      <c r="AO29" s="141"/>
      <c r="AP29" s="781"/>
      <c r="AQ29" s="781"/>
      <c r="AR29" s="781"/>
      <c r="AS29" s="781"/>
      <c r="AT29" s="781"/>
      <c r="AU29" s="781"/>
      <c r="AV29" s="781"/>
      <c r="AW29" s="781"/>
      <c r="AX29" s="781"/>
      <c r="AY29" s="775"/>
      <c r="AZ29" s="22"/>
      <c r="BB29" s="656" t="s">
        <v>1397</v>
      </c>
    </row>
    <row r="30" spans="1:54" ht="23.45" hidden="1" customHeight="1" x14ac:dyDescent="0.15">
      <c r="E30" s="448">
        <v>24</v>
      </c>
      <c r="F30" s="3" cm="1">
        <f t="array" aca="1" ref="F30" ca="1">OFFSET(E30,-1,1)</f>
        <v>0</v>
      </c>
      <c r="G30" s="22" t="s">
        <v>486</v>
      </c>
      <c r="H30" s="22"/>
      <c r="I30" s="22"/>
      <c r="J30" s="22"/>
      <c r="T30" s="353" t="b" cm="1">
        <f t="array" ref="T30">T29</f>
        <v>0</v>
      </c>
      <c r="X30" s="990"/>
      <c r="Y30" s="22"/>
      <c r="Z30" s="1023"/>
      <c r="AA30" s="22"/>
      <c r="AB30" s="5" t="s">
        <v>942</v>
      </c>
      <c r="AC30" s="572" t="s">
        <v>1398</v>
      </c>
      <c r="AD30" s="5" t="s">
        <v>828</v>
      </c>
      <c r="AE30" s="141"/>
      <c r="AF30" s="781"/>
      <c r="AG30" s="781"/>
      <c r="AH30" s="781"/>
      <c r="AI30" s="781"/>
      <c r="AJ30" s="781"/>
      <c r="AK30" s="781"/>
      <c r="AL30" s="781"/>
      <c r="AM30" s="781"/>
      <c r="AN30" s="781"/>
      <c r="AO30" s="141"/>
      <c r="AP30" s="781"/>
      <c r="AQ30" s="781"/>
      <c r="AR30" s="781"/>
      <c r="AS30" s="781"/>
      <c r="AT30" s="781"/>
      <c r="AU30" s="781"/>
      <c r="AV30" s="781"/>
      <c r="AW30" s="781"/>
      <c r="AX30" s="781"/>
      <c r="AY30" s="775"/>
      <c r="AZ30" s="22"/>
      <c r="BB30" s="656" t="s">
        <v>1399</v>
      </c>
    </row>
    <row r="31" spans="1:54" ht="33.4" hidden="1" customHeight="1" x14ac:dyDescent="0.15">
      <c r="E31" s="448">
        <v>34.200000000000003</v>
      </c>
      <c r="F31" s="765" cm="1">
        <f t="array" aca="1" ref="F31" ca="1">OFFSET(E31,-1,1)</f>
        <v>0</v>
      </c>
      <c r="G31" s="22" t="s">
        <v>489</v>
      </c>
      <c r="H31" s="22"/>
      <c r="I31" s="22"/>
      <c r="J31" s="22"/>
      <c r="T31" s="353" t="b" cm="1">
        <f t="array" ref="T31">T30</f>
        <v>0</v>
      </c>
      <c r="X31" s="990"/>
      <c r="Y31" s="22"/>
      <c r="Z31" s="1023"/>
      <c r="AA31" s="22"/>
      <c r="AB31" s="5" t="s">
        <v>945</v>
      </c>
      <c r="AC31" s="572" t="s">
        <v>1400</v>
      </c>
      <c r="AD31" s="5" t="s">
        <v>828</v>
      </c>
      <c r="AE31" s="141"/>
      <c r="AF31" s="781"/>
      <c r="AG31" s="781"/>
      <c r="AH31" s="781"/>
      <c r="AI31" s="781"/>
      <c r="AJ31" s="781"/>
      <c r="AK31" s="781"/>
      <c r="AL31" s="781"/>
      <c r="AM31" s="781"/>
      <c r="AN31" s="781"/>
      <c r="AO31" s="141"/>
      <c r="AP31" s="781"/>
      <c r="AQ31" s="781"/>
      <c r="AR31" s="781"/>
      <c r="AS31" s="781"/>
      <c r="AT31" s="781"/>
      <c r="AU31" s="781"/>
      <c r="AV31" s="781"/>
      <c r="AW31" s="781"/>
      <c r="AX31" s="781"/>
      <c r="AY31" s="775"/>
      <c r="AZ31" s="22"/>
      <c r="BA31"/>
      <c r="BB31" s="661" t="s">
        <v>1401</v>
      </c>
    </row>
    <row r="32" spans="1:54" ht="14.65" hidden="1" customHeight="1" x14ac:dyDescent="0.15">
      <c r="E32" s="448">
        <v>15</v>
      </c>
      <c r="F32" s="3" cm="1">
        <f t="array" aca="1" ref="F32" ca="1">OFFSET(E32,-1,1)</f>
        <v>0</v>
      </c>
      <c r="G32" s="22" t="s">
        <v>332</v>
      </c>
      <c r="H32" s="22"/>
      <c r="I32" s="22"/>
      <c r="J32" s="22"/>
      <c r="T32" s="353" t="b" cm="1">
        <f t="array" ref="T32">T31</f>
        <v>0</v>
      </c>
      <c r="X32" s="990"/>
      <c r="Y32" s="22"/>
      <c r="Z32" s="1023"/>
      <c r="AA32" s="22"/>
      <c r="AB32" s="5" t="s">
        <v>285</v>
      </c>
      <c r="AC32" s="157" t="s">
        <v>1402</v>
      </c>
      <c r="AD32" s="5" t="s">
        <v>476</v>
      </c>
      <c r="AE32" s="573">
        <f ca="1">SUMIFS(Сценарии!AJ$25:AJ$136,Сценарии!$F$25:$F$136,$F32,Сценарии!$AC$25:$AC$136,"Индекс потребительских цен")</f>
        <v>0</v>
      </c>
      <c r="AF32" s="573">
        <f ca="1">SUMIFS(Сценарии!AO$25:AO$136,Сценарии!$F$25:$F$136,$F32,Сценарии!$AC$25:$AC$136,"Индекс потребительских цен")</f>
        <v>0</v>
      </c>
      <c r="AG32" s="573">
        <f ca="1">SUMIFS(Сценарии!AP$25:AP$136,Сценарии!$F$25:$F$136,$F32,Сценарии!$AC$25:$AC$136,"Индекс потребительских цен")</f>
        <v>0</v>
      </c>
      <c r="AH32" s="573">
        <f ca="1">SUMIFS(Сценарии!AQ$25:AQ$136,Сценарии!$F$25:$F$136,$F32,Сценарии!$AC$25:$AC$136,"Индекс потребительских цен")</f>
        <v>0</v>
      </c>
      <c r="AI32" s="573">
        <f ca="1">SUMIFS(Сценарии!AR$25:AR$136,Сценарии!$F$25:$F$136,$F32,Сценарии!$AC$25:$AC$136,"Индекс потребительских цен")</f>
        <v>0</v>
      </c>
      <c r="AJ32" s="573">
        <f ca="1">SUMIFS(Сценарии!AS$25:AS$136,Сценарии!$F$25:$F$136,$F32,Сценарии!$AC$25:$AC$136,"Индекс потребительских цен")</f>
        <v>0</v>
      </c>
      <c r="AK32" s="573">
        <f ca="1">SUMIFS(Сценарии!AT$25:AT$136,Сценарии!$F$25:$F$136,$F32,Сценарии!$AC$25:$AC$136,"Индекс потребительских цен")</f>
        <v>0</v>
      </c>
      <c r="AL32" s="573">
        <f ca="1">SUMIFS(Сценарии!AU$25:AU$136,Сценарии!$F$25:$F$136,$F32,Сценарии!$AC$25:$AC$136,"Индекс потребительских цен")</f>
        <v>0</v>
      </c>
      <c r="AM32" s="573">
        <f ca="1">SUMIFS(Сценарии!AV$25:AV$136,Сценарии!$F$25:$F$136,$F32,Сценарии!$AC$25:$AC$136,"Индекс потребительских цен")</f>
        <v>0</v>
      </c>
      <c r="AN32" s="573">
        <f ca="1">SUMIFS(Сценарии!AW$25:AW$136,Сценарии!$F$25:$F$136,$F32,Сценарии!$AC$25:$AC$136,"Индекс потребительских цен")</f>
        <v>0</v>
      </c>
      <c r="AO32" s="573">
        <f ca="1">SUMIFS(Сценарии!AK$25:AK$136,Сценарии!$F$25:$F$136,$F32,Сценарии!$AC$25:$AC$136,"Индекс потребительских цен")</f>
        <v>0</v>
      </c>
      <c r="AP32" s="573">
        <f ca="1">SUMIFS(Сценарии!AX$25:AX$136,Сценарии!$F$25:$F$136,$F32,Сценарии!$AC$25:$AC$136,"Индекс потребительских цен")</f>
        <v>0</v>
      </c>
      <c r="AQ32" s="573">
        <f ca="1">SUMIFS(Сценарии!AY$25:AY$136,Сценарии!$F$25:$F$136,$F32,Сценарии!$AC$25:$AC$136,"Индекс потребительских цен")</f>
        <v>0</v>
      </c>
      <c r="AR32" s="573">
        <f ca="1">SUMIFS(Сценарии!AZ$25:AZ$136,Сценарии!$F$25:$F$136,$F32,Сценарии!$AC$25:$AC$136,"Индекс потребительских цен")</f>
        <v>0</v>
      </c>
      <c r="AS32" s="573">
        <f ca="1">SUMIFS(Сценарии!BA$25:BA$136,Сценарии!$F$25:$F$136,$F32,Сценарии!$AC$25:$AC$136,"Индекс потребительских цен")</f>
        <v>0</v>
      </c>
      <c r="AT32" s="573">
        <f ca="1">SUMIFS(Сценарии!BB$25:BB$136,Сценарии!$F$25:$F$136,$F32,Сценарии!$AC$25:$AC$136,"Индекс потребительских цен")</f>
        <v>0</v>
      </c>
      <c r="AU32" s="573">
        <f ca="1">SUMIFS(Сценарии!BC$25:BC$136,Сценарии!$F$25:$F$136,$F32,Сценарии!$AC$25:$AC$136,"Индекс потребительских цен")</f>
        <v>0</v>
      </c>
      <c r="AV32" s="573">
        <f ca="1">SUMIFS(Сценарии!BD$25:BD$136,Сценарии!$F$25:$F$136,$F32,Сценарии!$AC$25:$AC$136,"Индекс потребительских цен")</f>
        <v>0</v>
      </c>
      <c r="AW32" s="573">
        <f ca="1">SUMIFS(Сценарии!BE$25:BE$136,Сценарии!$F$25:$F$136,$F32,Сценарии!$AC$25:$AC$136,"Индекс потребительских цен")</f>
        <v>0</v>
      </c>
      <c r="AX32" s="573">
        <f ca="1">SUMIFS(Сценарии!BF$25:BF$136,Сценарии!$F$25:$F$136,$F32,Сценарии!$AC$25:$AC$136,"Индекс потребительских цен")</f>
        <v>0</v>
      </c>
      <c r="AY32" s="775"/>
      <c r="AZ32" s="22"/>
      <c r="BB32" s="656" t="s">
        <v>1403</v>
      </c>
    </row>
    <row r="33" spans="1:54" s="154" customFormat="1" ht="14.65" hidden="1" customHeight="1" x14ac:dyDescent="0.15">
      <c r="A33" s="38"/>
      <c r="B33" s="43"/>
      <c r="C33" s="38"/>
      <c r="D33" s="38"/>
      <c r="E33" s="448">
        <v>15</v>
      </c>
      <c r="F33" s="3" cm="1">
        <f t="array" aca="1" ref="F33" ca="1">OFFSET(E33,-1,1)</f>
        <v>0</v>
      </c>
      <c r="G33" s="22" t="s">
        <v>333</v>
      </c>
      <c r="H33" s="22"/>
      <c r="I33" s="22"/>
      <c r="J33" s="22"/>
      <c r="K33" s="38"/>
      <c r="L33" s="38"/>
      <c r="M33" s="38"/>
      <c r="N33" s="38"/>
      <c r="O33" s="38"/>
      <c r="P33" s="38"/>
      <c r="Q33" s="38"/>
      <c r="R33" s="38"/>
      <c r="S33" s="38"/>
      <c r="T33" s="353" t="b" cm="1">
        <f t="array" ref="T33">T32</f>
        <v>0</v>
      </c>
      <c r="U33" s="38"/>
      <c r="V33" s="38"/>
      <c r="W33" s="38"/>
      <c r="X33" s="990"/>
      <c r="Y33" s="22"/>
      <c r="Z33" s="1023"/>
      <c r="AA33" s="22"/>
      <c r="AB33" s="9">
        <v>3</v>
      </c>
      <c r="AC33" s="157" t="s">
        <v>1404</v>
      </c>
      <c r="AD33" s="5" t="s">
        <v>476</v>
      </c>
      <c r="AE33" s="574" cm="1">
        <f t="array" aca="1" ref="AE33" ca="1">AE32</f>
        <v>0</v>
      </c>
      <c r="AF33" s="858">
        <f t="shared" ref="AF33:AX33" ca="1" si="2">AE33*AF32/100</f>
        <v>0</v>
      </c>
      <c r="AG33" s="858">
        <f t="shared" ca="1" si="2"/>
        <v>0</v>
      </c>
      <c r="AH33" s="858">
        <f t="shared" ca="1" si="2"/>
        <v>0</v>
      </c>
      <c r="AI33" s="858">
        <f t="shared" ca="1" si="2"/>
        <v>0</v>
      </c>
      <c r="AJ33" s="858">
        <f t="shared" ca="1" si="2"/>
        <v>0</v>
      </c>
      <c r="AK33" s="858">
        <f t="shared" ca="1" si="2"/>
        <v>0</v>
      </c>
      <c r="AL33" s="858">
        <f t="shared" ca="1" si="2"/>
        <v>0</v>
      </c>
      <c r="AM33" s="858">
        <f t="shared" ca="1" si="2"/>
        <v>0</v>
      </c>
      <c r="AN33" s="858">
        <f t="shared" ca="1" si="2"/>
        <v>0</v>
      </c>
      <c r="AO33" s="574">
        <f t="shared" ca="1" si="2"/>
        <v>0</v>
      </c>
      <c r="AP33" s="858">
        <f t="shared" ca="1" si="2"/>
        <v>0</v>
      </c>
      <c r="AQ33" s="858">
        <f t="shared" ca="1" si="2"/>
        <v>0</v>
      </c>
      <c r="AR33" s="858">
        <f t="shared" ca="1" si="2"/>
        <v>0</v>
      </c>
      <c r="AS33" s="858">
        <f t="shared" ca="1" si="2"/>
        <v>0</v>
      </c>
      <c r="AT33" s="858">
        <f t="shared" ca="1" si="2"/>
        <v>0</v>
      </c>
      <c r="AU33" s="858">
        <f t="shared" ca="1" si="2"/>
        <v>0</v>
      </c>
      <c r="AV33" s="858">
        <f t="shared" ca="1" si="2"/>
        <v>0</v>
      </c>
      <c r="AW33" s="858">
        <f t="shared" ca="1" si="2"/>
        <v>0</v>
      </c>
      <c r="AX33" s="858">
        <f t="shared" ca="1" si="2"/>
        <v>0</v>
      </c>
      <c r="AY33" s="775"/>
      <c r="AZ33" s="22"/>
      <c r="BB33" s="688" t="s">
        <v>1405</v>
      </c>
    </row>
    <row r="34" spans="1:54" ht="14.65" hidden="1" customHeight="1" x14ac:dyDescent="0.15">
      <c r="A34" s="154"/>
      <c r="B34" s="328"/>
      <c r="C34" s="154"/>
      <c r="D34" s="154"/>
      <c r="E34" s="501">
        <v>15</v>
      </c>
      <c r="F34" s="3" cm="1">
        <f t="array" aca="1" ref="F34" ca="1">OFFSET(E34,-1,1)</f>
        <v>0</v>
      </c>
      <c r="G34" s="22" t="s">
        <v>335</v>
      </c>
      <c r="H34" s="22" t="s">
        <v>1406</v>
      </c>
      <c r="I34" s="63"/>
      <c r="J34" s="63"/>
      <c r="K34" s="154"/>
      <c r="L34" s="154"/>
      <c r="M34" s="154"/>
      <c r="N34" s="154"/>
      <c r="O34" s="154"/>
      <c r="P34" s="154"/>
      <c r="Q34" s="154"/>
      <c r="R34" s="154"/>
      <c r="S34" s="154"/>
      <c r="T34" s="353" t="b" cm="1">
        <f t="array" ref="T34">T33</f>
        <v>0</v>
      </c>
      <c r="U34" s="154"/>
      <c r="V34" s="154"/>
      <c r="W34" s="154"/>
      <c r="X34" s="990"/>
      <c r="Y34" s="63"/>
      <c r="Z34" s="1023"/>
      <c r="AA34" s="63"/>
      <c r="AB34" s="160" t="s">
        <v>454</v>
      </c>
      <c r="AC34" s="159" t="s">
        <v>1407</v>
      </c>
      <c r="AD34" s="160" t="s">
        <v>828</v>
      </c>
      <c r="AE34" s="569">
        <f t="shared" ref="AE34:AX34" ca="1" si="3">AE28*AE33/100</f>
        <v>0</v>
      </c>
      <c r="AF34" s="569">
        <f t="shared" ca="1" si="3"/>
        <v>0</v>
      </c>
      <c r="AG34" s="569">
        <f t="shared" ca="1" si="3"/>
        <v>0</v>
      </c>
      <c r="AH34" s="569">
        <f t="shared" ca="1" si="3"/>
        <v>0</v>
      </c>
      <c r="AI34" s="569">
        <f t="shared" ca="1" si="3"/>
        <v>0</v>
      </c>
      <c r="AJ34" s="569">
        <f t="shared" ca="1" si="3"/>
        <v>0</v>
      </c>
      <c r="AK34" s="569">
        <f t="shared" ca="1" si="3"/>
        <v>0</v>
      </c>
      <c r="AL34" s="569">
        <f t="shared" ca="1" si="3"/>
        <v>0</v>
      </c>
      <c r="AM34" s="569">
        <f t="shared" ca="1" si="3"/>
        <v>0</v>
      </c>
      <c r="AN34" s="569">
        <f t="shared" ca="1" si="3"/>
        <v>0</v>
      </c>
      <c r="AO34" s="569">
        <f t="shared" ca="1" si="3"/>
        <v>0</v>
      </c>
      <c r="AP34" s="569">
        <f t="shared" ca="1" si="3"/>
        <v>0</v>
      </c>
      <c r="AQ34" s="569">
        <f t="shared" ca="1" si="3"/>
        <v>0</v>
      </c>
      <c r="AR34" s="569">
        <f t="shared" ca="1" si="3"/>
        <v>0</v>
      </c>
      <c r="AS34" s="569">
        <f t="shared" ca="1" si="3"/>
        <v>0</v>
      </c>
      <c r="AT34" s="569">
        <f t="shared" ca="1" si="3"/>
        <v>0</v>
      </c>
      <c r="AU34" s="569">
        <f t="shared" ca="1" si="3"/>
        <v>0</v>
      </c>
      <c r="AV34" s="569">
        <f t="shared" ca="1" si="3"/>
        <v>0</v>
      </c>
      <c r="AW34" s="569">
        <f t="shared" ca="1" si="3"/>
        <v>0</v>
      </c>
      <c r="AX34" s="569">
        <f t="shared" ca="1" si="3"/>
        <v>0</v>
      </c>
      <c r="AY34" s="775"/>
      <c r="AZ34" s="63"/>
      <c r="BB34" s="656" t="s">
        <v>1408</v>
      </c>
    </row>
    <row r="35" spans="1:54" ht="14.25" customHeight="1" x14ac:dyDescent="0.15">
      <c r="E35" s="448">
        <v>15</v>
      </c>
      <c r="F35" s="59" t="str" cm="1">
        <f t="array" ref="F35">X35</f>
        <v>1</v>
      </c>
      <c r="G35" s="22"/>
      <c r="H35" s="22"/>
      <c r="I35" s="22"/>
      <c r="J35" s="22"/>
      <c r="T35" s="353" t="b">
        <f>X35&gt;0</f>
        <v>1</v>
      </c>
      <c r="V35" s="38" t="str" cm="1">
        <f t="array" ref="V35">'ИП + источники'!$AB$58</f>
        <v>Тариф 1 (Водоснабжение) - тариф на техническую воду</v>
      </c>
      <c r="X35" s="990" t="s">
        <v>275</v>
      </c>
      <c r="Y35" s="22"/>
      <c r="Z35" s="1023"/>
      <c r="AA35" s="22"/>
      <c r="AB35" s="155" t="str" cm="1">
        <f t="array" ref="AB35">'ИП + источники'!$AB$58</f>
        <v>Тариф 1 (Водоснабжение) - тариф на техническую воду</v>
      </c>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22"/>
    </row>
    <row r="36" spans="1:54" ht="14.25" customHeight="1" x14ac:dyDescent="0.15">
      <c r="A36" s="154"/>
      <c r="B36" s="328"/>
      <c r="C36" s="154"/>
      <c r="D36" s="154"/>
      <c r="E36" s="501">
        <v>15</v>
      </c>
      <c r="F36" s="3" t="str" cm="1">
        <f t="array" aca="1" ref="F36" ca="1">OFFSET(E36,-1,1)</f>
        <v>1</v>
      </c>
      <c r="G36" s="22" t="s">
        <v>331</v>
      </c>
      <c r="H36" s="63"/>
      <c r="I36" s="63"/>
      <c r="J36" s="63"/>
      <c r="K36" s="154"/>
      <c r="L36" s="154"/>
      <c r="M36" s="154"/>
      <c r="N36" s="154"/>
      <c r="O36" s="154"/>
      <c r="P36" s="154"/>
      <c r="Q36" s="154"/>
      <c r="R36" s="154"/>
      <c r="S36" s="154"/>
      <c r="T36" s="353" t="b" cm="1">
        <f t="array" ref="T36">T35</f>
        <v>1</v>
      </c>
      <c r="U36" s="154"/>
      <c r="V36" s="154"/>
      <c r="W36" s="154"/>
      <c r="X36" s="990"/>
      <c r="Y36" s="63"/>
      <c r="Z36" s="1023"/>
      <c r="AA36" s="63"/>
      <c r="AB36" s="160" t="s">
        <v>275</v>
      </c>
      <c r="AC36" s="159" t="s">
        <v>1395</v>
      </c>
      <c r="AD36" s="160" t="s">
        <v>828</v>
      </c>
      <c r="AE36" s="569">
        <f t="shared" ref="AE36:AX36" si="4">AE37+AE38+AE39</f>
        <v>0</v>
      </c>
      <c r="AF36" s="569">
        <f t="shared" si="4"/>
        <v>0</v>
      </c>
      <c r="AG36" s="569">
        <f t="shared" si="4"/>
        <v>0</v>
      </c>
      <c r="AH36" s="569">
        <f t="shared" si="4"/>
        <v>0</v>
      </c>
      <c r="AI36" s="569">
        <f t="shared" si="4"/>
        <v>0</v>
      </c>
      <c r="AJ36" s="569">
        <f t="shared" si="4"/>
        <v>0</v>
      </c>
      <c r="AK36" s="569">
        <f t="shared" si="4"/>
        <v>0</v>
      </c>
      <c r="AL36" s="569">
        <f t="shared" si="4"/>
        <v>0</v>
      </c>
      <c r="AM36" s="569">
        <f t="shared" si="4"/>
        <v>0</v>
      </c>
      <c r="AN36" s="569">
        <f t="shared" si="4"/>
        <v>0</v>
      </c>
      <c r="AO36" s="569">
        <f t="shared" si="4"/>
        <v>0</v>
      </c>
      <c r="AP36" s="569">
        <f t="shared" si="4"/>
        <v>0</v>
      </c>
      <c r="AQ36" s="569">
        <f t="shared" si="4"/>
        <v>0</v>
      </c>
      <c r="AR36" s="569">
        <f t="shared" si="4"/>
        <v>0</v>
      </c>
      <c r="AS36" s="569">
        <f t="shared" si="4"/>
        <v>0</v>
      </c>
      <c r="AT36" s="569">
        <f t="shared" si="4"/>
        <v>0</v>
      </c>
      <c r="AU36" s="569">
        <f t="shared" si="4"/>
        <v>0</v>
      </c>
      <c r="AV36" s="569">
        <f t="shared" si="4"/>
        <v>0</v>
      </c>
      <c r="AW36" s="569">
        <f t="shared" si="4"/>
        <v>0</v>
      </c>
      <c r="AX36" s="569">
        <f t="shared" si="4"/>
        <v>0</v>
      </c>
      <c r="AY36" s="196"/>
      <c r="AZ36" s="63"/>
      <c r="BB36" s="656" t="s">
        <v>1329</v>
      </c>
    </row>
    <row r="37" spans="1:54" ht="14.25" customHeight="1" x14ac:dyDescent="0.15">
      <c r="E37" s="448">
        <v>15</v>
      </c>
      <c r="F37" s="3" t="str" cm="1">
        <f t="array" aca="1" ref="F37" ca="1">OFFSET(E37,-1,1)</f>
        <v>1</v>
      </c>
      <c r="G37" s="22" t="s">
        <v>482</v>
      </c>
      <c r="H37" s="22"/>
      <c r="I37" s="22"/>
      <c r="J37" s="22"/>
      <c r="T37" s="353" t="b" cm="1">
        <f t="array" ref="T37">T36</f>
        <v>1</v>
      </c>
      <c r="X37" s="990"/>
      <c r="Y37" s="22"/>
      <c r="Z37" s="1023"/>
      <c r="AA37" s="22"/>
      <c r="AB37" s="5" t="s">
        <v>939</v>
      </c>
      <c r="AC37" s="572" t="s">
        <v>1396</v>
      </c>
      <c r="AD37" s="5" t="s">
        <v>828</v>
      </c>
      <c r="AE37" s="141"/>
      <c r="AF37" s="781"/>
      <c r="AG37" s="781"/>
      <c r="AH37" s="141"/>
      <c r="AI37" s="141"/>
      <c r="AJ37" s="141"/>
      <c r="AK37" s="141"/>
      <c r="AL37" s="141"/>
      <c r="AM37" s="141"/>
      <c r="AN37" s="141"/>
      <c r="AO37" s="141"/>
      <c r="AP37" s="781"/>
      <c r="AQ37" s="781"/>
      <c r="AR37" s="141"/>
      <c r="AS37" s="141"/>
      <c r="AT37" s="141"/>
      <c r="AU37" s="141"/>
      <c r="AV37" s="141"/>
      <c r="AW37" s="141"/>
      <c r="AX37" s="141"/>
      <c r="AY37" s="196"/>
      <c r="AZ37" s="22"/>
      <c r="BB37" s="656" t="s">
        <v>1397</v>
      </c>
    </row>
    <row r="38" spans="1:54" ht="23.25" customHeight="1" x14ac:dyDescent="0.15">
      <c r="E38" s="448">
        <v>24</v>
      </c>
      <c r="F38" s="3" t="str" cm="1">
        <f t="array" aca="1" ref="F38" ca="1">OFFSET(E38,-1,1)</f>
        <v>1</v>
      </c>
      <c r="G38" s="22" t="s">
        <v>486</v>
      </c>
      <c r="H38" s="22"/>
      <c r="I38" s="22"/>
      <c r="J38" s="22"/>
      <c r="T38" s="353" t="b" cm="1">
        <f t="array" ref="T38">T37</f>
        <v>1</v>
      </c>
      <c r="X38" s="990"/>
      <c r="Y38" s="22"/>
      <c r="Z38" s="1023"/>
      <c r="AA38" s="22"/>
      <c r="AB38" s="5" t="s">
        <v>942</v>
      </c>
      <c r="AC38" s="572" t="s">
        <v>1398</v>
      </c>
      <c r="AD38" s="5" t="s">
        <v>828</v>
      </c>
      <c r="AE38" s="141"/>
      <c r="AF38" s="781"/>
      <c r="AG38" s="781"/>
      <c r="AH38" s="141"/>
      <c r="AI38" s="141"/>
      <c r="AJ38" s="141"/>
      <c r="AK38" s="141"/>
      <c r="AL38" s="141"/>
      <c r="AM38" s="141"/>
      <c r="AN38" s="141"/>
      <c r="AO38" s="141"/>
      <c r="AP38" s="781"/>
      <c r="AQ38" s="781"/>
      <c r="AR38" s="141"/>
      <c r="AS38" s="141"/>
      <c r="AT38" s="141"/>
      <c r="AU38" s="141"/>
      <c r="AV38" s="141"/>
      <c r="AW38" s="141"/>
      <c r="AX38" s="141"/>
      <c r="AY38" s="196"/>
      <c r="AZ38" s="22"/>
      <c r="BB38" s="656" t="s">
        <v>1399</v>
      </c>
    </row>
    <row r="39" spans="1:54" ht="33" customHeight="1" x14ac:dyDescent="0.15">
      <c r="E39" s="448">
        <v>34.200000000000003</v>
      </c>
      <c r="F39" s="765" t="str" cm="1">
        <f t="array" aca="1" ref="F39" ca="1">OFFSET(E39,-1,1)</f>
        <v>1</v>
      </c>
      <c r="G39" s="22" t="s">
        <v>489</v>
      </c>
      <c r="H39" s="22"/>
      <c r="I39" s="22"/>
      <c r="J39" s="22"/>
      <c r="T39" s="353" t="b" cm="1">
        <f t="array" ref="T39">T38</f>
        <v>1</v>
      </c>
      <c r="X39" s="990"/>
      <c r="Y39" s="22"/>
      <c r="Z39" s="1023"/>
      <c r="AA39" s="22"/>
      <c r="AB39" s="5" t="s">
        <v>945</v>
      </c>
      <c r="AC39" s="572" t="s">
        <v>1400</v>
      </c>
      <c r="AD39" s="5" t="s">
        <v>828</v>
      </c>
      <c r="AE39" s="141"/>
      <c r="AF39" s="781"/>
      <c r="AG39" s="781"/>
      <c r="AH39" s="141"/>
      <c r="AI39" s="141"/>
      <c r="AJ39" s="141"/>
      <c r="AK39" s="141"/>
      <c r="AL39" s="141"/>
      <c r="AM39" s="141"/>
      <c r="AN39" s="141"/>
      <c r="AO39" s="141"/>
      <c r="AP39" s="781"/>
      <c r="AQ39" s="781"/>
      <c r="AR39" s="141"/>
      <c r="AS39" s="141"/>
      <c r="AT39" s="141"/>
      <c r="AU39" s="141"/>
      <c r="AV39" s="141"/>
      <c r="AW39" s="141"/>
      <c r="AX39" s="141"/>
      <c r="AY39" s="196"/>
      <c r="AZ39" s="22"/>
      <c r="BA39"/>
      <c r="BB39" s="661" t="s">
        <v>1401</v>
      </c>
    </row>
    <row r="40" spans="1:54" ht="14.25" customHeight="1" x14ac:dyDescent="0.15">
      <c r="E40" s="448">
        <v>15</v>
      </c>
      <c r="F40" s="3" t="str" cm="1">
        <f t="array" aca="1" ref="F40" ca="1">OFFSET(E40,-1,1)</f>
        <v>1</v>
      </c>
      <c r="G40" s="22" t="s">
        <v>332</v>
      </c>
      <c r="H40" s="22"/>
      <c r="I40" s="22"/>
      <c r="J40" s="22"/>
      <c r="T40" s="353" t="b" cm="1">
        <f t="array" ref="T40">T39</f>
        <v>1</v>
      </c>
      <c r="X40" s="990"/>
      <c r="Y40" s="22"/>
      <c r="Z40" s="1023"/>
      <c r="AA40" s="22"/>
      <c r="AB40" s="5" t="s">
        <v>285</v>
      </c>
      <c r="AC40" s="157" t="s">
        <v>1402</v>
      </c>
      <c r="AD40" s="5" t="s">
        <v>476</v>
      </c>
      <c r="AE40" s="573">
        <f ca="1">SUMIFS(Сценарии!AJ$25:AJ$136,Сценарии!$F$25:$F$136,$F40,Сценарии!$AC$25:$AC$136,"Индекс потребительских цен")</f>
        <v>4.5</v>
      </c>
      <c r="AF40" s="573">
        <f ca="1">SUMIFS(Сценарии!AO$25:AO$136,Сценарии!$F$25:$F$136,$F40,Сценарии!$AC$25:$AC$136,"Индекс потребительских цен")</f>
        <v>0</v>
      </c>
      <c r="AG40" s="573">
        <f ca="1">SUMIFS(Сценарии!AP$25:AP$136,Сценарии!$F$25:$F$136,$F40,Сценарии!$AC$25:$AC$136,"Индекс потребительских цен")</f>
        <v>0</v>
      </c>
      <c r="AH40" s="573">
        <f ca="1">SUMIFS(Сценарии!AQ$25:AQ$136,Сценарии!$F$25:$F$136,$F40,Сценарии!$AC$25:$AC$136,"Индекс потребительских цен")</f>
        <v>0</v>
      </c>
      <c r="AI40" s="573">
        <f ca="1">SUMIFS(Сценарии!AR$25:AR$136,Сценарии!$F$25:$F$136,$F40,Сценарии!$AC$25:$AC$136,"Индекс потребительских цен")</f>
        <v>0</v>
      </c>
      <c r="AJ40" s="573">
        <f ca="1">SUMIFS(Сценарии!AS$25:AS$136,Сценарии!$F$25:$F$136,$F40,Сценарии!$AC$25:$AC$136,"Индекс потребительских цен")</f>
        <v>0</v>
      </c>
      <c r="AK40" s="573">
        <f ca="1">SUMIFS(Сценарии!AT$25:AT$136,Сценарии!$F$25:$F$136,$F40,Сценарии!$AC$25:$AC$136,"Индекс потребительских цен")</f>
        <v>0</v>
      </c>
      <c r="AL40" s="573">
        <f ca="1">SUMIFS(Сценарии!AU$25:AU$136,Сценарии!$F$25:$F$136,$F40,Сценарии!$AC$25:$AC$136,"Индекс потребительских цен")</f>
        <v>0</v>
      </c>
      <c r="AM40" s="573">
        <f ca="1">SUMIFS(Сценарии!AV$25:AV$136,Сценарии!$F$25:$F$136,$F40,Сценарии!$AC$25:$AC$136,"Индекс потребительских цен")</f>
        <v>0</v>
      </c>
      <c r="AN40" s="573">
        <f ca="1">SUMIFS(Сценарии!AW$25:AW$136,Сценарии!$F$25:$F$136,$F40,Сценарии!$AC$25:$AC$136,"Индекс потребительских цен")</f>
        <v>0</v>
      </c>
      <c r="AO40" s="573">
        <f ca="1">SUMIFS(Сценарии!AK$25:AK$136,Сценарии!$F$25:$F$136,$F40,Сценарии!$AC$25:$AC$136,"Индекс потребительских цен")</f>
        <v>4.3</v>
      </c>
      <c r="AP40" s="573">
        <f ca="1">SUMIFS(Сценарии!AX$25:AX$136,Сценарии!$F$25:$F$136,$F40,Сценарии!$AC$25:$AC$136,"Индекс потребительских цен")</f>
        <v>0</v>
      </c>
      <c r="AQ40" s="573">
        <f ca="1">SUMIFS(Сценарии!AY$25:AY$136,Сценарии!$F$25:$F$136,$F40,Сценарии!$AC$25:$AC$136,"Индекс потребительских цен")</f>
        <v>0</v>
      </c>
      <c r="AR40" s="573">
        <f ca="1">SUMIFS(Сценарии!AZ$25:AZ$136,Сценарии!$F$25:$F$136,$F40,Сценарии!$AC$25:$AC$136,"Индекс потребительских цен")</f>
        <v>0</v>
      </c>
      <c r="AS40" s="573">
        <f ca="1">SUMIFS(Сценарии!BA$25:BA$136,Сценарии!$F$25:$F$136,$F40,Сценарии!$AC$25:$AC$136,"Индекс потребительских цен")</f>
        <v>0</v>
      </c>
      <c r="AT40" s="573">
        <f ca="1">SUMIFS(Сценарии!BB$25:BB$136,Сценарии!$F$25:$F$136,$F40,Сценарии!$AC$25:$AC$136,"Индекс потребительских цен")</f>
        <v>0</v>
      </c>
      <c r="AU40" s="573">
        <f ca="1">SUMIFS(Сценарии!BC$25:BC$136,Сценарии!$F$25:$F$136,$F40,Сценарии!$AC$25:$AC$136,"Индекс потребительских цен")</f>
        <v>0</v>
      </c>
      <c r="AV40" s="573">
        <f ca="1">SUMIFS(Сценарии!BD$25:BD$136,Сценарии!$F$25:$F$136,$F40,Сценарии!$AC$25:$AC$136,"Индекс потребительских цен")</f>
        <v>0</v>
      </c>
      <c r="AW40" s="573">
        <f ca="1">SUMIFS(Сценарии!BE$25:BE$136,Сценарии!$F$25:$F$136,$F40,Сценарии!$AC$25:$AC$136,"Индекс потребительских цен")</f>
        <v>0</v>
      </c>
      <c r="AX40" s="573">
        <f ca="1">SUMIFS(Сценарии!BF$25:BF$136,Сценарии!$F$25:$F$136,$F40,Сценарии!$AC$25:$AC$136,"Индекс потребительских цен")</f>
        <v>0</v>
      </c>
      <c r="AY40" s="196"/>
      <c r="AZ40" s="22"/>
      <c r="BB40" s="656" t="s">
        <v>1403</v>
      </c>
    </row>
    <row r="41" spans="1:54" s="857" customFormat="1" ht="14.65" customHeight="1" x14ac:dyDescent="0.15">
      <c r="A41" s="38"/>
      <c r="B41" s="43"/>
      <c r="C41" s="38"/>
      <c r="D41" s="38"/>
      <c r="E41" s="448">
        <v>15</v>
      </c>
      <c r="F41" s="3" t="str" cm="1">
        <f t="array" aca="1" ref="F41" ca="1">OFFSET(E41,-1,1)</f>
        <v>1</v>
      </c>
      <c r="G41" s="22" t="s">
        <v>333</v>
      </c>
      <c r="H41" s="22"/>
      <c r="I41" s="22"/>
      <c r="J41" s="22"/>
      <c r="K41" s="38"/>
      <c r="L41" s="38"/>
      <c r="M41" s="38"/>
      <c r="N41" s="38"/>
      <c r="O41" s="38"/>
      <c r="P41" s="38"/>
      <c r="Q41" s="38"/>
      <c r="R41" s="38"/>
      <c r="S41" s="38"/>
      <c r="T41" s="353" t="b" cm="1">
        <f t="array" ref="T41">T40</f>
        <v>1</v>
      </c>
      <c r="U41" s="38"/>
      <c r="V41" s="38"/>
      <c r="W41" s="38"/>
      <c r="X41" s="990"/>
      <c r="Y41" s="22"/>
      <c r="Z41" s="1023"/>
      <c r="AA41" s="22"/>
      <c r="AB41" s="9">
        <v>3</v>
      </c>
      <c r="AC41" s="157" t="s">
        <v>1404</v>
      </c>
      <c r="AD41" s="5" t="s">
        <v>476</v>
      </c>
      <c r="AE41" s="574">
        <v>4.5</v>
      </c>
      <c r="AF41" s="858">
        <f t="shared" ref="AF41:AX41" ca="1" si="5">AE41*AF40/100</f>
        <v>0</v>
      </c>
      <c r="AG41" s="858">
        <f t="shared" ca="1" si="5"/>
        <v>0</v>
      </c>
      <c r="AH41" s="574">
        <f t="shared" ca="1" si="5"/>
        <v>0</v>
      </c>
      <c r="AI41" s="574">
        <f t="shared" ca="1" si="5"/>
        <v>0</v>
      </c>
      <c r="AJ41" s="574">
        <f t="shared" ca="1" si="5"/>
        <v>0</v>
      </c>
      <c r="AK41" s="574">
        <f t="shared" ca="1" si="5"/>
        <v>0</v>
      </c>
      <c r="AL41" s="574">
        <f t="shared" ca="1" si="5"/>
        <v>0</v>
      </c>
      <c r="AM41" s="574">
        <f t="shared" ca="1" si="5"/>
        <v>0</v>
      </c>
      <c r="AN41" s="574">
        <f t="shared" ca="1" si="5"/>
        <v>0</v>
      </c>
      <c r="AO41" s="574">
        <f t="shared" ca="1" si="5"/>
        <v>0</v>
      </c>
      <c r="AP41" s="858">
        <f t="shared" ca="1" si="5"/>
        <v>0</v>
      </c>
      <c r="AQ41" s="858">
        <f t="shared" ca="1" si="5"/>
        <v>0</v>
      </c>
      <c r="AR41" s="574">
        <f t="shared" ca="1" si="5"/>
        <v>0</v>
      </c>
      <c r="AS41" s="574">
        <f t="shared" ca="1" si="5"/>
        <v>0</v>
      </c>
      <c r="AT41" s="574">
        <f t="shared" ca="1" si="5"/>
        <v>0</v>
      </c>
      <c r="AU41" s="574">
        <f t="shared" ca="1" si="5"/>
        <v>0</v>
      </c>
      <c r="AV41" s="574">
        <f t="shared" ca="1" si="5"/>
        <v>0</v>
      </c>
      <c r="AW41" s="574">
        <f t="shared" ca="1" si="5"/>
        <v>0</v>
      </c>
      <c r="AX41" s="574">
        <f t="shared" ca="1" si="5"/>
        <v>0</v>
      </c>
      <c r="AY41" s="196"/>
      <c r="AZ41" s="22"/>
      <c r="BA41" s="154"/>
      <c r="BB41" s="688" t="s">
        <v>1405</v>
      </c>
    </row>
    <row r="42" spans="1:54" ht="14.25" customHeight="1" x14ac:dyDescent="0.15">
      <c r="A42" s="154"/>
      <c r="B42" s="328"/>
      <c r="C42" s="154"/>
      <c r="D42" s="154"/>
      <c r="E42" s="501">
        <v>15</v>
      </c>
      <c r="F42" s="3" t="str" cm="1">
        <f t="array" aca="1" ref="F42" ca="1">OFFSET(E42,-1,1)</f>
        <v>1</v>
      </c>
      <c r="G42" s="22" t="s">
        <v>335</v>
      </c>
      <c r="H42" s="22" t="s">
        <v>1406</v>
      </c>
      <c r="I42" s="63"/>
      <c r="J42" s="63"/>
      <c r="K42" s="154"/>
      <c r="L42" s="154"/>
      <c r="M42" s="154"/>
      <c r="N42" s="154"/>
      <c r="O42" s="154"/>
      <c r="P42" s="154"/>
      <c r="Q42" s="154"/>
      <c r="R42" s="154"/>
      <c r="S42" s="154"/>
      <c r="T42" s="353" t="b" cm="1">
        <f t="array" ref="T42">T41</f>
        <v>1</v>
      </c>
      <c r="U42" s="154"/>
      <c r="V42" s="154"/>
      <c r="W42" s="154"/>
      <c r="X42" s="990"/>
      <c r="Y42" s="63"/>
      <c r="Z42" s="1023"/>
      <c r="AA42" s="63"/>
      <c r="AB42" s="160" t="s">
        <v>454</v>
      </c>
      <c r="AC42" s="159" t="s">
        <v>1407</v>
      </c>
      <c r="AD42" s="160" t="s">
        <v>828</v>
      </c>
      <c r="AE42" s="569">
        <f t="shared" ref="AE42:AX42" si="6">AE36*AE41/100</f>
        <v>0</v>
      </c>
      <c r="AF42" s="569">
        <f t="shared" ca="1" si="6"/>
        <v>0</v>
      </c>
      <c r="AG42" s="569">
        <f t="shared" ca="1" si="6"/>
        <v>0</v>
      </c>
      <c r="AH42" s="569">
        <f t="shared" ca="1" si="6"/>
        <v>0</v>
      </c>
      <c r="AI42" s="569">
        <f t="shared" ca="1" si="6"/>
        <v>0</v>
      </c>
      <c r="AJ42" s="569">
        <f t="shared" ca="1" si="6"/>
        <v>0</v>
      </c>
      <c r="AK42" s="569">
        <f t="shared" ca="1" si="6"/>
        <v>0</v>
      </c>
      <c r="AL42" s="569">
        <f t="shared" ca="1" si="6"/>
        <v>0</v>
      </c>
      <c r="AM42" s="569">
        <f t="shared" ca="1" si="6"/>
        <v>0</v>
      </c>
      <c r="AN42" s="569">
        <f t="shared" ca="1" si="6"/>
        <v>0</v>
      </c>
      <c r="AO42" s="569">
        <f t="shared" ca="1" si="6"/>
        <v>0</v>
      </c>
      <c r="AP42" s="569">
        <f t="shared" ca="1" si="6"/>
        <v>0</v>
      </c>
      <c r="AQ42" s="569">
        <f t="shared" ca="1" si="6"/>
        <v>0</v>
      </c>
      <c r="AR42" s="569">
        <f t="shared" ca="1" si="6"/>
        <v>0</v>
      </c>
      <c r="AS42" s="569">
        <f t="shared" ca="1" si="6"/>
        <v>0</v>
      </c>
      <c r="AT42" s="569">
        <f t="shared" ca="1" si="6"/>
        <v>0</v>
      </c>
      <c r="AU42" s="569">
        <f t="shared" ca="1" si="6"/>
        <v>0</v>
      </c>
      <c r="AV42" s="569">
        <f t="shared" ca="1" si="6"/>
        <v>0</v>
      </c>
      <c r="AW42" s="569">
        <f t="shared" ca="1" si="6"/>
        <v>0</v>
      </c>
      <c r="AX42" s="569">
        <f t="shared" ca="1" si="6"/>
        <v>0</v>
      </c>
      <c r="AY42" s="196"/>
      <c r="AZ42" s="63"/>
      <c r="BB42" s="656" t="s">
        <v>1408</v>
      </c>
    </row>
    <row r="43" spans="1:54" ht="14.25" customHeight="1" x14ac:dyDescent="0.15">
      <c r="E43" s="448">
        <v>15</v>
      </c>
      <c r="F43" s="59" t="str" cm="1">
        <f t="array" ref="F43">X43</f>
        <v>2</v>
      </c>
      <c r="G43" s="22"/>
      <c r="H43" s="22"/>
      <c r="I43" s="22"/>
      <c r="J43" s="22"/>
      <c r="T43" s="353" t="b">
        <f>X43&gt;0</f>
        <v>1</v>
      </c>
      <c r="V43" s="38" t="str" cm="1">
        <f t="array" ref="V43">'ИП + источники'!$AB$87</f>
        <v>Тариф 2 (Водоотведение) - тариф на водоотведение</v>
      </c>
      <c r="X43" s="990" t="s">
        <v>285</v>
      </c>
      <c r="Y43" s="22"/>
      <c r="Z43" s="1023"/>
      <c r="AA43" s="22"/>
      <c r="AB43" s="155" t="str" cm="1">
        <f t="array" ref="AB43">'ИП + источники'!$AB$87</f>
        <v>Тариф 2 (Водоотведение) - тариф на водоотведение</v>
      </c>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22"/>
    </row>
    <row r="44" spans="1:54" ht="14.25" customHeight="1" x14ac:dyDescent="0.15">
      <c r="A44" s="154"/>
      <c r="B44" s="328"/>
      <c r="C44" s="154"/>
      <c r="D44" s="154"/>
      <c r="E44" s="501">
        <v>15</v>
      </c>
      <c r="F44" s="3" t="str" cm="1">
        <f t="array" aca="1" ref="F44" ca="1">OFFSET(E44,-1,1)</f>
        <v>2</v>
      </c>
      <c r="G44" s="22" t="s">
        <v>331</v>
      </c>
      <c r="H44" s="63"/>
      <c r="I44" s="63"/>
      <c r="J44" s="63"/>
      <c r="K44" s="154"/>
      <c r="L44" s="154"/>
      <c r="M44" s="154"/>
      <c r="N44" s="154"/>
      <c r="O44" s="154"/>
      <c r="P44" s="154"/>
      <c r="Q44" s="154"/>
      <c r="R44" s="154"/>
      <c r="S44" s="154"/>
      <c r="T44" s="353" t="b" cm="1">
        <f t="array" ref="T44">T43</f>
        <v>1</v>
      </c>
      <c r="U44" s="154"/>
      <c r="V44" s="154"/>
      <c r="W44" s="154"/>
      <c r="X44" s="990"/>
      <c r="Y44" s="63"/>
      <c r="Z44" s="1023"/>
      <c r="AA44" s="63"/>
      <c r="AB44" s="160" t="s">
        <v>275</v>
      </c>
      <c r="AC44" s="159" t="s">
        <v>1395</v>
      </c>
      <c r="AD44" s="160" t="s">
        <v>828</v>
      </c>
      <c r="AE44" s="569">
        <f t="shared" ref="AE44:AX44" si="7">AE45+AE46+AE47</f>
        <v>0</v>
      </c>
      <c r="AF44" s="569">
        <f t="shared" si="7"/>
        <v>0</v>
      </c>
      <c r="AG44" s="569">
        <f t="shared" si="7"/>
        <v>0</v>
      </c>
      <c r="AH44" s="569">
        <f t="shared" si="7"/>
        <v>0</v>
      </c>
      <c r="AI44" s="569">
        <f t="shared" si="7"/>
        <v>0</v>
      </c>
      <c r="AJ44" s="569">
        <f t="shared" si="7"/>
        <v>0</v>
      </c>
      <c r="AK44" s="569">
        <f t="shared" si="7"/>
        <v>0</v>
      </c>
      <c r="AL44" s="569">
        <f t="shared" si="7"/>
        <v>0</v>
      </c>
      <c r="AM44" s="569">
        <f t="shared" si="7"/>
        <v>0</v>
      </c>
      <c r="AN44" s="569">
        <f t="shared" si="7"/>
        <v>0</v>
      </c>
      <c r="AO44" s="569">
        <f t="shared" si="7"/>
        <v>0</v>
      </c>
      <c r="AP44" s="569">
        <f t="shared" si="7"/>
        <v>0</v>
      </c>
      <c r="AQ44" s="569">
        <f t="shared" si="7"/>
        <v>0</v>
      </c>
      <c r="AR44" s="569">
        <f t="shared" si="7"/>
        <v>0</v>
      </c>
      <c r="AS44" s="569">
        <f t="shared" si="7"/>
        <v>0</v>
      </c>
      <c r="AT44" s="569">
        <f t="shared" si="7"/>
        <v>0</v>
      </c>
      <c r="AU44" s="569">
        <f t="shared" si="7"/>
        <v>0</v>
      </c>
      <c r="AV44" s="569">
        <f t="shared" si="7"/>
        <v>0</v>
      </c>
      <c r="AW44" s="569">
        <f t="shared" si="7"/>
        <v>0</v>
      </c>
      <c r="AX44" s="569">
        <f t="shared" si="7"/>
        <v>0</v>
      </c>
      <c r="AY44" s="196"/>
      <c r="AZ44" s="63"/>
      <c r="BB44" s="656" t="s">
        <v>1329</v>
      </c>
    </row>
    <row r="45" spans="1:54" ht="14.25" customHeight="1" x14ac:dyDescent="0.15">
      <c r="E45" s="448">
        <v>15</v>
      </c>
      <c r="F45" s="3" t="str" cm="1">
        <f t="array" aca="1" ref="F45" ca="1">OFFSET(E45,-1,1)</f>
        <v>2</v>
      </c>
      <c r="G45" s="22" t="s">
        <v>482</v>
      </c>
      <c r="H45" s="22"/>
      <c r="I45" s="22"/>
      <c r="J45" s="22"/>
      <c r="T45" s="353" t="b" cm="1">
        <f t="array" ref="T45">T44</f>
        <v>1</v>
      </c>
      <c r="X45" s="990"/>
      <c r="Y45" s="22"/>
      <c r="Z45" s="1023"/>
      <c r="AA45" s="22"/>
      <c r="AB45" s="5" t="s">
        <v>939</v>
      </c>
      <c r="AC45" s="572" t="s">
        <v>1396</v>
      </c>
      <c r="AD45" s="5" t="s">
        <v>828</v>
      </c>
      <c r="AE45" s="141"/>
      <c r="AF45" s="781"/>
      <c r="AG45" s="781"/>
      <c r="AH45" s="141"/>
      <c r="AI45" s="141"/>
      <c r="AJ45" s="141"/>
      <c r="AK45" s="141"/>
      <c r="AL45" s="141"/>
      <c r="AM45" s="141"/>
      <c r="AN45" s="141"/>
      <c r="AO45" s="141"/>
      <c r="AP45" s="781"/>
      <c r="AQ45" s="781"/>
      <c r="AR45" s="141"/>
      <c r="AS45" s="141"/>
      <c r="AT45" s="141"/>
      <c r="AU45" s="141"/>
      <c r="AV45" s="141"/>
      <c r="AW45" s="141"/>
      <c r="AX45" s="141"/>
      <c r="AY45" s="196"/>
      <c r="AZ45" s="22"/>
      <c r="BB45" s="656" t="s">
        <v>1397</v>
      </c>
    </row>
    <row r="46" spans="1:54" ht="23.25" customHeight="1" x14ac:dyDescent="0.15">
      <c r="E46" s="448">
        <v>24</v>
      </c>
      <c r="F46" s="3" t="str" cm="1">
        <f t="array" aca="1" ref="F46" ca="1">OFFSET(E46,-1,1)</f>
        <v>2</v>
      </c>
      <c r="G46" s="22" t="s">
        <v>486</v>
      </c>
      <c r="H46" s="22"/>
      <c r="I46" s="22"/>
      <c r="J46" s="22"/>
      <c r="T46" s="353" t="b" cm="1">
        <f t="array" ref="T46">T45</f>
        <v>1</v>
      </c>
      <c r="X46" s="990"/>
      <c r="Y46" s="22"/>
      <c r="Z46" s="1023"/>
      <c r="AA46" s="22"/>
      <c r="AB46" s="5" t="s">
        <v>942</v>
      </c>
      <c r="AC46" s="572" t="s">
        <v>1398</v>
      </c>
      <c r="AD46" s="5" t="s">
        <v>828</v>
      </c>
      <c r="AE46" s="141"/>
      <c r="AF46" s="781"/>
      <c r="AG46" s="781"/>
      <c r="AH46" s="141"/>
      <c r="AI46" s="141"/>
      <c r="AJ46" s="141"/>
      <c r="AK46" s="141"/>
      <c r="AL46" s="141"/>
      <c r="AM46" s="141"/>
      <c r="AN46" s="141"/>
      <c r="AO46" s="141"/>
      <c r="AP46" s="781"/>
      <c r="AQ46" s="781"/>
      <c r="AR46" s="141"/>
      <c r="AS46" s="141"/>
      <c r="AT46" s="141"/>
      <c r="AU46" s="141"/>
      <c r="AV46" s="141"/>
      <c r="AW46" s="141"/>
      <c r="AX46" s="141"/>
      <c r="AY46" s="196"/>
      <c r="AZ46" s="22"/>
      <c r="BB46" s="656" t="s">
        <v>1399</v>
      </c>
    </row>
    <row r="47" spans="1:54" ht="33" customHeight="1" x14ac:dyDescent="0.15">
      <c r="E47" s="448">
        <v>34.200000000000003</v>
      </c>
      <c r="F47" s="765" t="str" cm="1">
        <f t="array" aca="1" ref="F47" ca="1">OFFSET(E47,-1,1)</f>
        <v>2</v>
      </c>
      <c r="G47" s="22" t="s">
        <v>489</v>
      </c>
      <c r="H47" s="22"/>
      <c r="I47" s="22"/>
      <c r="J47" s="22"/>
      <c r="T47" s="353" t="b" cm="1">
        <f t="array" ref="T47">T46</f>
        <v>1</v>
      </c>
      <c r="X47" s="990"/>
      <c r="Y47" s="22"/>
      <c r="Z47" s="1023"/>
      <c r="AA47" s="22"/>
      <c r="AB47" s="5" t="s">
        <v>945</v>
      </c>
      <c r="AC47" s="572" t="s">
        <v>1400</v>
      </c>
      <c r="AD47" s="5" t="s">
        <v>828</v>
      </c>
      <c r="AE47" s="141"/>
      <c r="AF47" s="781"/>
      <c r="AG47" s="781"/>
      <c r="AH47" s="141"/>
      <c r="AI47" s="141"/>
      <c r="AJ47" s="141"/>
      <c r="AK47" s="141"/>
      <c r="AL47" s="141"/>
      <c r="AM47" s="141"/>
      <c r="AN47" s="141"/>
      <c r="AO47" s="141"/>
      <c r="AP47" s="781"/>
      <c r="AQ47" s="781"/>
      <c r="AR47" s="141"/>
      <c r="AS47" s="141"/>
      <c r="AT47" s="141"/>
      <c r="AU47" s="141"/>
      <c r="AV47" s="141"/>
      <c r="AW47" s="141"/>
      <c r="AX47" s="141"/>
      <c r="AY47" s="196"/>
      <c r="AZ47" s="22"/>
      <c r="BA47"/>
      <c r="BB47" s="661" t="s">
        <v>1401</v>
      </c>
    </row>
    <row r="48" spans="1:54" ht="14.25" customHeight="1" x14ac:dyDescent="0.15">
      <c r="E48" s="448">
        <v>15</v>
      </c>
      <c r="F48" s="3" t="str" cm="1">
        <f t="array" aca="1" ref="F48" ca="1">OFFSET(E48,-1,1)</f>
        <v>2</v>
      </c>
      <c r="G48" s="22" t="s">
        <v>332</v>
      </c>
      <c r="H48" s="22"/>
      <c r="I48" s="22"/>
      <c r="J48" s="22"/>
      <c r="T48" s="353" t="b" cm="1">
        <f t="array" ref="T48">T47</f>
        <v>1</v>
      </c>
      <c r="X48" s="990"/>
      <c r="Y48" s="22"/>
      <c r="Z48" s="1023"/>
      <c r="AA48" s="22"/>
      <c r="AB48" s="5" t="s">
        <v>285</v>
      </c>
      <c r="AC48" s="157" t="s">
        <v>1402</v>
      </c>
      <c r="AD48" s="5" t="s">
        <v>476</v>
      </c>
      <c r="AE48" s="573">
        <f ca="1">SUMIFS(Сценарии!AJ$25:AJ$136,Сценарии!$F$25:$F$136,$F48,Сценарии!$AC$25:$AC$136,"Индекс потребительских цен")</f>
        <v>4.5</v>
      </c>
      <c r="AF48" s="573">
        <f ca="1">SUMIFS(Сценарии!AO$25:AO$136,Сценарии!$F$25:$F$136,$F48,Сценарии!$AC$25:$AC$136,"Индекс потребительских цен")</f>
        <v>0</v>
      </c>
      <c r="AG48" s="573">
        <f ca="1">SUMIFS(Сценарии!AP$25:AP$136,Сценарии!$F$25:$F$136,$F48,Сценарии!$AC$25:$AC$136,"Индекс потребительских цен")</f>
        <v>0</v>
      </c>
      <c r="AH48" s="573">
        <f ca="1">SUMIFS(Сценарии!AQ$25:AQ$136,Сценарии!$F$25:$F$136,$F48,Сценарии!$AC$25:$AC$136,"Индекс потребительских цен")</f>
        <v>0</v>
      </c>
      <c r="AI48" s="573">
        <f ca="1">SUMIFS(Сценарии!AR$25:AR$136,Сценарии!$F$25:$F$136,$F48,Сценарии!$AC$25:$AC$136,"Индекс потребительских цен")</f>
        <v>0</v>
      </c>
      <c r="AJ48" s="573">
        <f ca="1">SUMIFS(Сценарии!AS$25:AS$136,Сценарии!$F$25:$F$136,$F48,Сценарии!$AC$25:$AC$136,"Индекс потребительских цен")</f>
        <v>0</v>
      </c>
      <c r="AK48" s="573">
        <f ca="1">SUMIFS(Сценарии!AT$25:AT$136,Сценарии!$F$25:$F$136,$F48,Сценарии!$AC$25:$AC$136,"Индекс потребительских цен")</f>
        <v>0</v>
      </c>
      <c r="AL48" s="573">
        <f ca="1">SUMIFS(Сценарии!AU$25:AU$136,Сценарии!$F$25:$F$136,$F48,Сценарии!$AC$25:$AC$136,"Индекс потребительских цен")</f>
        <v>0</v>
      </c>
      <c r="AM48" s="573">
        <f ca="1">SUMIFS(Сценарии!AV$25:AV$136,Сценарии!$F$25:$F$136,$F48,Сценарии!$AC$25:$AC$136,"Индекс потребительских цен")</f>
        <v>0</v>
      </c>
      <c r="AN48" s="573">
        <f ca="1">SUMIFS(Сценарии!AW$25:AW$136,Сценарии!$F$25:$F$136,$F48,Сценарии!$AC$25:$AC$136,"Индекс потребительских цен")</f>
        <v>0</v>
      </c>
      <c r="AO48" s="573">
        <f ca="1">SUMIFS(Сценарии!AK$25:AK$136,Сценарии!$F$25:$F$136,$F48,Сценарии!$AC$25:$AC$136,"Индекс потребительских цен")</f>
        <v>4.3</v>
      </c>
      <c r="AP48" s="573">
        <f ca="1">SUMIFS(Сценарии!AX$25:AX$136,Сценарии!$F$25:$F$136,$F48,Сценарии!$AC$25:$AC$136,"Индекс потребительских цен")</f>
        <v>0</v>
      </c>
      <c r="AQ48" s="573">
        <f ca="1">SUMIFS(Сценарии!AY$25:AY$136,Сценарии!$F$25:$F$136,$F48,Сценарии!$AC$25:$AC$136,"Индекс потребительских цен")</f>
        <v>0</v>
      </c>
      <c r="AR48" s="573">
        <f ca="1">SUMIFS(Сценарии!AZ$25:AZ$136,Сценарии!$F$25:$F$136,$F48,Сценарии!$AC$25:$AC$136,"Индекс потребительских цен")</f>
        <v>0</v>
      </c>
      <c r="AS48" s="573">
        <f ca="1">SUMIFS(Сценарии!BA$25:BA$136,Сценарии!$F$25:$F$136,$F48,Сценарии!$AC$25:$AC$136,"Индекс потребительских цен")</f>
        <v>0</v>
      </c>
      <c r="AT48" s="573">
        <f ca="1">SUMIFS(Сценарии!BB$25:BB$136,Сценарии!$F$25:$F$136,$F48,Сценарии!$AC$25:$AC$136,"Индекс потребительских цен")</f>
        <v>0</v>
      </c>
      <c r="AU48" s="573">
        <f ca="1">SUMIFS(Сценарии!BC$25:BC$136,Сценарии!$F$25:$F$136,$F48,Сценарии!$AC$25:$AC$136,"Индекс потребительских цен")</f>
        <v>0</v>
      </c>
      <c r="AV48" s="573">
        <f ca="1">SUMIFS(Сценарии!BD$25:BD$136,Сценарии!$F$25:$F$136,$F48,Сценарии!$AC$25:$AC$136,"Индекс потребительских цен")</f>
        <v>0</v>
      </c>
      <c r="AW48" s="573">
        <f ca="1">SUMIFS(Сценарии!BE$25:BE$136,Сценарии!$F$25:$F$136,$F48,Сценарии!$AC$25:$AC$136,"Индекс потребительских цен")</f>
        <v>0</v>
      </c>
      <c r="AX48" s="573">
        <f ca="1">SUMIFS(Сценарии!BF$25:BF$136,Сценарии!$F$25:$F$136,$F48,Сценарии!$AC$25:$AC$136,"Индекс потребительских цен")</f>
        <v>0</v>
      </c>
      <c r="AY48" s="196"/>
      <c r="AZ48" s="22"/>
      <c r="BB48" s="656" t="s">
        <v>1403</v>
      </c>
    </row>
    <row r="49" spans="1:54" s="857" customFormat="1" ht="14.65" customHeight="1" x14ac:dyDescent="0.15">
      <c r="A49" s="38"/>
      <c r="B49" s="43"/>
      <c r="C49" s="38"/>
      <c r="D49" s="38"/>
      <c r="E49" s="448">
        <v>15</v>
      </c>
      <c r="F49" s="3" t="str" cm="1">
        <f t="array" aca="1" ref="F49" ca="1">OFFSET(E49,-1,1)</f>
        <v>2</v>
      </c>
      <c r="G49" s="22" t="s">
        <v>333</v>
      </c>
      <c r="H49" s="22"/>
      <c r="I49" s="22"/>
      <c r="J49" s="22"/>
      <c r="K49" s="38"/>
      <c r="L49" s="38"/>
      <c r="M49" s="38"/>
      <c r="N49" s="38"/>
      <c r="O49" s="38"/>
      <c r="P49" s="38"/>
      <c r="Q49" s="38"/>
      <c r="R49" s="38"/>
      <c r="S49" s="38"/>
      <c r="T49" s="353" t="b" cm="1">
        <f t="array" ref="T49">T48</f>
        <v>1</v>
      </c>
      <c r="U49" s="38"/>
      <c r="V49" s="38"/>
      <c r="W49" s="38"/>
      <c r="X49" s="990"/>
      <c r="Y49" s="22"/>
      <c r="Z49" s="1023"/>
      <c r="AA49" s="22"/>
      <c r="AB49" s="9">
        <v>3</v>
      </c>
      <c r="AC49" s="157" t="s">
        <v>1404</v>
      </c>
      <c r="AD49" s="5" t="s">
        <v>476</v>
      </c>
      <c r="AE49" s="574">
        <v>4.5</v>
      </c>
      <c r="AF49" s="858">
        <f t="shared" ref="AF49:AX49" ca="1" si="8">AE49*AF48/100</f>
        <v>0</v>
      </c>
      <c r="AG49" s="858">
        <f t="shared" ca="1" si="8"/>
        <v>0</v>
      </c>
      <c r="AH49" s="574">
        <f t="shared" ca="1" si="8"/>
        <v>0</v>
      </c>
      <c r="AI49" s="574">
        <f t="shared" ca="1" si="8"/>
        <v>0</v>
      </c>
      <c r="AJ49" s="574">
        <f t="shared" ca="1" si="8"/>
        <v>0</v>
      </c>
      <c r="AK49" s="574">
        <f t="shared" ca="1" si="8"/>
        <v>0</v>
      </c>
      <c r="AL49" s="574">
        <f t="shared" ca="1" si="8"/>
        <v>0</v>
      </c>
      <c r="AM49" s="574">
        <f t="shared" ca="1" si="8"/>
        <v>0</v>
      </c>
      <c r="AN49" s="574">
        <f t="shared" ca="1" si="8"/>
        <v>0</v>
      </c>
      <c r="AO49" s="574">
        <f t="shared" ca="1" si="8"/>
        <v>0</v>
      </c>
      <c r="AP49" s="858">
        <f t="shared" ca="1" si="8"/>
        <v>0</v>
      </c>
      <c r="AQ49" s="858">
        <f t="shared" ca="1" si="8"/>
        <v>0</v>
      </c>
      <c r="AR49" s="574">
        <f t="shared" ca="1" si="8"/>
        <v>0</v>
      </c>
      <c r="AS49" s="574">
        <f t="shared" ca="1" si="8"/>
        <v>0</v>
      </c>
      <c r="AT49" s="574">
        <f t="shared" ca="1" si="8"/>
        <v>0</v>
      </c>
      <c r="AU49" s="574">
        <f t="shared" ca="1" si="8"/>
        <v>0</v>
      </c>
      <c r="AV49" s="574">
        <f t="shared" ca="1" si="8"/>
        <v>0</v>
      </c>
      <c r="AW49" s="574">
        <f t="shared" ca="1" si="8"/>
        <v>0</v>
      </c>
      <c r="AX49" s="574">
        <f t="shared" ca="1" si="8"/>
        <v>0</v>
      </c>
      <c r="AY49" s="196"/>
      <c r="AZ49" s="22"/>
      <c r="BA49" s="154"/>
      <c r="BB49" s="688" t="s">
        <v>1405</v>
      </c>
    </row>
    <row r="50" spans="1:54" ht="14.25" customHeight="1" x14ac:dyDescent="0.15">
      <c r="A50" s="154"/>
      <c r="B50" s="328"/>
      <c r="C50" s="154"/>
      <c r="D50" s="154"/>
      <c r="E50" s="501">
        <v>15</v>
      </c>
      <c r="F50" s="3" t="str" cm="1">
        <f t="array" aca="1" ref="F50" ca="1">OFFSET(E50,-1,1)</f>
        <v>2</v>
      </c>
      <c r="G50" s="22" t="s">
        <v>335</v>
      </c>
      <c r="H50" s="22" t="s">
        <v>1406</v>
      </c>
      <c r="I50" s="63"/>
      <c r="J50" s="63"/>
      <c r="K50" s="154"/>
      <c r="L50" s="154"/>
      <c r="M50" s="154"/>
      <c r="N50" s="154"/>
      <c r="O50" s="154"/>
      <c r="P50" s="154"/>
      <c r="Q50" s="154"/>
      <c r="R50" s="154"/>
      <c r="S50" s="154"/>
      <c r="T50" s="353" t="b" cm="1">
        <f t="array" ref="T50">T49</f>
        <v>1</v>
      </c>
      <c r="U50" s="154"/>
      <c r="V50" s="154"/>
      <c r="W50" s="154"/>
      <c r="X50" s="990"/>
      <c r="Y50" s="63"/>
      <c r="Z50" s="1023"/>
      <c r="AA50" s="63"/>
      <c r="AB50" s="160" t="s">
        <v>454</v>
      </c>
      <c r="AC50" s="159" t="s">
        <v>1407</v>
      </c>
      <c r="AD50" s="160" t="s">
        <v>828</v>
      </c>
      <c r="AE50" s="569">
        <f t="shared" ref="AE50:AX50" si="9">AE44*AE49/100</f>
        <v>0</v>
      </c>
      <c r="AF50" s="569">
        <f t="shared" ca="1" si="9"/>
        <v>0</v>
      </c>
      <c r="AG50" s="569">
        <f t="shared" ca="1" si="9"/>
        <v>0</v>
      </c>
      <c r="AH50" s="569">
        <f t="shared" ca="1" si="9"/>
        <v>0</v>
      </c>
      <c r="AI50" s="569">
        <f t="shared" ca="1" si="9"/>
        <v>0</v>
      </c>
      <c r="AJ50" s="569">
        <f t="shared" ca="1" si="9"/>
        <v>0</v>
      </c>
      <c r="AK50" s="569">
        <f t="shared" ca="1" si="9"/>
        <v>0</v>
      </c>
      <c r="AL50" s="569">
        <f t="shared" ca="1" si="9"/>
        <v>0</v>
      </c>
      <c r="AM50" s="569">
        <f t="shared" ca="1" si="9"/>
        <v>0</v>
      </c>
      <c r="AN50" s="569">
        <f t="shared" ca="1" si="9"/>
        <v>0</v>
      </c>
      <c r="AO50" s="569">
        <f t="shared" ca="1" si="9"/>
        <v>0</v>
      </c>
      <c r="AP50" s="569">
        <f t="shared" ca="1" si="9"/>
        <v>0</v>
      </c>
      <c r="AQ50" s="569">
        <f t="shared" ca="1" si="9"/>
        <v>0</v>
      </c>
      <c r="AR50" s="569">
        <f t="shared" ca="1" si="9"/>
        <v>0</v>
      </c>
      <c r="AS50" s="569">
        <f t="shared" ca="1" si="9"/>
        <v>0</v>
      </c>
      <c r="AT50" s="569">
        <f t="shared" ca="1" si="9"/>
        <v>0</v>
      </c>
      <c r="AU50" s="569">
        <f t="shared" ca="1" si="9"/>
        <v>0</v>
      </c>
      <c r="AV50" s="569">
        <f t="shared" ca="1" si="9"/>
        <v>0</v>
      </c>
      <c r="AW50" s="569">
        <f t="shared" ca="1" si="9"/>
        <v>0</v>
      </c>
      <c r="AX50" s="569">
        <f t="shared" ca="1" si="9"/>
        <v>0</v>
      </c>
      <c r="AY50" s="196"/>
      <c r="AZ50" s="63"/>
      <c r="BB50" s="656" t="s">
        <v>1408</v>
      </c>
    </row>
    <row r="51" spans="1:54" ht="14.25" customHeight="1" x14ac:dyDescent="0.15">
      <c r="E51" s="448">
        <v>15</v>
      </c>
      <c r="F51" s="59" t="str" cm="1">
        <f t="array" ref="F51">X51</f>
        <v>3</v>
      </c>
      <c r="G51" s="22"/>
      <c r="H51" s="22"/>
      <c r="I51" s="22"/>
      <c r="J51" s="22"/>
      <c r="T51" s="353" t="b">
        <f>X51&gt;0</f>
        <v>1</v>
      </c>
      <c r="V51" s="38" t="str" cm="1">
        <f t="array" ref="V51">'ИП + источники'!$AB$116</f>
        <v>Тариф 3 (Водоотведение) - тариф на транспортировку сточных вод</v>
      </c>
      <c r="X51" s="990" t="s">
        <v>291</v>
      </c>
      <c r="Y51" s="22"/>
      <c r="Z51" s="1023"/>
      <c r="AA51" s="22"/>
      <c r="AB51" s="155" t="str" cm="1">
        <f t="array" ref="AB51">'ИП + источники'!$AB$116</f>
        <v>Тариф 3 (Водоотведение) - тариф на транспортировку сточных вод</v>
      </c>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22"/>
    </row>
    <row r="52" spans="1:54" ht="14.25" customHeight="1" x14ac:dyDescent="0.15">
      <c r="A52" s="154"/>
      <c r="B52" s="328"/>
      <c r="C52" s="154"/>
      <c r="D52" s="154"/>
      <c r="E52" s="501">
        <v>15</v>
      </c>
      <c r="F52" s="3" t="str" cm="1">
        <f t="array" aca="1" ref="F52" ca="1">OFFSET(E52,-1,1)</f>
        <v>3</v>
      </c>
      <c r="G52" s="22" t="s">
        <v>331</v>
      </c>
      <c r="H52" s="63"/>
      <c r="I52" s="63"/>
      <c r="J52" s="63"/>
      <c r="K52" s="154"/>
      <c r="L52" s="154"/>
      <c r="M52" s="154"/>
      <c r="N52" s="154"/>
      <c r="O52" s="154"/>
      <c r="P52" s="154"/>
      <c r="Q52" s="154"/>
      <c r="R52" s="154"/>
      <c r="S52" s="154"/>
      <c r="T52" s="353" t="b" cm="1">
        <f t="array" ref="T52">T51</f>
        <v>1</v>
      </c>
      <c r="U52" s="154"/>
      <c r="V52" s="154"/>
      <c r="W52" s="154"/>
      <c r="X52" s="990"/>
      <c r="Y52" s="63"/>
      <c r="Z52" s="1023"/>
      <c r="AA52" s="63"/>
      <c r="AB52" s="160" t="s">
        <v>275</v>
      </c>
      <c r="AC52" s="159" t="s">
        <v>1395</v>
      </c>
      <c r="AD52" s="160" t="s">
        <v>828</v>
      </c>
      <c r="AE52" s="569">
        <f t="shared" ref="AE52:AX52" si="10">AE53+AE54+AE55</f>
        <v>0</v>
      </c>
      <c r="AF52" s="569">
        <f t="shared" si="10"/>
        <v>0</v>
      </c>
      <c r="AG52" s="569">
        <f t="shared" si="10"/>
        <v>0</v>
      </c>
      <c r="AH52" s="569">
        <f t="shared" si="10"/>
        <v>0</v>
      </c>
      <c r="AI52" s="569">
        <f t="shared" si="10"/>
        <v>0</v>
      </c>
      <c r="AJ52" s="569">
        <f t="shared" si="10"/>
        <v>0</v>
      </c>
      <c r="AK52" s="569">
        <f t="shared" si="10"/>
        <v>0</v>
      </c>
      <c r="AL52" s="569">
        <f t="shared" si="10"/>
        <v>0</v>
      </c>
      <c r="AM52" s="569">
        <f t="shared" si="10"/>
        <v>0</v>
      </c>
      <c r="AN52" s="569">
        <f t="shared" si="10"/>
        <v>0</v>
      </c>
      <c r="AO52" s="569">
        <f t="shared" si="10"/>
        <v>0</v>
      </c>
      <c r="AP52" s="569">
        <f t="shared" si="10"/>
        <v>0</v>
      </c>
      <c r="AQ52" s="569">
        <f t="shared" si="10"/>
        <v>0</v>
      </c>
      <c r="AR52" s="569">
        <f t="shared" si="10"/>
        <v>0</v>
      </c>
      <c r="AS52" s="569">
        <f t="shared" si="10"/>
        <v>0</v>
      </c>
      <c r="AT52" s="569">
        <f t="shared" si="10"/>
        <v>0</v>
      </c>
      <c r="AU52" s="569">
        <f t="shared" si="10"/>
        <v>0</v>
      </c>
      <c r="AV52" s="569">
        <f t="shared" si="10"/>
        <v>0</v>
      </c>
      <c r="AW52" s="569">
        <f t="shared" si="10"/>
        <v>0</v>
      </c>
      <c r="AX52" s="569">
        <f t="shared" si="10"/>
        <v>0</v>
      </c>
      <c r="AY52" s="196"/>
      <c r="AZ52" s="63"/>
      <c r="BB52" s="656" t="s">
        <v>1329</v>
      </c>
    </row>
    <row r="53" spans="1:54" ht="14.25" customHeight="1" x14ac:dyDescent="0.15">
      <c r="E53" s="448">
        <v>15</v>
      </c>
      <c r="F53" s="3" t="str" cm="1">
        <f t="array" aca="1" ref="F53" ca="1">OFFSET(E53,-1,1)</f>
        <v>3</v>
      </c>
      <c r="G53" s="22" t="s">
        <v>482</v>
      </c>
      <c r="H53" s="22"/>
      <c r="I53" s="22"/>
      <c r="J53" s="22"/>
      <c r="T53" s="353" t="b" cm="1">
        <f t="array" ref="T53">T52</f>
        <v>1</v>
      </c>
      <c r="X53" s="990"/>
      <c r="Y53" s="22"/>
      <c r="Z53" s="1023"/>
      <c r="AA53" s="22"/>
      <c r="AB53" s="5" t="s">
        <v>939</v>
      </c>
      <c r="AC53" s="572" t="s">
        <v>1396</v>
      </c>
      <c r="AD53" s="5" t="s">
        <v>828</v>
      </c>
      <c r="AE53" s="141"/>
      <c r="AF53" s="781"/>
      <c r="AG53" s="781"/>
      <c r="AH53" s="141"/>
      <c r="AI53" s="141"/>
      <c r="AJ53" s="141"/>
      <c r="AK53" s="141"/>
      <c r="AL53" s="141"/>
      <c r="AM53" s="141"/>
      <c r="AN53" s="141"/>
      <c r="AO53" s="141"/>
      <c r="AP53" s="781"/>
      <c r="AQ53" s="781"/>
      <c r="AR53" s="141"/>
      <c r="AS53" s="141"/>
      <c r="AT53" s="141"/>
      <c r="AU53" s="141"/>
      <c r="AV53" s="141"/>
      <c r="AW53" s="141"/>
      <c r="AX53" s="141"/>
      <c r="AY53" s="196"/>
      <c r="AZ53" s="22"/>
      <c r="BB53" s="656" t="s">
        <v>1397</v>
      </c>
    </row>
    <row r="54" spans="1:54" ht="23.25" customHeight="1" x14ac:dyDescent="0.15">
      <c r="E54" s="448">
        <v>24</v>
      </c>
      <c r="F54" s="3" t="str" cm="1">
        <f t="array" aca="1" ref="F54" ca="1">OFFSET(E54,-1,1)</f>
        <v>3</v>
      </c>
      <c r="G54" s="22" t="s">
        <v>486</v>
      </c>
      <c r="H54" s="22"/>
      <c r="I54" s="22"/>
      <c r="J54" s="22"/>
      <c r="T54" s="353" t="b" cm="1">
        <f t="array" ref="T54">T53</f>
        <v>1</v>
      </c>
      <c r="X54" s="990"/>
      <c r="Y54" s="22"/>
      <c r="Z54" s="1023"/>
      <c r="AA54" s="22"/>
      <c r="AB54" s="5" t="s">
        <v>942</v>
      </c>
      <c r="AC54" s="572" t="s">
        <v>1398</v>
      </c>
      <c r="AD54" s="5" t="s">
        <v>828</v>
      </c>
      <c r="AE54" s="141"/>
      <c r="AF54" s="781"/>
      <c r="AG54" s="781"/>
      <c r="AH54" s="141"/>
      <c r="AI54" s="141"/>
      <c r="AJ54" s="141"/>
      <c r="AK54" s="141"/>
      <c r="AL54" s="141"/>
      <c r="AM54" s="141"/>
      <c r="AN54" s="141"/>
      <c r="AO54" s="141"/>
      <c r="AP54" s="781"/>
      <c r="AQ54" s="781"/>
      <c r="AR54" s="141"/>
      <c r="AS54" s="141"/>
      <c r="AT54" s="141"/>
      <c r="AU54" s="141"/>
      <c r="AV54" s="141"/>
      <c r="AW54" s="141"/>
      <c r="AX54" s="141"/>
      <c r="AY54" s="196"/>
      <c r="AZ54" s="22"/>
      <c r="BB54" s="656" t="s">
        <v>1399</v>
      </c>
    </row>
    <row r="55" spans="1:54" ht="33" customHeight="1" x14ac:dyDescent="0.15">
      <c r="E55" s="448">
        <v>34.200000000000003</v>
      </c>
      <c r="F55" s="765" t="str" cm="1">
        <f t="array" aca="1" ref="F55" ca="1">OFFSET(E55,-1,1)</f>
        <v>3</v>
      </c>
      <c r="G55" s="22" t="s">
        <v>489</v>
      </c>
      <c r="H55" s="22"/>
      <c r="I55" s="22"/>
      <c r="J55" s="22"/>
      <c r="T55" s="353" t="b" cm="1">
        <f t="array" ref="T55">T54</f>
        <v>1</v>
      </c>
      <c r="X55" s="990"/>
      <c r="Y55" s="22"/>
      <c r="Z55" s="1023"/>
      <c r="AA55" s="22"/>
      <c r="AB55" s="5" t="s">
        <v>945</v>
      </c>
      <c r="AC55" s="572" t="s">
        <v>1400</v>
      </c>
      <c r="AD55" s="5" t="s">
        <v>828</v>
      </c>
      <c r="AE55" s="141"/>
      <c r="AF55" s="781"/>
      <c r="AG55" s="781"/>
      <c r="AH55" s="141"/>
      <c r="AI55" s="141"/>
      <c r="AJ55" s="141"/>
      <c r="AK55" s="141"/>
      <c r="AL55" s="141"/>
      <c r="AM55" s="141"/>
      <c r="AN55" s="141"/>
      <c r="AO55" s="141"/>
      <c r="AP55" s="781"/>
      <c r="AQ55" s="781"/>
      <c r="AR55" s="141"/>
      <c r="AS55" s="141"/>
      <c r="AT55" s="141"/>
      <c r="AU55" s="141"/>
      <c r="AV55" s="141"/>
      <c r="AW55" s="141"/>
      <c r="AX55" s="141"/>
      <c r="AY55" s="196"/>
      <c r="AZ55" s="22"/>
      <c r="BA55"/>
      <c r="BB55" s="661" t="s">
        <v>1401</v>
      </c>
    </row>
    <row r="56" spans="1:54" ht="14.25" customHeight="1" x14ac:dyDescent="0.15">
      <c r="E56" s="448">
        <v>15</v>
      </c>
      <c r="F56" s="3" t="str" cm="1">
        <f t="array" aca="1" ref="F56" ca="1">OFFSET(E56,-1,1)</f>
        <v>3</v>
      </c>
      <c r="G56" s="22" t="s">
        <v>332</v>
      </c>
      <c r="H56" s="22"/>
      <c r="I56" s="22"/>
      <c r="J56" s="22"/>
      <c r="T56" s="353" t="b" cm="1">
        <f t="array" ref="T56">T55</f>
        <v>1</v>
      </c>
      <c r="X56" s="990"/>
      <c r="Y56" s="22"/>
      <c r="Z56" s="1023"/>
      <c r="AA56" s="22"/>
      <c r="AB56" s="5" t="s">
        <v>285</v>
      </c>
      <c r="AC56" s="157" t="s">
        <v>1402</v>
      </c>
      <c r="AD56" s="5" t="s">
        <v>476</v>
      </c>
      <c r="AE56" s="573">
        <f ca="1">SUMIFS(Сценарии!AJ$25:AJ$136,Сценарии!$F$25:$F$136,$F56,Сценарии!$AC$25:$AC$136,"Индекс потребительских цен")</f>
        <v>4.5</v>
      </c>
      <c r="AF56" s="573">
        <f ca="1">SUMIFS(Сценарии!AO$25:AO$136,Сценарии!$F$25:$F$136,$F56,Сценарии!$AC$25:$AC$136,"Индекс потребительских цен")</f>
        <v>0</v>
      </c>
      <c r="AG56" s="573">
        <f ca="1">SUMIFS(Сценарии!AP$25:AP$136,Сценарии!$F$25:$F$136,$F56,Сценарии!$AC$25:$AC$136,"Индекс потребительских цен")</f>
        <v>0</v>
      </c>
      <c r="AH56" s="573">
        <f ca="1">SUMIFS(Сценарии!AQ$25:AQ$136,Сценарии!$F$25:$F$136,$F56,Сценарии!$AC$25:$AC$136,"Индекс потребительских цен")</f>
        <v>0</v>
      </c>
      <c r="AI56" s="573">
        <f ca="1">SUMIFS(Сценарии!AR$25:AR$136,Сценарии!$F$25:$F$136,$F56,Сценарии!$AC$25:$AC$136,"Индекс потребительских цен")</f>
        <v>0</v>
      </c>
      <c r="AJ56" s="573">
        <f ca="1">SUMIFS(Сценарии!AS$25:AS$136,Сценарии!$F$25:$F$136,$F56,Сценарии!$AC$25:$AC$136,"Индекс потребительских цен")</f>
        <v>0</v>
      </c>
      <c r="AK56" s="573">
        <f ca="1">SUMIFS(Сценарии!AT$25:AT$136,Сценарии!$F$25:$F$136,$F56,Сценарии!$AC$25:$AC$136,"Индекс потребительских цен")</f>
        <v>0</v>
      </c>
      <c r="AL56" s="573">
        <f ca="1">SUMIFS(Сценарии!AU$25:AU$136,Сценарии!$F$25:$F$136,$F56,Сценарии!$AC$25:$AC$136,"Индекс потребительских цен")</f>
        <v>0</v>
      </c>
      <c r="AM56" s="573">
        <f ca="1">SUMIFS(Сценарии!AV$25:AV$136,Сценарии!$F$25:$F$136,$F56,Сценарии!$AC$25:$AC$136,"Индекс потребительских цен")</f>
        <v>0</v>
      </c>
      <c r="AN56" s="573">
        <f ca="1">SUMIFS(Сценарии!AW$25:AW$136,Сценарии!$F$25:$F$136,$F56,Сценарии!$AC$25:$AC$136,"Индекс потребительских цен")</f>
        <v>0</v>
      </c>
      <c r="AO56" s="573">
        <f ca="1">SUMIFS(Сценарии!AK$25:AK$136,Сценарии!$F$25:$F$136,$F56,Сценарии!$AC$25:$AC$136,"Индекс потребительских цен")</f>
        <v>4.3</v>
      </c>
      <c r="AP56" s="573">
        <f ca="1">SUMIFS(Сценарии!AX$25:AX$136,Сценарии!$F$25:$F$136,$F56,Сценарии!$AC$25:$AC$136,"Индекс потребительских цен")</f>
        <v>0</v>
      </c>
      <c r="AQ56" s="573">
        <f ca="1">SUMIFS(Сценарии!AY$25:AY$136,Сценарии!$F$25:$F$136,$F56,Сценарии!$AC$25:$AC$136,"Индекс потребительских цен")</f>
        <v>0</v>
      </c>
      <c r="AR56" s="573">
        <f ca="1">SUMIFS(Сценарии!AZ$25:AZ$136,Сценарии!$F$25:$F$136,$F56,Сценарии!$AC$25:$AC$136,"Индекс потребительских цен")</f>
        <v>0</v>
      </c>
      <c r="AS56" s="573">
        <f ca="1">SUMIFS(Сценарии!BA$25:BA$136,Сценарии!$F$25:$F$136,$F56,Сценарии!$AC$25:$AC$136,"Индекс потребительских цен")</f>
        <v>0</v>
      </c>
      <c r="AT56" s="573">
        <f ca="1">SUMIFS(Сценарии!BB$25:BB$136,Сценарии!$F$25:$F$136,$F56,Сценарии!$AC$25:$AC$136,"Индекс потребительских цен")</f>
        <v>0</v>
      </c>
      <c r="AU56" s="573">
        <f ca="1">SUMIFS(Сценарии!BC$25:BC$136,Сценарии!$F$25:$F$136,$F56,Сценарии!$AC$25:$AC$136,"Индекс потребительских цен")</f>
        <v>0</v>
      </c>
      <c r="AV56" s="573">
        <f ca="1">SUMIFS(Сценарии!BD$25:BD$136,Сценарии!$F$25:$F$136,$F56,Сценарии!$AC$25:$AC$136,"Индекс потребительских цен")</f>
        <v>0</v>
      </c>
      <c r="AW56" s="573">
        <f ca="1">SUMIFS(Сценарии!BE$25:BE$136,Сценарии!$F$25:$F$136,$F56,Сценарии!$AC$25:$AC$136,"Индекс потребительских цен")</f>
        <v>0</v>
      </c>
      <c r="AX56" s="573">
        <f ca="1">SUMIFS(Сценарии!BF$25:BF$136,Сценарии!$F$25:$F$136,$F56,Сценарии!$AC$25:$AC$136,"Индекс потребительских цен")</f>
        <v>0</v>
      </c>
      <c r="AY56" s="196"/>
      <c r="AZ56" s="22"/>
      <c r="BB56" s="656" t="s">
        <v>1403</v>
      </c>
    </row>
    <row r="57" spans="1:54" s="857" customFormat="1" ht="14.65" customHeight="1" x14ac:dyDescent="0.15">
      <c r="A57" s="38"/>
      <c r="B57" s="43"/>
      <c r="C57" s="38"/>
      <c r="D57" s="38"/>
      <c r="E57" s="448">
        <v>15</v>
      </c>
      <c r="F57" s="3" t="str" cm="1">
        <f t="array" aca="1" ref="F57" ca="1">OFFSET(E57,-1,1)</f>
        <v>3</v>
      </c>
      <c r="G57" s="22" t="s">
        <v>333</v>
      </c>
      <c r="H57" s="22"/>
      <c r="I57" s="22"/>
      <c r="J57" s="22"/>
      <c r="K57" s="38"/>
      <c r="L57" s="38"/>
      <c r="M57" s="38"/>
      <c r="N57" s="38"/>
      <c r="O57" s="38"/>
      <c r="P57" s="38"/>
      <c r="Q57" s="38"/>
      <c r="R57" s="38"/>
      <c r="S57" s="38"/>
      <c r="T57" s="353" t="b" cm="1">
        <f t="array" ref="T57">T56</f>
        <v>1</v>
      </c>
      <c r="U57" s="38"/>
      <c r="V57" s="38"/>
      <c r="W57" s="38"/>
      <c r="X57" s="990"/>
      <c r="Y57" s="22"/>
      <c r="Z57" s="1023"/>
      <c r="AA57" s="22"/>
      <c r="AB57" s="9">
        <v>3</v>
      </c>
      <c r="AC57" s="157" t="s">
        <v>1404</v>
      </c>
      <c r="AD57" s="5" t="s">
        <v>476</v>
      </c>
      <c r="AE57" s="574">
        <v>4.5</v>
      </c>
      <c r="AF57" s="858">
        <f t="shared" ref="AF57:AX57" ca="1" si="11">AE57*AF56/100</f>
        <v>0</v>
      </c>
      <c r="AG57" s="858">
        <f t="shared" ca="1" si="11"/>
        <v>0</v>
      </c>
      <c r="AH57" s="574">
        <f t="shared" ca="1" si="11"/>
        <v>0</v>
      </c>
      <c r="AI57" s="574">
        <f t="shared" ca="1" si="11"/>
        <v>0</v>
      </c>
      <c r="AJ57" s="574">
        <f t="shared" ca="1" si="11"/>
        <v>0</v>
      </c>
      <c r="AK57" s="574">
        <f t="shared" ca="1" si="11"/>
        <v>0</v>
      </c>
      <c r="AL57" s="574">
        <f t="shared" ca="1" si="11"/>
        <v>0</v>
      </c>
      <c r="AM57" s="574">
        <f t="shared" ca="1" si="11"/>
        <v>0</v>
      </c>
      <c r="AN57" s="574">
        <f t="shared" ca="1" si="11"/>
        <v>0</v>
      </c>
      <c r="AO57" s="574">
        <f t="shared" ca="1" si="11"/>
        <v>0</v>
      </c>
      <c r="AP57" s="858">
        <f t="shared" ca="1" si="11"/>
        <v>0</v>
      </c>
      <c r="AQ57" s="858">
        <f t="shared" ca="1" si="11"/>
        <v>0</v>
      </c>
      <c r="AR57" s="574">
        <f t="shared" ca="1" si="11"/>
        <v>0</v>
      </c>
      <c r="AS57" s="574">
        <f t="shared" ca="1" si="11"/>
        <v>0</v>
      </c>
      <c r="AT57" s="574">
        <f t="shared" ca="1" si="11"/>
        <v>0</v>
      </c>
      <c r="AU57" s="574">
        <f t="shared" ca="1" si="11"/>
        <v>0</v>
      </c>
      <c r="AV57" s="574">
        <f t="shared" ca="1" si="11"/>
        <v>0</v>
      </c>
      <c r="AW57" s="574">
        <f t="shared" ca="1" si="11"/>
        <v>0</v>
      </c>
      <c r="AX57" s="574">
        <f t="shared" ca="1" si="11"/>
        <v>0</v>
      </c>
      <c r="AY57" s="196"/>
      <c r="AZ57" s="22"/>
      <c r="BA57" s="154"/>
      <c r="BB57" s="688" t="s">
        <v>1405</v>
      </c>
    </row>
    <row r="58" spans="1:54" ht="14.25" customHeight="1" x14ac:dyDescent="0.15">
      <c r="A58" s="154"/>
      <c r="B58" s="328"/>
      <c r="C58" s="154"/>
      <c r="D58" s="154"/>
      <c r="E58" s="501">
        <v>15</v>
      </c>
      <c r="F58" s="3" t="str" cm="1">
        <f t="array" aca="1" ref="F58" ca="1">OFFSET(E58,-1,1)</f>
        <v>3</v>
      </c>
      <c r="G58" s="22" t="s">
        <v>335</v>
      </c>
      <c r="H58" s="22" t="s">
        <v>1406</v>
      </c>
      <c r="I58" s="63"/>
      <c r="J58" s="63"/>
      <c r="K58" s="154"/>
      <c r="L58" s="154"/>
      <c r="M58" s="154"/>
      <c r="N58" s="154"/>
      <c r="O58" s="154"/>
      <c r="P58" s="154"/>
      <c r="Q58" s="154"/>
      <c r="R58" s="154"/>
      <c r="S58" s="154"/>
      <c r="T58" s="353" t="b" cm="1">
        <f t="array" ref="T58">T57</f>
        <v>1</v>
      </c>
      <c r="U58" s="154"/>
      <c r="V58" s="154"/>
      <c r="W58" s="154"/>
      <c r="X58" s="990"/>
      <c r="Y58" s="63"/>
      <c r="Z58" s="1023"/>
      <c r="AA58" s="63"/>
      <c r="AB58" s="160" t="s">
        <v>454</v>
      </c>
      <c r="AC58" s="159" t="s">
        <v>1407</v>
      </c>
      <c r="AD58" s="160" t="s">
        <v>828</v>
      </c>
      <c r="AE58" s="569">
        <f t="shared" ref="AE58:AX58" si="12">AE52*AE57/100</f>
        <v>0</v>
      </c>
      <c r="AF58" s="569">
        <f t="shared" ca="1" si="12"/>
        <v>0</v>
      </c>
      <c r="AG58" s="569">
        <f t="shared" ca="1" si="12"/>
        <v>0</v>
      </c>
      <c r="AH58" s="569">
        <f t="shared" ca="1" si="12"/>
        <v>0</v>
      </c>
      <c r="AI58" s="569">
        <f t="shared" ca="1" si="12"/>
        <v>0</v>
      </c>
      <c r="AJ58" s="569">
        <f t="shared" ca="1" si="12"/>
        <v>0</v>
      </c>
      <c r="AK58" s="569">
        <f t="shared" ca="1" si="12"/>
        <v>0</v>
      </c>
      <c r="AL58" s="569">
        <f t="shared" ca="1" si="12"/>
        <v>0</v>
      </c>
      <c r="AM58" s="569">
        <f t="shared" ca="1" si="12"/>
        <v>0</v>
      </c>
      <c r="AN58" s="569">
        <f t="shared" ca="1" si="12"/>
        <v>0</v>
      </c>
      <c r="AO58" s="569">
        <f t="shared" ca="1" si="12"/>
        <v>0</v>
      </c>
      <c r="AP58" s="569">
        <f t="shared" ca="1" si="12"/>
        <v>0</v>
      </c>
      <c r="AQ58" s="569">
        <f t="shared" ca="1" si="12"/>
        <v>0</v>
      </c>
      <c r="AR58" s="569">
        <f t="shared" ca="1" si="12"/>
        <v>0</v>
      </c>
      <c r="AS58" s="569">
        <f t="shared" ca="1" si="12"/>
        <v>0</v>
      </c>
      <c r="AT58" s="569">
        <f t="shared" ca="1" si="12"/>
        <v>0</v>
      </c>
      <c r="AU58" s="569">
        <f t="shared" ca="1" si="12"/>
        <v>0</v>
      </c>
      <c r="AV58" s="569">
        <f t="shared" ca="1" si="12"/>
        <v>0</v>
      </c>
      <c r="AW58" s="569">
        <f t="shared" ca="1" si="12"/>
        <v>0</v>
      </c>
      <c r="AX58" s="569">
        <f t="shared" ca="1" si="12"/>
        <v>0</v>
      </c>
      <c r="AY58" s="196"/>
      <c r="AZ58" s="63"/>
      <c r="BB58" s="656" t="s">
        <v>1408</v>
      </c>
    </row>
    <row r="59" spans="1:54" ht="10.9" customHeight="1" x14ac:dyDescent="0.15">
      <c r="A59"/>
      <c r="B59" s="327"/>
      <c r="C59"/>
      <c r="D59"/>
      <c r="E59" s="454">
        <v>11.25</v>
      </c>
      <c r="F59"/>
      <c r="G59"/>
      <c r="H59"/>
      <c r="I59"/>
      <c r="J59"/>
      <c r="K59"/>
      <c r="L59"/>
      <c r="M59"/>
      <c r="N59"/>
      <c r="O59"/>
      <c r="P59"/>
      <c r="Q59"/>
      <c r="R59"/>
      <c r="S59"/>
      <c r="T59"/>
      <c r="U59" s="315" t="s">
        <v>176</v>
      </c>
      <c r="V59" s="56" t="s">
        <v>1409</v>
      </c>
      <c r="W59"/>
      <c r="X59"/>
      <c r="Y59"/>
      <c r="Z59"/>
      <c r="AA59"/>
      <c r="AB59"/>
      <c r="AC59" s="18"/>
      <c r="AD59" s="18"/>
      <c r="AE59" s="18"/>
      <c r="AF59" s="18"/>
      <c r="AG59"/>
      <c r="AH59"/>
      <c r="AI59"/>
      <c r="AJ59"/>
      <c r="AK59"/>
      <c r="AL59"/>
      <c r="AM59"/>
      <c r="AN59"/>
      <c r="AO59"/>
      <c r="AP59"/>
      <c r="AQ59" s="19"/>
      <c r="AR59"/>
      <c r="AS59"/>
      <c r="AT59"/>
      <c r="AU59"/>
      <c r="AV59"/>
      <c r="AW59"/>
      <c r="AX59"/>
      <c r="AY59"/>
      <c r="AZ59"/>
    </row>
    <row r="60" spans="1:54" ht="14.65" customHeight="1" x14ac:dyDescent="0.15">
      <c r="E60" s="448">
        <v>15</v>
      </c>
      <c r="F60" s="22"/>
      <c r="G60" s="22"/>
      <c r="H60" s="22"/>
      <c r="I60" s="22"/>
      <c r="J60" s="22"/>
      <c r="AB60" s="993" t="s">
        <v>408</v>
      </c>
      <c r="AC60" s="993"/>
      <c r="AD60" s="993"/>
      <c r="AE60" s="993"/>
      <c r="AF60" s="993"/>
      <c r="AG60" s="993"/>
      <c r="AH60" s="993"/>
      <c r="AI60" s="993"/>
      <c r="AJ60" s="993"/>
      <c r="AK60" s="993"/>
      <c r="AL60" s="993"/>
      <c r="AM60" s="993"/>
      <c r="AN60" s="993"/>
      <c r="AO60" s="993"/>
      <c r="AP60" s="993"/>
      <c r="AQ60" s="993"/>
      <c r="AR60" s="993"/>
      <c r="AS60" s="993"/>
      <c r="AT60" s="993"/>
      <c r="AU60" s="993"/>
      <c r="AV60" s="993"/>
      <c r="AW60" s="993"/>
      <c r="AX60" s="1024"/>
      <c r="AY60" s="1024"/>
    </row>
    <row r="61" spans="1:54" ht="14.65" customHeight="1" x14ac:dyDescent="0.15">
      <c r="E61" s="448">
        <v>15</v>
      </c>
      <c r="F61" s="22"/>
      <c r="G61" s="22"/>
      <c r="H61" s="22"/>
      <c r="I61" s="22"/>
      <c r="J61" s="22"/>
      <c r="AA61" s="87"/>
      <c r="AB61" s="1060"/>
      <c r="AC61" s="1063"/>
      <c r="AD61" s="1063"/>
      <c r="AE61" s="1063"/>
      <c r="AF61" s="1063"/>
      <c r="AG61" s="1063"/>
      <c r="AH61" s="1063"/>
      <c r="AI61" s="1063"/>
      <c r="AJ61" s="1063"/>
      <c r="AK61" s="1063"/>
      <c r="AL61" s="1063"/>
      <c r="AM61" s="1063"/>
      <c r="AN61" s="1063"/>
      <c r="AO61" s="1063"/>
      <c r="AP61" s="1063"/>
      <c r="AQ61" s="1063"/>
      <c r="AR61" s="1063"/>
      <c r="AS61" s="1063"/>
      <c r="AT61" s="1063"/>
      <c r="AU61" s="1063"/>
      <c r="AV61" s="1063"/>
      <c r="AW61" s="1063"/>
      <c r="AX61" s="1064"/>
      <c r="AY61" s="1064"/>
    </row>
    <row r="62" spans="1:54" ht="14.65" hidden="1" customHeight="1" x14ac:dyDescent="0.15">
      <c r="E62" s="448">
        <v>15</v>
      </c>
      <c r="T62" s="353" t="b">
        <f>ROW(W62)&gt;ROW(W$62)</f>
        <v>0</v>
      </c>
      <c r="W62" s="517" t="s">
        <v>172</v>
      </c>
      <c r="AA62" s="320" t="s">
        <v>173</v>
      </c>
      <c r="AB62" s="1061" t="s">
        <v>225</v>
      </c>
      <c r="AC62" s="1063"/>
      <c r="AD62" s="1063"/>
      <c r="AE62" s="1063"/>
      <c r="AF62" s="1063"/>
      <c r="AG62" s="1063"/>
      <c r="AH62" s="1063"/>
      <c r="AI62" s="1063"/>
      <c r="AJ62" s="1063"/>
      <c r="AK62" s="1063"/>
      <c r="AL62" s="1063"/>
      <c r="AM62" s="1063"/>
      <c r="AN62" s="1063"/>
      <c r="AO62" s="1063"/>
      <c r="AP62" s="1063"/>
      <c r="AQ62" s="1063"/>
      <c r="AR62" s="1063"/>
      <c r="AS62" s="1063"/>
      <c r="AT62" s="1063"/>
      <c r="AU62" s="1063"/>
      <c r="AV62" s="1063"/>
      <c r="AW62" s="1063"/>
      <c r="AX62" s="1064"/>
      <c r="AY62" s="1064"/>
    </row>
    <row r="63" spans="1:54" s="154" customFormat="1" ht="14.65" customHeight="1" x14ac:dyDescent="0.15">
      <c r="A63" s="38"/>
      <c r="B63" s="43"/>
      <c r="C63" s="38"/>
      <c r="D63" s="38"/>
      <c r="E63" s="448">
        <v>15</v>
      </c>
      <c r="F63" s="38"/>
      <c r="G63" s="38"/>
      <c r="H63" s="38"/>
      <c r="I63" s="38"/>
      <c r="J63" s="38"/>
      <c r="K63" s="38"/>
      <c r="L63" s="38"/>
      <c r="M63" s="38"/>
      <c r="N63" s="38"/>
      <c r="O63" s="38"/>
      <c r="P63" s="38"/>
      <c r="Q63" s="38"/>
      <c r="R63" s="38"/>
      <c r="S63" s="38"/>
      <c r="T63" s="38"/>
      <c r="U63" s="38"/>
      <c r="V63" s="38"/>
      <c r="W63" s="517" t="s">
        <v>419</v>
      </c>
      <c r="X63" s="38"/>
      <c r="Y63" s="38"/>
      <c r="Z63" s="38"/>
      <c r="AA63" s="38"/>
      <c r="AB63" s="474"/>
      <c r="AC63" s="382" t="s">
        <v>420</v>
      </c>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187"/>
      <c r="AZ63" s="38"/>
      <c r="BB63" s="688"/>
    </row>
    <row r="64" spans="1:54" ht="10.7" customHeight="1" x14ac:dyDescent="0.15">
      <c r="E64" s="448">
        <v>11</v>
      </c>
      <c r="AZ64" s="22"/>
      <c r="BA64"/>
      <c r="BB64" s="661"/>
    </row>
  </sheetData>
  <sheetProtection formatColumns="0" formatRows="0" insertRows="0" deleteColumns="0" deleteRows="0" sort="0" autoFilter="0"/>
  <mergeCells count="15">
    <mergeCell ref="X27:X34"/>
    <mergeCell ref="Z27:Z34"/>
    <mergeCell ref="AB60:AY60"/>
    <mergeCell ref="AB61:AY61"/>
    <mergeCell ref="X35:X42"/>
    <mergeCell ref="Z35:Z42"/>
    <mergeCell ref="X43:X50"/>
    <mergeCell ref="Z43:Z50"/>
    <mergeCell ref="X51:X58"/>
    <mergeCell ref="Z51:Z58"/>
    <mergeCell ref="AB24:AB25"/>
    <mergeCell ref="AC24:AC25"/>
    <mergeCell ref="AD24:AD25"/>
    <mergeCell ref="AY24:AY25"/>
    <mergeCell ref="AB62:AY62"/>
  </mergeCells>
  <dataValidations count="1">
    <dataValidation allowBlank="1" showInputMessage="1" showErrorMessage="1" sqref="AY60:AY62"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32228-8AE3-3B0E-FC98-002C69E2CCC8}">
  <sheetPr>
    <tabColor rgb="FF002060"/>
  </sheetPr>
  <dimension ref="A1:AQ43"/>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6" hidden="1"/>
    <col min="42" max="43" width="9.140625" style="38" hidden="1"/>
  </cols>
  <sheetData>
    <row r="1" spans="1:41" ht="11.25" hidden="1" customHeight="1" x14ac:dyDescent="0.15">
      <c r="E1" s="38"/>
      <c r="F1" s="275" t="s">
        <v>320</v>
      </c>
      <c r="G1" s="38" t="s">
        <v>330</v>
      </c>
      <c r="T1" s="353" t="s">
        <v>92</v>
      </c>
      <c r="U1" s="353" t="s">
        <v>97</v>
      </c>
      <c r="V1" s="353" t="s">
        <v>93</v>
      </c>
      <c r="W1" s="353" t="s">
        <v>94</v>
      </c>
      <c r="X1" s="353" t="s">
        <v>95</v>
      </c>
      <c r="Y1" s="355" t="s">
        <v>322</v>
      </c>
      <c r="Z1" s="353" t="s">
        <v>99</v>
      </c>
      <c r="AA1" s="354" t="s">
        <v>96</v>
      </c>
      <c r="AB1" s="4"/>
      <c r="AC1" s="354" t="s">
        <v>98</v>
      </c>
      <c r="AO1" s="656" t="s">
        <v>323</v>
      </c>
    </row>
    <row r="2" spans="1:41" s="43" customFormat="1" ht="11.25" hidden="1" customHeight="1" x14ac:dyDescent="0.15">
      <c r="B2" s="342" t="s">
        <v>18</v>
      </c>
      <c r="F2" s="535"/>
      <c r="AO2" s="665"/>
    </row>
    <row r="3" spans="1:41" ht="11.25" hidden="1" customHeight="1" x14ac:dyDescent="0.15">
      <c r="E3" s="38"/>
    </row>
    <row r="4" spans="1:41" ht="11.25" hidden="1" customHeight="1" x14ac:dyDescent="0.15">
      <c r="E4" s="38"/>
    </row>
    <row r="5" spans="1:41" s="448" customFormat="1" ht="11.25" hidden="1" customHeight="1" x14ac:dyDescent="0.15">
      <c r="A5" s="38"/>
      <c r="B5" s="43"/>
      <c r="C5" s="38"/>
      <c r="D5" s="38"/>
      <c r="E5" s="448" t="s">
        <v>19</v>
      </c>
      <c r="F5" s="536"/>
      <c r="AA5" s="448">
        <v>3</v>
      </c>
      <c r="AB5" s="448">
        <v>11</v>
      </c>
      <c r="AC5" s="448">
        <v>50</v>
      </c>
      <c r="AD5" s="448">
        <v>10</v>
      </c>
      <c r="AE5" s="448">
        <v>15</v>
      </c>
      <c r="AF5" s="448">
        <v>16.57</v>
      </c>
      <c r="AG5" s="448">
        <v>18.71</v>
      </c>
      <c r="AH5" s="448">
        <v>25.86</v>
      </c>
      <c r="AI5" s="448">
        <v>18.43</v>
      </c>
      <c r="AJ5" s="448">
        <v>29.14</v>
      </c>
      <c r="AK5" s="448">
        <v>18.43</v>
      </c>
      <c r="AL5" s="448">
        <v>15</v>
      </c>
      <c r="AM5" s="448">
        <v>3</v>
      </c>
      <c r="AO5" s="656"/>
    </row>
    <row r="6" spans="1:41" ht="11.25" hidden="1" customHeight="1" x14ac:dyDescent="0.15">
      <c r="A6" s="38" t="s">
        <v>355</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6" customFormat="1" ht="11.25" hidden="1" customHeight="1" x14ac:dyDescent="0.15">
      <c r="A9" s="656" t="s">
        <v>365</v>
      </c>
      <c r="B9" s="665"/>
      <c r="F9" s="666"/>
      <c r="AE9" s="656" t="str" cm="1">
        <f t="array" ref="AE9">AE24</f>
        <v>Начислено в соответствии с пунктом 26(1) Основ ценообразования в сфере водоснабжения и водоотведения</v>
      </c>
      <c r="AF9" s="656" t="str" cm="1">
        <f t="array" ref="AF9">AF24</f>
        <v>Направлено на внесение платы за негативное воздействие на окружающую среду</v>
      </c>
      <c r="AG9" s="656" t="str" cm="1">
        <f t="array" ref="AG9">AG24</f>
        <v>Направлено на компенсацию вреда, причиненного водному объекту</v>
      </c>
      <c r="AH9" s="65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6" t="str" cm="1">
        <f t="array" ref="AI9">AI24</f>
        <v>Предусмотрено на финансирование мероприятий производственной программы регулируемой организации</v>
      </c>
      <c r="AJ9" s="65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6" t="str" cm="1">
        <f t="array" ref="AK9">AK24</f>
        <v>Налог на прибыль</v>
      </c>
      <c r="AL9" s="656"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48">
        <v>11.25</v>
      </c>
      <c r="AA21" s="325"/>
      <c r="AB21" s="70"/>
      <c r="AC21" s="70"/>
      <c r="AD21" s="70"/>
      <c r="AE21" s="70"/>
      <c r="AF21" s="70"/>
      <c r="AG21" s="70"/>
      <c r="AH21" s="70"/>
      <c r="AI21" s="70"/>
      <c r="AJ21" s="70"/>
      <c r="AK21" s="70"/>
      <c r="AL21" s="70"/>
    </row>
    <row r="22" spans="1:43" ht="19.5" customHeight="1" x14ac:dyDescent="0.25">
      <c r="E22" s="448">
        <v>20</v>
      </c>
      <c r="AB22" s="226" t="s">
        <v>1410</v>
      </c>
      <c r="AC22" s="149"/>
      <c r="AD22" s="149"/>
      <c r="AE22" s="149"/>
      <c r="AF22" s="149"/>
      <c r="AG22" s="162"/>
      <c r="AH22" s="162"/>
      <c r="AI22" s="162"/>
      <c r="AJ22" s="162"/>
      <c r="AK22" s="162"/>
      <c r="AL22" s="162"/>
    </row>
    <row r="23" spans="1:43" ht="10.9" customHeight="1" x14ac:dyDescent="0.15">
      <c r="E23" s="448">
        <v>11.25</v>
      </c>
      <c r="AB23" s="70"/>
      <c r="AC23" s="70"/>
      <c r="AD23" s="70"/>
      <c r="AE23" s="70"/>
      <c r="AF23" s="70"/>
      <c r="AG23" s="70"/>
      <c r="AH23" s="70"/>
      <c r="AI23" s="70"/>
      <c r="AJ23" s="70"/>
      <c r="AK23" s="70"/>
      <c r="AL23" s="70"/>
    </row>
    <row r="24" spans="1:43" ht="108.95" customHeight="1" x14ac:dyDescent="0.15">
      <c r="E24" s="448">
        <v>111.75</v>
      </c>
      <c r="AB24" s="158" t="s">
        <v>1411</v>
      </c>
      <c r="AC24" s="5" t="s">
        <v>1393</v>
      </c>
      <c r="AD24" s="5" t="s">
        <v>368</v>
      </c>
      <c r="AE24" s="10" t="s">
        <v>1412</v>
      </c>
      <c r="AF24" s="10" t="s">
        <v>1413</v>
      </c>
      <c r="AG24" s="10" t="s">
        <v>1414</v>
      </c>
      <c r="AH24" s="10" t="s">
        <v>1415</v>
      </c>
      <c r="AI24" s="10" t="s">
        <v>1416</v>
      </c>
      <c r="AJ24" s="10" t="s">
        <v>1417</v>
      </c>
      <c r="AK24" s="10" t="s">
        <v>1290</v>
      </c>
      <c r="AL24" s="10" t="s">
        <v>1418</v>
      </c>
    </row>
    <row r="25" spans="1:43" ht="11.25" customHeight="1" x14ac:dyDescent="0.15">
      <c r="A25"/>
      <c r="B25" s="327"/>
      <c r="C25"/>
      <c r="D25"/>
      <c r="E25" s="454" t="s">
        <v>371</v>
      </c>
      <c r="F25" s="710"/>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1"/>
      <c r="AP25"/>
      <c r="AQ25" s="19"/>
    </row>
    <row r="26" spans="1:43" ht="14.65" hidden="1" customHeight="1" x14ac:dyDescent="0.15">
      <c r="E26" s="448">
        <v>15</v>
      </c>
      <c r="F26" s="253" cm="1">
        <f t="array" ref="F26">X26</f>
        <v>0</v>
      </c>
      <c r="T26" s="353" t="b">
        <f>X26&gt;0</f>
        <v>0</v>
      </c>
      <c r="V26" s="38" t="s">
        <v>264</v>
      </c>
      <c r="X26" s="990">
        <v>0</v>
      </c>
      <c r="Z26" s="967"/>
      <c r="AB26" s="155" t="str" cm="1">
        <f t="array" ref="AB26">INDEX('Общие сведения'!$AG$179:$AG$236,MATCH($X26,'Общие сведения'!$Z$179:$Z$236,0))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x14ac:dyDescent="0.15">
      <c r="B27" s="342" t="b">
        <f>IFERROR(IF(SEARCH("Водоотведение",AB26),TRUE,FALSE),FALSE)</f>
        <v>0</v>
      </c>
      <c r="E27" s="448">
        <v>34.25</v>
      </c>
      <c r="F27" s="3" cm="1">
        <f t="array" aca="1" ref="F27" ca="1">OFFSET(E27,-1,1)</f>
        <v>0</v>
      </c>
      <c r="G27" s="40">
        <v>1</v>
      </c>
      <c r="T27" s="353" t="b" cm="1">
        <f t="array" ref="T27">T26</f>
        <v>0</v>
      </c>
      <c r="X27" s="990"/>
      <c r="Z27" s="967"/>
      <c r="AB27" s="5" t="s">
        <v>275</v>
      </c>
      <c r="AC27" s="157" t="s">
        <v>1419</v>
      </c>
      <c r="AD27" s="5" t="s">
        <v>828</v>
      </c>
      <c r="AE27" s="854"/>
      <c r="AF27" s="846"/>
      <c r="AG27" s="846"/>
      <c r="AH27" s="846"/>
      <c r="AI27" s="846"/>
      <c r="AJ27" s="846"/>
      <c r="AK27" s="846"/>
      <c r="AL27" s="846">
        <f>IF(AE27-AF27-AG27-AH27-AI27-AJ27-AK27&lt;0,0,AE27-AF27-AG27-AH27-AI27-AJ27-AK27)</f>
        <v>0</v>
      </c>
      <c r="AO27" s="656" t="s">
        <v>1374</v>
      </c>
    </row>
    <row r="28" spans="1:43" ht="33.4" hidden="1" customHeight="1" x14ac:dyDescent="0.15">
      <c r="B28" s="342" t="b" cm="1">
        <f t="array" ref="B28">B27</f>
        <v>0</v>
      </c>
      <c r="E28" s="448">
        <v>34.25</v>
      </c>
      <c r="F28" s="3" cm="1">
        <f t="array" aca="1" ref="F28" ca="1">OFFSET(E28,-1,1)</f>
        <v>0</v>
      </c>
      <c r="G28" s="40">
        <v>2</v>
      </c>
      <c r="T28" s="353" t="b" cm="1">
        <f t="array" ref="T28">T27</f>
        <v>0</v>
      </c>
      <c r="X28" s="990"/>
      <c r="Z28" s="967"/>
      <c r="AB28" s="5" t="s">
        <v>285</v>
      </c>
      <c r="AC28" s="157" t="s">
        <v>1420</v>
      </c>
      <c r="AD28" s="5" t="s">
        <v>828</v>
      </c>
      <c r="AE28" s="854"/>
      <c r="AF28" s="846"/>
      <c r="AG28" s="846"/>
      <c r="AH28" s="846"/>
      <c r="AI28" s="846"/>
      <c r="AJ28" s="846"/>
      <c r="AK28" s="846"/>
      <c r="AL28" s="846">
        <f>IF(AE28-AF28-AG28-AH28-AI28-AJ28-AK28&lt;0,0,AE28-AF28-AG28-AH28-AI28-AJ28-AK28)</f>
        <v>0</v>
      </c>
      <c r="AO28" s="656" t="s">
        <v>1378</v>
      </c>
    </row>
    <row r="29" spans="1:43" ht="14.25" customHeight="1" x14ac:dyDescent="0.15">
      <c r="E29" s="448">
        <v>15</v>
      </c>
      <c r="F29" s="253" t="str" cm="1">
        <f t="array" ref="F29">X29</f>
        <v>1</v>
      </c>
      <c r="T29" s="353" t="b">
        <f>X29&gt;0</f>
        <v>1</v>
      </c>
      <c r="V29" s="38" t="str" cm="1">
        <f t="array" ref="V29">Экономия_корр!$AB$35</f>
        <v>Тариф 1 (Водоснабжение) - тариф на техническую воду</v>
      </c>
      <c r="X29" s="990" t="s">
        <v>275</v>
      </c>
      <c r="Z29" s="967"/>
      <c r="AB29" s="155" t="str" cm="1">
        <f t="array" ref="AB29">Экономия_корр!$AB$35</f>
        <v>Тариф 1 (Водоснабжение) - тариф на техническую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x14ac:dyDescent="0.15">
      <c r="B30" s="342" t="b">
        <f>IFERROR(IF(SEARCH("Водоотведение",AB29),TRUE,FALSE),FALSE)</f>
        <v>0</v>
      </c>
      <c r="E30" s="448">
        <v>34.25</v>
      </c>
      <c r="F30" s="3" t="str" cm="1">
        <f t="array" aca="1" ref="F30" ca="1">OFFSET(E30,-1,1)</f>
        <v>1</v>
      </c>
      <c r="G30" s="40">
        <v>1</v>
      </c>
      <c r="T30" s="353" t="b" cm="1">
        <f t="array" ref="T30">T29</f>
        <v>1</v>
      </c>
      <c r="X30" s="990"/>
      <c r="Z30" s="967"/>
      <c r="AB30" s="5" t="s">
        <v>275</v>
      </c>
      <c r="AC30" s="157" t="s">
        <v>1419</v>
      </c>
      <c r="AD30" s="5" t="s">
        <v>828</v>
      </c>
      <c r="AE30" s="854"/>
      <c r="AF30" s="846"/>
      <c r="AG30" s="846"/>
      <c r="AH30" s="846"/>
      <c r="AI30" s="846"/>
      <c r="AJ30" s="846"/>
      <c r="AK30" s="846"/>
      <c r="AL30" s="846">
        <f>IF(AE30-AF30-AG30-AH30-AI30-AJ30-AK30&lt;0,0,AE30-AF30-AG30-AH30-AI30-AJ30-AK30)</f>
        <v>0</v>
      </c>
      <c r="AO30" s="656" t="s">
        <v>1374</v>
      </c>
    </row>
    <row r="31" spans="1:43" ht="33" hidden="1" customHeight="1" x14ac:dyDescent="0.15">
      <c r="B31" s="342" t="b" cm="1">
        <f t="array" ref="B31">B30</f>
        <v>0</v>
      </c>
      <c r="E31" s="448">
        <v>34.25</v>
      </c>
      <c r="F31" s="3" t="str" cm="1">
        <f t="array" aca="1" ref="F31" ca="1">OFFSET(E31,-1,1)</f>
        <v>1</v>
      </c>
      <c r="G31" s="40">
        <v>2</v>
      </c>
      <c r="T31" s="353" t="b" cm="1">
        <f t="array" ref="T31">T30</f>
        <v>1</v>
      </c>
      <c r="X31" s="990"/>
      <c r="Z31" s="967"/>
      <c r="AB31" s="5" t="s">
        <v>285</v>
      </c>
      <c r="AC31" s="157" t="s">
        <v>1420</v>
      </c>
      <c r="AD31" s="5" t="s">
        <v>828</v>
      </c>
      <c r="AE31" s="854"/>
      <c r="AF31" s="846"/>
      <c r="AG31" s="846"/>
      <c r="AH31" s="846"/>
      <c r="AI31" s="846"/>
      <c r="AJ31" s="846"/>
      <c r="AK31" s="846"/>
      <c r="AL31" s="846">
        <f>IF(AE31-AF31-AG31-AH31-AI31-AJ31-AK31&lt;0,0,AE31-AF31-AG31-AH31-AI31-AJ31-AK31)</f>
        <v>0</v>
      </c>
      <c r="AO31" s="656" t="s">
        <v>1378</v>
      </c>
    </row>
    <row r="32" spans="1:43" ht="14.25" customHeight="1" x14ac:dyDescent="0.15">
      <c r="E32" s="448">
        <v>15</v>
      </c>
      <c r="F32" s="253" t="str" cm="1">
        <f t="array" ref="F32">X32</f>
        <v>2</v>
      </c>
      <c r="T32" s="353" t="b">
        <f>X32&gt;0</f>
        <v>1</v>
      </c>
      <c r="V32" s="38" t="str" cm="1">
        <f t="array" ref="V32">Экономия_корр!$AB$43</f>
        <v>Тариф 2 (Водоотведение) - тариф на водоотведение</v>
      </c>
      <c r="X32" s="990" t="s">
        <v>285</v>
      </c>
      <c r="Z32" s="967"/>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x14ac:dyDescent="0.15">
      <c r="B33" s="342" t="b">
        <f>IFERROR(IF(SEARCH("Водоотведение",AB32),TRUE,FALSE),FALSE)</f>
        <v>1</v>
      </c>
      <c r="E33" s="448">
        <v>34.25</v>
      </c>
      <c r="F33" s="3" t="str" cm="1">
        <f t="array" aca="1" ref="F33" ca="1">OFFSET(E33,-1,1)</f>
        <v>2</v>
      </c>
      <c r="G33" s="40">
        <v>1</v>
      </c>
      <c r="T33" s="353" t="b" cm="1">
        <f t="array" ref="T33">T32</f>
        <v>1</v>
      </c>
      <c r="X33" s="990"/>
      <c r="Z33" s="967"/>
      <c r="AB33" s="5" t="s">
        <v>275</v>
      </c>
      <c r="AC33" s="157" t="s">
        <v>1419</v>
      </c>
      <c r="AD33" s="5" t="s">
        <v>828</v>
      </c>
      <c r="AE33" s="142"/>
      <c r="AF33" s="161"/>
      <c r="AG33" s="161"/>
      <c r="AH33" s="161"/>
      <c r="AI33" s="161"/>
      <c r="AJ33" s="161"/>
      <c r="AK33" s="161"/>
      <c r="AL33" s="161">
        <f>IF(AE33-AF33-AG33-AH33-AI33-AJ33-AK33&lt;0,0,AE33-AF33-AG33-AH33-AI33-AJ33-AK33)</f>
        <v>0</v>
      </c>
      <c r="AO33" s="656" t="s">
        <v>1374</v>
      </c>
    </row>
    <row r="34" spans="1:43" ht="33" customHeight="1" x14ac:dyDescent="0.15">
      <c r="B34" s="342" t="b" cm="1">
        <f t="array" ref="B34">B33</f>
        <v>1</v>
      </c>
      <c r="E34" s="448">
        <v>34.25</v>
      </c>
      <c r="F34" s="3" t="str" cm="1">
        <f t="array" aca="1" ref="F34" ca="1">OFFSET(E34,-1,1)</f>
        <v>2</v>
      </c>
      <c r="G34" s="40">
        <v>2</v>
      </c>
      <c r="T34" s="353" t="b" cm="1">
        <f t="array" ref="T34">T33</f>
        <v>1</v>
      </c>
      <c r="X34" s="990"/>
      <c r="Z34" s="967"/>
      <c r="AB34" s="5" t="s">
        <v>285</v>
      </c>
      <c r="AC34" s="157" t="s">
        <v>1420</v>
      </c>
      <c r="AD34" s="5" t="s">
        <v>828</v>
      </c>
      <c r="AE34" s="142"/>
      <c r="AF34" s="161"/>
      <c r="AG34" s="161"/>
      <c r="AH34" s="161"/>
      <c r="AI34" s="161"/>
      <c r="AJ34" s="161"/>
      <c r="AK34" s="161"/>
      <c r="AL34" s="161">
        <f>IF(AE34-AF34-AG34-AH34-AI34-AJ34-AK34&lt;0,0,AE34-AF34-AG34-AH34-AI34-AJ34-AK34)</f>
        <v>0</v>
      </c>
      <c r="AO34" s="656" t="s">
        <v>1378</v>
      </c>
    </row>
    <row r="35" spans="1:43" ht="14.25" customHeight="1" x14ac:dyDescent="0.15">
      <c r="E35" s="448">
        <v>15</v>
      </c>
      <c r="F35" s="253" t="str" cm="1">
        <f t="array" ref="F35">X35</f>
        <v>3</v>
      </c>
      <c r="T35" s="353" t="b">
        <f>X35&gt;0</f>
        <v>1</v>
      </c>
      <c r="V35" s="38" t="str" cm="1">
        <f t="array" ref="V35">Экономия_корр!$AB$51</f>
        <v>Тариф 3 (Водоотведение) - тариф на транспортировку сточных вод</v>
      </c>
      <c r="X35" s="990" t="s">
        <v>291</v>
      </c>
      <c r="Z35" s="967"/>
      <c r="AB35" s="155" t="str" cm="1">
        <f t="array" ref="AB35">Экономия_корр!$AB$51</f>
        <v>Тариф 3 (Водоотведение) - тариф на транспортировку сточных вод</v>
      </c>
      <c r="AC35" s="156"/>
      <c r="AD35" s="156"/>
      <c r="AE35" s="185">
        <f t="shared" ref="AE35:AL35" si="3">AE36+AE37</f>
        <v>0</v>
      </c>
      <c r="AF35" s="185">
        <f t="shared" si="3"/>
        <v>0</v>
      </c>
      <c r="AG35" s="185">
        <f t="shared" si="3"/>
        <v>0</v>
      </c>
      <c r="AH35" s="185">
        <f t="shared" si="3"/>
        <v>0</v>
      </c>
      <c r="AI35" s="185">
        <f t="shared" si="3"/>
        <v>0</v>
      </c>
      <c r="AJ35" s="185">
        <f t="shared" si="3"/>
        <v>0</v>
      </c>
      <c r="AK35" s="185">
        <f t="shared" si="3"/>
        <v>0</v>
      </c>
      <c r="AL35" s="185">
        <f t="shared" si="3"/>
        <v>0</v>
      </c>
    </row>
    <row r="36" spans="1:43" ht="33" customHeight="1" x14ac:dyDescent="0.15">
      <c r="B36" s="342" t="b">
        <f>IFERROR(IF(SEARCH("Водоотведение",AB35),TRUE,FALSE),FALSE)</f>
        <v>1</v>
      </c>
      <c r="E36" s="448">
        <v>34.25</v>
      </c>
      <c r="F36" s="3" t="str" cm="1">
        <f t="array" aca="1" ref="F36" ca="1">OFFSET(E36,-1,1)</f>
        <v>3</v>
      </c>
      <c r="G36" s="40">
        <v>1</v>
      </c>
      <c r="T36" s="353" t="b" cm="1">
        <f t="array" ref="T36">T35</f>
        <v>1</v>
      </c>
      <c r="X36" s="990"/>
      <c r="Z36" s="967"/>
      <c r="AB36" s="5" t="s">
        <v>275</v>
      </c>
      <c r="AC36" s="157" t="s">
        <v>1419</v>
      </c>
      <c r="AD36" s="5" t="s">
        <v>828</v>
      </c>
      <c r="AE36" s="142"/>
      <c r="AF36" s="161"/>
      <c r="AG36" s="161"/>
      <c r="AH36" s="161"/>
      <c r="AI36" s="161"/>
      <c r="AJ36" s="161"/>
      <c r="AK36" s="161"/>
      <c r="AL36" s="161">
        <f>IF(AE36-AF36-AG36-AH36-AI36-AJ36-AK36&lt;0,0,AE36-AF36-AG36-AH36-AI36-AJ36-AK36)</f>
        <v>0</v>
      </c>
      <c r="AO36" s="656" t="s">
        <v>1374</v>
      </c>
    </row>
    <row r="37" spans="1:43" ht="33" customHeight="1" x14ac:dyDescent="0.15">
      <c r="B37" s="342" t="b" cm="1">
        <f t="array" ref="B37">B36</f>
        <v>1</v>
      </c>
      <c r="E37" s="448">
        <v>34.25</v>
      </c>
      <c r="F37" s="3" t="str" cm="1">
        <f t="array" aca="1" ref="F37" ca="1">OFFSET(E37,-1,1)</f>
        <v>3</v>
      </c>
      <c r="G37" s="40">
        <v>2</v>
      </c>
      <c r="T37" s="353" t="b" cm="1">
        <f t="array" ref="T37">T36</f>
        <v>1</v>
      </c>
      <c r="X37" s="990"/>
      <c r="Z37" s="967"/>
      <c r="AB37" s="5" t="s">
        <v>285</v>
      </c>
      <c r="AC37" s="157" t="s">
        <v>1420</v>
      </c>
      <c r="AD37" s="5" t="s">
        <v>828</v>
      </c>
      <c r="AE37" s="142"/>
      <c r="AF37" s="161"/>
      <c r="AG37" s="161"/>
      <c r="AH37" s="161"/>
      <c r="AI37" s="161"/>
      <c r="AJ37" s="161"/>
      <c r="AK37" s="161"/>
      <c r="AL37" s="161">
        <f>IF(AE37-AF37-AG37-AH37-AI37-AJ37-AK37&lt;0,0,AE37-AF37-AG37-AH37-AI37-AJ37-AK37)</f>
        <v>0</v>
      </c>
      <c r="AO37" s="656" t="s">
        <v>1378</v>
      </c>
    </row>
    <row r="38" spans="1:43" ht="10.9" customHeight="1" x14ac:dyDescent="0.15">
      <c r="A38"/>
      <c r="B38" s="327"/>
      <c r="C38"/>
      <c r="D38"/>
      <c r="E38" s="454">
        <v>11.25</v>
      </c>
      <c r="F38" s="710"/>
      <c r="G38"/>
      <c r="H38"/>
      <c r="I38"/>
      <c r="J38"/>
      <c r="K38"/>
      <c r="L38"/>
      <c r="M38"/>
      <c r="N38"/>
      <c r="O38"/>
      <c r="P38"/>
      <c r="Q38"/>
      <c r="R38"/>
      <c r="S38"/>
      <c r="T38"/>
      <c r="U38" s="315" t="s">
        <v>176</v>
      </c>
      <c r="V38" s="56" t="s">
        <v>1421</v>
      </c>
      <c r="W38"/>
      <c r="X38"/>
      <c r="Y38"/>
      <c r="Z38"/>
      <c r="AA38"/>
      <c r="AB38"/>
      <c r="AC38" s="18"/>
      <c r="AD38" s="18"/>
      <c r="AE38" s="18"/>
      <c r="AF38" s="18"/>
      <c r="AG38"/>
      <c r="AH38"/>
      <c r="AI38"/>
      <c r="AJ38"/>
      <c r="AK38"/>
      <c r="AL38"/>
      <c r="AM38"/>
      <c r="AN38"/>
      <c r="AO38" s="661"/>
      <c r="AP38"/>
      <c r="AQ38" s="19"/>
    </row>
    <row r="39" spans="1:43" ht="14.65" customHeight="1" x14ac:dyDescent="0.15">
      <c r="E39" s="448">
        <v>15</v>
      </c>
      <c r="AB39" s="993" t="s">
        <v>408</v>
      </c>
      <c r="AC39" s="993"/>
      <c r="AD39" s="993"/>
      <c r="AE39" s="993"/>
      <c r="AF39" s="993"/>
      <c r="AG39" s="993"/>
      <c r="AH39" s="993"/>
      <c r="AI39" s="993"/>
      <c r="AJ39" s="993"/>
      <c r="AK39" s="993"/>
      <c r="AL39" s="1024"/>
    </row>
    <row r="40" spans="1:43" ht="14.65" customHeight="1" x14ac:dyDescent="0.15">
      <c r="E40" s="448">
        <v>15</v>
      </c>
      <c r="AA40" s="87"/>
      <c r="AB40" s="1060"/>
      <c r="AC40" s="1060"/>
      <c r="AD40" s="1060"/>
      <c r="AE40" s="1060"/>
      <c r="AF40" s="1060"/>
      <c r="AG40" s="1060"/>
      <c r="AH40" s="1060"/>
      <c r="AI40" s="1060"/>
      <c r="AJ40" s="1060"/>
      <c r="AK40" s="1060"/>
      <c r="AL40" s="1065"/>
    </row>
    <row r="41" spans="1:43" ht="14.65" hidden="1" customHeight="1" x14ac:dyDescent="0.15">
      <c r="E41" s="448">
        <v>15</v>
      </c>
      <c r="T41" s="353" t="b">
        <f>ROW(W41)&gt;ROW(W$41)</f>
        <v>0</v>
      </c>
      <c r="W41" s="517" t="s">
        <v>172</v>
      </c>
      <c r="AA41" s="320" t="s">
        <v>173</v>
      </c>
      <c r="AB41" s="1061" t="s">
        <v>225</v>
      </c>
      <c r="AC41" s="1061"/>
      <c r="AD41" s="1061"/>
      <c r="AE41" s="1061"/>
      <c r="AF41" s="1061"/>
      <c r="AG41" s="1061"/>
      <c r="AH41" s="1061"/>
      <c r="AI41" s="1061"/>
      <c r="AJ41" s="1061"/>
      <c r="AK41" s="1061"/>
      <c r="AL41" s="1066"/>
    </row>
    <row r="42" spans="1:43" ht="14.65" customHeight="1" x14ac:dyDescent="0.15">
      <c r="E42" s="448">
        <v>15</v>
      </c>
      <c r="W42" s="517" t="s">
        <v>419</v>
      </c>
      <c r="AB42" s="474"/>
      <c r="AC42" s="382" t="s">
        <v>420</v>
      </c>
      <c r="AD42" s="218"/>
      <c r="AE42" s="218"/>
      <c r="AF42" s="218"/>
      <c r="AG42" s="218"/>
      <c r="AH42" s="218"/>
      <c r="AI42" s="218"/>
      <c r="AJ42" s="218"/>
      <c r="AK42" s="218"/>
      <c r="AL42" s="187"/>
    </row>
    <row r="43" spans="1:43" ht="10.9" customHeight="1" x14ac:dyDescent="0.15">
      <c r="E43" s="448">
        <v>11.25</v>
      </c>
      <c r="AM43" s="22"/>
    </row>
  </sheetData>
  <sheetProtection formatColumns="0" formatRows="0" insertRows="0" deleteColumns="0" deleteRows="0" sort="0" autoFilter="0"/>
  <mergeCells count="11">
    <mergeCell ref="AB39:AL39"/>
    <mergeCell ref="AB40:AL40"/>
    <mergeCell ref="AB41:AL41"/>
    <mergeCell ref="X26:X28"/>
    <mergeCell ref="Z26:Z28"/>
    <mergeCell ref="X29:X31"/>
    <mergeCell ref="Z29:Z31"/>
    <mergeCell ref="X32:X34"/>
    <mergeCell ref="Z32:Z34"/>
    <mergeCell ref="X35:X37"/>
    <mergeCell ref="Z35:Z37"/>
  </mergeCells>
  <dataValidations count="1">
    <dataValidation type="decimal" allowBlank="1" showErrorMessage="1" errorTitle="Ошибка" error="Допускается ввод только неотрицательных чисел!" sqref="AL28 AL30:AL31 AL33:AL34 AL36:AL37 AK28 AK31 AK34 AK37 AJ28 AJ31 AJ34 AJ37 AI28 AI31 AI34 AI37 AH28 AH30:AH31 AH33:AH34 AH36:AH37 AF27:AH27 AL27 AF30 AG30 AF33 AG33 AF36 AG36"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C4C1-B46A-C161-15EC-FA0FF6CDF2DF}">
  <sheetPr>
    <tabColor rgb="FF002060"/>
    <outlinePr summaryBelow="0" summaryRight="0"/>
    <pageSetUpPr fitToPage="1"/>
  </sheetPr>
  <dimension ref="A1:AQ239"/>
  <sheetViews>
    <sheetView showGridLines="0" zoomScale="120" workbookViewId="0">
      <pane xSplit="31" ySplit="25" topLeftCell="AF206" activePane="bottomRight" state="frozen"/>
      <selection pane="topRight" activeCell="AF1" sqref="AF1"/>
      <selection pane="bottomLeft" activeCell="A26" sqref="A26"/>
      <selection pane="bottomRight" activeCell="AH128" sqref="AH128"/>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9.42578125" style="38" customWidth="1"/>
    <col min="30" max="31" width="12" style="38" customWidth="1"/>
    <col min="32" max="33" width="15" style="38" customWidth="1"/>
    <col min="34" max="34" width="78.5703125" style="38" customWidth="1"/>
    <col min="35" max="35" width="3" style="38" customWidth="1"/>
    <col min="36" max="37" width="9.140625" style="38" hidden="1"/>
    <col min="38" max="38" width="9.140625" style="656" hidden="1"/>
    <col min="39" max="43" width="9.140625" style="38" hidden="1"/>
  </cols>
  <sheetData>
    <row r="1" spans="1:38" ht="11.25" hidden="1" customHeight="1" x14ac:dyDescent="0.15">
      <c r="E1" s="38"/>
      <c r="F1" s="38" t="s">
        <v>320</v>
      </c>
      <c r="I1" s="38" t="s">
        <v>330</v>
      </c>
      <c r="T1" s="353" t="s">
        <v>92</v>
      </c>
      <c r="U1" s="353" t="s">
        <v>97</v>
      </c>
      <c r="V1" s="353" t="s">
        <v>93</v>
      </c>
      <c r="W1" s="353" t="s">
        <v>94</v>
      </c>
      <c r="X1" s="353" t="s">
        <v>95</v>
      </c>
      <c r="Y1" s="355" t="s">
        <v>322</v>
      </c>
      <c r="Z1" s="353" t="s">
        <v>99</v>
      </c>
      <c r="AA1" s="354" t="s">
        <v>96</v>
      </c>
      <c r="AC1" s="354" t="s">
        <v>98</v>
      </c>
      <c r="AL1" s="656" t="s">
        <v>323</v>
      </c>
    </row>
    <row r="2" spans="1:38" s="43" customFormat="1" ht="11.25" hidden="1" customHeight="1" x14ac:dyDescent="0.15">
      <c r="B2" s="342" t="s">
        <v>18</v>
      </c>
      <c r="G2" s="374"/>
      <c r="S2" s="327"/>
      <c r="AB2" s="46"/>
      <c r="AL2" s="665"/>
    </row>
    <row r="3" spans="1:38" ht="11.25" hidden="1" customHeight="1" x14ac:dyDescent="0.15">
      <c r="E3" s="38"/>
    </row>
    <row r="4" spans="1:38" ht="11.25" hidden="1" customHeight="1" x14ac:dyDescent="0.15">
      <c r="E4" s="38"/>
    </row>
    <row r="5" spans="1:38" s="448" customFormat="1" ht="11.25" hidden="1" customHeight="1" x14ac:dyDescent="0.15">
      <c r="A5" s="38"/>
      <c r="B5" s="43"/>
      <c r="C5" s="38"/>
      <c r="D5" s="38"/>
      <c r="E5" s="448" t="s">
        <v>19</v>
      </c>
      <c r="G5" s="502"/>
      <c r="S5" s="454"/>
      <c r="AA5" s="448">
        <v>3</v>
      </c>
      <c r="AB5" s="461">
        <v>11</v>
      </c>
      <c r="AC5" s="448">
        <v>72.290000000000006</v>
      </c>
      <c r="AD5" s="448">
        <v>12</v>
      </c>
      <c r="AE5" s="448">
        <v>12</v>
      </c>
      <c r="AF5" s="448">
        <v>15</v>
      </c>
      <c r="AG5" s="448">
        <v>15</v>
      </c>
      <c r="AH5" s="448">
        <v>20</v>
      </c>
      <c r="AI5" s="448">
        <v>3</v>
      </c>
      <c r="AL5" s="656"/>
    </row>
    <row r="6" spans="1:38" ht="11.25" hidden="1" customHeight="1" x14ac:dyDescent="0.15">
      <c r="AF6" s="38">
        <f>god-2</f>
        <v>2024</v>
      </c>
      <c r="AG6" s="38">
        <f>god-2</f>
        <v>2024</v>
      </c>
    </row>
    <row r="7" spans="1:38" ht="11.25" hidden="1" customHeight="1" x14ac:dyDescent="0.15">
      <c r="A7" s="38" t="s">
        <v>359</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6" customFormat="1" ht="11.25" hidden="1" customHeight="1" x14ac:dyDescent="0.15">
      <c r="A9" s="656" t="s">
        <v>363</v>
      </c>
      <c r="B9" s="665"/>
      <c r="AF9" s="656" cm="1">
        <f t="array" ref="AF9">AF6</f>
        <v>2024</v>
      </c>
      <c r="AG9" s="656" cm="1">
        <f t="array" ref="AG9">AG6</f>
        <v>2024</v>
      </c>
    </row>
    <row r="10" spans="1:38" s="656" customFormat="1" ht="11.25" hidden="1" customHeight="1" x14ac:dyDescent="0.15">
      <c r="A10" s="656" t="s">
        <v>364</v>
      </c>
      <c r="B10" s="665"/>
      <c r="AF10" s="656" t="str" cm="1">
        <f t="array" ref="AF10">AF25</f>
        <v>Факт по данным организации</v>
      </c>
      <c r="AG10" s="656" t="str" cm="1">
        <f t="array" ref="AG10">AG25</f>
        <v>Принято органом регулирования</v>
      </c>
    </row>
    <row r="11" spans="1:38" s="656" customFormat="1" ht="11.25" hidden="1" customHeight="1" x14ac:dyDescent="0.15">
      <c r="A11" s="656" t="s">
        <v>365</v>
      </c>
      <c r="B11" s="665"/>
      <c r="AH11" s="656"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48">
        <v>15</v>
      </c>
      <c r="AA21" s="325"/>
      <c r="AB21" s="163"/>
      <c r="AC21" s="3" t="str" cm="1">
        <f t="array" ref="AC21">tpl_title</f>
        <v>Кемеровская область / 2026 / КАО "Азот" (ИНН:4205000908, КПП:997550001) / ДПР: 2024-2028</v>
      </c>
      <c r="AD21" s="70"/>
      <c r="AE21" s="70"/>
      <c r="AF21" s="70"/>
      <c r="AG21" s="70"/>
    </row>
    <row r="22" spans="1:43" ht="21.95" customHeight="1" x14ac:dyDescent="0.15">
      <c r="E22" s="448">
        <v>22.5</v>
      </c>
      <c r="AB22" s="226" t="s">
        <v>75</v>
      </c>
      <c r="AC22" s="139"/>
      <c r="AD22" s="139"/>
      <c r="AE22" s="139"/>
      <c r="AF22" s="139"/>
      <c r="AG22" s="150"/>
      <c r="AH22" s="150"/>
    </row>
    <row r="23" spans="1:43" ht="10.9" customHeight="1" x14ac:dyDescent="0.15">
      <c r="E23" s="448">
        <v>11.25</v>
      </c>
      <c r="AB23" s="163"/>
      <c r="AC23" s="70"/>
      <c r="AD23" s="70"/>
      <c r="AE23" s="70"/>
      <c r="AF23" s="70"/>
      <c r="AG23" s="70"/>
    </row>
    <row r="24" spans="1:43" ht="19.350000000000001" customHeight="1" x14ac:dyDescent="0.15">
      <c r="E24" s="448">
        <v>19.75</v>
      </c>
      <c r="AB24" s="993" t="s">
        <v>21</v>
      </c>
      <c r="AC24" s="1016" t="s">
        <v>367</v>
      </c>
      <c r="AD24" s="993" t="s">
        <v>1422</v>
      </c>
      <c r="AE24" s="1016" t="s">
        <v>1063</v>
      </c>
      <c r="AF24" s="730" t="str">
        <f>god-2&amp;" год"</f>
        <v>2024 год</v>
      </c>
      <c r="AG24" s="9" t="str">
        <f>god-2&amp;" год"</f>
        <v>2024 год</v>
      </c>
      <c r="AH24" s="1016" t="s">
        <v>369</v>
      </c>
    </row>
    <row r="25" spans="1:43" ht="31.35" customHeight="1" x14ac:dyDescent="0.15">
      <c r="E25" s="448">
        <v>32.25</v>
      </c>
      <c r="AB25" s="993"/>
      <c r="AC25" s="1016"/>
      <c r="AD25" s="993"/>
      <c r="AE25" s="1016"/>
      <c r="AF25" s="730" t="s">
        <v>470</v>
      </c>
      <c r="AG25" s="9" t="s">
        <v>360</v>
      </c>
      <c r="AH25" s="1016"/>
      <c r="AK25" s="38" t="s">
        <v>1411</v>
      </c>
    </row>
    <row r="26" spans="1:43" ht="11.25" customHeight="1" x14ac:dyDescent="0.15">
      <c r="A26"/>
      <c r="B26" s="327"/>
      <c r="C26"/>
      <c r="D26"/>
      <c r="E26" s="454" t="s">
        <v>371</v>
      </c>
      <c r="F26" s="86" t="s">
        <v>1423</v>
      </c>
      <c r="G26" s="368"/>
      <c r="H26"/>
      <c r="I26"/>
      <c r="J26"/>
      <c r="K26"/>
      <c r="L26"/>
      <c r="M26"/>
      <c r="N26"/>
      <c r="O26"/>
      <c r="P26"/>
      <c r="Q26"/>
      <c r="R26"/>
      <c r="S26" t="s">
        <v>1424</v>
      </c>
      <c r="T26"/>
      <c r="U26"/>
      <c r="V26"/>
      <c r="W26"/>
      <c r="X26"/>
      <c r="Y26"/>
      <c r="Z26"/>
      <c r="AA26"/>
      <c r="AB26"/>
      <c r="AC26" s="18"/>
      <c r="AD26" s="18"/>
      <c r="AE26" s="18"/>
      <c r="AF26" s="18"/>
      <c r="AG26"/>
      <c r="AH26"/>
      <c r="AI26"/>
      <c r="AJ26"/>
      <c r="AK26"/>
      <c r="AL26" s="661"/>
      <c r="AM26"/>
      <c r="AN26"/>
      <c r="AO26"/>
      <c r="AP26"/>
      <c r="AQ26" s="19"/>
    </row>
    <row r="27" spans="1:43" ht="14.65" hidden="1" customHeight="1" x14ac:dyDescent="0.15">
      <c r="E27" s="448">
        <v>15</v>
      </c>
      <c r="F27" s="17" cm="1">
        <f t="array" ref="F27">X27</f>
        <v>0</v>
      </c>
      <c r="G27" s="59"/>
      <c r="H27" s="4"/>
      <c r="S27" s="315" cm="1">
        <f t="array" ref="S27">INDEX('Общие сведения'!$AE$179:$AE$236,MATCH($X27,'Общие сведения'!$Z$179:$Z$236,0))</f>
        <v>0</v>
      </c>
      <c r="T27" s="353" t="b">
        <f>X27&gt;0</f>
        <v>0</v>
      </c>
      <c r="V27" s="38" t="s">
        <v>264</v>
      </c>
      <c r="X27" s="990">
        <v>0</v>
      </c>
      <c r="Z27" s="967"/>
      <c r="AB27" s="280" t="str" cm="1">
        <f t="array" ref="AB27">INDEX('Общие сведения'!$AG$179:$AG$236,MATCH($X27,'Общие сведения'!$Z$179:$Z$236,0))</f>
        <v xml:space="preserve">Тариф 0 () - </v>
      </c>
      <c r="AC27" s="280"/>
      <c r="AD27" s="280"/>
      <c r="AE27" s="280"/>
      <c r="AF27" s="280"/>
      <c r="AG27" s="280"/>
      <c r="AH27" s="280"/>
    </row>
    <row r="28" spans="1:43" s="154" customFormat="1" ht="43.9" hidden="1" customHeight="1" x14ac:dyDescent="0.15">
      <c r="B28" s="328"/>
      <c r="E28" s="501">
        <v>45</v>
      </c>
      <c r="F28" s="3" cm="1">
        <f t="array" aca="1" ref="F28" ca="1">OFFSET(E28,-1,1)</f>
        <v>0</v>
      </c>
      <c r="G28" s="375"/>
      <c r="I28" s="38" t="s">
        <v>331</v>
      </c>
      <c r="K28" s="40"/>
      <c r="L28" s="612"/>
      <c r="M28" s="375"/>
      <c r="T28" s="353" t="b" cm="1">
        <f t="array" ref="T28">T27</f>
        <v>0</v>
      </c>
      <c r="X28" s="990"/>
      <c r="Z28" s="967"/>
      <c r="AB28" s="566" t="s">
        <v>1425</v>
      </c>
      <c r="AC28" s="567" t="s">
        <v>1426</v>
      </c>
      <c r="AD28" s="566" t="s">
        <v>1427</v>
      </c>
      <c r="AE28" s="568" t="s">
        <v>828</v>
      </c>
      <c r="AF28" s="569">
        <f ca="1">AF30-AF29</f>
        <v>0</v>
      </c>
      <c r="AG28" s="569">
        <f ca="1">AG30-AG29</f>
        <v>0</v>
      </c>
      <c r="AH28" s="859"/>
      <c r="AL28" s="688" t="s">
        <v>1428</v>
      </c>
    </row>
    <row r="29" spans="1:43" s="154" customFormat="1" ht="14.65" hidden="1" customHeight="1" x14ac:dyDescent="0.15">
      <c r="B29" s="328"/>
      <c r="E29" s="501">
        <v>15</v>
      </c>
      <c r="F29" s="3" cm="1">
        <f t="array" aca="1" ref="F29" ca="1">OFFSET(E29,-1,1)</f>
        <v>0</v>
      </c>
      <c r="G29" s="375"/>
      <c r="I29" s="38" t="s">
        <v>482</v>
      </c>
      <c r="K29" s="375"/>
      <c r="L29" s="375"/>
      <c r="M29" s="375"/>
      <c r="T29" s="353" t="b" cm="1">
        <f t="array" ref="T29">T28</f>
        <v>0</v>
      </c>
      <c r="X29" s="990"/>
      <c r="Z29" s="967"/>
      <c r="AB29" s="131" t="s">
        <v>275</v>
      </c>
      <c r="AC29" s="132" t="s">
        <v>1429</v>
      </c>
      <c r="AD29" s="124" t="s">
        <v>1430</v>
      </c>
      <c r="AE29" s="147" t="s">
        <v>828</v>
      </c>
      <c r="AF29" s="860"/>
      <c r="AG29" s="860"/>
      <c r="AH29" s="859"/>
      <c r="AL29" s="688" t="s">
        <v>1431</v>
      </c>
    </row>
    <row r="30" spans="1:43" s="154" customFormat="1" ht="14.65" hidden="1" customHeight="1" x14ac:dyDescent="0.15">
      <c r="B30" s="328"/>
      <c r="E30" s="501">
        <v>15</v>
      </c>
      <c r="F30" s="3" cm="1">
        <f t="array" aca="1" ref="F30" ca="1">OFFSET(E30,-1,1)</f>
        <v>0</v>
      </c>
      <c r="G30" s="63"/>
      <c r="H30" s="63"/>
      <c r="I30" s="22" t="s">
        <v>486</v>
      </c>
      <c r="K30" s="375"/>
      <c r="L30" s="375"/>
      <c r="M30" s="375"/>
      <c r="T30" s="353" t="b" cm="1">
        <f t="array" ref="T30">T29</f>
        <v>0</v>
      </c>
      <c r="X30" s="990"/>
      <c r="Z30" s="967"/>
      <c r="AB30" s="131" t="s">
        <v>285</v>
      </c>
      <c r="AC30" s="125" t="s">
        <v>1432</v>
      </c>
      <c r="AD30" s="124" t="s">
        <v>1433</v>
      </c>
      <c r="AE30" s="147" t="s">
        <v>828</v>
      </c>
      <c r="AF30" s="569">
        <f ca="1">AF31+AF32+AF44+AF48+AF49+AF50+AF51+AF55+AF56+AF57+AF58+AF61+AF62</f>
        <v>0</v>
      </c>
      <c r="AG30" s="569">
        <f ca="1">AG31+AG32+AG44+AG48+AG49+AG50+AG51+AG55+AG56+AG57+AG58+AG61+AG62</f>
        <v>0</v>
      </c>
      <c r="AH30" s="859"/>
      <c r="AL30" s="688" t="s">
        <v>1434</v>
      </c>
    </row>
    <row r="31" spans="1:43" ht="21.95" hidden="1" customHeight="1" x14ac:dyDescent="0.15">
      <c r="E31" s="448">
        <v>22.5</v>
      </c>
      <c r="F31" s="3" cm="1">
        <f t="array" aca="1" ref="F31" ca="1">OFFSET(E31,-1,1)</f>
        <v>0</v>
      </c>
      <c r="G31" s="22" t="s">
        <v>1435</v>
      </c>
      <c r="H31" s="4"/>
      <c r="I31" s="22" t="s">
        <v>1344</v>
      </c>
      <c r="K31" s="40"/>
      <c r="L31" s="40"/>
      <c r="M31" s="40"/>
      <c r="T31" s="353" t="b" cm="1">
        <f t="array" ref="T31">T30</f>
        <v>0</v>
      </c>
      <c r="X31" s="990"/>
      <c r="Z31" s="967"/>
      <c r="AB31" s="133" t="s">
        <v>561</v>
      </c>
      <c r="AC31" s="127" t="s">
        <v>1436</v>
      </c>
      <c r="AD31" s="7" t="s">
        <v>1437</v>
      </c>
      <c r="AE31" s="9" t="s">
        <v>828</v>
      </c>
      <c r="AF31" s="781"/>
      <c r="AG31" s="781"/>
      <c r="AH31" s="819"/>
      <c r="AL31" s="656" t="s">
        <v>1438</v>
      </c>
    </row>
    <row r="32" spans="1:43" ht="21.95" hidden="1" customHeight="1" x14ac:dyDescent="0.15">
      <c r="E32" s="448">
        <v>22.5</v>
      </c>
      <c r="F32" s="3" cm="1">
        <f t="array" aca="1" ref="F32" ca="1">OFFSET(E32,-1,1)</f>
        <v>0</v>
      </c>
      <c r="G32" s="22"/>
      <c r="H32" s="4"/>
      <c r="I32" s="22" t="s">
        <v>1347</v>
      </c>
      <c r="K32" s="40"/>
      <c r="L32" s="40"/>
      <c r="M32" s="40"/>
      <c r="T32" s="353" t="b" cm="1">
        <f t="array" ref="T32">T31</f>
        <v>0</v>
      </c>
      <c r="X32" s="990"/>
      <c r="Z32" s="967"/>
      <c r="AB32" s="133" t="s">
        <v>565</v>
      </c>
      <c r="AC32" s="127" t="s">
        <v>1439</v>
      </c>
      <c r="AD32" s="7" t="s">
        <v>1440</v>
      </c>
      <c r="AE32" s="9" t="s">
        <v>828</v>
      </c>
      <c r="AF32" s="620">
        <f ca="1">SUM(AF33:AF43)</f>
        <v>0</v>
      </c>
      <c r="AG32" s="620">
        <f ca="1">SUM(AG33:AG43)</f>
        <v>0</v>
      </c>
      <c r="AH32" s="819"/>
      <c r="AL32" s="656" t="s">
        <v>1441</v>
      </c>
    </row>
    <row r="33" spans="5:38" ht="21.95" hidden="1" customHeight="1" x14ac:dyDescent="0.15">
      <c r="E33" s="448">
        <v>22.5</v>
      </c>
      <c r="F33" s="3" cm="1">
        <f t="array" aca="1" ref="F33" ca="1">OFFSET(E33,-1,1)</f>
        <v>0</v>
      </c>
      <c r="G33" s="22"/>
      <c r="H33" s="4"/>
      <c r="I33" s="22" t="s">
        <v>1442</v>
      </c>
      <c r="K33" s="40"/>
      <c r="L33" s="40"/>
      <c r="M33" s="40"/>
      <c r="T33" s="353" t="b" cm="1">
        <f t="array" ref="T33">T32</f>
        <v>0</v>
      </c>
      <c r="X33" s="990"/>
      <c r="Z33" s="967"/>
      <c r="AB33" s="551" t="s">
        <v>514</v>
      </c>
      <c r="AC33" s="549" t="s">
        <v>1443</v>
      </c>
      <c r="AD33" s="9"/>
      <c r="AE33" s="9" t="s">
        <v>828</v>
      </c>
      <c r="AF33" s="781">
        <f ca="1">SUMIFS(Покупка!$AF$25:$AF$150,Покупка!$F$25:$F$150,$F33,Покупка!$G$25:$G$150,"Итого")</f>
        <v>0</v>
      </c>
      <c r="AG33" s="781">
        <f ca="1">SUMIFS(Покупка!$AG$25:$AG$150,Покупка!$F$25:$F$150,$F33,Покупка!$G$25:$G$150,"Итого")</f>
        <v>0</v>
      </c>
      <c r="AH33" s="819"/>
      <c r="AL33" s="656" t="s">
        <v>1444</v>
      </c>
    </row>
    <row r="34" spans="5:38" ht="14.65" hidden="1" customHeight="1" x14ac:dyDescent="0.15">
      <c r="E34" s="448">
        <v>15</v>
      </c>
      <c r="F34" s="3" cm="1">
        <f t="array" aca="1" ref="F34" ca="1">OFFSET(E34,-1,1)</f>
        <v>0</v>
      </c>
      <c r="G34" s="22"/>
      <c r="H34" s="4"/>
      <c r="I34" s="22" t="s">
        <v>1445</v>
      </c>
      <c r="K34" s="40"/>
      <c r="L34" s="40"/>
      <c r="M34" s="40"/>
      <c r="T34" s="353" t="b" cm="1">
        <f t="array" ref="T34">T33</f>
        <v>0</v>
      </c>
      <c r="X34" s="990"/>
      <c r="Z34" s="967"/>
      <c r="AB34" s="551" t="s">
        <v>1446</v>
      </c>
      <c r="AC34" s="549" t="s">
        <v>1447</v>
      </c>
      <c r="AD34" s="9"/>
      <c r="AE34" s="9" t="s">
        <v>828</v>
      </c>
      <c r="AF34" s="781"/>
      <c r="AG34" s="781">
        <f ca="1">SUMIFS('Сырье и материалы'!AG$25:AG$49,'Сырье и материалы'!$F$25:$F$49,$F34,'Сырье и материалы'!$AC$25:$AC$49,"Всего по тарифу")</f>
        <v>0</v>
      </c>
      <c r="AH34" s="819"/>
      <c r="AL34" s="656" t="s">
        <v>1448</v>
      </c>
    </row>
    <row r="35" spans="5:38" ht="14.65" hidden="1" customHeight="1" x14ac:dyDescent="0.15">
      <c r="E35" s="448">
        <v>15</v>
      </c>
      <c r="F35" s="3" cm="1">
        <f t="array" aca="1" ref="F35" ca="1">OFFSET(E35,-1,1)</f>
        <v>0</v>
      </c>
      <c r="G35" s="22"/>
      <c r="H35" s="4"/>
      <c r="I35" s="22" t="s">
        <v>1449</v>
      </c>
      <c r="K35" s="40"/>
      <c r="L35" s="40"/>
      <c r="M35" s="40"/>
      <c r="T35" s="353" t="b" cm="1">
        <f t="array" ref="T35">T34</f>
        <v>0</v>
      </c>
      <c r="X35" s="990"/>
      <c r="Z35" s="967"/>
      <c r="AB35" s="551" t="s">
        <v>1450</v>
      </c>
      <c r="AC35" s="549" t="s">
        <v>1451</v>
      </c>
      <c r="AD35" s="9"/>
      <c r="AE35" s="9" t="s">
        <v>828</v>
      </c>
      <c r="AF35" s="781">
        <f ca="1">SUMIFS(Налоги!AF$25:AF$83,Налоги!$F$25:$F$83,$F35,Налоги!$AB$25:$AB$83,"0")</f>
        <v>0</v>
      </c>
      <c r="AG35" s="781">
        <f ca="1">SUMIFS(Налоги!AG$25:AG$83,Налоги!$F$25:$F$83,$F35,Налоги!$AB$25:$AB$83,"0")</f>
        <v>0</v>
      </c>
      <c r="AH35" s="819"/>
      <c r="AL35" s="656" t="s">
        <v>1452</v>
      </c>
    </row>
    <row r="36" spans="5:38" ht="65.849999999999994" hidden="1" customHeight="1" x14ac:dyDescent="0.15">
      <c r="E36" s="448">
        <v>67.5</v>
      </c>
      <c r="F36" s="3" cm="1">
        <f t="array" aca="1" ref="F36" ca="1">OFFSET(E36,-1,1)</f>
        <v>0</v>
      </c>
      <c r="G36" s="25" t="s">
        <v>1453</v>
      </c>
      <c r="H36" s="4"/>
      <c r="I36" s="59" t="s">
        <v>1454</v>
      </c>
      <c r="K36" s="40"/>
      <c r="L36" s="40"/>
      <c r="M36" s="40"/>
      <c r="T36" s="353" t="b" cm="1">
        <f t="array" ref="T36">T35</f>
        <v>0</v>
      </c>
      <c r="X36" s="990"/>
      <c r="Z36" s="967"/>
      <c r="AB36" s="551" t="s">
        <v>1455</v>
      </c>
      <c r="AC36" s="549" t="s">
        <v>1456</v>
      </c>
      <c r="AD36" s="9"/>
      <c r="AE36" s="9" t="s">
        <v>828</v>
      </c>
      <c r="AF36" s="781"/>
      <c r="AG36" s="781">
        <f ca="1">IF(AND(method_reg="Метод индексации",first_year=god),SUMIFS('Калькуляция (МИ)'!$AG$25:$AG$603,'Калькуляция (МИ)'!$F$25:$F$603,$F36,'Калькуляция (МИ)'!$G$25:$G$603,$G36),SUMIFS('Калькуляция (МИ корр)'!$AG$25:$AG$603,'Калькуляция (МИ корр)'!$F$25:$F$603,$F36,'Калькуляция (МИ корр)'!$G$25:$G$603,$G36))</f>
        <v>0</v>
      </c>
      <c r="AH36" s="819"/>
      <c r="AL36" s="656" t="s">
        <v>1457</v>
      </c>
    </row>
    <row r="37" spans="5:38" ht="14.65" hidden="1" customHeight="1" x14ac:dyDescent="0.15">
      <c r="E37" s="448">
        <v>15</v>
      </c>
      <c r="F37" s="3" cm="1">
        <f t="array" aca="1" ref="F37" ca="1">OFFSET(E37,-1,1)</f>
        <v>0</v>
      </c>
      <c r="G37" s="25" t="s">
        <v>1065</v>
      </c>
      <c r="H37" s="4"/>
      <c r="I37" s="59" t="s">
        <v>1458</v>
      </c>
      <c r="K37" s="40"/>
      <c r="L37" s="40"/>
      <c r="M37" s="40"/>
      <c r="T37" s="353" t="b" cm="1">
        <f t="array" ref="T37">T36</f>
        <v>0</v>
      </c>
      <c r="X37" s="990"/>
      <c r="Z37" s="967"/>
      <c r="AB37" s="551" t="s">
        <v>1459</v>
      </c>
      <c r="AC37" s="549" t="s">
        <v>1460</v>
      </c>
      <c r="AD37" s="9"/>
      <c r="AE37" s="9" t="s">
        <v>828</v>
      </c>
      <c r="AF37" s="781"/>
      <c r="AG37" s="781">
        <f ca="1">IF(AND(method_reg="Метод индексации",first_year=god),SUMIFS('Калькуляция (МИ)'!$AG$25:$AG$603,'Калькуляция (МИ)'!$F$25:$F$603,$F37,'Калькуляция (МИ)'!$G$25:$G$603,$G37),SUMIFS('Калькуляция (МИ корр)'!$AG$25:$AG$603,'Калькуляция (МИ корр)'!$F$25:$F$603,$F37,'Калькуляция (МИ корр)'!$G$25:$G$603,$G37))</f>
        <v>0</v>
      </c>
      <c r="AH37" s="819"/>
      <c r="AL37" s="656" t="s">
        <v>1461</v>
      </c>
    </row>
    <row r="38" spans="5:38" ht="14.65" hidden="1" customHeight="1" x14ac:dyDescent="0.15">
      <c r="E38" s="448">
        <v>15</v>
      </c>
      <c r="F38" s="3" cm="1">
        <f t="array" aca="1" ref="F38" ca="1">OFFSET(E38,-1,1)</f>
        <v>0</v>
      </c>
      <c r="G38" s="25" t="s">
        <v>1462</v>
      </c>
      <c r="H38" s="4"/>
      <c r="I38" s="59" t="s">
        <v>1463</v>
      </c>
      <c r="K38" s="40"/>
      <c r="L38" s="40"/>
      <c r="M38" s="40"/>
      <c r="T38" s="353" t="b" cm="1">
        <f t="array" ref="T38">T37</f>
        <v>0</v>
      </c>
      <c r="X38" s="990"/>
      <c r="Z38" s="967"/>
      <c r="AB38" s="551" t="s">
        <v>1464</v>
      </c>
      <c r="AC38" s="549" t="s">
        <v>1465</v>
      </c>
      <c r="AD38" s="9"/>
      <c r="AE38" s="9" t="s">
        <v>828</v>
      </c>
      <c r="AF38" s="781"/>
      <c r="AG38" s="781">
        <f ca="1">IF(AND(method_reg="Метод индексации",first_year=god),SUMIFS('Калькуляция (МИ)'!$AG$25:$AG$603,'Калькуляция (МИ)'!$F$25:$F$603,$F38,'Калькуляция (МИ)'!$G$25:$G$603,$G38),SUMIFS('Калькуляция (МИ корр)'!$AG$25:$AG$603,'Калькуляция (МИ корр)'!$F$25:$F$603,$F38,'Калькуляция (МИ корр)'!$G$25:$G$603,$G38))</f>
        <v>0</v>
      </c>
      <c r="AH38" s="819"/>
      <c r="AL38" s="656" t="s">
        <v>1466</v>
      </c>
    </row>
    <row r="39" spans="5:38" ht="21.95" hidden="1" customHeight="1" x14ac:dyDescent="0.15">
      <c r="E39" s="448">
        <v>22.5</v>
      </c>
      <c r="F39" s="3" cm="1">
        <f t="array" aca="1" ref="F39" ca="1">OFFSET(E39,-1,1)</f>
        <v>0</v>
      </c>
      <c r="G39" s="25" t="s">
        <v>1467</v>
      </c>
      <c r="H39" s="4"/>
      <c r="I39" s="59" t="s">
        <v>1468</v>
      </c>
      <c r="K39" s="40"/>
      <c r="L39" s="40"/>
      <c r="M39" s="40"/>
      <c r="T39" s="353" t="b" cm="1">
        <f t="array" ref="T39">T38</f>
        <v>0</v>
      </c>
      <c r="X39" s="990"/>
      <c r="Z39" s="967"/>
      <c r="AB39" s="551" t="s">
        <v>1469</v>
      </c>
      <c r="AC39" s="549" t="s">
        <v>1470</v>
      </c>
      <c r="AD39" s="9"/>
      <c r="AE39" s="9" t="s">
        <v>828</v>
      </c>
      <c r="AF39" s="781"/>
      <c r="AG39" s="781">
        <f ca="1">IF(AND(method_reg="Метод индексации",first_year=god),SUMIFS('Калькуляция (МИ)'!$AG$25:$AG$603,'Калькуляция (МИ)'!$F$25:$F$603,$F39,'Калькуляция (МИ)'!$G$25:$G$603,$G39),SUMIFS('Калькуляция (МИ корр)'!$AG$25:$AG$603,'Калькуляция (МИ корр)'!$F$25:$F$603,$F39,'Калькуляция (МИ корр)'!$G$25:$G$603,$G39))</f>
        <v>0</v>
      </c>
      <c r="AH39" s="819"/>
      <c r="AL39" s="656" t="s">
        <v>1471</v>
      </c>
    </row>
    <row r="40" spans="5:38" ht="21.95" hidden="1" customHeight="1" x14ac:dyDescent="0.15">
      <c r="E40" s="448">
        <v>22.5</v>
      </c>
      <c r="F40" s="3" cm="1">
        <f t="array" aca="1" ref="F40" ca="1">OFFSET(E40,-1,1)</f>
        <v>0</v>
      </c>
      <c r="G40" s="25" t="s">
        <v>1472</v>
      </c>
      <c r="H40" s="4"/>
      <c r="I40" s="59" t="s">
        <v>1473</v>
      </c>
      <c r="K40" s="40"/>
      <c r="L40" s="40"/>
      <c r="M40" s="40"/>
      <c r="T40" s="353" t="b" cm="1">
        <f t="array" ref="T40">T39</f>
        <v>0</v>
      </c>
      <c r="X40" s="990"/>
      <c r="Z40" s="967"/>
      <c r="AB40" s="551" t="s">
        <v>1474</v>
      </c>
      <c r="AC40" s="549" t="s">
        <v>1475</v>
      </c>
      <c r="AD40" s="621"/>
      <c r="AE40" s="9" t="s">
        <v>828</v>
      </c>
      <c r="AF40" s="781"/>
      <c r="AG40" s="781">
        <f ca="1">IF(AND(method_reg="Метод индексации",first_year=god),SUMIFS('Калькуляция (МИ)'!$AG$25:$AG$603,'Калькуляция (МИ)'!$F$25:$F$603,$F40,'Калькуляция (МИ)'!$G$25:$G$603,$G40),SUMIFS('Калькуляция (МИ корр)'!$AG$25:$AG$603,'Калькуляция (МИ корр)'!$F$25:$F$603,$F40,'Калькуляция (МИ корр)'!$G$25:$G$603,$G40))</f>
        <v>0</v>
      </c>
      <c r="AH40" s="819"/>
      <c r="AL40" s="656" t="s">
        <v>1476</v>
      </c>
    </row>
    <row r="41" spans="5:38" ht="21.95" hidden="1" customHeight="1" x14ac:dyDescent="0.15">
      <c r="E41" s="448">
        <v>22.5</v>
      </c>
      <c r="F41" s="3" cm="1">
        <f t="array" aca="1" ref="F41" ca="1">OFFSET(E41,-1,1)</f>
        <v>0</v>
      </c>
      <c r="G41" s="25" t="s">
        <v>1477</v>
      </c>
      <c r="H41" s="4"/>
      <c r="I41" s="59" t="s">
        <v>1478</v>
      </c>
      <c r="K41" s="40"/>
      <c r="L41" s="40"/>
      <c r="M41" s="40"/>
      <c r="T41" s="353" t="b" cm="1">
        <f t="array" ref="T41">T40</f>
        <v>0</v>
      </c>
      <c r="X41" s="990"/>
      <c r="Z41" s="967"/>
      <c r="AB41" s="551" t="s">
        <v>1479</v>
      </c>
      <c r="AC41" s="549" t="s">
        <v>1480</v>
      </c>
      <c r="AD41" s="621"/>
      <c r="AE41" s="9" t="s">
        <v>828</v>
      </c>
      <c r="AF41" s="781"/>
      <c r="AG41" s="781">
        <f ca="1">IF(AND(method_reg="Метод индексации",first_year=god),SUMIFS('Калькуляция (МИ)'!$AG$25:$AG$603,'Калькуляция (МИ)'!$F$25:$F$603,$F41,'Калькуляция (МИ)'!$G$25:$G$603,$G41),SUMIFS('Калькуляция (МИ корр)'!$AG$25:$AG$603,'Калькуляция (МИ корр)'!$F$25:$F$603,$F41,'Калькуляция (МИ корр)'!$G$25:$G$603,$G41))</f>
        <v>0</v>
      </c>
      <c r="AH41" s="819"/>
      <c r="AL41" s="656" t="s">
        <v>1481</v>
      </c>
    </row>
    <row r="42" spans="5:38" ht="14.65" hidden="1" customHeight="1" x14ac:dyDescent="0.15">
      <c r="E42" s="448">
        <v>15</v>
      </c>
      <c r="F42" s="3" cm="1">
        <f t="array" aca="1" ref="F42" ca="1">OFFSET(E42,-1,1)</f>
        <v>0</v>
      </c>
      <c r="G42" s="25" t="s">
        <v>1482</v>
      </c>
      <c r="H42" s="4"/>
      <c r="I42" s="59" t="s">
        <v>1483</v>
      </c>
      <c r="K42" s="40"/>
      <c r="L42" s="40"/>
      <c r="M42" s="40"/>
      <c r="T42" s="353" t="b" cm="1">
        <f t="array" ref="T42">T41</f>
        <v>0</v>
      </c>
      <c r="X42" s="990"/>
      <c r="Z42" s="967"/>
      <c r="AB42" s="551" t="s">
        <v>1484</v>
      </c>
      <c r="AC42" s="549" t="s">
        <v>1485</v>
      </c>
      <c r="AD42" s="621"/>
      <c r="AE42" s="9" t="s">
        <v>828</v>
      </c>
      <c r="AF42" s="781"/>
      <c r="AG42" s="781">
        <f ca="1">IF(AND(method_reg="Метод индексации",first_year=god),SUMIFS('Калькуляция (МИ)'!$AG$25:$AG$603,'Калькуляция (МИ)'!$F$25:$F$603,$F42,'Калькуляция (МИ)'!$G$25:$G$603,$G42),SUMIFS('Калькуляция (МИ корр)'!$AG$25:$AG$603,'Калькуляция (МИ корр)'!$F$25:$F$603,$F42,'Калькуляция (МИ корр)'!$G$25:$G$603,$G42))</f>
        <v>0</v>
      </c>
      <c r="AH42" s="819"/>
      <c r="AL42" s="656" t="s">
        <v>1486</v>
      </c>
    </row>
    <row r="43" spans="5:38" ht="21.95" hidden="1" customHeight="1" x14ac:dyDescent="0.15">
      <c r="E43" s="448">
        <v>22.5</v>
      </c>
      <c r="F43" s="3" cm="1">
        <f t="array" aca="1" ref="F43" ca="1">OFFSET(E43,-1,1)</f>
        <v>0</v>
      </c>
      <c r="G43" s="25" t="s">
        <v>1487</v>
      </c>
      <c r="H43" s="4"/>
      <c r="I43" s="59" t="s">
        <v>1488</v>
      </c>
      <c r="K43" s="40"/>
      <c r="L43" s="40"/>
      <c r="M43" s="40"/>
      <c r="T43" s="353" t="b" cm="1">
        <f t="array" ref="T43">T42</f>
        <v>0</v>
      </c>
      <c r="X43" s="990"/>
      <c r="Z43" s="967"/>
      <c r="AB43" s="551" t="s">
        <v>1489</v>
      </c>
      <c r="AC43" s="549" t="s">
        <v>1490</v>
      </c>
      <c r="AD43" s="621"/>
      <c r="AE43" s="9" t="s">
        <v>828</v>
      </c>
      <c r="AF43" s="781"/>
      <c r="AG43" s="781">
        <f ca="1">IF(AND(method_reg="Метод индексации",first_year=god),SUMIFS('Калькуляция (МИ)'!$AG$25:$AG$603,'Калькуляция (МИ)'!$F$25:$F$603,$F43,'Калькуляция (МИ)'!$G$25:$G$603,$G43),SUMIFS('Калькуляция (МИ корр)'!$AG$25:$AG$603,'Калькуляция (МИ корр)'!$F$25:$F$603,$F43,'Калькуляция (МИ корр)'!$G$25:$G$603,$G43))</f>
        <v>0</v>
      </c>
      <c r="AH43" s="819"/>
      <c r="AL43" s="656" t="s">
        <v>1491</v>
      </c>
    </row>
    <row r="44" spans="5:38" ht="14.65" hidden="1" customHeight="1" x14ac:dyDescent="0.15">
      <c r="E44" s="448">
        <v>15</v>
      </c>
      <c r="F44" s="3" cm="1">
        <f t="array" aca="1" ref="F44" ca="1">OFFSET(E44,-1,1)</f>
        <v>0</v>
      </c>
      <c r="G44" s="22"/>
      <c r="H44" s="4"/>
      <c r="I44" s="22" t="s">
        <v>1351</v>
      </c>
      <c r="K44" s="40"/>
      <c r="L44" s="40"/>
      <c r="M44" s="40"/>
      <c r="T44" s="353" t="b" cm="1">
        <f t="array" ref="T44">T43</f>
        <v>0</v>
      </c>
      <c r="X44" s="990"/>
      <c r="Z44" s="967"/>
      <c r="AB44" s="133" t="s">
        <v>569</v>
      </c>
      <c r="AC44" s="127" t="s">
        <v>1492</v>
      </c>
      <c r="AD44" s="7" t="s">
        <v>1493</v>
      </c>
      <c r="AE44" s="9" t="s">
        <v>828</v>
      </c>
      <c r="AF44" s="781">
        <f>AF45*AF46*AF47</f>
        <v>0</v>
      </c>
      <c r="AG44" s="781">
        <f ca="1">AG45*AG46*AG47</f>
        <v>0</v>
      </c>
      <c r="AH44" s="819"/>
      <c r="AL44" s="656" t="s">
        <v>1494</v>
      </c>
    </row>
    <row r="45" spans="5:38" ht="21.95" hidden="1" customHeight="1" x14ac:dyDescent="0.15">
      <c r="E45" s="448">
        <v>22.5</v>
      </c>
      <c r="F45" s="3" cm="1">
        <f t="array" aca="1" ref="F45" ca="1">OFFSET(E45,-1,1)</f>
        <v>0</v>
      </c>
      <c r="G45" s="22"/>
      <c r="H45" s="4"/>
      <c r="I45" s="22" t="s">
        <v>1495</v>
      </c>
      <c r="K45" s="40"/>
      <c r="L45" s="40"/>
      <c r="M45" s="40"/>
      <c r="T45" s="353" t="b" cm="1">
        <f t="array" ref="T45">T44</f>
        <v>0</v>
      </c>
      <c r="X45" s="990"/>
      <c r="Z45" s="967"/>
      <c r="AB45" s="133" t="s">
        <v>519</v>
      </c>
      <c r="AC45" s="134" t="s">
        <v>1496</v>
      </c>
      <c r="AD45" s="7" t="s">
        <v>1497</v>
      </c>
      <c r="AE45" s="9" t="s">
        <v>888</v>
      </c>
      <c r="AF45" s="781"/>
      <c r="AG45" s="781">
        <f ca="1">SUMIFS(ЭЭ!AG$25:AG$116,ЭЭ!$F$25:$F$116,$F45,ЭЭ!$AC$25:$AC$116,"Удельный расход электроэнергии")</f>
        <v>0</v>
      </c>
      <c r="AH45" s="819"/>
      <c r="AL45" s="656" t="s">
        <v>1498</v>
      </c>
    </row>
    <row r="46" spans="5:38" ht="14.65" hidden="1" customHeight="1" x14ac:dyDescent="0.15">
      <c r="E46" s="448">
        <v>15</v>
      </c>
      <c r="F46" s="3" cm="1">
        <f t="array" aca="1" ref="F46" ca="1">OFFSET(E46,-1,1)</f>
        <v>0</v>
      </c>
      <c r="G46" s="22"/>
      <c r="H46" s="4"/>
      <c r="I46" s="22" t="s">
        <v>1499</v>
      </c>
      <c r="K46" s="40"/>
      <c r="L46" s="40"/>
      <c r="M46" s="40"/>
      <c r="T46" s="353" t="b" cm="1">
        <f t="array" ref="T46">T45</f>
        <v>0</v>
      </c>
      <c r="X46" s="990"/>
      <c r="Z46" s="967"/>
      <c r="AB46" s="133" t="s">
        <v>1500</v>
      </c>
      <c r="AC46" s="134" t="s">
        <v>1501</v>
      </c>
      <c r="AD46" s="7" t="s">
        <v>1502</v>
      </c>
      <c r="AE46" s="9" t="s">
        <v>882</v>
      </c>
      <c r="AF46" s="781"/>
      <c r="AG46" s="781">
        <f ca="1">SUMIFS(ЭЭ!AG$25:AG$116,ЭЭ!$F$25:$F$116,$F45,ЭЭ!$AC$25:$AC$116,"Объём воды/сточных вод")</f>
        <v>0</v>
      </c>
      <c r="AH46" s="819"/>
      <c r="AL46" s="656" t="s">
        <v>1503</v>
      </c>
    </row>
    <row r="47" spans="5:38" ht="21.95" hidden="1" customHeight="1" x14ac:dyDescent="0.15">
      <c r="E47" s="448">
        <v>22.5</v>
      </c>
      <c r="F47" s="3" cm="1">
        <f t="array" aca="1" ref="F47" ca="1">OFFSET(E47,-1,1)</f>
        <v>0</v>
      </c>
      <c r="G47" s="22"/>
      <c r="H47" s="4"/>
      <c r="I47" s="22" t="s">
        <v>1504</v>
      </c>
      <c r="K47" s="40"/>
      <c r="L47" s="40"/>
      <c r="M47" s="40"/>
      <c r="T47" s="353" t="b" cm="1">
        <f t="array" ref="T47">T46</f>
        <v>0</v>
      </c>
      <c r="X47" s="990"/>
      <c r="Z47" s="967"/>
      <c r="AB47" s="133" t="s">
        <v>1505</v>
      </c>
      <c r="AC47" s="134" t="s">
        <v>1506</v>
      </c>
      <c r="AD47" s="7" t="s">
        <v>1507</v>
      </c>
      <c r="AE47" s="9" t="s">
        <v>885</v>
      </c>
      <c r="AF47" s="781"/>
      <c r="AG47" s="781">
        <f ca="1">SUMIFS(ЭЭ!AG$25:AG$116,ЭЭ!$F$25:$F$116,$F45,ЭЭ!$AC$25:$AC$116,"Средний (расчетный) тариф")</f>
        <v>0</v>
      </c>
      <c r="AH47" s="819"/>
      <c r="AL47" s="656" t="s">
        <v>1508</v>
      </c>
    </row>
    <row r="48" spans="5:38" ht="21.95" hidden="1" customHeight="1" x14ac:dyDescent="0.15">
      <c r="E48" s="448">
        <v>22.5</v>
      </c>
      <c r="F48" s="3" cm="1">
        <f t="array" aca="1" ref="F48" ca="1">OFFSET(E48,-1,1)</f>
        <v>0</v>
      </c>
      <c r="G48" s="22" t="s">
        <v>1509</v>
      </c>
      <c r="H48" s="4"/>
      <c r="I48" s="22" t="s">
        <v>1510</v>
      </c>
      <c r="K48" s="40"/>
      <c r="L48" s="40"/>
      <c r="M48" s="40"/>
      <c r="T48" s="353" t="b" cm="1">
        <f t="array" ref="T48">T47</f>
        <v>0</v>
      </c>
      <c r="X48" s="990"/>
      <c r="Z48" s="967"/>
      <c r="AB48" s="133" t="s">
        <v>962</v>
      </c>
      <c r="AC48" s="127" t="s">
        <v>1511</v>
      </c>
      <c r="AD48" s="7" t="s">
        <v>1512</v>
      </c>
      <c r="AE48" s="9" t="s">
        <v>828</v>
      </c>
      <c r="AF48" s="781"/>
      <c r="AG48" s="781">
        <f ca="1">IF(AND(method_reg="Метод индексации",first_year=god),SUMIFS('Калькуляция (МИ)'!$AG$25:$AG$603,'Калькуляция (МИ)'!$F$25:$F$603,$F48,'Калькуляция (МИ)'!$G$25:$G$603,$G48),SUMIFS('Калькуляция (МИ корр)'!$AG$25:$AG$603,'Калькуляция (МИ корр)'!$F$25:$F$603,$F48,'Калькуляция (МИ корр)'!$G$25:$G$603,$G48))</f>
        <v>0</v>
      </c>
      <c r="AH48" s="819"/>
      <c r="AL48" s="656" t="s">
        <v>1247</v>
      </c>
    </row>
    <row r="49" spans="2:38" ht="14.65" hidden="1" customHeight="1" x14ac:dyDescent="0.15">
      <c r="E49" s="448">
        <v>15</v>
      </c>
      <c r="F49" s="3" cm="1">
        <f t="array" aca="1" ref="F49" ca="1">OFFSET(E49,-1,1)</f>
        <v>0</v>
      </c>
      <c r="G49" s="22" t="s">
        <v>1513</v>
      </c>
      <c r="H49" s="4"/>
      <c r="I49" s="22" t="s">
        <v>1514</v>
      </c>
      <c r="K49" s="40"/>
      <c r="L49" s="40"/>
      <c r="M49" s="40"/>
      <c r="T49" s="353" t="b" cm="1">
        <f t="array" ref="T49">T48</f>
        <v>0</v>
      </c>
      <c r="X49" s="990"/>
      <c r="Z49" s="967"/>
      <c r="AB49" s="133" t="s">
        <v>965</v>
      </c>
      <c r="AC49" s="622" t="s">
        <v>1515</v>
      </c>
      <c r="AD49" s="7" t="s">
        <v>1516</v>
      </c>
      <c r="AE49" s="9" t="s">
        <v>828</v>
      </c>
      <c r="AF49" s="781"/>
      <c r="AG49" s="781">
        <f ca="1">IF(AND(method_reg="Метод индексации",first_year=god),SUMIFS('Калькуляция (МИ)'!$AE$25:$AE$603,'Калькуляция (МИ)'!$F$25:$F$603,$F49,'Калькуляция (МИ)'!$G$25:$G$603,"Нормативная прибыль")-SUMIFS('Калькуляция (МИ)'!$AE$25:$AE$603,'Калькуляция (МИ)'!$F$25:$F$603,$F49,'Калькуляция (МИ)'!$G$25:$G$603,"иные экономически обоснованные расходы на социальные нужды")+SUMIFS('Калькуляция (МИ)'!$AG$25:$AG$603,'Калькуляция (МИ)'!$F$25:$F$603,$F49,'Калькуляция (МИ)'!$G$25:$G$603,"иные экономически обоснованные расходы на социальные нужды"),SUMIFS('Калькуляция (МИ корр)'!$AE$25:$AE$603,'Калькуляция (МИ корр)'!$F$25:$F$603,$F49,'Калькуляция (МИ корр)'!$G$25:$G$603,"Нормативная прибыль")-SUMIFS('Калькуляция (МИ корр)'!$AE$25:$AE$603,'Калькуляция (МИ корр)'!$F$25:$F$603,$F49,'Калькуляция (МИ корр)'!$G$25:$G$603,"иные экономически обоснованные расходы на социальные нужды")+SUMIFS('Калькуляция (МИ корр)'!$AG$25:$AG$603,'Калькуляция (МИ корр)'!$F$25:$F$603,$F49,'Калькуляция (МИ корр)'!$G$25:$G$603,"иные экономически обоснованные расходы на социальные нужды"))</f>
        <v>0</v>
      </c>
      <c r="AH49" s="819"/>
      <c r="AL49" s="656" t="s">
        <v>1517</v>
      </c>
    </row>
    <row r="50" spans="2:38" ht="14.65" hidden="1" customHeight="1" x14ac:dyDescent="0.15">
      <c r="E50" s="448">
        <v>15</v>
      </c>
      <c r="F50" s="3" cm="1">
        <f t="array" aca="1" ref="F50" ca="1">OFFSET(E50,-1,1)</f>
        <v>0</v>
      </c>
      <c r="G50" s="25" t="s">
        <v>1518</v>
      </c>
      <c r="H50" s="4"/>
      <c r="I50" s="59" t="s">
        <v>1519</v>
      </c>
      <c r="K50" s="40"/>
      <c r="L50" s="40"/>
      <c r="M50" s="40"/>
      <c r="T50" s="353" t="b" cm="1">
        <f t="array" ref="T50">T49</f>
        <v>0</v>
      </c>
      <c r="X50" s="990"/>
      <c r="Z50" s="967"/>
      <c r="AB50" s="133" t="s">
        <v>1520</v>
      </c>
      <c r="AC50" s="127" t="s">
        <v>1521</v>
      </c>
      <c r="AD50" s="7" t="s">
        <v>1522</v>
      </c>
      <c r="AE50" s="9" t="s">
        <v>828</v>
      </c>
      <c r="AF50" s="781"/>
      <c r="AG50" s="781">
        <f ca="1">IF(AND(method_reg="Метод индексации",first_year=god),SUMIFS('Калькуляция (МИ)'!$AG$25:$AG$603,'Калькуляция (МИ)'!$F$25:$F$603,$F50,'Калькуляция (МИ)'!$G$25:$G$603,$G50),SUMIFS('Калькуляция (МИ корр)'!$AG$25:$AG$603,'Калькуляция (МИ корр)'!$F$25:$F$603,$F50,'Калькуляция (МИ корр)'!$G$25:$G$603,$G50))</f>
        <v>0</v>
      </c>
      <c r="AH50" s="819"/>
      <c r="AL50" s="656" t="s">
        <v>1523</v>
      </c>
    </row>
    <row r="51" spans="2:38" ht="21.95" hidden="1" customHeight="1" x14ac:dyDescent="0.15">
      <c r="E51" s="448">
        <v>22.5</v>
      </c>
      <c r="F51" s="3" cm="1">
        <f t="array" aca="1" ref="F51" ca="1">OFFSET(E51,-1,1)</f>
        <v>0</v>
      </c>
      <c r="G51" s="25"/>
      <c r="H51" s="4"/>
      <c r="I51" s="22" t="s">
        <v>1524</v>
      </c>
      <c r="K51" s="40"/>
      <c r="L51" s="40"/>
      <c r="M51" s="40"/>
      <c r="T51" s="353" t="b" cm="1">
        <f t="array" ref="T51">T50</f>
        <v>0</v>
      </c>
      <c r="X51" s="990"/>
      <c r="Z51" s="967"/>
      <c r="AB51" s="133" t="s">
        <v>1525</v>
      </c>
      <c r="AC51" s="127" t="s">
        <v>1526</v>
      </c>
      <c r="AD51" s="7"/>
      <c r="AE51" s="9" t="s">
        <v>828</v>
      </c>
      <c r="AF51" s="781">
        <f>AF52+AF53+AF54</f>
        <v>0</v>
      </c>
      <c r="AG51" s="781">
        <f>AG52+AG53+AG54</f>
        <v>0</v>
      </c>
      <c r="AH51" s="819"/>
      <c r="AL51" s="656" t="s">
        <v>1527</v>
      </c>
    </row>
    <row r="52" spans="2:38" ht="21.95" hidden="1" customHeight="1" x14ac:dyDescent="0.15">
      <c r="E52" s="448">
        <v>22.5</v>
      </c>
      <c r="F52" s="3" cm="1">
        <f t="array" aca="1" ref="F52" ca="1">OFFSET(E52,-1,1)</f>
        <v>0</v>
      </c>
      <c r="G52" s="22"/>
      <c r="H52" s="4"/>
      <c r="I52" s="22" t="s">
        <v>1528</v>
      </c>
      <c r="K52" s="40"/>
      <c r="L52" s="40"/>
      <c r="M52" s="40"/>
      <c r="T52" s="353" t="b" cm="1">
        <f t="array" ref="T52">T51</f>
        <v>0</v>
      </c>
      <c r="X52" s="990"/>
      <c r="Z52" s="967"/>
      <c r="AB52" s="133" t="s">
        <v>1529</v>
      </c>
      <c r="AC52" s="134" t="s">
        <v>1530</v>
      </c>
      <c r="AD52" s="7" t="s">
        <v>1531</v>
      </c>
      <c r="AE52" s="9" t="s">
        <v>828</v>
      </c>
      <c r="AF52" s="781"/>
      <c r="AG52" s="781"/>
      <c r="AH52" s="819"/>
      <c r="AL52" s="656" t="s">
        <v>1532</v>
      </c>
    </row>
    <row r="53" spans="2:38" ht="14.65" hidden="1" customHeight="1" x14ac:dyDescent="0.15">
      <c r="E53" s="448">
        <v>15</v>
      </c>
      <c r="F53" s="3" cm="1">
        <f t="array" aca="1" ref="F53" ca="1">OFFSET(E53,-1,1)</f>
        <v>0</v>
      </c>
      <c r="G53" s="22"/>
      <c r="H53" s="4"/>
      <c r="I53" s="22" t="s">
        <v>1533</v>
      </c>
      <c r="K53" s="40"/>
      <c r="L53" s="40"/>
      <c r="M53" s="40"/>
      <c r="T53" s="353" t="b" cm="1">
        <f t="array" ref="T53">T52</f>
        <v>0</v>
      </c>
      <c r="X53" s="990"/>
      <c r="Z53" s="967"/>
      <c r="AB53" s="133" t="s">
        <v>1534</v>
      </c>
      <c r="AC53" s="134" t="s">
        <v>1535</v>
      </c>
      <c r="AD53" s="7" t="s">
        <v>1536</v>
      </c>
      <c r="AE53" s="9" t="s">
        <v>828</v>
      </c>
      <c r="AF53" s="781"/>
      <c r="AG53" s="781"/>
      <c r="AH53" s="819"/>
      <c r="AL53" s="656" t="s">
        <v>1537</v>
      </c>
    </row>
    <row r="54" spans="2:38" ht="43.9" hidden="1" customHeight="1" x14ac:dyDescent="0.15">
      <c r="E54" s="448">
        <v>45</v>
      </c>
      <c r="F54" s="3" cm="1">
        <f t="array" aca="1" ref="F54" ca="1">OFFSET(E54,-1,1)</f>
        <v>0</v>
      </c>
      <c r="G54" s="22"/>
      <c r="H54" s="4"/>
      <c r="I54" s="22" t="s">
        <v>1538</v>
      </c>
      <c r="K54" s="40"/>
      <c r="L54" s="40"/>
      <c r="M54" s="40"/>
      <c r="T54" s="353" t="b" cm="1">
        <f t="array" ref="T54">T53</f>
        <v>0</v>
      </c>
      <c r="X54" s="990"/>
      <c r="Z54" s="967"/>
      <c r="AB54" s="133" t="s">
        <v>1539</v>
      </c>
      <c r="AC54" s="134" t="s">
        <v>1540</v>
      </c>
      <c r="AD54" s="9" t="s">
        <v>1541</v>
      </c>
      <c r="AE54" s="9" t="s">
        <v>828</v>
      </c>
      <c r="AF54" s="781"/>
      <c r="AG54" s="781"/>
      <c r="AH54" s="819"/>
      <c r="AL54" s="656" t="s">
        <v>1542</v>
      </c>
    </row>
    <row r="55" spans="2:38" ht="21.95" hidden="1" customHeight="1" x14ac:dyDescent="0.15">
      <c r="E55" s="448">
        <v>22.5</v>
      </c>
      <c r="F55" s="3" cm="1">
        <f t="array" aca="1" ref="F55" ca="1">OFFSET(E55,-1,1)</f>
        <v>0</v>
      </c>
      <c r="G55" s="22"/>
      <c r="H55" s="4"/>
      <c r="I55" s="22" t="s">
        <v>1543</v>
      </c>
      <c r="K55" s="40"/>
      <c r="L55" s="40"/>
      <c r="M55" s="40"/>
      <c r="T55" s="353" t="b" cm="1">
        <f t="array" ref="T55">T54</f>
        <v>0</v>
      </c>
      <c r="X55" s="990"/>
      <c r="Z55" s="967"/>
      <c r="AB55" s="133" t="s">
        <v>1544</v>
      </c>
      <c r="AC55" s="127" t="s">
        <v>1545</v>
      </c>
      <c r="AD55" s="9" t="s">
        <v>1546</v>
      </c>
      <c r="AE55" s="9" t="s">
        <v>828</v>
      </c>
      <c r="AF55" s="781"/>
      <c r="AG55" s="781"/>
      <c r="AH55" s="819"/>
      <c r="AL55" s="656" t="s">
        <v>1547</v>
      </c>
    </row>
    <row r="56" spans="2:38" ht="76.7" hidden="1" customHeight="1" x14ac:dyDescent="0.15">
      <c r="B56" s="43" t="b">
        <f>S27="Водоотведение"</f>
        <v>0</v>
      </c>
      <c r="E56" s="448">
        <v>78.75</v>
      </c>
      <c r="F56" s="3" cm="1">
        <f t="array" aca="1" ref="F56" ca="1">OFFSET(E56,-1,1)</f>
        <v>0</v>
      </c>
      <c r="G56" s="22"/>
      <c r="H56" s="4"/>
      <c r="I56" s="22"/>
      <c r="K56" s="40"/>
      <c r="L56" s="40"/>
      <c r="M56" s="40"/>
      <c r="T56" s="353" t="b" cm="1">
        <f t="array" ref="T56">T55</f>
        <v>0</v>
      </c>
      <c r="X56" s="990"/>
      <c r="Z56" s="967"/>
      <c r="AB56" s="133" t="s">
        <v>1548</v>
      </c>
      <c r="AC56" s="127" t="s">
        <v>1549</v>
      </c>
      <c r="AD56" s="9"/>
      <c r="AE56" s="9" t="s">
        <v>828</v>
      </c>
      <c r="AF56" s="781"/>
      <c r="AG56" s="781"/>
      <c r="AH56" s="819"/>
      <c r="AL56" s="656" t="s">
        <v>1550</v>
      </c>
    </row>
    <row r="57" spans="2:38" ht="54.75" hidden="1" customHeight="1" x14ac:dyDescent="0.15">
      <c r="B57" s="43" t="b" cm="1">
        <f t="array" ref="B57">B56</f>
        <v>0</v>
      </c>
      <c r="E57" s="448">
        <v>56.25</v>
      </c>
      <c r="F57" s="3" cm="1">
        <f t="array" aca="1" ref="F57" ca="1">OFFSET(E57,-1,1)</f>
        <v>0</v>
      </c>
      <c r="G57" s="22"/>
      <c r="H57" s="4"/>
      <c r="I57" s="22"/>
      <c r="K57" s="40"/>
      <c r="L57" s="40"/>
      <c r="M57" s="40"/>
      <c r="T57" s="353" t="b" cm="1">
        <f t="array" ref="T57">T56</f>
        <v>0</v>
      </c>
      <c r="X57" s="990"/>
      <c r="Z57" s="967"/>
      <c r="AB57" s="133" t="s">
        <v>1551</v>
      </c>
      <c r="AC57" s="127" t="s">
        <v>1552</v>
      </c>
      <c r="AD57" s="9"/>
      <c r="AE57" s="9" t="s">
        <v>828</v>
      </c>
      <c r="AF57" s="781"/>
      <c r="AG57" s="781"/>
      <c r="AH57" s="819"/>
      <c r="AL57" s="656" t="s">
        <v>1378</v>
      </c>
    </row>
    <row r="58" spans="2:38" ht="14.65" hidden="1" customHeight="1" x14ac:dyDescent="0.15">
      <c r="E58" s="448">
        <v>15</v>
      </c>
      <c r="F58" s="3" cm="1">
        <f t="array" aca="1" ref="F58" ca="1">OFFSET(E58,-1,1)</f>
        <v>0</v>
      </c>
      <c r="G58" s="22"/>
      <c r="H58" s="4"/>
      <c r="I58" s="22"/>
      <c r="K58" s="40"/>
      <c r="L58" s="40"/>
      <c r="M58" s="40"/>
      <c r="T58" s="353" t="b" cm="1">
        <f t="array" ref="T58">T57</f>
        <v>0</v>
      </c>
      <c r="X58" s="990"/>
      <c r="Z58" s="967"/>
      <c r="AB58" s="7" t="str">
        <f>IF(B57,"2.12","2.10")</f>
        <v>2.10</v>
      </c>
      <c r="AC58" s="127" t="s">
        <v>1553</v>
      </c>
      <c r="AD58" s="9" t="s">
        <v>1554</v>
      </c>
      <c r="AE58" s="9" t="s">
        <v>828</v>
      </c>
      <c r="AF58" s="781">
        <f>AF59+AF60</f>
        <v>0</v>
      </c>
      <c r="AG58" s="781">
        <f>AG59+AG60</f>
        <v>0</v>
      </c>
      <c r="AH58" s="819"/>
      <c r="AL58" s="656" t="s">
        <v>1555</v>
      </c>
    </row>
    <row r="59" spans="2:38" ht="21.95" hidden="1" customHeight="1" x14ac:dyDescent="0.15">
      <c r="E59" s="448">
        <v>22.5</v>
      </c>
      <c r="F59" s="3" cm="1">
        <f t="array" aca="1" ref="F59" ca="1">OFFSET(E59,-1,1)</f>
        <v>0</v>
      </c>
      <c r="G59" s="22"/>
      <c r="H59" s="4"/>
      <c r="I59" s="22"/>
      <c r="K59" s="40"/>
      <c r="L59" s="40"/>
      <c r="M59" s="40"/>
      <c r="T59" s="353" t="b" cm="1">
        <f t="array" ref="T59">T58</f>
        <v>0</v>
      </c>
      <c r="X59" s="990"/>
      <c r="Z59" s="967"/>
      <c r="AB59" s="7" t="str">
        <f>AB58&amp;".1"</f>
        <v>2.10.1</v>
      </c>
      <c r="AC59" s="127" t="s">
        <v>1556</v>
      </c>
      <c r="AD59" s="9" t="s">
        <v>1554</v>
      </c>
      <c r="AE59" s="9" t="s">
        <v>828</v>
      </c>
      <c r="AF59" s="781"/>
      <c r="AG59" s="781"/>
      <c r="AH59" s="819"/>
      <c r="AL59" s="656" t="s">
        <v>1557</v>
      </c>
    </row>
    <row r="60" spans="2:38" ht="21.95" hidden="1" customHeight="1" x14ac:dyDescent="0.15">
      <c r="E60" s="448">
        <v>22.5</v>
      </c>
      <c r="F60" s="3" cm="1">
        <f t="array" aca="1" ref="F60" ca="1">OFFSET(E60,-1,1)</f>
        <v>0</v>
      </c>
      <c r="G60" s="22"/>
      <c r="H60" s="4"/>
      <c r="I60" s="22"/>
      <c r="K60" s="40"/>
      <c r="L60" s="40"/>
      <c r="M60" s="40"/>
      <c r="T60" s="353" t="b" cm="1">
        <f t="array" ref="T60">T59</f>
        <v>0</v>
      </c>
      <c r="X60" s="990"/>
      <c r="Z60" s="967"/>
      <c r="AB60" s="7" t="str">
        <f>AB58&amp;".2"</f>
        <v>2.10.2</v>
      </c>
      <c r="AC60" s="127" t="s">
        <v>1558</v>
      </c>
      <c r="AD60" s="9" t="s">
        <v>1554</v>
      </c>
      <c r="AE60" s="9" t="s">
        <v>828</v>
      </c>
      <c r="AF60" s="781"/>
      <c r="AG60" s="781"/>
      <c r="AH60" s="819"/>
      <c r="AL60" s="656" t="s">
        <v>1559</v>
      </c>
    </row>
    <row r="61" spans="2:38" ht="14.65" hidden="1" customHeight="1" x14ac:dyDescent="0.15">
      <c r="E61" s="448">
        <v>15</v>
      </c>
      <c r="F61" s="3" cm="1">
        <f t="array" aca="1" ref="F61" ca="1">OFFSET(E61,-1,1)</f>
        <v>0</v>
      </c>
      <c r="G61" s="22"/>
      <c r="H61" s="4"/>
      <c r="I61" s="22"/>
      <c r="K61" s="40"/>
      <c r="L61" s="40"/>
      <c r="M61" s="40"/>
      <c r="T61" s="353" t="b" cm="1">
        <f t="array" ref="T61">T60</f>
        <v>0</v>
      </c>
      <c r="X61" s="990"/>
      <c r="Z61" s="967"/>
      <c r="AB61" s="7" t="str">
        <f>IF(B57,"2.13","2.11")</f>
        <v>2.11</v>
      </c>
      <c r="AC61" s="127" t="s">
        <v>1560</v>
      </c>
      <c r="AD61" s="9" t="s">
        <v>1554</v>
      </c>
      <c r="AE61" s="9" t="s">
        <v>828</v>
      </c>
      <c r="AF61" s="781"/>
      <c r="AG61" s="781"/>
      <c r="AH61" s="819"/>
      <c r="AL61" s="656" t="s">
        <v>1561</v>
      </c>
    </row>
    <row r="62" spans="2:38" ht="14.65" hidden="1" customHeight="1" x14ac:dyDescent="0.15">
      <c r="E62" s="448">
        <v>15</v>
      </c>
      <c r="F62" s="3" cm="1">
        <f t="array" aca="1" ref="F62" ca="1">OFFSET(E62,-1,1)</f>
        <v>0</v>
      </c>
      <c r="G62" s="22"/>
      <c r="H62" s="4"/>
      <c r="I62" s="22"/>
      <c r="K62" s="40"/>
      <c r="L62" s="40"/>
      <c r="M62" s="40"/>
      <c r="T62" s="353" t="b" cm="1">
        <f t="array" ref="T62">T61</f>
        <v>0</v>
      </c>
      <c r="X62" s="990"/>
      <c r="Z62" s="967"/>
      <c r="AB62" s="7" t="str">
        <f>IF(B57,"2.14","2.12")</f>
        <v>2.12</v>
      </c>
      <c r="AC62" s="127" t="s">
        <v>1562</v>
      </c>
      <c r="AD62" s="9" t="s">
        <v>1554</v>
      </c>
      <c r="AE62" s="9" t="s">
        <v>828</v>
      </c>
      <c r="AF62" s="781"/>
      <c r="AG62" s="781"/>
      <c r="AH62" s="819"/>
      <c r="AL62" s="656" t="s">
        <v>1563</v>
      </c>
    </row>
    <row r="63" spans="2:38" s="154" customFormat="1" ht="21.95" hidden="1" customHeight="1" x14ac:dyDescent="0.15">
      <c r="B63" s="328"/>
      <c r="E63" s="501">
        <v>22.5</v>
      </c>
      <c r="F63" s="3" cm="1">
        <f t="array" aca="1" ref="F63" ca="1">OFFSET(E63,-1,1)</f>
        <v>0</v>
      </c>
      <c r="G63" s="63"/>
      <c r="H63" s="63"/>
      <c r="I63" s="22" t="s">
        <v>332</v>
      </c>
      <c r="K63" s="375"/>
      <c r="L63" s="375"/>
      <c r="M63" s="375"/>
      <c r="T63" s="353" t="b" cm="1">
        <f t="array" ref="T63">T62</f>
        <v>0</v>
      </c>
      <c r="X63" s="990"/>
      <c r="Z63" s="967"/>
      <c r="AB63" s="124" t="s">
        <v>1564</v>
      </c>
      <c r="AC63" s="125" t="s">
        <v>1565</v>
      </c>
      <c r="AD63" s="124" t="s">
        <v>1427</v>
      </c>
      <c r="AE63" s="147" t="s">
        <v>828</v>
      </c>
      <c r="AF63" s="569" cm="1">
        <f t="array" ref="AF63">AF64</f>
        <v>0</v>
      </c>
      <c r="AG63" s="569" cm="1">
        <f t="array" ref="AG63">AG64</f>
        <v>0</v>
      </c>
      <c r="AH63" s="859"/>
      <c r="AL63" s="688" t="s">
        <v>1566</v>
      </c>
    </row>
    <row r="64" spans="2:38" ht="32.85" hidden="1" customHeight="1" x14ac:dyDescent="0.15">
      <c r="E64" s="448">
        <v>33.75</v>
      </c>
      <c r="F64" s="3" cm="1">
        <f t="array" aca="1" ref="F64" ca="1">OFFSET(E64,-1,1)</f>
        <v>0</v>
      </c>
      <c r="G64" s="22"/>
      <c r="H64" s="4"/>
      <c r="I64" s="22" t="s">
        <v>500</v>
      </c>
      <c r="K64" s="40"/>
      <c r="L64" s="40"/>
      <c r="M64" s="40"/>
      <c r="T64" s="353" t="b" cm="1">
        <f t="array" ref="T64">T63</f>
        <v>0</v>
      </c>
      <c r="X64" s="990"/>
      <c r="Z64" s="967"/>
      <c r="AB64" s="133" t="s">
        <v>275</v>
      </c>
      <c r="AC64" s="346" t="s">
        <v>1567</v>
      </c>
      <c r="AD64" s="7" t="s">
        <v>1568</v>
      </c>
      <c r="AE64" s="9" t="s">
        <v>828</v>
      </c>
      <c r="AF64" s="620">
        <f>AF65+AF66</f>
        <v>0</v>
      </c>
      <c r="AG64" s="620">
        <f>AG65+AG66</f>
        <v>0</v>
      </c>
      <c r="AH64" s="819"/>
      <c r="AL64" s="656" t="s">
        <v>1569</v>
      </c>
    </row>
    <row r="65" spans="1:43" ht="43.9" hidden="1" customHeight="1" x14ac:dyDescent="0.15">
      <c r="E65" s="448">
        <v>45</v>
      </c>
      <c r="F65" s="3" cm="1">
        <f t="array" aca="1" ref="F65" ca="1">OFFSET(E65,-1,1)</f>
        <v>0</v>
      </c>
      <c r="G65" s="22"/>
      <c r="H65" s="4"/>
      <c r="I65" s="22" t="s">
        <v>1570</v>
      </c>
      <c r="K65" s="40"/>
      <c r="L65" s="40"/>
      <c r="M65" s="40"/>
      <c r="T65" s="353" t="b" cm="1">
        <f t="array" ref="T65">T64</f>
        <v>0</v>
      </c>
      <c r="X65" s="990"/>
      <c r="Z65" s="967"/>
      <c r="AB65" s="133" t="s">
        <v>939</v>
      </c>
      <c r="AC65" s="127" t="s">
        <v>1571</v>
      </c>
      <c r="AD65" s="7" t="s">
        <v>1572</v>
      </c>
      <c r="AE65" s="9" t="s">
        <v>828</v>
      </c>
      <c r="AF65" s="781"/>
      <c r="AG65" s="781"/>
      <c r="AH65" s="819"/>
      <c r="AL65" s="656" t="s">
        <v>1573</v>
      </c>
    </row>
    <row r="66" spans="1:43" ht="32.85" hidden="1" customHeight="1" x14ac:dyDescent="0.15">
      <c r="E66" s="448">
        <v>33.75</v>
      </c>
      <c r="F66" s="3" cm="1">
        <f t="array" aca="1" ref="F66" ca="1">OFFSET(E66,-1,1)</f>
        <v>0</v>
      </c>
      <c r="G66" s="22"/>
      <c r="H66" s="4"/>
      <c r="I66" s="22" t="s">
        <v>1574</v>
      </c>
      <c r="K66" s="40"/>
      <c r="L66" s="40"/>
      <c r="M66" s="40"/>
      <c r="T66" s="353" t="b" cm="1">
        <f t="array" ref="T66">T65</f>
        <v>0</v>
      </c>
      <c r="X66" s="990"/>
      <c r="Z66" s="967"/>
      <c r="AB66" s="133" t="s">
        <v>942</v>
      </c>
      <c r="AC66" s="127" t="s">
        <v>1575</v>
      </c>
      <c r="AD66" s="7" t="s">
        <v>1576</v>
      </c>
      <c r="AE66" s="9" t="s">
        <v>828</v>
      </c>
      <c r="AF66" s="781"/>
      <c r="AG66" s="781"/>
      <c r="AH66" s="819"/>
      <c r="AL66" s="656" t="s">
        <v>1577</v>
      </c>
    </row>
    <row r="67" spans="1:43" ht="34.15" hidden="1" customHeight="1" x14ac:dyDescent="0.15">
      <c r="E67" s="448">
        <v>35</v>
      </c>
      <c r="F67" s="3" cm="1">
        <f t="array" aca="1" ref="F67" ca="1">OFFSET(E67,-1,1)</f>
        <v>0</v>
      </c>
      <c r="G67" s="22"/>
      <c r="H67" s="4"/>
      <c r="I67" s="22" t="s">
        <v>333</v>
      </c>
      <c r="K67" s="40" t="str">
        <f ca="1">F67&amp;"1komm"</f>
        <v>01komm</v>
      </c>
      <c r="L67" s="609" cm="1">
        <f t="array" ref="L67">AH67</f>
        <v>0</v>
      </c>
      <c r="M67" s="40"/>
      <c r="T67" s="353" t="b" cm="1">
        <f t="array" ref="T67">T66</f>
        <v>0</v>
      </c>
      <c r="X67" s="990"/>
      <c r="Z67" s="967"/>
      <c r="AB67" s="147" t="s">
        <v>1578</v>
      </c>
      <c r="AC67" s="125" t="s">
        <v>1579</v>
      </c>
      <c r="AD67" s="124" t="s">
        <v>1580</v>
      </c>
      <c r="AE67" s="147" t="s">
        <v>828</v>
      </c>
      <c r="AF67" s="860"/>
      <c r="AG67" s="860"/>
      <c r="AH67" s="819"/>
      <c r="AL67" s="656" t="s">
        <v>1581</v>
      </c>
    </row>
    <row r="68" spans="1:43" ht="107.25" hidden="1" customHeight="1" x14ac:dyDescent="0.15">
      <c r="E68" s="448">
        <v>110</v>
      </c>
      <c r="F68" s="3" cm="1">
        <f t="array" aca="1" ref="F68" ca="1">OFFSET(E68,-1,1)</f>
        <v>0</v>
      </c>
      <c r="G68" s="22"/>
      <c r="H68" s="4"/>
      <c r="I68" s="22" t="s">
        <v>335</v>
      </c>
      <c r="K68" s="40" t="str">
        <f ca="1">F68&amp;"2komm"</f>
        <v>02komm</v>
      </c>
      <c r="L68" s="609" cm="1">
        <f t="array" ref="L68">AH68</f>
        <v>0</v>
      </c>
      <c r="M68" s="40"/>
      <c r="T68" s="353" t="b" cm="1">
        <f t="array" ref="T68">T67</f>
        <v>0</v>
      </c>
      <c r="X68" s="990"/>
      <c r="Z68" s="967"/>
      <c r="AB68" s="147" t="s">
        <v>1582</v>
      </c>
      <c r="AC68" s="125" t="s">
        <v>1583</v>
      </c>
      <c r="AD68" s="124" t="s">
        <v>1584</v>
      </c>
      <c r="AE68" s="147" t="s">
        <v>828</v>
      </c>
      <c r="AF68" s="860"/>
      <c r="AG68" s="860"/>
      <c r="AH68" s="819"/>
      <c r="AL68" s="656" t="s">
        <v>1080</v>
      </c>
    </row>
    <row r="69" spans="1:43" ht="76.7" hidden="1" customHeight="1" x14ac:dyDescent="0.25">
      <c r="B69" s="43" t="b">
        <f>S27="Водоотведение"</f>
        <v>0</v>
      </c>
      <c r="E69" s="448">
        <v>78.75</v>
      </c>
      <c r="F69" s="3" cm="1">
        <f t="array" aca="1" ref="F69" ca="1">OFFSET(E69,-1,1)</f>
        <v>0</v>
      </c>
      <c r="H69" s="2"/>
      <c r="I69" s="38" t="s">
        <v>334</v>
      </c>
      <c r="K69" s="40" t="str">
        <f ca="1">F69&amp;"3komm"</f>
        <v>03komm</v>
      </c>
      <c r="L69" s="609" cm="1">
        <f t="array" ref="L69">AH69</f>
        <v>0</v>
      </c>
      <c r="M69" s="40"/>
      <c r="T69" s="353" t="b" cm="1">
        <f t="array" ref="T69">T68</f>
        <v>0</v>
      </c>
      <c r="X69" s="990"/>
      <c r="Z69" s="967"/>
      <c r="AB69" s="147" t="s">
        <v>1585</v>
      </c>
      <c r="AC69" s="125" t="s">
        <v>1586</v>
      </c>
      <c r="AD69" s="124"/>
      <c r="AE69" s="147" t="s">
        <v>828</v>
      </c>
      <c r="AF69" s="860"/>
      <c r="AG69" s="774">
        <f ca="1">IFERROR(SUMIFS('Плата за негативное возд'!$AL$24:$AL$38,'Плата за негативное возд'!$F$24:$F$38,F69,'Плата за негативное возд'!$AB$24:$AB$38,"1"),0)</f>
        <v>0</v>
      </c>
      <c r="AH69" s="819"/>
      <c r="AL69" s="656" t="s">
        <v>1587</v>
      </c>
    </row>
    <row r="70" spans="1:43" ht="54.75" hidden="1" customHeight="1" x14ac:dyDescent="0.25">
      <c r="B70" s="43" t="b" cm="1">
        <f t="array" ref="B70">B69</f>
        <v>0</v>
      </c>
      <c r="E70" s="448">
        <v>56.25</v>
      </c>
      <c r="F70" s="3" cm="1">
        <f t="array" aca="1" ref="F70" ca="1">OFFSET(E70,-1,1)</f>
        <v>0</v>
      </c>
      <c r="H70" s="2"/>
      <c r="I70" s="38" t="s">
        <v>532</v>
      </c>
      <c r="K70" s="40" t="str">
        <f ca="1">F70&amp;"4komm"</f>
        <v>04komm</v>
      </c>
      <c r="L70" s="609" cm="1">
        <f t="array" ref="L70">AH70</f>
        <v>0</v>
      </c>
      <c r="M70" s="40"/>
      <c r="T70" s="353" t="b" cm="1">
        <f t="array" ref="T70">T69</f>
        <v>0</v>
      </c>
      <c r="X70" s="990"/>
      <c r="Z70" s="967"/>
      <c r="AB70" s="147" t="s">
        <v>1588</v>
      </c>
      <c r="AC70" s="125" t="s">
        <v>1589</v>
      </c>
      <c r="AD70" s="124"/>
      <c r="AE70" s="147" t="s">
        <v>828</v>
      </c>
      <c r="AF70" s="860"/>
      <c r="AG70" s="774">
        <f ca="1">IFERROR(SUMIFS('Плата за негативное возд'!$AL$24:$AL$38,'Плата за негативное возд'!$F$24:$F$38,F70,'Плата за негативное возд'!$AB$24:$AB$38,"2"),0)</f>
        <v>0</v>
      </c>
      <c r="AH70" s="819"/>
      <c r="AL70" s="656" t="s">
        <v>1590</v>
      </c>
    </row>
    <row r="71" spans="1:43" ht="14.65" hidden="1" customHeight="1" x14ac:dyDescent="0.15">
      <c r="E71" s="448">
        <v>15</v>
      </c>
      <c r="F71" s="3" cm="1">
        <f t="array" aca="1" ref="F71" ca="1">OFFSET(E71,-1,1)</f>
        <v>0</v>
      </c>
      <c r="H71" s="4"/>
      <c r="I71" s="38" t="s">
        <v>535</v>
      </c>
      <c r="K71" s="40" t="str">
        <f ca="1">F71&amp;"5komm"</f>
        <v>05komm</v>
      </c>
      <c r="L71" s="609" cm="1">
        <f t="array" ref="L71">AH71</f>
        <v>0</v>
      </c>
      <c r="M71" s="40"/>
      <c r="T71" s="353" t="b" cm="1">
        <f t="array" ref="T71">T70</f>
        <v>0</v>
      </c>
      <c r="X71" s="990"/>
      <c r="Z71" s="967"/>
      <c r="AB71" s="147" t="str">
        <f>IF(B70,"VII","V")</f>
        <v>V</v>
      </c>
      <c r="AC71" s="125" t="s">
        <v>1591</v>
      </c>
      <c r="AD71" s="124"/>
      <c r="AE71" s="147" t="s">
        <v>828</v>
      </c>
      <c r="AF71" s="860"/>
      <c r="AG71" s="860"/>
      <c r="AH71" s="819"/>
      <c r="AL71" s="656" t="s">
        <v>1592</v>
      </c>
    </row>
    <row r="72" spans="1:43" s="154" customFormat="1" ht="14.65" hidden="1" customHeight="1" x14ac:dyDescent="0.15">
      <c r="B72" s="328"/>
      <c r="E72" s="501">
        <v>15</v>
      </c>
      <c r="F72" s="3" cm="1">
        <f t="array" aca="1" ref="F72" ca="1">OFFSET(E72,-1,1)</f>
        <v>0</v>
      </c>
      <c r="G72" s="375"/>
      <c r="I72" s="154" t="s">
        <v>586</v>
      </c>
      <c r="K72" s="40" t="str">
        <f ca="1">F72&amp;"6komm"</f>
        <v>06komm</v>
      </c>
      <c r="L72" s="609" cm="1">
        <f t="array" ref="L72">AH72</f>
        <v>0</v>
      </c>
      <c r="M72" s="375"/>
      <c r="T72" s="353" t="b" cm="1">
        <f t="array" ref="T72">T71</f>
        <v>0</v>
      </c>
      <c r="X72" s="990"/>
      <c r="Z72" s="967"/>
      <c r="AB72" s="147" t="str">
        <f>IF(B70,"VIII","VI")</f>
        <v>VI</v>
      </c>
      <c r="AC72" s="125" t="s">
        <v>1553</v>
      </c>
      <c r="AD72" s="124"/>
      <c r="AE72" s="147" t="s">
        <v>828</v>
      </c>
      <c r="AF72" s="860">
        <f>AF73+AF74</f>
        <v>0</v>
      </c>
      <c r="AG72" s="860">
        <f>AG73+AG74</f>
        <v>0</v>
      </c>
      <c r="AH72" s="819"/>
      <c r="AL72" s="688" t="s">
        <v>1593</v>
      </c>
    </row>
    <row r="73" spans="1:43" ht="21.95" hidden="1" customHeight="1" x14ac:dyDescent="0.15">
      <c r="E73" s="448">
        <v>22.5</v>
      </c>
      <c r="F73" s="3" cm="1">
        <f t="array" aca="1" ref="F73" ca="1">OFFSET(E73,-1,1)</f>
        <v>0</v>
      </c>
      <c r="H73" s="4"/>
      <c r="I73" s="38" t="s">
        <v>589</v>
      </c>
      <c r="K73" s="40" t="str">
        <f ca="1">F73&amp;"7komm"</f>
        <v>07komm</v>
      </c>
      <c r="L73" s="609" cm="1">
        <f t="array" ref="L73">AH73</f>
        <v>0</v>
      </c>
      <c r="M73" s="40"/>
      <c r="T73" s="353" t="b" cm="1">
        <f t="array" ref="T73">T72</f>
        <v>0</v>
      </c>
      <c r="X73" s="990"/>
      <c r="Z73" s="967"/>
      <c r="AB73" s="9">
        <v>1</v>
      </c>
      <c r="AC73" s="127" t="s">
        <v>1556</v>
      </c>
      <c r="AD73" s="7"/>
      <c r="AE73" s="9" t="s">
        <v>828</v>
      </c>
      <c r="AF73" s="781"/>
      <c r="AG73" s="781"/>
      <c r="AH73" s="819"/>
      <c r="AL73" s="656" t="s">
        <v>1594</v>
      </c>
    </row>
    <row r="74" spans="1:43" ht="21.95" hidden="1" customHeight="1" x14ac:dyDescent="0.15">
      <c r="E74" s="448">
        <v>22.5</v>
      </c>
      <c r="F74" s="3" cm="1">
        <f t="array" aca="1" ref="F74" ca="1">OFFSET(E74,-1,1)</f>
        <v>0</v>
      </c>
      <c r="H74" s="4"/>
      <c r="I74" s="38" t="s">
        <v>593</v>
      </c>
      <c r="K74" s="40" t="str">
        <f ca="1">F74&amp;"8komm"</f>
        <v>08komm</v>
      </c>
      <c r="L74" s="609" cm="1">
        <f t="array" ref="L74">AH74</f>
        <v>0</v>
      </c>
      <c r="M74" s="40"/>
      <c r="T74" s="353" t="b" cm="1">
        <f t="array" ref="T74">T73</f>
        <v>0</v>
      </c>
      <c r="X74" s="990"/>
      <c r="Z74" s="967"/>
      <c r="AB74" s="9">
        <v>2</v>
      </c>
      <c r="AC74" s="127" t="s">
        <v>1558</v>
      </c>
      <c r="AD74" s="7"/>
      <c r="AE74" s="9" t="s">
        <v>828</v>
      </c>
      <c r="AF74" s="781"/>
      <c r="AG74" s="781"/>
      <c r="AH74" s="819"/>
      <c r="AL74" s="656" t="s">
        <v>1595</v>
      </c>
    </row>
    <row r="75" spans="1:43" ht="14.65" hidden="1" customHeight="1" x14ac:dyDescent="0.15">
      <c r="E75" s="448">
        <v>15</v>
      </c>
      <c r="F75" s="3" cm="1">
        <f t="array" aca="1" ref="F75" ca="1">OFFSET(E75,-1,1)</f>
        <v>0</v>
      </c>
      <c r="H75" s="4"/>
      <c r="I75" s="38" t="s">
        <v>601</v>
      </c>
      <c r="K75" s="40" t="str">
        <f ca="1">F75&amp;"9komm"</f>
        <v>09komm</v>
      </c>
      <c r="L75" s="609" cm="1">
        <f t="array" ref="L75">AH75</f>
        <v>0</v>
      </c>
      <c r="M75" s="40"/>
      <c r="T75" s="353" t="b" cm="1">
        <f t="array" ref="T75">T74</f>
        <v>0</v>
      </c>
      <c r="X75" s="990"/>
      <c r="Z75" s="967"/>
      <c r="AB75" s="147" t="str">
        <f>IF(B70,"IX","VIII")</f>
        <v>VIII</v>
      </c>
      <c r="AC75" s="125" t="s">
        <v>1560</v>
      </c>
      <c r="AD75" s="124"/>
      <c r="AE75" s="147" t="s">
        <v>828</v>
      </c>
      <c r="AF75" s="860"/>
      <c r="AG75" s="860"/>
      <c r="AH75" s="819"/>
      <c r="AL75" s="656" t="s">
        <v>1596</v>
      </c>
    </row>
    <row r="76" spans="1:43" ht="14.65" hidden="1" customHeight="1" x14ac:dyDescent="0.15">
      <c r="E76" s="448">
        <v>15</v>
      </c>
      <c r="F76" s="3" cm="1">
        <f t="array" aca="1" ref="F76" ca="1">OFFSET(E76,-1,1)</f>
        <v>0</v>
      </c>
      <c r="H76" s="4"/>
      <c r="I76" s="38" t="s">
        <v>609</v>
      </c>
      <c r="K76" s="40" t="str">
        <f ca="1">F76&amp;"10komm"</f>
        <v>010komm</v>
      </c>
      <c r="L76" s="609" cm="1">
        <f t="array" ref="L76">AH76</f>
        <v>0</v>
      </c>
      <c r="M76" s="40"/>
      <c r="T76" s="353" t="b" cm="1">
        <f t="array" ref="T76">T75</f>
        <v>0</v>
      </c>
      <c r="X76" s="990"/>
      <c r="Z76" s="967"/>
      <c r="AB76" s="147" t="str">
        <f>IF(B70,"X","IX")</f>
        <v>IX</v>
      </c>
      <c r="AC76" s="125" t="s">
        <v>1562</v>
      </c>
      <c r="AD76" s="124"/>
      <c r="AE76" s="147" t="s">
        <v>828</v>
      </c>
      <c r="AF76" s="860"/>
      <c r="AG76" s="860"/>
      <c r="AH76" s="819"/>
      <c r="AL76" s="656" t="s">
        <v>1597</v>
      </c>
    </row>
    <row r="77" spans="1:43" s="154" customFormat="1" ht="14.65" hidden="1" customHeight="1" x14ac:dyDescent="0.15">
      <c r="B77" s="328"/>
      <c r="E77" s="501">
        <v>15</v>
      </c>
      <c r="F77" s="3" cm="1">
        <f t="array" aca="1" ref="F77" ca="1">OFFSET(E77,-1,1)</f>
        <v>0</v>
      </c>
      <c r="G77" s="375"/>
      <c r="I77" s="154" t="s">
        <v>767</v>
      </c>
      <c r="K77" s="40" t="str">
        <f ca="1">F77&amp;"11komm"</f>
        <v>011komm</v>
      </c>
      <c r="L77" s="609" cm="1">
        <f t="array" ref="L77">AH77</f>
        <v>0</v>
      </c>
      <c r="M77" s="375"/>
      <c r="T77" s="353" t="b" cm="1">
        <f t="array" ref="T77">T76</f>
        <v>0</v>
      </c>
      <c r="X77" s="990"/>
      <c r="Z77" s="967"/>
      <c r="AB77" s="147" t="str">
        <f>IF(B70,"XI","X")</f>
        <v>X</v>
      </c>
      <c r="AC77" s="132" t="s">
        <v>1598</v>
      </c>
      <c r="AD77" s="124"/>
      <c r="AE77" s="147" t="s">
        <v>828</v>
      </c>
      <c r="AF77" s="569">
        <f ca="1">AF28+AF63+AF67+AF68+AF69+AF70+AF71+AF72+AF75+AF76</f>
        <v>0</v>
      </c>
      <c r="AG77" s="569">
        <f ca="1">AG28+AG63+AG67+AG68+AG69+AG70+AG71+AG72+AG75+AG76</f>
        <v>0</v>
      </c>
      <c r="AH77" s="819"/>
      <c r="AL77" s="688" t="s">
        <v>1599</v>
      </c>
    </row>
    <row r="78" spans="1:43" ht="29.1" customHeight="1" x14ac:dyDescent="0.15">
      <c r="E78" s="448">
        <v>15</v>
      </c>
      <c r="F78" s="17" t="str" cm="1">
        <f t="array" ref="F78">X78</f>
        <v>1</v>
      </c>
      <c r="G78" s="59"/>
      <c r="H78" s="4"/>
      <c r="S78" s="315" t="str" cm="1">
        <f t="array" ref="S78">INDEX('Общие сведения'!$AE$179:$AE$236,MATCH($X78,'Общие сведения'!$Z$179:$Z$236,0))</f>
        <v>Водоснабжение</v>
      </c>
      <c r="T78" s="353" t="b">
        <f>X78&gt;0</f>
        <v>1</v>
      </c>
      <c r="V78" s="38" t="str" cm="1">
        <f t="array" ref="V78">'Плата за негативное возд'!$AB$29</f>
        <v>Тариф 1 (Водоснабжение) - тариф на техническую воду</v>
      </c>
      <c r="X78" s="990" t="s">
        <v>275</v>
      </c>
      <c r="Z78" s="967"/>
      <c r="AB78" s="280" t="str" cm="1">
        <f t="array" ref="AB78">'Плата за негативное возд'!$AB$29</f>
        <v>Тариф 1 (Водоснабжение) - тариф на техническую воду</v>
      </c>
      <c r="AC78" s="280"/>
      <c r="AD78" s="280"/>
      <c r="AE78" s="280"/>
      <c r="AF78" s="280"/>
      <c r="AG78" s="280"/>
      <c r="AH78" s="280"/>
    </row>
    <row r="79" spans="1:43" s="857" customFormat="1" ht="57.75" customHeight="1" x14ac:dyDescent="0.15">
      <c r="A79" s="154"/>
      <c r="B79" s="328"/>
      <c r="C79" s="154"/>
      <c r="D79" s="154"/>
      <c r="E79" s="501">
        <v>45</v>
      </c>
      <c r="F79" s="3" t="str" cm="1">
        <f t="array" aca="1" ref="F79" ca="1">OFFSET(E79,-1,1)</f>
        <v>1</v>
      </c>
      <c r="G79" s="375"/>
      <c r="H79" s="154"/>
      <c r="I79" s="38" t="s">
        <v>331</v>
      </c>
      <c r="J79" s="154"/>
      <c r="K79" s="40"/>
      <c r="L79" s="612"/>
      <c r="M79" s="375"/>
      <c r="N79" s="154"/>
      <c r="O79" s="154"/>
      <c r="P79" s="154"/>
      <c r="Q79" s="154"/>
      <c r="R79" s="154"/>
      <c r="S79" s="154"/>
      <c r="T79" s="353" t="b" cm="1">
        <f t="array" ref="T79">T78</f>
        <v>1</v>
      </c>
      <c r="U79" s="154"/>
      <c r="V79" s="154"/>
      <c r="W79" s="154"/>
      <c r="X79" s="990"/>
      <c r="Y79" s="154"/>
      <c r="Z79" s="967"/>
      <c r="AA79" s="154"/>
      <c r="AB79" s="566" t="s">
        <v>1425</v>
      </c>
      <c r="AC79" s="567" t="s">
        <v>1426</v>
      </c>
      <c r="AD79" s="566" t="s">
        <v>1427</v>
      </c>
      <c r="AE79" s="568" t="s">
        <v>828</v>
      </c>
      <c r="AF79" s="569">
        <f ca="1">AF81-AF80</f>
        <v>18816.875539232111</v>
      </c>
      <c r="AG79" s="569">
        <f ca="1">AG81-AG80</f>
        <v>558.05000000001019</v>
      </c>
      <c r="AH79" s="570" t="s">
        <v>1600</v>
      </c>
      <c r="AI79" s="154"/>
      <c r="AJ79" s="154"/>
      <c r="AK79" s="154"/>
      <c r="AL79" s="688" t="s">
        <v>1428</v>
      </c>
      <c r="AM79" s="154"/>
      <c r="AN79" s="154"/>
      <c r="AO79" s="154"/>
      <c r="AP79" s="154"/>
      <c r="AQ79" s="154"/>
    </row>
    <row r="80" spans="1:43" s="857" customFormat="1" ht="42" customHeight="1" x14ac:dyDescent="0.15">
      <c r="A80" s="154"/>
      <c r="B80" s="328"/>
      <c r="C80" s="154"/>
      <c r="D80" s="154"/>
      <c r="E80" s="501">
        <v>15</v>
      </c>
      <c r="F80" s="3" t="str" cm="1">
        <f t="array" aca="1" ref="F80" ca="1">OFFSET(E80,-1,1)</f>
        <v>1</v>
      </c>
      <c r="G80" s="375"/>
      <c r="H80" s="154"/>
      <c r="I80" s="38" t="s">
        <v>482</v>
      </c>
      <c r="J80" s="154"/>
      <c r="K80" s="375"/>
      <c r="L80" s="375"/>
      <c r="M80" s="375"/>
      <c r="N80" s="154"/>
      <c r="O80" s="154"/>
      <c r="P80" s="154"/>
      <c r="Q80" s="154"/>
      <c r="R80" s="154"/>
      <c r="S80" s="154"/>
      <c r="T80" s="353" t="b" cm="1">
        <f t="array" ref="T80">T79</f>
        <v>1</v>
      </c>
      <c r="U80" s="154"/>
      <c r="V80" s="154"/>
      <c r="W80" s="154"/>
      <c r="X80" s="990"/>
      <c r="Y80" s="154"/>
      <c r="Z80" s="967"/>
      <c r="AA80" s="154"/>
      <c r="AB80" s="131" t="s">
        <v>275</v>
      </c>
      <c r="AC80" s="132" t="s">
        <v>1429</v>
      </c>
      <c r="AD80" s="124" t="s">
        <v>1430</v>
      </c>
      <c r="AE80" s="147" t="s">
        <v>828</v>
      </c>
      <c r="AF80" s="281">
        <v>64740.020700000001</v>
      </c>
      <c r="AG80" s="281">
        <v>64648.52</v>
      </c>
      <c r="AH80" s="570" t="s">
        <v>1601</v>
      </c>
      <c r="AI80" s="154"/>
      <c r="AJ80" s="154"/>
      <c r="AK80" s="154"/>
      <c r="AL80" s="688" t="s">
        <v>1431</v>
      </c>
      <c r="AM80" s="154"/>
      <c r="AN80" s="154"/>
      <c r="AO80" s="154"/>
      <c r="AP80" s="154"/>
      <c r="AQ80" s="154"/>
    </row>
    <row r="81" spans="1:43" s="857" customFormat="1" ht="35.85" customHeight="1" x14ac:dyDescent="0.15">
      <c r="A81" s="154"/>
      <c r="B81" s="328"/>
      <c r="C81" s="154"/>
      <c r="D81" s="154"/>
      <c r="E81" s="501">
        <v>15</v>
      </c>
      <c r="F81" s="3" t="str" cm="1">
        <f t="array" aca="1" ref="F81" ca="1">OFFSET(E81,-1,1)</f>
        <v>1</v>
      </c>
      <c r="G81" s="63"/>
      <c r="H81" s="63"/>
      <c r="I81" s="22" t="s">
        <v>486</v>
      </c>
      <c r="J81" s="154"/>
      <c r="K81" s="375"/>
      <c r="L81" s="375"/>
      <c r="M81" s="375"/>
      <c r="N81" s="154"/>
      <c r="O81" s="154"/>
      <c r="P81" s="154"/>
      <c r="Q81" s="154"/>
      <c r="R81" s="154"/>
      <c r="S81" s="154"/>
      <c r="T81" s="353" t="b" cm="1">
        <f t="array" ref="T81">T80</f>
        <v>1</v>
      </c>
      <c r="U81" s="154"/>
      <c r="V81" s="154"/>
      <c r="W81" s="154"/>
      <c r="X81" s="990"/>
      <c r="Y81" s="154"/>
      <c r="Z81" s="967"/>
      <c r="AA81" s="154"/>
      <c r="AB81" s="131" t="s">
        <v>285</v>
      </c>
      <c r="AC81" s="125" t="s">
        <v>1432</v>
      </c>
      <c r="AD81" s="124" t="s">
        <v>1433</v>
      </c>
      <c r="AE81" s="147" t="s">
        <v>828</v>
      </c>
      <c r="AF81" s="569">
        <f ca="1">AF82+AF83+AF95+AF99+AF100+AF101+AF102+AF106+AF107+AF108+AF109+AF112+AF113</f>
        <v>83556.896239232112</v>
      </c>
      <c r="AG81" s="569">
        <f ca="1">AG82+AG83+AG95+AG99+AG100+AG101+AG102+AG106+AG107+AG108+AG109+AG112+AG113</f>
        <v>65206.570000000007</v>
      </c>
      <c r="AH81" s="570" t="s">
        <v>1602</v>
      </c>
      <c r="AI81" s="154"/>
      <c r="AJ81" s="154"/>
      <c r="AK81" s="154"/>
      <c r="AL81" s="688" t="s">
        <v>1434</v>
      </c>
      <c r="AM81" s="154"/>
      <c r="AN81" s="154"/>
      <c r="AO81" s="154"/>
      <c r="AP81" s="154"/>
      <c r="AQ81" s="154"/>
    </row>
    <row r="82" spans="1:43" ht="54.95" customHeight="1" x14ac:dyDescent="0.15">
      <c r="E82" s="448">
        <v>22.5</v>
      </c>
      <c r="F82" s="3" t="str" cm="1">
        <f t="array" aca="1" ref="F82" ca="1">OFFSET(E82,-1,1)</f>
        <v>1</v>
      </c>
      <c r="G82" s="22" t="s">
        <v>1435</v>
      </c>
      <c r="H82" s="4"/>
      <c r="I82" s="22" t="s">
        <v>1344</v>
      </c>
      <c r="K82" s="40"/>
      <c r="L82" s="40"/>
      <c r="M82" s="40"/>
      <c r="T82" s="353" t="b" cm="1">
        <f t="array" ref="T82">T81</f>
        <v>1</v>
      </c>
      <c r="X82" s="990"/>
      <c r="Z82" s="967"/>
      <c r="AB82" s="133" t="s">
        <v>561</v>
      </c>
      <c r="AC82" s="127" t="s">
        <v>1436</v>
      </c>
      <c r="AD82" s="7" t="s">
        <v>1437</v>
      </c>
      <c r="AE82" s="9" t="s">
        <v>828</v>
      </c>
      <c r="AF82" s="141">
        <v>33993.201151739901</v>
      </c>
      <c r="AG82" s="141">
        <v>14876.25</v>
      </c>
      <c r="AH82" s="103" t="s">
        <v>1603</v>
      </c>
      <c r="AL82" s="656" t="s">
        <v>1438</v>
      </c>
    </row>
    <row r="83" spans="1:43" ht="29.1" customHeight="1" x14ac:dyDescent="0.15">
      <c r="E83" s="448">
        <v>22.5</v>
      </c>
      <c r="F83" s="3" t="str" cm="1">
        <f t="array" aca="1" ref="F83" ca="1">OFFSET(E83,-1,1)</f>
        <v>1</v>
      </c>
      <c r="G83" s="22"/>
      <c r="H83" s="4"/>
      <c r="I83" s="22" t="s">
        <v>1347</v>
      </c>
      <c r="K83" s="40"/>
      <c r="L83" s="40"/>
      <c r="M83" s="40"/>
      <c r="T83" s="353" t="b" cm="1">
        <f t="array" ref="T83">T82</f>
        <v>1</v>
      </c>
      <c r="X83" s="990"/>
      <c r="Z83" s="967"/>
      <c r="AB83" s="133" t="s">
        <v>565</v>
      </c>
      <c r="AC83" s="127" t="s">
        <v>1439</v>
      </c>
      <c r="AD83" s="7" t="s">
        <v>1440</v>
      </c>
      <c r="AE83" s="9" t="s">
        <v>828</v>
      </c>
      <c r="AF83" s="620">
        <f ca="1">SUM(AF84:AF94)</f>
        <v>22162.023786154899</v>
      </c>
      <c r="AG83" s="620">
        <f ca="1">SUM(AG84:AG94)</f>
        <v>22162.03</v>
      </c>
      <c r="AH83" s="103"/>
      <c r="AL83" s="656" t="s">
        <v>1441</v>
      </c>
    </row>
    <row r="84" spans="1:43" ht="21.75" customHeight="1" x14ac:dyDescent="0.15">
      <c r="E84" s="448">
        <v>22.5</v>
      </c>
      <c r="F84" s="3" t="str" cm="1">
        <f t="array" aca="1" ref="F84" ca="1">OFFSET(E84,-1,1)</f>
        <v>1</v>
      </c>
      <c r="G84" s="22"/>
      <c r="H84" s="4"/>
      <c r="I84" s="22" t="s">
        <v>1442</v>
      </c>
      <c r="K84" s="40"/>
      <c r="L84" s="40"/>
      <c r="M84" s="40"/>
      <c r="T84" s="353" t="b" cm="1">
        <f t="array" ref="T84">T83</f>
        <v>1</v>
      </c>
      <c r="X84" s="990"/>
      <c r="Z84" s="967"/>
      <c r="AB84" s="551" t="s">
        <v>514</v>
      </c>
      <c r="AC84" s="549" t="s">
        <v>1443</v>
      </c>
      <c r="AD84" s="9"/>
      <c r="AE84" s="9" t="s">
        <v>828</v>
      </c>
      <c r="AF84" s="141">
        <f ca="1">SUMIFS(Покупка!$AF$25:$AF$150,Покупка!$F$25:$F$150,$F84,Покупка!$G$25:$G$150,"Итого")</f>
        <v>0</v>
      </c>
      <c r="AG84" s="141">
        <f ca="1">SUMIFS(Покупка!$AG$25:$AG$150,Покупка!$F$25:$F$150,$F84,Покупка!$G$25:$G$150,"Итого")</f>
        <v>0</v>
      </c>
      <c r="AH84" s="103"/>
      <c r="AL84" s="656" t="s">
        <v>1444</v>
      </c>
    </row>
    <row r="85" spans="1:43" ht="25.7" customHeight="1" x14ac:dyDescent="0.15">
      <c r="E85" s="448">
        <v>15</v>
      </c>
      <c r="F85" s="3" t="str" cm="1">
        <f t="array" aca="1" ref="F85" ca="1">OFFSET(E85,-1,1)</f>
        <v>1</v>
      </c>
      <c r="G85" s="22"/>
      <c r="H85" s="4"/>
      <c r="I85" s="22" t="s">
        <v>1445</v>
      </c>
      <c r="K85" s="40"/>
      <c r="L85" s="40"/>
      <c r="M85" s="40"/>
      <c r="T85" s="353" t="b" cm="1">
        <f t="array" ref="T85">T84</f>
        <v>1</v>
      </c>
      <c r="X85" s="990"/>
      <c r="Z85" s="967"/>
      <c r="AB85" s="551" t="s">
        <v>1446</v>
      </c>
      <c r="AC85" s="549" t="s">
        <v>1447</v>
      </c>
      <c r="AD85" s="9"/>
      <c r="AE85" s="9" t="s">
        <v>828</v>
      </c>
      <c r="AF85" s="141">
        <v>2049.0230507279998</v>
      </c>
      <c r="AG85" s="141">
        <v>2049.02</v>
      </c>
      <c r="AH85" s="103" t="s">
        <v>1604</v>
      </c>
      <c r="AL85" s="656" t="s">
        <v>1448</v>
      </c>
    </row>
    <row r="86" spans="1:43" ht="70.7" customHeight="1" x14ac:dyDescent="0.15">
      <c r="E86" s="448">
        <v>15</v>
      </c>
      <c r="F86" s="3" t="str" cm="1">
        <f t="array" aca="1" ref="F86" ca="1">OFFSET(E86,-1,1)</f>
        <v>1</v>
      </c>
      <c r="G86" s="22"/>
      <c r="H86" s="4"/>
      <c r="I86" s="22" t="s">
        <v>1449</v>
      </c>
      <c r="K86" s="40"/>
      <c r="L86" s="40"/>
      <c r="M86" s="40"/>
      <c r="T86" s="353" t="b" cm="1">
        <f t="array" ref="T86">T85</f>
        <v>1</v>
      </c>
      <c r="X86" s="990"/>
      <c r="Z86" s="967"/>
      <c r="AB86" s="551" t="s">
        <v>1450</v>
      </c>
      <c r="AC86" s="549" t="s">
        <v>1451</v>
      </c>
      <c r="AD86" s="9"/>
      <c r="AE86" s="9" t="s">
        <v>828</v>
      </c>
      <c r="AF86" s="141">
        <v>20113.0007354269</v>
      </c>
      <c r="AG86" s="141">
        <v>20113.009999999998</v>
      </c>
      <c r="AH86" s="103" t="s">
        <v>1605</v>
      </c>
      <c r="AL86" s="656" t="s">
        <v>1452</v>
      </c>
    </row>
    <row r="87" spans="1:43" ht="65.25" customHeight="1" x14ac:dyDescent="0.15">
      <c r="E87" s="448">
        <v>67.5</v>
      </c>
      <c r="F87" s="3" t="str" cm="1">
        <f t="array" aca="1" ref="F87" ca="1">OFFSET(E87,-1,1)</f>
        <v>1</v>
      </c>
      <c r="G87" s="25" t="s">
        <v>1453</v>
      </c>
      <c r="H87" s="4"/>
      <c r="I87" s="59" t="s">
        <v>1454</v>
      </c>
      <c r="K87" s="40"/>
      <c r="L87" s="40"/>
      <c r="M87" s="40"/>
      <c r="T87" s="353" t="b" cm="1">
        <f t="array" ref="T87">T86</f>
        <v>1</v>
      </c>
      <c r="X87" s="990"/>
      <c r="Z87" s="967"/>
      <c r="AB87" s="551" t="s">
        <v>1455</v>
      </c>
      <c r="AC87" s="549" t="s">
        <v>1456</v>
      </c>
      <c r="AD87" s="9"/>
      <c r="AE87" s="9" t="s">
        <v>828</v>
      </c>
      <c r="AF87" s="141"/>
      <c r="AG87" s="141">
        <f ca="1">IF(AND(method_reg="Метод индексации",first_year=god),SUMIFS('Калькуляция (МИ)'!$AG$25:$AG$603,'Калькуляция (МИ)'!$F$25:$F$603,$F87,'Калькуляция (МИ)'!$G$25:$G$603,$G87),SUMIFS('Калькуляция (МИ корр)'!$AG$25:$AG$603,'Калькуляция (МИ корр)'!$F$25:$F$603,$F87,'Калькуляция (МИ корр)'!$G$25:$G$603,$G87))</f>
        <v>0</v>
      </c>
      <c r="AH87" s="103"/>
      <c r="AL87" s="656" t="s">
        <v>1457</v>
      </c>
    </row>
    <row r="88" spans="1:43" ht="14.25" customHeight="1" x14ac:dyDescent="0.15">
      <c r="E88" s="448">
        <v>15</v>
      </c>
      <c r="F88" s="3" t="str" cm="1">
        <f t="array" aca="1" ref="F88" ca="1">OFFSET(E88,-1,1)</f>
        <v>1</v>
      </c>
      <c r="G88" s="25" t="s">
        <v>1065</v>
      </c>
      <c r="H88" s="4"/>
      <c r="I88" s="59" t="s">
        <v>1458</v>
      </c>
      <c r="K88" s="40"/>
      <c r="L88" s="40"/>
      <c r="M88" s="40"/>
      <c r="T88" s="353" t="b" cm="1">
        <f t="array" ref="T88">T87</f>
        <v>1</v>
      </c>
      <c r="X88" s="990"/>
      <c r="Z88" s="967"/>
      <c r="AB88" s="551" t="s">
        <v>1459</v>
      </c>
      <c r="AC88" s="549" t="s">
        <v>1460</v>
      </c>
      <c r="AD88" s="9"/>
      <c r="AE88" s="9" t="s">
        <v>828</v>
      </c>
      <c r="AF88" s="141"/>
      <c r="AG88" s="141">
        <f ca="1">IF(AND(method_reg="Метод индексации",first_year=god),SUMIFS('Калькуляция (МИ)'!$AG$25:$AG$603,'Калькуляция (МИ)'!$F$25:$F$603,$F88,'Калькуляция (МИ)'!$G$25:$G$603,$G88),SUMIFS('Калькуляция (МИ корр)'!$AG$25:$AG$603,'Калькуляция (МИ корр)'!$F$25:$F$603,$F88,'Калькуляция (МИ корр)'!$G$25:$G$603,$G88))</f>
        <v>0</v>
      </c>
      <c r="AH88" s="103"/>
      <c r="AL88" s="656" t="s">
        <v>1461</v>
      </c>
    </row>
    <row r="89" spans="1:43" ht="14.25" customHeight="1" x14ac:dyDescent="0.15">
      <c r="E89" s="448">
        <v>15</v>
      </c>
      <c r="F89" s="3" t="str" cm="1">
        <f t="array" aca="1" ref="F89" ca="1">OFFSET(E89,-1,1)</f>
        <v>1</v>
      </c>
      <c r="G89" s="25" t="s">
        <v>1462</v>
      </c>
      <c r="H89" s="4"/>
      <c r="I89" s="59" t="s">
        <v>1463</v>
      </c>
      <c r="K89" s="40"/>
      <c r="L89" s="40"/>
      <c r="M89" s="40"/>
      <c r="T89" s="353" t="b" cm="1">
        <f t="array" ref="T89">T88</f>
        <v>1</v>
      </c>
      <c r="X89" s="990"/>
      <c r="Z89" s="967"/>
      <c r="AB89" s="551" t="s">
        <v>1464</v>
      </c>
      <c r="AC89" s="549" t="s">
        <v>1465</v>
      </c>
      <c r="AD89" s="9"/>
      <c r="AE89" s="9" t="s">
        <v>828</v>
      </c>
      <c r="AF89" s="141"/>
      <c r="AG89" s="141">
        <f ca="1">IF(AND(method_reg="Метод индексации",first_year=god),SUMIFS('Калькуляция (МИ)'!$AG$25:$AG$603,'Калькуляция (МИ)'!$F$25:$F$603,$F89,'Калькуляция (МИ)'!$G$25:$G$603,$G89),SUMIFS('Калькуляция (МИ корр)'!$AG$25:$AG$603,'Калькуляция (МИ корр)'!$F$25:$F$603,$F89,'Калькуляция (МИ корр)'!$G$25:$G$603,$G89))</f>
        <v>0</v>
      </c>
      <c r="AH89" s="103"/>
      <c r="AL89" s="656" t="s">
        <v>1466</v>
      </c>
    </row>
    <row r="90" spans="1:43" ht="21.75" customHeight="1" x14ac:dyDescent="0.15">
      <c r="E90" s="448">
        <v>22.5</v>
      </c>
      <c r="F90" s="3" t="str" cm="1">
        <f t="array" aca="1" ref="F90" ca="1">OFFSET(E90,-1,1)</f>
        <v>1</v>
      </c>
      <c r="G90" s="25" t="s">
        <v>1467</v>
      </c>
      <c r="H90" s="4"/>
      <c r="I90" s="59" t="s">
        <v>1468</v>
      </c>
      <c r="K90" s="40"/>
      <c r="L90" s="40"/>
      <c r="M90" s="40"/>
      <c r="T90" s="353" t="b" cm="1">
        <f t="array" ref="T90">T89</f>
        <v>1</v>
      </c>
      <c r="X90" s="990"/>
      <c r="Z90" s="967"/>
      <c r="AB90" s="551" t="s">
        <v>1469</v>
      </c>
      <c r="AC90" s="549" t="s">
        <v>1470</v>
      </c>
      <c r="AD90" s="9"/>
      <c r="AE90" s="9" t="s">
        <v>828</v>
      </c>
      <c r="AF90" s="141"/>
      <c r="AG90" s="141">
        <f ca="1">IF(AND(method_reg="Метод индексации",first_year=god),SUMIFS('Калькуляция (МИ)'!$AG$25:$AG$603,'Калькуляция (МИ)'!$F$25:$F$603,$F90,'Калькуляция (МИ)'!$G$25:$G$603,$G90),SUMIFS('Калькуляция (МИ корр)'!$AG$25:$AG$603,'Калькуляция (МИ корр)'!$F$25:$F$603,$F90,'Калькуляция (МИ корр)'!$G$25:$G$603,$G90))</f>
        <v>0</v>
      </c>
      <c r="AH90" s="103"/>
      <c r="AL90" s="656" t="s">
        <v>1471</v>
      </c>
    </row>
    <row r="91" spans="1:43" ht="21.75" customHeight="1" x14ac:dyDescent="0.15">
      <c r="E91" s="448">
        <v>22.5</v>
      </c>
      <c r="F91" s="3" t="str" cm="1">
        <f t="array" aca="1" ref="F91" ca="1">OFFSET(E91,-1,1)</f>
        <v>1</v>
      </c>
      <c r="G91" s="25" t="s">
        <v>1472</v>
      </c>
      <c r="H91" s="4"/>
      <c r="I91" s="59" t="s">
        <v>1473</v>
      </c>
      <c r="K91" s="40"/>
      <c r="L91" s="40"/>
      <c r="M91" s="40"/>
      <c r="T91" s="353" t="b" cm="1">
        <f t="array" ref="T91">T90</f>
        <v>1</v>
      </c>
      <c r="X91" s="990"/>
      <c r="Z91" s="967"/>
      <c r="AB91" s="551" t="s">
        <v>1474</v>
      </c>
      <c r="AC91" s="549" t="s">
        <v>1475</v>
      </c>
      <c r="AD91" s="621"/>
      <c r="AE91" s="9" t="s">
        <v>828</v>
      </c>
      <c r="AF91" s="141"/>
      <c r="AG91" s="141">
        <f ca="1">IF(AND(method_reg="Метод индексации",first_year=god),SUMIFS('Калькуляция (МИ)'!$AG$25:$AG$603,'Калькуляция (МИ)'!$F$25:$F$603,$F91,'Калькуляция (МИ)'!$G$25:$G$603,$G91),SUMIFS('Калькуляция (МИ корр)'!$AG$25:$AG$603,'Калькуляция (МИ корр)'!$F$25:$F$603,$F91,'Калькуляция (МИ корр)'!$G$25:$G$603,$G91))</f>
        <v>0</v>
      </c>
      <c r="AH91" s="103"/>
      <c r="AL91" s="656" t="s">
        <v>1476</v>
      </c>
    </row>
    <row r="92" spans="1:43" ht="21.75" customHeight="1" x14ac:dyDescent="0.15">
      <c r="E92" s="448">
        <v>22.5</v>
      </c>
      <c r="F92" s="3" t="str" cm="1">
        <f t="array" aca="1" ref="F92" ca="1">OFFSET(E92,-1,1)</f>
        <v>1</v>
      </c>
      <c r="G92" s="25" t="s">
        <v>1477</v>
      </c>
      <c r="H92" s="4"/>
      <c r="I92" s="59" t="s">
        <v>1478</v>
      </c>
      <c r="K92" s="40"/>
      <c r="L92" s="40"/>
      <c r="M92" s="40"/>
      <c r="T92" s="353" t="b" cm="1">
        <f t="array" ref="T92">T91</f>
        <v>1</v>
      </c>
      <c r="X92" s="990"/>
      <c r="Z92" s="967"/>
      <c r="AB92" s="551" t="s">
        <v>1479</v>
      </c>
      <c r="AC92" s="549" t="s">
        <v>1480</v>
      </c>
      <c r="AD92" s="621"/>
      <c r="AE92" s="9" t="s">
        <v>828</v>
      </c>
      <c r="AF92" s="141"/>
      <c r="AG92" s="141">
        <f ca="1">IF(AND(method_reg="Метод индексации",first_year=god),SUMIFS('Калькуляция (МИ)'!$AG$25:$AG$603,'Калькуляция (МИ)'!$F$25:$F$603,$F92,'Калькуляция (МИ)'!$G$25:$G$603,$G92),SUMIFS('Калькуляция (МИ корр)'!$AG$25:$AG$603,'Калькуляция (МИ корр)'!$F$25:$F$603,$F92,'Калькуляция (МИ корр)'!$G$25:$G$603,$G92))</f>
        <v>0</v>
      </c>
      <c r="AH92" s="103"/>
      <c r="AL92" s="656" t="s">
        <v>1481</v>
      </c>
    </row>
    <row r="93" spans="1:43" ht="14.25" customHeight="1" x14ac:dyDescent="0.15">
      <c r="E93" s="448">
        <v>15</v>
      </c>
      <c r="F93" s="3" t="str" cm="1">
        <f t="array" aca="1" ref="F93" ca="1">OFFSET(E93,-1,1)</f>
        <v>1</v>
      </c>
      <c r="G93" s="25" t="s">
        <v>1482</v>
      </c>
      <c r="H93" s="4"/>
      <c r="I93" s="59" t="s">
        <v>1483</v>
      </c>
      <c r="K93" s="40"/>
      <c r="L93" s="40"/>
      <c r="M93" s="40"/>
      <c r="T93" s="353" t="b" cm="1">
        <f t="array" ref="T93">T92</f>
        <v>1</v>
      </c>
      <c r="X93" s="990"/>
      <c r="Z93" s="967"/>
      <c r="AB93" s="551" t="s">
        <v>1484</v>
      </c>
      <c r="AC93" s="549" t="s">
        <v>1485</v>
      </c>
      <c r="AD93" s="621"/>
      <c r="AE93" s="9" t="s">
        <v>828</v>
      </c>
      <c r="AF93" s="141"/>
      <c r="AG93" s="141">
        <f ca="1">IF(AND(method_reg="Метод индексации",first_year=god),SUMIFS('Калькуляция (МИ)'!$AG$25:$AG$603,'Калькуляция (МИ)'!$F$25:$F$603,$F93,'Калькуляция (МИ)'!$G$25:$G$603,$G93),SUMIFS('Калькуляция (МИ корр)'!$AG$25:$AG$603,'Калькуляция (МИ корр)'!$F$25:$F$603,$F93,'Калькуляция (МИ корр)'!$G$25:$G$603,$G93))</f>
        <v>0</v>
      </c>
      <c r="AH93" s="103"/>
      <c r="AL93" s="656" t="s">
        <v>1486</v>
      </c>
    </row>
    <row r="94" spans="1:43" ht="21.75" customHeight="1" x14ac:dyDescent="0.15">
      <c r="E94" s="448">
        <v>22.5</v>
      </c>
      <c r="F94" s="3" t="str" cm="1">
        <f t="array" aca="1" ref="F94" ca="1">OFFSET(E94,-1,1)</f>
        <v>1</v>
      </c>
      <c r="G94" s="25" t="s">
        <v>1487</v>
      </c>
      <c r="H94" s="4"/>
      <c r="I94" s="59" t="s">
        <v>1488</v>
      </c>
      <c r="K94" s="40"/>
      <c r="L94" s="40"/>
      <c r="M94" s="40"/>
      <c r="T94" s="353" t="b" cm="1">
        <f t="array" ref="T94">T93</f>
        <v>1</v>
      </c>
      <c r="X94" s="990"/>
      <c r="Z94" s="967"/>
      <c r="AB94" s="551" t="s">
        <v>1489</v>
      </c>
      <c r="AC94" s="549" t="s">
        <v>1490</v>
      </c>
      <c r="AD94" s="621"/>
      <c r="AE94" s="9" t="s">
        <v>828</v>
      </c>
      <c r="AF94" s="141"/>
      <c r="AG94" s="141">
        <f ca="1">IF(AND(method_reg="Метод индексации",first_year=god),SUMIFS('Калькуляция (МИ)'!$AG$25:$AG$603,'Калькуляция (МИ)'!$F$25:$F$603,$F94,'Калькуляция (МИ)'!$G$25:$G$603,$G94),SUMIFS('Калькуляция (МИ корр)'!$AG$25:$AG$603,'Калькуляция (МИ корр)'!$F$25:$F$603,$F94,'Калькуляция (МИ корр)'!$G$25:$G$603,$G94))</f>
        <v>0</v>
      </c>
      <c r="AH94" s="103"/>
      <c r="AL94" s="656" t="s">
        <v>1491</v>
      </c>
    </row>
    <row r="95" spans="1:43" ht="93.2" customHeight="1" x14ac:dyDescent="0.15">
      <c r="E95" s="448">
        <v>15</v>
      </c>
      <c r="F95" s="3" t="str" cm="1">
        <f t="array" aca="1" ref="F95" ca="1">OFFSET(E95,-1,1)</f>
        <v>1</v>
      </c>
      <c r="G95" s="22"/>
      <c r="H95" s="4"/>
      <c r="I95" s="22" t="s">
        <v>1351</v>
      </c>
      <c r="K95" s="40"/>
      <c r="L95" s="40"/>
      <c r="M95" s="40"/>
      <c r="T95" s="353" t="b" cm="1">
        <f t="array" ref="T95">T94</f>
        <v>1</v>
      </c>
      <c r="X95" s="990"/>
      <c r="Z95" s="967"/>
      <c r="AB95" s="133" t="s">
        <v>569</v>
      </c>
      <c r="AC95" s="127" t="s">
        <v>1492</v>
      </c>
      <c r="AD95" s="7" t="s">
        <v>1493</v>
      </c>
      <c r="AE95" s="9" t="s">
        <v>828</v>
      </c>
      <c r="AF95" s="141">
        <v>21918.191888597499</v>
      </c>
      <c r="AG95" s="141">
        <v>21918.19</v>
      </c>
      <c r="AH95" s="103" t="s">
        <v>1606</v>
      </c>
      <c r="AL95" s="656" t="s">
        <v>1494</v>
      </c>
    </row>
    <row r="96" spans="1:43" ht="23.25" customHeight="1" x14ac:dyDescent="0.15">
      <c r="E96" s="448">
        <v>22.5</v>
      </c>
      <c r="F96" s="3" t="str" cm="1">
        <f t="array" aca="1" ref="F96" ca="1">OFFSET(E96,-1,1)</f>
        <v>1</v>
      </c>
      <c r="G96" s="22"/>
      <c r="H96" s="4"/>
      <c r="I96" s="22" t="s">
        <v>1495</v>
      </c>
      <c r="K96" s="40"/>
      <c r="L96" s="40"/>
      <c r="M96" s="40"/>
      <c r="T96" s="353" t="b" cm="1">
        <f t="array" ref="T96">T95</f>
        <v>1</v>
      </c>
      <c r="X96" s="990"/>
      <c r="Z96" s="967"/>
      <c r="AB96" s="133" t="s">
        <v>519</v>
      </c>
      <c r="AC96" s="134" t="s">
        <v>1496</v>
      </c>
      <c r="AD96" s="7" t="s">
        <v>1497</v>
      </c>
      <c r="AE96" s="9" t="s">
        <v>888</v>
      </c>
      <c r="AF96" s="141">
        <v>0.30713228539999998</v>
      </c>
      <c r="AG96" s="141">
        <v>0.30713228539999998</v>
      </c>
      <c r="AH96" s="103"/>
      <c r="AL96" s="656" t="s">
        <v>1498</v>
      </c>
    </row>
    <row r="97" spans="2:38" ht="14.65" customHeight="1" x14ac:dyDescent="0.15">
      <c r="E97" s="448">
        <v>15</v>
      </c>
      <c r="F97" s="3" t="str" cm="1">
        <f t="array" aca="1" ref="F97" ca="1">OFFSET(E97,-1,1)</f>
        <v>1</v>
      </c>
      <c r="G97" s="22"/>
      <c r="H97" s="4"/>
      <c r="I97" s="22" t="s">
        <v>1499</v>
      </c>
      <c r="K97" s="40"/>
      <c r="L97" s="40"/>
      <c r="M97" s="40"/>
      <c r="T97" s="353" t="b" cm="1">
        <f t="array" ref="T97">T96</f>
        <v>1</v>
      </c>
      <c r="X97" s="990"/>
      <c r="Z97" s="967"/>
      <c r="AB97" s="133" t="s">
        <v>1500</v>
      </c>
      <c r="AC97" s="134" t="s">
        <v>1501</v>
      </c>
      <c r="AD97" s="7" t="s">
        <v>1502</v>
      </c>
      <c r="AE97" s="9" t="s">
        <v>882</v>
      </c>
      <c r="AF97" s="141">
        <v>17945.460999999999</v>
      </c>
      <c r="AG97" s="141">
        <v>17945.460999999999</v>
      </c>
      <c r="AH97" s="103"/>
      <c r="AL97" s="656" t="s">
        <v>1503</v>
      </c>
    </row>
    <row r="98" spans="2:38" ht="23.25" customHeight="1" x14ac:dyDescent="0.15">
      <c r="E98" s="448">
        <v>22.5</v>
      </c>
      <c r="F98" s="3" t="str" cm="1">
        <f t="array" aca="1" ref="F98" ca="1">OFFSET(E98,-1,1)</f>
        <v>1</v>
      </c>
      <c r="G98" s="22"/>
      <c r="H98" s="4"/>
      <c r="I98" s="22" t="s">
        <v>1504</v>
      </c>
      <c r="K98" s="40"/>
      <c r="L98" s="40"/>
      <c r="M98" s="40"/>
      <c r="T98" s="353" t="b" cm="1">
        <f t="array" ref="T98">T97</f>
        <v>1</v>
      </c>
      <c r="X98" s="990"/>
      <c r="Z98" s="967"/>
      <c r="AB98" s="133" t="s">
        <v>1505</v>
      </c>
      <c r="AC98" s="134" t="s">
        <v>1506</v>
      </c>
      <c r="AD98" s="7" t="s">
        <v>1507</v>
      </c>
      <c r="AE98" s="9" t="s">
        <v>885</v>
      </c>
      <c r="AF98" s="141">
        <v>3.9767165254000001</v>
      </c>
      <c r="AG98" s="141">
        <v>3.9767165254000001</v>
      </c>
      <c r="AH98" s="103" t="s">
        <v>1607</v>
      </c>
      <c r="AL98" s="656" t="s">
        <v>1508</v>
      </c>
    </row>
    <row r="99" spans="2:38" ht="86.45" customHeight="1" x14ac:dyDescent="0.15">
      <c r="E99" s="448">
        <v>22.5</v>
      </c>
      <c r="F99" s="3" t="str" cm="1">
        <f t="array" aca="1" ref="F99" ca="1">OFFSET(E99,-1,1)</f>
        <v>1</v>
      </c>
      <c r="G99" s="22" t="s">
        <v>1509</v>
      </c>
      <c r="H99" s="4"/>
      <c r="I99" s="22" t="s">
        <v>1510</v>
      </c>
      <c r="K99" s="40"/>
      <c r="L99" s="40"/>
      <c r="M99" s="40"/>
      <c r="T99" s="353" t="b" cm="1">
        <f t="array" ref="T99">T98</f>
        <v>1</v>
      </c>
      <c r="X99" s="990"/>
      <c r="Z99" s="967"/>
      <c r="AB99" s="133" t="s">
        <v>962</v>
      </c>
      <c r="AC99" s="127" t="s">
        <v>1511</v>
      </c>
      <c r="AD99" s="7" t="s">
        <v>1512</v>
      </c>
      <c r="AE99" s="9" t="s">
        <v>828</v>
      </c>
      <c r="AF99" s="141">
        <v>5483.4794127398</v>
      </c>
      <c r="AG99" s="141">
        <v>3532.23</v>
      </c>
      <c r="AH99" s="103" t="s">
        <v>1608</v>
      </c>
      <c r="AL99" s="656" t="s">
        <v>1247</v>
      </c>
    </row>
    <row r="100" spans="2:38" ht="14.25" customHeight="1" x14ac:dyDescent="0.15">
      <c r="E100" s="448">
        <v>15</v>
      </c>
      <c r="F100" s="3" t="str" cm="1">
        <f t="array" aca="1" ref="F100" ca="1">OFFSET(E100,-1,1)</f>
        <v>1</v>
      </c>
      <c r="G100" s="22" t="s">
        <v>1513</v>
      </c>
      <c r="H100" s="4"/>
      <c r="I100" s="22" t="s">
        <v>1514</v>
      </c>
      <c r="K100" s="40"/>
      <c r="L100" s="40"/>
      <c r="M100" s="40"/>
      <c r="T100" s="353" t="b" cm="1">
        <f t="array" ref="T100">T99</f>
        <v>1</v>
      </c>
      <c r="X100" s="990"/>
      <c r="Z100" s="967"/>
      <c r="AB100" s="133" t="s">
        <v>965</v>
      </c>
      <c r="AC100" s="622" t="s">
        <v>1515</v>
      </c>
      <c r="AD100" s="7" t="s">
        <v>1516</v>
      </c>
      <c r="AE100" s="9" t="s">
        <v>828</v>
      </c>
      <c r="AF100" s="141"/>
      <c r="AG100" s="141">
        <f ca="1">IF(AND(method_reg="Метод индексации",first_year=god),SUMIFS('Калькуляция (МИ)'!$AE$25:$AE$603,'Калькуляция (МИ)'!$F$25:$F$603,$F100,'Калькуляция (МИ)'!$G$25:$G$603,"Нормативная прибыль")-SUMIFS('Калькуляция (МИ)'!$AE$25:$AE$603,'Калькуляция (МИ)'!$F$25:$F$603,$F100,'Калькуляция (МИ)'!$G$25:$G$603,"иные экономически обоснованные расходы на социальные нужды")+SUMIFS('Калькуляция (МИ)'!$AG$25:$AG$603,'Калькуляция (МИ)'!$F$25:$F$603,$F100,'Калькуляция (МИ)'!$G$25:$G$603,"иные экономически обоснованные расходы на социальные нужды"),SUMIFS('Калькуляция (МИ корр)'!$AE$25:$AE$603,'Калькуляция (МИ корр)'!$F$25:$F$603,$F100,'Калькуляция (МИ корр)'!$G$25:$G$603,"Нормативная прибыль")-SUMIFS('Калькуляция (МИ корр)'!$AE$25:$AE$603,'Калькуляция (МИ корр)'!$F$25:$F$603,$F100,'Калькуляция (МИ корр)'!$G$25:$G$603,"иные экономически обоснованные расходы на социальные нужды")+SUMIFS('Калькуляция (МИ корр)'!$AG$25:$AG$603,'Калькуляция (МИ корр)'!$F$25:$F$603,$F100,'Калькуляция (МИ корр)'!$G$25:$G$603,"иные экономически обоснованные расходы на социальные нужды"))</f>
        <v>0</v>
      </c>
      <c r="AH100" s="103"/>
      <c r="AL100" s="656" t="s">
        <v>1517</v>
      </c>
    </row>
    <row r="101" spans="2:38" ht="14.25" customHeight="1" x14ac:dyDescent="0.15">
      <c r="E101" s="448">
        <v>15</v>
      </c>
      <c r="F101" s="3" t="str" cm="1">
        <f t="array" aca="1" ref="F101" ca="1">OFFSET(E101,-1,1)</f>
        <v>1</v>
      </c>
      <c r="G101" s="25" t="s">
        <v>1518</v>
      </c>
      <c r="H101" s="4"/>
      <c r="I101" s="59" t="s">
        <v>1519</v>
      </c>
      <c r="K101" s="40"/>
      <c r="L101" s="40"/>
      <c r="M101" s="40"/>
      <c r="T101" s="353" t="b" cm="1">
        <f t="array" ref="T101">T100</f>
        <v>1</v>
      </c>
      <c r="X101" s="990"/>
      <c r="Z101" s="967"/>
      <c r="AB101" s="133" t="s">
        <v>1520</v>
      </c>
      <c r="AC101" s="127" t="s">
        <v>1521</v>
      </c>
      <c r="AD101" s="7" t="s">
        <v>1522</v>
      </c>
      <c r="AE101" s="9" t="s">
        <v>828</v>
      </c>
      <c r="AF101" s="141"/>
      <c r="AG101" s="141">
        <f ca="1">IF(AND(method_reg="Метод индексации",first_year=god),SUMIFS('Калькуляция (МИ)'!$AG$25:$AG$603,'Калькуляция (МИ)'!$F$25:$F$603,$F101,'Калькуляция (МИ)'!$G$25:$G$603,$G101),SUMIFS('Калькуляция (МИ корр)'!$AG$25:$AG$603,'Калькуляция (МИ корр)'!$F$25:$F$603,$F101,'Калькуляция (МИ корр)'!$G$25:$G$603,$G101))</f>
        <v>0</v>
      </c>
      <c r="AH101" s="103"/>
      <c r="AL101" s="656" t="s">
        <v>1523</v>
      </c>
    </row>
    <row r="102" spans="2:38" ht="23.25" customHeight="1" x14ac:dyDescent="0.15">
      <c r="E102" s="448">
        <v>22.5</v>
      </c>
      <c r="F102" s="3" t="str" cm="1">
        <f t="array" aca="1" ref="F102" ca="1">OFFSET(E102,-1,1)</f>
        <v>1</v>
      </c>
      <c r="G102" s="25"/>
      <c r="H102" s="4"/>
      <c r="I102" s="22" t="s">
        <v>1524</v>
      </c>
      <c r="K102" s="40"/>
      <c r="L102" s="40"/>
      <c r="M102" s="40"/>
      <c r="T102" s="353" t="b" cm="1">
        <f t="array" ref="T102">T101</f>
        <v>1</v>
      </c>
      <c r="X102" s="990"/>
      <c r="Z102" s="967"/>
      <c r="AB102" s="133" t="s">
        <v>1525</v>
      </c>
      <c r="AC102" s="127" t="s">
        <v>1526</v>
      </c>
      <c r="AD102" s="7"/>
      <c r="AE102" s="9" t="s">
        <v>828</v>
      </c>
      <c r="AF102" s="141">
        <f>AF103+AF104+AF105</f>
        <v>0</v>
      </c>
      <c r="AG102" s="141">
        <v>2717.87</v>
      </c>
      <c r="AH102" s="103"/>
      <c r="AL102" s="656" t="s">
        <v>1527</v>
      </c>
    </row>
    <row r="103" spans="2:38" ht="21.75" customHeight="1" x14ac:dyDescent="0.15">
      <c r="E103" s="448">
        <v>22.5</v>
      </c>
      <c r="F103" s="3" t="str" cm="1">
        <f t="array" aca="1" ref="F103" ca="1">OFFSET(E103,-1,1)</f>
        <v>1</v>
      </c>
      <c r="G103" s="22"/>
      <c r="H103" s="4"/>
      <c r="I103" s="22" t="s">
        <v>1528</v>
      </c>
      <c r="K103" s="40"/>
      <c r="L103" s="40"/>
      <c r="M103" s="40"/>
      <c r="T103" s="353" t="b" cm="1">
        <f t="array" ref="T103">T102</f>
        <v>1</v>
      </c>
      <c r="X103" s="990"/>
      <c r="Z103" s="967"/>
      <c r="AB103" s="133" t="s">
        <v>1529</v>
      </c>
      <c r="AC103" s="134" t="s">
        <v>1530</v>
      </c>
      <c r="AD103" s="7" t="s">
        <v>1531</v>
      </c>
      <c r="AE103" s="9" t="s">
        <v>828</v>
      </c>
      <c r="AF103" s="141"/>
      <c r="AG103" s="141"/>
      <c r="AH103" s="103"/>
      <c r="AL103" s="656" t="s">
        <v>1532</v>
      </c>
    </row>
    <row r="104" spans="2:38" ht="14.25" customHeight="1" x14ac:dyDescent="0.15">
      <c r="E104" s="448">
        <v>15</v>
      </c>
      <c r="F104" s="3" t="str" cm="1">
        <f t="array" aca="1" ref="F104" ca="1">OFFSET(E104,-1,1)</f>
        <v>1</v>
      </c>
      <c r="G104" s="22"/>
      <c r="H104" s="4"/>
      <c r="I104" s="22" t="s">
        <v>1533</v>
      </c>
      <c r="K104" s="40"/>
      <c r="L104" s="40"/>
      <c r="M104" s="40"/>
      <c r="T104" s="353" t="b" cm="1">
        <f t="array" ref="T104">T103</f>
        <v>1</v>
      </c>
      <c r="X104" s="990"/>
      <c r="Z104" s="967"/>
      <c r="AB104" s="133" t="s">
        <v>1534</v>
      </c>
      <c r="AC104" s="134" t="s">
        <v>1535</v>
      </c>
      <c r="AD104" s="7" t="s">
        <v>1536</v>
      </c>
      <c r="AE104" s="9" t="s">
        <v>828</v>
      </c>
      <c r="AF104" s="141"/>
      <c r="AG104" s="141"/>
      <c r="AH104" s="103"/>
      <c r="AL104" s="656" t="s">
        <v>1537</v>
      </c>
    </row>
    <row r="105" spans="2:38" ht="66.599999999999994" customHeight="1" x14ac:dyDescent="0.15">
      <c r="E105" s="448">
        <v>45</v>
      </c>
      <c r="F105" s="3" t="str" cm="1">
        <f t="array" aca="1" ref="F105" ca="1">OFFSET(E105,-1,1)</f>
        <v>1</v>
      </c>
      <c r="G105" s="22"/>
      <c r="H105" s="4"/>
      <c r="I105" s="22" t="s">
        <v>1538</v>
      </c>
      <c r="K105" s="40"/>
      <c r="L105" s="40"/>
      <c r="M105" s="40"/>
      <c r="T105" s="353" t="b" cm="1">
        <f t="array" ref="T105">T104</f>
        <v>1</v>
      </c>
      <c r="X105" s="990"/>
      <c r="Z105" s="967"/>
      <c r="AB105" s="133" t="s">
        <v>1539</v>
      </c>
      <c r="AC105" s="134" t="s">
        <v>1540</v>
      </c>
      <c r="AD105" s="9" t="s">
        <v>1541</v>
      </c>
      <c r="AE105" s="9" t="s">
        <v>828</v>
      </c>
      <c r="AF105" s="141"/>
      <c r="AG105" s="141">
        <v>2717.87</v>
      </c>
      <c r="AH105" s="103" t="s">
        <v>1609</v>
      </c>
      <c r="AL105" s="656" t="s">
        <v>1542</v>
      </c>
    </row>
    <row r="106" spans="2:38" ht="21.75" customHeight="1" x14ac:dyDescent="0.15">
      <c r="E106" s="448">
        <v>22.5</v>
      </c>
      <c r="F106" s="3" t="str" cm="1">
        <f t="array" aca="1" ref="F106" ca="1">OFFSET(E106,-1,1)</f>
        <v>1</v>
      </c>
      <c r="G106" s="22"/>
      <c r="H106" s="4"/>
      <c r="I106" s="22" t="s">
        <v>1543</v>
      </c>
      <c r="K106" s="40"/>
      <c r="L106" s="40"/>
      <c r="M106" s="40"/>
      <c r="T106" s="353" t="b" cm="1">
        <f t="array" ref="T106">T105</f>
        <v>1</v>
      </c>
      <c r="X106" s="990"/>
      <c r="Z106" s="967"/>
      <c r="AB106" s="133" t="s">
        <v>1544</v>
      </c>
      <c r="AC106" s="127" t="s">
        <v>1545</v>
      </c>
      <c r="AD106" s="9" t="s">
        <v>1546</v>
      </c>
      <c r="AE106" s="9" t="s">
        <v>828</v>
      </c>
      <c r="AF106" s="141"/>
      <c r="AG106" s="141"/>
      <c r="AH106" s="103"/>
      <c r="AL106" s="656" t="s">
        <v>1547</v>
      </c>
    </row>
    <row r="107" spans="2:38" ht="76.5" hidden="1" customHeight="1" x14ac:dyDescent="0.15">
      <c r="B107" s="43" t="b">
        <f>S78="Водоотведение"</f>
        <v>0</v>
      </c>
      <c r="E107" s="448">
        <v>78.75</v>
      </c>
      <c r="F107" s="3" t="str" cm="1">
        <f t="array" aca="1" ref="F107" ca="1">OFFSET(E107,-1,1)</f>
        <v>1</v>
      </c>
      <c r="G107" s="22"/>
      <c r="H107" s="4"/>
      <c r="I107" s="22"/>
      <c r="K107" s="40"/>
      <c r="L107" s="40"/>
      <c r="M107" s="40"/>
      <c r="T107" s="353" t="b" cm="1">
        <f t="array" ref="T107">T106</f>
        <v>1</v>
      </c>
      <c r="X107" s="990"/>
      <c r="Z107" s="967"/>
      <c r="AB107" s="133" t="s">
        <v>1548</v>
      </c>
      <c r="AC107" s="127" t="s">
        <v>1549</v>
      </c>
      <c r="AD107" s="9"/>
      <c r="AE107" s="9" t="s">
        <v>828</v>
      </c>
      <c r="AF107" s="781"/>
      <c r="AG107" s="781"/>
      <c r="AH107" s="819"/>
      <c r="AL107" s="656" t="s">
        <v>1550</v>
      </c>
    </row>
    <row r="108" spans="2:38" ht="54.75" hidden="1" customHeight="1" x14ac:dyDescent="0.15">
      <c r="B108" s="43" t="b" cm="1">
        <f t="array" ref="B108">B107</f>
        <v>0</v>
      </c>
      <c r="E108" s="448">
        <v>56.25</v>
      </c>
      <c r="F108" s="3" t="str" cm="1">
        <f t="array" aca="1" ref="F108" ca="1">OFFSET(E108,-1,1)</f>
        <v>1</v>
      </c>
      <c r="G108" s="22"/>
      <c r="H108" s="4"/>
      <c r="I108" s="22"/>
      <c r="K108" s="40"/>
      <c r="L108" s="40"/>
      <c r="M108" s="40"/>
      <c r="T108" s="353" t="b" cm="1">
        <f t="array" ref="T108">T107</f>
        <v>1</v>
      </c>
      <c r="X108" s="990"/>
      <c r="Z108" s="967"/>
      <c r="AB108" s="133" t="s">
        <v>1551</v>
      </c>
      <c r="AC108" s="127" t="s">
        <v>1552</v>
      </c>
      <c r="AD108" s="9"/>
      <c r="AE108" s="9" t="s">
        <v>828</v>
      </c>
      <c r="AF108" s="781"/>
      <c r="AG108" s="781"/>
      <c r="AH108" s="819"/>
      <c r="AL108" s="656" t="s">
        <v>1378</v>
      </c>
    </row>
    <row r="109" spans="2:38" ht="14.25" customHeight="1" x14ac:dyDescent="0.15">
      <c r="E109" s="448">
        <v>15</v>
      </c>
      <c r="F109" s="3" t="str" cm="1">
        <f t="array" aca="1" ref="F109" ca="1">OFFSET(E109,-1,1)</f>
        <v>1</v>
      </c>
      <c r="G109" s="22"/>
      <c r="H109" s="4"/>
      <c r="I109" s="22"/>
      <c r="K109" s="40"/>
      <c r="L109" s="40"/>
      <c r="M109" s="40"/>
      <c r="T109" s="353" t="b" cm="1">
        <f t="array" ref="T109">T108</f>
        <v>1</v>
      </c>
      <c r="X109" s="990"/>
      <c r="Z109" s="967"/>
      <c r="AB109" s="7" t="str">
        <f>IF(B108,"2.12","2.10")</f>
        <v>2.10</v>
      </c>
      <c r="AC109" s="127" t="s">
        <v>1553</v>
      </c>
      <c r="AD109" s="9" t="s">
        <v>1554</v>
      </c>
      <c r="AE109" s="9" t="s">
        <v>828</v>
      </c>
      <c r="AF109" s="141">
        <f>AF110+AF111</f>
        <v>0</v>
      </c>
      <c r="AG109" s="141">
        <f>AG110+AG111</f>
        <v>0</v>
      </c>
      <c r="AH109" s="103"/>
      <c r="AL109" s="656" t="s">
        <v>1555</v>
      </c>
    </row>
    <row r="110" spans="2:38" ht="21.75" customHeight="1" x14ac:dyDescent="0.15">
      <c r="E110" s="448">
        <v>22.5</v>
      </c>
      <c r="F110" s="3" t="str" cm="1">
        <f t="array" aca="1" ref="F110" ca="1">OFFSET(E110,-1,1)</f>
        <v>1</v>
      </c>
      <c r="G110" s="22"/>
      <c r="H110" s="4"/>
      <c r="I110" s="22"/>
      <c r="K110" s="40"/>
      <c r="L110" s="40"/>
      <c r="M110" s="40"/>
      <c r="T110" s="353" t="b" cm="1">
        <f t="array" ref="T110">T109</f>
        <v>1</v>
      </c>
      <c r="X110" s="990"/>
      <c r="Z110" s="967"/>
      <c r="AB110" s="7" t="str">
        <f>AB109&amp;".1"</f>
        <v>2.10.1</v>
      </c>
      <c r="AC110" s="127" t="s">
        <v>1556</v>
      </c>
      <c r="AD110" s="9" t="s">
        <v>1554</v>
      </c>
      <c r="AE110" s="9" t="s">
        <v>828</v>
      </c>
      <c r="AF110" s="141"/>
      <c r="AG110" s="141"/>
      <c r="AH110" s="103"/>
      <c r="AL110" s="656" t="s">
        <v>1557</v>
      </c>
    </row>
    <row r="111" spans="2:38" ht="21.75" customHeight="1" x14ac:dyDescent="0.15">
      <c r="E111" s="448">
        <v>22.5</v>
      </c>
      <c r="F111" s="3" t="str" cm="1">
        <f t="array" aca="1" ref="F111" ca="1">OFFSET(E111,-1,1)</f>
        <v>1</v>
      </c>
      <c r="G111" s="22"/>
      <c r="H111" s="4"/>
      <c r="I111" s="22"/>
      <c r="K111" s="40"/>
      <c r="L111" s="40"/>
      <c r="M111" s="40"/>
      <c r="T111" s="353" t="b" cm="1">
        <f t="array" ref="T111">T110</f>
        <v>1</v>
      </c>
      <c r="X111" s="990"/>
      <c r="Z111" s="967"/>
      <c r="AB111" s="7" t="str">
        <f>AB109&amp;".2"</f>
        <v>2.10.2</v>
      </c>
      <c r="AC111" s="127" t="s">
        <v>1558</v>
      </c>
      <c r="AD111" s="9" t="s">
        <v>1554</v>
      </c>
      <c r="AE111" s="9" t="s">
        <v>828</v>
      </c>
      <c r="AF111" s="141"/>
      <c r="AG111" s="141"/>
      <c r="AH111" s="103"/>
      <c r="AL111" s="656" t="s">
        <v>1559</v>
      </c>
    </row>
    <row r="112" spans="2:38" ht="14.25" customHeight="1" x14ac:dyDescent="0.15">
      <c r="E112" s="448">
        <v>15</v>
      </c>
      <c r="F112" s="3" t="str" cm="1">
        <f t="array" aca="1" ref="F112" ca="1">OFFSET(E112,-1,1)</f>
        <v>1</v>
      </c>
      <c r="G112" s="22"/>
      <c r="H112" s="4"/>
      <c r="I112" s="22"/>
      <c r="K112" s="40"/>
      <c r="L112" s="40"/>
      <c r="M112" s="40"/>
      <c r="T112" s="353" t="b" cm="1">
        <f t="array" ref="T112">T111</f>
        <v>1</v>
      </c>
      <c r="X112" s="990"/>
      <c r="Z112" s="967"/>
      <c r="AB112" s="7" t="str">
        <f>IF(B108,"2.13","2.11")</f>
        <v>2.11</v>
      </c>
      <c r="AC112" s="127" t="s">
        <v>1560</v>
      </c>
      <c r="AD112" s="9" t="s">
        <v>1554</v>
      </c>
      <c r="AE112" s="9" t="s">
        <v>828</v>
      </c>
      <c r="AF112" s="141"/>
      <c r="AG112" s="141"/>
      <c r="AH112" s="103"/>
      <c r="AL112" s="656" t="s">
        <v>1561</v>
      </c>
    </row>
    <row r="113" spans="1:43" ht="14.25" customHeight="1" x14ac:dyDescent="0.15">
      <c r="E113" s="448">
        <v>15</v>
      </c>
      <c r="F113" s="3" t="str" cm="1">
        <f t="array" aca="1" ref="F113" ca="1">OFFSET(E113,-1,1)</f>
        <v>1</v>
      </c>
      <c r="G113" s="22"/>
      <c r="H113" s="4"/>
      <c r="I113" s="22"/>
      <c r="K113" s="40"/>
      <c r="L113" s="40"/>
      <c r="M113" s="40"/>
      <c r="T113" s="353" t="b" cm="1">
        <f t="array" ref="T113">T112</f>
        <v>1</v>
      </c>
      <c r="X113" s="990"/>
      <c r="Z113" s="967"/>
      <c r="AB113" s="7" t="str">
        <f>IF(B108,"2.14","2.12")</f>
        <v>2.12</v>
      </c>
      <c r="AC113" s="127" t="s">
        <v>1562</v>
      </c>
      <c r="AD113" s="9" t="s">
        <v>1554</v>
      </c>
      <c r="AE113" s="9" t="s">
        <v>828</v>
      </c>
      <c r="AF113" s="141"/>
      <c r="AG113" s="141"/>
      <c r="AH113" s="103"/>
      <c r="AL113" s="656" t="s">
        <v>1563</v>
      </c>
    </row>
    <row r="114" spans="1:43" s="857" customFormat="1" ht="32.450000000000003" customHeight="1" x14ac:dyDescent="0.15">
      <c r="A114" s="154"/>
      <c r="B114" s="328"/>
      <c r="C114" s="154"/>
      <c r="D114" s="154"/>
      <c r="E114" s="501">
        <v>22.5</v>
      </c>
      <c r="F114" s="3" t="str" cm="1">
        <f t="array" aca="1" ref="F114" ca="1">OFFSET(E114,-1,1)</f>
        <v>1</v>
      </c>
      <c r="G114" s="63"/>
      <c r="H114" s="63"/>
      <c r="I114" s="22" t="s">
        <v>332</v>
      </c>
      <c r="J114" s="154"/>
      <c r="K114" s="375"/>
      <c r="L114" s="375"/>
      <c r="M114" s="375"/>
      <c r="N114" s="154"/>
      <c r="O114" s="154"/>
      <c r="P114" s="154"/>
      <c r="Q114" s="154"/>
      <c r="R114" s="154"/>
      <c r="S114" s="154"/>
      <c r="T114" s="353" t="b" cm="1">
        <f t="array" ref="T114">T113</f>
        <v>1</v>
      </c>
      <c r="U114" s="154"/>
      <c r="V114" s="154"/>
      <c r="W114" s="154"/>
      <c r="X114" s="990"/>
      <c r="Y114" s="154"/>
      <c r="Z114" s="967"/>
      <c r="AA114" s="154"/>
      <c r="AB114" s="124" t="s">
        <v>1564</v>
      </c>
      <c r="AC114" s="125" t="s">
        <v>1565</v>
      </c>
      <c r="AD114" s="124" t="s">
        <v>1427</v>
      </c>
      <c r="AE114" s="147" t="s">
        <v>828</v>
      </c>
      <c r="AF114" s="569" cm="1">
        <f t="array" ref="AF114">AF115</f>
        <v>0</v>
      </c>
      <c r="AG114" s="569" cm="1">
        <f t="array" ref="AG114">AG115</f>
        <v>0</v>
      </c>
      <c r="AH114" s="570"/>
      <c r="AI114" s="154"/>
      <c r="AJ114" s="154"/>
      <c r="AK114" s="154"/>
      <c r="AL114" s="688" t="s">
        <v>1566</v>
      </c>
      <c r="AM114" s="154"/>
      <c r="AN114" s="154"/>
      <c r="AO114" s="154"/>
      <c r="AP114" s="154"/>
      <c r="AQ114" s="154"/>
    </row>
    <row r="115" spans="1:43" ht="32.25" customHeight="1" x14ac:dyDescent="0.15">
      <c r="E115" s="448">
        <v>33.75</v>
      </c>
      <c r="F115" s="3" t="str" cm="1">
        <f t="array" aca="1" ref="F115" ca="1">OFFSET(E115,-1,1)</f>
        <v>1</v>
      </c>
      <c r="G115" s="22"/>
      <c r="H115" s="4"/>
      <c r="I115" s="22" t="s">
        <v>500</v>
      </c>
      <c r="K115" s="40"/>
      <c r="L115" s="40"/>
      <c r="M115" s="40"/>
      <c r="T115" s="353" t="b" cm="1">
        <f t="array" ref="T115">T114</f>
        <v>1</v>
      </c>
      <c r="X115" s="990"/>
      <c r="Z115" s="967"/>
      <c r="AB115" s="133" t="s">
        <v>275</v>
      </c>
      <c r="AC115" s="346" t="s">
        <v>1567</v>
      </c>
      <c r="AD115" s="7" t="s">
        <v>1568</v>
      </c>
      <c r="AE115" s="9" t="s">
        <v>828</v>
      </c>
      <c r="AF115" s="620">
        <f>AF116+AF117</f>
        <v>0</v>
      </c>
      <c r="AG115" s="620">
        <f>AG116+AG117</f>
        <v>0</v>
      </c>
      <c r="AH115" s="103"/>
      <c r="AL115" s="656" t="s">
        <v>1569</v>
      </c>
    </row>
    <row r="116" spans="1:43" ht="43.5" customHeight="1" x14ac:dyDescent="0.15">
      <c r="E116" s="448">
        <v>45</v>
      </c>
      <c r="F116" s="3" t="str" cm="1">
        <f t="array" aca="1" ref="F116" ca="1">OFFSET(E116,-1,1)</f>
        <v>1</v>
      </c>
      <c r="G116" s="22"/>
      <c r="H116" s="4"/>
      <c r="I116" s="22" t="s">
        <v>1570</v>
      </c>
      <c r="K116" s="40"/>
      <c r="L116" s="40"/>
      <c r="M116" s="40"/>
      <c r="T116" s="353" t="b" cm="1">
        <f t="array" ref="T116">T115</f>
        <v>1</v>
      </c>
      <c r="X116" s="990"/>
      <c r="Z116" s="967"/>
      <c r="AB116" s="133" t="s">
        <v>939</v>
      </c>
      <c r="AC116" s="127" t="s">
        <v>1571</v>
      </c>
      <c r="AD116" s="7" t="s">
        <v>1572</v>
      </c>
      <c r="AE116" s="9" t="s">
        <v>828</v>
      </c>
      <c r="AF116" s="141"/>
      <c r="AG116" s="141"/>
      <c r="AH116" s="103"/>
      <c r="AL116" s="656" t="s">
        <v>1573</v>
      </c>
    </row>
    <row r="117" spans="1:43" ht="32.25" customHeight="1" x14ac:dyDescent="0.15">
      <c r="E117" s="448">
        <v>33.75</v>
      </c>
      <c r="F117" s="3" t="str" cm="1">
        <f t="array" aca="1" ref="F117" ca="1">OFFSET(E117,-1,1)</f>
        <v>1</v>
      </c>
      <c r="G117" s="22"/>
      <c r="H117" s="4"/>
      <c r="I117" s="22" t="s">
        <v>1574</v>
      </c>
      <c r="K117" s="40"/>
      <c r="L117" s="40"/>
      <c r="M117" s="40"/>
      <c r="T117" s="353" t="b" cm="1">
        <f t="array" ref="T117">T116</f>
        <v>1</v>
      </c>
      <c r="X117" s="990"/>
      <c r="Z117" s="967"/>
      <c r="AB117" s="133" t="s">
        <v>942</v>
      </c>
      <c r="AC117" s="127" t="s">
        <v>1575</v>
      </c>
      <c r="AD117" s="7" t="s">
        <v>1576</v>
      </c>
      <c r="AE117" s="9" t="s">
        <v>828</v>
      </c>
      <c r="AF117" s="141"/>
      <c r="AG117" s="141"/>
      <c r="AH117" s="103"/>
      <c r="AL117" s="656" t="s">
        <v>1577</v>
      </c>
    </row>
    <row r="118" spans="1:43" ht="33.75" customHeight="1" x14ac:dyDescent="0.15">
      <c r="E118" s="448">
        <v>35</v>
      </c>
      <c r="F118" s="3" t="str" cm="1">
        <f t="array" aca="1" ref="F118" ca="1">OFFSET(E118,-1,1)</f>
        <v>1</v>
      </c>
      <c r="G118" s="22"/>
      <c r="H118" s="4"/>
      <c r="I118" s="22" t="s">
        <v>333</v>
      </c>
      <c r="K118" s="40" t="str">
        <f ca="1">F118&amp;"1komm"</f>
        <v>11komm</v>
      </c>
      <c r="L118" s="609" cm="1">
        <f t="array" ref="L118">AH118</f>
        <v>0</v>
      </c>
      <c r="M118" s="40"/>
      <c r="T118" s="353" t="b" cm="1">
        <f t="array" ref="T118">T117</f>
        <v>1</v>
      </c>
      <c r="X118" s="990"/>
      <c r="Z118" s="967"/>
      <c r="AB118" s="147" t="s">
        <v>1578</v>
      </c>
      <c r="AC118" s="125" t="s">
        <v>1579</v>
      </c>
      <c r="AD118" s="124" t="s">
        <v>1580</v>
      </c>
      <c r="AE118" s="147" t="s">
        <v>828</v>
      </c>
      <c r="AF118" s="281"/>
      <c r="AG118" s="281"/>
      <c r="AH118" s="103"/>
      <c r="AL118" s="656" t="s">
        <v>1581</v>
      </c>
    </row>
    <row r="119" spans="1:43" ht="107.25" customHeight="1" x14ac:dyDescent="0.15">
      <c r="E119" s="448">
        <v>110</v>
      </c>
      <c r="F119" s="3" t="str" cm="1">
        <f t="array" aca="1" ref="F119" ca="1">OFFSET(E119,-1,1)</f>
        <v>1</v>
      </c>
      <c r="G119" s="22"/>
      <c r="H119" s="4"/>
      <c r="I119" s="22" t="s">
        <v>335</v>
      </c>
      <c r="K119" s="40" t="str">
        <f ca="1">F119&amp;"2komm"</f>
        <v>12komm</v>
      </c>
      <c r="L119" s="609" cm="1">
        <f t="array" ref="L119">AH119</f>
        <v>0</v>
      </c>
      <c r="M119" s="40"/>
      <c r="T119" s="353" t="b" cm="1">
        <f t="array" ref="T119">T118</f>
        <v>1</v>
      </c>
      <c r="X119" s="990"/>
      <c r="Z119" s="967"/>
      <c r="AB119" s="147" t="s">
        <v>1582</v>
      </c>
      <c r="AC119" s="125" t="s">
        <v>1583</v>
      </c>
      <c r="AD119" s="124" t="s">
        <v>1584</v>
      </c>
      <c r="AE119" s="147" t="s">
        <v>828</v>
      </c>
      <c r="AF119" s="281"/>
      <c r="AG119" s="281"/>
      <c r="AH119" s="103"/>
      <c r="AL119" s="656" t="s">
        <v>1080</v>
      </c>
    </row>
    <row r="120" spans="1:43" ht="76.5" hidden="1" customHeight="1" x14ac:dyDescent="0.25">
      <c r="B120" s="43" t="b">
        <f>S78="Водоотведение"</f>
        <v>0</v>
      </c>
      <c r="E120" s="448">
        <v>78.75</v>
      </c>
      <c r="F120" s="3" t="str" cm="1">
        <f t="array" aca="1" ref="F120" ca="1">OFFSET(E120,-1,1)</f>
        <v>1</v>
      </c>
      <c r="H120" s="2"/>
      <c r="I120" s="38" t="s">
        <v>334</v>
      </c>
      <c r="K120" s="40" t="str">
        <f ca="1">F120&amp;"3komm"</f>
        <v>13komm</v>
      </c>
      <c r="L120" s="609" cm="1">
        <f t="array" ref="L120">AH120</f>
        <v>0</v>
      </c>
      <c r="M120" s="40"/>
      <c r="T120" s="353" t="b" cm="1">
        <f t="array" ref="T120">T119</f>
        <v>1</v>
      </c>
      <c r="X120" s="990"/>
      <c r="Z120" s="967"/>
      <c r="AB120" s="147" t="s">
        <v>1585</v>
      </c>
      <c r="AC120" s="125" t="s">
        <v>1586</v>
      </c>
      <c r="AD120" s="124"/>
      <c r="AE120" s="147" t="s">
        <v>828</v>
      </c>
      <c r="AF120" s="860"/>
      <c r="AG120" s="774">
        <f ca="1">IFERROR(SUMIFS('Плата за негативное возд'!$AL$24:$AL$38,'Плата за негативное возд'!$F$24:$F$38,F120,'Плата за негативное возд'!$AB$24:$AB$38,"1"),0)</f>
        <v>0</v>
      </c>
      <c r="AH120" s="819"/>
      <c r="AL120" s="656" t="s">
        <v>1587</v>
      </c>
    </row>
    <row r="121" spans="1:43" ht="54.75" hidden="1" customHeight="1" x14ac:dyDescent="0.25">
      <c r="B121" s="43" t="b" cm="1">
        <f t="array" ref="B121">B120</f>
        <v>0</v>
      </c>
      <c r="E121" s="448">
        <v>56.25</v>
      </c>
      <c r="F121" s="3" t="str" cm="1">
        <f t="array" aca="1" ref="F121" ca="1">OFFSET(E121,-1,1)</f>
        <v>1</v>
      </c>
      <c r="H121" s="2"/>
      <c r="I121" s="38" t="s">
        <v>532</v>
      </c>
      <c r="K121" s="40" t="str">
        <f ca="1">F121&amp;"4komm"</f>
        <v>14komm</v>
      </c>
      <c r="L121" s="609" cm="1">
        <f t="array" ref="L121">AH121</f>
        <v>0</v>
      </c>
      <c r="M121" s="40"/>
      <c r="T121" s="353" t="b" cm="1">
        <f t="array" ref="T121">T120</f>
        <v>1</v>
      </c>
      <c r="X121" s="990"/>
      <c r="Z121" s="967"/>
      <c r="AB121" s="147" t="s">
        <v>1588</v>
      </c>
      <c r="AC121" s="125" t="s">
        <v>1589</v>
      </c>
      <c r="AD121" s="124"/>
      <c r="AE121" s="147" t="s">
        <v>828</v>
      </c>
      <c r="AF121" s="860"/>
      <c r="AG121" s="774">
        <f ca="1">IFERROR(SUMIFS('Плата за негативное возд'!$AL$24:$AL$38,'Плата за негативное возд'!$F$24:$F$38,F121,'Плата за негативное возд'!$AB$24:$AB$38,"2"),0)</f>
        <v>0</v>
      </c>
      <c r="AH121" s="819"/>
      <c r="AL121" s="656" t="s">
        <v>1590</v>
      </c>
    </row>
    <row r="122" spans="1:43" ht="18.2" customHeight="1" x14ac:dyDescent="0.15">
      <c r="E122" s="448">
        <v>15</v>
      </c>
      <c r="F122" s="3" t="str" cm="1">
        <f t="array" aca="1" ref="F122" ca="1">OFFSET(E122,-1,1)</f>
        <v>1</v>
      </c>
      <c r="H122" s="4"/>
      <c r="I122" s="38" t="s">
        <v>535</v>
      </c>
      <c r="K122" s="40" t="str">
        <f ca="1">F122&amp;"5komm"</f>
        <v>15komm</v>
      </c>
      <c r="L122" s="609" cm="1">
        <f t="array" ref="L122">AH122</f>
        <v>0</v>
      </c>
      <c r="M122" s="40"/>
      <c r="T122" s="353" t="b" cm="1">
        <f t="array" ref="T122">T121</f>
        <v>1</v>
      </c>
      <c r="X122" s="990"/>
      <c r="Z122" s="967"/>
      <c r="AB122" s="147" t="str">
        <f>IF(B121,"VII","V")</f>
        <v>V</v>
      </c>
      <c r="AC122" s="125" t="s">
        <v>1591</v>
      </c>
      <c r="AD122" s="124"/>
      <c r="AE122" s="147" t="s">
        <v>828</v>
      </c>
      <c r="AF122" s="281"/>
      <c r="AG122" s="281"/>
      <c r="AH122" s="103"/>
      <c r="AL122" s="656" t="s">
        <v>1592</v>
      </c>
    </row>
    <row r="123" spans="1:43" s="857" customFormat="1" ht="22.35" customHeight="1" x14ac:dyDescent="0.15">
      <c r="A123" s="154"/>
      <c r="B123" s="328"/>
      <c r="C123" s="154"/>
      <c r="D123" s="154"/>
      <c r="E123" s="501">
        <v>15</v>
      </c>
      <c r="F123" s="3" t="str" cm="1">
        <f t="array" aca="1" ref="F123" ca="1">OFFSET(E123,-1,1)</f>
        <v>1</v>
      </c>
      <c r="G123" s="375"/>
      <c r="H123" s="154"/>
      <c r="I123" s="154" t="s">
        <v>586</v>
      </c>
      <c r="J123" s="154"/>
      <c r="K123" s="40" t="str">
        <f ca="1">F123&amp;"6komm"</f>
        <v>16komm</v>
      </c>
      <c r="L123" s="609" cm="1">
        <f t="array" ref="L123">AH123</f>
        <v>0</v>
      </c>
      <c r="M123" s="375"/>
      <c r="N123" s="154"/>
      <c r="O123" s="154"/>
      <c r="P123" s="154"/>
      <c r="Q123" s="154"/>
      <c r="R123" s="154"/>
      <c r="S123" s="154"/>
      <c r="T123" s="353" t="b" cm="1">
        <f t="array" ref="T123">T122</f>
        <v>1</v>
      </c>
      <c r="U123" s="154"/>
      <c r="V123" s="154"/>
      <c r="W123" s="154"/>
      <c r="X123" s="990"/>
      <c r="Y123" s="154"/>
      <c r="Z123" s="967"/>
      <c r="AA123" s="154"/>
      <c r="AB123" s="147" t="str">
        <f>IF(B121,"VIII","VI")</f>
        <v>VI</v>
      </c>
      <c r="AC123" s="125" t="s">
        <v>1553</v>
      </c>
      <c r="AD123" s="124"/>
      <c r="AE123" s="147" t="s">
        <v>828</v>
      </c>
      <c r="AF123" s="281">
        <f>AF124+AF125</f>
        <v>0</v>
      </c>
      <c r="AG123" s="281">
        <f>AG124+AG125</f>
        <v>0</v>
      </c>
      <c r="AH123" s="103"/>
      <c r="AI123" s="154"/>
      <c r="AJ123" s="154"/>
      <c r="AK123" s="154"/>
      <c r="AL123" s="688" t="s">
        <v>1593</v>
      </c>
      <c r="AM123" s="154"/>
      <c r="AN123" s="154"/>
      <c r="AO123" s="154"/>
      <c r="AP123" s="154"/>
      <c r="AQ123" s="154"/>
    </row>
    <row r="124" spans="1:43" ht="21.75" customHeight="1" x14ac:dyDescent="0.15">
      <c r="E124" s="448">
        <v>22.5</v>
      </c>
      <c r="F124" s="3" t="str" cm="1">
        <f t="array" aca="1" ref="F124" ca="1">OFFSET(E124,-1,1)</f>
        <v>1</v>
      </c>
      <c r="H124" s="4"/>
      <c r="I124" s="38" t="s">
        <v>589</v>
      </c>
      <c r="K124" s="40" t="str">
        <f ca="1">F124&amp;"7komm"</f>
        <v>17komm</v>
      </c>
      <c r="L124" s="609" cm="1">
        <f t="array" ref="L124">AH124</f>
        <v>0</v>
      </c>
      <c r="M124" s="40"/>
      <c r="T124" s="353" t="b" cm="1">
        <f t="array" ref="T124">T123</f>
        <v>1</v>
      </c>
      <c r="X124" s="990"/>
      <c r="Z124" s="967"/>
      <c r="AB124" s="9">
        <v>1</v>
      </c>
      <c r="AC124" s="127" t="s">
        <v>1556</v>
      </c>
      <c r="AD124" s="7"/>
      <c r="AE124" s="9" t="s">
        <v>828</v>
      </c>
      <c r="AF124" s="141"/>
      <c r="AG124" s="141"/>
      <c r="AH124" s="103"/>
      <c r="AL124" s="656" t="s">
        <v>1594</v>
      </c>
    </row>
    <row r="125" spans="1:43" ht="21.75" customHeight="1" x14ac:dyDescent="0.15">
      <c r="E125" s="448">
        <v>22.5</v>
      </c>
      <c r="F125" s="3" t="str" cm="1">
        <f t="array" aca="1" ref="F125" ca="1">OFFSET(E125,-1,1)</f>
        <v>1</v>
      </c>
      <c r="H125" s="4"/>
      <c r="I125" s="38" t="s">
        <v>593</v>
      </c>
      <c r="K125" s="40" t="str">
        <f ca="1">F125&amp;"8komm"</f>
        <v>18komm</v>
      </c>
      <c r="L125" s="609" cm="1">
        <f t="array" ref="L125">AH125</f>
        <v>0</v>
      </c>
      <c r="M125" s="40"/>
      <c r="T125" s="353" t="b" cm="1">
        <f t="array" ref="T125">T124</f>
        <v>1</v>
      </c>
      <c r="X125" s="990"/>
      <c r="Z125" s="967"/>
      <c r="AB125" s="9">
        <v>2</v>
      </c>
      <c r="AC125" s="127" t="s">
        <v>1558</v>
      </c>
      <c r="AD125" s="7"/>
      <c r="AE125" s="9" t="s">
        <v>828</v>
      </c>
      <c r="AF125" s="141"/>
      <c r="AG125" s="141"/>
      <c r="AH125" s="103"/>
      <c r="AL125" s="656" t="s">
        <v>1595</v>
      </c>
    </row>
    <row r="126" spans="1:43" ht="14.25" customHeight="1" x14ac:dyDescent="0.15">
      <c r="E126" s="448">
        <v>15</v>
      </c>
      <c r="F126" s="3" t="str" cm="1">
        <f t="array" aca="1" ref="F126" ca="1">OFFSET(E126,-1,1)</f>
        <v>1</v>
      </c>
      <c r="H126" s="4"/>
      <c r="I126" s="38" t="s">
        <v>601</v>
      </c>
      <c r="K126" s="40" t="str">
        <f ca="1">F126&amp;"9komm"</f>
        <v>19komm</v>
      </c>
      <c r="L126" s="609" cm="1">
        <f t="array" ref="L126">AH126</f>
        <v>0</v>
      </c>
      <c r="M126" s="40"/>
      <c r="T126" s="353" t="b" cm="1">
        <f t="array" ref="T126">T125</f>
        <v>1</v>
      </c>
      <c r="X126" s="990"/>
      <c r="Z126" s="967"/>
      <c r="AB126" s="147" t="str">
        <f>IF(B121,"IX","VIII")</f>
        <v>VIII</v>
      </c>
      <c r="AC126" s="125" t="s">
        <v>1560</v>
      </c>
      <c r="AD126" s="124"/>
      <c r="AE126" s="147" t="s">
        <v>828</v>
      </c>
      <c r="AF126" s="281"/>
      <c r="AG126" s="281"/>
      <c r="AH126" s="103"/>
      <c r="AL126" s="656" t="s">
        <v>1596</v>
      </c>
    </row>
    <row r="127" spans="1:43" ht="14.25" customHeight="1" x14ac:dyDescent="0.15">
      <c r="E127" s="448">
        <v>15</v>
      </c>
      <c r="F127" s="3" t="str" cm="1">
        <f t="array" aca="1" ref="F127" ca="1">OFFSET(E127,-1,1)</f>
        <v>1</v>
      </c>
      <c r="H127" s="4"/>
      <c r="I127" s="38" t="s">
        <v>609</v>
      </c>
      <c r="K127" s="40" t="str">
        <f ca="1">F127&amp;"10komm"</f>
        <v>110komm</v>
      </c>
      <c r="L127" s="609" cm="1">
        <f t="array" ref="L127">AH127</f>
        <v>0</v>
      </c>
      <c r="M127" s="40"/>
      <c r="T127" s="353" t="b" cm="1">
        <f t="array" ref="T127">T126</f>
        <v>1</v>
      </c>
      <c r="X127" s="990"/>
      <c r="Z127" s="967"/>
      <c r="AB127" s="147" t="str">
        <f>IF(B121,"X","IX")</f>
        <v>IX</v>
      </c>
      <c r="AC127" s="125" t="s">
        <v>1562</v>
      </c>
      <c r="AD127" s="124"/>
      <c r="AE127" s="147" t="s">
        <v>828</v>
      </c>
      <c r="AF127" s="281"/>
      <c r="AG127" s="281"/>
      <c r="AH127" s="103"/>
      <c r="AL127" s="656" t="s">
        <v>1597</v>
      </c>
    </row>
    <row r="128" spans="1:43" s="857" customFormat="1" ht="44.25" customHeight="1" x14ac:dyDescent="0.15">
      <c r="A128" s="154"/>
      <c r="B128" s="328"/>
      <c r="C128" s="154"/>
      <c r="D128" s="154"/>
      <c r="E128" s="501">
        <v>15</v>
      </c>
      <c r="F128" s="3" t="str" cm="1">
        <f t="array" aca="1" ref="F128" ca="1">OFFSET(E128,-1,1)</f>
        <v>1</v>
      </c>
      <c r="G128" s="375"/>
      <c r="H128" s="154"/>
      <c r="I128" s="154" t="s">
        <v>767</v>
      </c>
      <c r="J128" s="154"/>
      <c r="K128" s="40" t="str">
        <f ca="1">F128&amp;"11komm"</f>
        <v>111komm</v>
      </c>
      <c r="L128" s="609" cm="1">
        <f t="array" ref="L128">AH128</f>
        <v>0</v>
      </c>
      <c r="M128" s="375"/>
      <c r="N128" s="154"/>
      <c r="O128" s="154"/>
      <c r="P128" s="154"/>
      <c r="Q128" s="154"/>
      <c r="R128" s="154"/>
      <c r="S128" s="154"/>
      <c r="T128" s="353" t="b" cm="1">
        <f t="array" ref="T128">T127</f>
        <v>1</v>
      </c>
      <c r="U128" s="154"/>
      <c r="V128" s="154"/>
      <c r="W128" s="154"/>
      <c r="X128" s="990"/>
      <c r="Y128" s="154"/>
      <c r="Z128" s="967"/>
      <c r="AA128" s="154"/>
      <c r="AB128" s="147" t="str">
        <f>IF(B121,"XI","X")</f>
        <v>X</v>
      </c>
      <c r="AC128" s="132" t="s">
        <v>1598</v>
      </c>
      <c r="AD128" s="124"/>
      <c r="AE128" s="147" t="s">
        <v>828</v>
      </c>
      <c r="AF128" s="569">
        <f ca="1">AF79+AF114+AF118+AF119+AF120+AF121+AF122+AF123+AF126+AF127</f>
        <v>18816.875539232111</v>
      </c>
      <c r="AG128" s="569">
        <f ca="1">AG79+AG114+AG118+AG119+AG120+AG121+AG122+AG123+AG126+AG127</f>
        <v>558.05000000001019</v>
      </c>
      <c r="AH128" s="103"/>
      <c r="AI128" s="154"/>
      <c r="AJ128" s="154"/>
      <c r="AK128" s="154"/>
      <c r="AL128" s="688" t="s">
        <v>1599</v>
      </c>
      <c r="AM128" s="154"/>
      <c r="AN128" s="154"/>
      <c r="AO128" s="154"/>
      <c r="AP128" s="154"/>
      <c r="AQ128" s="154"/>
    </row>
    <row r="129" spans="1:43" ht="25.7" customHeight="1" x14ac:dyDescent="0.15">
      <c r="E129" s="448">
        <v>15</v>
      </c>
      <c r="F129" s="17" t="str" cm="1">
        <f t="array" ref="F129">X129</f>
        <v>2</v>
      </c>
      <c r="G129" s="59"/>
      <c r="H129" s="4"/>
      <c r="S129" s="315" t="str" cm="1">
        <f t="array" ref="S129">INDEX('Общие сведения'!$AE$179:$AE$236,MATCH($X129,'Общие сведения'!$Z$179:$Z$236,0))</f>
        <v>Водоотведение</v>
      </c>
      <c r="T129" s="353" t="b">
        <f>X129&gt;0</f>
        <v>1</v>
      </c>
      <c r="V129" s="38" t="str" cm="1">
        <f t="array" ref="V129">'Плата за негативное возд'!$AB$32</f>
        <v>Тариф 2 (Водоотведение) - тариф на водоотведение</v>
      </c>
      <c r="X129" s="990" t="s">
        <v>285</v>
      </c>
      <c r="Z129" s="967"/>
      <c r="AB129" s="280" t="str" cm="1">
        <f t="array" ref="AB129">'Плата за негативное возд'!$AB$32</f>
        <v>Тариф 2 (Водоотведение) - тариф на водоотведение</v>
      </c>
      <c r="AC129" s="280"/>
      <c r="AD129" s="280"/>
      <c r="AE129" s="280"/>
      <c r="AF129" s="280"/>
      <c r="AG129" s="280"/>
      <c r="AH129" s="280"/>
    </row>
    <row r="130" spans="1:43" s="857" customFormat="1" ht="56.45" customHeight="1" x14ac:dyDescent="0.15">
      <c r="A130" s="154"/>
      <c r="B130" s="328"/>
      <c r="C130" s="154"/>
      <c r="D130" s="154"/>
      <c r="E130" s="501">
        <v>45</v>
      </c>
      <c r="F130" s="3" t="str" cm="1">
        <f t="array" aca="1" ref="F130" ca="1">OFFSET(E130,-1,1)</f>
        <v>2</v>
      </c>
      <c r="G130" s="375"/>
      <c r="H130" s="154"/>
      <c r="I130" s="38" t="s">
        <v>331</v>
      </c>
      <c r="J130" s="154"/>
      <c r="K130" s="40"/>
      <c r="L130" s="612"/>
      <c r="M130" s="375"/>
      <c r="N130" s="154"/>
      <c r="O130" s="154"/>
      <c r="P130" s="154"/>
      <c r="Q130" s="154"/>
      <c r="R130" s="154"/>
      <c r="S130" s="154"/>
      <c r="T130" s="353" t="b" cm="1">
        <f t="array" ref="T130">T129</f>
        <v>1</v>
      </c>
      <c r="U130" s="154"/>
      <c r="V130" s="154"/>
      <c r="W130" s="154"/>
      <c r="X130" s="990"/>
      <c r="Y130" s="154"/>
      <c r="Z130" s="967"/>
      <c r="AA130" s="154"/>
      <c r="AB130" s="566" t="s">
        <v>1425</v>
      </c>
      <c r="AC130" s="567" t="s">
        <v>1426</v>
      </c>
      <c r="AD130" s="566" t="s">
        <v>1427</v>
      </c>
      <c r="AE130" s="568" t="s">
        <v>828</v>
      </c>
      <c r="AF130" s="569">
        <f>AF132-AF131</f>
        <v>33064.861465526606</v>
      </c>
      <c r="AG130" s="569">
        <f ca="1">AG132-AG131</f>
        <v>-2107.9400000000005</v>
      </c>
      <c r="AH130" s="570" t="s">
        <v>1600</v>
      </c>
      <c r="AI130" s="154"/>
      <c r="AJ130" s="154"/>
      <c r="AK130" s="154"/>
      <c r="AL130" s="688" t="s">
        <v>1428</v>
      </c>
      <c r="AM130" s="154"/>
      <c r="AN130" s="154"/>
      <c r="AO130" s="154"/>
      <c r="AP130" s="154"/>
      <c r="AQ130" s="154"/>
    </row>
    <row r="131" spans="1:43" s="857" customFormat="1" ht="76.900000000000006" customHeight="1" x14ac:dyDescent="0.15">
      <c r="A131" s="154"/>
      <c r="B131" s="328"/>
      <c r="C131" s="154"/>
      <c r="D131" s="154"/>
      <c r="E131" s="501">
        <v>15</v>
      </c>
      <c r="F131" s="3" t="str" cm="1">
        <f t="array" aca="1" ref="F131" ca="1">OFFSET(E131,-1,1)</f>
        <v>2</v>
      </c>
      <c r="G131" s="375"/>
      <c r="H131" s="154"/>
      <c r="I131" s="38" t="s">
        <v>482</v>
      </c>
      <c r="J131" s="154"/>
      <c r="K131" s="375"/>
      <c r="L131" s="375"/>
      <c r="M131" s="375"/>
      <c r="N131" s="154"/>
      <c r="O131" s="154"/>
      <c r="P131" s="154"/>
      <c r="Q131" s="154"/>
      <c r="R131" s="154"/>
      <c r="S131" s="154"/>
      <c r="T131" s="353" t="b" cm="1">
        <f t="array" ref="T131">T130</f>
        <v>1</v>
      </c>
      <c r="U131" s="154"/>
      <c r="V131" s="154"/>
      <c r="W131" s="154"/>
      <c r="X131" s="990"/>
      <c r="Y131" s="154"/>
      <c r="Z131" s="967"/>
      <c r="AA131" s="154"/>
      <c r="AB131" s="131" t="s">
        <v>275</v>
      </c>
      <c r="AC131" s="132" t="s">
        <v>1429</v>
      </c>
      <c r="AD131" s="124" t="s">
        <v>1430</v>
      </c>
      <c r="AE131" s="147" t="s">
        <v>828</v>
      </c>
      <c r="AF131" s="281">
        <v>13074.730715690001</v>
      </c>
      <c r="AG131" s="281">
        <v>14564.99</v>
      </c>
      <c r="AH131" s="570" t="s">
        <v>1610</v>
      </c>
      <c r="AI131" s="154"/>
      <c r="AJ131" s="154"/>
      <c r="AK131" s="154"/>
      <c r="AL131" s="688" t="s">
        <v>1431</v>
      </c>
      <c r="AM131" s="154"/>
      <c r="AN131" s="154"/>
      <c r="AO131" s="154"/>
      <c r="AP131" s="154"/>
      <c r="AQ131" s="154"/>
    </row>
    <row r="132" spans="1:43" s="857" customFormat="1" ht="33.75" customHeight="1" x14ac:dyDescent="0.15">
      <c r="A132" s="154"/>
      <c r="B132" s="328"/>
      <c r="C132" s="154"/>
      <c r="D132" s="154"/>
      <c r="E132" s="501">
        <v>15</v>
      </c>
      <c r="F132" s="3" t="str" cm="1">
        <f t="array" aca="1" ref="F132" ca="1">OFFSET(E132,-1,1)</f>
        <v>2</v>
      </c>
      <c r="G132" s="63"/>
      <c r="H132" s="63"/>
      <c r="I132" s="22" t="s">
        <v>486</v>
      </c>
      <c r="J132" s="154"/>
      <c r="K132" s="375"/>
      <c r="L132" s="375"/>
      <c r="M132" s="375"/>
      <c r="N132" s="154"/>
      <c r="O132" s="154"/>
      <c r="P132" s="154"/>
      <c r="Q132" s="154"/>
      <c r="R132" s="154"/>
      <c r="S132" s="154"/>
      <c r="T132" s="353" t="b" cm="1">
        <f t="array" ref="T132">T131</f>
        <v>1</v>
      </c>
      <c r="U132" s="154"/>
      <c r="V132" s="154"/>
      <c r="W132" s="154"/>
      <c r="X132" s="990"/>
      <c r="Y132" s="154"/>
      <c r="Z132" s="967"/>
      <c r="AA132" s="154"/>
      <c r="AB132" s="131" t="s">
        <v>285</v>
      </c>
      <c r="AC132" s="125" t="s">
        <v>1432</v>
      </c>
      <c r="AD132" s="124" t="s">
        <v>1433</v>
      </c>
      <c r="AE132" s="147" t="s">
        <v>828</v>
      </c>
      <c r="AF132" s="569">
        <f>AF133+AF134+AF146+AF150+AF151+AF152+AF153+AF157+AF158+AF159+AF160+AF163+AF164</f>
        <v>46139.592181216605</v>
      </c>
      <c r="AG132" s="569">
        <f ca="1">AG133+AG134+AG146+AG150+AG151+AG152+AG153+AG157+AG158+AG159+AG160+AG163+AG164</f>
        <v>12457.05</v>
      </c>
      <c r="AH132" s="570" t="s">
        <v>1602</v>
      </c>
      <c r="AI132" s="154"/>
      <c r="AJ132" s="154"/>
      <c r="AK132" s="154"/>
      <c r="AL132" s="688" t="s">
        <v>1434</v>
      </c>
      <c r="AM132" s="154"/>
      <c r="AN132" s="154"/>
      <c r="AO132" s="154"/>
      <c r="AP132" s="154"/>
      <c r="AQ132" s="154"/>
    </row>
    <row r="133" spans="1:43" ht="50.25" customHeight="1" x14ac:dyDescent="0.15">
      <c r="E133" s="448">
        <v>22.5</v>
      </c>
      <c r="F133" s="3" t="str" cm="1">
        <f t="array" aca="1" ref="F133" ca="1">OFFSET(E133,-1,1)</f>
        <v>2</v>
      </c>
      <c r="G133" s="22" t="s">
        <v>1435</v>
      </c>
      <c r="H133" s="4"/>
      <c r="I133" s="22" t="s">
        <v>1344</v>
      </c>
      <c r="K133" s="40"/>
      <c r="L133" s="40"/>
      <c r="M133" s="40"/>
      <c r="T133" s="353" t="b" cm="1">
        <f t="array" ref="T133">T132</f>
        <v>1</v>
      </c>
      <c r="X133" s="990"/>
      <c r="Z133" s="967"/>
      <c r="AB133" s="133" t="s">
        <v>561</v>
      </c>
      <c r="AC133" s="127" t="s">
        <v>1436</v>
      </c>
      <c r="AD133" s="7" t="s">
        <v>1437</v>
      </c>
      <c r="AE133" s="9" t="s">
        <v>828</v>
      </c>
      <c r="AF133" s="141">
        <v>21978.175194715801</v>
      </c>
      <c r="AG133" s="141">
        <v>9550.36</v>
      </c>
      <c r="AH133" s="103" t="s">
        <v>1611</v>
      </c>
      <c r="AL133" s="656" t="s">
        <v>1438</v>
      </c>
    </row>
    <row r="134" spans="1:43" ht="21.75" customHeight="1" x14ac:dyDescent="0.15">
      <c r="E134" s="448">
        <v>22.5</v>
      </c>
      <c r="F134" s="3" t="str" cm="1">
        <f t="array" aca="1" ref="F134" ca="1">OFFSET(E134,-1,1)</f>
        <v>2</v>
      </c>
      <c r="G134" s="22"/>
      <c r="H134" s="4"/>
      <c r="I134" s="22" t="s">
        <v>1347</v>
      </c>
      <c r="K134" s="40"/>
      <c r="L134" s="40"/>
      <c r="M134" s="40"/>
      <c r="T134" s="353" t="b" cm="1">
        <f t="array" ref="T134">T133</f>
        <v>1</v>
      </c>
      <c r="X134" s="990"/>
      <c r="Z134" s="967"/>
      <c r="AB134" s="133" t="s">
        <v>565</v>
      </c>
      <c r="AC134" s="127" t="s">
        <v>1439</v>
      </c>
      <c r="AD134" s="7" t="s">
        <v>1440</v>
      </c>
      <c r="AE134" s="9" t="s">
        <v>828</v>
      </c>
      <c r="AF134" s="620">
        <f>SUM(AF135:AF145)</f>
        <v>14504.088101216601</v>
      </c>
      <c r="AG134" s="620">
        <f ca="1">SUM(AG135:AG145)</f>
        <v>808.21999999999991</v>
      </c>
      <c r="AH134" s="103"/>
      <c r="AL134" s="656" t="s">
        <v>1441</v>
      </c>
    </row>
    <row r="135" spans="1:43" ht="47.45" customHeight="1" x14ac:dyDescent="0.15">
      <c r="E135" s="448">
        <v>22.5</v>
      </c>
      <c r="F135" s="3" t="str" cm="1">
        <f t="array" aca="1" ref="F135" ca="1">OFFSET(E135,-1,1)</f>
        <v>2</v>
      </c>
      <c r="G135" s="22"/>
      <c r="H135" s="4"/>
      <c r="I135" s="22" t="s">
        <v>1442</v>
      </c>
      <c r="K135" s="40"/>
      <c r="L135" s="40"/>
      <c r="M135" s="40"/>
      <c r="T135" s="353" t="b" cm="1">
        <f t="array" ref="T135">T134</f>
        <v>1</v>
      </c>
      <c r="X135" s="990"/>
      <c r="Z135" s="967"/>
      <c r="AB135" s="551" t="s">
        <v>514</v>
      </c>
      <c r="AC135" s="549" t="s">
        <v>1443</v>
      </c>
      <c r="AD135" s="9"/>
      <c r="AE135" s="9" t="s">
        <v>828</v>
      </c>
      <c r="AF135" s="141">
        <v>164.492367712</v>
      </c>
      <c r="AG135" s="141">
        <v>164.67</v>
      </c>
      <c r="AH135" s="103" t="s">
        <v>1612</v>
      </c>
      <c r="AL135" s="656" t="s">
        <v>1444</v>
      </c>
    </row>
    <row r="136" spans="1:43" ht="84.4" customHeight="1" x14ac:dyDescent="0.15">
      <c r="E136" s="448">
        <v>15</v>
      </c>
      <c r="F136" s="3" t="str" cm="1">
        <f t="array" aca="1" ref="F136" ca="1">OFFSET(E136,-1,1)</f>
        <v>2</v>
      </c>
      <c r="G136" s="22"/>
      <c r="H136" s="4"/>
      <c r="I136" s="22" t="s">
        <v>1445</v>
      </c>
      <c r="K136" s="40"/>
      <c r="L136" s="40"/>
      <c r="M136" s="40"/>
      <c r="T136" s="353" t="b" cm="1">
        <f t="array" ref="T136">T135</f>
        <v>1</v>
      </c>
      <c r="X136" s="990"/>
      <c r="Z136" s="967"/>
      <c r="AB136" s="551" t="s">
        <v>1446</v>
      </c>
      <c r="AC136" s="549" t="s">
        <v>1447</v>
      </c>
      <c r="AD136" s="9"/>
      <c r="AE136" s="9" t="s">
        <v>828</v>
      </c>
      <c r="AF136" s="141">
        <v>13827.0223480932</v>
      </c>
      <c r="AG136" s="141">
        <v>130.99</v>
      </c>
      <c r="AH136" s="103" t="s">
        <v>1613</v>
      </c>
      <c r="AL136" s="656" t="s">
        <v>1448</v>
      </c>
    </row>
    <row r="137" spans="1:43" ht="39.950000000000003" customHeight="1" x14ac:dyDescent="0.15">
      <c r="E137" s="448">
        <v>15</v>
      </c>
      <c r="F137" s="3" t="str" cm="1">
        <f t="array" aca="1" ref="F137" ca="1">OFFSET(E137,-1,1)</f>
        <v>2</v>
      </c>
      <c r="G137" s="22"/>
      <c r="H137" s="4"/>
      <c r="I137" s="22" t="s">
        <v>1449</v>
      </c>
      <c r="K137" s="40"/>
      <c r="L137" s="40"/>
      <c r="M137" s="40"/>
      <c r="T137" s="353" t="b" cm="1">
        <f t="array" ref="T137">T136</f>
        <v>1</v>
      </c>
      <c r="X137" s="990"/>
      <c r="Z137" s="967"/>
      <c r="AB137" s="551" t="s">
        <v>1450</v>
      </c>
      <c r="AC137" s="549" t="s">
        <v>1451</v>
      </c>
      <c r="AD137" s="9"/>
      <c r="AE137" s="9" t="s">
        <v>828</v>
      </c>
      <c r="AF137" s="141">
        <v>512.57338541139995</v>
      </c>
      <c r="AG137" s="141">
        <v>512.55999999999995</v>
      </c>
      <c r="AH137" s="103" t="s">
        <v>1614</v>
      </c>
      <c r="AL137" s="656" t="s">
        <v>1452</v>
      </c>
    </row>
    <row r="138" spans="1:43" ht="65.25" customHeight="1" x14ac:dyDescent="0.15">
      <c r="E138" s="448">
        <v>67.5</v>
      </c>
      <c r="F138" s="3" t="str" cm="1">
        <f t="array" aca="1" ref="F138" ca="1">OFFSET(E138,-1,1)</f>
        <v>2</v>
      </c>
      <c r="G138" s="25" t="s">
        <v>1453</v>
      </c>
      <c r="H138" s="4"/>
      <c r="I138" s="59" t="s">
        <v>1454</v>
      </c>
      <c r="K138" s="40"/>
      <c r="L138" s="40"/>
      <c r="M138" s="40"/>
      <c r="T138" s="353" t="b" cm="1">
        <f t="array" ref="T138">T137</f>
        <v>1</v>
      </c>
      <c r="X138" s="990"/>
      <c r="Z138" s="967"/>
      <c r="AB138" s="551" t="s">
        <v>1455</v>
      </c>
      <c r="AC138" s="549" t="s">
        <v>1456</v>
      </c>
      <c r="AD138" s="9"/>
      <c r="AE138" s="9" t="s">
        <v>828</v>
      </c>
      <c r="AF138" s="141"/>
      <c r="AG138" s="141">
        <f ca="1">IF(AND(method_reg="Метод индексации",first_year=god),SUMIFS('Калькуляция (МИ)'!$AG$25:$AG$603,'Калькуляция (МИ)'!$F$25:$F$603,$F138,'Калькуляция (МИ)'!$G$25:$G$603,$G138),SUMIFS('Калькуляция (МИ корр)'!$AG$25:$AG$603,'Калькуляция (МИ корр)'!$F$25:$F$603,$F138,'Калькуляция (МИ корр)'!$G$25:$G$603,$G138))</f>
        <v>0</v>
      </c>
      <c r="AH138" s="103"/>
      <c r="AL138" s="656" t="s">
        <v>1457</v>
      </c>
    </row>
    <row r="139" spans="1:43" ht="14.25" customHeight="1" x14ac:dyDescent="0.15">
      <c r="E139" s="448">
        <v>15</v>
      </c>
      <c r="F139" s="3" t="str" cm="1">
        <f t="array" aca="1" ref="F139" ca="1">OFFSET(E139,-1,1)</f>
        <v>2</v>
      </c>
      <c r="G139" s="25" t="s">
        <v>1065</v>
      </c>
      <c r="H139" s="4"/>
      <c r="I139" s="59" t="s">
        <v>1458</v>
      </c>
      <c r="K139" s="40"/>
      <c r="L139" s="40"/>
      <c r="M139" s="40"/>
      <c r="T139" s="353" t="b" cm="1">
        <f t="array" ref="T139">T138</f>
        <v>1</v>
      </c>
      <c r="X139" s="990"/>
      <c r="Z139" s="967"/>
      <c r="AB139" s="551" t="s">
        <v>1459</v>
      </c>
      <c r="AC139" s="549" t="s">
        <v>1460</v>
      </c>
      <c r="AD139" s="9"/>
      <c r="AE139" s="9" t="s">
        <v>828</v>
      </c>
      <c r="AF139" s="141"/>
      <c r="AG139" s="141">
        <f ca="1">IF(AND(method_reg="Метод индексации",first_year=god),SUMIFS('Калькуляция (МИ)'!$AG$25:$AG$603,'Калькуляция (МИ)'!$F$25:$F$603,$F139,'Калькуляция (МИ)'!$G$25:$G$603,$G139),SUMIFS('Калькуляция (МИ корр)'!$AG$25:$AG$603,'Калькуляция (МИ корр)'!$F$25:$F$603,$F139,'Калькуляция (МИ корр)'!$G$25:$G$603,$G139))</f>
        <v>0</v>
      </c>
      <c r="AH139" s="103"/>
      <c r="AL139" s="656" t="s">
        <v>1461</v>
      </c>
    </row>
    <row r="140" spans="1:43" ht="14.25" customHeight="1" x14ac:dyDescent="0.15">
      <c r="E140" s="448">
        <v>15</v>
      </c>
      <c r="F140" s="3" t="str" cm="1">
        <f t="array" aca="1" ref="F140" ca="1">OFFSET(E140,-1,1)</f>
        <v>2</v>
      </c>
      <c r="G140" s="25" t="s">
        <v>1462</v>
      </c>
      <c r="H140" s="4"/>
      <c r="I140" s="59" t="s">
        <v>1463</v>
      </c>
      <c r="K140" s="40"/>
      <c r="L140" s="40"/>
      <c r="M140" s="40"/>
      <c r="T140" s="353" t="b" cm="1">
        <f t="array" ref="T140">T139</f>
        <v>1</v>
      </c>
      <c r="X140" s="990"/>
      <c r="Z140" s="967"/>
      <c r="AB140" s="551" t="s">
        <v>1464</v>
      </c>
      <c r="AC140" s="549" t="s">
        <v>1465</v>
      </c>
      <c r="AD140" s="9"/>
      <c r="AE140" s="9" t="s">
        <v>828</v>
      </c>
      <c r="AF140" s="141"/>
      <c r="AG140" s="141">
        <f ca="1">IF(AND(method_reg="Метод индексации",first_year=god),SUMIFS('Калькуляция (МИ)'!$AG$25:$AG$603,'Калькуляция (МИ)'!$F$25:$F$603,$F140,'Калькуляция (МИ)'!$G$25:$G$603,$G140),SUMIFS('Калькуляция (МИ корр)'!$AG$25:$AG$603,'Калькуляция (МИ корр)'!$F$25:$F$603,$F140,'Калькуляция (МИ корр)'!$G$25:$G$603,$G140))</f>
        <v>0</v>
      </c>
      <c r="AH140" s="103"/>
      <c r="AL140" s="656" t="s">
        <v>1466</v>
      </c>
    </row>
    <row r="141" spans="1:43" ht="21.75" customHeight="1" x14ac:dyDescent="0.15">
      <c r="E141" s="448">
        <v>22.5</v>
      </c>
      <c r="F141" s="3" t="str" cm="1">
        <f t="array" aca="1" ref="F141" ca="1">OFFSET(E141,-1,1)</f>
        <v>2</v>
      </c>
      <c r="G141" s="25" t="s">
        <v>1467</v>
      </c>
      <c r="H141" s="4"/>
      <c r="I141" s="59" t="s">
        <v>1468</v>
      </c>
      <c r="K141" s="40"/>
      <c r="L141" s="40"/>
      <c r="M141" s="40"/>
      <c r="T141" s="353" t="b" cm="1">
        <f t="array" ref="T141">T140</f>
        <v>1</v>
      </c>
      <c r="X141" s="990"/>
      <c r="Z141" s="967"/>
      <c r="AB141" s="551" t="s">
        <v>1469</v>
      </c>
      <c r="AC141" s="549" t="s">
        <v>1470</v>
      </c>
      <c r="AD141" s="9"/>
      <c r="AE141" s="9" t="s">
        <v>828</v>
      </c>
      <c r="AF141" s="141"/>
      <c r="AG141" s="141">
        <f ca="1">IF(AND(method_reg="Метод индексации",first_year=god),SUMIFS('Калькуляция (МИ)'!$AG$25:$AG$603,'Калькуляция (МИ)'!$F$25:$F$603,$F141,'Калькуляция (МИ)'!$G$25:$G$603,$G141),SUMIFS('Калькуляция (МИ корр)'!$AG$25:$AG$603,'Калькуляция (МИ корр)'!$F$25:$F$603,$F141,'Калькуляция (МИ корр)'!$G$25:$G$603,$G141))</f>
        <v>0</v>
      </c>
      <c r="AH141" s="103"/>
      <c r="AL141" s="656" t="s">
        <v>1471</v>
      </c>
    </row>
    <row r="142" spans="1:43" ht="21.75" customHeight="1" x14ac:dyDescent="0.15">
      <c r="E142" s="448">
        <v>22.5</v>
      </c>
      <c r="F142" s="3" t="str" cm="1">
        <f t="array" aca="1" ref="F142" ca="1">OFFSET(E142,-1,1)</f>
        <v>2</v>
      </c>
      <c r="G142" s="25" t="s">
        <v>1472</v>
      </c>
      <c r="H142" s="4"/>
      <c r="I142" s="59" t="s">
        <v>1473</v>
      </c>
      <c r="K142" s="40"/>
      <c r="L142" s="40"/>
      <c r="M142" s="40"/>
      <c r="T142" s="353" t="b" cm="1">
        <f t="array" ref="T142">T141</f>
        <v>1</v>
      </c>
      <c r="X142" s="990"/>
      <c r="Z142" s="967"/>
      <c r="AB142" s="551" t="s">
        <v>1474</v>
      </c>
      <c r="AC142" s="549" t="s">
        <v>1475</v>
      </c>
      <c r="AD142" s="621"/>
      <c r="AE142" s="9" t="s">
        <v>828</v>
      </c>
      <c r="AF142" s="141"/>
      <c r="AG142" s="141">
        <f ca="1">IF(AND(method_reg="Метод индексации",first_year=god),SUMIFS('Калькуляция (МИ)'!$AG$25:$AG$603,'Калькуляция (МИ)'!$F$25:$F$603,$F142,'Калькуляция (МИ)'!$G$25:$G$603,$G142),SUMIFS('Калькуляция (МИ корр)'!$AG$25:$AG$603,'Калькуляция (МИ корр)'!$F$25:$F$603,$F142,'Калькуляция (МИ корр)'!$G$25:$G$603,$G142))</f>
        <v>0</v>
      </c>
      <c r="AH142" s="103"/>
      <c r="AL142" s="656" t="s">
        <v>1476</v>
      </c>
    </row>
    <row r="143" spans="1:43" ht="21.75" customHeight="1" x14ac:dyDescent="0.15">
      <c r="E143" s="448">
        <v>22.5</v>
      </c>
      <c r="F143" s="3" t="str" cm="1">
        <f t="array" aca="1" ref="F143" ca="1">OFFSET(E143,-1,1)</f>
        <v>2</v>
      </c>
      <c r="G143" s="25" t="s">
        <v>1477</v>
      </c>
      <c r="H143" s="4"/>
      <c r="I143" s="59" t="s">
        <v>1478</v>
      </c>
      <c r="K143" s="40"/>
      <c r="L143" s="40"/>
      <c r="M143" s="40"/>
      <c r="T143" s="353" t="b" cm="1">
        <f t="array" ref="T143">T142</f>
        <v>1</v>
      </c>
      <c r="X143" s="990"/>
      <c r="Z143" s="967"/>
      <c r="AB143" s="551" t="s">
        <v>1479</v>
      </c>
      <c r="AC143" s="549" t="s">
        <v>1480</v>
      </c>
      <c r="AD143" s="621"/>
      <c r="AE143" s="9" t="s">
        <v>828</v>
      </c>
      <c r="AF143" s="141"/>
      <c r="AG143" s="141">
        <f ca="1">IF(AND(method_reg="Метод индексации",first_year=god),SUMIFS('Калькуляция (МИ)'!$AG$25:$AG$603,'Калькуляция (МИ)'!$F$25:$F$603,$F143,'Калькуляция (МИ)'!$G$25:$G$603,$G143),SUMIFS('Калькуляция (МИ корр)'!$AG$25:$AG$603,'Калькуляция (МИ корр)'!$F$25:$F$603,$F143,'Калькуляция (МИ корр)'!$G$25:$G$603,$G143))</f>
        <v>0</v>
      </c>
      <c r="AH143" s="103"/>
      <c r="AL143" s="656" t="s">
        <v>1481</v>
      </c>
    </row>
    <row r="144" spans="1:43" ht="14.25" customHeight="1" x14ac:dyDescent="0.15">
      <c r="E144" s="448">
        <v>15</v>
      </c>
      <c r="F144" s="3" t="str" cm="1">
        <f t="array" aca="1" ref="F144" ca="1">OFFSET(E144,-1,1)</f>
        <v>2</v>
      </c>
      <c r="G144" s="25" t="s">
        <v>1482</v>
      </c>
      <c r="H144" s="4"/>
      <c r="I144" s="59" t="s">
        <v>1483</v>
      </c>
      <c r="K144" s="40"/>
      <c r="L144" s="40"/>
      <c r="M144" s="40"/>
      <c r="T144" s="353" t="b" cm="1">
        <f t="array" ref="T144">T143</f>
        <v>1</v>
      </c>
      <c r="X144" s="990"/>
      <c r="Z144" s="967"/>
      <c r="AB144" s="551" t="s">
        <v>1484</v>
      </c>
      <c r="AC144" s="549" t="s">
        <v>1485</v>
      </c>
      <c r="AD144" s="621"/>
      <c r="AE144" s="9" t="s">
        <v>828</v>
      </c>
      <c r="AF144" s="141"/>
      <c r="AG144" s="141">
        <f ca="1">IF(AND(method_reg="Метод индексации",first_year=god),SUMIFS('Калькуляция (МИ)'!$AG$25:$AG$603,'Калькуляция (МИ)'!$F$25:$F$603,$F144,'Калькуляция (МИ)'!$G$25:$G$603,$G144),SUMIFS('Калькуляция (МИ корр)'!$AG$25:$AG$603,'Калькуляция (МИ корр)'!$F$25:$F$603,$F144,'Калькуляция (МИ корр)'!$G$25:$G$603,$G144))</f>
        <v>0</v>
      </c>
      <c r="AH144" s="103"/>
      <c r="AL144" s="656" t="s">
        <v>1486</v>
      </c>
    </row>
    <row r="145" spans="2:38" ht="21.75" customHeight="1" x14ac:dyDescent="0.15">
      <c r="E145" s="448">
        <v>22.5</v>
      </c>
      <c r="F145" s="3" t="str" cm="1">
        <f t="array" aca="1" ref="F145" ca="1">OFFSET(E145,-1,1)</f>
        <v>2</v>
      </c>
      <c r="G145" s="25" t="s">
        <v>1487</v>
      </c>
      <c r="H145" s="4"/>
      <c r="I145" s="59" t="s">
        <v>1488</v>
      </c>
      <c r="K145" s="40"/>
      <c r="L145" s="40"/>
      <c r="M145" s="40"/>
      <c r="T145" s="353" t="b" cm="1">
        <f t="array" ref="T145">T144</f>
        <v>1</v>
      </c>
      <c r="X145" s="990"/>
      <c r="Z145" s="967"/>
      <c r="AB145" s="551" t="s">
        <v>1489</v>
      </c>
      <c r="AC145" s="549" t="s">
        <v>1490</v>
      </c>
      <c r="AD145" s="621"/>
      <c r="AE145" s="9" t="s">
        <v>828</v>
      </c>
      <c r="AF145" s="141"/>
      <c r="AG145" s="141">
        <f ca="1">IF(AND(method_reg="Метод индексации",first_year=god),SUMIFS('Калькуляция (МИ)'!$AG$25:$AG$603,'Калькуляция (МИ)'!$F$25:$F$603,$F145,'Калькуляция (МИ)'!$G$25:$G$603,$G145),SUMIFS('Калькуляция (МИ корр)'!$AG$25:$AG$603,'Калькуляция (МИ корр)'!$F$25:$F$603,$F145,'Калькуляция (МИ корр)'!$G$25:$G$603,$G145))</f>
        <v>0</v>
      </c>
      <c r="AH145" s="103"/>
      <c r="AL145" s="656" t="s">
        <v>1491</v>
      </c>
    </row>
    <row r="146" spans="2:38" ht="54.4" customHeight="1" x14ac:dyDescent="0.15">
      <c r="E146" s="448">
        <v>15</v>
      </c>
      <c r="F146" s="3" t="str" cm="1">
        <f t="array" aca="1" ref="F146" ca="1">OFFSET(E146,-1,1)</f>
        <v>2</v>
      </c>
      <c r="G146" s="22"/>
      <c r="H146" s="4"/>
      <c r="I146" s="22" t="s">
        <v>1351</v>
      </c>
      <c r="K146" s="40"/>
      <c r="L146" s="40"/>
      <c r="M146" s="40"/>
      <c r="T146" s="353" t="b" cm="1">
        <f t="array" ref="T146">T145</f>
        <v>1</v>
      </c>
      <c r="X146" s="990"/>
      <c r="Z146" s="967"/>
      <c r="AB146" s="133" t="s">
        <v>569</v>
      </c>
      <c r="AC146" s="127" t="s">
        <v>1492</v>
      </c>
      <c r="AD146" s="7" t="s">
        <v>1493</v>
      </c>
      <c r="AE146" s="9" t="s">
        <v>828</v>
      </c>
      <c r="AF146" s="141">
        <v>6460.7177775607997</v>
      </c>
      <c r="AG146" s="141">
        <v>1058.95</v>
      </c>
      <c r="AH146" s="103" t="s">
        <v>1615</v>
      </c>
      <c r="AL146" s="656" t="s">
        <v>1494</v>
      </c>
    </row>
    <row r="147" spans="2:38" ht="44.85" customHeight="1" x14ac:dyDescent="0.15">
      <c r="E147" s="448">
        <v>22.5</v>
      </c>
      <c r="F147" s="3" t="str" cm="1">
        <f t="array" aca="1" ref="F147" ca="1">OFFSET(E147,-1,1)</f>
        <v>2</v>
      </c>
      <c r="G147" s="22"/>
      <c r="H147" s="4"/>
      <c r="I147" s="22" t="s">
        <v>1495</v>
      </c>
      <c r="K147" s="40"/>
      <c r="L147" s="40"/>
      <c r="M147" s="40"/>
      <c r="T147" s="353" t="b" cm="1">
        <f t="array" ref="T147">T146</f>
        <v>1</v>
      </c>
      <c r="X147" s="990"/>
      <c r="Z147" s="967"/>
      <c r="AB147" s="133" t="s">
        <v>519</v>
      </c>
      <c r="AC147" s="134" t="s">
        <v>1496</v>
      </c>
      <c r="AD147" s="7" t="s">
        <v>1497</v>
      </c>
      <c r="AE147" s="9" t="s">
        <v>888</v>
      </c>
      <c r="AF147" s="141">
        <v>4.8198131952000001</v>
      </c>
      <c r="AG147" s="141">
        <v>0.79193939310000006</v>
      </c>
      <c r="AH147" s="103" t="s">
        <v>1616</v>
      </c>
      <c r="AL147" s="656" t="s">
        <v>1498</v>
      </c>
    </row>
    <row r="148" spans="2:38" ht="43.35" customHeight="1" x14ac:dyDescent="0.15">
      <c r="E148" s="448">
        <v>15</v>
      </c>
      <c r="F148" s="3" t="str" cm="1">
        <f t="array" aca="1" ref="F148" ca="1">OFFSET(E148,-1,1)</f>
        <v>2</v>
      </c>
      <c r="G148" s="22"/>
      <c r="H148" s="4"/>
      <c r="I148" s="22" t="s">
        <v>1499</v>
      </c>
      <c r="K148" s="40"/>
      <c r="L148" s="40"/>
      <c r="M148" s="40"/>
      <c r="T148" s="353" t="b" cm="1">
        <f t="array" ref="T148">T147</f>
        <v>1</v>
      </c>
      <c r="X148" s="990"/>
      <c r="Z148" s="967"/>
      <c r="AB148" s="133" t="s">
        <v>1500</v>
      </c>
      <c r="AC148" s="134" t="s">
        <v>1501</v>
      </c>
      <c r="AD148" s="7" t="s">
        <v>1502</v>
      </c>
      <c r="AE148" s="9" t="s">
        <v>882</v>
      </c>
      <c r="AF148" s="141">
        <v>337.074524</v>
      </c>
      <c r="AG148" s="141">
        <v>337.0745</v>
      </c>
      <c r="AH148" s="103" t="s">
        <v>1617</v>
      </c>
      <c r="AL148" s="656" t="s">
        <v>1503</v>
      </c>
    </row>
    <row r="149" spans="2:38" ht="32.450000000000003" customHeight="1" x14ac:dyDescent="0.15">
      <c r="E149" s="448">
        <v>22.5</v>
      </c>
      <c r="F149" s="3" t="str" cm="1">
        <f t="array" aca="1" ref="F149" ca="1">OFFSET(E149,-1,1)</f>
        <v>2</v>
      </c>
      <c r="G149" s="22"/>
      <c r="H149" s="4"/>
      <c r="I149" s="22" t="s">
        <v>1504</v>
      </c>
      <c r="K149" s="40"/>
      <c r="L149" s="40"/>
      <c r="M149" s="40"/>
      <c r="T149" s="353" t="b" cm="1">
        <f t="array" ref="T149">T148</f>
        <v>1</v>
      </c>
      <c r="X149" s="990"/>
      <c r="Z149" s="967"/>
      <c r="AB149" s="133" t="s">
        <v>1505</v>
      </c>
      <c r="AC149" s="134" t="s">
        <v>1506</v>
      </c>
      <c r="AD149" s="7" t="s">
        <v>1507</v>
      </c>
      <c r="AE149" s="9" t="s">
        <v>885</v>
      </c>
      <c r="AF149" s="141">
        <v>3.9767165254000001</v>
      </c>
      <c r="AG149" s="141">
        <v>3.9767165254000001</v>
      </c>
      <c r="AH149" s="103" t="s">
        <v>1618</v>
      </c>
      <c r="AL149" s="656" t="s">
        <v>1508</v>
      </c>
    </row>
    <row r="150" spans="2:38" ht="90.4" customHeight="1" x14ac:dyDescent="0.15">
      <c r="E150" s="448">
        <v>22.5</v>
      </c>
      <c r="F150" s="3" t="str" cm="1">
        <f t="array" aca="1" ref="F150" ca="1">OFFSET(E150,-1,1)</f>
        <v>2</v>
      </c>
      <c r="G150" s="22" t="s">
        <v>1509</v>
      </c>
      <c r="H150" s="4"/>
      <c r="I150" s="22" t="s">
        <v>1510</v>
      </c>
      <c r="K150" s="40"/>
      <c r="L150" s="40"/>
      <c r="M150" s="40"/>
      <c r="T150" s="353" t="b" cm="1">
        <f t="array" ref="T150">T149</f>
        <v>1</v>
      </c>
      <c r="X150" s="990"/>
      <c r="Z150" s="967"/>
      <c r="AB150" s="133" t="s">
        <v>962</v>
      </c>
      <c r="AC150" s="127" t="s">
        <v>1511</v>
      </c>
      <c r="AD150" s="7" t="s">
        <v>1512</v>
      </c>
      <c r="AE150" s="9" t="s">
        <v>828</v>
      </c>
      <c r="AF150" s="141">
        <v>3196.6111077234</v>
      </c>
      <c r="AG150" s="141">
        <v>539.54</v>
      </c>
      <c r="AH150" s="103" t="s">
        <v>1619</v>
      </c>
      <c r="AL150" s="656" t="s">
        <v>1247</v>
      </c>
    </row>
    <row r="151" spans="2:38" ht="14.25" customHeight="1" x14ac:dyDescent="0.15">
      <c r="E151" s="448">
        <v>15</v>
      </c>
      <c r="F151" s="3" t="str" cm="1">
        <f t="array" aca="1" ref="F151" ca="1">OFFSET(E151,-1,1)</f>
        <v>2</v>
      </c>
      <c r="G151" s="22" t="s">
        <v>1513</v>
      </c>
      <c r="H151" s="4"/>
      <c r="I151" s="22" t="s">
        <v>1514</v>
      </c>
      <c r="K151" s="40"/>
      <c r="L151" s="40"/>
      <c r="M151" s="40"/>
      <c r="T151" s="353" t="b" cm="1">
        <f t="array" ref="T151">T150</f>
        <v>1</v>
      </c>
      <c r="X151" s="990"/>
      <c r="Z151" s="967"/>
      <c r="AB151" s="133" t="s">
        <v>965</v>
      </c>
      <c r="AC151" s="622" t="s">
        <v>1515</v>
      </c>
      <c r="AD151" s="7" t="s">
        <v>1516</v>
      </c>
      <c r="AE151" s="9" t="s">
        <v>828</v>
      </c>
      <c r="AF151" s="141"/>
      <c r="AG151" s="141">
        <f ca="1">IF(AND(method_reg="Метод индексации",first_year=god),SUMIFS('Калькуляция (МИ)'!$AE$25:$AE$603,'Калькуляция (МИ)'!$F$25:$F$603,$F151,'Калькуляция (МИ)'!$G$25:$G$603,"Нормативная прибыль")-SUMIFS('Калькуляция (МИ)'!$AE$25:$AE$603,'Калькуляция (МИ)'!$F$25:$F$603,$F151,'Калькуляция (МИ)'!$G$25:$G$603,"иные экономически обоснованные расходы на социальные нужды")+SUMIFS('Калькуляция (МИ)'!$AG$25:$AG$603,'Калькуляция (МИ)'!$F$25:$F$603,$F151,'Калькуляция (МИ)'!$G$25:$G$603,"иные экономически обоснованные расходы на социальные нужды"),SUMIFS('Калькуляция (МИ корр)'!$AE$25:$AE$603,'Калькуляция (МИ корр)'!$F$25:$F$603,$F151,'Калькуляция (МИ корр)'!$G$25:$G$603,"Нормативная прибыль")-SUMIFS('Калькуляция (МИ корр)'!$AE$25:$AE$603,'Калькуляция (МИ корр)'!$F$25:$F$603,$F151,'Калькуляция (МИ корр)'!$G$25:$G$603,"иные экономически обоснованные расходы на социальные нужды")+SUMIFS('Калькуляция (МИ корр)'!$AG$25:$AG$603,'Калькуляция (МИ корр)'!$F$25:$F$603,$F151,'Калькуляция (МИ корр)'!$G$25:$G$603,"иные экономически обоснованные расходы на социальные нужды"))</f>
        <v>0</v>
      </c>
      <c r="AH151" s="103"/>
      <c r="AL151" s="656" t="s">
        <v>1517</v>
      </c>
    </row>
    <row r="152" spans="2:38" ht="14.25" customHeight="1" x14ac:dyDescent="0.15">
      <c r="E152" s="448">
        <v>15</v>
      </c>
      <c r="F152" s="3" t="str" cm="1">
        <f t="array" aca="1" ref="F152" ca="1">OFFSET(E152,-1,1)</f>
        <v>2</v>
      </c>
      <c r="G152" s="25" t="s">
        <v>1518</v>
      </c>
      <c r="H152" s="4"/>
      <c r="I152" s="59" t="s">
        <v>1519</v>
      </c>
      <c r="K152" s="40"/>
      <c r="L152" s="40"/>
      <c r="M152" s="40"/>
      <c r="T152" s="353" t="b" cm="1">
        <f t="array" ref="T152">T151</f>
        <v>1</v>
      </c>
      <c r="X152" s="990"/>
      <c r="Z152" s="967"/>
      <c r="AB152" s="133" t="s">
        <v>1520</v>
      </c>
      <c r="AC152" s="127" t="s">
        <v>1521</v>
      </c>
      <c r="AD152" s="7" t="s">
        <v>1522</v>
      </c>
      <c r="AE152" s="9" t="s">
        <v>828</v>
      </c>
      <c r="AF152" s="141"/>
      <c r="AG152" s="141">
        <f ca="1">IF(AND(method_reg="Метод индексации",first_year=god),SUMIFS('Калькуляция (МИ)'!$AG$25:$AG$603,'Калькуляция (МИ)'!$F$25:$F$603,$F152,'Калькуляция (МИ)'!$G$25:$G$603,$G152),SUMIFS('Калькуляция (МИ корр)'!$AG$25:$AG$603,'Калькуляция (МИ корр)'!$F$25:$F$603,$F152,'Калькуляция (МИ корр)'!$G$25:$G$603,$G152))</f>
        <v>0</v>
      </c>
      <c r="AH152" s="103"/>
      <c r="AL152" s="656" t="s">
        <v>1523</v>
      </c>
    </row>
    <row r="153" spans="2:38" ht="23.25" customHeight="1" x14ac:dyDescent="0.15">
      <c r="E153" s="448">
        <v>22.5</v>
      </c>
      <c r="F153" s="3" t="str" cm="1">
        <f t="array" aca="1" ref="F153" ca="1">OFFSET(E153,-1,1)</f>
        <v>2</v>
      </c>
      <c r="G153" s="25"/>
      <c r="H153" s="4"/>
      <c r="I153" s="22" t="s">
        <v>1524</v>
      </c>
      <c r="K153" s="40"/>
      <c r="L153" s="40"/>
      <c r="M153" s="40"/>
      <c r="T153" s="353" t="b" cm="1">
        <f t="array" ref="T153">T152</f>
        <v>1</v>
      </c>
      <c r="X153" s="990"/>
      <c r="Z153" s="967"/>
      <c r="AB153" s="133" t="s">
        <v>1525</v>
      </c>
      <c r="AC153" s="127" t="s">
        <v>1526</v>
      </c>
      <c r="AD153" s="7"/>
      <c r="AE153" s="9" t="s">
        <v>828</v>
      </c>
      <c r="AF153" s="141">
        <f>AF154+AF155+AF156</f>
        <v>0</v>
      </c>
      <c r="AG153" s="141">
        <v>499.98</v>
      </c>
      <c r="AH153" s="103"/>
      <c r="AL153" s="656" t="s">
        <v>1527</v>
      </c>
    </row>
    <row r="154" spans="2:38" ht="21.75" customHeight="1" x14ac:dyDescent="0.15">
      <c r="E154" s="448">
        <v>22.5</v>
      </c>
      <c r="F154" s="3" t="str" cm="1">
        <f t="array" aca="1" ref="F154" ca="1">OFFSET(E154,-1,1)</f>
        <v>2</v>
      </c>
      <c r="G154" s="22"/>
      <c r="H154" s="4"/>
      <c r="I154" s="22" t="s">
        <v>1528</v>
      </c>
      <c r="K154" s="40"/>
      <c r="L154" s="40"/>
      <c r="M154" s="40"/>
      <c r="T154" s="353" t="b" cm="1">
        <f t="array" ref="T154">T153</f>
        <v>1</v>
      </c>
      <c r="X154" s="990"/>
      <c r="Z154" s="967"/>
      <c r="AB154" s="133" t="s">
        <v>1529</v>
      </c>
      <c r="AC154" s="134" t="s">
        <v>1530</v>
      </c>
      <c r="AD154" s="7" t="s">
        <v>1531</v>
      </c>
      <c r="AE154" s="9" t="s">
        <v>828</v>
      </c>
      <c r="AF154" s="141"/>
      <c r="AG154" s="141"/>
      <c r="AH154" s="103"/>
      <c r="AL154" s="656" t="s">
        <v>1532</v>
      </c>
    </row>
    <row r="155" spans="2:38" ht="14.25" customHeight="1" x14ac:dyDescent="0.15">
      <c r="E155" s="448">
        <v>15</v>
      </c>
      <c r="F155" s="3" t="str" cm="1">
        <f t="array" aca="1" ref="F155" ca="1">OFFSET(E155,-1,1)</f>
        <v>2</v>
      </c>
      <c r="G155" s="22"/>
      <c r="H155" s="4"/>
      <c r="I155" s="22" t="s">
        <v>1533</v>
      </c>
      <c r="K155" s="40"/>
      <c r="L155" s="40"/>
      <c r="M155" s="40"/>
      <c r="T155" s="353" t="b" cm="1">
        <f t="array" ref="T155">T154</f>
        <v>1</v>
      </c>
      <c r="X155" s="990"/>
      <c r="Z155" s="967"/>
      <c r="AB155" s="133" t="s">
        <v>1534</v>
      </c>
      <c r="AC155" s="134" t="s">
        <v>1535</v>
      </c>
      <c r="AD155" s="7" t="s">
        <v>1536</v>
      </c>
      <c r="AE155" s="9" t="s">
        <v>828</v>
      </c>
      <c r="AF155" s="141"/>
      <c r="AG155" s="141"/>
      <c r="AH155" s="103"/>
      <c r="AL155" s="656" t="s">
        <v>1537</v>
      </c>
    </row>
    <row r="156" spans="2:38" ht="54.4" customHeight="1" x14ac:dyDescent="0.15">
      <c r="E156" s="448">
        <v>45</v>
      </c>
      <c r="F156" s="3" t="str" cm="1">
        <f t="array" aca="1" ref="F156" ca="1">OFFSET(E156,-1,1)</f>
        <v>2</v>
      </c>
      <c r="G156" s="22"/>
      <c r="H156" s="4"/>
      <c r="I156" s="22" t="s">
        <v>1538</v>
      </c>
      <c r="K156" s="40"/>
      <c r="L156" s="40"/>
      <c r="M156" s="40"/>
      <c r="T156" s="353" t="b" cm="1">
        <f t="array" ref="T156">T155</f>
        <v>1</v>
      </c>
      <c r="X156" s="990"/>
      <c r="Z156" s="967"/>
      <c r="AB156" s="133" t="s">
        <v>1539</v>
      </c>
      <c r="AC156" s="134" t="s">
        <v>1540</v>
      </c>
      <c r="AD156" s="9" t="s">
        <v>1541</v>
      </c>
      <c r="AE156" s="9" t="s">
        <v>828</v>
      </c>
      <c r="AF156" s="141"/>
      <c r="AG156" s="141">
        <v>499.98</v>
      </c>
      <c r="AH156" s="103" t="s">
        <v>1620</v>
      </c>
      <c r="AL156" s="656" t="s">
        <v>1542</v>
      </c>
    </row>
    <row r="157" spans="2:38" ht="21.75" customHeight="1" x14ac:dyDescent="0.15">
      <c r="E157" s="448">
        <v>22.5</v>
      </c>
      <c r="F157" s="3" t="str" cm="1">
        <f t="array" aca="1" ref="F157" ca="1">OFFSET(E157,-1,1)</f>
        <v>2</v>
      </c>
      <c r="G157" s="22"/>
      <c r="H157" s="4"/>
      <c r="I157" s="22" t="s">
        <v>1543</v>
      </c>
      <c r="K157" s="40"/>
      <c r="L157" s="40"/>
      <c r="M157" s="40"/>
      <c r="T157" s="353" t="b" cm="1">
        <f t="array" ref="T157">T156</f>
        <v>1</v>
      </c>
      <c r="X157" s="990"/>
      <c r="Z157" s="967"/>
      <c r="AB157" s="133" t="s">
        <v>1544</v>
      </c>
      <c r="AC157" s="127" t="s">
        <v>1545</v>
      </c>
      <c r="AD157" s="9" t="s">
        <v>1546</v>
      </c>
      <c r="AE157" s="9" t="s">
        <v>828</v>
      </c>
      <c r="AF157" s="141"/>
      <c r="AG157" s="141"/>
      <c r="AH157" s="103"/>
      <c r="AL157" s="656" t="s">
        <v>1547</v>
      </c>
    </row>
    <row r="158" spans="2:38" ht="76.5" customHeight="1" x14ac:dyDescent="0.15">
      <c r="B158" s="43" t="b">
        <f>S129="Водоотведение"</f>
        <v>1</v>
      </c>
      <c r="E158" s="448">
        <v>78.75</v>
      </c>
      <c r="F158" s="3" t="str" cm="1">
        <f t="array" aca="1" ref="F158" ca="1">OFFSET(E158,-1,1)</f>
        <v>2</v>
      </c>
      <c r="G158" s="22"/>
      <c r="H158" s="4"/>
      <c r="I158" s="22"/>
      <c r="K158" s="40"/>
      <c r="L158" s="40"/>
      <c r="M158" s="40"/>
      <c r="T158" s="353" t="b" cm="1">
        <f t="array" ref="T158">T157</f>
        <v>1</v>
      </c>
      <c r="X158" s="990"/>
      <c r="Z158" s="967"/>
      <c r="AB158" s="133" t="s">
        <v>1548</v>
      </c>
      <c r="AC158" s="127" t="s">
        <v>1549</v>
      </c>
      <c r="AD158" s="9"/>
      <c r="AE158" s="9" t="s">
        <v>828</v>
      </c>
      <c r="AF158" s="141"/>
      <c r="AG158" s="141"/>
      <c r="AH158" s="103"/>
      <c r="AL158" s="656" t="s">
        <v>1550</v>
      </c>
    </row>
    <row r="159" spans="2:38" ht="54.75" customHeight="1" x14ac:dyDescent="0.15">
      <c r="B159" s="43" t="b" cm="1">
        <f t="array" ref="B159">B158</f>
        <v>1</v>
      </c>
      <c r="E159" s="448">
        <v>56.25</v>
      </c>
      <c r="F159" s="3" t="str" cm="1">
        <f t="array" aca="1" ref="F159" ca="1">OFFSET(E159,-1,1)</f>
        <v>2</v>
      </c>
      <c r="G159" s="22"/>
      <c r="H159" s="4"/>
      <c r="I159" s="22"/>
      <c r="K159" s="40"/>
      <c r="L159" s="40"/>
      <c r="M159" s="40"/>
      <c r="T159" s="353" t="b" cm="1">
        <f t="array" ref="T159">T158</f>
        <v>1</v>
      </c>
      <c r="X159" s="990"/>
      <c r="Z159" s="967"/>
      <c r="AB159" s="133" t="s">
        <v>1551</v>
      </c>
      <c r="AC159" s="127" t="s">
        <v>1552</v>
      </c>
      <c r="AD159" s="9"/>
      <c r="AE159" s="9" t="s">
        <v>828</v>
      </c>
      <c r="AF159" s="141"/>
      <c r="AG159" s="141"/>
      <c r="AH159" s="103"/>
      <c r="AL159" s="656" t="s">
        <v>1378</v>
      </c>
    </row>
    <row r="160" spans="2:38" ht="14.25" customHeight="1" x14ac:dyDescent="0.15">
      <c r="E160" s="448">
        <v>15</v>
      </c>
      <c r="F160" s="3" t="str" cm="1">
        <f t="array" aca="1" ref="F160" ca="1">OFFSET(E160,-1,1)</f>
        <v>2</v>
      </c>
      <c r="G160" s="22"/>
      <c r="H160" s="4"/>
      <c r="I160" s="22"/>
      <c r="K160" s="40"/>
      <c r="L160" s="40"/>
      <c r="M160" s="40"/>
      <c r="T160" s="353" t="b" cm="1">
        <f t="array" ref="T160">T159</f>
        <v>1</v>
      </c>
      <c r="X160" s="990"/>
      <c r="Z160" s="967"/>
      <c r="AB160" s="7" t="str">
        <f>IF(B159,"2.12","2.10")</f>
        <v>2.12</v>
      </c>
      <c r="AC160" s="127" t="s">
        <v>1553</v>
      </c>
      <c r="AD160" s="9" t="s">
        <v>1554</v>
      </c>
      <c r="AE160" s="9" t="s">
        <v>828</v>
      </c>
      <c r="AF160" s="141">
        <f>AF161+AF162</f>
        <v>0</v>
      </c>
      <c r="AG160" s="141">
        <f>AG161+AG162</f>
        <v>0</v>
      </c>
      <c r="AH160" s="103"/>
      <c r="AL160" s="656" t="s">
        <v>1555</v>
      </c>
    </row>
    <row r="161" spans="1:43" ht="21.75" customHeight="1" x14ac:dyDescent="0.15">
      <c r="E161" s="448">
        <v>22.5</v>
      </c>
      <c r="F161" s="3" t="str" cm="1">
        <f t="array" aca="1" ref="F161" ca="1">OFFSET(E161,-1,1)</f>
        <v>2</v>
      </c>
      <c r="G161" s="22"/>
      <c r="H161" s="4"/>
      <c r="I161" s="22"/>
      <c r="K161" s="40"/>
      <c r="L161" s="40"/>
      <c r="M161" s="40"/>
      <c r="T161" s="353" t="b" cm="1">
        <f t="array" ref="T161">T160</f>
        <v>1</v>
      </c>
      <c r="X161" s="990"/>
      <c r="Z161" s="967"/>
      <c r="AB161" s="7" t="str">
        <f>AB160&amp;".1"</f>
        <v>2.12.1</v>
      </c>
      <c r="AC161" s="127" t="s">
        <v>1556</v>
      </c>
      <c r="AD161" s="9" t="s">
        <v>1554</v>
      </c>
      <c r="AE161" s="9" t="s">
        <v>828</v>
      </c>
      <c r="AF161" s="141"/>
      <c r="AG161" s="141"/>
      <c r="AH161" s="103"/>
      <c r="AL161" s="656" t="s">
        <v>1557</v>
      </c>
    </row>
    <row r="162" spans="1:43" ht="21.75" customHeight="1" x14ac:dyDescent="0.15">
      <c r="E162" s="448">
        <v>22.5</v>
      </c>
      <c r="F162" s="3" t="str" cm="1">
        <f t="array" aca="1" ref="F162" ca="1">OFFSET(E162,-1,1)</f>
        <v>2</v>
      </c>
      <c r="G162" s="22"/>
      <c r="H162" s="4"/>
      <c r="I162" s="22"/>
      <c r="K162" s="40"/>
      <c r="L162" s="40"/>
      <c r="M162" s="40"/>
      <c r="T162" s="353" t="b" cm="1">
        <f t="array" ref="T162">T161</f>
        <v>1</v>
      </c>
      <c r="X162" s="990"/>
      <c r="Z162" s="967"/>
      <c r="AB162" s="7" t="str">
        <f>AB160&amp;".2"</f>
        <v>2.12.2</v>
      </c>
      <c r="AC162" s="127" t="s">
        <v>1558</v>
      </c>
      <c r="AD162" s="9" t="s">
        <v>1554</v>
      </c>
      <c r="AE162" s="9" t="s">
        <v>828</v>
      </c>
      <c r="AF162" s="141"/>
      <c r="AG162" s="141"/>
      <c r="AH162" s="103"/>
      <c r="AL162" s="656" t="s">
        <v>1559</v>
      </c>
    </row>
    <row r="163" spans="1:43" ht="14.25" customHeight="1" x14ac:dyDescent="0.15">
      <c r="E163" s="448">
        <v>15</v>
      </c>
      <c r="F163" s="3" t="str" cm="1">
        <f t="array" aca="1" ref="F163" ca="1">OFFSET(E163,-1,1)</f>
        <v>2</v>
      </c>
      <c r="G163" s="22"/>
      <c r="H163" s="4"/>
      <c r="I163" s="22"/>
      <c r="K163" s="40"/>
      <c r="L163" s="40"/>
      <c r="M163" s="40"/>
      <c r="T163" s="353" t="b" cm="1">
        <f t="array" ref="T163">T162</f>
        <v>1</v>
      </c>
      <c r="X163" s="990"/>
      <c r="Z163" s="967"/>
      <c r="AB163" s="7" t="str">
        <f>IF(B159,"2.13","2.11")</f>
        <v>2.13</v>
      </c>
      <c r="AC163" s="127" t="s">
        <v>1560</v>
      </c>
      <c r="AD163" s="9" t="s">
        <v>1554</v>
      </c>
      <c r="AE163" s="9" t="s">
        <v>828</v>
      </c>
      <c r="AF163" s="141"/>
      <c r="AG163" s="141"/>
      <c r="AH163" s="103"/>
      <c r="AL163" s="656" t="s">
        <v>1561</v>
      </c>
    </row>
    <row r="164" spans="1:43" ht="14.25" customHeight="1" x14ac:dyDescent="0.15">
      <c r="E164" s="448">
        <v>15</v>
      </c>
      <c r="F164" s="3" t="str" cm="1">
        <f t="array" aca="1" ref="F164" ca="1">OFFSET(E164,-1,1)</f>
        <v>2</v>
      </c>
      <c r="G164" s="22"/>
      <c r="H164" s="4"/>
      <c r="I164" s="22"/>
      <c r="K164" s="40"/>
      <c r="L164" s="40"/>
      <c r="M164" s="40"/>
      <c r="T164" s="353" t="b" cm="1">
        <f t="array" ref="T164">T163</f>
        <v>1</v>
      </c>
      <c r="X164" s="990"/>
      <c r="Z164" s="967"/>
      <c r="AB164" s="7" t="str">
        <f>IF(B159,"2.14","2.12")</f>
        <v>2.14</v>
      </c>
      <c r="AC164" s="127" t="s">
        <v>1562</v>
      </c>
      <c r="AD164" s="9" t="s">
        <v>1554</v>
      </c>
      <c r="AE164" s="9" t="s">
        <v>828</v>
      </c>
      <c r="AF164" s="141"/>
      <c r="AG164" s="141"/>
      <c r="AH164" s="103"/>
      <c r="AL164" s="656" t="s">
        <v>1563</v>
      </c>
    </row>
    <row r="165" spans="1:43" s="857" customFormat="1" ht="30.4" customHeight="1" x14ac:dyDescent="0.15">
      <c r="A165" s="154"/>
      <c r="B165" s="328"/>
      <c r="C165" s="154"/>
      <c r="D165" s="154"/>
      <c r="E165" s="501">
        <v>22.5</v>
      </c>
      <c r="F165" s="3" t="str" cm="1">
        <f t="array" aca="1" ref="F165" ca="1">OFFSET(E165,-1,1)</f>
        <v>2</v>
      </c>
      <c r="G165" s="63"/>
      <c r="H165" s="63"/>
      <c r="I165" s="22" t="s">
        <v>332</v>
      </c>
      <c r="J165" s="154"/>
      <c r="K165" s="375"/>
      <c r="L165" s="375"/>
      <c r="M165" s="375"/>
      <c r="N165" s="154"/>
      <c r="O165" s="154"/>
      <c r="P165" s="154"/>
      <c r="Q165" s="154"/>
      <c r="R165" s="154"/>
      <c r="S165" s="154"/>
      <c r="T165" s="353" t="b" cm="1">
        <f t="array" ref="T165">T164</f>
        <v>1</v>
      </c>
      <c r="U165" s="154"/>
      <c r="V165" s="154"/>
      <c r="W165" s="154"/>
      <c r="X165" s="990"/>
      <c r="Y165" s="154"/>
      <c r="Z165" s="967"/>
      <c r="AA165" s="154"/>
      <c r="AB165" s="124" t="s">
        <v>1564</v>
      </c>
      <c r="AC165" s="125" t="s">
        <v>1565</v>
      </c>
      <c r="AD165" s="124" t="s">
        <v>1427</v>
      </c>
      <c r="AE165" s="147" t="s">
        <v>828</v>
      </c>
      <c r="AF165" s="569" cm="1">
        <f t="array" ref="AF165">AF166</f>
        <v>0</v>
      </c>
      <c r="AG165" s="569" cm="1">
        <f t="array" ref="AG165">AG166</f>
        <v>0</v>
      </c>
      <c r="AH165" s="570"/>
      <c r="AI165" s="154"/>
      <c r="AJ165" s="154"/>
      <c r="AK165" s="154"/>
      <c r="AL165" s="688" t="s">
        <v>1566</v>
      </c>
      <c r="AM165" s="154"/>
      <c r="AN165" s="154"/>
      <c r="AO165" s="154"/>
      <c r="AP165" s="154"/>
      <c r="AQ165" s="154"/>
    </row>
    <row r="166" spans="1:43" ht="32.25" customHeight="1" x14ac:dyDescent="0.15">
      <c r="E166" s="448">
        <v>33.75</v>
      </c>
      <c r="F166" s="3" t="str" cm="1">
        <f t="array" aca="1" ref="F166" ca="1">OFFSET(E166,-1,1)</f>
        <v>2</v>
      </c>
      <c r="G166" s="22"/>
      <c r="H166" s="4"/>
      <c r="I166" s="22" t="s">
        <v>500</v>
      </c>
      <c r="K166" s="40"/>
      <c r="L166" s="40"/>
      <c r="M166" s="40"/>
      <c r="T166" s="353" t="b" cm="1">
        <f t="array" ref="T166">T165</f>
        <v>1</v>
      </c>
      <c r="X166" s="990"/>
      <c r="Z166" s="967"/>
      <c r="AB166" s="133" t="s">
        <v>275</v>
      </c>
      <c r="AC166" s="346" t="s">
        <v>1567</v>
      </c>
      <c r="AD166" s="7" t="s">
        <v>1568</v>
      </c>
      <c r="AE166" s="9" t="s">
        <v>828</v>
      </c>
      <c r="AF166" s="620">
        <f>AF167+AF168</f>
        <v>0</v>
      </c>
      <c r="AG166" s="620">
        <f>AG167+AG168</f>
        <v>0</v>
      </c>
      <c r="AH166" s="103"/>
      <c r="AL166" s="656" t="s">
        <v>1569</v>
      </c>
    </row>
    <row r="167" spans="1:43" ht="43.5" customHeight="1" x14ac:dyDescent="0.15">
      <c r="E167" s="448">
        <v>45</v>
      </c>
      <c r="F167" s="3" t="str" cm="1">
        <f t="array" aca="1" ref="F167" ca="1">OFFSET(E167,-1,1)</f>
        <v>2</v>
      </c>
      <c r="G167" s="22"/>
      <c r="H167" s="4"/>
      <c r="I167" s="22" t="s">
        <v>1570</v>
      </c>
      <c r="K167" s="40"/>
      <c r="L167" s="40"/>
      <c r="M167" s="40"/>
      <c r="T167" s="353" t="b" cm="1">
        <f t="array" ref="T167">T166</f>
        <v>1</v>
      </c>
      <c r="X167" s="990"/>
      <c r="Z167" s="967"/>
      <c r="AB167" s="133" t="s">
        <v>939</v>
      </c>
      <c r="AC167" s="127" t="s">
        <v>1571</v>
      </c>
      <c r="AD167" s="7" t="s">
        <v>1572</v>
      </c>
      <c r="AE167" s="9" t="s">
        <v>828</v>
      </c>
      <c r="AF167" s="141"/>
      <c r="AG167" s="141"/>
      <c r="AH167" s="103"/>
      <c r="AL167" s="656" t="s">
        <v>1573</v>
      </c>
    </row>
    <row r="168" spans="1:43" ht="32.25" customHeight="1" x14ac:dyDescent="0.15">
      <c r="E168" s="448">
        <v>33.75</v>
      </c>
      <c r="F168" s="3" t="str" cm="1">
        <f t="array" aca="1" ref="F168" ca="1">OFFSET(E168,-1,1)</f>
        <v>2</v>
      </c>
      <c r="G168" s="22"/>
      <c r="H168" s="4"/>
      <c r="I168" s="22" t="s">
        <v>1574</v>
      </c>
      <c r="K168" s="40"/>
      <c r="L168" s="40"/>
      <c r="M168" s="40"/>
      <c r="T168" s="353" t="b" cm="1">
        <f t="array" ref="T168">T167</f>
        <v>1</v>
      </c>
      <c r="X168" s="990"/>
      <c r="Z168" s="967"/>
      <c r="AB168" s="133" t="s">
        <v>942</v>
      </c>
      <c r="AC168" s="127" t="s">
        <v>1575</v>
      </c>
      <c r="AD168" s="7" t="s">
        <v>1576</v>
      </c>
      <c r="AE168" s="9" t="s">
        <v>828</v>
      </c>
      <c r="AF168" s="141"/>
      <c r="AG168" s="141"/>
      <c r="AH168" s="103"/>
      <c r="AL168" s="656" t="s">
        <v>1577</v>
      </c>
    </row>
    <row r="169" spans="1:43" ht="33.75" customHeight="1" x14ac:dyDescent="0.15">
      <c r="E169" s="448">
        <v>35</v>
      </c>
      <c r="F169" s="3" t="str" cm="1">
        <f t="array" aca="1" ref="F169" ca="1">OFFSET(E169,-1,1)</f>
        <v>2</v>
      </c>
      <c r="G169" s="22"/>
      <c r="H169" s="4"/>
      <c r="I169" s="22" t="s">
        <v>333</v>
      </c>
      <c r="K169" s="40" t="str">
        <f ca="1">F169&amp;"1komm"</f>
        <v>21komm</v>
      </c>
      <c r="L169" s="609" cm="1">
        <f t="array" ref="L169">AH169</f>
        <v>0</v>
      </c>
      <c r="M169" s="40"/>
      <c r="T169" s="353" t="b" cm="1">
        <f t="array" ref="T169">T168</f>
        <v>1</v>
      </c>
      <c r="X169" s="990"/>
      <c r="Z169" s="967"/>
      <c r="AB169" s="147" t="s">
        <v>1578</v>
      </c>
      <c r="AC169" s="125" t="s">
        <v>1579</v>
      </c>
      <c r="AD169" s="124" t="s">
        <v>1580</v>
      </c>
      <c r="AE169" s="147" t="s">
        <v>828</v>
      </c>
      <c r="AF169" s="281"/>
      <c r="AG169" s="281"/>
      <c r="AH169" s="103"/>
      <c r="AL169" s="656" t="s">
        <v>1581</v>
      </c>
    </row>
    <row r="170" spans="1:43" ht="107.25" customHeight="1" x14ac:dyDescent="0.15">
      <c r="E170" s="448">
        <v>110</v>
      </c>
      <c r="F170" s="3" t="str" cm="1">
        <f t="array" aca="1" ref="F170" ca="1">OFFSET(E170,-1,1)</f>
        <v>2</v>
      </c>
      <c r="G170" s="22"/>
      <c r="H170" s="4"/>
      <c r="I170" s="22" t="s">
        <v>335</v>
      </c>
      <c r="K170" s="40" t="str">
        <f ca="1">F170&amp;"2komm"</f>
        <v>22komm</v>
      </c>
      <c r="L170" s="609" cm="1">
        <f t="array" ref="L170">AH170</f>
        <v>0</v>
      </c>
      <c r="M170" s="40"/>
      <c r="T170" s="353" t="b" cm="1">
        <f t="array" ref="T170">T169</f>
        <v>1</v>
      </c>
      <c r="X170" s="990"/>
      <c r="Z170" s="967"/>
      <c r="AB170" s="147" t="s">
        <v>1582</v>
      </c>
      <c r="AC170" s="125" t="s">
        <v>1583</v>
      </c>
      <c r="AD170" s="124" t="s">
        <v>1584</v>
      </c>
      <c r="AE170" s="147" t="s">
        <v>828</v>
      </c>
      <c r="AF170" s="281"/>
      <c r="AG170" s="281"/>
      <c r="AH170" s="103"/>
      <c r="AL170" s="656" t="s">
        <v>1080</v>
      </c>
    </row>
    <row r="171" spans="1:43" ht="76.5" customHeight="1" x14ac:dyDescent="0.25">
      <c r="B171" s="43" t="b">
        <f>S129="Водоотведение"</f>
        <v>1</v>
      </c>
      <c r="E171" s="448">
        <v>78.75</v>
      </c>
      <c r="F171" s="3" t="str" cm="1">
        <f t="array" aca="1" ref="F171" ca="1">OFFSET(E171,-1,1)</f>
        <v>2</v>
      </c>
      <c r="H171" s="2"/>
      <c r="I171" s="38" t="s">
        <v>334</v>
      </c>
      <c r="K171" s="40" t="str">
        <f ca="1">F171&amp;"3komm"</f>
        <v>23komm</v>
      </c>
      <c r="L171" s="609" cm="1">
        <f t="array" ref="L171">AH171</f>
        <v>0</v>
      </c>
      <c r="M171" s="40"/>
      <c r="T171" s="353" t="b" cm="1">
        <f t="array" ref="T171">T170</f>
        <v>1</v>
      </c>
      <c r="X171" s="990"/>
      <c r="Z171" s="967"/>
      <c r="AB171" s="147" t="s">
        <v>1585</v>
      </c>
      <c r="AC171" s="125" t="s">
        <v>1586</v>
      </c>
      <c r="AD171" s="124"/>
      <c r="AE171" s="147" t="s">
        <v>828</v>
      </c>
      <c r="AF171" s="281"/>
      <c r="AG171" s="138">
        <f ca="1">IFERROR(SUMIFS('Плата за негативное возд'!$AL$24:$AL$38,'Плата за негативное возд'!$F$24:$F$38,F171,'Плата за негативное возд'!$AB$24:$AB$38,"1"),0)</f>
        <v>0</v>
      </c>
      <c r="AH171" s="103"/>
      <c r="AL171" s="656" t="s">
        <v>1587</v>
      </c>
    </row>
    <row r="172" spans="1:43" ht="54.75" customHeight="1" x14ac:dyDescent="0.25">
      <c r="B172" s="43" t="b" cm="1">
        <f t="array" ref="B172">B171</f>
        <v>1</v>
      </c>
      <c r="E172" s="448">
        <v>56.25</v>
      </c>
      <c r="F172" s="3" t="str" cm="1">
        <f t="array" aca="1" ref="F172" ca="1">OFFSET(E172,-1,1)</f>
        <v>2</v>
      </c>
      <c r="H172" s="2"/>
      <c r="I172" s="38" t="s">
        <v>532</v>
      </c>
      <c r="K172" s="40" t="str">
        <f ca="1">F172&amp;"4komm"</f>
        <v>24komm</v>
      </c>
      <c r="L172" s="609" cm="1">
        <f t="array" ref="L172">AH172</f>
        <v>0</v>
      </c>
      <c r="M172" s="40"/>
      <c r="T172" s="353" t="b" cm="1">
        <f t="array" ref="T172">T171</f>
        <v>1</v>
      </c>
      <c r="X172" s="990"/>
      <c r="Z172" s="967"/>
      <c r="AB172" s="147" t="s">
        <v>1588</v>
      </c>
      <c r="AC172" s="125" t="s">
        <v>1589</v>
      </c>
      <c r="AD172" s="124"/>
      <c r="AE172" s="147" t="s">
        <v>828</v>
      </c>
      <c r="AF172" s="281"/>
      <c r="AG172" s="138">
        <f ca="1">IFERROR(SUMIFS('Плата за негативное возд'!$AL$24:$AL$38,'Плата за негативное возд'!$F$24:$F$38,F172,'Плата за негативное возд'!$AB$24:$AB$38,"2"),0)</f>
        <v>0</v>
      </c>
      <c r="AH172" s="103"/>
      <c r="AL172" s="656" t="s">
        <v>1590</v>
      </c>
    </row>
    <row r="173" spans="1:43" ht="14.25" customHeight="1" x14ac:dyDescent="0.15">
      <c r="E173" s="448">
        <v>15</v>
      </c>
      <c r="F173" s="3" t="str" cm="1">
        <f t="array" aca="1" ref="F173" ca="1">OFFSET(E173,-1,1)</f>
        <v>2</v>
      </c>
      <c r="H173" s="4"/>
      <c r="I173" s="38" t="s">
        <v>535</v>
      </c>
      <c r="K173" s="40" t="str">
        <f ca="1">F173&amp;"5komm"</f>
        <v>25komm</v>
      </c>
      <c r="L173" s="609" cm="1">
        <f t="array" ref="L173">AH173</f>
        <v>0</v>
      </c>
      <c r="M173" s="40"/>
      <c r="T173" s="353" t="b" cm="1">
        <f t="array" ref="T173">T172</f>
        <v>1</v>
      </c>
      <c r="X173" s="990"/>
      <c r="Z173" s="967"/>
      <c r="AB173" s="147" t="str">
        <f>IF(B172,"VII","V")</f>
        <v>VII</v>
      </c>
      <c r="AC173" s="125" t="s">
        <v>1591</v>
      </c>
      <c r="AD173" s="124"/>
      <c r="AE173" s="147" t="s">
        <v>828</v>
      </c>
      <c r="AF173" s="281"/>
      <c r="AG173" s="281"/>
      <c r="AH173" s="103"/>
      <c r="AL173" s="656" t="s">
        <v>1592</v>
      </c>
    </row>
    <row r="174" spans="1:43" s="857" customFormat="1" ht="14.25" customHeight="1" x14ac:dyDescent="0.15">
      <c r="A174" s="154"/>
      <c r="B174" s="328"/>
      <c r="C174" s="154"/>
      <c r="D174" s="154"/>
      <c r="E174" s="501">
        <v>15</v>
      </c>
      <c r="F174" s="3" t="str" cm="1">
        <f t="array" aca="1" ref="F174" ca="1">OFFSET(E174,-1,1)</f>
        <v>2</v>
      </c>
      <c r="G174" s="375"/>
      <c r="H174" s="154"/>
      <c r="I174" s="154" t="s">
        <v>586</v>
      </c>
      <c r="J174" s="154"/>
      <c r="K174" s="40" t="str">
        <f ca="1">F174&amp;"6komm"</f>
        <v>26komm</v>
      </c>
      <c r="L174" s="609" cm="1">
        <f t="array" ref="L174">AH174</f>
        <v>0</v>
      </c>
      <c r="M174" s="375"/>
      <c r="N174" s="154"/>
      <c r="O174" s="154"/>
      <c r="P174" s="154"/>
      <c r="Q174" s="154"/>
      <c r="R174" s="154"/>
      <c r="S174" s="154"/>
      <c r="T174" s="353" t="b" cm="1">
        <f t="array" ref="T174">T173</f>
        <v>1</v>
      </c>
      <c r="U174" s="154"/>
      <c r="V174" s="154"/>
      <c r="W174" s="154"/>
      <c r="X174" s="990"/>
      <c r="Y174" s="154"/>
      <c r="Z174" s="967"/>
      <c r="AA174" s="154"/>
      <c r="AB174" s="147" t="str">
        <f>IF(B172,"VIII","VI")</f>
        <v>VIII</v>
      </c>
      <c r="AC174" s="125" t="s">
        <v>1553</v>
      </c>
      <c r="AD174" s="124"/>
      <c r="AE174" s="147" t="s">
        <v>828</v>
      </c>
      <c r="AF174" s="281">
        <f>AF175+AF176</f>
        <v>0</v>
      </c>
      <c r="AG174" s="281">
        <f>AG175+AG176</f>
        <v>0</v>
      </c>
      <c r="AH174" s="103"/>
      <c r="AI174" s="154"/>
      <c r="AJ174" s="154"/>
      <c r="AK174" s="154"/>
      <c r="AL174" s="688" t="s">
        <v>1593</v>
      </c>
      <c r="AM174" s="154"/>
      <c r="AN174" s="154"/>
      <c r="AO174" s="154"/>
      <c r="AP174" s="154"/>
      <c r="AQ174" s="154"/>
    </row>
    <row r="175" spans="1:43" ht="21.75" customHeight="1" x14ac:dyDescent="0.15">
      <c r="E175" s="448">
        <v>22.5</v>
      </c>
      <c r="F175" s="3" t="str" cm="1">
        <f t="array" aca="1" ref="F175" ca="1">OFFSET(E175,-1,1)</f>
        <v>2</v>
      </c>
      <c r="H175" s="4"/>
      <c r="I175" s="38" t="s">
        <v>589</v>
      </c>
      <c r="K175" s="40" t="str">
        <f ca="1">F175&amp;"7komm"</f>
        <v>27komm</v>
      </c>
      <c r="L175" s="609" cm="1">
        <f t="array" ref="L175">AH175</f>
        <v>0</v>
      </c>
      <c r="M175" s="40"/>
      <c r="T175" s="353" t="b" cm="1">
        <f t="array" ref="T175">T174</f>
        <v>1</v>
      </c>
      <c r="X175" s="990"/>
      <c r="Z175" s="967"/>
      <c r="AB175" s="9">
        <v>1</v>
      </c>
      <c r="AC175" s="127" t="s">
        <v>1556</v>
      </c>
      <c r="AD175" s="7"/>
      <c r="AE175" s="9" t="s">
        <v>828</v>
      </c>
      <c r="AF175" s="141"/>
      <c r="AG175" s="141"/>
      <c r="AH175" s="103"/>
      <c r="AL175" s="656" t="s">
        <v>1594</v>
      </c>
    </row>
    <row r="176" spans="1:43" ht="21.75" customHeight="1" x14ac:dyDescent="0.15">
      <c r="E176" s="448">
        <v>22.5</v>
      </c>
      <c r="F176" s="3" t="str" cm="1">
        <f t="array" aca="1" ref="F176" ca="1">OFFSET(E176,-1,1)</f>
        <v>2</v>
      </c>
      <c r="H176" s="4"/>
      <c r="I176" s="38" t="s">
        <v>593</v>
      </c>
      <c r="K176" s="40" t="str">
        <f ca="1">F176&amp;"8komm"</f>
        <v>28komm</v>
      </c>
      <c r="L176" s="609" cm="1">
        <f t="array" ref="L176">AH176</f>
        <v>0</v>
      </c>
      <c r="M176" s="40"/>
      <c r="T176" s="353" t="b" cm="1">
        <f t="array" ref="T176">T175</f>
        <v>1</v>
      </c>
      <c r="X176" s="990"/>
      <c r="Z176" s="967"/>
      <c r="AB176" s="9">
        <v>2</v>
      </c>
      <c r="AC176" s="127" t="s">
        <v>1558</v>
      </c>
      <c r="AD176" s="7"/>
      <c r="AE176" s="9" t="s">
        <v>828</v>
      </c>
      <c r="AF176" s="141"/>
      <c r="AG176" s="141"/>
      <c r="AH176" s="103"/>
      <c r="AL176" s="656" t="s">
        <v>1595</v>
      </c>
    </row>
    <row r="177" spans="1:43" ht="14.25" customHeight="1" x14ac:dyDescent="0.15">
      <c r="E177" s="448">
        <v>15</v>
      </c>
      <c r="F177" s="3" t="str" cm="1">
        <f t="array" aca="1" ref="F177" ca="1">OFFSET(E177,-1,1)</f>
        <v>2</v>
      </c>
      <c r="H177" s="4"/>
      <c r="I177" s="38" t="s">
        <v>601</v>
      </c>
      <c r="K177" s="40" t="str">
        <f ca="1">F177&amp;"9komm"</f>
        <v>29komm</v>
      </c>
      <c r="L177" s="609" cm="1">
        <f t="array" ref="L177">AH177</f>
        <v>0</v>
      </c>
      <c r="M177" s="40"/>
      <c r="T177" s="353" t="b" cm="1">
        <f t="array" ref="T177">T176</f>
        <v>1</v>
      </c>
      <c r="X177" s="990"/>
      <c r="Z177" s="967"/>
      <c r="AB177" s="147" t="str">
        <f>IF(B172,"IX","VIII")</f>
        <v>IX</v>
      </c>
      <c r="AC177" s="125" t="s">
        <v>1560</v>
      </c>
      <c r="AD177" s="124"/>
      <c r="AE177" s="147" t="s">
        <v>828</v>
      </c>
      <c r="AF177" s="281"/>
      <c r="AG177" s="281"/>
      <c r="AH177" s="103"/>
      <c r="AL177" s="656" t="s">
        <v>1596</v>
      </c>
    </row>
    <row r="178" spans="1:43" ht="14.25" customHeight="1" x14ac:dyDescent="0.15">
      <c r="E178" s="448">
        <v>15</v>
      </c>
      <c r="F178" s="3" t="str" cm="1">
        <f t="array" aca="1" ref="F178" ca="1">OFFSET(E178,-1,1)</f>
        <v>2</v>
      </c>
      <c r="H178" s="4"/>
      <c r="I178" s="38" t="s">
        <v>609</v>
      </c>
      <c r="K178" s="40" t="str">
        <f ca="1">F178&amp;"10komm"</f>
        <v>210komm</v>
      </c>
      <c r="L178" s="609" cm="1">
        <f t="array" ref="L178">AH178</f>
        <v>0</v>
      </c>
      <c r="M178" s="40"/>
      <c r="T178" s="353" t="b" cm="1">
        <f t="array" ref="T178">T177</f>
        <v>1</v>
      </c>
      <c r="X178" s="990"/>
      <c r="Z178" s="967"/>
      <c r="AB178" s="147" t="str">
        <f>IF(B172,"X","IX")</f>
        <v>X</v>
      </c>
      <c r="AC178" s="125" t="s">
        <v>1562</v>
      </c>
      <c r="AD178" s="124"/>
      <c r="AE178" s="147" t="s">
        <v>828</v>
      </c>
      <c r="AF178" s="281"/>
      <c r="AG178" s="281"/>
      <c r="AH178" s="103"/>
      <c r="AL178" s="656" t="s">
        <v>1597</v>
      </c>
    </row>
    <row r="179" spans="1:43" s="857" customFormat="1" ht="44.25" customHeight="1" x14ac:dyDescent="0.15">
      <c r="A179" s="154"/>
      <c r="B179" s="328"/>
      <c r="C179" s="154"/>
      <c r="D179" s="154"/>
      <c r="E179" s="501">
        <v>15</v>
      </c>
      <c r="F179" s="3" t="str" cm="1">
        <f t="array" aca="1" ref="F179" ca="1">OFFSET(E179,-1,1)</f>
        <v>2</v>
      </c>
      <c r="G179" s="375"/>
      <c r="H179" s="154"/>
      <c r="I179" s="154" t="s">
        <v>767</v>
      </c>
      <c r="J179" s="154"/>
      <c r="K179" s="40" t="str">
        <f ca="1">F179&amp;"11komm"</f>
        <v>211komm</v>
      </c>
      <c r="L179" s="609" cm="1">
        <f t="array" ref="L179">AH179</f>
        <v>0</v>
      </c>
      <c r="M179" s="375"/>
      <c r="N179" s="154"/>
      <c r="O179" s="154"/>
      <c r="P179" s="154"/>
      <c r="Q179" s="154"/>
      <c r="R179" s="154"/>
      <c r="S179" s="154"/>
      <c r="T179" s="353" t="b" cm="1">
        <f t="array" ref="T179">T178</f>
        <v>1</v>
      </c>
      <c r="U179" s="154"/>
      <c r="V179" s="154"/>
      <c r="W179" s="154"/>
      <c r="X179" s="990"/>
      <c r="Y179" s="154"/>
      <c r="Z179" s="967"/>
      <c r="AA179" s="154"/>
      <c r="AB179" s="147" t="str">
        <f>IF(B172,"XI","X")</f>
        <v>XI</v>
      </c>
      <c r="AC179" s="132" t="s">
        <v>1598</v>
      </c>
      <c r="AD179" s="124"/>
      <c r="AE179" s="147" t="s">
        <v>828</v>
      </c>
      <c r="AF179" s="569">
        <f>AF130+AF165+AF169+AF170+AF171+AF172+AF173+AF174+AF177+AF178</f>
        <v>33064.861465526606</v>
      </c>
      <c r="AG179" s="569">
        <f ca="1">AG130+AG165+AG169+AG170+AG171+AG172+AG173+AG174+AG177+AG178</f>
        <v>-2107.9400000000005</v>
      </c>
      <c r="AH179" s="103"/>
      <c r="AI179" s="154"/>
      <c r="AJ179" s="154"/>
      <c r="AK179" s="154"/>
      <c r="AL179" s="688" t="s">
        <v>1599</v>
      </c>
      <c r="AM179" s="154"/>
      <c r="AN179" s="154"/>
      <c r="AO179" s="154"/>
      <c r="AP179" s="154"/>
      <c r="AQ179" s="154"/>
    </row>
    <row r="180" spans="1:43" ht="29.1" customHeight="1" x14ac:dyDescent="0.15">
      <c r="E180" s="448">
        <v>15</v>
      </c>
      <c r="F180" s="17" t="str" cm="1">
        <f t="array" ref="F180">X180</f>
        <v>3</v>
      </c>
      <c r="G180" s="59"/>
      <c r="H180" s="4"/>
      <c r="S180" s="315" t="str" cm="1">
        <f t="array" ref="S180">INDEX('Общие сведения'!$AE$179:$AE$236,MATCH($X180,'Общие сведения'!$Z$179:$Z$236,0))</f>
        <v>Водоотведение</v>
      </c>
      <c r="T180" s="353" t="b">
        <f>X180&gt;0</f>
        <v>1</v>
      </c>
      <c r="V180" s="38" t="str" cm="1">
        <f t="array" ref="V180">'Плата за негативное возд'!$AB$35</f>
        <v>Тариф 3 (Водоотведение) - тариф на транспортировку сточных вод</v>
      </c>
      <c r="X180" s="990" t="s">
        <v>291</v>
      </c>
      <c r="Z180" s="967"/>
      <c r="AB180" s="280" t="str" cm="1">
        <f t="array" ref="AB180">'Плата за негативное возд'!$AB$35</f>
        <v>Тариф 3 (Водоотведение) - тариф на транспортировку сточных вод</v>
      </c>
      <c r="AC180" s="280"/>
      <c r="AD180" s="280"/>
      <c r="AE180" s="280"/>
      <c r="AF180" s="280"/>
      <c r="AG180" s="280"/>
      <c r="AH180" s="280"/>
    </row>
    <row r="181" spans="1:43" s="857" customFormat="1" ht="52.9" customHeight="1" x14ac:dyDescent="0.15">
      <c r="A181" s="154"/>
      <c r="B181" s="328"/>
      <c r="C181" s="154"/>
      <c r="D181" s="154"/>
      <c r="E181" s="501">
        <v>45</v>
      </c>
      <c r="F181" s="3" t="str" cm="1">
        <f t="array" aca="1" ref="F181" ca="1">OFFSET(E181,-1,1)</f>
        <v>3</v>
      </c>
      <c r="G181" s="375"/>
      <c r="H181" s="154"/>
      <c r="I181" s="38" t="s">
        <v>331</v>
      </c>
      <c r="J181" s="154"/>
      <c r="K181" s="40"/>
      <c r="L181" s="612"/>
      <c r="M181" s="375"/>
      <c r="N181" s="154"/>
      <c r="O181" s="154"/>
      <c r="P181" s="154"/>
      <c r="Q181" s="154"/>
      <c r="R181" s="154"/>
      <c r="S181" s="154"/>
      <c r="T181" s="353" t="b" cm="1">
        <f t="array" ref="T181">T180</f>
        <v>1</v>
      </c>
      <c r="U181" s="154"/>
      <c r="V181" s="154"/>
      <c r="W181" s="154"/>
      <c r="X181" s="990"/>
      <c r="Y181" s="154"/>
      <c r="Z181" s="967"/>
      <c r="AA181" s="154"/>
      <c r="AB181" s="566" t="s">
        <v>1425</v>
      </c>
      <c r="AC181" s="567" t="s">
        <v>1426</v>
      </c>
      <c r="AD181" s="566" t="s">
        <v>1427</v>
      </c>
      <c r="AE181" s="568" t="s">
        <v>828</v>
      </c>
      <c r="AF181" s="569">
        <f ca="1">AF183-AF182</f>
        <v>20180.601621527599</v>
      </c>
      <c r="AG181" s="569">
        <f ca="1">AG183-AG182</f>
        <v>-535.27386930419743</v>
      </c>
      <c r="AH181" s="570" t="s">
        <v>1600</v>
      </c>
      <c r="AI181" s="154"/>
      <c r="AJ181" s="154"/>
      <c r="AK181" s="154"/>
      <c r="AL181" s="688" t="s">
        <v>1428</v>
      </c>
      <c r="AM181" s="154"/>
      <c r="AN181" s="154"/>
      <c r="AO181" s="154"/>
      <c r="AP181" s="154"/>
      <c r="AQ181" s="154"/>
    </row>
    <row r="182" spans="1:43" s="857" customFormat="1" ht="41.45" customHeight="1" x14ac:dyDescent="0.15">
      <c r="A182" s="154"/>
      <c r="B182" s="328"/>
      <c r="C182" s="154"/>
      <c r="D182" s="154"/>
      <c r="E182" s="501">
        <v>15</v>
      </c>
      <c r="F182" s="3" t="str" cm="1">
        <f t="array" aca="1" ref="F182" ca="1">OFFSET(E182,-1,1)</f>
        <v>3</v>
      </c>
      <c r="G182" s="375"/>
      <c r="H182" s="154"/>
      <c r="I182" s="38" t="s">
        <v>482</v>
      </c>
      <c r="J182" s="154"/>
      <c r="K182" s="375"/>
      <c r="L182" s="375"/>
      <c r="M182" s="375"/>
      <c r="N182" s="154"/>
      <c r="O182" s="154"/>
      <c r="P182" s="154"/>
      <c r="Q182" s="154"/>
      <c r="R182" s="154"/>
      <c r="S182" s="154"/>
      <c r="T182" s="353" t="b" cm="1">
        <f t="array" ref="T182">T181</f>
        <v>1</v>
      </c>
      <c r="U182" s="154"/>
      <c r="V182" s="154"/>
      <c r="W182" s="154"/>
      <c r="X182" s="990"/>
      <c r="Y182" s="154"/>
      <c r="Z182" s="967"/>
      <c r="AA182" s="154"/>
      <c r="AB182" s="131" t="s">
        <v>275</v>
      </c>
      <c r="AC182" s="132" t="s">
        <v>1429</v>
      </c>
      <c r="AD182" s="124" t="s">
        <v>1430</v>
      </c>
      <c r="AE182" s="147" t="s">
        <v>828</v>
      </c>
      <c r="AF182" s="281">
        <v>23640.191569999999</v>
      </c>
      <c r="AG182" s="281">
        <v>23899.94</v>
      </c>
      <c r="AH182" s="570" t="s">
        <v>1601</v>
      </c>
      <c r="AI182" s="154"/>
      <c r="AJ182" s="154"/>
      <c r="AK182" s="154"/>
      <c r="AL182" s="688" t="s">
        <v>1431</v>
      </c>
      <c r="AM182" s="154"/>
      <c r="AN182" s="154"/>
      <c r="AO182" s="154"/>
      <c r="AP182" s="154"/>
      <c r="AQ182" s="154"/>
    </row>
    <row r="183" spans="1:43" s="857" customFormat="1" ht="36.6" customHeight="1" x14ac:dyDescent="0.15">
      <c r="A183" s="154"/>
      <c r="B183" s="328"/>
      <c r="C183" s="154"/>
      <c r="D183" s="154"/>
      <c r="E183" s="501">
        <v>15</v>
      </c>
      <c r="F183" s="3" t="str" cm="1">
        <f t="array" aca="1" ref="F183" ca="1">OFFSET(E183,-1,1)</f>
        <v>3</v>
      </c>
      <c r="G183" s="63"/>
      <c r="H183" s="63"/>
      <c r="I183" s="22" t="s">
        <v>486</v>
      </c>
      <c r="J183" s="154"/>
      <c r="K183" s="375"/>
      <c r="L183" s="375"/>
      <c r="M183" s="375"/>
      <c r="N183" s="154"/>
      <c r="O183" s="154"/>
      <c r="P183" s="154"/>
      <c r="Q183" s="154"/>
      <c r="R183" s="154"/>
      <c r="S183" s="154"/>
      <c r="T183" s="353" t="b" cm="1">
        <f t="array" ref="T183">T182</f>
        <v>1</v>
      </c>
      <c r="U183" s="154"/>
      <c r="V183" s="154"/>
      <c r="W183" s="154"/>
      <c r="X183" s="990"/>
      <c r="Y183" s="154"/>
      <c r="Z183" s="967"/>
      <c r="AA183" s="154"/>
      <c r="AB183" s="131" t="s">
        <v>285</v>
      </c>
      <c r="AC183" s="125" t="s">
        <v>1432</v>
      </c>
      <c r="AD183" s="124" t="s">
        <v>1433</v>
      </c>
      <c r="AE183" s="147" t="s">
        <v>828</v>
      </c>
      <c r="AF183" s="569">
        <f ca="1">AF184+AF185+AF197+AF201+AF202+AF203+AF204+AF208+AF209+AF210+AF211+AF214+AF215</f>
        <v>43820.793191527599</v>
      </c>
      <c r="AG183" s="569">
        <f ca="1">AG184+AG185+AG197+AG201+AG202+AG203+AG204+AG208+AG209+AG210+AG211+AG214+AG215</f>
        <v>23364.666130695801</v>
      </c>
      <c r="AH183" s="570" t="s">
        <v>1602</v>
      </c>
      <c r="AI183" s="154"/>
      <c r="AJ183" s="154"/>
      <c r="AK183" s="154"/>
      <c r="AL183" s="688" t="s">
        <v>1434</v>
      </c>
      <c r="AM183" s="154"/>
      <c r="AN183" s="154"/>
      <c r="AO183" s="154"/>
      <c r="AP183" s="154"/>
      <c r="AQ183" s="154"/>
    </row>
    <row r="184" spans="1:43" ht="52.35" customHeight="1" x14ac:dyDescent="0.15">
      <c r="E184" s="448">
        <v>22.5</v>
      </c>
      <c r="F184" s="3" t="str" cm="1">
        <f t="array" aca="1" ref="F184" ca="1">OFFSET(E184,-1,1)</f>
        <v>3</v>
      </c>
      <c r="G184" s="22" t="s">
        <v>1435</v>
      </c>
      <c r="H184" s="4"/>
      <c r="I184" s="22" t="s">
        <v>1344</v>
      </c>
      <c r="K184" s="40"/>
      <c r="L184" s="40"/>
      <c r="M184" s="40"/>
      <c r="T184" s="353" t="b" cm="1">
        <f t="array" ref="T184">T183</f>
        <v>1</v>
      </c>
      <c r="X184" s="990"/>
      <c r="Z184" s="967"/>
      <c r="AB184" s="133" t="s">
        <v>561</v>
      </c>
      <c r="AC184" s="127" t="s">
        <v>1436</v>
      </c>
      <c r="AD184" s="7" t="s">
        <v>1437</v>
      </c>
      <c r="AE184" s="9" t="s">
        <v>828</v>
      </c>
      <c r="AF184" s="141">
        <v>26229.022271977599</v>
      </c>
      <c r="AG184" s="141">
        <v>12954.51</v>
      </c>
      <c r="AH184" s="103" t="s">
        <v>1611</v>
      </c>
      <c r="AL184" s="656" t="s">
        <v>1438</v>
      </c>
    </row>
    <row r="185" spans="1:43" ht="21.75" customHeight="1" x14ac:dyDescent="0.15">
      <c r="E185" s="448">
        <v>22.5</v>
      </c>
      <c r="F185" s="3" t="str" cm="1">
        <f t="array" aca="1" ref="F185" ca="1">OFFSET(E185,-1,1)</f>
        <v>3</v>
      </c>
      <c r="G185" s="22"/>
      <c r="H185" s="4"/>
      <c r="I185" s="22" t="s">
        <v>1347</v>
      </c>
      <c r="K185" s="40"/>
      <c r="L185" s="40"/>
      <c r="M185" s="40"/>
      <c r="T185" s="353" t="b" cm="1">
        <f t="array" ref="T185">T184</f>
        <v>1</v>
      </c>
      <c r="X185" s="990"/>
      <c r="Z185" s="967"/>
      <c r="AB185" s="133" t="s">
        <v>565</v>
      </c>
      <c r="AC185" s="127" t="s">
        <v>1439</v>
      </c>
      <c r="AD185" s="7" t="s">
        <v>1440</v>
      </c>
      <c r="AE185" s="9" t="s">
        <v>828</v>
      </c>
      <c r="AF185" s="620">
        <f ca="1">SUM(AF186:AF196)</f>
        <v>9903.7782006891994</v>
      </c>
      <c r="AG185" s="620">
        <f ca="1">SUM(AG186:AG196)</f>
        <v>6053.9361306957999</v>
      </c>
      <c r="AH185" s="103"/>
      <c r="AL185" s="656" t="s">
        <v>1441</v>
      </c>
    </row>
    <row r="186" spans="1:43" ht="21.75" customHeight="1" x14ac:dyDescent="0.15">
      <c r="E186" s="448">
        <v>22.5</v>
      </c>
      <c r="F186" s="3" t="str" cm="1">
        <f t="array" aca="1" ref="F186" ca="1">OFFSET(E186,-1,1)</f>
        <v>3</v>
      </c>
      <c r="G186" s="22"/>
      <c r="H186" s="4"/>
      <c r="I186" s="22" t="s">
        <v>1442</v>
      </c>
      <c r="K186" s="40"/>
      <c r="L186" s="40"/>
      <c r="M186" s="40"/>
      <c r="T186" s="353" t="b" cm="1">
        <f t="array" ref="T186">T185</f>
        <v>1</v>
      </c>
      <c r="X186" s="990"/>
      <c r="Z186" s="967"/>
      <c r="AB186" s="551" t="s">
        <v>514</v>
      </c>
      <c r="AC186" s="549" t="s">
        <v>1443</v>
      </c>
      <c r="AD186" s="9"/>
      <c r="AE186" s="9" t="s">
        <v>828</v>
      </c>
      <c r="AF186" s="141">
        <f ca="1">SUMIFS(Покупка!$AF$25:$AF$150,Покупка!$F$25:$F$150,$F186,Покупка!$G$25:$G$150,"Итого")</f>
        <v>0</v>
      </c>
      <c r="AG186" s="141">
        <f ca="1">SUMIFS(Покупка!$AG$25:$AG$150,Покупка!$F$25:$F$150,$F186,Покупка!$G$25:$G$150,"Итого")</f>
        <v>0</v>
      </c>
      <c r="AH186" s="103"/>
      <c r="AL186" s="656" t="s">
        <v>1444</v>
      </c>
    </row>
    <row r="187" spans="1:43" ht="14.25" customHeight="1" x14ac:dyDescent="0.15">
      <c r="E187" s="448">
        <v>15</v>
      </c>
      <c r="F187" s="3" t="str" cm="1">
        <f t="array" aca="1" ref="F187" ca="1">OFFSET(E187,-1,1)</f>
        <v>3</v>
      </c>
      <c r="G187" s="22"/>
      <c r="H187" s="4"/>
      <c r="I187" s="22" t="s">
        <v>1445</v>
      </c>
      <c r="K187" s="40"/>
      <c r="L187" s="40"/>
      <c r="M187" s="40"/>
      <c r="T187" s="353" t="b" cm="1">
        <f t="array" ref="T187">T186</f>
        <v>1</v>
      </c>
      <c r="X187" s="990"/>
      <c r="Z187" s="967"/>
      <c r="AB187" s="551" t="s">
        <v>1446</v>
      </c>
      <c r="AC187" s="549" t="s">
        <v>1447</v>
      </c>
      <c r="AD187" s="9"/>
      <c r="AE187" s="9" t="s">
        <v>828</v>
      </c>
      <c r="AF187" s="141"/>
      <c r="AG187" s="141">
        <f ca="1">SUMIFS('Сырье и материалы'!AG$25:AG$49,'Сырье и материалы'!$F$25:$F$49,$F187,'Сырье и материалы'!$AC$25:$AC$49,"Всего по тарифу")</f>
        <v>0</v>
      </c>
      <c r="AH187" s="103"/>
      <c r="AL187" s="656" t="s">
        <v>1448</v>
      </c>
    </row>
    <row r="188" spans="1:43" ht="44.1" customHeight="1" x14ac:dyDescent="0.15">
      <c r="E188" s="448">
        <v>15</v>
      </c>
      <c r="F188" s="3" t="str" cm="1">
        <f t="array" aca="1" ref="F188" ca="1">OFFSET(E188,-1,1)</f>
        <v>3</v>
      </c>
      <c r="G188" s="22"/>
      <c r="H188" s="4"/>
      <c r="I188" s="22" t="s">
        <v>1449</v>
      </c>
      <c r="K188" s="40"/>
      <c r="L188" s="40"/>
      <c r="M188" s="40"/>
      <c r="T188" s="353" t="b" cm="1">
        <f t="array" ref="T188">T187</f>
        <v>1</v>
      </c>
      <c r="X188" s="990"/>
      <c r="Z188" s="967"/>
      <c r="AB188" s="551" t="s">
        <v>1450</v>
      </c>
      <c r="AC188" s="549" t="s">
        <v>1451</v>
      </c>
      <c r="AD188" s="9"/>
      <c r="AE188" s="9" t="s">
        <v>828</v>
      </c>
      <c r="AF188" s="141">
        <v>301.19613069579998</v>
      </c>
      <c r="AG188" s="141">
        <v>301.19613069579998</v>
      </c>
      <c r="AH188" s="103" t="s">
        <v>1621</v>
      </c>
      <c r="AL188" s="656" t="s">
        <v>1452</v>
      </c>
    </row>
    <row r="189" spans="1:43" ht="65.25" customHeight="1" x14ac:dyDescent="0.15">
      <c r="E189" s="448">
        <v>67.5</v>
      </c>
      <c r="F189" s="3" t="str" cm="1">
        <f t="array" aca="1" ref="F189" ca="1">OFFSET(E189,-1,1)</f>
        <v>3</v>
      </c>
      <c r="G189" s="25" t="s">
        <v>1453</v>
      </c>
      <c r="H189" s="4"/>
      <c r="I189" s="59" t="s">
        <v>1454</v>
      </c>
      <c r="K189" s="40"/>
      <c r="L189" s="40"/>
      <c r="M189" s="40"/>
      <c r="T189" s="353" t="b" cm="1">
        <f t="array" ref="T189">T188</f>
        <v>1</v>
      </c>
      <c r="X189" s="990"/>
      <c r="Z189" s="967"/>
      <c r="AB189" s="551" t="s">
        <v>1455</v>
      </c>
      <c r="AC189" s="549" t="s">
        <v>1456</v>
      </c>
      <c r="AD189" s="9"/>
      <c r="AE189" s="9" t="s">
        <v>828</v>
      </c>
      <c r="AF189" s="141"/>
      <c r="AG189" s="141">
        <f ca="1">IF(AND(method_reg="Метод индексации",first_year=god),SUMIFS('Калькуляция (МИ)'!$AG$25:$AG$603,'Калькуляция (МИ)'!$F$25:$F$603,$F189,'Калькуляция (МИ)'!$G$25:$G$603,$G189),SUMIFS('Калькуляция (МИ корр)'!$AG$25:$AG$603,'Калькуляция (МИ корр)'!$F$25:$F$603,$F189,'Калькуляция (МИ корр)'!$G$25:$G$603,$G189))</f>
        <v>0</v>
      </c>
      <c r="AH189" s="103"/>
      <c r="AL189" s="656" t="s">
        <v>1457</v>
      </c>
    </row>
    <row r="190" spans="1:43" ht="77.45" customHeight="1" x14ac:dyDescent="0.15">
      <c r="E190" s="448">
        <v>15</v>
      </c>
      <c r="F190" s="3" t="str" cm="1">
        <f t="array" aca="1" ref="F190" ca="1">OFFSET(E190,-1,1)</f>
        <v>3</v>
      </c>
      <c r="G190" s="25" t="s">
        <v>1065</v>
      </c>
      <c r="H190" s="4"/>
      <c r="I190" s="59" t="s">
        <v>1458</v>
      </c>
      <c r="K190" s="40"/>
      <c r="L190" s="40"/>
      <c r="M190" s="40"/>
      <c r="T190" s="353" t="b" cm="1">
        <f t="array" ref="T190">T189</f>
        <v>1</v>
      </c>
      <c r="X190" s="990"/>
      <c r="Z190" s="967"/>
      <c r="AB190" s="551" t="s">
        <v>1459</v>
      </c>
      <c r="AC190" s="549" t="s">
        <v>1460</v>
      </c>
      <c r="AD190" s="9"/>
      <c r="AE190" s="9" t="s">
        <v>828</v>
      </c>
      <c r="AF190" s="141">
        <v>9602.5820699933993</v>
      </c>
      <c r="AG190" s="141">
        <v>5752.74</v>
      </c>
      <c r="AH190" s="103" t="s">
        <v>1622</v>
      </c>
      <c r="AL190" s="656" t="s">
        <v>1461</v>
      </c>
    </row>
    <row r="191" spans="1:43" ht="14.25" customHeight="1" x14ac:dyDescent="0.15">
      <c r="E191" s="448">
        <v>15</v>
      </c>
      <c r="F191" s="3" t="str" cm="1">
        <f t="array" aca="1" ref="F191" ca="1">OFFSET(E191,-1,1)</f>
        <v>3</v>
      </c>
      <c r="G191" s="25" t="s">
        <v>1462</v>
      </c>
      <c r="H191" s="4"/>
      <c r="I191" s="59" t="s">
        <v>1463</v>
      </c>
      <c r="K191" s="40"/>
      <c r="L191" s="40"/>
      <c r="M191" s="40"/>
      <c r="T191" s="353" t="b" cm="1">
        <f t="array" ref="T191">T190</f>
        <v>1</v>
      </c>
      <c r="X191" s="990"/>
      <c r="Z191" s="967"/>
      <c r="AB191" s="551" t="s">
        <v>1464</v>
      </c>
      <c r="AC191" s="549" t="s">
        <v>1465</v>
      </c>
      <c r="AD191" s="9"/>
      <c r="AE191" s="9" t="s">
        <v>828</v>
      </c>
      <c r="AF191" s="141"/>
      <c r="AG191" s="141">
        <f ca="1">IF(AND(method_reg="Метод индексации",first_year=god),SUMIFS('Калькуляция (МИ)'!$AG$25:$AG$603,'Калькуляция (МИ)'!$F$25:$F$603,$F191,'Калькуляция (МИ)'!$G$25:$G$603,$G191),SUMIFS('Калькуляция (МИ корр)'!$AG$25:$AG$603,'Калькуляция (МИ корр)'!$F$25:$F$603,$F191,'Калькуляция (МИ корр)'!$G$25:$G$603,$G191))</f>
        <v>0</v>
      </c>
      <c r="AH191" s="103"/>
      <c r="AL191" s="656" t="s">
        <v>1466</v>
      </c>
    </row>
    <row r="192" spans="1:43" ht="21.75" customHeight="1" x14ac:dyDescent="0.15">
      <c r="E192" s="448">
        <v>22.5</v>
      </c>
      <c r="F192" s="3" t="str" cm="1">
        <f t="array" aca="1" ref="F192" ca="1">OFFSET(E192,-1,1)</f>
        <v>3</v>
      </c>
      <c r="G192" s="25" t="s">
        <v>1467</v>
      </c>
      <c r="H192" s="4"/>
      <c r="I192" s="59" t="s">
        <v>1468</v>
      </c>
      <c r="K192" s="40"/>
      <c r="L192" s="40"/>
      <c r="M192" s="40"/>
      <c r="T192" s="353" t="b" cm="1">
        <f t="array" ref="T192">T191</f>
        <v>1</v>
      </c>
      <c r="X192" s="990"/>
      <c r="Z192" s="967"/>
      <c r="AB192" s="551" t="s">
        <v>1469</v>
      </c>
      <c r="AC192" s="549" t="s">
        <v>1470</v>
      </c>
      <c r="AD192" s="9"/>
      <c r="AE192" s="9" t="s">
        <v>828</v>
      </c>
      <c r="AF192" s="141"/>
      <c r="AG192" s="141">
        <f ca="1">IF(AND(method_reg="Метод индексации",first_year=god),SUMIFS('Калькуляция (МИ)'!$AG$25:$AG$603,'Калькуляция (МИ)'!$F$25:$F$603,$F192,'Калькуляция (МИ)'!$G$25:$G$603,$G192),SUMIFS('Калькуляция (МИ корр)'!$AG$25:$AG$603,'Калькуляция (МИ корр)'!$F$25:$F$603,$F192,'Калькуляция (МИ корр)'!$G$25:$G$603,$G192))</f>
        <v>0</v>
      </c>
      <c r="AH192" s="103"/>
      <c r="AL192" s="656" t="s">
        <v>1471</v>
      </c>
    </row>
    <row r="193" spans="5:38" ht="21.75" customHeight="1" x14ac:dyDescent="0.15">
      <c r="E193" s="448">
        <v>22.5</v>
      </c>
      <c r="F193" s="3" t="str" cm="1">
        <f t="array" aca="1" ref="F193" ca="1">OFFSET(E193,-1,1)</f>
        <v>3</v>
      </c>
      <c r="G193" s="25" t="s">
        <v>1472</v>
      </c>
      <c r="H193" s="4"/>
      <c r="I193" s="59" t="s">
        <v>1473</v>
      </c>
      <c r="K193" s="40"/>
      <c r="L193" s="40"/>
      <c r="M193" s="40"/>
      <c r="T193" s="353" t="b" cm="1">
        <f t="array" ref="T193">T192</f>
        <v>1</v>
      </c>
      <c r="X193" s="990"/>
      <c r="Z193" s="967"/>
      <c r="AB193" s="551" t="s">
        <v>1474</v>
      </c>
      <c r="AC193" s="549" t="s">
        <v>1475</v>
      </c>
      <c r="AD193" s="621"/>
      <c r="AE193" s="9" t="s">
        <v>828</v>
      </c>
      <c r="AF193" s="141"/>
      <c r="AG193" s="141">
        <f ca="1">IF(AND(method_reg="Метод индексации",first_year=god),SUMIFS('Калькуляция (МИ)'!$AG$25:$AG$603,'Калькуляция (МИ)'!$F$25:$F$603,$F193,'Калькуляция (МИ)'!$G$25:$G$603,$G193),SUMIFS('Калькуляция (МИ корр)'!$AG$25:$AG$603,'Калькуляция (МИ корр)'!$F$25:$F$603,$F193,'Калькуляция (МИ корр)'!$G$25:$G$603,$G193))</f>
        <v>0</v>
      </c>
      <c r="AH193" s="103"/>
      <c r="AL193" s="656" t="s">
        <v>1476</v>
      </c>
    </row>
    <row r="194" spans="5:38" ht="21.75" customHeight="1" x14ac:dyDescent="0.15">
      <c r="E194" s="448">
        <v>22.5</v>
      </c>
      <c r="F194" s="3" t="str" cm="1">
        <f t="array" aca="1" ref="F194" ca="1">OFFSET(E194,-1,1)</f>
        <v>3</v>
      </c>
      <c r="G194" s="25" t="s">
        <v>1477</v>
      </c>
      <c r="H194" s="4"/>
      <c r="I194" s="59" t="s">
        <v>1478</v>
      </c>
      <c r="K194" s="40"/>
      <c r="L194" s="40"/>
      <c r="M194" s="40"/>
      <c r="T194" s="353" t="b" cm="1">
        <f t="array" ref="T194">T193</f>
        <v>1</v>
      </c>
      <c r="X194" s="990"/>
      <c r="Z194" s="967"/>
      <c r="AB194" s="551" t="s">
        <v>1479</v>
      </c>
      <c r="AC194" s="549" t="s">
        <v>1480</v>
      </c>
      <c r="AD194" s="621"/>
      <c r="AE194" s="9" t="s">
        <v>828</v>
      </c>
      <c r="AF194" s="141"/>
      <c r="AG194" s="141">
        <f ca="1">IF(AND(method_reg="Метод индексации",first_year=god),SUMIFS('Калькуляция (МИ)'!$AG$25:$AG$603,'Калькуляция (МИ)'!$F$25:$F$603,$F194,'Калькуляция (МИ)'!$G$25:$G$603,$G194),SUMIFS('Калькуляция (МИ корр)'!$AG$25:$AG$603,'Калькуляция (МИ корр)'!$F$25:$F$603,$F194,'Калькуляция (МИ корр)'!$G$25:$G$603,$G194))</f>
        <v>0</v>
      </c>
      <c r="AH194" s="103"/>
      <c r="AL194" s="656" t="s">
        <v>1481</v>
      </c>
    </row>
    <row r="195" spans="5:38" ht="14.25" customHeight="1" x14ac:dyDescent="0.15">
      <c r="E195" s="448">
        <v>15</v>
      </c>
      <c r="F195" s="3" t="str" cm="1">
        <f t="array" aca="1" ref="F195" ca="1">OFFSET(E195,-1,1)</f>
        <v>3</v>
      </c>
      <c r="G195" s="25" t="s">
        <v>1482</v>
      </c>
      <c r="H195" s="4"/>
      <c r="I195" s="59" t="s">
        <v>1483</v>
      </c>
      <c r="K195" s="40"/>
      <c r="L195" s="40"/>
      <c r="M195" s="40"/>
      <c r="T195" s="353" t="b" cm="1">
        <f t="array" ref="T195">T194</f>
        <v>1</v>
      </c>
      <c r="X195" s="990"/>
      <c r="Z195" s="967"/>
      <c r="AB195" s="551" t="s">
        <v>1484</v>
      </c>
      <c r="AC195" s="549" t="s">
        <v>1485</v>
      </c>
      <c r="AD195" s="621"/>
      <c r="AE195" s="9" t="s">
        <v>828</v>
      </c>
      <c r="AF195" s="141"/>
      <c r="AG195" s="141">
        <f ca="1">IF(AND(method_reg="Метод индексации",first_year=god),SUMIFS('Калькуляция (МИ)'!$AG$25:$AG$603,'Калькуляция (МИ)'!$F$25:$F$603,$F195,'Калькуляция (МИ)'!$G$25:$G$603,$G195),SUMIFS('Калькуляция (МИ корр)'!$AG$25:$AG$603,'Калькуляция (МИ корр)'!$F$25:$F$603,$F195,'Калькуляция (МИ корр)'!$G$25:$G$603,$G195))</f>
        <v>0</v>
      </c>
      <c r="AH195" s="103"/>
      <c r="AL195" s="656" t="s">
        <v>1486</v>
      </c>
    </row>
    <row r="196" spans="5:38" ht="21.75" customHeight="1" x14ac:dyDescent="0.15">
      <c r="E196" s="448">
        <v>22.5</v>
      </c>
      <c r="F196" s="3" t="str" cm="1">
        <f t="array" aca="1" ref="F196" ca="1">OFFSET(E196,-1,1)</f>
        <v>3</v>
      </c>
      <c r="G196" s="25" t="s">
        <v>1487</v>
      </c>
      <c r="H196" s="4"/>
      <c r="I196" s="59" t="s">
        <v>1488</v>
      </c>
      <c r="K196" s="40"/>
      <c r="L196" s="40"/>
      <c r="M196" s="40"/>
      <c r="T196" s="353" t="b" cm="1">
        <f t="array" ref="T196">T195</f>
        <v>1</v>
      </c>
      <c r="X196" s="990"/>
      <c r="Z196" s="967"/>
      <c r="AB196" s="551" t="s">
        <v>1489</v>
      </c>
      <c r="AC196" s="549" t="s">
        <v>1490</v>
      </c>
      <c r="AD196" s="621"/>
      <c r="AE196" s="9" t="s">
        <v>828</v>
      </c>
      <c r="AF196" s="141"/>
      <c r="AG196" s="141">
        <f ca="1">IF(AND(method_reg="Метод индексации",first_year=god),SUMIFS('Калькуляция (МИ)'!$AG$25:$AG$603,'Калькуляция (МИ)'!$F$25:$F$603,$F196,'Калькуляция (МИ)'!$G$25:$G$603,$G196),SUMIFS('Калькуляция (МИ корр)'!$AG$25:$AG$603,'Калькуляция (МИ корр)'!$F$25:$F$603,$F196,'Калькуляция (МИ корр)'!$G$25:$G$603,$G196))</f>
        <v>0</v>
      </c>
      <c r="AH196" s="103"/>
      <c r="AL196" s="656" t="s">
        <v>1491</v>
      </c>
    </row>
    <row r="197" spans="5:38" ht="44.1" customHeight="1" x14ac:dyDescent="0.15">
      <c r="E197" s="448">
        <v>15</v>
      </c>
      <c r="F197" s="3" t="str" cm="1">
        <f t="array" aca="1" ref="F197" ca="1">OFFSET(E197,-1,1)</f>
        <v>3</v>
      </c>
      <c r="G197" s="22"/>
      <c r="H197" s="4"/>
      <c r="I197" s="22" t="s">
        <v>1351</v>
      </c>
      <c r="K197" s="40"/>
      <c r="L197" s="40"/>
      <c r="M197" s="40"/>
      <c r="T197" s="353" t="b" cm="1">
        <f t="array" ref="T197">T196</f>
        <v>1</v>
      </c>
      <c r="X197" s="990"/>
      <c r="Z197" s="967"/>
      <c r="AB197" s="133" t="s">
        <v>569</v>
      </c>
      <c r="AC197" s="127" t="s">
        <v>1492</v>
      </c>
      <c r="AD197" s="7" t="s">
        <v>1493</v>
      </c>
      <c r="AE197" s="9" t="s">
        <v>828</v>
      </c>
      <c r="AF197" s="141">
        <v>4272.4124135077</v>
      </c>
      <c r="AG197" s="141">
        <v>3891.22</v>
      </c>
      <c r="AH197" s="103" t="s">
        <v>1623</v>
      </c>
      <c r="AL197" s="656" t="s">
        <v>1494</v>
      </c>
    </row>
    <row r="198" spans="5:38" ht="42" customHeight="1" x14ac:dyDescent="0.15">
      <c r="E198" s="448">
        <v>22.5</v>
      </c>
      <c r="F198" s="3" t="str" cm="1">
        <f t="array" aca="1" ref="F198" ca="1">OFFSET(E198,-1,1)</f>
        <v>3</v>
      </c>
      <c r="G198" s="22"/>
      <c r="H198" s="4"/>
      <c r="I198" s="22" t="s">
        <v>1495</v>
      </c>
      <c r="K198" s="40"/>
      <c r="L198" s="40"/>
      <c r="M198" s="40"/>
      <c r="T198" s="353" t="b" cm="1">
        <f t="array" ref="T198">T197</f>
        <v>1</v>
      </c>
      <c r="X198" s="990"/>
      <c r="Z198" s="967"/>
      <c r="AB198" s="133" t="s">
        <v>519</v>
      </c>
      <c r="AC198" s="134" t="s">
        <v>1496</v>
      </c>
      <c r="AD198" s="7" t="s">
        <v>1497</v>
      </c>
      <c r="AE198" s="9" t="s">
        <v>888</v>
      </c>
      <c r="AF198" s="141">
        <v>2.1959187500000001E-2</v>
      </c>
      <c r="AG198" s="141">
        <v>2.1999999999999999E-2</v>
      </c>
      <c r="AH198" s="103" t="s">
        <v>1624</v>
      </c>
      <c r="AL198" s="656" t="s">
        <v>1498</v>
      </c>
    </row>
    <row r="199" spans="5:38" ht="43.35" customHeight="1" x14ac:dyDescent="0.15">
      <c r="E199" s="448">
        <v>15</v>
      </c>
      <c r="F199" s="3" t="str" cm="1">
        <f t="array" aca="1" ref="F199" ca="1">OFFSET(E199,-1,1)</f>
        <v>3</v>
      </c>
      <c r="G199" s="22"/>
      <c r="H199" s="4"/>
      <c r="I199" s="22" t="s">
        <v>1499</v>
      </c>
      <c r="K199" s="40"/>
      <c r="L199" s="40"/>
      <c r="M199" s="40"/>
      <c r="T199" s="353" t="b" cm="1">
        <f t="array" ref="T199">T198</f>
        <v>1</v>
      </c>
      <c r="X199" s="990"/>
      <c r="Z199" s="967"/>
      <c r="AB199" s="133" t="s">
        <v>1500</v>
      </c>
      <c r="AC199" s="134" t="s">
        <v>1501</v>
      </c>
      <c r="AD199" s="7" t="s">
        <v>1502</v>
      </c>
      <c r="AE199" s="9" t="s">
        <v>882</v>
      </c>
      <c r="AF199" s="141">
        <v>48925.161524000003</v>
      </c>
      <c r="AG199" s="141">
        <v>48925.161524000003</v>
      </c>
      <c r="AH199" s="103" t="s">
        <v>1625</v>
      </c>
      <c r="AL199" s="656" t="s">
        <v>1503</v>
      </c>
    </row>
    <row r="200" spans="5:38" ht="23.25" customHeight="1" x14ac:dyDescent="0.15">
      <c r="E200" s="448">
        <v>22.5</v>
      </c>
      <c r="F200" s="3" t="str" cm="1">
        <f t="array" aca="1" ref="F200" ca="1">OFFSET(E200,-1,1)</f>
        <v>3</v>
      </c>
      <c r="G200" s="22"/>
      <c r="H200" s="4"/>
      <c r="I200" s="22" t="s">
        <v>1504</v>
      </c>
      <c r="K200" s="40"/>
      <c r="L200" s="40"/>
      <c r="M200" s="40"/>
      <c r="T200" s="353" t="b" cm="1">
        <f t="array" ref="T200">T199</f>
        <v>1</v>
      </c>
      <c r="X200" s="990"/>
      <c r="Z200" s="967"/>
      <c r="AB200" s="133" t="s">
        <v>1505</v>
      </c>
      <c r="AC200" s="134" t="s">
        <v>1506</v>
      </c>
      <c r="AD200" s="7" t="s">
        <v>1507</v>
      </c>
      <c r="AE200" s="9" t="s">
        <v>885</v>
      </c>
      <c r="AF200" s="141">
        <v>3.9767165254000001</v>
      </c>
      <c r="AG200" s="141">
        <v>3.9767165254000001</v>
      </c>
      <c r="AH200" s="103" t="s">
        <v>1607</v>
      </c>
      <c r="AL200" s="656" t="s">
        <v>1508</v>
      </c>
    </row>
    <row r="201" spans="5:38" ht="89.85" customHeight="1" x14ac:dyDescent="0.15">
      <c r="E201" s="448">
        <v>22.5</v>
      </c>
      <c r="F201" s="3" t="str" cm="1">
        <f t="array" aca="1" ref="F201" ca="1">OFFSET(E201,-1,1)</f>
        <v>3</v>
      </c>
      <c r="G201" s="22" t="s">
        <v>1509</v>
      </c>
      <c r="H201" s="4"/>
      <c r="I201" s="22" t="s">
        <v>1510</v>
      </c>
      <c r="K201" s="40"/>
      <c r="L201" s="40"/>
      <c r="M201" s="40"/>
      <c r="T201" s="353" t="b" cm="1">
        <f t="array" ref="T201">T200</f>
        <v>1</v>
      </c>
      <c r="X201" s="990"/>
      <c r="Z201" s="967"/>
      <c r="AB201" s="133" t="s">
        <v>962</v>
      </c>
      <c r="AC201" s="127" t="s">
        <v>1511</v>
      </c>
      <c r="AD201" s="7" t="s">
        <v>1512</v>
      </c>
      <c r="AE201" s="9" t="s">
        <v>828</v>
      </c>
      <c r="AF201" s="141">
        <v>3415.5803053530999</v>
      </c>
      <c r="AG201" s="141">
        <v>2979.21</v>
      </c>
      <c r="AH201" s="103" t="s">
        <v>1626</v>
      </c>
      <c r="AL201" s="656" t="s">
        <v>1247</v>
      </c>
    </row>
    <row r="202" spans="5:38" ht="14.25" customHeight="1" x14ac:dyDescent="0.15">
      <c r="E202" s="448">
        <v>15</v>
      </c>
      <c r="F202" s="3" t="str" cm="1">
        <f t="array" aca="1" ref="F202" ca="1">OFFSET(E202,-1,1)</f>
        <v>3</v>
      </c>
      <c r="G202" s="22" t="s">
        <v>1513</v>
      </c>
      <c r="H202" s="4"/>
      <c r="I202" s="22" t="s">
        <v>1514</v>
      </c>
      <c r="K202" s="40"/>
      <c r="L202" s="40"/>
      <c r="M202" s="40"/>
      <c r="T202" s="353" t="b" cm="1">
        <f t="array" ref="T202">T201</f>
        <v>1</v>
      </c>
      <c r="X202" s="990"/>
      <c r="Z202" s="967"/>
      <c r="AB202" s="133" t="s">
        <v>965</v>
      </c>
      <c r="AC202" s="622" t="s">
        <v>1515</v>
      </c>
      <c r="AD202" s="7" t="s">
        <v>1516</v>
      </c>
      <c r="AE202" s="9" t="s">
        <v>828</v>
      </c>
      <c r="AF202" s="141"/>
      <c r="AG202" s="141">
        <f ca="1">IF(AND(method_reg="Метод индексации",first_year=god),SUMIFS('Калькуляция (МИ)'!$AE$25:$AE$603,'Калькуляция (МИ)'!$F$25:$F$603,$F202,'Калькуляция (МИ)'!$G$25:$G$603,"Нормативная прибыль")-SUMIFS('Калькуляция (МИ)'!$AE$25:$AE$603,'Калькуляция (МИ)'!$F$25:$F$603,$F202,'Калькуляция (МИ)'!$G$25:$G$603,"иные экономически обоснованные расходы на социальные нужды")+SUMIFS('Калькуляция (МИ)'!$AG$25:$AG$603,'Калькуляция (МИ)'!$F$25:$F$603,$F202,'Калькуляция (МИ)'!$G$25:$G$603,"иные экономически обоснованные расходы на социальные нужды"),SUMIFS('Калькуляция (МИ корр)'!$AE$25:$AE$603,'Калькуляция (МИ корр)'!$F$25:$F$603,$F202,'Калькуляция (МИ корр)'!$G$25:$G$603,"Нормативная прибыль")-SUMIFS('Калькуляция (МИ корр)'!$AE$25:$AE$603,'Калькуляция (МИ корр)'!$F$25:$F$603,$F202,'Калькуляция (МИ корр)'!$G$25:$G$603,"иные экономически обоснованные расходы на социальные нужды")+SUMIFS('Калькуляция (МИ корр)'!$AG$25:$AG$603,'Калькуляция (МИ корр)'!$F$25:$F$603,$F202,'Калькуляция (МИ корр)'!$G$25:$G$603,"иные экономически обоснованные расходы на социальные нужды"))</f>
        <v>0</v>
      </c>
      <c r="AH202" s="103"/>
      <c r="AL202" s="656" t="s">
        <v>1517</v>
      </c>
    </row>
    <row r="203" spans="5:38" ht="14.25" customHeight="1" x14ac:dyDescent="0.15">
      <c r="E203" s="448">
        <v>15</v>
      </c>
      <c r="F203" s="3" t="str" cm="1">
        <f t="array" aca="1" ref="F203" ca="1">OFFSET(E203,-1,1)</f>
        <v>3</v>
      </c>
      <c r="G203" s="25" t="s">
        <v>1518</v>
      </c>
      <c r="H203" s="4"/>
      <c r="I203" s="59" t="s">
        <v>1519</v>
      </c>
      <c r="K203" s="40"/>
      <c r="L203" s="40"/>
      <c r="M203" s="40"/>
      <c r="T203" s="353" t="b" cm="1">
        <f t="array" ref="T203">T202</f>
        <v>1</v>
      </c>
      <c r="X203" s="990"/>
      <c r="Z203" s="967"/>
      <c r="AB203" s="133" t="s">
        <v>1520</v>
      </c>
      <c r="AC203" s="127" t="s">
        <v>1521</v>
      </c>
      <c r="AD203" s="7" t="s">
        <v>1522</v>
      </c>
      <c r="AE203" s="9" t="s">
        <v>828</v>
      </c>
      <c r="AF203" s="141"/>
      <c r="AG203" s="141">
        <f ca="1">IF(AND(method_reg="Метод индексации",first_year=god),SUMIFS('Калькуляция (МИ)'!$AG$25:$AG$603,'Калькуляция (МИ)'!$F$25:$F$603,$F203,'Калькуляция (МИ)'!$G$25:$G$603,$G203),SUMIFS('Калькуляция (МИ корр)'!$AG$25:$AG$603,'Калькуляция (МИ корр)'!$F$25:$F$603,$F203,'Калькуляция (МИ корр)'!$G$25:$G$603,$G203))</f>
        <v>0</v>
      </c>
      <c r="AH203" s="103"/>
      <c r="AL203" s="656" t="s">
        <v>1523</v>
      </c>
    </row>
    <row r="204" spans="5:38" ht="23.25" customHeight="1" x14ac:dyDescent="0.15">
      <c r="E204" s="448">
        <v>22.5</v>
      </c>
      <c r="F204" s="3" t="str" cm="1">
        <f t="array" aca="1" ref="F204" ca="1">OFFSET(E204,-1,1)</f>
        <v>3</v>
      </c>
      <c r="G204" s="25"/>
      <c r="H204" s="4"/>
      <c r="I204" s="22" t="s">
        <v>1524</v>
      </c>
      <c r="K204" s="40"/>
      <c r="L204" s="40"/>
      <c r="M204" s="40"/>
      <c r="T204" s="353" t="b" cm="1">
        <f t="array" ref="T204">T203</f>
        <v>1</v>
      </c>
      <c r="X204" s="990"/>
      <c r="Z204" s="967"/>
      <c r="AB204" s="133" t="s">
        <v>1525</v>
      </c>
      <c r="AC204" s="127" t="s">
        <v>1526</v>
      </c>
      <c r="AD204" s="7"/>
      <c r="AE204" s="9" t="s">
        <v>828</v>
      </c>
      <c r="AF204" s="141">
        <f>AF205+AF206+AF207</f>
        <v>0</v>
      </c>
      <c r="AG204" s="141">
        <v>269.2</v>
      </c>
      <c r="AH204" s="103"/>
      <c r="AL204" s="656" t="s">
        <v>1527</v>
      </c>
    </row>
    <row r="205" spans="5:38" ht="21.75" customHeight="1" x14ac:dyDescent="0.15">
      <c r="E205" s="448">
        <v>22.5</v>
      </c>
      <c r="F205" s="3" t="str" cm="1">
        <f t="array" aca="1" ref="F205" ca="1">OFFSET(E205,-1,1)</f>
        <v>3</v>
      </c>
      <c r="G205" s="22"/>
      <c r="H205" s="4"/>
      <c r="I205" s="22" t="s">
        <v>1528</v>
      </c>
      <c r="K205" s="40"/>
      <c r="L205" s="40"/>
      <c r="M205" s="40"/>
      <c r="T205" s="353" t="b" cm="1">
        <f t="array" ref="T205">T204</f>
        <v>1</v>
      </c>
      <c r="X205" s="990"/>
      <c r="Z205" s="967"/>
      <c r="AB205" s="133" t="s">
        <v>1529</v>
      </c>
      <c r="AC205" s="134" t="s">
        <v>1530</v>
      </c>
      <c r="AD205" s="7" t="s">
        <v>1531</v>
      </c>
      <c r="AE205" s="9" t="s">
        <v>828</v>
      </c>
      <c r="AF205" s="141"/>
      <c r="AG205" s="141"/>
      <c r="AH205" s="103"/>
      <c r="AL205" s="656" t="s">
        <v>1532</v>
      </c>
    </row>
    <row r="206" spans="5:38" ht="14.25" customHeight="1" x14ac:dyDescent="0.15">
      <c r="E206" s="448">
        <v>15</v>
      </c>
      <c r="F206" s="3" t="str" cm="1">
        <f t="array" aca="1" ref="F206" ca="1">OFFSET(E206,-1,1)</f>
        <v>3</v>
      </c>
      <c r="G206" s="22"/>
      <c r="H206" s="4"/>
      <c r="I206" s="22" t="s">
        <v>1533</v>
      </c>
      <c r="K206" s="40"/>
      <c r="L206" s="40"/>
      <c r="M206" s="40"/>
      <c r="T206" s="353" t="b" cm="1">
        <f t="array" ref="T206">T205</f>
        <v>1</v>
      </c>
      <c r="X206" s="990"/>
      <c r="Z206" s="967"/>
      <c r="AB206" s="133" t="s">
        <v>1534</v>
      </c>
      <c r="AC206" s="134" t="s">
        <v>1535</v>
      </c>
      <c r="AD206" s="7" t="s">
        <v>1536</v>
      </c>
      <c r="AE206" s="9" t="s">
        <v>828</v>
      </c>
      <c r="AF206" s="141"/>
      <c r="AG206" s="141"/>
      <c r="AH206" s="103"/>
      <c r="AL206" s="656" t="s">
        <v>1537</v>
      </c>
    </row>
    <row r="207" spans="5:38" ht="44.25" customHeight="1" x14ac:dyDescent="0.15">
      <c r="E207" s="448">
        <v>45</v>
      </c>
      <c r="F207" s="3" t="str" cm="1">
        <f t="array" aca="1" ref="F207" ca="1">OFFSET(E207,-1,1)</f>
        <v>3</v>
      </c>
      <c r="G207" s="22"/>
      <c r="H207" s="4"/>
      <c r="I207" s="22" t="s">
        <v>1538</v>
      </c>
      <c r="K207" s="40"/>
      <c r="L207" s="40"/>
      <c r="M207" s="40"/>
      <c r="T207" s="353" t="b" cm="1">
        <f t="array" ref="T207">T206</f>
        <v>1</v>
      </c>
      <c r="X207" s="990"/>
      <c r="Z207" s="967"/>
      <c r="AB207" s="133" t="s">
        <v>1539</v>
      </c>
      <c r="AC207" s="134" t="s">
        <v>1540</v>
      </c>
      <c r="AD207" s="9" t="s">
        <v>1541</v>
      </c>
      <c r="AE207" s="9" t="s">
        <v>828</v>
      </c>
      <c r="AF207" s="141"/>
      <c r="AG207" s="141">
        <v>269.2</v>
      </c>
      <c r="AH207" s="103" t="s">
        <v>1627</v>
      </c>
      <c r="AL207" s="656" t="s">
        <v>1542</v>
      </c>
    </row>
    <row r="208" spans="5:38" ht="23.25" customHeight="1" x14ac:dyDescent="0.15">
      <c r="E208" s="448">
        <v>22.5</v>
      </c>
      <c r="F208" s="3" t="str" cm="1">
        <f t="array" aca="1" ref="F208" ca="1">OFFSET(E208,-1,1)</f>
        <v>3</v>
      </c>
      <c r="G208" s="22"/>
      <c r="H208" s="4"/>
      <c r="I208" s="22" t="s">
        <v>1543</v>
      </c>
      <c r="K208" s="40"/>
      <c r="L208" s="40"/>
      <c r="M208" s="40"/>
      <c r="T208" s="353" t="b" cm="1">
        <f t="array" ref="T208">T207</f>
        <v>1</v>
      </c>
      <c r="X208" s="990"/>
      <c r="Z208" s="967"/>
      <c r="AB208" s="133" t="s">
        <v>1544</v>
      </c>
      <c r="AC208" s="127" t="s">
        <v>1545</v>
      </c>
      <c r="AD208" s="9" t="s">
        <v>1546</v>
      </c>
      <c r="AE208" s="9" t="s">
        <v>828</v>
      </c>
      <c r="AF208" s="141"/>
      <c r="AG208" s="141">
        <v>-2783.41</v>
      </c>
      <c r="AH208" s="103" t="s">
        <v>1628</v>
      </c>
      <c r="AL208" s="656" t="s">
        <v>1547</v>
      </c>
    </row>
    <row r="209" spans="1:43" ht="76.5" customHeight="1" x14ac:dyDescent="0.15">
      <c r="B209" s="43" t="b">
        <f>S180="Водоотведение"</f>
        <v>1</v>
      </c>
      <c r="E209" s="448">
        <v>78.75</v>
      </c>
      <c r="F209" s="3" t="str" cm="1">
        <f t="array" aca="1" ref="F209" ca="1">OFFSET(E209,-1,1)</f>
        <v>3</v>
      </c>
      <c r="G209" s="22"/>
      <c r="H209" s="4"/>
      <c r="I209" s="22"/>
      <c r="K209" s="40"/>
      <c r="L209" s="40"/>
      <c r="M209" s="40"/>
      <c r="T209" s="353" t="b" cm="1">
        <f t="array" ref="T209">T208</f>
        <v>1</v>
      </c>
      <c r="X209" s="990"/>
      <c r="Z209" s="967"/>
      <c r="AB209" s="133" t="s">
        <v>1548</v>
      </c>
      <c r="AC209" s="127" t="s">
        <v>1549</v>
      </c>
      <c r="AD209" s="9"/>
      <c r="AE209" s="9" t="s">
        <v>828</v>
      </c>
      <c r="AF209" s="141"/>
      <c r="AG209" s="141"/>
      <c r="AH209" s="103"/>
      <c r="AL209" s="656" t="s">
        <v>1550</v>
      </c>
    </row>
    <row r="210" spans="1:43" ht="54.75" customHeight="1" x14ac:dyDescent="0.15">
      <c r="B210" s="43" t="b" cm="1">
        <f t="array" ref="B210">B209</f>
        <v>1</v>
      </c>
      <c r="E210" s="448">
        <v>56.25</v>
      </c>
      <c r="F210" s="3" t="str" cm="1">
        <f t="array" aca="1" ref="F210" ca="1">OFFSET(E210,-1,1)</f>
        <v>3</v>
      </c>
      <c r="G210" s="22"/>
      <c r="H210" s="4"/>
      <c r="I210" s="22"/>
      <c r="K210" s="40"/>
      <c r="L210" s="40"/>
      <c r="M210" s="40"/>
      <c r="T210" s="353" t="b" cm="1">
        <f t="array" ref="T210">T209</f>
        <v>1</v>
      </c>
      <c r="X210" s="990"/>
      <c r="Z210" s="967"/>
      <c r="AB210" s="133" t="s">
        <v>1551</v>
      </c>
      <c r="AC210" s="127" t="s">
        <v>1552</v>
      </c>
      <c r="AD210" s="9"/>
      <c r="AE210" s="9" t="s">
        <v>828</v>
      </c>
      <c r="AF210" s="141"/>
      <c r="AG210" s="141"/>
      <c r="AH210" s="103"/>
      <c r="AL210" s="656" t="s">
        <v>1378</v>
      </c>
    </row>
    <row r="211" spans="1:43" ht="14.25" customHeight="1" x14ac:dyDescent="0.15">
      <c r="E211" s="448">
        <v>15</v>
      </c>
      <c r="F211" s="3" t="str" cm="1">
        <f t="array" aca="1" ref="F211" ca="1">OFFSET(E211,-1,1)</f>
        <v>3</v>
      </c>
      <c r="G211" s="22"/>
      <c r="H211" s="4"/>
      <c r="I211" s="22"/>
      <c r="K211" s="40"/>
      <c r="L211" s="40"/>
      <c r="M211" s="40"/>
      <c r="T211" s="353" t="b" cm="1">
        <f t="array" ref="T211">T210</f>
        <v>1</v>
      </c>
      <c r="X211" s="990"/>
      <c r="Z211" s="967"/>
      <c r="AB211" s="7" t="str">
        <f>IF(B210,"2.12","2.10")</f>
        <v>2.12</v>
      </c>
      <c r="AC211" s="127" t="s">
        <v>1553</v>
      </c>
      <c r="AD211" s="9" t="s">
        <v>1554</v>
      </c>
      <c r="AE211" s="9" t="s">
        <v>828</v>
      </c>
      <c r="AF211" s="141">
        <f>AF212+AF213</f>
        <v>0</v>
      </c>
      <c r="AG211" s="141">
        <f>AG212+AG213</f>
        <v>0</v>
      </c>
      <c r="AH211" s="103"/>
      <c r="AL211" s="656" t="s">
        <v>1555</v>
      </c>
    </row>
    <row r="212" spans="1:43" ht="21.75" customHeight="1" x14ac:dyDescent="0.15">
      <c r="E212" s="448">
        <v>22.5</v>
      </c>
      <c r="F212" s="3" t="str" cm="1">
        <f t="array" aca="1" ref="F212" ca="1">OFFSET(E212,-1,1)</f>
        <v>3</v>
      </c>
      <c r="G212" s="22"/>
      <c r="H212" s="4"/>
      <c r="I212" s="22"/>
      <c r="K212" s="40"/>
      <c r="L212" s="40"/>
      <c r="M212" s="40"/>
      <c r="T212" s="353" t="b" cm="1">
        <f t="array" ref="T212">T211</f>
        <v>1</v>
      </c>
      <c r="X212" s="990"/>
      <c r="Z212" s="967"/>
      <c r="AB212" s="7" t="str">
        <f>AB211&amp;".1"</f>
        <v>2.12.1</v>
      </c>
      <c r="AC212" s="127" t="s">
        <v>1556</v>
      </c>
      <c r="AD212" s="9" t="s">
        <v>1554</v>
      </c>
      <c r="AE212" s="9" t="s">
        <v>828</v>
      </c>
      <c r="AF212" s="141"/>
      <c r="AG212" s="141"/>
      <c r="AH212" s="103"/>
      <c r="AL212" s="656" t="s">
        <v>1557</v>
      </c>
    </row>
    <row r="213" spans="1:43" ht="21.75" customHeight="1" x14ac:dyDescent="0.15">
      <c r="E213" s="448">
        <v>22.5</v>
      </c>
      <c r="F213" s="3" t="str" cm="1">
        <f t="array" aca="1" ref="F213" ca="1">OFFSET(E213,-1,1)</f>
        <v>3</v>
      </c>
      <c r="G213" s="22"/>
      <c r="H213" s="4"/>
      <c r="I213" s="22"/>
      <c r="K213" s="40"/>
      <c r="L213" s="40"/>
      <c r="M213" s="40"/>
      <c r="T213" s="353" t="b" cm="1">
        <f t="array" ref="T213">T212</f>
        <v>1</v>
      </c>
      <c r="X213" s="990"/>
      <c r="Z213" s="967"/>
      <c r="AB213" s="7" t="str">
        <f>AB211&amp;".2"</f>
        <v>2.12.2</v>
      </c>
      <c r="AC213" s="127" t="s">
        <v>1558</v>
      </c>
      <c r="AD213" s="9" t="s">
        <v>1554</v>
      </c>
      <c r="AE213" s="9" t="s">
        <v>828</v>
      </c>
      <c r="AF213" s="141"/>
      <c r="AG213" s="141"/>
      <c r="AH213" s="103"/>
      <c r="AL213" s="656" t="s">
        <v>1559</v>
      </c>
    </row>
    <row r="214" spans="1:43" ht="14.25" customHeight="1" x14ac:dyDescent="0.15">
      <c r="E214" s="448">
        <v>15</v>
      </c>
      <c r="F214" s="3" t="str" cm="1">
        <f t="array" aca="1" ref="F214" ca="1">OFFSET(E214,-1,1)</f>
        <v>3</v>
      </c>
      <c r="G214" s="22"/>
      <c r="H214" s="4"/>
      <c r="I214" s="22"/>
      <c r="K214" s="40"/>
      <c r="L214" s="40"/>
      <c r="M214" s="40"/>
      <c r="T214" s="353" t="b" cm="1">
        <f t="array" ref="T214">T213</f>
        <v>1</v>
      </c>
      <c r="X214" s="990"/>
      <c r="Z214" s="967"/>
      <c r="AB214" s="7" t="str">
        <f>IF(B210,"2.13","2.11")</f>
        <v>2.13</v>
      </c>
      <c r="AC214" s="127" t="s">
        <v>1560</v>
      </c>
      <c r="AD214" s="9" t="s">
        <v>1554</v>
      </c>
      <c r="AE214" s="9" t="s">
        <v>828</v>
      </c>
      <c r="AF214" s="141"/>
      <c r="AG214" s="141"/>
      <c r="AH214" s="103"/>
      <c r="AL214" s="656" t="s">
        <v>1561</v>
      </c>
    </row>
    <row r="215" spans="1:43" ht="14.25" customHeight="1" x14ac:dyDescent="0.15">
      <c r="E215" s="448">
        <v>15</v>
      </c>
      <c r="F215" s="3" t="str" cm="1">
        <f t="array" aca="1" ref="F215" ca="1">OFFSET(E215,-1,1)</f>
        <v>3</v>
      </c>
      <c r="G215" s="22"/>
      <c r="H215" s="4"/>
      <c r="I215" s="22"/>
      <c r="K215" s="40"/>
      <c r="L215" s="40"/>
      <c r="M215" s="40"/>
      <c r="T215" s="353" t="b" cm="1">
        <f t="array" ref="T215">T214</f>
        <v>1</v>
      </c>
      <c r="X215" s="990"/>
      <c r="Z215" s="967"/>
      <c r="AB215" s="7" t="str">
        <f>IF(B210,"2.14","2.12")</f>
        <v>2.14</v>
      </c>
      <c r="AC215" s="127" t="s">
        <v>1562</v>
      </c>
      <c r="AD215" s="9" t="s">
        <v>1554</v>
      </c>
      <c r="AE215" s="9" t="s">
        <v>828</v>
      </c>
      <c r="AF215" s="141"/>
      <c r="AG215" s="141"/>
      <c r="AH215" s="103"/>
      <c r="AL215" s="656" t="s">
        <v>1563</v>
      </c>
    </row>
    <row r="216" spans="1:43" s="857" customFormat="1" ht="21.75" customHeight="1" x14ac:dyDescent="0.15">
      <c r="A216" s="154"/>
      <c r="B216" s="328"/>
      <c r="C216" s="154"/>
      <c r="D216" s="154"/>
      <c r="E216" s="501">
        <v>22.5</v>
      </c>
      <c r="F216" s="3" t="str" cm="1">
        <f t="array" aca="1" ref="F216" ca="1">OFFSET(E216,-1,1)</f>
        <v>3</v>
      </c>
      <c r="G216" s="63"/>
      <c r="H216" s="63"/>
      <c r="I216" s="22" t="s">
        <v>332</v>
      </c>
      <c r="J216" s="154"/>
      <c r="K216" s="375"/>
      <c r="L216" s="375"/>
      <c r="M216" s="375"/>
      <c r="N216" s="154"/>
      <c r="O216" s="154"/>
      <c r="P216" s="154"/>
      <c r="Q216" s="154"/>
      <c r="R216" s="154"/>
      <c r="S216" s="154"/>
      <c r="T216" s="353" t="b" cm="1">
        <f t="array" ref="T216">T215</f>
        <v>1</v>
      </c>
      <c r="U216" s="154"/>
      <c r="V216" s="154"/>
      <c r="W216" s="154"/>
      <c r="X216" s="990"/>
      <c r="Y216" s="154"/>
      <c r="Z216" s="967"/>
      <c r="AA216" s="154"/>
      <c r="AB216" s="124" t="s">
        <v>1564</v>
      </c>
      <c r="AC216" s="125" t="s">
        <v>1565</v>
      </c>
      <c r="AD216" s="124" t="s">
        <v>1427</v>
      </c>
      <c r="AE216" s="147" t="s">
        <v>828</v>
      </c>
      <c r="AF216" s="569" cm="1">
        <f t="array" ref="AF216">AF217</f>
        <v>0</v>
      </c>
      <c r="AG216" s="569" cm="1">
        <f t="array" ref="AG216">AG217</f>
        <v>0</v>
      </c>
      <c r="AH216" s="570"/>
      <c r="AI216" s="154"/>
      <c r="AJ216" s="154"/>
      <c r="AK216" s="154"/>
      <c r="AL216" s="688" t="s">
        <v>1566</v>
      </c>
      <c r="AM216" s="154"/>
      <c r="AN216" s="154"/>
      <c r="AO216" s="154"/>
      <c r="AP216" s="154"/>
      <c r="AQ216" s="154"/>
    </row>
    <row r="217" spans="1:43" ht="32.25" customHeight="1" x14ac:dyDescent="0.15">
      <c r="E217" s="448">
        <v>33.75</v>
      </c>
      <c r="F217" s="3" t="str" cm="1">
        <f t="array" aca="1" ref="F217" ca="1">OFFSET(E217,-1,1)</f>
        <v>3</v>
      </c>
      <c r="G217" s="22"/>
      <c r="H217" s="4"/>
      <c r="I217" s="22" t="s">
        <v>500</v>
      </c>
      <c r="K217" s="40"/>
      <c r="L217" s="40"/>
      <c r="M217" s="40"/>
      <c r="T217" s="353" t="b" cm="1">
        <f t="array" ref="T217">T216</f>
        <v>1</v>
      </c>
      <c r="X217" s="990"/>
      <c r="Z217" s="967"/>
      <c r="AB217" s="133" t="s">
        <v>275</v>
      </c>
      <c r="AC217" s="346" t="s">
        <v>1567</v>
      </c>
      <c r="AD217" s="7" t="s">
        <v>1568</v>
      </c>
      <c r="AE217" s="9" t="s">
        <v>828</v>
      </c>
      <c r="AF217" s="620">
        <f>AF218+AF219</f>
        <v>0</v>
      </c>
      <c r="AG217" s="620">
        <f>AG218+AG219</f>
        <v>0</v>
      </c>
      <c r="AH217" s="103"/>
      <c r="AL217" s="656" t="s">
        <v>1569</v>
      </c>
    </row>
    <row r="218" spans="1:43" ht="43.5" customHeight="1" x14ac:dyDescent="0.15">
      <c r="E218" s="448">
        <v>45</v>
      </c>
      <c r="F218" s="3" t="str" cm="1">
        <f t="array" aca="1" ref="F218" ca="1">OFFSET(E218,-1,1)</f>
        <v>3</v>
      </c>
      <c r="G218" s="22"/>
      <c r="H218" s="4"/>
      <c r="I218" s="22" t="s">
        <v>1570</v>
      </c>
      <c r="K218" s="40"/>
      <c r="L218" s="40"/>
      <c r="M218" s="40"/>
      <c r="T218" s="353" t="b" cm="1">
        <f t="array" ref="T218">T217</f>
        <v>1</v>
      </c>
      <c r="X218" s="990"/>
      <c r="Z218" s="967"/>
      <c r="AB218" s="133" t="s">
        <v>939</v>
      </c>
      <c r="AC218" s="127" t="s">
        <v>1571</v>
      </c>
      <c r="AD218" s="7" t="s">
        <v>1572</v>
      </c>
      <c r="AE218" s="9" t="s">
        <v>828</v>
      </c>
      <c r="AF218" s="141"/>
      <c r="AG218" s="141"/>
      <c r="AH218" s="103"/>
      <c r="AL218" s="656" t="s">
        <v>1573</v>
      </c>
    </row>
    <row r="219" spans="1:43" ht="32.25" customHeight="1" x14ac:dyDescent="0.15">
      <c r="E219" s="448">
        <v>33.75</v>
      </c>
      <c r="F219" s="3" t="str" cm="1">
        <f t="array" aca="1" ref="F219" ca="1">OFFSET(E219,-1,1)</f>
        <v>3</v>
      </c>
      <c r="G219" s="22"/>
      <c r="H219" s="4"/>
      <c r="I219" s="22" t="s">
        <v>1574</v>
      </c>
      <c r="K219" s="40"/>
      <c r="L219" s="40"/>
      <c r="M219" s="40"/>
      <c r="T219" s="353" t="b" cm="1">
        <f t="array" ref="T219">T218</f>
        <v>1</v>
      </c>
      <c r="X219" s="990"/>
      <c r="Z219" s="967"/>
      <c r="AB219" s="133" t="s">
        <v>942</v>
      </c>
      <c r="AC219" s="127" t="s">
        <v>1575</v>
      </c>
      <c r="AD219" s="7" t="s">
        <v>1576</v>
      </c>
      <c r="AE219" s="9" t="s">
        <v>828</v>
      </c>
      <c r="AF219" s="141"/>
      <c r="AG219" s="141"/>
      <c r="AH219" s="103"/>
      <c r="AL219" s="656" t="s">
        <v>1577</v>
      </c>
    </row>
    <row r="220" spans="1:43" ht="33.75" customHeight="1" x14ac:dyDescent="0.15">
      <c r="E220" s="448">
        <v>35</v>
      </c>
      <c r="F220" s="3" t="str" cm="1">
        <f t="array" aca="1" ref="F220" ca="1">OFFSET(E220,-1,1)</f>
        <v>3</v>
      </c>
      <c r="G220" s="22"/>
      <c r="H220" s="4"/>
      <c r="I220" s="22" t="s">
        <v>333</v>
      </c>
      <c r="K220" s="40" t="str">
        <f ca="1">F220&amp;"1komm"</f>
        <v>31komm</v>
      </c>
      <c r="L220" s="609" cm="1">
        <f t="array" ref="L220">AH220</f>
        <v>0</v>
      </c>
      <c r="M220" s="40"/>
      <c r="T220" s="353" t="b" cm="1">
        <f t="array" ref="T220">T219</f>
        <v>1</v>
      </c>
      <c r="X220" s="990"/>
      <c r="Z220" s="967"/>
      <c r="AB220" s="147" t="s">
        <v>1578</v>
      </c>
      <c r="AC220" s="125" t="s">
        <v>1579</v>
      </c>
      <c r="AD220" s="124" t="s">
        <v>1580</v>
      </c>
      <c r="AE220" s="147" t="s">
        <v>828</v>
      </c>
      <c r="AF220" s="281"/>
      <c r="AG220" s="281"/>
      <c r="AH220" s="103"/>
      <c r="AL220" s="656" t="s">
        <v>1581</v>
      </c>
    </row>
    <row r="221" spans="1:43" ht="107.25" customHeight="1" x14ac:dyDescent="0.15">
      <c r="E221" s="448">
        <v>110</v>
      </c>
      <c r="F221" s="3" t="str" cm="1">
        <f t="array" aca="1" ref="F221" ca="1">OFFSET(E221,-1,1)</f>
        <v>3</v>
      </c>
      <c r="G221" s="22"/>
      <c r="H221" s="4"/>
      <c r="I221" s="22" t="s">
        <v>335</v>
      </c>
      <c r="K221" s="40" t="str">
        <f ca="1">F221&amp;"2komm"</f>
        <v>32komm</v>
      </c>
      <c r="L221" s="609" cm="1">
        <f t="array" ref="L221">AH221</f>
        <v>0</v>
      </c>
      <c r="M221" s="40"/>
      <c r="T221" s="353" t="b" cm="1">
        <f t="array" ref="T221">T220</f>
        <v>1</v>
      </c>
      <c r="X221" s="990"/>
      <c r="Z221" s="967"/>
      <c r="AB221" s="147" t="s">
        <v>1582</v>
      </c>
      <c r="AC221" s="125" t="s">
        <v>1583</v>
      </c>
      <c r="AD221" s="124" t="s">
        <v>1584</v>
      </c>
      <c r="AE221" s="147" t="s">
        <v>828</v>
      </c>
      <c r="AF221" s="281"/>
      <c r="AG221" s="281"/>
      <c r="AH221" s="103"/>
      <c r="AL221" s="656" t="s">
        <v>1080</v>
      </c>
    </row>
    <row r="222" spans="1:43" ht="76.5" customHeight="1" x14ac:dyDescent="0.25">
      <c r="B222" s="43" t="b">
        <f>S180="Водоотведение"</f>
        <v>1</v>
      </c>
      <c r="E222" s="448">
        <v>78.75</v>
      </c>
      <c r="F222" s="3" t="str" cm="1">
        <f t="array" aca="1" ref="F222" ca="1">OFFSET(E222,-1,1)</f>
        <v>3</v>
      </c>
      <c r="H222" s="2"/>
      <c r="I222" s="38" t="s">
        <v>334</v>
      </c>
      <c r="K222" s="40" t="str">
        <f ca="1">F222&amp;"3komm"</f>
        <v>33komm</v>
      </c>
      <c r="L222" s="609" cm="1">
        <f t="array" ref="L222">AH222</f>
        <v>0</v>
      </c>
      <c r="M222" s="40"/>
      <c r="T222" s="353" t="b" cm="1">
        <f t="array" ref="T222">T221</f>
        <v>1</v>
      </c>
      <c r="X222" s="990"/>
      <c r="Z222" s="967"/>
      <c r="AB222" s="147" t="s">
        <v>1585</v>
      </c>
      <c r="AC222" s="125" t="s">
        <v>1586</v>
      </c>
      <c r="AD222" s="124"/>
      <c r="AE222" s="147" t="s">
        <v>828</v>
      </c>
      <c r="AF222" s="281"/>
      <c r="AG222" s="138">
        <f ca="1">IFERROR(SUMIFS('Плата за негативное возд'!$AL$24:$AL$38,'Плата за негативное возд'!$F$24:$F$38,F222,'Плата за негативное возд'!$AB$24:$AB$38,"1"),0)</f>
        <v>0</v>
      </c>
      <c r="AH222" s="103"/>
      <c r="AL222" s="656" t="s">
        <v>1587</v>
      </c>
    </row>
    <row r="223" spans="1:43" ht="54.75" customHeight="1" x14ac:dyDescent="0.25">
      <c r="B223" s="43" t="b" cm="1">
        <f t="array" ref="B223">B222</f>
        <v>1</v>
      </c>
      <c r="E223" s="448">
        <v>56.25</v>
      </c>
      <c r="F223" s="3" t="str" cm="1">
        <f t="array" aca="1" ref="F223" ca="1">OFFSET(E223,-1,1)</f>
        <v>3</v>
      </c>
      <c r="H223" s="2"/>
      <c r="I223" s="38" t="s">
        <v>532</v>
      </c>
      <c r="K223" s="40" t="str">
        <f ca="1">F223&amp;"4komm"</f>
        <v>34komm</v>
      </c>
      <c r="L223" s="609" cm="1">
        <f t="array" ref="L223">AH223</f>
        <v>0</v>
      </c>
      <c r="M223" s="40"/>
      <c r="T223" s="353" t="b" cm="1">
        <f t="array" ref="T223">T222</f>
        <v>1</v>
      </c>
      <c r="X223" s="990"/>
      <c r="Z223" s="967"/>
      <c r="AB223" s="147" t="s">
        <v>1588</v>
      </c>
      <c r="AC223" s="125" t="s">
        <v>1589</v>
      </c>
      <c r="AD223" s="124"/>
      <c r="AE223" s="147" t="s">
        <v>828</v>
      </c>
      <c r="AF223" s="281"/>
      <c r="AG223" s="138">
        <f ca="1">IFERROR(SUMIFS('Плата за негативное возд'!$AL$24:$AL$38,'Плата за негативное возд'!$F$24:$F$38,F223,'Плата за негативное возд'!$AB$24:$AB$38,"2"),0)</f>
        <v>0</v>
      </c>
      <c r="AH223" s="103"/>
      <c r="AL223" s="656" t="s">
        <v>1590</v>
      </c>
    </row>
    <row r="224" spans="1:43" ht="14.25" customHeight="1" x14ac:dyDescent="0.15">
      <c r="E224" s="448">
        <v>15</v>
      </c>
      <c r="F224" s="3" t="str" cm="1">
        <f t="array" aca="1" ref="F224" ca="1">OFFSET(E224,-1,1)</f>
        <v>3</v>
      </c>
      <c r="H224" s="4"/>
      <c r="I224" s="38" t="s">
        <v>535</v>
      </c>
      <c r="K224" s="40" t="str">
        <f ca="1">F224&amp;"5komm"</f>
        <v>35komm</v>
      </c>
      <c r="L224" s="609" cm="1">
        <f t="array" ref="L224">AH224</f>
        <v>0</v>
      </c>
      <c r="M224" s="40"/>
      <c r="T224" s="353" t="b" cm="1">
        <f t="array" ref="T224">T223</f>
        <v>1</v>
      </c>
      <c r="X224" s="990"/>
      <c r="Z224" s="967"/>
      <c r="AB224" s="147" t="str">
        <f>IF(B223,"VII","V")</f>
        <v>VII</v>
      </c>
      <c r="AC224" s="125" t="s">
        <v>1591</v>
      </c>
      <c r="AD224" s="124"/>
      <c r="AE224" s="147" t="s">
        <v>828</v>
      </c>
      <c r="AF224" s="281"/>
      <c r="AG224" s="281"/>
      <c r="AH224" s="103"/>
      <c r="AL224" s="656" t="s">
        <v>1592</v>
      </c>
    </row>
    <row r="225" spans="1:43" s="857" customFormat="1" ht="14.25" customHeight="1" x14ac:dyDescent="0.15">
      <c r="A225" s="154"/>
      <c r="B225" s="328"/>
      <c r="C225" s="154"/>
      <c r="D225" s="154"/>
      <c r="E225" s="501">
        <v>15</v>
      </c>
      <c r="F225" s="3" t="str" cm="1">
        <f t="array" aca="1" ref="F225" ca="1">OFFSET(E225,-1,1)</f>
        <v>3</v>
      </c>
      <c r="G225" s="375"/>
      <c r="H225" s="154"/>
      <c r="I225" s="154" t="s">
        <v>586</v>
      </c>
      <c r="J225" s="154"/>
      <c r="K225" s="40" t="str">
        <f ca="1">F225&amp;"6komm"</f>
        <v>36komm</v>
      </c>
      <c r="L225" s="609" cm="1">
        <f t="array" ref="L225">AH225</f>
        <v>0</v>
      </c>
      <c r="M225" s="375"/>
      <c r="N225" s="154"/>
      <c r="O225" s="154"/>
      <c r="P225" s="154"/>
      <c r="Q225" s="154"/>
      <c r="R225" s="154"/>
      <c r="S225" s="154"/>
      <c r="T225" s="353" t="b" cm="1">
        <f t="array" ref="T225">T224</f>
        <v>1</v>
      </c>
      <c r="U225" s="154"/>
      <c r="V225" s="154"/>
      <c r="W225" s="154"/>
      <c r="X225" s="990"/>
      <c r="Y225" s="154"/>
      <c r="Z225" s="967"/>
      <c r="AA225" s="154"/>
      <c r="AB225" s="147" t="str">
        <f>IF(B223,"VIII","VI")</f>
        <v>VIII</v>
      </c>
      <c r="AC225" s="125" t="s">
        <v>1553</v>
      </c>
      <c r="AD225" s="124"/>
      <c r="AE225" s="147" t="s">
        <v>828</v>
      </c>
      <c r="AF225" s="281">
        <f>AF226+AF227</f>
        <v>0</v>
      </c>
      <c r="AG225" s="281">
        <f>AG226+AG227</f>
        <v>0</v>
      </c>
      <c r="AH225" s="103"/>
      <c r="AI225" s="154"/>
      <c r="AJ225" s="154"/>
      <c r="AK225" s="154"/>
      <c r="AL225" s="688" t="s">
        <v>1593</v>
      </c>
      <c r="AM225" s="154"/>
      <c r="AN225" s="154"/>
      <c r="AO225" s="154"/>
      <c r="AP225" s="154"/>
      <c r="AQ225" s="154"/>
    </row>
    <row r="226" spans="1:43" ht="21.75" customHeight="1" x14ac:dyDescent="0.15">
      <c r="E226" s="448">
        <v>22.5</v>
      </c>
      <c r="F226" s="3" t="str" cm="1">
        <f t="array" aca="1" ref="F226" ca="1">OFFSET(E226,-1,1)</f>
        <v>3</v>
      </c>
      <c r="H226" s="4"/>
      <c r="I226" s="38" t="s">
        <v>589</v>
      </c>
      <c r="K226" s="40" t="str">
        <f ca="1">F226&amp;"7komm"</f>
        <v>37komm</v>
      </c>
      <c r="L226" s="609" cm="1">
        <f t="array" ref="L226">AH226</f>
        <v>0</v>
      </c>
      <c r="M226" s="40"/>
      <c r="T226" s="353" t="b" cm="1">
        <f t="array" ref="T226">T225</f>
        <v>1</v>
      </c>
      <c r="X226" s="990"/>
      <c r="Z226" s="967"/>
      <c r="AB226" s="9">
        <v>1</v>
      </c>
      <c r="AC226" s="127" t="s">
        <v>1556</v>
      </c>
      <c r="AD226" s="7"/>
      <c r="AE226" s="9" t="s">
        <v>828</v>
      </c>
      <c r="AF226" s="141"/>
      <c r="AG226" s="141"/>
      <c r="AH226" s="103"/>
      <c r="AL226" s="656" t="s">
        <v>1594</v>
      </c>
    </row>
    <row r="227" spans="1:43" ht="21.75" customHeight="1" x14ac:dyDescent="0.15">
      <c r="E227" s="448">
        <v>22.5</v>
      </c>
      <c r="F227" s="3" t="str" cm="1">
        <f t="array" aca="1" ref="F227" ca="1">OFFSET(E227,-1,1)</f>
        <v>3</v>
      </c>
      <c r="H227" s="4"/>
      <c r="I227" s="38" t="s">
        <v>593</v>
      </c>
      <c r="K227" s="40" t="str">
        <f ca="1">F227&amp;"8komm"</f>
        <v>38komm</v>
      </c>
      <c r="L227" s="609" cm="1">
        <f t="array" ref="L227">AH227</f>
        <v>0</v>
      </c>
      <c r="M227" s="40"/>
      <c r="T227" s="353" t="b" cm="1">
        <f t="array" ref="T227">T226</f>
        <v>1</v>
      </c>
      <c r="X227" s="990"/>
      <c r="Z227" s="967"/>
      <c r="AB227" s="9">
        <v>2</v>
      </c>
      <c r="AC227" s="127" t="s">
        <v>1558</v>
      </c>
      <c r="AD227" s="7"/>
      <c r="AE227" s="9" t="s">
        <v>828</v>
      </c>
      <c r="AF227" s="141"/>
      <c r="AG227" s="141"/>
      <c r="AH227" s="103"/>
      <c r="AL227" s="656" t="s">
        <v>1595</v>
      </c>
    </row>
    <row r="228" spans="1:43" ht="14.25" customHeight="1" x14ac:dyDescent="0.15">
      <c r="E228" s="448">
        <v>15</v>
      </c>
      <c r="F228" s="3" t="str" cm="1">
        <f t="array" aca="1" ref="F228" ca="1">OFFSET(E228,-1,1)</f>
        <v>3</v>
      </c>
      <c r="H228" s="4"/>
      <c r="I228" s="38" t="s">
        <v>601</v>
      </c>
      <c r="K228" s="40" t="str">
        <f ca="1">F228&amp;"9komm"</f>
        <v>39komm</v>
      </c>
      <c r="L228" s="609" cm="1">
        <f t="array" ref="L228">AH228</f>
        <v>0</v>
      </c>
      <c r="M228" s="40"/>
      <c r="T228" s="353" t="b" cm="1">
        <f t="array" ref="T228">T227</f>
        <v>1</v>
      </c>
      <c r="X228" s="990"/>
      <c r="Z228" s="967"/>
      <c r="AB228" s="147" t="str">
        <f>IF(B223,"IX","VIII")</f>
        <v>IX</v>
      </c>
      <c r="AC228" s="125" t="s">
        <v>1560</v>
      </c>
      <c r="AD228" s="124"/>
      <c r="AE228" s="147" t="s">
        <v>828</v>
      </c>
      <c r="AF228" s="281"/>
      <c r="AG228" s="281"/>
      <c r="AH228" s="103"/>
      <c r="AL228" s="656" t="s">
        <v>1596</v>
      </c>
    </row>
    <row r="229" spans="1:43" ht="14.25" customHeight="1" x14ac:dyDescent="0.15">
      <c r="E229" s="448">
        <v>15</v>
      </c>
      <c r="F229" s="3" t="str" cm="1">
        <f t="array" aca="1" ref="F229" ca="1">OFFSET(E229,-1,1)</f>
        <v>3</v>
      </c>
      <c r="H229" s="4"/>
      <c r="I229" s="38" t="s">
        <v>609</v>
      </c>
      <c r="K229" s="40" t="str">
        <f ca="1">F229&amp;"10komm"</f>
        <v>310komm</v>
      </c>
      <c r="L229" s="609" cm="1">
        <f t="array" ref="L229">AH229</f>
        <v>0</v>
      </c>
      <c r="M229" s="40"/>
      <c r="T229" s="353" t="b" cm="1">
        <f t="array" ref="T229">T228</f>
        <v>1</v>
      </c>
      <c r="X229" s="990"/>
      <c r="Z229" s="967"/>
      <c r="AB229" s="147" t="str">
        <f>IF(B223,"X","IX")</f>
        <v>X</v>
      </c>
      <c r="AC229" s="125" t="s">
        <v>1562</v>
      </c>
      <c r="AD229" s="124"/>
      <c r="AE229" s="147" t="s">
        <v>828</v>
      </c>
      <c r="AF229" s="281"/>
      <c r="AG229" s="281"/>
      <c r="AH229" s="103"/>
      <c r="AL229" s="656" t="s">
        <v>1597</v>
      </c>
    </row>
    <row r="230" spans="1:43" s="857" customFormat="1" ht="18.95" customHeight="1" x14ac:dyDescent="0.15">
      <c r="A230" s="154"/>
      <c r="B230" s="328"/>
      <c r="C230" s="154"/>
      <c r="D230" s="154"/>
      <c r="E230" s="501">
        <v>15</v>
      </c>
      <c r="F230" s="3" t="str" cm="1">
        <f t="array" aca="1" ref="F230" ca="1">OFFSET(E230,-1,1)</f>
        <v>3</v>
      </c>
      <c r="G230" s="375"/>
      <c r="H230" s="154"/>
      <c r="I230" s="154" t="s">
        <v>767</v>
      </c>
      <c r="J230" s="154"/>
      <c r="K230" s="40" t="str">
        <f ca="1">F230&amp;"11komm"</f>
        <v>311komm</v>
      </c>
      <c r="L230" s="609" cm="1">
        <f t="array" ref="L230">AH230</f>
        <v>0</v>
      </c>
      <c r="M230" s="375"/>
      <c r="N230" s="154"/>
      <c r="O230" s="154"/>
      <c r="P230" s="154"/>
      <c r="Q230" s="154"/>
      <c r="R230" s="154"/>
      <c r="S230" s="154"/>
      <c r="T230" s="353" t="b" cm="1">
        <f t="array" ref="T230">T229</f>
        <v>1</v>
      </c>
      <c r="U230" s="154"/>
      <c r="V230" s="154"/>
      <c r="W230" s="154"/>
      <c r="X230" s="990"/>
      <c r="Y230" s="154"/>
      <c r="Z230" s="967"/>
      <c r="AA230" s="154"/>
      <c r="AB230" s="147" t="str">
        <f>IF(B223,"XI","X")</f>
        <v>XI</v>
      </c>
      <c r="AC230" s="132" t="s">
        <v>1598</v>
      </c>
      <c r="AD230" s="124"/>
      <c r="AE230" s="147" t="s">
        <v>828</v>
      </c>
      <c r="AF230" s="569">
        <f ca="1">AF181+AF216+AF220+AF221+AF222+AF223+AF224+AF225+AF228+AF229</f>
        <v>20180.601621527599</v>
      </c>
      <c r="AG230" s="569">
        <f ca="1">AG181+AG216+AG220+AG221+AG222+AG223+AG224+AG225+AG228+AG229</f>
        <v>-535.27386930419743</v>
      </c>
      <c r="AH230" s="103"/>
      <c r="AI230" s="154"/>
      <c r="AJ230" s="154"/>
      <c r="AK230" s="154"/>
      <c r="AL230" s="688" t="s">
        <v>1599</v>
      </c>
      <c r="AM230" s="154"/>
      <c r="AN230" s="154"/>
      <c r="AO230" s="154"/>
      <c r="AP230" s="154"/>
      <c r="AQ230" s="154"/>
    </row>
    <row r="231" spans="1:43" ht="10.9" customHeight="1" x14ac:dyDescent="0.15">
      <c r="A231"/>
      <c r="B231" s="327"/>
      <c r="C231"/>
      <c r="D231"/>
      <c r="E231" s="454">
        <v>11.25</v>
      </c>
      <c r="F231"/>
      <c r="G231" s="368"/>
      <c r="H231"/>
      <c r="I231"/>
      <c r="J231"/>
      <c r="K231" s="40"/>
      <c r="L231" s="609"/>
      <c r="M231" s="368"/>
      <c r="N231"/>
      <c r="O231"/>
      <c r="P231"/>
      <c r="Q231"/>
      <c r="R231"/>
      <c r="S231"/>
      <c r="T231"/>
      <c r="U231" s="315" t="s">
        <v>176</v>
      </c>
      <c r="V231" s="56" t="s">
        <v>1629</v>
      </c>
      <c r="W231"/>
      <c r="X231"/>
      <c r="Y231"/>
      <c r="Z231"/>
      <c r="AA231"/>
      <c r="AB231"/>
      <c r="AC231" s="315"/>
      <c r="AD231" s="315"/>
      <c r="AE231" s="315"/>
      <c r="AF231" s="315"/>
      <c r="AG231"/>
      <c r="AH231"/>
      <c r="AI231"/>
      <c r="AJ231"/>
      <c r="AK231"/>
      <c r="AL231" s="661"/>
      <c r="AM231"/>
      <c r="AN231"/>
      <c r="AO231"/>
      <c r="AP231"/>
      <c r="AQ231" s="19"/>
    </row>
    <row r="232" spans="1:43" ht="14.65" customHeight="1" x14ac:dyDescent="0.15">
      <c r="E232" s="448">
        <v>15</v>
      </c>
      <c r="AB232" s="993" t="s">
        <v>408</v>
      </c>
      <c r="AC232" s="993"/>
      <c r="AD232" s="993"/>
      <c r="AE232" s="993"/>
      <c r="AF232" s="993"/>
      <c r="AG232" s="993"/>
      <c r="AH232" s="993"/>
    </row>
    <row r="233" spans="1:43" ht="49.5" customHeight="1" x14ac:dyDescent="0.15">
      <c r="E233" s="448">
        <v>15</v>
      </c>
      <c r="AA233" s="87"/>
      <c r="AB233" s="1060" t="s">
        <v>1630</v>
      </c>
      <c r="AC233" s="1060"/>
      <c r="AD233" s="1060"/>
      <c r="AE233" s="1060"/>
      <c r="AF233" s="1060"/>
      <c r="AG233" s="1060"/>
      <c r="AH233" s="1060"/>
    </row>
    <row r="234" spans="1:43" ht="14.65" hidden="1" customHeight="1" x14ac:dyDescent="0.15">
      <c r="E234" s="448">
        <v>15</v>
      </c>
      <c r="T234" s="353" t="b">
        <f>ROW(W234)&gt;ROW(W$234)</f>
        <v>0</v>
      </c>
      <c r="W234" s="517" t="s">
        <v>172</v>
      </c>
      <c r="AA234" s="320" t="s">
        <v>173</v>
      </c>
      <c r="AB234" s="1061" t="s">
        <v>225</v>
      </c>
      <c r="AC234" s="1061"/>
      <c r="AD234" s="1061"/>
      <c r="AE234" s="1061"/>
      <c r="AF234" s="1061"/>
      <c r="AG234" s="1061"/>
      <c r="AH234" s="1061"/>
    </row>
    <row r="235" spans="1:43" ht="40.700000000000003" customHeight="1" x14ac:dyDescent="0.15">
      <c r="E235" s="448">
        <v>15</v>
      </c>
      <c r="T235" s="353" t="b">
        <f>ROW(W235)&gt;ROW(W$234)</f>
        <v>1</v>
      </c>
      <c r="W235" s="517"/>
      <c r="Y235" s="38" t="s">
        <v>225</v>
      </c>
      <c r="AA235" s="320" t="s">
        <v>173</v>
      </c>
      <c r="AB235" s="1060" t="s">
        <v>1631</v>
      </c>
      <c r="AC235" s="1060"/>
      <c r="AD235" s="1060"/>
      <c r="AE235" s="1060"/>
      <c r="AF235" s="1060"/>
      <c r="AG235" s="1060"/>
      <c r="AH235" s="1060"/>
    </row>
    <row r="236" spans="1:43" ht="40.700000000000003" customHeight="1" x14ac:dyDescent="0.15">
      <c r="E236" s="448">
        <v>15</v>
      </c>
      <c r="T236" s="353" t="b">
        <f>ROW(W236)&gt;ROW(W$234)</f>
        <v>1</v>
      </c>
      <c r="W236" s="517"/>
      <c r="Y236" s="38" t="s">
        <v>225</v>
      </c>
      <c r="AA236" s="320" t="s">
        <v>173</v>
      </c>
      <c r="AB236" s="1060" t="s">
        <v>1632</v>
      </c>
      <c r="AC236" s="1060"/>
      <c r="AD236" s="1060"/>
      <c r="AE236" s="1060"/>
      <c r="AF236" s="1060"/>
      <c r="AG236" s="1060"/>
      <c r="AH236" s="1060"/>
    </row>
    <row r="237" spans="1:43" ht="14.65" customHeight="1" x14ac:dyDescent="0.15">
      <c r="E237" s="448">
        <v>15</v>
      </c>
      <c r="W237" s="517" t="s">
        <v>419</v>
      </c>
      <c r="AB237" s="474"/>
      <c r="AC237" s="382" t="s">
        <v>420</v>
      </c>
      <c r="AD237" s="218"/>
      <c r="AE237" s="218"/>
      <c r="AF237" s="218"/>
      <c r="AG237" s="218"/>
      <c r="AH237" s="282"/>
    </row>
    <row r="238" spans="1:43" ht="10.7" customHeight="1" x14ac:dyDescent="0.15">
      <c r="E238" s="448">
        <v>11</v>
      </c>
      <c r="AI238" s="22"/>
    </row>
    <row r="239" spans="1:43" ht="10.7" hidden="1" customHeight="1" x14ac:dyDescent="0.15">
      <c r="E239" s="448">
        <v>11</v>
      </c>
      <c r="AB239" s="59" t="s">
        <v>1633</v>
      </c>
    </row>
  </sheetData>
  <sheetProtection formatColumns="0" formatRows="0" insertRows="0" deleteColumns="0" deleteRows="0" sort="0" autoFilter="0"/>
  <mergeCells count="18">
    <mergeCell ref="AB235:AH235"/>
    <mergeCell ref="AB236:AH236"/>
    <mergeCell ref="AB232:AH232"/>
    <mergeCell ref="AB233:AH233"/>
    <mergeCell ref="AB234:AH234"/>
    <mergeCell ref="X27:X77"/>
    <mergeCell ref="Z27:Z77"/>
    <mergeCell ref="X78:X128"/>
    <mergeCell ref="Z78:Z128"/>
    <mergeCell ref="X129:X179"/>
    <mergeCell ref="Z129:Z179"/>
    <mergeCell ref="X180:X230"/>
    <mergeCell ref="Z180:Z230"/>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B2C2-5D78-BF57-4638-85A55369A718}">
  <sheetPr>
    <tabColor rgb="FF002060"/>
    <outlinePr summaryBelow="0" summaryRight="0"/>
  </sheetPr>
  <dimension ref="A1:GD259"/>
  <sheetViews>
    <sheetView showGridLines="0" zoomScale="120" workbookViewId="0">
      <pane xSplit="29" ySplit="26" topLeftCell="AD196" activePane="bottomRight" state="frozen"/>
      <selection pane="topRight" activeCell="AD1" sqref="AD1"/>
      <selection pane="bottomLeft" activeCell="A27" sqref="A27"/>
      <selection pane="bottomRight" activeCell="AB258" sqref="AB258:AC258"/>
    </sheetView>
  </sheetViews>
  <sheetFormatPr defaultColWidth="9.140625" defaultRowHeight="11.25" customHeight="1" x14ac:dyDescent="0.15"/>
  <cols>
    <col min="1" max="1" width="3.5703125" style="17" hidden="1" customWidth="1"/>
    <col min="2" max="2" width="8.5703125" style="384" hidden="1" customWidth="1"/>
    <col min="3" max="4" width="3.5703125" style="17" hidden="1" customWidth="1"/>
    <col min="5" max="5" width="3.5703125" style="461" hidden="1" customWidth="1"/>
    <col min="6" max="6" width="5.42578125" style="372"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70.85546875" style="120" customWidth="1"/>
    <col min="29" max="29" width="12.5703125" style="60" customWidth="1"/>
    <col min="30" max="31" width="14.140625" style="17" customWidth="1"/>
    <col min="32" max="32" width="37.5703125" style="17" customWidth="1"/>
    <col min="33" max="179" width="14.140625" style="17" hidden="1" customWidth="1"/>
    <col min="180" max="180" width="3" style="17" customWidth="1"/>
    <col min="181" max="181" width="9.140625" style="17" hidden="1"/>
    <col min="182" max="182" width="31.7109375" style="671" hidden="1" customWidth="1"/>
    <col min="183" max="184" width="9.140625" style="671" hidden="1"/>
    <col min="185" max="186" width="9.140625" style="461" hidden="1"/>
  </cols>
  <sheetData>
    <row r="1" spans="1:186" ht="11.25" hidden="1" customHeight="1" x14ac:dyDescent="0.15">
      <c r="E1" s="17"/>
      <c r="F1" s="372" t="s">
        <v>320</v>
      </c>
      <c r="H1" s="17" t="s">
        <v>330</v>
      </c>
      <c r="I1" s="17" t="s">
        <v>355</v>
      </c>
      <c r="T1" s="353" t="s">
        <v>92</v>
      </c>
      <c r="U1" s="353" t="s">
        <v>97</v>
      </c>
      <c r="V1" s="353" t="s">
        <v>93</v>
      </c>
      <c r="W1" s="353" t="s">
        <v>94</v>
      </c>
      <c r="X1" s="353" t="s">
        <v>95</v>
      </c>
      <c r="Y1" s="355" t="s">
        <v>322</v>
      </c>
      <c r="Z1" s="353" t="s">
        <v>99</v>
      </c>
      <c r="AA1" s="355" t="s">
        <v>96</v>
      </c>
      <c r="AB1" s="354" t="s">
        <v>98</v>
      </c>
      <c r="FZ1" s="671" t="s">
        <v>323</v>
      </c>
      <c r="GA1" s="671" t="s">
        <v>324</v>
      </c>
      <c r="GB1" s="671" t="s">
        <v>325</v>
      </c>
      <c r="GC1" s="461" t="s">
        <v>328</v>
      </c>
      <c r="GD1" s="461" t="s">
        <v>329</v>
      </c>
    </row>
    <row r="2" spans="1:186" s="46" customFormat="1" ht="11.25" hidden="1" customHeight="1" x14ac:dyDescent="0.15">
      <c r="B2" s="613" t="s">
        <v>18</v>
      </c>
      <c r="F2" s="372"/>
      <c r="AB2" s="326"/>
      <c r="AC2" s="326"/>
      <c r="AG2" s="377" t="b">
        <f t="shared" ref="AG2:BL2" si="0">AG6&lt;=last_year_vis</f>
        <v>0</v>
      </c>
      <c r="AH2" s="377" t="b">
        <f t="shared" si="0"/>
        <v>0</v>
      </c>
      <c r="AI2" s="377" t="b">
        <f t="shared" si="0"/>
        <v>0</v>
      </c>
      <c r="AJ2" s="377" t="b">
        <f t="shared" si="0"/>
        <v>0</v>
      </c>
      <c r="AK2" s="377" t="b">
        <f t="shared" si="0"/>
        <v>0</v>
      </c>
      <c r="AL2" s="377" t="b">
        <f t="shared" si="0"/>
        <v>0</v>
      </c>
      <c r="AM2" s="377" t="b">
        <f t="shared" si="0"/>
        <v>0</v>
      </c>
      <c r="AN2" s="377" t="b">
        <f t="shared" si="0"/>
        <v>0</v>
      </c>
      <c r="AO2" s="377" t="b">
        <f t="shared" si="0"/>
        <v>0</v>
      </c>
      <c r="AP2" s="377" t="b">
        <f t="shared" si="0"/>
        <v>0</v>
      </c>
      <c r="AQ2" s="377" t="b">
        <f t="shared" si="0"/>
        <v>0</v>
      </c>
      <c r="AR2" s="377" t="b">
        <f t="shared" si="0"/>
        <v>0</v>
      </c>
      <c r="AS2" s="377" t="b">
        <f t="shared" si="0"/>
        <v>0</v>
      </c>
      <c r="AT2" s="377" t="b">
        <f t="shared" si="0"/>
        <v>0</v>
      </c>
      <c r="AU2" s="377" t="b">
        <f t="shared" si="0"/>
        <v>0</v>
      </c>
      <c r="AV2" s="377" t="b">
        <f t="shared" si="0"/>
        <v>0</v>
      </c>
      <c r="AW2" s="377" t="b">
        <f t="shared" si="0"/>
        <v>0</v>
      </c>
      <c r="AX2" s="377" t="b">
        <f t="shared" si="0"/>
        <v>0</v>
      </c>
      <c r="AY2" s="377" t="b">
        <f t="shared" si="0"/>
        <v>0</v>
      </c>
      <c r="AZ2" s="377" t="b">
        <f t="shared" si="0"/>
        <v>0</v>
      </c>
      <c r="BA2" s="377" t="b">
        <f t="shared" si="0"/>
        <v>0</v>
      </c>
      <c r="BB2" s="377" t="b">
        <f t="shared" si="0"/>
        <v>0</v>
      </c>
      <c r="BC2" s="377" t="b">
        <f t="shared" si="0"/>
        <v>0</v>
      </c>
      <c r="BD2" s="377" t="b">
        <f t="shared" si="0"/>
        <v>0</v>
      </c>
      <c r="BE2" s="377" t="b">
        <f t="shared" si="0"/>
        <v>0</v>
      </c>
      <c r="BF2" s="377" t="b">
        <f t="shared" si="0"/>
        <v>0</v>
      </c>
      <c r="BG2" s="377" t="b">
        <f t="shared" si="0"/>
        <v>0</v>
      </c>
      <c r="BH2" s="377" t="b">
        <f t="shared" si="0"/>
        <v>0</v>
      </c>
      <c r="BI2" s="377" t="b">
        <f t="shared" si="0"/>
        <v>0</v>
      </c>
      <c r="BJ2" s="377" t="b">
        <f t="shared" si="0"/>
        <v>0</v>
      </c>
      <c r="BK2" s="377" t="b">
        <f t="shared" si="0"/>
        <v>0</v>
      </c>
      <c r="BL2" s="377" t="b">
        <f t="shared" si="0"/>
        <v>0</v>
      </c>
      <c r="BM2" s="377" t="b">
        <f t="shared" ref="BM2:CR2" si="1">BM6&lt;=last_year_vis</f>
        <v>0</v>
      </c>
      <c r="BN2" s="377" t="b">
        <f t="shared" si="1"/>
        <v>0</v>
      </c>
      <c r="BO2" s="377" t="b">
        <f t="shared" si="1"/>
        <v>0</v>
      </c>
      <c r="BP2" s="377" t="b">
        <f t="shared" si="1"/>
        <v>0</v>
      </c>
      <c r="BQ2" s="377" t="b">
        <f t="shared" si="1"/>
        <v>0</v>
      </c>
      <c r="BR2" s="377" t="b">
        <f t="shared" si="1"/>
        <v>0</v>
      </c>
      <c r="BS2" s="377" t="b">
        <f t="shared" si="1"/>
        <v>0</v>
      </c>
      <c r="BT2" s="377" t="b">
        <f t="shared" si="1"/>
        <v>0</v>
      </c>
      <c r="BU2" s="377" t="b">
        <f t="shared" si="1"/>
        <v>0</v>
      </c>
      <c r="BV2" s="377" t="b">
        <f t="shared" si="1"/>
        <v>0</v>
      </c>
      <c r="BW2" s="377" t="b">
        <f t="shared" si="1"/>
        <v>0</v>
      </c>
      <c r="BX2" s="377" t="b">
        <f t="shared" si="1"/>
        <v>0</v>
      </c>
      <c r="BY2" s="377" t="b">
        <f t="shared" si="1"/>
        <v>0</v>
      </c>
      <c r="BZ2" s="377" t="b">
        <f t="shared" si="1"/>
        <v>0</v>
      </c>
      <c r="CA2" s="377" t="b">
        <f t="shared" si="1"/>
        <v>0</v>
      </c>
      <c r="CB2" s="377" t="b">
        <f t="shared" si="1"/>
        <v>0</v>
      </c>
      <c r="CC2" s="377" t="b">
        <f t="shared" si="1"/>
        <v>0</v>
      </c>
      <c r="CD2" s="377" t="b">
        <f t="shared" si="1"/>
        <v>0</v>
      </c>
      <c r="CE2" s="377" t="b">
        <f t="shared" si="1"/>
        <v>0</v>
      </c>
      <c r="CF2" s="377" t="b">
        <f t="shared" si="1"/>
        <v>0</v>
      </c>
      <c r="CG2" s="377" t="b">
        <f t="shared" si="1"/>
        <v>0</v>
      </c>
      <c r="CH2" s="377" t="b">
        <f t="shared" si="1"/>
        <v>0</v>
      </c>
      <c r="CI2" s="377" t="b">
        <f t="shared" si="1"/>
        <v>0</v>
      </c>
      <c r="CJ2" s="377" t="b">
        <f t="shared" si="1"/>
        <v>0</v>
      </c>
      <c r="CK2" s="377" t="b">
        <f t="shared" si="1"/>
        <v>0</v>
      </c>
      <c r="CL2" s="377" t="b">
        <f t="shared" si="1"/>
        <v>0</v>
      </c>
      <c r="CM2" s="377" t="b">
        <f t="shared" si="1"/>
        <v>0</v>
      </c>
      <c r="CN2" s="377" t="b">
        <f t="shared" si="1"/>
        <v>0</v>
      </c>
      <c r="CO2" s="377" t="b">
        <f t="shared" si="1"/>
        <v>0</v>
      </c>
      <c r="CP2" s="377" t="b">
        <f t="shared" si="1"/>
        <v>0</v>
      </c>
      <c r="CQ2" s="377" t="b">
        <f t="shared" si="1"/>
        <v>0</v>
      </c>
      <c r="CR2" s="377" t="b">
        <f t="shared" si="1"/>
        <v>0</v>
      </c>
      <c r="CS2" s="377" t="b">
        <f t="shared" ref="CS2:DX2" si="2">CS6&lt;=last_year_vis</f>
        <v>0</v>
      </c>
      <c r="CT2" s="377" t="b">
        <f t="shared" si="2"/>
        <v>0</v>
      </c>
      <c r="CU2" s="377" t="b">
        <f t="shared" si="2"/>
        <v>0</v>
      </c>
      <c r="CV2" s="377" t="b">
        <f t="shared" si="2"/>
        <v>0</v>
      </c>
      <c r="CW2" s="377" t="b">
        <f t="shared" si="2"/>
        <v>0</v>
      </c>
      <c r="CX2" s="377" t="b">
        <f t="shared" si="2"/>
        <v>0</v>
      </c>
      <c r="CY2" s="377" t="b">
        <f t="shared" si="2"/>
        <v>0</v>
      </c>
      <c r="CZ2" s="377" t="b">
        <f t="shared" si="2"/>
        <v>0</v>
      </c>
      <c r="DA2" s="377" t="b">
        <f t="shared" si="2"/>
        <v>0</v>
      </c>
      <c r="DB2" s="377" t="b">
        <f t="shared" si="2"/>
        <v>0</v>
      </c>
      <c r="DC2" s="377" t="b">
        <f t="shared" si="2"/>
        <v>0</v>
      </c>
      <c r="DD2" s="377" t="b">
        <f t="shared" si="2"/>
        <v>0</v>
      </c>
      <c r="DE2" s="377" t="b">
        <f t="shared" si="2"/>
        <v>0</v>
      </c>
      <c r="DF2" s="377" t="b">
        <f t="shared" si="2"/>
        <v>0</v>
      </c>
      <c r="DG2" s="377" t="b">
        <f t="shared" si="2"/>
        <v>0</v>
      </c>
      <c r="DH2" s="377" t="b">
        <f t="shared" si="2"/>
        <v>0</v>
      </c>
      <c r="DI2" s="377" t="b">
        <f t="shared" si="2"/>
        <v>0</v>
      </c>
      <c r="DJ2" s="377" t="b">
        <f t="shared" si="2"/>
        <v>0</v>
      </c>
      <c r="DK2" s="377" t="b">
        <f t="shared" si="2"/>
        <v>0</v>
      </c>
      <c r="DL2" s="377" t="b">
        <f t="shared" si="2"/>
        <v>0</v>
      </c>
      <c r="DM2" s="377" t="b">
        <f t="shared" si="2"/>
        <v>0</v>
      </c>
      <c r="DN2" s="377" t="b">
        <f t="shared" si="2"/>
        <v>0</v>
      </c>
      <c r="DO2" s="377" t="b">
        <f t="shared" si="2"/>
        <v>0</v>
      </c>
      <c r="DP2" s="377" t="b">
        <f t="shared" si="2"/>
        <v>0</v>
      </c>
      <c r="DQ2" s="377" t="b">
        <f t="shared" si="2"/>
        <v>0</v>
      </c>
      <c r="DR2" s="377" t="b">
        <f t="shared" si="2"/>
        <v>0</v>
      </c>
      <c r="DS2" s="377" t="b">
        <f t="shared" si="2"/>
        <v>0</v>
      </c>
      <c r="DT2" s="377" t="b">
        <f t="shared" si="2"/>
        <v>0</v>
      </c>
      <c r="DU2" s="377" t="b">
        <f t="shared" si="2"/>
        <v>0</v>
      </c>
      <c r="DV2" s="377" t="b">
        <f t="shared" si="2"/>
        <v>0</v>
      </c>
      <c r="DW2" s="377" t="b">
        <f t="shared" si="2"/>
        <v>0</v>
      </c>
      <c r="DX2" s="377" t="b">
        <f t="shared" si="2"/>
        <v>0</v>
      </c>
      <c r="DY2" s="377" t="b">
        <f t="shared" ref="DY2:FD2" si="3">DY6&lt;=last_year_vis</f>
        <v>0</v>
      </c>
      <c r="DZ2" s="377" t="b">
        <f t="shared" si="3"/>
        <v>0</v>
      </c>
      <c r="EA2" s="377" t="b">
        <f t="shared" si="3"/>
        <v>0</v>
      </c>
      <c r="EB2" s="377" t="b">
        <f t="shared" si="3"/>
        <v>0</v>
      </c>
      <c r="EC2" s="377" t="b">
        <f t="shared" si="3"/>
        <v>0</v>
      </c>
      <c r="ED2" s="377" t="b">
        <f t="shared" si="3"/>
        <v>0</v>
      </c>
      <c r="EE2" s="377" t="b">
        <f t="shared" si="3"/>
        <v>0</v>
      </c>
      <c r="EF2" s="377" t="b">
        <f t="shared" si="3"/>
        <v>0</v>
      </c>
      <c r="EG2" s="377" t="b">
        <f t="shared" si="3"/>
        <v>0</v>
      </c>
      <c r="EH2" s="377" t="b">
        <f t="shared" si="3"/>
        <v>0</v>
      </c>
      <c r="EI2" s="377" t="b">
        <f t="shared" si="3"/>
        <v>0</v>
      </c>
      <c r="EJ2" s="377" t="b">
        <f t="shared" si="3"/>
        <v>0</v>
      </c>
      <c r="EK2" s="377" t="b">
        <f t="shared" si="3"/>
        <v>0</v>
      </c>
      <c r="EL2" s="377" t="b">
        <f t="shared" si="3"/>
        <v>0</v>
      </c>
      <c r="EM2" s="377" t="b">
        <f t="shared" si="3"/>
        <v>0</v>
      </c>
      <c r="EN2" s="377" t="b">
        <f t="shared" si="3"/>
        <v>0</v>
      </c>
      <c r="EO2" s="377" t="b">
        <f t="shared" si="3"/>
        <v>0</v>
      </c>
      <c r="EP2" s="377" t="b">
        <f t="shared" si="3"/>
        <v>0</v>
      </c>
      <c r="EQ2" s="377" t="b">
        <f t="shared" si="3"/>
        <v>0</v>
      </c>
      <c r="ER2" s="377" t="b">
        <f t="shared" si="3"/>
        <v>0</v>
      </c>
      <c r="ES2" s="377" t="b">
        <f t="shared" si="3"/>
        <v>0</v>
      </c>
      <c r="ET2" s="377" t="b">
        <f t="shared" si="3"/>
        <v>0</v>
      </c>
      <c r="EU2" s="377" t="b">
        <f t="shared" si="3"/>
        <v>0</v>
      </c>
      <c r="EV2" s="377" t="b">
        <f t="shared" si="3"/>
        <v>0</v>
      </c>
      <c r="EW2" s="377" t="b">
        <f t="shared" si="3"/>
        <v>0</v>
      </c>
      <c r="EX2" s="377" t="b">
        <f t="shared" si="3"/>
        <v>0</v>
      </c>
      <c r="EY2" s="377" t="b">
        <f t="shared" si="3"/>
        <v>0</v>
      </c>
      <c r="EZ2" s="377" t="b">
        <f t="shared" si="3"/>
        <v>0</v>
      </c>
      <c r="FA2" s="377" t="b">
        <f t="shared" si="3"/>
        <v>0</v>
      </c>
      <c r="FB2" s="377" t="b">
        <f t="shared" si="3"/>
        <v>0</v>
      </c>
      <c r="FC2" s="377" t="b">
        <f t="shared" si="3"/>
        <v>0</v>
      </c>
      <c r="FD2" s="377" t="b">
        <f t="shared" si="3"/>
        <v>0</v>
      </c>
      <c r="FE2" s="377" t="b">
        <f t="shared" ref="FE2:FW2" si="4">FE6&lt;=last_year_vis</f>
        <v>0</v>
      </c>
      <c r="FF2" s="377" t="b">
        <f t="shared" si="4"/>
        <v>0</v>
      </c>
      <c r="FG2" s="377" t="b">
        <f t="shared" si="4"/>
        <v>0</v>
      </c>
      <c r="FH2" s="377" t="b">
        <f t="shared" si="4"/>
        <v>0</v>
      </c>
      <c r="FI2" s="377" t="b">
        <f t="shared" si="4"/>
        <v>0</v>
      </c>
      <c r="FJ2" s="377" t="b">
        <f t="shared" si="4"/>
        <v>0</v>
      </c>
      <c r="FK2" s="377" t="b">
        <f t="shared" si="4"/>
        <v>0</v>
      </c>
      <c r="FL2" s="377" t="b">
        <f t="shared" si="4"/>
        <v>0</v>
      </c>
      <c r="FM2" s="377" t="b">
        <f t="shared" si="4"/>
        <v>0</v>
      </c>
      <c r="FN2" s="377" t="b">
        <f t="shared" si="4"/>
        <v>0</v>
      </c>
      <c r="FO2" s="377" t="b">
        <f t="shared" si="4"/>
        <v>0</v>
      </c>
      <c r="FP2" s="377" t="b">
        <f t="shared" si="4"/>
        <v>0</v>
      </c>
      <c r="FQ2" s="377" t="b">
        <f t="shared" si="4"/>
        <v>0</v>
      </c>
      <c r="FR2" s="377" t="b">
        <f t="shared" si="4"/>
        <v>0</v>
      </c>
      <c r="FS2" s="377" t="b">
        <f t="shared" si="4"/>
        <v>0</v>
      </c>
      <c r="FT2" s="377" t="b">
        <f t="shared" si="4"/>
        <v>0</v>
      </c>
      <c r="FU2" s="377" t="b">
        <f t="shared" si="4"/>
        <v>0</v>
      </c>
      <c r="FV2" s="377" t="b">
        <f t="shared" si="4"/>
        <v>0</v>
      </c>
      <c r="FW2" s="377" t="b">
        <f t="shared" si="4"/>
        <v>0</v>
      </c>
      <c r="FZ2" s="672"/>
      <c r="GA2" s="672"/>
      <c r="GB2" s="672"/>
      <c r="GC2" s="677"/>
      <c r="GD2" s="677"/>
    </row>
    <row r="3" spans="1:186" ht="11.25" hidden="1" customHeight="1" x14ac:dyDescent="0.15">
      <c r="E3" s="17"/>
    </row>
    <row r="4" spans="1:186" ht="11.25" hidden="1" customHeight="1" x14ac:dyDescent="0.15">
      <c r="E4" s="17"/>
    </row>
    <row r="5" spans="1:186" s="461" customFormat="1" ht="11.25" hidden="1" customHeight="1" x14ac:dyDescent="0.15">
      <c r="A5" s="17"/>
      <c r="B5" s="384"/>
      <c r="C5" s="17"/>
      <c r="D5" s="17"/>
      <c r="E5" s="461" t="s">
        <v>19</v>
      </c>
      <c r="F5" s="599"/>
      <c r="AA5" s="461">
        <v>3</v>
      </c>
      <c r="AB5" s="503">
        <v>56</v>
      </c>
      <c r="AC5" s="459">
        <v>12.57</v>
      </c>
      <c r="AD5" s="461">
        <v>14.14</v>
      </c>
      <c r="AE5" s="461">
        <v>14.14</v>
      </c>
      <c r="AF5" s="461">
        <v>14.14</v>
      </c>
      <c r="AG5" s="461">
        <v>14.14</v>
      </c>
      <c r="AH5" s="461">
        <v>14.14</v>
      </c>
      <c r="AI5" s="461">
        <v>14.14</v>
      </c>
      <c r="AJ5" s="461">
        <v>14.14</v>
      </c>
      <c r="AK5" s="461">
        <v>14.14</v>
      </c>
      <c r="AL5" s="461">
        <v>14.14</v>
      </c>
      <c r="AM5" s="461">
        <v>14.14</v>
      </c>
      <c r="AN5" s="461">
        <v>14.14</v>
      </c>
      <c r="AO5" s="461">
        <v>14.14</v>
      </c>
      <c r="AP5" s="461">
        <v>14.14</v>
      </c>
      <c r="AQ5" s="461">
        <v>14.14</v>
      </c>
      <c r="AR5" s="461">
        <v>14.14</v>
      </c>
      <c r="AS5" s="461">
        <v>14.14</v>
      </c>
      <c r="AT5" s="461">
        <v>14.14</v>
      </c>
      <c r="AU5" s="461">
        <v>14.14</v>
      </c>
      <c r="AV5" s="461">
        <v>14.14</v>
      </c>
      <c r="AW5" s="461">
        <v>14.14</v>
      </c>
      <c r="AX5" s="461">
        <v>14.14</v>
      </c>
      <c r="AY5" s="461">
        <v>14.14</v>
      </c>
      <c r="AZ5" s="461">
        <v>14.14</v>
      </c>
      <c r="BA5" s="461">
        <v>14.14</v>
      </c>
      <c r="BB5" s="461">
        <v>14.14</v>
      </c>
      <c r="BC5" s="461">
        <v>14.14</v>
      </c>
      <c r="BD5" s="461">
        <v>14.14</v>
      </c>
      <c r="BE5" s="461">
        <v>14.14</v>
      </c>
      <c r="BF5" s="461">
        <v>14.14</v>
      </c>
      <c r="BG5" s="461">
        <v>14.14</v>
      </c>
      <c r="BH5" s="461">
        <v>14.14</v>
      </c>
      <c r="BI5" s="461">
        <v>14.14</v>
      </c>
      <c r="BJ5" s="461">
        <v>14.14</v>
      </c>
      <c r="BK5" s="461">
        <v>14.14</v>
      </c>
      <c r="BL5" s="461">
        <v>14.14</v>
      </c>
      <c r="BM5" s="461">
        <v>14.14</v>
      </c>
      <c r="BN5" s="461">
        <v>14.14</v>
      </c>
      <c r="BO5" s="461">
        <v>14.14</v>
      </c>
      <c r="BP5" s="461">
        <v>14.14</v>
      </c>
      <c r="BQ5" s="461">
        <v>14.14</v>
      </c>
      <c r="BR5" s="461">
        <v>14.14</v>
      </c>
      <c r="BS5" s="461">
        <v>14.14</v>
      </c>
      <c r="BT5" s="461">
        <v>14.14</v>
      </c>
      <c r="BU5" s="461">
        <v>14.14</v>
      </c>
      <c r="BV5" s="461">
        <v>14.14</v>
      </c>
      <c r="BW5" s="461">
        <v>14.14</v>
      </c>
      <c r="BX5" s="461">
        <v>14.14</v>
      </c>
      <c r="BY5" s="461">
        <v>14.14</v>
      </c>
      <c r="BZ5" s="461">
        <v>14.14</v>
      </c>
      <c r="CA5" s="461">
        <v>14.14</v>
      </c>
      <c r="CB5" s="461">
        <v>14.14</v>
      </c>
      <c r="CC5" s="461">
        <v>14.14</v>
      </c>
      <c r="CD5" s="461">
        <v>14.14</v>
      </c>
      <c r="CE5" s="461">
        <v>14.14</v>
      </c>
      <c r="CF5" s="461">
        <v>14.14</v>
      </c>
      <c r="CG5" s="461">
        <v>14.14</v>
      </c>
      <c r="CH5" s="461">
        <v>14.14</v>
      </c>
      <c r="CI5" s="461">
        <v>14.14</v>
      </c>
      <c r="CJ5" s="461">
        <v>14.14</v>
      </c>
      <c r="CK5" s="461">
        <v>14.14</v>
      </c>
      <c r="CL5" s="461">
        <v>14.14</v>
      </c>
      <c r="CM5" s="461">
        <v>14.14</v>
      </c>
      <c r="CN5" s="461">
        <v>14.14</v>
      </c>
      <c r="CO5" s="461">
        <v>14.14</v>
      </c>
      <c r="CP5" s="461">
        <v>14.14</v>
      </c>
      <c r="CQ5" s="461">
        <v>14.14</v>
      </c>
      <c r="CR5" s="461">
        <v>14.14</v>
      </c>
      <c r="CS5" s="461">
        <v>14.14</v>
      </c>
      <c r="CT5" s="461">
        <v>14.14</v>
      </c>
      <c r="CU5" s="461">
        <v>14.14</v>
      </c>
      <c r="CV5" s="461">
        <v>14.14</v>
      </c>
      <c r="CW5" s="461">
        <v>14.14</v>
      </c>
      <c r="CX5" s="461">
        <v>14.14</v>
      </c>
      <c r="CY5" s="461">
        <v>14.14</v>
      </c>
      <c r="CZ5" s="461">
        <v>14.14</v>
      </c>
      <c r="DA5" s="461">
        <v>14.14</v>
      </c>
      <c r="DB5" s="461">
        <v>14.14</v>
      </c>
      <c r="DC5" s="461">
        <v>14.14</v>
      </c>
      <c r="DD5" s="461">
        <v>14.14</v>
      </c>
      <c r="DE5" s="461">
        <v>14.14</v>
      </c>
      <c r="DF5" s="461">
        <v>14.14</v>
      </c>
      <c r="DG5" s="461">
        <v>14.14</v>
      </c>
      <c r="DH5" s="461">
        <v>14.14</v>
      </c>
      <c r="DI5" s="461">
        <v>14.14</v>
      </c>
      <c r="DJ5" s="461">
        <v>14.14</v>
      </c>
      <c r="DK5" s="461">
        <v>14.14</v>
      </c>
      <c r="DL5" s="461">
        <v>14.14</v>
      </c>
      <c r="DM5" s="461">
        <v>14.14</v>
      </c>
      <c r="DN5" s="461">
        <v>14.14</v>
      </c>
      <c r="DO5" s="461">
        <v>14.14</v>
      </c>
      <c r="DP5" s="461">
        <v>14.14</v>
      </c>
      <c r="DQ5" s="461">
        <v>14.14</v>
      </c>
      <c r="DR5" s="461">
        <v>14.14</v>
      </c>
      <c r="DS5" s="461">
        <v>14.14</v>
      </c>
      <c r="DT5" s="461">
        <v>14.14</v>
      </c>
      <c r="DU5" s="461">
        <v>14.14</v>
      </c>
      <c r="DV5" s="461">
        <v>14.14</v>
      </c>
      <c r="DW5" s="461">
        <v>14.14</v>
      </c>
      <c r="DX5" s="461">
        <v>14.14</v>
      </c>
      <c r="DY5" s="461">
        <v>14.14</v>
      </c>
      <c r="DZ5" s="461">
        <v>14.14</v>
      </c>
      <c r="EA5" s="461">
        <v>14.14</v>
      </c>
      <c r="EB5" s="461">
        <v>14.14</v>
      </c>
      <c r="EC5" s="461">
        <v>14.14</v>
      </c>
      <c r="ED5" s="461">
        <v>14.14</v>
      </c>
      <c r="EE5" s="461">
        <v>14.14</v>
      </c>
      <c r="EF5" s="461">
        <v>14.14</v>
      </c>
      <c r="EG5" s="461">
        <v>14.14</v>
      </c>
      <c r="EH5" s="461">
        <v>14.14</v>
      </c>
      <c r="EI5" s="461">
        <v>14.14</v>
      </c>
      <c r="EJ5" s="461">
        <v>14.14</v>
      </c>
      <c r="EK5" s="461">
        <v>14.14</v>
      </c>
      <c r="EL5" s="461">
        <v>14.14</v>
      </c>
      <c r="EM5" s="461">
        <v>14.14</v>
      </c>
      <c r="EN5" s="461">
        <v>14.14</v>
      </c>
      <c r="EO5" s="461">
        <v>14.14</v>
      </c>
      <c r="EP5" s="461">
        <v>14.14</v>
      </c>
      <c r="EQ5" s="461">
        <v>14.14</v>
      </c>
      <c r="ER5" s="461">
        <v>14.14</v>
      </c>
      <c r="ES5" s="461">
        <v>14.14</v>
      </c>
      <c r="ET5" s="461">
        <v>14.14</v>
      </c>
      <c r="EU5" s="461">
        <v>14.14</v>
      </c>
      <c r="EV5" s="461">
        <v>14.14</v>
      </c>
      <c r="EW5" s="461">
        <v>14.14</v>
      </c>
      <c r="EX5" s="461">
        <v>14.14</v>
      </c>
      <c r="EY5" s="461">
        <v>14.14</v>
      </c>
      <c r="EZ5" s="461">
        <v>14.14</v>
      </c>
      <c r="FA5" s="461">
        <v>14.14</v>
      </c>
      <c r="FB5" s="461">
        <v>14.14</v>
      </c>
      <c r="FC5" s="461">
        <v>14.14</v>
      </c>
      <c r="FD5" s="461">
        <v>14.14</v>
      </c>
      <c r="FE5" s="461">
        <v>14.14</v>
      </c>
      <c r="FF5" s="461">
        <v>14.14</v>
      </c>
      <c r="FG5" s="461">
        <v>14.14</v>
      </c>
      <c r="FH5" s="461">
        <v>14.14</v>
      </c>
      <c r="FI5" s="461">
        <v>14.14</v>
      </c>
      <c r="FJ5" s="461">
        <v>14.14</v>
      </c>
      <c r="FK5" s="461">
        <v>14.14</v>
      </c>
      <c r="FL5" s="461">
        <v>14.14</v>
      </c>
      <c r="FM5" s="461">
        <v>14.14</v>
      </c>
      <c r="FN5" s="461">
        <v>14.14</v>
      </c>
      <c r="FO5" s="461">
        <v>14.14</v>
      </c>
      <c r="FP5" s="461">
        <v>14.14</v>
      </c>
      <c r="FQ5" s="461">
        <v>14.14</v>
      </c>
      <c r="FR5" s="461">
        <v>14.14</v>
      </c>
      <c r="FS5" s="461">
        <v>14.14</v>
      </c>
      <c r="FT5" s="461">
        <v>14.14</v>
      </c>
      <c r="FU5" s="461">
        <v>14.14</v>
      </c>
      <c r="FV5" s="461">
        <v>14.14</v>
      </c>
      <c r="FW5" s="461">
        <v>14.14</v>
      </c>
      <c r="FX5" s="461">
        <v>3</v>
      </c>
      <c r="FZ5" s="671"/>
      <c r="GA5" s="671"/>
      <c r="GB5" s="671"/>
    </row>
    <row r="6" spans="1:186" ht="11.25" hidden="1" customHeight="1" x14ac:dyDescent="0.15">
      <c r="A6" s="17" t="s">
        <v>358</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359</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1" customFormat="1" ht="11.25" hidden="1" customHeight="1" x14ac:dyDescent="0.15">
      <c r="A9" s="671" t="s">
        <v>363</v>
      </c>
      <c r="B9" s="648"/>
      <c r="F9" s="689"/>
      <c r="AB9" s="690"/>
      <c r="AC9" s="669"/>
      <c r="AD9" s="671" cm="1">
        <f t="array" ref="AD9">AD6</f>
        <v>2026</v>
      </c>
      <c r="AE9" s="671" cm="1">
        <f t="array" ref="AE9">AE6</f>
        <v>2026</v>
      </c>
      <c r="AF9" s="671" cm="1">
        <f t="array" ref="AF9">AF6</f>
        <v>2026</v>
      </c>
      <c r="AG9" s="671" cm="1">
        <f t="array" ref="AG9">AG6</f>
        <v>2027</v>
      </c>
      <c r="AH9" s="671" cm="1">
        <f t="array" ref="AH9">AH6</f>
        <v>2027</v>
      </c>
      <c r="AI9" s="671" cm="1">
        <f t="array" ref="AI9">AI6</f>
        <v>2027</v>
      </c>
      <c r="AJ9" s="671" cm="1">
        <f t="array" ref="AJ9">AJ6</f>
        <v>2028</v>
      </c>
      <c r="AK9" s="671" cm="1">
        <f t="array" ref="AK9">AK6</f>
        <v>2028</v>
      </c>
      <c r="AL9" s="671" cm="1">
        <f t="array" ref="AL9">AL6</f>
        <v>2028</v>
      </c>
      <c r="AM9" s="671" cm="1">
        <f t="array" ref="AM9">AM6</f>
        <v>2029</v>
      </c>
      <c r="AN9" s="671" cm="1">
        <f t="array" ref="AN9">AN6</f>
        <v>2029</v>
      </c>
      <c r="AO9" s="671" cm="1">
        <f t="array" ref="AO9">AO6</f>
        <v>2029</v>
      </c>
      <c r="AP9" s="671" cm="1">
        <f t="array" ref="AP9">AP6</f>
        <v>2030</v>
      </c>
      <c r="AQ9" s="671" cm="1">
        <f t="array" ref="AQ9">AQ6</f>
        <v>2030</v>
      </c>
      <c r="AR9" s="671" cm="1">
        <f t="array" ref="AR9">AR6</f>
        <v>2030</v>
      </c>
      <c r="AS9" s="671" cm="1">
        <f t="array" ref="AS9">AS6</f>
        <v>2031</v>
      </c>
      <c r="AT9" s="671" cm="1">
        <f t="array" ref="AT9">AT6</f>
        <v>2031</v>
      </c>
      <c r="AU9" s="671" cm="1">
        <f t="array" ref="AU9">AU6</f>
        <v>2031</v>
      </c>
      <c r="AV9" s="671" cm="1">
        <f t="array" ref="AV9">AV6</f>
        <v>2032</v>
      </c>
      <c r="AW9" s="671" cm="1">
        <f t="array" ref="AW9">AW6</f>
        <v>2032</v>
      </c>
      <c r="AX9" s="671" cm="1">
        <f t="array" ref="AX9">AX6</f>
        <v>2032</v>
      </c>
      <c r="AY9" s="671" cm="1">
        <f t="array" ref="AY9">AY6</f>
        <v>2033</v>
      </c>
      <c r="AZ9" s="671" cm="1">
        <f t="array" ref="AZ9">AZ6</f>
        <v>2033</v>
      </c>
      <c r="BA9" s="671" cm="1">
        <f t="array" ref="BA9">BA6</f>
        <v>2033</v>
      </c>
      <c r="BB9" s="671" cm="1">
        <f t="array" ref="BB9">BB6</f>
        <v>2034</v>
      </c>
      <c r="BC9" s="671" cm="1">
        <f t="array" ref="BC9">BC6</f>
        <v>2034</v>
      </c>
      <c r="BD9" s="671" cm="1">
        <f t="array" ref="BD9">BD6</f>
        <v>2034</v>
      </c>
      <c r="BE9" s="671" cm="1">
        <f t="array" ref="BE9">BE6</f>
        <v>2035</v>
      </c>
      <c r="BF9" s="671" cm="1">
        <f t="array" ref="BF9">BF6</f>
        <v>2035</v>
      </c>
      <c r="BG9" s="671" cm="1">
        <f t="array" ref="BG9">BG6</f>
        <v>2035</v>
      </c>
      <c r="BH9" s="671" cm="1">
        <f t="array" ref="BH9">BH6</f>
        <v>2036</v>
      </c>
      <c r="BI9" s="671" cm="1">
        <f t="array" ref="BI9">BI6</f>
        <v>2036</v>
      </c>
      <c r="BJ9" s="671" cm="1">
        <f t="array" ref="BJ9">BJ6</f>
        <v>2036</v>
      </c>
      <c r="BK9" s="671" cm="1">
        <f t="array" ref="BK9">BK6</f>
        <v>2037</v>
      </c>
      <c r="BL9" s="671" cm="1">
        <f t="array" ref="BL9">BL6</f>
        <v>2037</v>
      </c>
      <c r="BM9" s="671" cm="1">
        <f t="array" ref="BM9">BM6</f>
        <v>2037</v>
      </c>
      <c r="BN9" s="671" cm="1">
        <f t="array" ref="BN9">BN6</f>
        <v>2038</v>
      </c>
      <c r="BO9" s="671" cm="1">
        <f t="array" ref="BO9">BO6</f>
        <v>2038</v>
      </c>
      <c r="BP9" s="671" cm="1">
        <f t="array" ref="BP9">BP6</f>
        <v>2038</v>
      </c>
      <c r="BQ9" s="671" cm="1">
        <f t="array" ref="BQ9">BQ6</f>
        <v>2039</v>
      </c>
      <c r="BR9" s="671" cm="1">
        <f t="array" ref="BR9">BR6</f>
        <v>2039</v>
      </c>
      <c r="BS9" s="671" cm="1">
        <f t="array" ref="BS9">BS6</f>
        <v>2039</v>
      </c>
      <c r="BT9" s="671" cm="1">
        <f t="array" ref="BT9">BT6</f>
        <v>2040</v>
      </c>
      <c r="BU9" s="671" cm="1">
        <f t="array" ref="BU9">BU6</f>
        <v>2040</v>
      </c>
      <c r="BV9" s="671" cm="1">
        <f t="array" ref="BV9">BV6</f>
        <v>2040</v>
      </c>
      <c r="BW9" s="671" cm="1">
        <f t="array" ref="BW9">BW6</f>
        <v>2041</v>
      </c>
      <c r="BX9" s="671" cm="1">
        <f t="array" ref="BX9">BX6</f>
        <v>2041</v>
      </c>
      <c r="BY9" s="671" cm="1">
        <f t="array" ref="BY9">BY6</f>
        <v>2041</v>
      </c>
      <c r="BZ9" s="671" cm="1">
        <f t="array" ref="BZ9">BZ6</f>
        <v>2042</v>
      </c>
      <c r="CA9" s="671" cm="1">
        <f t="array" ref="CA9">CA6</f>
        <v>2042</v>
      </c>
      <c r="CB9" s="671" cm="1">
        <f t="array" ref="CB9">CB6</f>
        <v>2042</v>
      </c>
      <c r="CC9" s="671" cm="1">
        <f t="array" ref="CC9">CC6</f>
        <v>2043</v>
      </c>
      <c r="CD9" s="671" cm="1">
        <f t="array" ref="CD9">CD6</f>
        <v>2043</v>
      </c>
      <c r="CE9" s="671" cm="1">
        <f t="array" ref="CE9">CE6</f>
        <v>2043</v>
      </c>
      <c r="CF9" s="671" cm="1">
        <f t="array" ref="CF9">CF6</f>
        <v>2044</v>
      </c>
      <c r="CG9" s="671" cm="1">
        <f t="array" ref="CG9">CG6</f>
        <v>2044</v>
      </c>
      <c r="CH9" s="671" cm="1">
        <f t="array" ref="CH9">CH6</f>
        <v>2044</v>
      </c>
      <c r="CI9" s="671" cm="1">
        <f t="array" ref="CI9">CI6</f>
        <v>2045</v>
      </c>
      <c r="CJ9" s="671" cm="1">
        <f t="array" ref="CJ9">CJ6</f>
        <v>2045</v>
      </c>
      <c r="CK9" s="671" cm="1">
        <f t="array" ref="CK9">CK6</f>
        <v>2045</v>
      </c>
      <c r="CL9" s="671" cm="1">
        <f t="array" ref="CL9">CL6</f>
        <v>2046</v>
      </c>
      <c r="CM9" s="671" cm="1">
        <f t="array" ref="CM9">CM6</f>
        <v>2046</v>
      </c>
      <c r="CN9" s="671" cm="1">
        <f t="array" ref="CN9">CN6</f>
        <v>2046</v>
      </c>
      <c r="CO9" s="671" cm="1">
        <f t="array" ref="CO9">CO6</f>
        <v>2047</v>
      </c>
      <c r="CP9" s="671" cm="1">
        <f t="array" ref="CP9">CP6</f>
        <v>2047</v>
      </c>
      <c r="CQ9" s="671" cm="1">
        <f t="array" ref="CQ9">CQ6</f>
        <v>2047</v>
      </c>
      <c r="CR9" s="671" cm="1">
        <f t="array" ref="CR9">CR6</f>
        <v>2048</v>
      </c>
      <c r="CS9" s="671" cm="1">
        <f t="array" ref="CS9">CS6</f>
        <v>2048</v>
      </c>
      <c r="CT9" s="671" cm="1">
        <f t="array" ref="CT9">CT6</f>
        <v>2048</v>
      </c>
      <c r="CU9" s="671" cm="1">
        <f t="array" ref="CU9">CU6</f>
        <v>2049</v>
      </c>
      <c r="CV9" s="671" cm="1">
        <f t="array" ref="CV9">CV6</f>
        <v>2049</v>
      </c>
      <c r="CW9" s="671" cm="1">
        <f t="array" ref="CW9">CW6</f>
        <v>2049</v>
      </c>
      <c r="CX9" s="671" cm="1">
        <f t="array" ref="CX9">CX6</f>
        <v>2050</v>
      </c>
      <c r="CY9" s="671" cm="1">
        <f t="array" ref="CY9">CY6</f>
        <v>2050</v>
      </c>
      <c r="CZ9" s="671" cm="1">
        <f t="array" ref="CZ9">CZ6</f>
        <v>2050</v>
      </c>
      <c r="DA9" s="671" cm="1">
        <f t="array" ref="DA9">DA6</f>
        <v>2051</v>
      </c>
      <c r="DB9" s="671" cm="1">
        <f t="array" ref="DB9">DB6</f>
        <v>2051</v>
      </c>
      <c r="DC9" s="671" cm="1">
        <f t="array" ref="DC9">DC6</f>
        <v>2051</v>
      </c>
      <c r="DD9" s="671" cm="1">
        <f t="array" ref="DD9">DD6</f>
        <v>2052</v>
      </c>
      <c r="DE9" s="671" cm="1">
        <f t="array" ref="DE9">DE6</f>
        <v>2052</v>
      </c>
      <c r="DF9" s="671" cm="1">
        <f t="array" ref="DF9">DF6</f>
        <v>2052</v>
      </c>
      <c r="DG9" s="671" cm="1">
        <f t="array" ref="DG9">DG6</f>
        <v>2053</v>
      </c>
      <c r="DH9" s="671" cm="1">
        <f t="array" ref="DH9">DH6</f>
        <v>2053</v>
      </c>
      <c r="DI9" s="671" cm="1">
        <f t="array" ref="DI9">DI6</f>
        <v>2053</v>
      </c>
      <c r="DJ9" s="671" cm="1">
        <f t="array" ref="DJ9">DJ6</f>
        <v>2054</v>
      </c>
      <c r="DK9" s="671" cm="1">
        <f t="array" ref="DK9">DK6</f>
        <v>2054</v>
      </c>
      <c r="DL9" s="671" cm="1">
        <f t="array" ref="DL9">DL6</f>
        <v>2054</v>
      </c>
      <c r="DM9" s="671" cm="1">
        <f t="array" ref="DM9">DM6</f>
        <v>2055</v>
      </c>
      <c r="DN9" s="671" cm="1">
        <f t="array" ref="DN9">DN6</f>
        <v>2055</v>
      </c>
      <c r="DO9" s="671" cm="1">
        <f t="array" ref="DO9">DO6</f>
        <v>2055</v>
      </c>
      <c r="DP9" s="671" cm="1">
        <f t="array" ref="DP9">DP6</f>
        <v>2056</v>
      </c>
      <c r="DQ9" s="671" cm="1">
        <f t="array" ref="DQ9">DQ6</f>
        <v>2056</v>
      </c>
      <c r="DR9" s="671" cm="1">
        <f t="array" ref="DR9">DR6</f>
        <v>2056</v>
      </c>
      <c r="DS9" s="671" cm="1">
        <f t="array" ref="DS9">DS6</f>
        <v>2057</v>
      </c>
      <c r="DT9" s="671" cm="1">
        <f t="array" ref="DT9">DT6</f>
        <v>2057</v>
      </c>
      <c r="DU9" s="671" cm="1">
        <f t="array" ref="DU9">DU6</f>
        <v>2057</v>
      </c>
      <c r="DV9" s="671" cm="1">
        <f t="array" ref="DV9">DV6</f>
        <v>2058</v>
      </c>
      <c r="DW9" s="671" cm="1">
        <f t="array" ref="DW9">DW6</f>
        <v>2058</v>
      </c>
      <c r="DX9" s="671" cm="1">
        <f t="array" ref="DX9">DX6</f>
        <v>2058</v>
      </c>
      <c r="DY9" s="671" cm="1">
        <f t="array" ref="DY9">DY6</f>
        <v>2059</v>
      </c>
      <c r="DZ9" s="671" cm="1">
        <f t="array" ref="DZ9">DZ6</f>
        <v>2059</v>
      </c>
      <c r="EA9" s="671" cm="1">
        <f t="array" ref="EA9">EA6</f>
        <v>2059</v>
      </c>
      <c r="EB9" s="671" cm="1">
        <f t="array" ref="EB9">EB6</f>
        <v>2060</v>
      </c>
      <c r="EC9" s="671" cm="1">
        <f t="array" ref="EC9">EC6</f>
        <v>2060</v>
      </c>
      <c r="ED9" s="671" cm="1">
        <f t="array" ref="ED9">ED6</f>
        <v>2060</v>
      </c>
      <c r="EE9" s="671" cm="1">
        <f t="array" ref="EE9">EE6</f>
        <v>2061</v>
      </c>
      <c r="EF9" s="671" cm="1">
        <f t="array" ref="EF9">EF6</f>
        <v>2061</v>
      </c>
      <c r="EG9" s="671" cm="1">
        <f t="array" ref="EG9">EG6</f>
        <v>2061</v>
      </c>
      <c r="EH9" s="671" cm="1">
        <f t="array" ref="EH9">EH6</f>
        <v>2062</v>
      </c>
      <c r="EI9" s="671" cm="1">
        <f t="array" ref="EI9">EI6</f>
        <v>2062</v>
      </c>
      <c r="EJ9" s="671" cm="1">
        <f t="array" ref="EJ9">EJ6</f>
        <v>2062</v>
      </c>
      <c r="EK9" s="671" cm="1">
        <f t="array" ref="EK9">EK6</f>
        <v>2063</v>
      </c>
      <c r="EL9" s="671" cm="1">
        <f t="array" ref="EL9">EL6</f>
        <v>2063</v>
      </c>
      <c r="EM9" s="671" cm="1">
        <f t="array" ref="EM9">EM6</f>
        <v>2063</v>
      </c>
      <c r="EN9" s="671" cm="1">
        <f t="array" ref="EN9">EN6</f>
        <v>2064</v>
      </c>
      <c r="EO9" s="671" cm="1">
        <f t="array" ref="EO9">EO6</f>
        <v>2064</v>
      </c>
      <c r="EP9" s="671" cm="1">
        <f t="array" ref="EP9">EP6</f>
        <v>2064</v>
      </c>
      <c r="EQ9" s="671" cm="1">
        <f t="array" ref="EQ9">EQ6</f>
        <v>2065</v>
      </c>
      <c r="ER9" s="671" cm="1">
        <f t="array" ref="ER9">ER6</f>
        <v>2065</v>
      </c>
      <c r="ES9" s="671" cm="1">
        <f t="array" ref="ES9">ES6</f>
        <v>2065</v>
      </c>
      <c r="ET9" s="671" cm="1">
        <f t="array" ref="ET9">ET6</f>
        <v>2066</v>
      </c>
      <c r="EU9" s="671" cm="1">
        <f t="array" ref="EU9">EU6</f>
        <v>2066</v>
      </c>
      <c r="EV9" s="671" cm="1">
        <f t="array" ref="EV9">EV6</f>
        <v>2066</v>
      </c>
      <c r="EW9" s="671" cm="1">
        <f t="array" ref="EW9">EW6</f>
        <v>2067</v>
      </c>
      <c r="EX9" s="671" cm="1">
        <f t="array" ref="EX9">EX6</f>
        <v>2067</v>
      </c>
      <c r="EY9" s="671" cm="1">
        <f t="array" ref="EY9">EY6</f>
        <v>2067</v>
      </c>
      <c r="EZ9" s="671" cm="1">
        <f t="array" ref="EZ9">EZ6</f>
        <v>2068</v>
      </c>
      <c r="FA9" s="671" cm="1">
        <f t="array" ref="FA9">FA6</f>
        <v>2068</v>
      </c>
      <c r="FB9" s="671" cm="1">
        <f t="array" ref="FB9">FB6</f>
        <v>2068</v>
      </c>
      <c r="FC9" s="671" cm="1">
        <f t="array" ref="FC9">FC6</f>
        <v>2069</v>
      </c>
      <c r="FD9" s="671" cm="1">
        <f t="array" ref="FD9">FD6</f>
        <v>2069</v>
      </c>
      <c r="FE9" s="671" cm="1">
        <f t="array" ref="FE9">FE6</f>
        <v>2069</v>
      </c>
      <c r="FF9" s="671" cm="1">
        <f t="array" ref="FF9">FF6</f>
        <v>2070</v>
      </c>
      <c r="FG9" s="671" cm="1">
        <f t="array" ref="FG9">FG6</f>
        <v>2070</v>
      </c>
      <c r="FH9" s="671" cm="1">
        <f t="array" ref="FH9">FH6</f>
        <v>2070</v>
      </c>
      <c r="FI9" s="671" cm="1">
        <f t="array" ref="FI9">FI6</f>
        <v>2071</v>
      </c>
      <c r="FJ9" s="671" cm="1">
        <f t="array" ref="FJ9">FJ6</f>
        <v>2071</v>
      </c>
      <c r="FK9" s="671" cm="1">
        <f t="array" ref="FK9">FK6</f>
        <v>2071</v>
      </c>
      <c r="FL9" s="671" cm="1">
        <f t="array" ref="FL9">FL6</f>
        <v>2072</v>
      </c>
      <c r="FM9" s="671" cm="1">
        <f t="array" ref="FM9">FM6</f>
        <v>2072</v>
      </c>
      <c r="FN9" s="671" cm="1">
        <f t="array" ref="FN9">FN6</f>
        <v>2072</v>
      </c>
      <c r="FO9" s="671" cm="1">
        <f t="array" ref="FO9">FO6</f>
        <v>2073</v>
      </c>
      <c r="FP9" s="671" cm="1">
        <f t="array" ref="FP9">FP6</f>
        <v>2073</v>
      </c>
      <c r="FQ9" s="671" cm="1">
        <f t="array" ref="FQ9">FQ6</f>
        <v>2073</v>
      </c>
      <c r="FR9" s="671" cm="1">
        <f t="array" ref="FR9">FR6</f>
        <v>2074</v>
      </c>
      <c r="FS9" s="671" cm="1">
        <f t="array" ref="FS9">FS6</f>
        <v>2074</v>
      </c>
      <c r="FT9" s="671" cm="1">
        <f t="array" ref="FT9">FT6</f>
        <v>2074</v>
      </c>
      <c r="FU9" s="671" cm="1">
        <f t="array" ref="FU9">FU6</f>
        <v>2075</v>
      </c>
      <c r="FV9" s="671" cm="1">
        <f t="array" ref="FV9">FV6</f>
        <v>2075</v>
      </c>
      <c r="FW9" s="671" cm="1">
        <f t="array" ref="FW9">FW6</f>
        <v>2075</v>
      </c>
      <c r="GC9" s="461"/>
      <c r="GD9" s="461"/>
    </row>
    <row r="10" spans="1:186" s="671" customFormat="1" ht="11.25" hidden="1" customHeight="1" x14ac:dyDescent="0.15">
      <c r="A10" s="671" t="s">
        <v>364</v>
      </c>
      <c r="B10" s="648"/>
      <c r="F10" s="689"/>
      <c r="AB10" s="690"/>
      <c r="AC10" s="669"/>
      <c r="AD10" s="671" t="str" cm="1">
        <f t="array" ref="AD10">AD26</f>
        <v>Предложение организации</v>
      </c>
      <c r="AE10" s="671" t="str" cm="1">
        <f t="array" ref="AE10">AE26</f>
        <v>Принято органом регулирования</v>
      </c>
      <c r="AF10" s="671" t="str" cm="1">
        <f t="array" ref="AF10">AF26</f>
        <v>Отклонение, %</v>
      </c>
      <c r="AG10" s="671" t="str" cm="1">
        <f t="array" ref="AG10">AG26</f>
        <v>Предложение организации</v>
      </c>
      <c r="AH10" s="671" t="str" cm="1">
        <f t="array" ref="AH10">AH26</f>
        <v>Принято органом регулирования</v>
      </c>
      <c r="AI10" s="671" t="str" cm="1">
        <f t="array" ref="AI10">AI26</f>
        <v>Отклонение, %</v>
      </c>
      <c r="AJ10" s="671" t="str" cm="1">
        <f t="array" ref="AJ10">AJ26</f>
        <v>Предложение организации</v>
      </c>
      <c r="AK10" s="671" t="str" cm="1">
        <f t="array" ref="AK10">AK26</f>
        <v>Принято органом регулирования</v>
      </c>
      <c r="AL10" s="671" t="str" cm="1">
        <f t="array" ref="AL10">AL26</f>
        <v>Отклонение, %</v>
      </c>
      <c r="AM10" s="671" t="str" cm="1">
        <f t="array" ref="AM10">AM26</f>
        <v>Предложение организации</v>
      </c>
      <c r="AN10" s="671" t="str" cm="1">
        <f t="array" ref="AN10">AN26</f>
        <v>Принято органом регулирования</v>
      </c>
      <c r="AO10" s="671" t="str" cm="1">
        <f t="array" ref="AO10">AO26</f>
        <v>Отклонение, %</v>
      </c>
      <c r="AP10" s="671" t="str" cm="1">
        <f t="array" ref="AP10">AP26</f>
        <v>Предложение организации</v>
      </c>
      <c r="AQ10" s="671" t="str" cm="1">
        <f t="array" ref="AQ10">AQ26</f>
        <v>Принято органом регулирования</v>
      </c>
      <c r="AR10" s="671" t="str" cm="1">
        <f t="array" ref="AR10">AR26</f>
        <v>Отклонение, %</v>
      </c>
      <c r="AS10" s="671" t="str" cm="1">
        <f t="array" ref="AS10">AS26</f>
        <v>Предложение организации</v>
      </c>
      <c r="AT10" s="671" t="str" cm="1">
        <f t="array" ref="AT10">AT26</f>
        <v>Принято органом регулирования</v>
      </c>
      <c r="AU10" s="671" t="str" cm="1">
        <f t="array" ref="AU10">AU26</f>
        <v>Отклонение, %</v>
      </c>
      <c r="AV10" s="671" t="str" cm="1">
        <f t="array" ref="AV10">AV26</f>
        <v>Предложение организации</v>
      </c>
      <c r="AW10" s="671" t="str" cm="1">
        <f t="array" ref="AW10">AW26</f>
        <v>Принято органом регулирования</v>
      </c>
      <c r="AX10" s="671" t="str" cm="1">
        <f t="array" ref="AX10">AX26</f>
        <v>Отклонение, %</v>
      </c>
      <c r="AY10" s="671" t="str" cm="1">
        <f t="array" ref="AY10">AY26</f>
        <v>Предложение организации</v>
      </c>
      <c r="AZ10" s="671" t="str" cm="1">
        <f t="array" ref="AZ10">AZ26</f>
        <v>Принято органом регулирования</v>
      </c>
      <c r="BA10" s="671" t="str" cm="1">
        <f t="array" ref="BA10">BA26</f>
        <v>Отклонение, %</v>
      </c>
      <c r="BB10" s="671" t="str" cm="1">
        <f t="array" ref="BB10">BB26</f>
        <v>Предложение организации</v>
      </c>
      <c r="BC10" s="671" t="str" cm="1">
        <f t="array" ref="BC10">BC26</f>
        <v>Принято органом регулирования</v>
      </c>
      <c r="BD10" s="671" t="str" cm="1">
        <f t="array" ref="BD10">BD26</f>
        <v>Отклонение, %</v>
      </c>
      <c r="BE10" s="671" t="str" cm="1">
        <f t="array" ref="BE10">BE26</f>
        <v>Предложение организации</v>
      </c>
      <c r="BF10" s="671" t="str" cm="1">
        <f t="array" ref="BF10">BF26</f>
        <v>Принято органом регулирования</v>
      </c>
      <c r="BG10" s="671" t="str" cm="1">
        <f t="array" ref="BG10">BG26</f>
        <v>Отклонение, %</v>
      </c>
      <c r="BH10" s="671" t="str" cm="1">
        <f t="array" ref="BH10">BH26</f>
        <v>Предложение организации</v>
      </c>
      <c r="BI10" s="671" t="str" cm="1">
        <f t="array" ref="BI10">BI26</f>
        <v>Принято органом регулирования</v>
      </c>
      <c r="BJ10" s="671" t="str" cm="1">
        <f t="array" ref="BJ10">BJ26</f>
        <v>Отклонение, %</v>
      </c>
      <c r="BK10" s="671" t="str" cm="1">
        <f t="array" ref="BK10">BK26</f>
        <v>Предложение организации</v>
      </c>
      <c r="BL10" s="671" t="str" cm="1">
        <f t="array" ref="BL10">BL26</f>
        <v>Принято органом регулирования</v>
      </c>
      <c r="BM10" s="671" t="str" cm="1">
        <f t="array" ref="BM10">BM26</f>
        <v>Отклонение, %</v>
      </c>
      <c r="BN10" s="671" t="str" cm="1">
        <f t="array" ref="BN10">BN26</f>
        <v>Предложение организации</v>
      </c>
      <c r="BO10" s="671" t="str" cm="1">
        <f t="array" ref="BO10">BO26</f>
        <v>Принято органом регулирования</v>
      </c>
      <c r="BP10" s="671" t="str" cm="1">
        <f t="array" ref="BP10">BP26</f>
        <v>Отклонение, %</v>
      </c>
      <c r="BQ10" s="671" t="str" cm="1">
        <f t="array" ref="BQ10">BQ26</f>
        <v>Предложение организации</v>
      </c>
      <c r="BR10" s="671" t="str" cm="1">
        <f t="array" ref="BR10">BR26</f>
        <v>Принято органом регулирования</v>
      </c>
      <c r="BS10" s="671" t="str" cm="1">
        <f t="array" ref="BS10">BS26</f>
        <v>Отклонение, %</v>
      </c>
      <c r="BT10" s="671" t="str" cm="1">
        <f t="array" ref="BT10">BT26</f>
        <v>Предложение организации</v>
      </c>
      <c r="BU10" s="671" t="str" cm="1">
        <f t="array" ref="BU10">BU26</f>
        <v>Принято органом регулирования</v>
      </c>
      <c r="BV10" s="671" t="str" cm="1">
        <f t="array" ref="BV10">BV26</f>
        <v>Отклонение, %</v>
      </c>
      <c r="BW10" s="671" t="str" cm="1">
        <f t="array" ref="BW10">BW26</f>
        <v>Предложение организации</v>
      </c>
      <c r="BX10" s="671" t="str" cm="1">
        <f t="array" ref="BX10">BX26</f>
        <v>Принято органом регулирования</v>
      </c>
      <c r="BY10" s="671" t="str" cm="1">
        <f t="array" ref="BY10">BY26</f>
        <v>Отклонение, %</v>
      </c>
      <c r="BZ10" s="671" t="str" cm="1">
        <f t="array" ref="BZ10">BZ26</f>
        <v>Предложение организации</v>
      </c>
      <c r="CA10" s="671" t="str" cm="1">
        <f t="array" ref="CA10">CA26</f>
        <v>Принято органом регулирования</v>
      </c>
      <c r="CB10" s="671" t="str" cm="1">
        <f t="array" ref="CB10">CB26</f>
        <v>Отклонение, %</v>
      </c>
      <c r="CC10" s="671" t="str" cm="1">
        <f t="array" ref="CC10">CC26</f>
        <v>Предложение организации</v>
      </c>
      <c r="CD10" s="671" t="str" cm="1">
        <f t="array" ref="CD10">CD26</f>
        <v>Принято органом регулирования</v>
      </c>
      <c r="CE10" s="671" t="str" cm="1">
        <f t="array" ref="CE10">CE26</f>
        <v>Отклонение, %</v>
      </c>
      <c r="CF10" s="671" t="str" cm="1">
        <f t="array" ref="CF10">CF26</f>
        <v>Предложение организации</v>
      </c>
      <c r="CG10" s="671" t="str" cm="1">
        <f t="array" ref="CG10">CG26</f>
        <v>Принято органом регулирования</v>
      </c>
      <c r="CH10" s="671" t="str" cm="1">
        <f t="array" ref="CH10">CH26</f>
        <v>Отклонение, %</v>
      </c>
      <c r="CI10" s="671" t="str" cm="1">
        <f t="array" ref="CI10">CI26</f>
        <v>Предложение организации</v>
      </c>
      <c r="CJ10" s="671" t="str" cm="1">
        <f t="array" ref="CJ10">CJ26</f>
        <v>Принято органом регулирования</v>
      </c>
      <c r="CK10" s="671" t="str" cm="1">
        <f t="array" ref="CK10">CK26</f>
        <v>Отклонение, %</v>
      </c>
      <c r="CL10" s="671" t="str" cm="1">
        <f t="array" ref="CL10">CL26</f>
        <v>Предложение организации</v>
      </c>
      <c r="CM10" s="671" t="str" cm="1">
        <f t="array" ref="CM10">CM26</f>
        <v>Принято органом регулирования</v>
      </c>
      <c r="CN10" s="671" t="str" cm="1">
        <f t="array" ref="CN10">CN26</f>
        <v>Отклонение, %</v>
      </c>
      <c r="CO10" s="671" t="str" cm="1">
        <f t="array" ref="CO10">CO26</f>
        <v>Предложение организации</v>
      </c>
      <c r="CP10" s="671" t="str" cm="1">
        <f t="array" ref="CP10">CP26</f>
        <v>Принято органом регулирования</v>
      </c>
      <c r="CQ10" s="671" t="str" cm="1">
        <f t="array" ref="CQ10">CQ26</f>
        <v>Отклонение, %</v>
      </c>
      <c r="CR10" s="671" t="str" cm="1">
        <f t="array" ref="CR10">CR26</f>
        <v>Предложение организации</v>
      </c>
      <c r="CS10" s="671" t="str" cm="1">
        <f t="array" ref="CS10">CS26</f>
        <v>Принято органом регулирования</v>
      </c>
      <c r="CT10" s="671" t="str" cm="1">
        <f t="array" ref="CT10">CT26</f>
        <v>Отклонение, %</v>
      </c>
      <c r="CU10" s="671" t="str" cm="1">
        <f t="array" ref="CU10">CU26</f>
        <v>Предложение организации</v>
      </c>
      <c r="CV10" s="671" t="str" cm="1">
        <f t="array" ref="CV10">CV26</f>
        <v>Принято органом регулирования</v>
      </c>
      <c r="CW10" s="671" t="str" cm="1">
        <f t="array" ref="CW10">CW26</f>
        <v>Отклонение, %</v>
      </c>
      <c r="CX10" s="671" t="str" cm="1">
        <f t="array" ref="CX10">CX26</f>
        <v>Предложение организации</v>
      </c>
      <c r="CY10" s="671" t="str" cm="1">
        <f t="array" ref="CY10">CY26</f>
        <v>Принято органом регулирования</v>
      </c>
      <c r="CZ10" s="671" t="str" cm="1">
        <f t="array" ref="CZ10">CZ26</f>
        <v>Отклонение, %</v>
      </c>
      <c r="DA10" s="671" t="str" cm="1">
        <f t="array" ref="DA10">DA26</f>
        <v>Предложение организации</v>
      </c>
      <c r="DB10" s="671" t="str" cm="1">
        <f t="array" ref="DB10">DB26</f>
        <v>Принято органом регулирования</v>
      </c>
      <c r="DC10" s="671" t="str" cm="1">
        <f t="array" ref="DC10">DC26</f>
        <v>Отклонение, %</v>
      </c>
      <c r="DD10" s="671" t="str" cm="1">
        <f t="array" ref="DD10">DD26</f>
        <v>Предложение организации</v>
      </c>
      <c r="DE10" s="671" t="str" cm="1">
        <f t="array" ref="DE10">DE26</f>
        <v>Принято органом регулирования</v>
      </c>
      <c r="DF10" s="671" t="str" cm="1">
        <f t="array" ref="DF10">DF26</f>
        <v>Отклонение, %</v>
      </c>
      <c r="DG10" s="671" t="str" cm="1">
        <f t="array" ref="DG10">DG26</f>
        <v>Предложение организации</v>
      </c>
      <c r="DH10" s="671" t="str" cm="1">
        <f t="array" ref="DH10">DH26</f>
        <v>Принято органом регулирования</v>
      </c>
      <c r="DI10" s="671" t="str" cm="1">
        <f t="array" ref="DI10">DI26</f>
        <v>Отклонение, %</v>
      </c>
      <c r="DJ10" s="671" t="str" cm="1">
        <f t="array" ref="DJ10">DJ26</f>
        <v>Предложение организации</v>
      </c>
      <c r="DK10" s="671" t="str" cm="1">
        <f t="array" ref="DK10">DK26</f>
        <v>Принято органом регулирования</v>
      </c>
      <c r="DL10" s="671" t="str" cm="1">
        <f t="array" ref="DL10">DL26</f>
        <v>Отклонение, %</v>
      </c>
      <c r="DM10" s="671" t="str" cm="1">
        <f t="array" ref="DM10">DM26</f>
        <v>Предложение организации</v>
      </c>
      <c r="DN10" s="671" t="str" cm="1">
        <f t="array" ref="DN10">DN26</f>
        <v>Принято органом регулирования</v>
      </c>
      <c r="DO10" s="671" t="str" cm="1">
        <f t="array" ref="DO10">DO26</f>
        <v>Отклонение, %</v>
      </c>
      <c r="DP10" s="671" t="str" cm="1">
        <f t="array" ref="DP10">DP26</f>
        <v>Предложение организации</v>
      </c>
      <c r="DQ10" s="671" t="str" cm="1">
        <f t="array" ref="DQ10">DQ26</f>
        <v>Принято органом регулирования</v>
      </c>
      <c r="DR10" s="671" t="str" cm="1">
        <f t="array" ref="DR10">DR26</f>
        <v>Отклонение, %</v>
      </c>
      <c r="DS10" s="671" t="str" cm="1">
        <f t="array" ref="DS10">DS26</f>
        <v>Предложение организации</v>
      </c>
      <c r="DT10" s="671" t="str" cm="1">
        <f t="array" ref="DT10">DT26</f>
        <v>Принято органом регулирования</v>
      </c>
      <c r="DU10" s="671" t="str" cm="1">
        <f t="array" ref="DU10">DU26</f>
        <v>Отклонение, %</v>
      </c>
      <c r="DV10" s="671" t="str" cm="1">
        <f t="array" ref="DV10">DV26</f>
        <v>Предложение организации</v>
      </c>
      <c r="DW10" s="671" t="str" cm="1">
        <f t="array" ref="DW10">DW26</f>
        <v>Принято органом регулирования</v>
      </c>
      <c r="DX10" s="671" t="str" cm="1">
        <f t="array" ref="DX10">DX26</f>
        <v>Отклонение, %</v>
      </c>
      <c r="DY10" s="671" t="str" cm="1">
        <f t="array" ref="DY10">DY26</f>
        <v>Предложение организации</v>
      </c>
      <c r="DZ10" s="671" t="str" cm="1">
        <f t="array" ref="DZ10">DZ26</f>
        <v>Принято органом регулирования</v>
      </c>
      <c r="EA10" s="671" t="str" cm="1">
        <f t="array" ref="EA10">EA26</f>
        <v>Отклонение, %</v>
      </c>
      <c r="EB10" s="671" t="str" cm="1">
        <f t="array" ref="EB10">EB26</f>
        <v>Предложение организации</v>
      </c>
      <c r="EC10" s="671" t="str" cm="1">
        <f t="array" ref="EC10">EC26</f>
        <v>Принято органом регулирования</v>
      </c>
      <c r="ED10" s="671" t="str" cm="1">
        <f t="array" ref="ED10">ED26</f>
        <v>Отклонение, %</v>
      </c>
      <c r="EE10" s="671" t="str" cm="1">
        <f t="array" ref="EE10">EE26</f>
        <v>Предложение организации</v>
      </c>
      <c r="EF10" s="671" t="str" cm="1">
        <f t="array" ref="EF10">EF26</f>
        <v>Принято органом регулирования</v>
      </c>
      <c r="EG10" s="671" t="str" cm="1">
        <f t="array" ref="EG10">EG26</f>
        <v>Отклонение, %</v>
      </c>
      <c r="EH10" s="671" t="str" cm="1">
        <f t="array" ref="EH10">EH26</f>
        <v>Предложение организации</v>
      </c>
      <c r="EI10" s="671" t="str" cm="1">
        <f t="array" ref="EI10">EI26</f>
        <v>Принято органом регулирования</v>
      </c>
      <c r="EJ10" s="671" t="str" cm="1">
        <f t="array" ref="EJ10">EJ26</f>
        <v>Отклонение, %</v>
      </c>
      <c r="EK10" s="671" t="str" cm="1">
        <f t="array" ref="EK10">EK26</f>
        <v>Предложение организации</v>
      </c>
      <c r="EL10" s="671" t="str" cm="1">
        <f t="array" ref="EL10">EL26</f>
        <v>Принято органом регулирования</v>
      </c>
      <c r="EM10" s="671" t="str" cm="1">
        <f t="array" ref="EM10">EM26</f>
        <v>Отклонение, %</v>
      </c>
      <c r="EN10" s="671" t="str" cm="1">
        <f t="array" ref="EN10">EN26</f>
        <v>Предложение организации</v>
      </c>
      <c r="EO10" s="671" t="str" cm="1">
        <f t="array" ref="EO10">EO26</f>
        <v>Принято органом регулирования</v>
      </c>
      <c r="EP10" s="671" t="str" cm="1">
        <f t="array" ref="EP10">EP26</f>
        <v>Отклонение, %</v>
      </c>
      <c r="EQ10" s="671" t="str" cm="1">
        <f t="array" ref="EQ10">EQ26</f>
        <v>Предложение организации</v>
      </c>
      <c r="ER10" s="671" t="str" cm="1">
        <f t="array" ref="ER10">ER26</f>
        <v>Принято органом регулирования</v>
      </c>
      <c r="ES10" s="671" t="str" cm="1">
        <f t="array" ref="ES10">ES26</f>
        <v>Отклонение, %</v>
      </c>
      <c r="ET10" s="671" t="str" cm="1">
        <f t="array" ref="ET10">ET26</f>
        <v>Предложение организации</v>
      </c>
      <c r="EU10" s="671" t="str" cm="1">
        <f t="array" ref="EU10">EU26</f>
        <v>Принято органом регулирования</v>
      </c>
      <c r="EV10" s="671" t="str" cm="1">
        <f t="array" ref="EV10">EV26</f>
        <v>Отклонение, %</v>
      </c>
      <c r="EW10" s="671" t="str" cm="1">
        <f t="array" ref="EW10">EW26</f>
        <v>Предложение организации</v>
      </c>
      <c r="EX10" s="671" t="str" cm="1">
        <f t="array" ref="EX10">EX26</f>
        <v>Принято органом регулирования</v>
      </c>
      <c r="EY10" s="671" t="str" cm="1">
        <f t="array" ref="EY10">EY26</f>
        <v>Отклонение, %</v>
      </c>
      <c r="EZ10" s="671" t="str" cm="1">
        <f t="array" ref="EZ10">EZ26</f>
        <v>Предложение организации</v>
      </c>
      <c r="FA10" s="671" t="str" cm="1">
        <f t="array" ref="FA10">FA26</f>
        <v>Принято органом регулирования</v>
      </c>
      <c r="FB10" s="671" t="str" cm="1">
        <f t="array" ref="FB10">FB26</f>
        <v>Отклонение, %</v>
      </c>
      <c r="FC10" s="671" t="str" cm="1">
        <f t="array" ref="FC10">FC26</f>
        <v>Предложение организации</v>
      </c>
      <c r="FD10" s="671" t="str" cm="1">
        <f t="array" ref="FD10">FD26</f>
        <v>Принято органом регулирования</v>
      </c>
      <c r="FE10" s="671" t="str" cm="1">
        <f t="array" ref="FE10">FE26</f>
        <v>Отклонение, %</v>
      </c>
      <c r="FF10" s="671" t="str" cm="1">
        <f t="array" ref="FF10">FF26</f>
        <v>Предложение организации</v>
      </c>
      <c r="FG10" s="671" t="str" cm="1">
        <f t="array" ref="FG10">FG26</f>
        <v>Принято органом регулирования</v>
      </c>
      <c r="FH10" s="671" t="str" cm="1">
        <f t="array" ref="FH10">FH26</f>
        <v>Отклонение, %</v>
      </c>
      <c r="FI10" s="671" t="str" cm="1">
        <f t="array" ref="FI10">FI26</f>
        <v>Предложение организации</v>
      </c>
      <c r="FJ10" s="671" t="str" cm="1">
        <f t="array" ref="FJ10">FJ26</f>
        <v>Принято органом регулирования</v>
      </c>
      <c r="FK10" s="671" t="str" cm="1">
        <f t="array" ref="FK10">FK26</f>
        <v>Отклонение, %</v>
      </c>
      <c r="FL10" s="671" t="str" cm="1">
        <f t="array" ref="FL10">FL26</f>
        <v>Предложение организации</v>
      </c>
      <c r="FM10" s="671" t="str" cm="1">
        <f t="array" ref="FM10">FM26</f>
        <v>Принято органом регулирования</v>
      </c>
      <c r="FN10" s="671" t="str" cm="1">
        <f t="array" ref="FN10">FN26</f>
        <v>Отклонение, %</v>
      </c>
      <c r="FO10" s="671" t="str" cm="1">
        <f t="array" ref="FO10">FO26</f>
        <v>Предложение организации</v>
      </c>
      <c r="FP10" s="671" t="str" cm="1">
        <f t="array" ref="FP10">FP26</f>
        <v>Принято органом регулирования</v>
      </c>
      <c r="FQ10" s="671" t="str" cm="1">
        <f t="array" ref="FQ10">FQ26</f>
        <v>Отклонение, %</v>
      </c>
      <c r="FR10" s="671" t="str" cm="1">
        <f t="array" ref="FR10">FR26</f>
        <v>Предложение организации</v>
      </c>
      <c r="FS10" s="671" t="str" cm="1">
        <f t="array" ref="FS10">FS26</f>
        <v>Принято органом регулирования</v>
      </c>
      <c r="FT10" s="671" t="str" cm="1">
        <f t="array" ref="FT10">FT26</f>
        <v>Отклонение, %</v>
      </c>
      <c r="FU10" s="671" t="str" cm="1">
        <f t="array" ref="FU10">FU26</f>
        <v>Предложение организации</v>
      </c>
      <c r="FV10" s="671" t="str" cm="1">
        <f t="array" ref="FV10">FV26</f>
        <v>Принято органом регулирования</v>
      </c>
      <c r="FW10" s="671" t="str" cm="1">
        <f t="array" ref="FW10">FW26</f>
        <v>Отклонение, %</v>
      </c>
      <c r="GC10" s="461"/>
      <c r="GD10" s="461"/>
    </row>
    <row r="11" spans="1:186" s="671" customFormat="1" ht="11.25" hidden="1" customHeight="1" x14ac:dyDescent="0.15">
      <c r="A11" s="671" t="s">
        <v>337</v>
      </c>
      <c r="B11" s="648"/>
      <c r="F11" s="689"/>
      <c r="AB11" s="690" t="s">
        <v>325</v>
      </c>
      <c r="AC11" s="669"/>
      <c r="GC11" s="461"/>
      <c r="GD11" s="461"/>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366</v>
      </c>
      <c r="AB18" s="120" t="s">
        <v>367</v>
      </c>
    </row>
    <row r="19" spans="1:186" ht="11.25" hidden="1" customHeight="1" x14ac:dyDescent="0.15"/>
    <row r="20" spans="1:186" ht="11.25" hidden="1" customHeight="1" x14ac:dyDescent="0.15"/>
    <row r="21" spans="1:186" ht="14.65" customHeight="1" x14ac:dyDescent="0.15">
      <c r="E21" s="461">
        <v>15</v>
      </c>
      <c r="AA21" s="59"/>
      <c r="AB21" s="268" t="str" cm="1">
        <f t="array" ref="AB21">tpl_title</f>
        <v>Кемеровская область / 2026 / КАО "Азот" (ИНН:4205000908, КПП:997550001) / ДПР: 2024-2028</v>
      </c>
    </row>
    <row r="22" spans="1:186" s="59" customFormat="1" ht="23.45" customHeight="1" x14ac:dyDescent="0.15">
      <c r="B22" s="384"/>
      <c r="E22" s="462">
        <v>24</v>
      </c>
      <c r="F22" s="372"/>
      <c r="AB22" s="226"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4"/>
      <c r="GA22" s="674"/>
      <c r="GB22" s="674"/>
      <c r="GC22" s="462"/>
      <c r="GD22" s="462"/>
    </row>
    <row r="23" spans="1:186" ht="10.9" customHeight="1" x14ac:dyDescent="0.15">
      <c r="E23" s="461">
        <v>11.25</v>
      </c>
      <c r="AB23" s="60"/>
      <c r="AD23" s="60"/>
    </row>
    <row r="24" spans="1:186" s="59" customFormat="1" ht="26.65" customHeight="1" x14ac:dyDescent="0.15">
      <c r="E24" s="462">
        <v>19.5</v>
      </c>
      <c r="F24" s="372"/>
      <c r="T24" s="353" t="b">
        <f>OR(hasVS,hasVO)</f>
        <v>1</v>
      </c>
      <c r="AA24" s="286"/>
      <c r="AB24" s="307"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4"/>
      <c r="GA24" s="674"/>
      <c r="GB24" s="674"/>
      <c r="GC24" s="462"/>
      <c r="GD24" s="462"/>
    </row>
    <row r="25" spans="1:186" ht="10.9" customHeight="1" x14ac:dyDescent="0.15">
      <c r="E25" s="461">
        <v>11.25</v>
      </c>
      <c r="T25" s="353" t="b">
        <f>OR(hasVS,hasVO)</f>
        <v>1</v>
      </c>
      <c r="AB25" s="991" t="s">
        <v>367</v>
      </c>
      <c r="AC25" s="991" t="s">
        <v>368</v>
      </c>
      <c r="AD25" s="1067" t="str">
        <f>AD6&amp;" год"</f>
        <v>2026 год</v>
      </c>
      <c r="AE25" s="1068"/>
      <c r="AF25" s="1069"/>
      <c r="AG25" s="1067" t="str">
        <f>AG6&amp;" год"</f>
        <v>2027 год</v>
      </c>
      <c r="AH25" s="1068"/>
      <c r="AI25" s="1069"/>
      <c r="AJ25" s="1067" t="str">
        <f>AJ6&amp;" год"</f>
        <v>2028 год</v>
      </c>
      <c r="AK25" s="1068"/>
      <c r="AL25" s="1069"/>
      <c r="AM25" s="1067" t="str">
        <f>AM6&amp;" год"</f>
        <v>2029 год</v>
      </c>
      <c r="AN25" s="1068"/>
      <c r="AO25" s="1069"/>
      <c r="AP25" s="1067" t="str">
        <f>AP6&amp;" год"</f>
        <v>2030 год</v>
      </c>
      <c r="AQ25" s="1068"/>
      <c r="AR25" s="1069"/>
      <c r="AS25" s="1067" t="str">
        <f>AS6&amp;" год"</f>
        <v>2031 год</v>
      </c>
      <c r="AT25" s="1068"/>
      <c r="AU25" s="1069"/>
      <c r="AV25" s="1067" t="str">
        <f>AV6&amp;" год"</f>
        <v>2032 год</v>
      </c>
      <c r="AW25" s="1068"/>
      <c r="AX25" s="1069"/>
      <c r="AY25" s="1067" t="str">
        <f>AY6&amp;" год"</f>
        <v>2033 год</v>
      </c>
      <c r="AZ25" s="1068"/>
      <c r="BA25" s="1069"/>
      <c r="BB25" s="1067" t="str">
        <f>BB6&amp;" год"</f>
        <v>2034 год</v>
      </c>
      <c r="BC25" s="1068"/>
      <c r="BD25" s="1069"/>
      <c r="BE25" s="1067" t="str">
        <f>BE6&amp;" год"</f>
        <v>2035 год</v>
      </c>
      <c r="BF25" s="1068"/>
      <c r="BG25" s="1069"/>
      <c r="BH25" s="1067" t="str">
        <f>BH6&amp;" год"</f>
        <v>2036 год</v>
      </c>
      <c r="BI25" s="1068"/>
      <c r="BJ25" s="1069"/>
      <c r="BK25" s="1067" t="str">
        <f>BK6&amp;" год"</f>
        <v>2037 год</v>
      </c>
      <c r="BL25" s="1068"/>
      <c r="BM25" s="1069"/>
      <c r="BN25" s="1067" t="str">
        <f>BN6&amp;" год"</f>
        <v>2038 год</v>
      </c>
      <c r="BO25" s="1068"/>
      <c r="BP25" s="1069"/>
      <c r="BQ25" s="1067" t="str">
        <f>BQ6&amp;" год"</f>
        <v>2039 год</v>
      </c>
      <c r="BR25" s="1068"/>
      <c r="BS25" s="1069"/>
      <c r="BT25" s="1067" t="str">
        <f>BT6&amp;" год"</f>
        <v>2040 год</v>
      </c>
      <c r="BU25" s="1068"/>
      <c r="BV25" s="1069"/>
      <c r="BW25" s="1067" t="str">
        <f>BW6&amp;" год"</f>
        <v>2041 год</v>
      </c>
      <c r="BX25" s="1068"/>
      <c r="BY25" s="1069"/>
      <c r="BZ25" s="1067" t="str">
        <f>BZ6&amp;" год"</f>
        <v>2042 год</v>
      </c>
      <c r="CA25" s="1068"/>
      <c r="CB25" s="1069"/>
      <c r="CC25" s="1067" t="str">
        <f>CC6&amp;" год"</f>
        <v>2043 год</v>
      </c>
      <c r="CD25" s="1068"/>
      <c r="CE25" s="1069"/>
      <c r="CF25" s="1067" t="str">
        <f>CF6&amp;" год"</f>
        <v>2044 год</v>
      </c>
      <c r="CG25" s="1068"/>
      <c r="CH25" s="1069"/>
      <c r="CI25" s="1067" t="str">
        <f>CI6&amp;" год"</f>
        <v>2045 год</v>
      </c>
      <c r="CJ25" s="1068"/>
      <c r="CK25" s="1069"/>
      <c r="CL25" s="1067" t="str">
        <f>CL6&amp;" год"</f>
        <v>2046 год</v>
      </c>
      <c r="CM25" s="1068"/>
      <c r="CN25" s="1069"/>
      <c r="CO25" s="1067" t="str">
        <f>CO6&amp;" год"</f>
        <v>2047 год</v>
      </c>
      <c r="CP25" s="1068"/>
      <c r="CQ25" s="1069"/>
      <c r="CR25" s="1067" t="str">
        <f>CR6&amp;" год"</f>
        <v>2048 год</v>
      </c>
      <c r="CS25" s="1068"/>
      <c r="CT25" s="1069"/>
      <c r="CU25" s="1067" t="str">
        <f>CU6&amp;" год"</f>
        <v>2049 год</v>
      </c>
      <c r="CV25" s="1068"/>
      <c r="CW25" s="1069"/>
      <c r="CX25" s="1067" t="str">
        <f>CX6&amp;" год"</f>
        <v>2050 год</v>
      </c>
      <c r="CY25" s="1068"/>
      <c r="CZ25" s="1069"/>
      <c r="DA25" s="1067" t="str">
        <f>DA6&amp;" год"</f>
        <v>2051 год</v>
      </c>
      <c r="DB25" s="1068"/>
      <c r="DC25" s="1069"/>
      <c r="DD25" s="1067" t="str">
        <f>DD6&amp;" год"</f>
        <v>2052 год</v>
      </c>
      <c r="DE25" s="1068"/>
      <c r="DF25" s="1069"/>
      <c r="DG25" s="1067" t="str">
        <f>DG6&amp;" год"</f>
        <v>2053 год</v>
      </c>
      <c r="DH25" s="1068"/>
      <c r="DI25" s="1069"/>
      <c r="DJ25" s="1067" t="str">
        <f>DJ6&amp;" год"</f>
        <v>2054 год</v>
      </c>
      <c r="DK25" s="1068"/>
      <c r="DL25" s="1069"/>
      <c r="DM25" s="1067" t="str">
        <f>DM6&amp;" год"</f>
        <v>2055 год</v>
      </c>
      <c r="DN25" s="1068"/>
      <c r="DO25" s="1069"/>
      <c r="DP25" s="1067" t="str">
        <f>DP6&amp;" год"</f>
        <v>2056 год</v>
      </c>
      <c r="DQ25" s="1068"/>
      <c r="DR25" s="1069"/>
      <c r="DS25" s="1067" t="str">
        <f>DS6&amp;" год"</f>
        <v>2057 год</v>
      </c>
      <c r="DT25" s="1068"/>
      <c r="DU25" s="1069"/>
      <c r="DV25" s="1067" t="str">
        <f>DV6&amp;" год"</f>
        <v>2058 год</v>
      </c>
      <c r="DW25" s="1068"/>
      <c r="DX25" s="1069"/>
      <c r="DY25" s="1067" t="str">
        <f>DY6&amp;" год"</f>
        <v>2059 год</v>
      </c>
      <c r="DZ25" s="1068"/>
      <c r="EA25" s="1069"/>
      <c r="EB25" s="1067" t="str">
        <f>EB6&amp;" год"</f>
        <v>2060 год</v>
      </c>
      <c r="EC25" s="1068"/>
      <c r="ED25" s="1069"/>
      <c r="EE25" s="1067" t="str">
        <f>EE6&amp;" год"</f>
        <v>2061 год</v>
      </c>
      <c r="EF25" s="1068"/>
      <c r="EG25" s="1069"/>
      <c r="EH25" s="1067" t="str">
        <f>EH6&amp;" год"</f>
        <v>2062 год</v>
      </c>
      <c r="EI25" s="1068"/>
      <c r="EJ25" s="1069"/>
      <c r="EK25" s="1067" t="str">
        <f>EK6&amp;" год"</f>
        <v>2063 год</v>
      </c>
      <c r="EL25" s="1068"/>
      <c r="EM25" s="1069"/>
      <c r="EN25" s="1067" t="str">
        <f>EN6&amp;" год"</f>
        <v>2064 год</v>
      </c>
      <c r="EO25" s="1068"/>
      <c r="EP25" s="1069"/>
      <c r="EQ25" s="1067" t="str">
        <f>EQ6&amp;" год"</f>
        <v>2065 год</v>
      </c>
      <c r="ER25" s="1068"/>
      <c r="ES25" s="1069"/>
      <c r="ET25" s="1067" t="str">
        <f>ET6&amp;" год"</f>
        <v>2066 год</v>
      </c>
      <c r="EU25" s="1068"/>
      <c r="EV25" s="1069"/>
      <c r="EW25" s="1067" t="str">
        <f>EW6&amp;" год"</f>
        <v>2067 год</v>
      </c>
      <c r="EX25" s="1068"/>
      <c r="EY25" s="1069"/>
      <c r="EZ25" s="1067" t="str">
        <f>EZ6&amp;" год"</f>
        <v>2068 год</v>
      </c>
      <c r="FA25" s="1068"/>
      <c r="FB25" s="1069"/>
      <c r="FC25" s="1067" t="str">
        <f>FC6&amp;" год"</f>
        <v>2069 год</v>
      </c>
      <c r="FD25" s="1068"/>
      <c r="FE25" s="1069"/>
      <c r="FF25" s="1067" t="str">
        <f>FF6&amp;" год"</f>
        <v>2070 год</v>
      </c>
      <c r="FG25" s="1068"/>
      <c r="FH25" s="1069"/>
      <c r="FI25" s="1067" t="str">
        <f>FI6&amp;" год"</f>
        <v>2071 год</v>
      </c>
      <c r="FJ25" s="1068"/>
      <c r="FK25" s="1069"/>
      <c r="FL25" s="1067" t="str">
        <f>FL6&amp;" год"</f>
        <v>2072 год</v>
      </c>
      <c r="FM25" s="1068"/>
      <c r="FN25" s="1069"/>
      <c r="FO25" s="1067" t="str">
        <f>FO6&amp;" год"</f>
        <v>2073 год</v>
      </c>
      <c r="FP25" s="1068"/>
      <c r="FQ25" s="1069"/>
      <c r="FR25" s="1067" t="str">
        <f>FR6&amp;" год"</f>
        <v>2074 год</v>
      </c>
      <c r="FS25" s="1068"/>
      <c r="FT25" s="1069"/>
      <c r="FU25" s="1067" t="str">
        <f>FU6&amp;" год"</f>
        <v>2075 год</v>
      </c>
      <c r="FV25" s="1068"/>
      <c r="FW25" s="1069"/>
    </row>
    <row r="26" spans="1:186" ht="33.4" customHeight="1" x14ac:dyDescent="0.15">
      <c r="E26" s="461">
        <v>34.25</v>
      </c>
      <c r="T26" s="353" t="b">
        <f>OR(hasVS,hasVO)</f>
        <v>1</v>
      </c>
      <c r="AB26" s="991"/>
      <c r="AC26" s="991"/>
      <c r="AD26" s="726" t="s">
        <v>361</v>
      </c>
      <c r="AE26" s="12" t="s">
        <v>360</v>
      </c>
      <c r="AF26" s="12" t="s">
        <v>1634</v>
      </c>
      <c r="AG26" s="726" t="s">
        <v>361</v>
      </c>
      <c r="AH26" s="12" t="s">
        <v>360</v>
      </c>
      <c r="AI26" s="12" t="s">
        <v>1634</v>
      </c>
      <c r="AJ26" s="726" t="s">
        <v>361</v>
      </c>
      <c r="AK26" s="12" t="s">
        <v>360</v>
      </c>
      <c r="AL26" s="12" t="s">
        <v>1634</v>
      </c>
      <c r="AM26" s="726" t="s">
        <v>361</v>
      </c>
      <c r="AN26" s="12" t="s">
        <v>360</v>
      </c>
      <c r="AO26" s="12" t="s">
        <v>1634</v>
      </c>
      <c r="AP26" s="726" t="s">
        <v>361</v>
      </c>
      <c r="AQ26" s="12" t="s">
        <v>360</v>
      </c>
      <c r="AR26" s="12" t="s">
        <v>1634</v>
      </c>
      <c r="AS26" s="726" t="s">
        <v>361</v>
      </c>
      <c r="AT26" s="12" t="s">
        <v>360</v>
      </c>
      <c r="AU26" s="12" t="s">
        <v>1634</v>
      </c>
      <c r="AV26" s="726" t="s">
        <v>361</v>
      </c>
      <c r="AW26" s="12" t="s">
        <v>360</v>
      </c>
      <c r="AX26" s="12" t="s">
        <v>1634</v>
      </c>
      <c r="AY26" s="726" t="s">
        <v>361</v>
      </c>
      <c r="AZ26" s="12" t="s">
        <v>360</v>
      </c>
      <c r="BA26" s="12" t="s">
        <v>1634</v>
      </c>
      <c r="BB26" s="726" t="s">
        <v>361</v>
      </c>
      <c r="BC26" s="12" t="s">
        <v>360</v>
      </c>
      <c r="BD26" s="12" t="s">
        <v>1634</v>
      </c>
      <c r="BE26" s="726" t="s">
        <v>361</v>
      </c>
      <c r="BF26" s="12" t="s">
        <v>360</v>
      </c>
      <c r="BG26" s="12" t="s">
        <v>1634</v>
      </c>
      <c r="BH26" s="726" t="s">
        <v>361</v>
      </c>
      <c r="BI26" s="12" t="s">
        <v>360</v>
      </c>
      <c r="BJ26" s="12" t="s">
        <v>1634</v>
      </c>
      <c r="BK26" s="726" t="s">
        <v>361</v>
      </c>
      <c r="BL26" s="12" t="s">
        <v>360</v>
      </c>
      <c r="BM26" s="12" t="s">
        <v>1634</v>
      </c>
      <c r="BN26" s="726" t="s">
        <v>361</v>
      </c>
      <c r="BO26" s="12" t="s">
        <v>360</v>
      </c>
      <c r="BP26" s="12" t="s">
        <v>1634</v>
      </c>
      <c r="BQ26" s="726" t="s">
        <v>361</v>
      </c>
      <c r="BR26" s="12" t="s">
        <v>360</v>
      </c>
      <c r="BS26" s="12" t="s">
        <v>1634</v>
      </c>
      <c r="BT26" s="726" t="s">
        <v>361</v>
      </c>
      <c r="BU26" s="12" t="s">
        <v>360</v>
      </c>
      <c r="BV26" s="12" t="s">
        <v>1634</v>
      </c>
      <c r="BW26" s="726" t="s">
        <v>361</v>
      </c>
      <c r="BX26" s="12" t="s">
        <v>360</v>
      </c>
      <c r="BY26" s="12" t="s">
        <v>1634</v>
      </c>
      <c r="BZ26" s="726" t="s">
        <v>361</v>
      </c>
      <c r="CA26" s="12" t="s">
        <v>360</v>
      </c>
      <c r="CB26" s="12" t="s">
        <v>1634</v>
      </c>
      <c r="CC26" s="726" t="s">
        <v>361</v>
      </c>
      <c r="CD26" s="12" t="s">
        <v>360</v>
      </c>
      <c r="CE26" s="12" t="s">
        <v>1634</v>
      </c>
      <c r="CF26" s="726" t="s">
        <v>361</v>
      </c>
      <c r="CG26" s="12" t="s">
        <v>360</v>
      </c>
      <c r="CH26" s="12" t="s">
        <v>1634</v>
      </c>
      <c r="CI26" s="726" t="s">
        <v>361</v>
      </c>
      <c r="CJ26" s="12" t="s">
        <v>360</v>
      </c>
      <c r="CK26" s="12" t="s">
        <v>1634</v>
      </c>
      <c r="CL26" s="726" t="s">
        <v>361</v>
      </c>
      <c r="CM26" s="12" t="s">
        <v>360</v>
      </c>
      <c r="CN26" s="12" t="s">
        <v>1634</v>
      </c>
      <c r="CO26" s="726" t="s">
        <v>361</v>
      </c>
      <c r="CP26" s="12" t="s">
        <v>360</v>
      </c>
      <c r="CQ26" s="12" t="s">
        <v>1634</v>
      </c>
      <c r="CR26" s="726" t="s">
        <v>361</v>
      </c>
      <c r="CS26" s="12" t="s">
        <v>360</v>
      </c>
      <c r="CT26" s="12" t="s">
        <v>1634</v>
      </c>
      <c r="CU26" s="726" t="s">
        <v>361</v>
      </c>
      <c r="CV26" s="12" t="s">
        <v>360</v>
      </c>
      <c r="CW26" s="12" t="s">
        <v>1634</v>
      </c>
      <c r="CX26" s="726" t="s">
        <v>361</v>
      </c>
      <c r="CY26" s="12" t="s">
        <v>360</v>
      </c>
      <c r="CZ26" s="12" t="s">
        <v>1634</v>
      </c>
      <c r="DA26" s="726" t="s">
        <v>361</v>
      </c>
      <c r="DB26" s="12" t="s">
        <v>360</v>
      </c>
      <c r="DC26" s="12" t="s">
        <v>1634</v>
      </c>
      <c r="DD26" s="726" t="s">
        <v>361</v>
      </c>
      <c r="DE26" s="12" t="s">
        <v>360</v>
      </c>
      <c r="DF26" s="12" t="s">
        <v>1634</v>
      </c>
      <c r="DG26" s="726" t="s">
        <v>361</v>
      </c>
      <c r="DH26" s="12" t="s">
        <v>360</v>
      </c>
      <c r="DI26" s="12" t="s">
        <v>1634</v>
      </c>
      <c r="DJ26" s="726" t="s">
        <v>361</v>
      </c>
      <c r="DK26" s="12" t="s">
        <v>360</v>
      </c>
      <c r="DL26" s="12" t="s">
        <v>1634</v>
      </c>
      <c r="DM26" s="726" t="s">
        <v>361</v>
      </c>
      <c r="DN26" s="12" t="s">
        <v>360</v>
      </c>
      <c r="DO26" s="12" t="s">
        <v>1634</v>
      </c>
      <c r="DP26" s="726" t="s">
        <v>361</v>
      </c>
      <c r="DQ26" s="12" t="s">
        <v>360</v>
      </c>
      <c r="DR26" s="12" t="s">
        <v>1634</v>
      </c>
      <c r="DS26" s="726" t="s">
        <v>361</v>
      </c>
      <c r="DT26" s="12" t="s">
        <v>360</v>
      </c>
      <c r="DU26" s="12" t="s">
        <v>1634</v>
      </c>
      <c r="DV26" s="726" t="s">
        <v>361</v>
      </c>
      <c r="DW26" s="12" t="s">
        <v>360</v>
      </c>
      <c r="DX26" s="12" t="s">
        <v>1634</v>
      </c>
      <c r="DY26" s="726" t="s">
        <v>361</v>
      </c>
      <c r="DZ26" s="12" t="s">
        <v>360</v>
      </c>
      <c r="EA26" s="12" t="s">
        <v>1634</v>
      </c>
      <c r="EB26" s="726" t="s">
        <v>361</v>
      </c>
      <c r="EC26" s="12" t="s">
        <v>360</v>
      </c>
      <c r="ED26" s="12" t="s">
        <v>1634</v>
      </c>
      <c r="EE26" s="726" t="s">
        <v>361</v>
      </c>
      <c r="EF26" s="12" t="s">
        <v>360</v>
      </c>
      <c r="EG26" s="12" t="s">
        <v>1634</v>
      </c>
      <c r="EH26" s="726" t="s">
        <v>361</v>
      </c>
      <c r="EI26" s="12" t="s">
        <v>360</v>
      </c>
      <c r="EJ26" s="12" t="s">
        <v>1634</v>
      </c>
      <c r="EK26" s="726" t="s">
        <v>361</v>
      </c>
      <c r="EL26" s="12" t="s">
        <v>360</v>
      </c>
      <c r="EM26" s="12" t="s">
        <v>1634</v>
      </c>
      <c r="EN26" s="726" t="s">
        <v>361</v>
      </c>
      <c r="EO26" s="12" t="s">
        <v>360</v>
      </c>
      <c r="EP26" s="12" t="s">
        <v>1634</v>
      </c>
      <c r="EQ26" s="726" t="s">
        <v>361</v>
      </c>
      <c r="ER26" s="12" t="s">
        <v>360</v>
      </c>
      <c r="ES26" s="12" t="s">
        <v>1634</v>
      </c>
      <c r="ET26" s="726" t="s">
        <v>361</v>
      </c>
      <c r="EU26" s="12" t="s">
        <v>360</v>
      </c>
      <c r="EV26" s="12" t="s">
        <v>1634</v>
      </c>
      <c r="EW26" s="726" t="s">
        <v>361</v>
      </c>
      <c r="EX26" s="12" t="s">
        <v>360</v>
      </c>
      <c r="EY26" s="12" t="s">
        <v>1634</v>
      </c>
      <c r="EZ26" s="726" t="s">
        <v>361</v>
      </c>
      <c r="FA26" s="12" t="s">
        <v>360</v>
      </c>
      <c r="FB26" s="12" t="s">
        <v>1634</v>
      </c>
      <c r="FC26" s="726" t="s">
        <v>361</v>
      </c>
      <c r="FD26" s="12" t="s">
        <v>360</v>
      </c>
      <c r="FE26" s="12" t="s">
        <v>1634</v>
      </c>
      <c r="FF26" s="726" t="s">
        <v>361</v>
      </c>
      <c r="FG26" s="12" t="s">
        <v>360</v>
      </c>
      <c r="FH26" s="12" t="s">
        <v>1634</v>
      </c>
      <c r="FI26" s="726" t="s">
        <v>361</v>
      </c>
      <c r="FJ26" s="12" t="s">
        <v>360</v>
      </c>
      <c r="FK26" s="12" t="s">
        <v>1634</v>
      </c>
      <c r="FL26" s="726" t="s">
        <v>361</v>
      </c>
      <c r="FM26" s="12" t="s">
        <v>360</v>
      </c>
      <c r="FN26" s="12" t="s">
        <v>1634</v>
      </c>
      <c r="FO26" s="726" t="s">
        <v>361</v>
      </c>
      <c r="FP26" s="12" t="s">
        <v>360</v>
      </c>
      <c r="FQ26" s="12" t="s">
        <v>1634</v>
      </c>
      <c r="FR26" s="726" t="s">
        <v>361</v>
      </c>
      <c r="FS26" s="12" t="s">
        <v>360</v>
      </c>
      <c r="FT26" s="12" t="s">
        <v>1634</v>
      </c>
      <c r="FU26" s="726" t="s">
        <v>361</v>
      </c>
      <c r="FV26" s="12" t="s">
        <v>360</v>
      </c>
      <c r="FW26" s="12" t="s">
        <v>1634</v>
      </c>
    </row>
    <row r="27" spans="1:186" ht="11.25" hidden="1" customHeight="1" x14ac:dyDescent="0.15">
      <c r="E27" s="461">
        <v>0</v>
      </c>
      <c r="T27" s="353"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5"/>
      <c r="B28" s="614"/>
      <c r="C28" s="315"/>
      <c r="D28" s="315"/>
      <c r="E28" s="480">
        <v>0</v>
      </c>
      <c r="F28" s="534" t="s">
        <v>1635</v>
      </c>
      <c r="G28" s="315"/>
      <c r="H28" s="315"/>
      <c r="I28" s="315"/>
      <c r="J28" s="315"/>
      <c r="K28" s="315"/>
      <c r="L28" s="315"/>
      <c r="M28" s="315"/>
      <c r="N28" s="315"/>
      <c r="O28" s="315"/>
      <c r="P28" s="315"/>
      <c r="Q28" s="315" t="s">
        <v>1636</v>
      </c>
      <c r="R28" s="615" t="s">
        <v>1637</v>
      </c>
      <c r="S28" s="615" t="s">
        <v>263</v>
      </c>
      <c r="T28" s="353"/>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1"/>
      <c r="GA28" s="661"/>
      <c r="GB28" s="655"/>
      <c r="GC28" s="454"/>
      <c r="GD28" s="454"/>
    </row>
    <row r="29" spans="1:186" ht="14.65" hidden="1" customHeight="1" x14ac:dyDescent="0.15">
      <c r="A29" s="59"/>
      <c r="C29" s="59"/>
      <c r="D29" s="59"/>
      <c r="E29" s="462">
        <v>15</v>
      </c>
      <c r="F29" s="372" cm="1">
        <f t="array" ref="F29">X29</f>
        <v>0</v>
      </c>
      <c r="G29" s="59" cm="1">
        <f t="array" ref="G29">INDEX('Общие сведения'!$AK$179:$AK$236,MATCH($X29,'Общие сведения'!$Z$179:$Z$236,0))</f>
        <v>0</v>
      </c>
      <c r="H29" s="59"/>
      <c r="I29" s="59"/>
      <c r="J29" s="59"/>
      <c r="K29" s="59"/>
      <c r="L29" s="59"/>
      <c r="M29" s="59"/>
      <c r="N29" s="59"/>
      <c r="O29" s="59"/>
      <c r="P29" s="59"/>
      <c r="Q29" s="59" cm="1">
        <f t="array" ref="Q29">INDEX('Общие сведения'!$AE$179:$AE$236,MATCH($X29,'Общие сведения'!$Z$179:$Z$236,0))</f>
        <v>0</v>
      </c>
      <c r="R29" s="365" cm="1">
        <f t="array" ref="R29">INDEX('Общие сведения'!$AK$179:$AK$236,MATCH($X29,'Общие сведения'!$Z$179:$Z$236,0))</f>
        <v>0</v>
      </c>
      <c r="S29" s="59" t="b" cm="1">
        <f t="array" ref="S29">INDEX('Общие сведения'!$AN$179:$AN$236,MATCH($X29,'Общие сведения'!$Z$179:$Z$236,0))</f>
        <v>0</v>
      </c>
      <c r="T29" s="353" t="b">
        <f>X29&gt;0</f>
        <v>0</v>
      </c>
      <c r="U29" s="59"/>
      <c r="V29" s="59" t="s">
        <v>264</v>
      </c>
      <c r="W29" s="59"/>
      <c r="X29" s="1022">
        <v>0</v>
      </c>
      <c r="Y29" s="59"/>
      <c r="Z29" s="966"/>
      <c r="AA29" s="59"/>
      <c r="AB29" s="1070" t="s">
        <v>21</v>
      </c>
      <c r="AC29" s="1071"/>
      <c r="AD29" s="591" t="str" cm="1">
        <f t="array" ref="AD29">INDEX('Общие сведения'!$AG$179:$AG$236,MATCH($X29,'Общие сведения'!$Z$179:$Z$236,0))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x14ac:dyDescent="0.15">
      <c r="A30" s="59"/>
      <c r="C30" s="59"/>
      <c r="D30" s="59"/>
      <c r="E30" s="462">
        <v>15</v>
      </c>
      <c r="F30" s="3" cm="1">
        <f t="array" aca="1" ref="F30" ca="1">OFFSET(E30,-1,1)</f>
        <v>0</v>
      </c>
      <c r="G30" s="59"/>
      <c r="H30" s="59"/>
      <c r="I30" s="59"/>
      <c r="J30" s="59"/>
      <c r="K30" s="59"/>
      <c r="L30" s="59"/>
      <c r="M30" s="59"/>
      <c r="N30" s="59"/>
      <c r="O30" s="59"/>
      <c r="P30" s="59"/>
      <c r="Q30" s="59"/>
      <c r="R30" s="365"/>
      <c r="S30" s="365"/>
      <c r="T30" s="353" t="b" cm="1">
        <f t="array" ref="T30">T29</f>
        <v>0</v>
      </c>
      <c r="U30" s="59"/>
      <c r="V30" s="59"/>
      <c r="W30" s="59"/>
      <c r="X30" s="1022"/>
      <c r="Y30" s="59"/>
      <c r="Z30" s="966"/>
      <c r="AA30" s="59"/>
      <c r="AB30" s="922" t="str">
        <f>"Вид "&amp;IF(ISERROR(SEARCH("Водоснабжение",AD29)),"сточных вод","воды")</f>
        <v>Вид сточных вод</v>
      </c>
      <c r="AC30" s="924"/>
      <c r="AD30" s="591" cm="1">
        <f t="array" ref="AD30">INDEX('Общие сведения'!$AH$179:$AH$236,MATCH($X29,'Общие сведения'!$Z$179:$Z$236,0))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x14ac:dyDescent="0.15">
      <c r="A31" s="59"/>
      <c r="C31" s="59"/>
      <c r="D31" s="59"/>
      <c r="E31" s="462">
        <v>15</v>
      </c>
      <c r="F31" s="3" cm="1">
        <f t="array" aca="1" ref="F31" ca="1">OFFSET(E31,-1,1)</f>
        <v>0</v>
      </c>
      <c r="G31" s="59"/>
      <c r="H31" s="59"/>
      <c r="I31" s="59"/>
      <c r="J31" s="59"/>
      <c r="K31" s="59"/>
      <c r="L31" s="59"/>
      <c r="M31" s="59"/>
      <c r="N31" s="59"/>
      <c r="O31" s="59"/>
      <c r="P31" s="59"/>
      <c r="Q31" s="59"/>
      <c r="R31" s="365"/>
      <c r="S31" s="365"/>
      <c r="T31" s="353" t="b" cm="1">
        <f t="array" ref="T31">T30</f>
        <v>0</v>
      </c>
      <c r="U31" s="59"/>
      <c r="V31" s="59"/>
      <c r="W31" s="59"/>
      <c r="X31" s="1022"/>
      <c r="Y31" s="59"/>
      <c r="Z31" s="966"/>
      <c r="AA31" s="59"/>
      <c r="AB31" s="922" t="s">
        <v>1638</v>
      </c>
      <c r="AC31" s="924"/>
      <c r="AD31" s="591" cm="1">
        <f t="array" ref="AD31">INDEX('Общие сведения'!$AI$179:$AI$236,MATCH($X29,'Общие сведения'!$Z$179:$Z$236,0))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x14ac:dyDescent="0.15">
      <c r="A32" s="59"/>
      <c r="C32" s="59"/>
      <c r="D32" s="59"/>
      <c r="E32" s="462">
        <v>15</v>
      </c>
      <c r="F32" s="3" cm="1">
        <f t="array" aca="1" ref="F32" ca="1">OFFSET(E32,-1,1)</f>
        <v>0</v>
      </c>
      <c r="G32" s="59"/>
      <c r="H32" s="59"/>
      <c r="I32" s="59"/>
      <c r="J32" s="59"/>
      <c r="K32" s="59"/>
      <c r="L32" s="59"/>
      <c r="M32" s="59"/>
      <c r="N32" s="59"/>
      <c r="O32" s="59"/>
      <c r="P32" s="59"/>
      <c r="Q32" s="59"/>
      <c r="R32" s="59"/>
      <c r="S32" s="365"/>
      <c r="T32" s="353" t="b" cm="1">
        <f t="array" ref="T32">T31</f>
        <v>0</v>
      </c>
      <c r="U32" s="59"/>
      <c r="V32" s="59"/>
      <c r="W32" s="59"/>
      <c r="X32" s="1022"/>
      <c r="Y32" s="59"/>
      <c r="Z32" s="966"/>
      <c r="AA32" s="59"/>
      <c r="AB32" s="922" t="s">
        <v>1639</v>
      </c>
      <c r="AC32" s="924"/>
      <c r="AD32" s="591" cm="1">
        <f t="array" ref="AD32">INDEX('Общие сведения'!$AJ$179:$AJ$236,MATCH($X29,'Общие сведения'!$Z$179:$Z$236,0))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x14ac:dyDescent="0.15">
      <c r="A33" s="59"/>
      <c r="B33" s="613" t="b">
        <f>AND(R29="одноставочный",NOT(S29))</f>
        <v>0</v>
      </c>
      <c r="C33" s="59"/>
      <c r="D33" s="59"/>
      <c r="E33" s="462">
        <v>15</v>
      </c>
      <c r="F33" s="3" cm="1">
        <f t="array" aca="1" ref="F33" ca="1">OFFSET(E33,-1,1)</f>
        <v>0</v>
      </c>
      <c r="G33" s="59"/>
      <c r="H33" s="59"/>
      <c r="I33" s="59"/>
      <c r="J33" s="59"/>
      <c r="K33" s="59"/>
      <c r="L33" s="59"/>
      <c r="M33" s="59"/>
      <c r="N33" s="59"/>
      <c r="O33" s="59"/>
      <c r="P33" s="59"/>
      <c r="Q33" s="59"/>
      <c r="R33" s="59"/>
      <c r="S33" s="59"/>
      <c r="T33" s="353" t="b" cm="1">
        <f t="array" ref="T33">T32</f>
        <v>0</v>
      </c>
      <c r="U33" s="59"/>
      <c r="V33" s="59"/>
      <c r="W33" s="59"/>
      <c r="X33" s="1022"/>
      <c r="Y33" s="59"/>
      <c r="Z33" s="966"/>
      <c r="AA33" s="59"/>
      <c r="AB33" s="592" t="s">
        <v>1640</v>
      </c>
      <c r="AC33" s="593"/>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x14ac:dyDescent="0.15">
      <c r="A34" s="594"/>
      <c r="B34" s="613" t="b" cm="1">
        <f t="array" ref="B34">B33</f>
        <v>0</v>
      </c>
      <c r="C34" s="594"/>
      <c r="D34" s="594"/>
      <c r="E34" s="595">
        <v>24.5</v>
      </c>
      <c r="F34" s="3" cm="1">
        <f t="array" aca="1" ref="F34" ca="1">OFFSET(E34,-1,1)</f>
        <v>0</v>
      </c>
      <c r="G34" s="59" t="s">
        <v>1641</v>
      </c>
      <c r="H34" s="59" t="s">
        <v>482</v>
      </c>
      <c r="I34" s="59" t="s">
        <v>1642</v>
      </c>
      <c r="J34" s="594"/>
      <c r="K34" s="594"/>
      <c r="L34" s="59"/>
      <c r="M34" s="594"/>
      <c r="N34" s="594"/>
      <c r="O34" s="594"/>
      <c r="P34" s="594"/>
      <c r="Q34" s="594"/>
      <c r="R34" s="594"/>
      <c r="S34" s="59"/>
      <c r="T34" s="353" t="b" cm="1">
        <f t="array" ref="T34">T33</f>
        <v>0</v>
      </c>
      <c r="U34" s="594"/>
      <c r="V34" s="594"/>
      <c r="W34" s="594"/>
      <c r="X34" s="1022"/>
      <c r="Y34" s="594"/>
      <c r="Z34" s="966"/>
      <c r="AA34" s="594"/>
      <c r="AB34" s="205" t="s">
        <v>1643</v>
      </c>
      <c r="AC34" s="206" t="s">
        <v>1644</v>
      </c>
      <c r="AD34" s="861">
        <f ca="1">IF(AND(method_reg="Метод индексации",god&lt;&gt;first_year),SUMIFS(INDEX('Калькуляция (МИ корр)'!$AJ$25:$BC$603,,MATCH(AD$8,'Калькуляция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(МИ)'!$AJ$25:$BC$603,,MATCH(AD$8,'Калькуляция (МИ)'!$AJ$8:$BC$8,0)),'Калькуляция (МИ)'!$F$25:$F$603,$F34,'Калькуляция (МИ)'!$G$25:$G$603,$G34))))</f>
        <v>0</v>
      </c>
      <c r="AE34" s="861">
        <f ca="1">IF(AND(method_reg="Метод индексации",god&lt;&gt;first_year),SUMIFS(INDEX('Калькуляция (МИ корр)'!$AJ$25:$BC$603,,MATCH(AE$8,'Калькуляция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(МИ)'!$AJ$25:$BC$603,,MATCH(AE$8,'Калькуляция (МИ)'!$AJ$8:$BC$8,0)),'Калькуляция (МИ)'!$F$25:$F$603,$F34,'Калькуляция (МИ)'!$G$25:$G$603,$G34))))</f>
        <v>0</v>
      </c>
      <c r="AF34" s="208">
        <f ca="1">IF(AD34=0,0,(AE34-AD34)/AD34*100)</f>
        <v>0</v>
      </c>
      <c r="AG34" s="861">
        <f ca="1">IF(AND(method_reg="Метод индексации",god&lt;&gt;first_year),SUMIFS(INDEX('Калькуляция (МИ корр)'!$AJ$25:$BC$603,,MATCH(AG$8,'Калькуляция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(МИ)'!$AJ$25:$BC$603,,MATCH(AG$8,'Калькуляция (МИ)'!$AJ$8:$BC$8,0)),'Калькуляция (МИ)'!$F$25:$F$603,$F34,'Калькуляция (МИ)'!$G$25:$G$603,$G34))))</f>
        <v>0</v>
      </c>
      <c r="AH34" s="861">
        <f ca="1">IF(AND(method_reg="Метод индексации",god&lt;&gt;first_year),SUMIFS(INDEX('Калькуляция (МИ корр)'!$AJ$25:$BC$603,,MATCH(AH$8,'Калькуляция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(МИ)'!$AJ$25:$BC$603,,MATCH(AH$8,'Калькуляция (МИ)'!$AJ$8:$BC$8,0)),'Калькуляция (МИ)'!$F$25:$F$603,$F34,'Калькуляция (МИ)'!$G$25:$G$603,$G34))))</f>
        <v>0</v>
      </c>
      <c r="AI34" s="208">
        <f ca="1">IF(AG34=0,0,(AH34-AG34)/AG34*100)</f>
        <v>0</v>
      </c>
      <c r="AJ34" s="861">
        <f ca="1">IF(AND(method_reg="Метод индексации",god&lt;&gt;first_year),SUMIFS(INDEX('Калькуляция (МИ корр)'!$AJ$25:$BC$603,,MATCH(AJ$8,'Калькуляция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(МИ)'!$AJ$25:$BC$603,,MATCH(AJ$8,'Калькуляция (МИ)'!$AJ$8:$BC$8,0)),'Калькуляция (МИ)'!$F$25:$F$603,$F34,'Калькуляция (МИ)'!$G$25:$G$603,$G34))))</f>
        <v>0</v>
      </c>
      <c r="AK34" s="861">
        <f ca="1">IF(AND(method_reg="Метод индексации",god&lt;&gt;first_year),SUMIFS(INDEX('Калькуляция (МИ корр)'!$AJ$25:$BC$603,,MATCH(AK$8,'Калькуляция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(МИ)'!$AJ$25:$BC$603,,MATCH(AK$8,'Калькуляция (МИ)'!$AJ$8:$BC$8,0)),'Калькуляция (МИ)'!$F$25:$F$603,$F34,'Калькуляция (МИ)'!$G$25:$G$603,$G34))))</f>
        <v>0</v>
      </c>
      <c r="AL34" s="208">
        <f ca="1">IF(AJ34=0,0,(AK34-AJ34)/AJ34*100)</f>
        <v>0</v>
      </c>
      <c r="AM34" s="861">
        <f ca="1">IF(AND(method_reg="Метод индексации",god&lt;&gt;first_year),SUMIFS(INDEX('Калькуляция (МИ корр)'!$AJ$25:$BC$603,,MATCH(AM$8,'Калькуляция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(МИ)'!$AJ$25:$BC$603,,MATCH(AM$8,'Калькуляция (МИ)'!$AJ$8:$BC$8,0)),'Калькуляция (МИ)'!$F$25:$F$603,$F34,'Калькуляция (МИ)'!$G$25:$G$603,$G34))))</f>
        <v>0</v>
      </c>
      <c r="AN34" s="861">
        <f ca="1">IF(AND(method_reg="Метод индексации",god&lt;&gt;first_year),SUMIFS(INDEX('Калькуляция (МИ корр)'!$AJ$25:$BC$603,,MATCH(AN$8,'Калькуляция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(МИ)'!$AJ$25:$BC$603,,MATCH(AN$8,'Калькуляция (МИ)'!$AJ$8:$BC$8,0)),'Калькуляция (МИ)'!$F$25:$F$603,$F34,'Калькуляция (МИ)'!$G$25:$G$603,$G34))))</f>
        <v>0</v>
      </c>
      <c r="AO34" s="208">
        <f ca="1">IF(AM34=0,0,(AN34-AM34)/AM34*100)</f>
        <v>0</v>
      </c>
      <c r="AP34" s="861">
        <f ca="1">IF(AND(method_reg="Метод индексации",god&lt;&gt;first_year),SUMIFS(INDEX('Калькуляция (МИ корр)'!$AJ$25:$BC$603,,MATCH(AP$8,'Калькуляция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(МИ)'!$AJ$25:$BC$603,,MATCH(AP$8,'Калькуляция (МИ)'!$AJ$8:$BC$8,0)),'Калькуляция (МИ)'!$F$25:$F$603,$F34,'Калькуляция (МИ)'!$G$25:$G$603,$G34))))</f>
        <v>0</v>
      </c>
      <c r="AQ34" s="861">
        <f ca="1">IF(AND(method_reg="Метод индексации",god&lt;&gt;first_year),SUMIFS(INDEX('Калькуляция (МИ корр)'!$AJ$25:$BC$603,,MATCH(AQ$8,'Калькуляция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(МИ)'!$AJ$25:$BC$603,,MATCH(AQ$8,'Калькуляция (МИ)'!$AJ$8:$BC$8,0)),'Калькуляция (МИ)'!$F$25:$F$603,$F34,'Калькуляция (МИ)'!$G$25:$G$603,$G34))))</f>
        <v>0</v>
      </c>
      <c r="AR34" s="208">
        <f ca="1">IF(AP34=0,0,(AQ34-AP34)/AP34*100)</f>
        <v>0</v>
      </c>
      <c r="AS34" s="861">
        <f ca="1">IF(AND(method_reg="Метод индексации",god&lt;&gt;first_year),SUMIFS(INDEX('Калькуляция (МИ корр)'!$AJ$25:$BC$603,,MATCH(AS$8,'Калькуляция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(МИ)'!$AJ$25:$BC$603,,MATCH(AS$8,'Калькуляция (МИ)'!$AJ$8:$BC$8,0)),'Калькуляция (МИ)'!$F$25:$F$603,$F34,'Калькуляция (МИ)'!$G$25:$G$603,$G34))))</f>
        <v>0</v>
      </c>
      <c r="AT34" s="861">
        <f ca="1">IF(AND(method_reg="Метод индексации",god&lt;&gt;first_year),SUMIFS(INDEX('Калькуляция (МИ корр)'!$AJ$25:$BC$603,,MATCH(AT$8,'Калькуляция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(МИ)'!$AJ$25:$BC$603,,MATCH(AT$8,'Калькуляция (МИ)'!$AJ$8:$BC$8,0)),'Калькуляция (МИ)'!$F$25:$F$603,$F34,'Калькуляция (МИ)'!$G$25:$G$603,$G34))))</f>
        <v>0</v>
      </c>
      <c r="AU34" s="208">
        <f ca="1">IF(AS34=0,0,(AT34-AS34)/AS34*100)</f>
        <v>0</v>
      </c>
      <c r="AV34" s="861">
        <f ca="1">IF(AND(method_reg="Метод индексации",god&lt;&gt;first_year),SUMIFS(INDEX('Калькуляция (МИ корр)'!$AJ$25:$BC$603,,MATCH(AV$8,'Калькуляция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(МИ)'!$AJ$25:$BC$603,,MATCH(AV$8,'Калькуляция (МИ)'!$AJ$8:$BC$8,0)),'Калькуляция (МИ)'!$F$25:$F$603,$F34,'Калькуляция (МИ)'!$G$25:$G$603,$G34))))</f>
        <v>0</v>
      </c>
      <c r="AW34" s="861">
        <f ca="1">IF(AND(method_reg="Метод индексации",god&lt;&gt;first_year),SUMIFS(INDEX('Калькуляция (МИ корр)'!$AJ$25:$BC$603,,MATCH(AW$8,'Калькуляция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(МИ)'!$AJ$25:$BC$603,,MATCH(AW$8,'Калькуляция (МИ)'!$AJ$8:$BC$8,0)),'Калькуляция (МИ)'!$F$25:$F$603,$F34,'Калькуляция (МИ)'!$G$25:$G$603,$G34))))</f>
        <v>0</v>
      </c>
      <c r="AX34" s="208">
        <f ca="1">IF(AV34=0,0,(AW34-AV34)/AV34*100)</f>
        <v>0</v>
      </c>
      <c r="AY34" s="861">
        <f ca="1">IF(AND(method_reg="Метод индексации",god&lt;&gt;first_year),SUMIFS(INDEX('Калькуляция (МИ корр)'!$AJ$25:$BC$603,,MATCH(AY$8,'Калькуляция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(МИ)'!$AJ$25:$BC$603,,MATCH(AY$8,'Калькуляция (МИ)'!$AJ$8:$BC$8,0)),'Калькуляция (МИ)'!$F$25:$F$603,$F34,'Калькуляция (МИ)'!$G$25:$G$603,$G34))))</f>
        <v>0</v>
      </c>
      <c r="AZ34" s="861">
        <f ca="1">IF(AND(method_reg="Метод индексации",god&lt;&gt;first_year),SUMIFS(INDEX('Калькуляция (МИ корр)'!$AJ$25:$BC$603,,MATCH(AZ$8,'Калькуляция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(МИ)'!$AJ$25:$BC$603,,MATCH(AZ$8,'Калькуляция (МИ)'!$AJ$8:$BC$8,0)),'Калькуляция (МИ)'!$F$25:$F$603,$F34,'Калькуляция (МИ)'!$G$25:$G$603,$G34))))</f>
        <v>0</v>
      </c>
      <c r="BA34" s="208">
        <f ca="1">IF(AY34=0,0,(AZ34-AY34)/AY34*100)</f>
        <v>0</v>
      </c>
      <c r="BB34" s="861">
        <f ca="1">IF(AND(method_reg="Метод индексации",god&lt;&gt;first_year),SUMIFS(INDEX('Калькуляция (МИ корр)'!$AJ$25:$BC$603,,MATCH(BB$8,'Калькуляция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(МИ)'!$AJ$25:$BC$603,,MATCH(BB$8,'Калькуляция (МИ)'!$AJ$8:$BC$8,0)),'Калькуляция (МИ)'!$F$25:$F$603,$F34,'Калькуляция (МИ)'!$G$25:$G$603,$G34))))</f>
        <v>0</v>
      </c>
      <c r="BC34" s="861">
        <f ca="1">IF(AND(method_reg="Метод индексации",god&lt;&gt;first_year),SUMIFS(INDEX('Калькуляция (МИ корр)'!$AJ$25:$BC$603,,MATCH(BC$8,'Калькуляция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(МИ)'!$AJ$25:$BC$603,,MATCH(BC$8,'Калькуляция (МИ)'!$AJ$8:$BC$8,0)),'Калькуляция (МИ)'!$F$25:$F$603,$F34,'Калькуляция (МИ)'!$G$25:$G$603,$G34))))</f>
        <v>0</v>
      </c>
      <c r="BD34" s="208">
        <f ca="1">IF(BB34=0,0,(BC34-BB34)/BB34*100)</f>
        <v>0</v>
      </c>
      <c r="BE34" s="861">
        <f ca="1">IF(AND(method_reg="Метод индексации",god&lt;&gt;first_year),SUMIFS(INDEX('Калькуляция (МИ корр)'!$AJ$25:$BC$603,,MATCH(BE$8,'Калькуляция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(МИ)'!$AJ$25:$BC$603,,MATCH(BE$8,'Калькуляция (МИ)'!$AJ$8:$BC$8,0)),'Калькуляция (МИ)'!$F$25:$F$603,$F34,'Калькуляция (МИ)'!$G$25:$G$603,$G34))))</f>
        <v>0</v>
      </c>
      <c r="BF34" s="861">
        <f ca="1">IF(AND(method_reg="Метод индексации",god&lt;&gt;first_year),SUMIFS(INDEX('Калькуляция (МИ корр)'!$AJ$25:$BC$603,,MATCH(BF$8,'Калькуляция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(МИ)'!$AJ$25:$BC$603,,MATCH(BF$8,'Калькуляция (МИ)'!$AJ$8:$BC$8,0)),'Калькуляция (МИ)'!$F$25:$F$603,$F34,'Калькуляция (МИ)'!$G$25:$G$603,$G34))))</f>
        <v>0</v>
      </c>
      <c r="BG34" s="208">
        <f ca="1">IF(BE34=0,0,(BF34-BE34)/BE34*100)</f>
        <v>0</v>
      </c>
      <c r="BH34" s="861"/>
      <c r="BI34" s="861"/>
      <c r="BJ34" s="208">
        <f>IF(BH34=0,0,(BI34-BH34)/BH34*100)</f>
        <v>0</v>
      </c>
      <c r="BK34" s="861"/>
      <c r="BL34" s="861"/>
      <c r="BM34" s="208">
        <f>IF(BK34=0,0,(BL34-BK34)/BK34*100)</f>
        <v>0</v>
      </c>
      <c r="BN34" s="861"/>
      <c r="BO34" s="861"/>
      <c r="BP34" s="208">
        <f>IF(BN34=0,0,(BO34-BN34)/BN34*100)</f>
        <v>0</v>
      </c>
      <c r="BQ34" s="861"/>
      <c r="BR34" s="861"/>
      <c r="BS34" s="208">
        <f>IF(BQ34=0,0,(BR34-BQ34)/BQ34*100)</f>
        <v>0</v>
      </c>
      <c r="BT34" s="861"/>
      <c r="BU34" s="861"/>
      <c r="BV34" s="208">
        <f>IF(BT34=0,0,(BU34-BT34)/BT34*100)</f>
        <v>0</v>
      </c>
      <c r="BW34" s="861"/>
      <c r="BX34" s="861"/>
      <c r="BY34" s="208">
        <f>IF(BW34=0,0,(BX34-BW34)/BW34*100)</f>
        <v>0</v>
      </c>
      <c r="BZ34" s="861"/>
      <c r="CA34" s="861"/>
      <c r="CB34" s="208">
        <f>IF(BZ34=0,0,(CA34-BZ34)/BZ34*100)</f>
        <v>0</v>
      </c>
      <c r="CC34" s="861"/>
      <c r="CD34" s="861"/>
      <c r="CE34" s="208">
        <f>IF(CC34=0,0,(CD34-CC34)/CC34*100)</f>
        <v>0</v>
      </c>
      <c r="CF34" s="861"/>
      <c r="CG34" s="861"/>
      <c r="CH34" s="208">
        <f>IF(CF34=0,0,(CG34-CF34)/CF34*100)</f>
        <v>0</v>
      </c>
      <c r="CI34" s="861"/>
      <c r="CJ34" s="861"/>
      <c r="CK34" s="208">
        <f>IF(CI34=0,0,(CJ34-CI34)/CI34*100)</f>
        <v>0</v>
      </c>
      <c r="CL34" s="861"/>
      <c r="CM34" s="861"/>
      <c r="CN34" s="208">
        <f>IF(CL34=0,0,(CM34-CL34)/CL34*100)</f>
        <v>0</v>
      </c>
      <c r="CO34" s="861"/>
      <c r="CP34" s="861"/>
      <c r="CQ34" s="208">
        <f>IF(CO34=0,0,(CP34-CO34)/CO34*100)</f>
        <v>0</v>
      </c>
      <c r="CR34" s="861"/>
      <c r="CS34" s="861"/>
      <c r="CT34" s="208">
        <f>IF(CR34=0,0,(CS34-CR34)/CR34*100)</f>
        <v>0</v>
      </c>
      <c r="CU34" s="861"/>
      <c r="CV34" s="861"/>
      <c r="CW34" s="208">
        <f>IF(CU34=0,0,(CV34-CU34)/CU34*100)</f>
        <v>0</v>
      </c>
      <c r="CX34" s="861"/>
      <c r="CY34" s="861"/>
      <c r="CZ34" s="208">
        <f>IF(CX34=0,0,(CY34-CX34)/CX34*100)</f>
        <v>0</v>
      </c>
      <c r="DA34" s="861"/>
      <c r="DB34" s="861"/>
      <c r="DC34" s="208">
        <f>IF(DA34=0,0,(DB34-DA34)/DA34*100)</f>
        <v>0</v>
      </c>
      <c r="DD34" s="861"/>
      <c r="DE34" s="861"/>
      <c r="DF34" s="208">
        <f>IF(DD34=0,0,(DE34-DD34)/DD34*100)</f>
        <v>0</v>
      </c>
      <c r="DG34" s="862"/>
      <c r="DH34" s="862"/>
      <c r="DI34" s="208">
        <f>IF(DG34=0,0,(DH34-DG34)/DG34*100)</f>
        <v>0</v>
      </c>
      <c r="DJ34" s="862"/>
      <c r="DK34" s="862"/>
      <c r="DL34" s="208">
        <f>IF(DJ34=0,0,(DK34-DJ34)/DJ34*100)</f>
        <v>0</v>
      </c>
      <c r="DM34" s="862"/>
      <c r="DN34" s="862"/>
      <c r="DO34" s="208">
        <f>IF(DM34=0,0,(DN34-DM34)/DM34*100)</f>
        <v>0</v>
      </c>
      <c r="DP34" s="862"/>
      <c r="DQ34" s="862"/>
      <c r="DR34" s="208">
        <f>IF(DP34=0,0,(DQ34-DP34)/DP34*100)</f>
        <v>0</v>
      </c>
      <c r="DS34" s="862"/>
      <c r="DT34" s="862"/>
      <c r="DU34" s="208">
        <f>IF(DS34=0,0,(DT34-DS34)/DS34*100)</f>
        <v>0</v>
      </c>
      <c r="DV34" s="862"/>
      <c r="DW34" s="862"/>
      <c r="DX34" s="208">
        <f>IF(DV34=0,0,(DW34-DV34)/DV34*100)</f>
        <v>0</v>
      </c>
      <c r="DY34" s="862"/>
      <c r="DZ34" s="862"/>
      <c r="EA34" s="208">
        <f>IF(DY34=0,0,(DZ34-DY34)/DY34*100)</f>
        <v>0</v>
      </c>
      <c r="EB34" s="862"/>
      <c r="EC34" s="862"/>
      <c r="ED34" s="208">
        <f>IF(EB34=0,0,(EC34-EB34)/EB34*100)</f>
        <v>0</v>
      </c>
      <c r="EE34" s="862"/>
      <c r="EF34" s="862"/>
      <c r="EG34" s="208">
        <f>IF(EE34=0,0,(EF34-EE34)/EE34*100)</f>
        <v>0</v>
      </c>
      <c r="EH34" s="862"/>
      <c r="EI34" s="862"/>
      <c r="EJ34" s="208">
        <f>IF(EH34=0,0,(EI34-EH34)/EH34*100)</f>
        <v>0</v>
      </c>
      <c r="EK34" s="862"/>
      <c r="EL34" s="862"/>
      <c r="EM34" s="208">
        <f>IF(EK34=0,0,(EL34-EK34)/EK34*100)</f>
        <v>0</v>
      </c>
      <c r="EN34" s="862"/>
      <c r="EO34" s="862"/>
      <c r="EP34" s="208">
        <f>IF(EN34=0,0,(EO34-EN34)/EN34*100)</f>
        <v>0</v>
      </c>
      <c r="EQ34" s="862"/>
      <c r="ER34" s="862"/>
      <c r="ES34" s="208">
        <f>IF(EQ34=0,0,(ER34-EQ34)/EQ34*100)</f>
        <v>0</v>
      </c>
      <c r="ET34" s="862"/>
      <c r="EU34" s="862"/>
      <c r="EV34" s="208">
        <f>IF(ET34=0,0,(EU34-ET34)/ET34*100)</f>
        <v>0</v>
      </c>
      <c r="EW34" s="862"/>
      <c r="EX34" s="862"/>
      <c r="EY34" s="208">
        <f>IF(EW34=0,0,(EX34-EW34)/EW34*100)</f>
        <v>0</v>
      </c>
      <c r="EZ34" s="862"/>
      <c r="FA34" s="862"/>
      <c r="FB34" s="208">
        <f>IF(EZ34=0,0,(FA34-EZ34)/EZ34*100)</f>
        <v>0</v>
      </c>
      <c r="FC34" s="862"/>
      <c r="FD34" s="862"/>
      <c r="FE34" s="208">
        <f>IF(FC34=0,0,(FD34-FC34)/FC34*100)</f>
        <v>0</v>
      </c>
      <c r="FF34" s="862"/>
      <c r="FG34" s="862"/>
      <c r="FH34" s="208">
        <f>IF(FF34=0,0,(FG34-FF34)/FF34*100)</f>
        <v>0</v>
      </c>
      <c r="FI34" s="862"/>
      <c r="FJ34" s="862"/>
      <c r="FK34" s="208">
        <f>IF(FI34=0,0,(FJ34-FI34)/FI34*100)</f>
        <v>0</v>
      </c>
      <c r="FL34" s="862"/>
      <c r="FM34" s="862"/>
      <c r="FN34" s="208">
        <f>IF(FL34=0,0,(FM34-FL34)/FL34*100)</f>
        <v>0</v>
      </c>
      <c r="FO34" s="862"/>
      <c r="FP34" s="862"/>
      <c r="FQ34" s="208">
        <f>IF(FO34=0,0,(FP34-FO34)/FO34*100)</f>
        <v>0</v>
      </c>
      <c r="FR34" s="862"/>
      <c r="FS34" s="862"/>
      <c r="FT34" s="208">
        <f>IF(FR34=0,0,(FS34-FR34)/FR34*100)</f>
        <v>0</v>
      </c>
      <c r="FU34" s="862"/>
      <c r="FV34" s="862"/>
      <c r="FW34" s="208">
        <f>IF(FU34=0,0,(FV34-FU34)/FU34*100)</f>
        <v>0</v>
      </c>
      <c r="FZ34" s="691" t="s">
        <v>1645</v>
      </c>
      <c r="GA34" s="691"/>
      <c r="GB34" s="691"/>
      <c r="GC34" s="692"/>
      <c r="GD34" s="692"/>
    </row>
    <row r="35" spans="1:186" s="204" customFormat="1" ht="23.85" hidden="1" customHeight="1" x14ac:dyDescent="0.15">
      <c r="A35" s="594"/>
      <c r="B35" s="613" t="b" cm="1">
        <f t="array" ref="B35">B34</f>
        <v>0</v>
      </c>
      <c r="C35" s="594"/>
      <c r="D35" s="594"/>
      <c r="E35" s="595">
        <v>24.5</v>
      </c>
      <c r="F35" s="3" cm="1">
        <f t="array" aca="1" ref="F35" ca="1">OFFSET(E35,-1,1)</f>
        <v>0</v>
      </c>
      <c r="G35" s="59" t="s">
        <v>1646</v>
      </c>
      <c r="H35" s="59" t="s">
        <v>482</v>
      </c>
      <c r="I35" s="59" t="s">
        <v>1647</v>
      </c>
      <c r="J35" s="594"/>
      <c r="K35" s="594"/>
      <c r="L35" s="59"/>
      <c r="M35" s="594"/>
      <c r="N35" s="594"/>
      <c r="O35" s="594"/>
      <c r="P35" s="594"/>
      <c r="Q35" s="594"/>
      <c r="R35" s="594"/>
      <c r="S35" s="59"/>
      <c r="T35" s="353" t="b" cm="1">
        <f t="array" ref="T35">T34</f>
        <v>0</v>
      </c>
      <c r="U35" s="594"/>
      <c r="V35" s="594"/>
      <c r="W35" s="594"/>
      <c r="X35" s="1022"/>
      <c r="Y35" s="594"/>
      <c r="Z35" s="966"/>
      <c r="AA35" s="594"/>
      <c r="AB35" s="205" t="s">
        <v>1648</v>
      </c>
      <c r="AC35" s="206" t="s">
        <v>1644</v>
      </c>
      <c r="AD35" s="861">
        <f ca="1">IF(AND(method_reg="Метод индексации",god&lt;&gt;first_year),SUMIFS(INDEX('Калькуляция (МИ корр)'!$AJ$25:$BC$603,,MATCH(AD$8,'Калькуляция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(МИ)'!$AJ$25:$BC$603,,MATCH(AD$8,'Калькуляция (МИ)'!$AJ$8:$BC$8,0)),'Калькуляция (МИ)'!$F$25:$F$603,$F35,'Калькуляция (МИ)'!$G$25:$G$603,$G35))))</f>
        <v>0</v>
      </c>
      <c r="AE35" s="861">
        <f ca="1">IF(AND(method_reg="Метод индексации",god&lt;&gt;first_year),SUMIFS(INDEX('Калькуляция (МИ корр)'!$AJ$25:$BC$603,,MATCH(AE$8,'Калькуляция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(МИ)'!$AJ$25:$BC$603,,MATCH(AE$8,'Калькуляция (МИ)'!$AJ$8:$BC$8,0)),'Калькуляция (МИ)'!$F$25:$F$603,$F35,'Калькуляция (МИ)'!$G$25:$G$603,$G35))))</f>
        <v>0</v>
      </c>
      <c r="AF35" s="208">
        <f ca="1">IF(AD35=0,0,(AE35-AD35)/AD35*100)</f>
        <v>0</v>
      </c>
      <c r="AG35" s="861">
        <f ca="1">IF(AND(method_reg="Метод индексации",god&lt;&gt;first_year),SUMIFS(INDEX('Калькуляция (МИ корр)'!$AJ$25:$BC$603,,MATCH(AG$8,'Калькуляция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(МИ)'!$AJ$25:$BC$603,,MATCH(AG$8,'Калькуляция (МИ)'!$AJ$8:$BC$8,0)),'Калькуляция (МИ)'!$F$25:$F$603,$F35,'Калькуляция (МИ)'!$G$25:$G$603,$G35))))</f>
        <v>0</v>
      </c>
      <c r="AH35" s="861">
        <f ca="1">IF(AND(method_reg="Метод индексации",god&lt;&gt;first_year),SUMIFS(INDEX('Калькуляция (МИ корр)'!$AJ$25:$BC$603,,MATCH(AH$8,'Калькуляция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(МИ)'!$AJ$25:$BC$603,,MATCH(AH$8,'Калькуляция (МИ)'!$AJ$8:$BC$8,0)),'Калькуляция (МИ)'!$F$25:$F$603,$F35,'Калькуляция (МИ)'!$G$25:$G$603,$G35))))</f>
        <v>0</v>
      </c>
      <c r="AI35" s="208">
        <f ca="1">IF(AG35=0,0,(AH35-AG35)/AG35*100)</f>
        <v>0</v>
      </c>
      <c r="AJ35" s="861">
        <f ca="1">IF(AND(method_reg="Метод индексации",god&lt;&gt;first_year),SUMIFS(INDEX('Калькуляция (МИ корр)'!$AJ$25:$BC$603,,MATCH(AJ$8,'Калькуляция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(МИ)'!$AJ$25:$BC$603,,MATCH(AJ$8,'Калькуляция (МИ)'!$AJ$8:$BC$8,0)),'Калькуляция (МИ)'!$F$25:$F$603,$F35,'Калькуляция (МИ)'!$G$25:$G$603,$G35))))</f>
        <v>0</v>
      </c>
      <c r="AK35" s="861">
        <f ca="1">IF(AND(method_reg="Метод индексации",god&lt;&gt;first_year),SUMIFS(INDEX('Калькуляция (МИ корр)'!$AJ$25:$BC$603,,MATCH(AK$8,'Калькуляция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(МИ)'!$AJ$25:$BC$603,,MATCH(AK$8,'Калькуляция (МИ)'!$AJ$8:$BC$8,0)),'Калькуляция (МИ)'!$F$25:$F$603,$F35,'Калькуляция (МИ)'!$G$25:$G$603,$G35))))</f>
        <v>0</v>
      </c>
      <c r="AL35" s="208">
        <f ca="1">IF(AJ35=0,0,(AK35-AJ35)/AJ35*100)</f>
        <v>0</v>
      </c>
      <c r="AM35" s="861">
        <f ca="1">IF(AND(method_reg="Метод индексации",god&lt;&gt;first_year),SUMIFS(INDEX('Калькуляция (МИ корр)'!$AJ$25:$BC$603,,MATCH(AM$8,'Калькуляция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(МИ)'!$AJ$25:$BC$603,,MATCH(AM$8,'Калькуляция (МИ)'!$AJ$8:$BC$8,0)),'Калькуляция (МИ)'!$F$25:$F$603,$F35,'Калькуляция (МИ)'!$G$25:$G$603,$G35))))</f>
        <v>0</v>
      </c>
      <c r="AN35" s="861">
        <f ca="1">IF(AND(method_reg="Метод индексации",god&lt;&gt;first_year),SUMIFS(INDEX('Калькуляция (МИ корр)'!$AJ$25:$BC$603,,MATCH(AN$8,'Калькуляция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(МИ)'!$AJ$25:$BC$603,,MATCH(AN$8,'Калькуляция (МИ)'!$AJ$8:$BC$8,0)),'Калькуляция (МИ)'!$F$25:$F$603,$F35,'Калькуляция (МИ)'!$G$25:$G$603,$G35))))</f>
        <v>0</v>
      </c>
      <c r="AO35" s="208">
        <f ca="1">IF(AM35=0,0,(AN35-AM35)/AM35*100)</f>
        <v>0</v>
      </c>
      <c r="AP35" s="861">
        <f ca="1">IF(AND(method_reg="Метод индексации",god&lt;&gt;first_year),SUMIFS(INDEX('Калькуляция (МИ корр)'!$AJ$25:$BC$603,,MATCH(AP$8,'Калькуляция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(МИ)'!$AJ$25:$BC$603,,MATCH(AP$8,'Калькуляция (МИ)'!$AJ$8:$BC$8,0)),'Калькуляция (МИ)'!$F$25:$F$603,$F35,'Калькуляция (МИ)'!$G$25:$G$603,$G35))))</f>
        <v>0</v>
      </c>
      <c r="AQ35" s="861">
        <f ca="1">IF(AND(method_reg="Метод индексации",god&lt;&gt;first_year),SUMIFS(INDEX('Калькуляция (МИ корр)'!$AJ$25:$BC$603,,MATCH(AQ$8,'Калькуляция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(МИ)'!$AJ$25:$BC$603,,MATCH(AQ$8,'Калькуляция (МИ)'!$AJ$8:$BC$8,0)),'Калькуляция (МИ)'!$F$25:$F$603,$F35,'Калькуляция (МИ)'!$G$25:$G$603,$G35))))</f>
        <v>0</v>
      </c>
      <c r="AR35" s="208">
        <f ca="1">IF(AP35=0,0,(AQ35-AP35)/AP35*100)</f>
        <v>0</v>
      </c>
      <c r="AS35" s="861">
        <f ca="1">IF(AND(method_reg="Метод индексации",god&lt;&gt;first_year),SUMIFS(INDEX('Калькуляция (МИ корр)'!$AJ$25:$BC$603,,MATCH(AS$8,'Калькуляция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(МИ)'!$AJ$25:$BC$603,,MATCH(AS$8,'Калькуляция (МИ)'!$AJ$8:$BC$8,0)),'Калькуляция (МИ)'!$F$25:$F$603,$F35,'Калькуляция (МИ)'!$G$25:$G$603,$G35))))</f>
        <v>0</v>
      </c>
      <c r="AT35" s="861">
        <f ca="1">IF(AND(method_reg="Метод индексации",god&lt;&gt;first_year),SUMIFS(INDEX('Калькуляция (МИ корр)'!$AJ$25:$BC$603,,MATCH(AT$8,'Калькуляция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(МИ)'!$AJ$25:$BC$603,,MATCH(AT$8,'Калькуляция (МИ)'!$AJ$8:$BC$8,0)),'Калькуляция (МИ)'!$F$25:$F$603,$F35,'Калькуляция (МИ)'!$G$25:$G$603,$G35))))</f>
        <v>0</v>
      </c>
      <c r="AU35" s="208">
        <f ca="1">IF(AS35=0,0,(AT35-AS35)/AS35*100)</f>
        <v>0</v>
      </c>
      <c r="AV35" s="861">
        <f ca="1">IF(AND(method_reg="Метод индексации",god&lt;&gt;first_year),SUMIFS(INDEX('Калькуляция (МИ корр)'!$AJ$25:$BC$603,,MATCH(AV$8,'Калькуляция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(МИ)'!$AJ$25:$BC$603,,MATCH(AV$8,'Калькуляция (МИ)'!$AJ$8:$BC$8,0)),'Калькуляция (МИ)'!$F$25:$F$603,$F35,'Калькуляция (МИ)'!$G$25:$G$603,$G35))))</f>
        <v>0</v>
      </c>
      <c r="AW35" s="861">
        <f ca="1">IF(AND(method_reg="Метод индексации",god&lt;&gt;first_year),SUMIFS(INDEX('Калькуляция (МИ корр)'!$AJ$25:$BC$603,,MATCH(AW$8,'Калькуляция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(МИ)'!$AJ$25:$BC$603,,MATCH(AW$8,'Калькуляция (МИ)'!$AJ$8:$BC$8,0)),'Калькуляция (МИ)'!$F$25:$F$603,$F35,'Калькуляция (МИ)'!$G$25:$G$603,$G35))))</f>
        <v>0</v>
      </c>
      <c r="AX35" s="208">
        <f ca="1">IF(AV35=0,0,(AW35-AV35)/AV35*100)</f>
        <v>0</v>
      </c>
      <c r="AY35" s="861">
        <f ca="1">IF(AND(method_reg="Метод индексации",god&lt;&gt;first_year),SUMIFS(INDEX('Калькуляция (МИ корр)'!$AJ$25:$BC$603,,MATCH(AY$8,'Калькуляция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(МИ)'!$AJ$25:$BC$603,,MATCH(AY$8,'Калькуляция (МИ)'!$AJ$8:$BC$8,0)),'Калькуляция (МИ)'!$F$25:$F$603,$F35,'Калькуляция (МИ)'!$G$25:$G$603,$G35))))</f>
        <v>0</v>
      </c>
      <c r="AZ35" s="861">
        <f ca="1">IF(AND(method_reg="Метод индексации",god&lt;&gt;first_year),SUMIFS(INDEX('Калькуляция (МИ корр)'!$AJ$25:$BC$603,,MATCH(AZ$8,'Калькуляция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(МИ)'!$AJ$25:$BC$603,,MATCH(AZ$8,'Калькуляция (МИ)'!$AJ$8:$BC$8,0)),'Калькуляция (МИ)'!$F$25:$F$603,$F35,'Калькуляция (МИ)'!$G$25:$G$603,$G35))))</f>
        <v>0</v>
      </c>
      <c r="BA35" s="208">
        <f ca="1">IF(AY35=0,0,(AZ35-AY35)/AY35*100)</f>
        <v>0</v>
      </c>
      <c r="BB35" s="861">
        <f ca="1">IF(AND(method_reg="Метод индексации",god&lt;&gt;first_year),SUMIFS(INDEX('Калькуляция (МИ корр)'!$AJ$25:$BC$603,,MATCH(BB$8,'Калькуляция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(МИ)'!$AJ$25:$BC$603,,MATCH(BB$8,'Калькуляция (МИ)'!$AJ$8:$BC$8,0)),'Калькуляция (МИ)'!$F$25:$F$603,$F35,'Калькуляция (МИ)'!$G$25:$G$603,$G35))))</f>
        <v>0</v>
      </c>
      <c r="BC35" s="861">
        <f ca="1">IF(AND(method_reg="Метод индексации",god&lt;&gt;first_year),SUMIFS(INDEX('Калькуляция (МИ корр)'!$AJ$25:$BC$603,,MATCH(BC$8,'Калькуляция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(МИ)'!$AJ$25:$BC$603,,MATCH(BC$8,'Калькуляция (МИ)'!$AJ$8:$BC$8,0)),'Калькуляция (МИ)'!$F$25:$F$603,$F35,'Калькуляция (МИ)'!$G$25:$G$603,$G35))))</f>
        <v>0</v>
      </c>
      <c r="BD35" s="208">
        <f ca="1">IF(BB35=0,0,(BC35-BB35)/BB35*100)</f>
        <v>0</v>
      </c>
      <c r="BE35" s="861">
        <f ca="1">IF(AND(method_reg="Метод индексации",god&lt;&gt;first_year),SUMIFS(INDEX('Калькуляция (МИ корр)'!$AJ$25:$BC$603,,MATCH(BE$8,'Калькуляция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(МИ)'!$AJ$25:$BC$603,,MATCH(BE$8,'Калькуляция (МИ)'!$AJ$8:$BC$8,0)),'Калькуляция (МИ)'!$F$25:$F$603,$F35,'Калькуляция (МИ)'!$G$25:$G$603,$G35))))</f>
        <v>0</v>
      </c>
      <c r="BF35" s="861">
        <f ca="1">IF(AND(method_reg="Метод индексации",god&lt;&gt;first_year),SUMIFS(INDEX('Калькуляция (МИ корр)'!$AJ$25:$BC$603,,MATCH(BF$8,'Калькуляция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(МИ)'!$AJ$25:$BC$603,,MATCH(BF$8,'Калькуляция (МИ)'!$AJ$8:$BC$8,0)),'Калькуляция (МИ)'!$F$25:$F$603,$F35,'Калькуляция (МИ)'!$G$25:$G$603,$G35))))</f>
        <v>0</v>
      </c>
      <c r="BG35" s="208">
        <f ca="1">IF(BE35=0,0,(BF35-BE35)/BE35*100)</f>
        <v>0</v>
      </c>
      <c r="BH35" s="861"/>
      <c r="BI35" s="861"/>
      <c r="BJ35" s="208">
        <f>IF(BH35=0,0,(BI35-BH35)/BH35*100)</f>
        <v>0</v>
      </c>
      <c r="BK35" s="861"/>
      <c r="BL35" s="861"/>
      <c r="BM35" s="208">
        <f>IF(BK35=0,0,(BL35-BK35)/BK35*100)</f>
        <v>0</v>
      </c>
      <c r="BN35" s="861"/>
      <c r="BO35" s="861"/>
      <c r="BP35" s="208">
        <f>IF(BN35=0,0,(BO35-BN35)/BN35*100)</f>
        <v>0</v>
      </c>
      <c r="BQ35" s="861"/>
      <c r="BR35" s="861"/>
      <c r="BS35" s="208">
        <f>IF(BQ35=0,0,(BR35-BQ35)/BQ35*100)</f>
        <v>0</v>
      </c>
      <c r="BT35" s="861"/>
      <c r="BU35" s="861"/>
      <c r="BV35" s="208">
        <f>IF(BT35=0,0,(BU35-BT35)/BT35*100)</f>
        <v>0</v>
      </c>
      <c r="BW35" s="861"/>
      <c r="BX35" s="861"/>
      <c r="BY35" s="208">
        <f>IF(BW35=0,0,(BX35-BW35)/BW35*100)</f>
        <v>0</v>
      </c>
      <c r="BZ35" s="861"/>
      <c r="CA35" s="861"/>
      <c r="CB35" s="208">
        <f>IF(BZ35=0,0,(CA35-BZ35)/BZ35*100)</f>
        <v>0</v>
      </c>
      <c r="CC35" s="861"/>
      <c r="CD35" s="861"/>
      <c r="CE35" s="208">
        <f>IF(CC35=0,0,(CD35-CC35)/CC35*100)</f>
        <v>0</v>
      </c>
      <c r="CF35" s="861"/>
      <c r="CG35" s="861"/>
      <c r="CH35" s="208">
        <f>IF(CF35=0,0,(CG35-CF35)/CF35*100)</f>
        <v>0</v>
      </c>
      <c r="CI35" s="861"/>
      <c r="CJ35" s="861"/>
      <c r="CK35" s="208">
        <f>IF(CI35=0,0,(CJ35-CI35)/CI35*100)</f>
        <v>0</v>
      </c>
      <c r="CL35" s="861"/>
      <c r="CM35" s="861"/>
      <c r="CN35" s="208">
        <f>IF(CL35=0,0,(CM35-CL35)/CL35*100)</f>
        <v>0</v>
      </c>
      <c r="CO35" s="861"/>
      <c r="CP35" s="861"/>
      <c r="CQ35" s="208">
        <f>IF(CO35=0,0,(CP35-CO35)/CO35*100)</f>
        <v>0</v>
      </c>
      <c r="CR35" s="861"/>
      <c r="CS35" s="861"/>
      <c r="CT35" s="208">
        <f>IF(CR35=0,0,(CS35-CR35)/CR35*100)</f>
        <v>0</v>
      </c>
      <c r="CU35" s="861"/>
      <c r="CV35" s="861"/>
      <c r="CW35" s="208">
        <f>IF(CU35=0,0,(CV35-CU35)/CU35*100)</f>
        <v>0</v>
      </c>
      <c r="CX35" s="861"/>
      <c r="CY35" s="861"/>
      <c r="CZ35" s="208">
        <f>IF(CX35=0,0,(CY35-CX35)/CX35*100)</f>
        <v>0</v>
      </c>
      <c r="DA35" s="861"/>
      <c r="DB35" s="861"/>
      <c r="DC35" s="208">
        <f>IF(DA35=0,0,(DB35-DA35)/DA35*100)</f>
        <v>0</v>
      </c>
      <c r="DD35" s="861"/>
      <c r="DE35" s="861"/>
      <c r="DF35" s="208">
        <f>IF(DD35=0,0,(DE35-DD35)/DD35*100)</f>
        <v>0</v>
      </c>
      <c r="DG35" s="862"/>
      <c r="DH35" s="862"/>
      <c r="DI35" s="208">
        <f>IF(DG35=0,0,(DH35-DG35)/DG35*100)</f>
        <v>0</v>
      </c>
      <c r="DJ35" s="862"/>
      <c r="DK35" s="862"/>
      <c r="DL35" s="208">
        <f>IF(DJ35=0,0,(DK35-DJ35)/DJ35*100)</f>
        <v>0</v>
      </c>
      <c r="DM35" s="862"/>
      <c r="DN35" s="862"/>
      <c r="DO35" s="208">
        <f>IF(DM35=0,0,(DN35-DM35)/DM35*100)</f>
        <v>0</v>
      </c>
      <c r="DP35" s="862"/>
      <c r="DQ35" s="862"/>
      <c r="DR35" s="208">
        <f>IF(DP35=0,0,(DQ35-DP35)/DP35*100)</f>
        <v>0</v>
      </c>
      <c r="DS35" s="862"/>
      <c r="DT35" s="862"/>
      <c r="DU35" s="208">
        <f>IF(DS35=0,0,(DT35-DS35)/DS35*100)</f>
        <v>0</v>
      </c>
      <c r="DV35" s="862"/>
      <c r="DW35" s="862"/>
      <c r="DX35" s="208">
        <f>IF(DV35=0,0,(DW35-DV35)/DV35*100)</f>
        <v>0</v>
      </c>
      <c r="DY35" s="862"/>
      <c r="DZ35" s="862"/>
      <c r="EA35" s="208">
        <f>IF(DY35=0,0,(DZ35-DY35)/DY35*100)</f>
        <v>0</v>
      </c>
      <c r="EB35" s="862"/>
      <c r="EC35" s="862"/>
      <c r="ED35" s="208">
        <f>IF(EB35=0,0,(EC35-EB35)/EB35*100)</f>
        <v>0</v>
      </c>
      <c r="EE35" s="862"/>
      <c r="EF35" s="862"/>
      <c r="EG35" s="208">
        <f>IF(EE35=0,0,(EF35-EE35)/EE35*100)</f>
        <v>0</v>
      </c>
      <c r="EH35" s="862"/>
      <c r="EI35" s="862"/>
      <c r="EJ35" s="208">
        <f>IF(EH35=0,0,(EI35-EH35)/EH35*100)</f>
        <v>0</v>
      </c>
      <c r="EK35" s="862"/>
      <c r="EL35" s="862"/>
      <c r="EM35" s="208">
        <f>IF(EK35=0,0,(EL35-EK35)/EK35*100)</f>
        <v>0</v>
      </c>
      <c r="EN35" s="862"/>
      <c r="EO35" s="862"/>
      <c r="EP35" s="208">
        <f>IF(EN35=0,0,(EO35-EN35)/EN35*100)</f>
        <v>0</v>
      </c>
      <c r="EQ35" s="862"/>
      <c r="ER35" s="862"/>
      <c r="ES35" s="208">
        <f>IF(EQ35=0,0,(ER35-EQ35)/EQ35*100)</f>
        <v>0</v>
      </c>
      <c r="ET35" s="862"/>
      <c r="EU35" s="862"/>
      <c r="EV35" s="208">
        <f>IF(ET35=0,0,(EU35-ET35)/ET35*100)</f>
        <v>0</v>
      </c>
      <c r="EW35" s="862"/>
      <c r="EX35" s="862"/>
      <c r="EY35" s="208">
        <f>IF(EW35=0,0,(EX35-EW35)/EW35*100)</f>
        <v>0</v>
      </c>
      <c r="EZ35" s="862"/>
      <c r="FA35" s="862"/>
      <c r="FB35" s="208">
        <f>IF(EZ35=0,0,(FA35-EZ35)/EZ35*100)</f>
        <v>0</v>
      </c>
      <c r="FC35" s="862"/>
      <c r="FD35" s="862"/>
      <c r="FE35" s="208">
        <f>IF(FC35=0,0,(FD35-FC35)/FC35*100)</f>
        <v>0</v>
      </c>
      <c r="FF35" s="862"/>
      <c r="FG35" s="862"/>
      <c r="FH35" s="208">
        <f>IF(FF35=0,0,(FG35-FF35)/FF35*100)</f>
        <v>0</v>
      </c>
      <c r="FI35" s="862"/>
      <c r="FJ35" s="862"/>
      <c r="FK35" s="208">
        <f>IF(FI35=0,0,(FJ35-FI35)/FI35*100)</f>
        <v>0</v>
      </c>
      <c r="FL35" s="862"/>
      <c r="FM35" s="862"/>
      <c r="FN35" s="208">
        <f>IF(FL35=0,0,(FM35-FL35)/FL35*100)</f>
        <v>0</v>
      </c>
      <c r="FO35" s="862"/>
      <c r="FP35" s="862"/>
      <c r="FQ35" s="208">
        <f>IF(FO35=0,0,(FP35-FO35)/FO35*100)</f>
        <v>0</v>
      </c>
      <c r="FR35" s="862"/>
      <c r="FS35" s="862"/>
      <c r="FT35" s="208">
        <f>IF(FR35=0,0,(FS35-FR35)/FR35*100)</f>
        <v>0</v>
      </c>
      <c r="FU35" s="862"/>
      <c r="FV35" s="862"/>
      <c r="FW35" s="208">
        <f>IF(FU35=0,0,(FV35-FU35)/FU35*100)</f>
        <v>0</v>
      </c>
      <c r="FZ35" s="691" t="s">
        <v>1649</v>
      </c>
      <c r="GA35" s="691"/>
      <c r="GB35" s="691"/>
      <c r="GC35" s="692"/>
      <c r="GD35" s="692"/>
    </row>
    <row r="36" spans="1:186" ht="14.65" hidden="1" customHeight="1" x14ac:dyDescent="0.15">
      <c r="A36" s="59"/>
      <c r="B36" s="613" t="b" cm="1">
        <f t="array" ref="B36">B35</f>
        <v>0</v>
      </c>
      <c r="C36" s="59"/>
      <c r="D36" s="59"/>
      <c r="E36" s="462">
        <v>15</v>
      </c>
      <c r="F36" s="3" cm="1">
        <f t="array" aca="1" ref="F36" ca="1">OFFSET(E36,-1,1)</f>
        <v>0</v>
      </c>
      <c r="G36" s="59"/>
      <c r="H36" s="59" t="s">
        <v>486</v>
      </c>
      <c r="I36" s="59" t="s">
        <v>1650</v>
      </c>
      <c r="J36" s="59"/>
      <c r="K36" s="59"/>
      <c r="L36" s="59"/>
      <c r="M36" s="59"/>
      <c r="N36" s="59"/>
      <c r="O36" s="59"/>
      <c r="P36" s="59"/>
      <c r="Q36" s="59"/>
      <c r="R36" s="59"/>
      <c r="S36" s="59"/>
      <c r="T36" s="353" t="b" cm="1">
        <f t="array" ref="T36">T35</f>
        <v>0</v>
      </c>
      <c r="U36" s="59"/>
      <c r="V36" s="59"/>
      <c r="W36" s="59"/>
      <c r="X36" s="1022"/>
      <c r="Y36" s="59"/>
      <c r="Z36" s="966"/>
      <c r="AA36" s="59"/>
      <c r="AB36" s="54" t="s">
        <v>1651</v>
      </c>
      <c r="AC36" s="12" t="s">
        <v>476</v>
      </c>
      <c r="AD36" s="620">
        <f ca="1">IF(AD34=0,0,AD35/AD34)*100</f>
        <v>0</v>
      </c>
      <c r="AE36" s="620">
        <f ca="1">IF(AE34=0,0,AE35/AE34)*100</f>
        <v>0</v>
      </c>
      <c r="AF36" s="714"/>
      <c r="AG36" s="620">
        <f ca="1">IF(AG34=0,0,AG35/AG34)*100</f>
        <v>0</v>
      </c>
      <c r="AH36" s="620">
        <f ca="1">IF(AH34=0,0,AH35/AH34)*100</f>
        <v>0</v>
      </c>
      <c r="AI36" s="714"/>
      <c r="AJ36" s="620">
        <f ca="1">IF(AJ34=0,0,AJ35/AJ34)*100</f>
        <v>0</v>
      </c>
      <c r="AK36" s="620">
        <f ca="1">IF(AK34=0,0,AK35/AK34)*100</f>
        <v>0</v>
      </c>
      <c r="AL36" s="714"/>
      <c r="AM36" s="620">
        <f ca="1">IF(AM34=0,0,AM35/AM34)*100</f>
        <v>0</v>
      </c>
      <c r="AN36" s="620">
        <f ca="1">IF(AN34=0,0,AN35/AN34)*100</f>
        <v>0</v>
      </c>
      <c r="AO36" s="714"/>
      <c r="AP36" s="620">
        <f ca="1">IF(AP34=0,0,AP35/AP34)*100</f>
        <v>0</v>
      </c>
      <c r="AQ36" s="620">
        <f ca="1">IF(AQ34=0,0,AQ35/AQ34)*100</f>
        <v>0</v>
      </c>
      <c r="AR36" s="714"/>
      <c r="AS36" s="620">
        <f ca="1">IF(AS34=0,0,AS35/AS34)*100</f>
        <v>0</v>
      </c>
      <c r="AT36" s="620">
        <f ca="1">IF(AT34=0,0,AT35/AT34)*100</f>
        <v>0</v>
      </c>
      <c r="AU36" s="714"/>
      <c r="AV36" s="620">
        <f ca="1">IF(AV34=0,0,AV35/AV34)*100</f>
        <v>0</v>
      </c>
      <c r="AW36" s="620">
        <f ca="1">IF(AW34=0,0,AW35/AW34)*100</f>
        <v>0</v>
      </c>
      <c r="AX36" s="714"/>
      <c r="AY36" s="620">
        <f ca="1">IF(AY34=0,0,AY35/AY34)*100</f>
        <v>0</v>
      </c>
      <c r="AZ36" s="620">
        <f ca="1">IF(AZ34=0,0,AZ35/AZ34)*100</f>
        <v>0</v>
      </c>
      <c r="BA36" s="714"/>
      <c r="BB36" s="620">
        <f ca="1">IF(BB34=0,0,BB35/BB34)*100</f>
        <v>0</v>
      </c>
      <c r="BC36" s="620">
        <f ca="1">IF(BC34=0,0,BC35/BC34)*100</f>
        <v>0</v>
      </c>
      <c r="BD36" s="714"/>
      <c r="BE36" s="620">
        <f ca="1">IF(BE34=0,0,BE35/BE34)*100</f>
        <v>0</v>
      </c>
      <c r="BF36" s="620">
        <f ca="1">IF(BF34=0,0,BF35/BF34)*100</f>
        <v>0</v>
      </c>
      <c r="BG36" s="714"/>
      <c r="BH36" s="620">
        <f>IF(BH34=0,0,BH35/BH34)*100</f>
        <v>0</v>
      </c>
      <c r="BI36" s="620">
        <f>IF(BI34=0,0,BI35/BI34)*100</f>
        <v>0</v>
      </c>
      <c r="BJ36" s="714"/>
      <c r="BK36" s="620">
        <f>IF(BK34=0,0,BK35/BK34)*100</f>
        <v>0</v>
      </c>
      <c r="BL36" s="620">
        <f>IF(BL34=0,0,BL35/BL34)*100</f>
        <v>0</v>
      </c>
      <c r="BM36" s="714"/>
      <c r="BN36" s="620">
        <f>IF(BN34=0,0,BN35/BN34)*100</f>
        <v>0</v>
      </c>
      <c r="BO36" s="620">
        <f>IF(BO34=0,0,BO35/BO34)*100</f>
        <v>0</v>
      </c>
      <c r="BP36" s="714"/>
      <c r="BQ36" s="620">
        <f>IF(BQ34=0,0,BQ35/BQ34)*100</f>
        <v>0</v>
      </c>
      <c r="BR36" s="620">
        <f>IF(BR34=0,0,BR35/BR34)*100</f>
        <v>0</v>
      </c>
      <c r="BS36" s="714"/>
      <c r="BT36" s="620">
        <f>IF(BT34=0,0,BT35/BT34)*100</f>
        <v>0</v>
      </c>
      <c r="BU36" s="620">
        <f>IF(BU34=0,0,BU35/BU34)*100</f>
        <v>0</v>
      </c>
      <c r="BV36" s="714"/>
      <c r="BW36" s="620">
        <f>IF(BW34=0,0,BW35/BW34)*100</f>
        <v>0</v>
      </c>
      <c r="BX36" s="620">
        <f>IF(BX34=0,0,BX35/BX34)*100</f>
        <v>0</v>
      </c>
      <c r="BY36" s="714"/>
      <c r="BZ36" s="620">
        <f>IF(BZ34=0,0,BZ35/BZ34)*100</f>
        <v>0</v>
      </c>
      <c r="CA36" s="620">
        <f>IF(CA34=0,0,CA35/CA34)*100</f>
        <v>0</v>
      </c>
      <c r="CB36" s="714"/>
      <c r="CC36" s="620">
        <f>IF(CC34=0,0,CC35/CC34)*100</f>
        <v>0</v>
      </c>
      <c r="CD36" s="620">
        <f>IF(CD34=0,0,CD35/CD34)*100</f>
        <v>0</v>
      </c>
      <c r="CE36" s="714"/>
      <c r="CF36" s="620">
        <f>IF(CF34=0,0,CF35/CF34)*100</f>
        <v>0</v>
      </c>
      <c r="CG36" s="620">
        <f>IF(CG34=0,0,CG35/CG34)*100</f>
        <v>0</v>
      </c>
      <c r="CH36" s="714"/>
      <c r="CI36" s="620">
        <f>IF(CI34=0,0,CI35/CI34)*100</f>
        <v>0</v>
      </c>
      <c r="CJ36" s="620">
        <f>IF(CJ34=0,0,CJ35/CJ34)*100</f>
        <v>0</v>
      </c>
      <c r="CK36" s="714"/>
      <c r="CL36" s="620">
        <f>IF(CL34=0,0,CL35/CL34)*100</f>
        <v>0</v>
      </c>
      <c r="CM36" s="620">
        <f>IF(CM34=0,0,CM35/CM34)*100</f>
        <v>0</v>
      </c>
      <c r="CN36" s="714"/>
      <c r="CO36" s="620">
        <f>IF(CO34=0,0,CO35/CO34)*100</f>
        <v>0</v>
      </c>
      <c r="CP36" s="620">
        <f>IF(CP34=0,0,CP35/CP34)*100</f>
        <v>0</v>
      </c>
      <c r="CQ36" s="714"/>
      <c r="CR36" s="620">
        <f>IF(CR34=0,0,CR35/CR34)*100</f>
        <v>0</v>
      </c>
      <c r="CS36" s="620">
        <f>IF(CS34=0,0,CS35/CS34)*100</f>
        <v>0</v>
      </c>
      <c r="CT36" s="714"/>
      <c r="CU36" s="620">
        <f>IF(CU34=0,0,CU35/CU34)*100</f>
        <v>0</v>
      </c>
      <c r="CV36" s="620">
        <f>IF(CV34=0,0,CV35/CV34)*100</f>
        <v>0</v>
      </c>
      <c r="CW36" s="714"/>
      <c r="CX36" s="620">
        <f>IF(CX34=0,0,CX35/CX34)*100</f>
        <v>0</v>
      </c>
      <c r="CY36" s="620">
        <f>IF(CY34=0,0,CY35/CY34)*100</f>
        <v>0</v>
      </c>
      <c r="CZ36" s="714"/>
      <c r="DA36" s="620">
        <f>IF(DA34=0,0,DA35/DA34)*100</f>
        <v>0</v>
      </c>
      <c r="DB36" s="620">
        <f>IF(DB34=0,0,DB35/DB34)*100</f>
        <v>0</v>
      </c>
      <c r="DC36" s="714"/>
      <c r="DD36" s="620">
        <f>IF(DD34=0,0,DD35/DD34)*100</f>
        <v>0</v>
      </c>
      <c r="DE36" s="620">
        <f>IF(DE34=0,0,DE35/DE34)*100</f>
        <v>0</v>
      </c>
      <c r="DF36" s="714"/>
      <c r="DG36" s="620">
        <f>IF(DG34=0,0,DG35/DG34)*100</f>
        <v>0</v>
      </c>
      <c r="DH36" s="620">
        <f>IF(DH34=0,0,DH35/DH34)*100</f>
        <v>0</v>
      </c>
      <c r="DI36" s="714"/>
      <c r="DJ36" s="620">
        <f>IF(DJ34=0,0,DJ35/DJ34)*100</f>
        <v>0</v>
      </c>
      <c r="DK36" s="620">
        <f>IF(DK34=0,0,DK35/DK34)*100</f>
        <v>0</v>
      </c>
      <c r="DL36" s="714"/>
      <c r="DM36" s="620">
        <f>IF(DM34=0,0,DM35/DM34)*100</f>
        <v>0</v>
      </c>
      <c r="DN36" s="620">
        <f>IF(DN34=0,0,DN35/DN34)*100</f>
        <v>0</v>
      </c>
      <c r="DO36" s="714"/>
      <c r="DP36" s="620">
        <f>IF(DP34=0,0,DP35/DP34)*100</f>
        <v>0</v>
      </c>
      <c r="DQ36" s="620">
        <f>IF(DQ34=0,0,DQ35/DQ34)*100</f>
        <v>0</v>
      </c>
      <c r="DR36" s="714"/>
      <c r="DS36" s="620">
        <f>IF(DS34=0,0,DS35/DS34)*100</f>
        <v>0</v>
      </c>
      <c r="DT36" s="620">
        <f>IF(DT34=0,0,DT35/DT34)*100</f>
        <v>0</v>
      </c>
      <c r="DU36" s="714"/>
      <c r="DV36" s="620">
        <f>IF(DV34=0,0,DV35/DV34)*100</f>
        <v>0</v>
      </c>
      <c r="DW36" s="620">
        <f>IF(DW34=0,0,DW35/DW34)*100</f>
        <v>0</v>
      </c>
      <c r="DX36" s="714"/>
      <c r="DY36" s="620">
        <f>IF(DY34=0,0,DY35/DY34)*100</f>
        <v>0</v>
      </c>
      <c r="DZ36" s="620">
        <f>IF(DZ34=0,0,DZ35/DZ34)*100</f>
        <v>0</v>
      </c>
      <c r="EA36" s="714"/>
      <c r="EB36" s="620">
        <f>IF(EB34=0,0,EB35/EB34)*100</f>
        <v>0</v>
      </c>
      <c r="EC36" s="620">
        <f>IF(EC34=0,0,EC35/EC34)*100</f>
        <v>0</v>
      </c>
      <c r="ED36" s="714"/>
      <c r="EE36" s="620">
        <f>IF(EE34=0,0,EE35/EE34)*100</f>
        <v>0</v>
      </c>
      <c r="EF36" s="620">
        <f>IF(EF34=0,0,EF35/EF34)*100</f>
        <v>0</v>
      </c>
      <c r="EG36" s="714"/>
      <c r="EH36" s="620">
        <f>IF(EH34=0,0,EH35/EH34)*100</f>
        <v>0</v>
      </c>
      <c r="EI36" s="620">
        <f>IF(EI34=0,0,EI35/EI34)*100</f>
        <v>0</v>
      </c>
      <c r="EJ36" s="714"/>
      <c r="EK36" s="620">
        <f>IF(EK34=0,0,EK35/EK34)*100</f>
        <v>0</v>
      </c>
      <c r="EL36" s="620">
        <f>IF(EL34=0,0,EL35/EL34)*100</f>
        <v>0</v>
      </c>
      <c r="EM36" s="714"/>
      <c r="EN36" s="620">
        <f>IF(EN34=0,0,EN35/EN34)*100</f>
        <v>0</v>
      </c>
      <c r="EO36" s="620">
        <f>IF(EO34=0,0,EO35/EO34)*100</f>
        <v>0</v>
      </c>
      <c r="EP36" s="714"/>
      <c r="EQ36" s="620">
        <f>IF(EQ34=0,0,EQ35/EQ34)*100</f>
        <v>0</v>
      </c>
      <c r="ER36" s="620">
        <f>IF(ER34=0,0,ER35/ER34)*100</f>
        <v>0</v>
      </c>
      <c r="ES36" s="714"/>
      <c r="ET36" s="620">
        <f>IF(ET34=0,0,ET35/ET34)*100</f>
        <v>0</v>
      </c>
      <c r="EU36" s="620">
        <f>IF(EU34=0,0,EU35/EU34)*100</f>
        <v>0</v>
      </c>
      <c r="EV36" s="714"/>
      <c r="EW36" s="620">
        <f>IF(EW34=0,0,EW35/EW34)*100</f>
        <v>0</v>
      </c>
      <c r="EX36" s="620">
        <f>IF(EX34=0,0,EX35/EX34)*100</f>
        <v>0</v>
      </c>
      <c r="EY36" s="714"/>
      <c r="EZ36" s="620">
        <f>IF(EZ34=0,0,EZ35/EZ34)*100</f>
        <v>0</v>
      </c>
      <c r="FA36" s="620">
        <f>IF(FA34=0,0,FA35/FA34)*100</f>
        <v>0</v>
      </c>
      <c r="FB36" s="714"/>
      <c r="FC36" s="620">
        <f>IF(FC34=0,0,FC35/FC34)*100</f>
        <v>0</v>
      </c>
      <c r="FD36" s="620">
        <f>IF(FD34=0,0,FD35/FD34)*100</f>
        <v>0</v>
      </c>
      <c r="FE36" s="714"/>
      <c r="FF36" s="620">
        <f>IF(FF34=0,0,FF35/FF34)*100</f>
        <v>0</v>
      </c>
      <c r="FG36" s="620">
        <f>IF(FG34=0,0,FG35/FG34)*100</f>
        <v>0</v>
      </c>
      <c r="FH36" s="714"/>
      <c r="FI36" s="620">
        <f>IF(FI34=0,0,FI35/FI34)*100</f>
        <v>0</v>
      </c>
      <c r="FJ36" s="620">
        <f>IF(FJ34=0,0,FJ35/FJ34)*100</f>
        <v>0</v>
      </c>
      <c r="FK36" s="714"/>
      <c r="FL36" s="620">
        <f>IF(FL34=0,0,FL35/FL34)*100</f>
        <v>0</v>
      </c>
      <c r="FM36" s="620">
        <f>IF(FM34=0,0,FM35/FM34)*100</f>
        <v>0</v>
      </c>
      <c r="FN36" s="714"/>
      <c r="FO36" s="620">
        <f>IF(FO34=0,0,FO35/FO34)*100</f>
        <v>0</v>
      </c>
      <c r="FP36" s="620">
        <f>IF(FP34=0,0,FP35/FP34)*100</f>
        <v>0</v>
      </c>
      <c r="FQ36" s="714"/>
      <c r="FR36" s="620">
        <f>IF(FR34=0,0,FR35/FR34)*100</f>
        <v>0</v>
      </c>
      <c r="FS36" s="620">
        <f>IF(FS34=0,0,FS35/FS34)*100</f>
        <v>0</v>
      </c>
      <c r="FT36" s="714"/>
      <c r="FU36" s="620">
        <f>IF(FU34=0,0,FU35/FU34)*100</f>
        <v>0</v>
      </c>
      <c r="FV36" s="620">
        <f>IF(FV34=0,0,FV35/FV34)*100</f>
        <v>0</v>
      </c>
      <c r="FW36" s="714"/>
      <c r="FX36" s="204"/>
      <c r="FZ36" s="691" t="s">
        <v>1652</v>
      </c>
    </row>
    <row r="37" spans="1:186" ht="14.65" hidden="1" customHeight="1" x14ac:dyDescent="0.15">
      <c r="A37" s="59"/>
      <c r="B37" s="613" t="b" cm="1">
        <f t="array" ref="B37">B36</f>
        <v>0</v>
      </c>
      <c r="C37" s="59"/>
      <c r="D37" s="59"/>
      <c r="E37" s="462">
        <v>15</v>
      </c>
      <c r="F37" s="3" cm="1">
        <f t="array" aca="1" ref="F37" ca="1">OFFSET(E37,-1,1)</f>
        <v>0</v>
      </c>
      <c r="G37" s="25" t="s">
        <v>1653</v>
      </c>
      <c r="H37" s="59" t="s">
        <v>489</v>
      </c>
      <c r="I37" s="59" t="s">
        <v>1650</v>
      </c>
      <c r="J37" s="59"/>
      <c r="K37" s="59"/>
      <c r="L37" s="59"/>
      <c r="M37" s="59"/>
      <c r="N37" s="59"/>
      <c r="O37" s="59"/>
      <c r="P37" s="59"/>
      <c r="Q37" s="59"/>
      <c r="R37" s="59"/>
      <c r="S37" s="59"/>
      <c r="T37" s="353" t="b" cm="1">
        <f t="array" ref="T37">T36</f>
        <v>0</v>
      </c>
      <c r="U37" s="59"/>
      <c r="V37" s="59"/>
      <c r="W37" s="59"/>
      <c r="X37" s="1022"/>
      <c r="Y37" s="59"/>
      <c r="Z37" s="966"/>
      <c r="AA37" s="59"/>
      <c r="AB37" s="54" t="s">
        <v>1654</v>
      </c>
      <c r="AC37" s="12" t="s">
        <v>558</v>
      </c>
      <c r="AD37" s="836">
        <f ca="1">IF(AND(method_reg="Метод индексации",god&lt;&gt;first_year),SUMIFS(INDEX('Калькуляция (МИ корр)'!$AJ$25:$BC$603,,MATCH(AD$8,'Калькуляция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(МИ)'!$AJ$25:$BC$603,,MATCH(AD$8,'Калькуляция (МИ)'!$AJ$8:$BC$8,0)),'Калькуляция (МИ)'!$F$25:$F$603,$F37,'Калькуляция (МИ)'!$G$25:$G$603,$G37))))</f>
        <v>0</v>
      </c>
      <c r="AE37" s="836">
        <f ca="1">IF(AND(method_reg="Метод индексации",god&lt;&gt;first_year),SUMIFS(INDEX('Калькуляция (МИ корр)'!$AJ$25:$BC$603,,MATCH(AE$8,'Калькуляция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(МИ)'!$AJ$25:$BC$603,,MATCH(AE$8,'Калькуляция (МИ)'!$AJ$8:$BC$8,0)),'Калькуляция (МИ)'!$F$25:$F$603,$F37,'Калькуляция (МИ)'!$G$25:$G$603,$G37))))</f>
        <v>0</v>
      </c>
      <c r="AF37" s="715">
        <f ca="1">IF(AD37=0,0,(AE37-AD37)/AD37*100)</f>
        <v>0</v>
      </c>
      <c r="AG37" s="836">
        <f ca="1">IF(AND(method_reg="Метод индексации",god&lt;&gt;first_year),SUMIFS(INDEX('Калькуляция (МИ корр)'!$AJ$25:$BC$603,,MATCH(AG$8,'Калькуляция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(МИ)'!$AJ$25:$BC$603,,MATCH(AG$8,'Калькуляция (МИ)'!$AJ$8:$BC$8,0)),'Калькуляция (МИ)'!$F$25:$F$603,$F37,'Калькуляция (МИ)'!$G$25:$G$603,$G37))))</f>
        <v>0</v>
      </c>
      <c r="AH37" s="836">
        <f ca="1">IF(AND(method_reg="Метод индексации",god&lt;&gt;first_year),SUMIFS(INDEX('Калькуляция (МИ корр)'!$AJ$25:$BC$603,,MATCH(AH$8,'Калькуляция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(МИ)'!$AJ$25:$BC$603,,MATCH(AH$8,'Калькуляция (МИ)'!$AJ$8:$BC$8,0)),'Калькуляция (МИ)'!$F$25:$F$603,$F37,'Калькуляция (МИ)'!$G$25:$G$603,$G37))))</f>
        <v>0</v>
      </c>
      <c r="AI37" s="715">
        <f ca="1">IF(AG37=0,0,(AH37-AG37)/AG37*100)</f>
        <v>0</v>
      </c>
      <c r="AJ37" s="836">
        <f ca="1">IF(AND(method_reg="Метод индексации",god&lt;&gt;first_year),SUMIFS(INDEX('Калькуляция (МИ корр)'!$AJ$25:$BC$603,,MATCH(AJ$8,'Калькуляция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(МИ)'!$AJ$25:$BC$603,,MATCH(AJ$8,'Калькуляция (МИ)'!$AJ$8:$BC$8,0)),'Калькуляция (МИ)'!$F$25:$F$603,$F37,'Калькуляция (МИ)'!$G$25:$G$603,$G37))))</f>
        <v>0</v>
      </c>
      <c r="AK37" s="836">
        <f ca="1">IF(AND(method_reg="Метод индексации",god&lt;&gt;first_year),SUMIFS(INDEX('Калькуляция (МИ корр)'!$AJ$25:$BC$603,,MATCH(AK$8,'Калькуляция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(МИ)'!$AJ$25:$BC$603,,MATCH(AK$8,'Калькуляция (МИ)'!$AJ$8:$BC$8,0)),'Калькуляция (МИ)'!$F$25:$F$603,$F37,'Калькуляция (МИ)'!$G$25:$G$603,$G37))))</f>
        <v>0</v>
      </c>
      <c r="AL37" s="715">
        <f ca="1">IF(AJ37=0,0,(AK37-AJ37)/AJ37*100)</f>
        <v>0</v>
      </c>
      <c r="AM37" s="836">
        <f ca="1">IF(AND(method_reg="Метод индексации",god&lt;&gt;first_year),SUMIFS(INDEX('Калькуляция (МИ корр)'!$AJ$25:$BC$603,,MATCH(AM$8,'Калькуляция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(МИ)'!$AJ$25:$BC$603,,MATCH(AM$8,'Калькуляция (МИ)'!$AJ$8:$BC$8,0)),'Калькуляция (МИ)'!$F$25:$F$603,$F37,'Калькуляция (МИ)'!$G$25:$G$603,$G37))))</f>
        <v>0</v>
      </c>
      <c r="AN37" s="836">
        <f ca="1">IF(AND(method_reg="Метод индексации",god&lt;&gt;first_year),SUMIFS(INDEX('Калькуляция (МИ корр)'!$AJ$25:$BC$603,,MATCH(AN$8,'Калькуляция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(МИ)'!$AJ$25:$BC$603,,MATCH(AN$8,'Калькуляция (МИ)'!$AJ$8:$BC$8,0)),'Калькуляция (МИ)'!$F$25:$F$603,$F37,'Калькуляция (МИ)'!$G$25:$G$603,$G37))))</f>
        <v>0</v>
      </c>
      <c r="AO37" s="715">
        <f ca="1">IF(AM37=0,0,(AN37-AM37)/AM37*100)</f>
        <v>0</v>
      </c>
      <c r="AP37" s="836">
        <f ca="1">IF(AND(method_reg="Метод индексации",god&lt;&gt;first_year),SUMIFS(INDEX('Калькуляция (МИ корр)'!$AJ$25:$BC$603,,MATCH(AP$8,'Калькуляция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(МИ)'!$AJ$25:$BC$603,,MATCH(AP$8,'Калькуляция (МИ)'!$AJ$8:$BC$8,0)),'Калькуляция (МИ)'!$F$25:$F$603,$F37,'Калькуляция (МИ)'!$G$25:$G$603,$G37))))</f>
        <v>0</v>
      </c>
      <c r="AQ37" s="836">
        <f ca="1">IF(AND(method_reg="Метод индексации",god&lt;&gt;first_year),SUMIFS(INDEX('Калькуляция (МИ корр)'!$AJ$25:$BC$603,,MATCH(AQ$8,'Калькуляция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(МИ)'!$AJ$25:$BC$603,,MATCH(AQ$8,'Калькуляция (МИ)'!$AJ$8:$BC$8,0)),'Калькуляция (МИ)'!$F$25:$F$603,$F37,'Калькуляция (МИ)'!$G$25:$G$603,$G37))))</f>
        <v>0</v>
      </c>
      <c r="AR37" s="715">
        <f ca="1">IF(AP37=0,0,(AQ37-AP37)/AP37*100)</f>
        <v>0</v>
      </c>
      <c r="AS37" s="836">
        <f ca="1">IF(AND(method_reg="Метод индексации",god&lt;&gt;first_year),SUMIFS(INDEX('Калькуляция (МИ корр)'!$AJ$25:$BC$603,,MATCH(AS$8,'Калькуляция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(МИ)'!$AJ$25:$BC$603,,MATCH(AS$8,'Калькуляция (МИ)'!$AJ$8:$BC$8,0)),'Калькуляция (МИ)'!$F$25:$F$603,$F37,'Калькуляция (МИ)'!$G$25:$G$603,$G37))))</f>
        <v>0</v>
      </c>
      <c r="AT37" s="836">
        <f ca="1">IF(AND(method_reg="Метод индексации",god&lt;&gt;first_year),SUMIFS(INDEX('Калькуляция (МИ корр)'!$AJ$25:$BC$603,,MATCH(AT$8,'Калькуляция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(МИ)'!$AJ$25:$BC$603,,MATCH(AT$8,'Калькуляция (МИ)'!$AJ$8:$BC$8,0)),'Калькуляция (МИ)'!$F$25:$F$603,$F37,'Калькуляция (МИ)'!$G$25:$G$603,$G37))))</f>
        <v>0</v>
      </c>
      <c r="AU37" s="715">
        <f ca="1">IF(AS37=0,0,(AT37-AS37)/AS37*100)</f>
        <v>0</v>
      </c>
      <c r="AV37" s="836">
        <f ca="1">IF(AND(method_reg="Метод индексации",god&lt;&gt;first_year),SUMIFS(INDEX('Калькуляция (МИ корр)'!$AJ$25:$BC$603,,MATCH(AV$8,'Калькуляция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(МИ)'!$AJ$25:$BC$603,,MATCH(AV$8,'Калькуляция (МИ)'!$AJ$8:$BC$8,0)),'Калькуляция (МИ)'!$F$25:$F$603,$F37,'Калькуляция (МИ)'!$G$25:$G$603,$G37))))</f>
        <v>0</v>
      </c>
      <c r="AW37" s="836">
        <f ca="1">IF(AND(method_reg="Метод индексации",god&lt;&gt;first_year),SUMIFS(INDEX('Калькуляция (МИ корр)'!$AJ$25:$BC$603,,MATCH(AW$8,'Калькуляция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(МИ)'!$AJ$25:$BC$603,,MATCH(AW$8,'Калькуляция (МИ)'!$AJ$8:$BC$8,0)),'Калькуляция (МИ)'!$F$25:$F$603,$F37,'Калькуляция (МИ)'!$G$25:$G$603,$G37))))</f>
        <v>0</v>
      </c>
      <c r="AX37" s="715">
        <f ca="1">IF(AV37=0,0,(AW37-AV37)/AV37*100)</f>
        <v>0</v>
      </c>
      <c r="AY37" s="836">
        <f ca="1">IF(AND(method_reg="Метод индексации",god&lt;&gt;first_year),SUMIFS(INDEX('Калькуляция (МИ корр)'!$AJ$25:$BC$603,,MATCH(AY$8,'Калькуляция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(МИ)'!$AJ$25:$BC$603,,MATCH(AY$8,'Калькуляция (МИ)'!$AJ$8:$BC$8,0)),'Калькуляция (МИ)'!$F$25:$F$603,$F37,'Калькуляция (МИ)'!$G$25:$G$603,$G37))))</f>
        <v>0</v>
      </c>
      <c r="AZ37" s="836">
        <f ca="1">IF(AND(method_reg="Метод индексации",god&lt;&gt;first_year),SUMIFS(INDEX('Калькуляция (МИ корр)'!$AJ$25:$BC$603,,MATCH(AZ$8,'Калькуляция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(МИ)'!$AJ$25:$BC$603,,MATCH(AZ$8,'Калькуляция (МИ)'!$AJ$8:$BC$8,0)),'Калькуляция (МИ)'!$F$25:$F$603,$F37,'Калькуляция (МИ)'!$G$25:$G$603,$G37))))</f>
        <v>0</v>
      </c>
      <c r="BA37" s="715">
        <f ca="1">IF(AY37=0,0,(AZ37-AY37)/AY37*100)</f>
        <v>0</v>
      </c>
      <c r="BB37" s="836">
        <f ca="1">IF(AND(method_reg="Метод индексации",god&lt;&gt;first_year),SUMIFS(INDEX('Калькуляция (МИ корр)'!$AJ$25:$BC$603,,MATCH(BB$8,'Калькуляция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(МИ)'!$AJ$25:$BC$603,,MATCH(BB$8,'Калькуляция (МИ)'!$AJ$8:$BC$8,0)),'Калькуляция (МИ)'!$F$25:$F$603,$F37,'Калькуляция (МИ)'!$G$25:$G$603,$G37))))</f>
        <v>0</v>
      </c>
      <c r="BC37" s="836">
        <f ca="1">IF(AND(method_reg="Метод индексации",god&lt;&gt;first_year),SUMIFS(INDEX('Калькуляция (МИ корр)'!$AJ$25:$BC$603,,MATCH(BC$8,'Калькуляция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(МИ)'!$AJ$25:$BC$603,,MATCH(BC$8,'Калькуляция (МИ)'!$AJ$8:$BC$8,0)),'Калькуляция (МИ)'!$F$25:$F$603,$F37,'Калькуляция (МИ)'!$G$25:$G$603,$G37))))</f>
        <v>0</v>
      </c>
      <c r="BD37" s="715">
        <f ca="1">IF(BB37=0,0,(BC37-BB37)/BB37*100)</f>
        <v>0</v>
      </c>
      <c r="BE37" s="836">
        <f ca="1">IF(AND(method_reg="Метод индексации",god&lt;&gt;first_year),SUMIFS(INDEX('Калькуляция (МИ корр)'!$AJ$25:$BC$603,,MATCH(BE$8,'Калькуляция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(МИ)'!$AJ$25:$BC$603,,MATCH(BE$8,'Калькуляция (МИ)'!$AJ$8:$BC$8,0)),'Калькуляция (МИ)'!$F$25:$F$603,$F37,'Калькуляция (МИ)'!$G$25:$G$603,$G37))))</f>
        <v>0</v>
      </c>
      <c r="BF37" s="836">
        <f ca="1">IF(AND(method_reg="Метод индексации",god&lt;&gt;first_year),SUMIFS(INDEX('Калькуляция (МИ корр)'!$AJ$25:$BC$603,,MATCH(BF$8,'Калькуляция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(МИ)'!$AJ$25:$BC$603,,MATCH(BF$8,'Калькуляция (МИ)'!$AJ$8:$BC$8,0)),'Калькуляция (МИ)'!$F$25:$F$603,$F37,'Калькуляция (МИ)'!$G$25:$G$603,$G37))))</f>
        <v>0</v>
      </c>
      <c r="BG37" s="715">
        <f ca="1">IF(BE37=0,0,(BF37-BE37)/BE37*100)</f>
        <v>0</v>
      </c>
      <c r="BH37" s="836"/>
      <c r="BI37" s="836"/>
      <c r="BJ37" s="715">
        <f>IF(BH37=0,0,(BI37-BH37)/BH37*100)</f>
        <v>0</v>
      </c>
      <c r="BK37" s="836"/>
      <c r="BL37" s="836"/>
      <c r="BM37" s="715">
        <f>IF(BK37=0,0,(BL37-BK37)/BK37*100)</f>
        <v>0</v>
      </c>
      <c r="BN37" s="836"/>
      <c r="BO37" s="836"/>
      <c r="BP37" s="715">
        <f>IF(BN37=0,0,(BO37-BN37)/BN37*100)</f>
        <v>0</v>
      </c>
      <c r="BQ37" s="836"/>
      <c r="BR37" s="836"/>
      <c r="BS37" s="715">
        <f>IF(BQ37=0,0,(BR37-BQ37)/BQ37*100)</f>
        <v>0</v>
      </c>
      <c r="BT37" s="836"/>
      <c r="BU37" s="836"/>
      <c r="BV37" s="715">
        <f>IF(BT37=0,0,(BU37-BT37)/BT37*100)</f>
        <v>0</v>
      </c>
      <c r="BW37" s="836"/>
      <c r="BX37" s="836"/>
      <c r="BY37" s="715">
        <f>IF(BW37=0,0,(BX37-BW37)/BW37*100)</f>
        <v>0</v>
      </c>
      <c r="BZ37" s="836"/>
      <c r="CA37" s="836"/>
      <c r="CB37" s="715">
        <f>IF(BZ37=0,0,(CA37-BZ37)/BZ37*100)</f>
        <v>0</v>
      </c>
      <c r="CC37" s="836"/>
      <c r="CD37" s="836"/>
      <c r="CE37" s="715">
        <f>IF(CC37=0,0,(CD37-CC37)/CC37*100)</f>
        <v>0</v>
      </c>
      <c r="CF37" s="836"/>
      <c r="CG37" s="836"/>
      <c r="CH37" s="715">
        <f>IF(CF37=0,0,(CG37-CF37)/CF37*100)</f>
        <v>0</v>
      </c>
      <c r="CI37" s="836"/>
      <c r="CJ37" s="836"/>
      <c r="CK37" s="715">
        <f>IF(CI37=0,0,(CJ37-CI37)/CI37*100)</f>
        <v>0</v>
      </c>
      <c r="CL37" s="836"/>
      <c r="CM37" s="836"/>
      <c r="CN37" s="715">
        <f>IF(CL37=0,0,(CM37-CL37)/CL37*100)</f>
        <v>0</v>
      </c>
      <c r="CO37" s="836"/>
      <c r="CP37" s="836"/>
      <c r="CQ37" s="715">
        <f>IF(CO37=0,0,(CP37-CO37)/CO37*100)</f>
        <v>0</v>
      </c>
      <c r="CR37" s="836"/>
      <c r="CS37" s="836"/>
      <c r="CT37" s="715">
        <f>IF(CR37=0,0,(CS37-CR37)/CR37*100)</f>
        <v>0</v>
      </c>
      <c r="CU37" s="836"/>
      <c r="CV37" s="836"/>
      <c r="CW37" s="715">
        <f>IF(CU37=0,0,(CV37-CU37)/CU37*100)</f>
        <v>0</v>
      </c>
      <c r="CX37" s="836"/>
      <c r="CY37" s="836"/>
      <c r="CZ37" s="715">
        <f>IF(CX37=0,0,(CY37-CX37)/CX37*100)</f>
        <v>0</v>
      </c>
      <c r="DA37" s="836"/>
      <c r="DB37" s="836"/>
      <c r="DC37" s="715">
        <f>IF(DA37=0,0,(DB37-DA37)/DA37*100)</f>
        <v>0</v>
      </c>
      <c r="DD37" s="836"/>
      <c r="DE37" s="836"/>
      <c r="DF37" s="715">
        <f>IF(DD37=0,0,(DE37-DD37)/DD37*100)</f>
        <v>0</v>
      </c>
      <c r="DG37" s="836"/>
      <c r="DH37" s="836"/>
      <c r="DI37" s="715">
        <f>IF(DG37=0,0,(DH37-DG37)/DG37*100)</f>
        <v>0</v>
      </c>
      <c r="DJ37" s="836"/>
      <c r="DK37" s="836"/>
      <c r="DL37" s="715">
        <f>IF(DJ37=0,0,(DK37-DJ37)/DJ37*100)</f>
        <v>0</v>
      </c>
      <c r="DM37" s="836"/>
      <c r="DN37" s="836"/>
      <c r="DO37" s="715">
        <f>IF(DM37=0,0,(DN37-DM37)/DM37*100)</f>
        <v>0</v>
      </c>
      <c r="DP37" s="836"/>
      <c r="DQ37" s="836"/>
      <c r="DR37" s="715">
        <f>IF(DP37=0,0,(DQ37-DP37)/DP37*100)</f>
        <v>0</v>
      </c>
      <c r="DS37" s="836"/>
      <c r="DT37" s="836"/>
      <c r="DU37" s="715">
        <f>IF(DS37=0,0,(DT37-DS37)/DS37*100)</f>
        <v>0</v>
      </c>
      <c r="DV37" s="836"/>
      <c r="DW37" s="836"/>
      <c r="DX37" s="715">
        <f>IF(DV37=0,0,(DW37-DV37)/DV37*100)</f>
        <v>0</v>
      </c>
      <c r="DY37" s="836"/>
      <c r="DZ37" s="836"/>
      <c r="EA37" s="715">
        <f>IF(DY37=0,0,(DZ37-DY37)/DY37*100)</f>
        <v>0</v>
      </c>
      <c r="EB37" s="836"/>
      <c r="EC37" s="836"/>
      <c r="ED37" s="715">
        <f>IF(EB37=0,0,(EC37-EB37)/EB37*100)</f>
        <v>0</v>
      </c>
      <c r="EE37" s="836"/>
      <c r="EF37" s="836"/>
      <c r="EG37" s="715">
        <f>IF(EE37=0,0,(EF37-EE37)/EE37*100)</f>
        <v>0</v>
      </c>
      <c r="EH37" s="836"/>
      <c r="EI37" s="836"/>
      <c r="EJ37" s="715">
        <f>IF(EH37=0,0,(EI37-EH37)/EH37*100)</f>
        <v>0</v>
      </c>
      <c r="EK37" s="836"/>
      <c r="EL37" s="836"/>
      <c r="EM37" s="715">
        <f>IF(EK37=0,0,(EL37-EK37)/EK37*100)</f>
        <v>0</v>
      </c>
      <c r="EN37" s="836"/>
      <c r="EO37" s="836"/>
      <c r="EP37" s="715">
        <f>IF(EN37=0,0,(EO37-EN37)/EN37*100)</f>
        <v>0</v>
      </c>
      <c r="EQ37" s="836"/>
      <c r="ER37" s="836"/>
      <c r="ES37" s="715">
        <f>IF(EQ37=0,0,(ER37-EQ37)/EQ37*100)</f>
        <v>0</v>
      </c>
      <c r="ET37" s="836"/>
      <c r="EU37" s="836"/>
      <c r="EV37" s="715">
        <f>IF(ET37=0,0,(EU37-ET37)/ET37*100)</f>
        <v>0</v>
      </c>
      <c r="EW37" s="836"/>
      <c r="EX37" s="836"/>
      <c r="EY37" s="715">
        <f>IF(EW37=0,0,(EX37-EW37)/EW37*100)</f>
        <v>0</v>
      </c>
      <c r="EZ37" s="836"/>
      <c r="FA37" s="836"/>
      <c r="FB37" s="715">
        <f>IF(EZ37=0,0,(FA37-EZ37)/EZ37*100)</f>
        <v>0</v>
      </c>
      <c r="FC37" s="836"/>
      <c r="FD37" s="836"/>
      <c r="FE37" s="715">
        <f>IF(FC37=0,0,(FD37-FC37)/FC37*100)</f>
        <v>0</v>
      </c>
      <c r="FF37" s="836"/>
      <c r="FG37" s="836"/>
      <c r="FH37" s="715">
        <f>IF(FF37=0,0,(FG37-FF37)/FF37*100)</f>
        <v>0</v>
      </c>
      <c r="FI37" s="836"/>
      <c r="FJ37" s="836"/>
      <c r="FK37" s="715">
        <f>IF(FI37=0,0,(FJ37-FI37)/FI37*100)</f>
        <v>0</v>
      </c>
      <c r="FL37" s="836"/>
      <c r="FM37" s="836"/>
      <c r="FN37" s="715">
        <f>IF(FL37=0,0,(FM37-FL37)/FL37*100)</f>
        <v>0</v>
      </c>
      <c r="FO37" s="836"/>
      <c r="FP37" s="836"/>
      <c r="FQ37" s="715">
        <f>IF(FO37=0,0,(FP37-FO37)/FO37*100)</f>
        <v>0</v>
      </c>
      <c r="FR37" s="836"/>
      <c r="FS37" s="836"/>
      <c r="FT37" s="715">
        <f>IF(FR37=0,0,(FS37-FR37)/FR37*100)</f>
        <v>0</v>
      </c>
      <c r="FU37" s="836"/>
      <c r="FV37" s="836"/>
      <c r="FW37" s="715">
        <f>IF(FU37=0,0,(FV37-FU37)/FU37*100)</f>
        <v>0</v>
      </c>
      <c r="FX37" s="204"/>
      <c r="FZ37" s="691" t="s">
        <v>1655</v>
      </c>
    </row>
    <row r="38" spans="1:186" s="204" customFormat="1" ht="23.85" hidden="1" customHeight="1" x14ac:dyDescent="0.15">
      <c r="A38" s="594"/>
      <c r="B38" s="613" t="b" cm="1">
        <f t="array" ref="B38">B37</f>
        <v>0</v>
      </c>
      <c r="C38" s="594"/>
      <c r="D38" s="594"/>
      <c r="E38" s="595">
        <v>24.5</v>
      </c>
      <c r="F38" s="3" cm="1">
        <f t="array" aca="1" ref="F38" ca="1">OFFSET(E38,-1,1)</f>
        <v>0</v>
      </c>
      <c r="G38" s="25" t="s">
        <v>1656</v>
      </c>
      <c r="H38" s="59" t="s">
        <v>482</v>
      </c>
      <c r="I38" s="59" t="s">
        <v>1657</v>
      </c>
      <c r="J38" s="594"/>
      <c r="K38" s="594"/>
      <c r="L38" s="59"/>
      <c r="M38" s="594"/>
      <c r="N38" s="594"/>
      <c r="O38" s="594"/>
      <c r="P38" s="594"/>
      <c r="Q38" s="594"/>
      <c r="R38" s="59"/>
      <c r="S38" s="59"/>
      <c r="T38" s="353" t="b" cm="1">
        <f t="array" ref="T38">T37</f>
        <v>0</v>
      </c>
      <c r="U38" s="594"/>
      <c r="V38" s="594"/>
      <c r="W38" s="594"/>
      <c r="X38" s="1022"/>
      <c r="Y38" s="594"/>
      <c r="Z38" s="966"/>
      <c r="AA38" s="594"/>
      <c r="AB38" s="205" t="s">
        <v>1658</v>
      </c>
      <c r="AC38" s="206" t="s">
        <v>1644</v>
      </c>
      <c r="AD38" s="861">
        <f ca="1">IF(AND(method_reg="Метод индексации",god&lt;&gt;first_year),SUMIFS(INDEX('Калькуляция (МИ корр)'!$AJ$25:$BC$603,,MATCH(AD$8,'Калькуляция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(МИ)'!$AJ$25:$BC$603,,MATCH(AD$8,'Калькуляция (МИ)'!$AJ$8:$BC$8,0)),'Калькуляция (МИ)'!$F$25:$F$603,$F38,'Калькуляция (МИ)'!$G$25:$G$603,$G38))))</f>
        <v>0</v>
      </c>
      <c r="AE38" s="861">
        <f ca="1">IF(AND(method_reg="Метод индексации",god&lt;&gt;first_year),SUMIFS(INDEX('Калькуляция (МИ корр)'!$AJ$25:$BC$603,,MATCH(AE$8,'Калькуляция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(МИ)'!$AJ$25:$BC$603,,MATCH(AE$8,'Калькуляция (МИ)'!$AJ$8:$BC$8,0)),'Калькуляция (МИ)'!$F$25:$F$603,$F38,'Калькуляция (МИ)'!$G$25:$G$603,$G38))))</f>
        <v>0</v>
      </c>
      <c r="AF38" s="208">
        <f ca="1">IF(AD38=0,0,(AE38-AD38)/AD38*100)</f>
        <v>0</v>
      </c>
      <c r="AG38" s="861">
        <f ca="1">IF(AND(method_reg="Метод индексации",god&lt;&gt;first_year),SUMIFS(INDEX('Калькуляция (МИ корр)'!$AJ$25:$BC$603,,MATCH(AG$8,'Калькуляция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(МИ)'!$AJ$25:$BC$603,,MATCH(AG$8,'Калькуляция (МИ)'!$AJ$8:$BC$8,0)),'Калькуляция (МИ)'!$F$25:$F$603,$F38,'Калькуляция (МИ)'!$G$25:$G$603,$G38))))</f>
        <v>0</v>
      </c>
      <c r="AH38" s="861">
        <f ca="1">IF(AND(method_reg="Метод индексации",god&lt;&gt;first_year),SUMIFS(INDEX('Калькуляция (МИ корр)'!$AJ$25:$BC$603,,MATCH(AH$8,'Калькуляция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(МИ)'!$AJ$25:$BC$603,,MATCH(AH$8,'Калькуляция (МИ)'!$AJ$8:$BC$8,0)),'Калькуляция (МИ)'!$F$25:$F$603,$F38,'Калькуляция (МИ)'!$G$25:$G$603,$G38))))</f>
        <v>0</v>
      </c>
      <c r="AI38" s="208">
        <f ca="1">IF(AG38=0,0,(AH38-AG38)/AG38*100)</f>
        <v>0</v>
      </c>
      <c r="AJ38" s="861">
        <f ca="1">IF(AND(method_reg="Метод индексации",god&lt;&gt;first_year),SUMIFS(INDEX('Калькуляция (МИ корр)'!$AJ$25:$BC$603,,MATCH(AJ$8,'Калькуляция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(МИ)'!$AJ$25:$BC$603,,MATCH(AJ$8,'Калькуляция (МИ)'!$AJ$8:$BC$8,0)),'Калькуляция (МИ)'!$F$25:$F$603,$F38,'Калькуляция (МИ)'!$G$25:$G$603,$G38))))</f>
        <v>0</v>
      </c>
      <c r="AK38" s="861">
        <f ca="1">IF(AND(method_reg="Метод индексации",god&lt;&gt;first_year),SUMIFS(INDEX('Калькуляция (МИ корр)'!$AJ$25:$BC$603,,MATCH(AK$8,'Калькуляция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(МИ)'!$AJ$25:$BC$603,,MATCH(AK$8,'Калькуляция (МИ)'!$AJ$8:$BC$8,0)),'Калькуляция (МИ)'!$F$25:$F$603,$F38,'Калькуляция (МИ)'!$G$25:$G$603,$G38))))</f>
        <v>0</v>
      </c>
      <c r="AL38" s="208">
        <f ca="1">IF(AJ38=0,0,(AK38-AJ38)/AJ38*100)</f>
        <v>0</v>
      </c>
      <c r="AM38" s="861">
        <f ca="1">IF(AND(method_reg="Метод индексации",god&lt;&gt;first_year),SUMIFS(INDEX('Калькуляция (МИ корр)'!$AJ$25:$BC$603,,MATCH(AM$8,'Калькуляция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(МИ)'!$AJ$25:$BC$603,,MATCH(AM$8,'Калькуляция (МИ)'!$AJ$8:$BC$8,0)),'Калькуляция (МИ)'!$F$25:$F$603,$F38,'Калькуляция (МИ)'!$G$25:$G$603,$G38))))</f>
        <v>0</v>
      </c>
      <c r="AN38" s="861">
        <f ca="1">IF(AND(method_reg="Метод индексации",god&lt;&gt;first_year),SUMIFS(INDEX('Калькуляция (МИ корр)'!$AJ$25:$BC$603,,MATCH(AN$8,'Калькуляция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(МИ)'!$AJ$25:$BC$603,,MATCH(AN$8,'Калькуляция (МИ)'!$AJ$8:$BC$8,0)),'Калькуляция (МИ)'!$F$25:$F$603,$F38,'Калькуляция (МИ)'!$G$25:$G$603,$G38))))</f>
        <v>0</v>
      </c>
      <c r="AO38" s="208">
        <f ca="1">IF(AM38=0,0,(AN38-AM38)/AM38*100)</f>
        <v>0</v>
      </c>
      <c r="AP38" s="861">
        <f ca="1">IF(AND(method_reg="Метод индексации",god&lt;&gt;first_year),SUMIFS(INDEX('Калькуляция (МИ корр)'!$AJ$25:$BC$603,,MATCH(AP$8,'Калькуляция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(МИ)'!$AJ$25:$BC$603,,MATCH(AP$8,'Калькуляция (МИ)'!$AJ$8:$BC$8,0)),'Калькуляция (МИ)'!$F$25:$F$603,$F38,'Калькуляция (МИ)'!$G$25:$G$603,$G38))))</f>
        <v>0</v>
      </c>
      <c r="AQ38" s="861">
        <f ca="1">IF(AND(method_reg="Метод индексации",god&lt;&gt;first_year),SUMIFS(INDEX('Калькуляция (МИ корр)'!$AJ$25:$BC$603,,MATCH(AQ$8,'Калькуляция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(МИ)'!$AJ$25:$BC$603,,MATCH(AQ$8,'Калькуляция (МИ)'!$AJ$8:$BC$8,0)),'Калькуляция (МИ)'!$F$25:$F$603,$F38,'Калькуляция (МИ)'!$G$25:$G$603,$G38))))</f>
        <v>0</v>
      </c>
      <c r="AR38" s="208">
        <f ca="1">IF(AP38=0,0,(AQ38-AP38)/AP38*100)</f>
        <v>0</v>
      </c>
      <c r="AS38" s="861">
        <f ca="1">IF(AND(method_reg="Метод индексации",god&lt;&gt;first_year),SUMIFS(INDEX('Калькуляция (МИ корр)'!$AJ$25:$BC$603,,MATCH(AS$8,'Калькуляция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(МИ)'!$AJ$25:$BC$603,,MATCH(AS$8,'Калькуляция (МИ)'!$AJ$8:$BC$8,0)),'Калькуляция (МИ)'!$F$25:$F$603,$F38,'Калькуляция (МИ)'!$G$25:$G$603,$G38))))</f>
        <v>0</v>
      </c>
      <c r="AT38" s="861">
        <f ca="1">IF(AND(method_reg="Метод индексации",god&lt;&gt;first_year),SUMIFS(INDEX('Калькуляция (МИ корр)'!$AJ$25:$BC$603,,MATCH(AT$8,'Калькуляция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(МИ)'!$AJ$25:$BC$603,,MATCH(AT$8,'Калькуляция (МИ)'!$AJ$8:$BC$8,0)),'Калькуляция (МИ)'!$F$25:$F$603,$F38,'Калькуляция (МИ)'!$G$25:$G$603,$G38))))</f>
        <v>0</v>
      </c>
      <c r="AU38" s="208">
        <f ca="1">IF(AS38=0,0,(AT38-AS38)/AS38*100)</f>
        <v>0</v>
      </c>
      <c r="AV38" s="861">
        <f ca="1">IF(AND(method_reg="Метод индексации",god&lt;&gt;first_year),SUMIFS(INDEX('Калькуляция (МИ корр)'!$AJ$25:$BC$603,,MATCH(AV$8,'Калькуляция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(МИ)'!$AJ$25:$BC$603,,MATCH(AV$8,'Калькуляция (МИ)'!$AJ$8:$BC$8,0)),'Калькуляция (МИ)'!$F$25:$F$603,$F38,'Калькуляция (МИ)'!$G$25:$G$603,$G38))))</f>
        <v>0</v>
      </c>
      <c r="AW38" s="861">
        <f ca="1">IF(AND(method_reg="Метод индексации",god&lt;&gt;first_year),SUMIFS(INDEX('Калькуляция (МИ корр)'!$AJ$25:$BC$603,,MATCH(AW$8,'Калькуляция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(МИ)'!$AJ$25:$BC$603,,MATCH(AW$8,'Калькуляция (МИ)'!$AJ$8:$BC$8,0)),'Калькуляция (МИ)'!$F$25:$F$603,$F38,'Калькуляция (МИ)'!$G$25:$G$603,$G38))))</f>
        <v>0</v>
      </c>
      <c r="AX38" s="208">
        <f ca="1">IF(AV38=0,0,(AW38-AV38)/AV38*100)</f>
        <v>0</v>
      </c>
      <c r="AY38" s="861">
        <f ca="1">IF(AND(method_reg="Метод индексации",god&lt;&gt;first_year),SUMIFS(INDEX('Калькуляция (МИ корр)'!$AJ$25:$BC$603,,MATCH(AY$8,'Калькуляция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(МИ)'!$AJ$25:$BC$603,,MATCH(AY$8,'Калькуляция (МИ)'!$AJ$8:$BC$8,0)),'Калькуляция (МИ)'!$F$25:$F$603,$F38,'Калькуляция (МИ)'!$G$25:$G$603,$G38))))</f>
        <v>0</v>
      </c>
      <c r="AZ38" s="861">
        <f ca="1">IF(AND(method_reg="Метод индексации",god&lt;&gt;first_year),SUMIFS(INDEX('Калькуляция (МИ корр)'!$AJ$25:$BC$603,,MATCH(AZ$8,'Калькуляция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(МИ)'!$AJ$25:$BC$603,,MATCH(AZ$8,'Калькуляция (МИ)'!$AJ$8:$BC$8,0)),'Калькуляция (МИ)'!$F$25:$F$603,$F38,'Калькуляция (МИ)'!$G$25:$G$603,$G38))))</f>
        <v>0</v>
      </c>
      <c r="BA38" s="208">
        <f ca="1">IF(AY38=0,0,(AZ38-AY38)/AY38*100)</f>
        <v>0</v>
      </c>
      <c r="BB38" s="861">
        <f ca="1">IF(AND(method_reg="Метод индексации",god&lt;&gt;first_year),SUMIFS(INDEX('Калькуляция (МИ корр)'!$AJ$25:$BC$603,,MATCH(BB$8,'Калькуляция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(МИ)'!$AJ$25:$BC$603,,MATCH(BB$8,'Калькуляция (МИ)'!$AJ$8:$BC$8,0)),'Калькуляция (МИ)'!$F$25:$F$603,$F38,'Калькуляция (МИ)'!$G$25:$G$603,$G38))))</f>
        <v>0</v>
      </c>
      <c r="BC38" s="861">
        <f ca="1">IF(AND(method_reg="Метод индексации",god&lt;&gt;first_year),SUMIFS(INDEX('Калькуляция (МИ корр)'!$AJ$25:$BC$603,,MATCH(BC$8,'Калькуляция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(МИ)'!$AJ$25:$BC$603,,MATCH(BC$8,'Калькуляция (МИ)'!$AJ$8:$BC$8,0)),'Калькуляция (МИ)'!$F$25:$F$603,$F38,'Калькуляция (МИ)'!$G$25:$G$603,$G38))))</f>
        <v>0</v>
      </c>
      <c r="BD38" s="208">
        <f ca="1">IF(BB38=0,0,(BC38-BB38)/BB38*100)</f>
        <v>0</v>
      </c>
      <c r="BE38" s="861">
        <f ca="1">IF(AND(method_reg="Метод индексации",god&lt;&gt;first_year),SUMIFS(INDEX('Калькуляция (МИ корр)'!$AJ$25:$BC$603,,MATCH(BE$8,'Калькуляция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(МИ)'!$AJ$25:$BC$603,,MATCH(BE$8,'Калькуляция (МИ)'!$AJ$8:$BC$8,0)),'Калькуляция (МИ)'!$F$25:$F$603,$F38,'Калькуляция (МИ)'!$G$25:$G$603,$G38))))</f>
        <v>0</v>
      </c>
      <c r="BF38" s="861">
        <f ca="1">IF(AND(method_reg="Метод индексации",god&lt;&gt;first_year),SUMIFS(INDEX('Калькуляция (МИ корр)'!$AJ$25:$BC$603,,MATCH(BF$8,'Калькуляция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(МИ)'!$AJ$25:$BC$603,,MATCH(BF$8,'Калькуляция (МИ)'!$AJ$8:$BC$8,0)),'Калькуляция (МИ)'!$F$25:$F$603,$F38,'Калькуляция (МИ)'!$G$25:$G$603,$G38))))</f>
        <v>0</v>
      </c>
      <c r="BG38" s="208">
        <f ca="1">IF(BE38=0,0,(BF38-BE38)/BE38*100)</f>
        <v>0</v>
      </c>
      <c r="BH38" s="861"/>
      <c r="BI38" s="861"/>
      <c r="BJ38" s="208">
        <f>IF(BH38=0,0,(BI38-BH38)/BH38*100)</f>
        <v>0</v>
      </c>
      <c r="BK38" s="861"/>
      <c r="BL38" s="861"/>
      <c r="BM38" s="208">
        <f>IF(BK38=0,0,(BL38-BK38)/BK38*100)</f>
        <v>0</v>
      </c>
      <c r="BN38" s="861"/>
      <c r="BO38" s="861"/>
      <c r="BP38" s="208">
        <f>IF(BN38=0,0,(BO38-BN38)/BN38*100)</f>
        <v>0</v>
      </c>
      <c r="BQ38" s="861"/>
      <c r="BR38" s="861"/>
      <c r="BS38" s="208">
        <f>IF(BQ38=0,0,(BR38-BQ38)/BQ38*100)</f>
        <v>0</v>
      </c>
      <c r="BT38" s="861"/>
      <c r="BU38" s="861"/>
      <c r="BV38" s="208">
        <f>IF(BT38=0,0,(BU38-BT38)/BT38*100)</f>
        <v>0</v>
      </c>
      <c r="BW38" s="861"/>
      <c r="BX38" s="861"/>
      <c r="BY38" s="208">
        <f>IF(BW38=0,0,(BX38-BW38)/BW38*100)</f>
        <v>0</v>
      </c>
      <c r="BZ38" s="861"/>
      <c r="CA38" s="861"/>
      <c r="CB38" s="208">
        <f>IF(BZ38=0,0,(CA38-BZ38)/BZ38*100)</f>
        <v>0</v>
      </c>
      <c r="CC38" s="861"/>
      <c r="CD38" s="861"/>
      <c r="CE38" s="208">
        <f>IF(CC38=0,0,(CD38-CC38)/CC38*100)</f>
        <v>0</v>
      </c>
      <c r="CF38" s="861"/>
      <c r="CG38" s="861"/>
      <c r="CH38" s="208">
        <f>IF(CF38=0,0,(CG38-CF38)/CF38*100)</f>
        <v>0</v>
      </c>
      <c r="CI38" s="861"/>
      <c r="CJ38" s="861"/>
      <c r="CK38" s="208">
        <f>IF(CI38=0,0,(CJ38-CI38)/CI38*100)</f>
        <v>0</v>
      </c>
      <c r="CL38" s="861"/>
      <c r="CM38" s="861"/>
      <c r="CN38" s="208">
        <f>IF(CL38=0,0,(CM38-CL38)/CL38*100)</f>
        <v>0</v>
      </c>
      <c r="CO38" s="861"/>
      <c r="CP38" s="861"/>
      <c r="CQ38" s="208">
        <f>IF(CO38=0,0,(CP38-CO38)/CO38*100)</f>
        <v>0</v>
      </c>
      <c r="CR38" s="861"/>
      <c r="CS38" s="861"/>
      <c r="CT38" s="208">
        <f>IF(CR38=0,0,(CS38-CR38)/CR38*100)</f>
        <v>0</v>
      </c>
      <c r="CU38" s="861"/>
      <c r="CV38" s="861"/>
      <c r="CW38" s="208">
        <f>IF(CU38=0,0,(CV38-CU38)/CU38*100)</f>
        <v>0</v>
      </c>
      <c r="CX38" s="861"/>
      <c r="CY38" s="861"/>
      <c r="CZ38" s="208">
        <f>IF(CX38=0,0,(CY38-CX38)/CX38*100)</f>
        <v>0</v>
      </c>
      <c r="DA38" s="861"/>
      <c r="DB38" s="861"/>
      <c r="DC38" s="208">
        <f>IF(DA38=0,0,(DB38-DA38)/DA38*100)</f>
        <v>0</v>
      </c>
      <c r="DD38" s="861"/>
      <c r="DE38" s="861"/>
      <c r="DF38" s="208">
        <f>IF(DD38=0,0,(DE38-DD38)/DD38*100)</f>
        <v>0</v>
      </c>
      <c r="DG38" s="861"/>
      <c r="DH38" s="861"/>
      <c r="DI38" s="208">
        <f>IF(DG38=0,0,(DH38-DG38)/DG38*100)</f>
        <v>0</v>
      </c>
      <c r="DJ38" s="861"/>
      <c r="DK38" s="861"/>
      <c r="DL38" s="208">
        <f>IF(DJ38=0,0,(DK38-DJ38)/DJ38*100)</f>
        <v>0</v>
      </c>
      <c r="DM38" s="861"/>
      <c r="DN38" s="861"/>
      <c r="DO38" s="208">
        <f>IF(DM38=0,0,(DN38-DM38)/DM38*100)</f>
        <v>0</v>
      </c>
      <c r="DP38" s="861"/>
      <c r="DQ38" s="861"/>
      <c r="DR38" s="208">
        <f>IF(DP38=0,0,(DQ38-DP38)/DP38*100)</f>
        <v>0</v>
      </c>
      <c r="DS38" s="861"/>
      <c r="DT38" s="861"/>
      <c r="DU38" s="208">
        <f>IF(DS38=0,0,(DT38-DS38)/DS38*100)</f>
        <v>0</v>
      </c>
      <c r="DV38" s="861"/>
      <c r="DW38" s="861"/>
      <c r="DX38" s="208">
        <f>IF(DV38=0,0,(DW38-DV38)/DV38*100)</f>
        <v>0</v>
      </c>
      <c r="DY38" s="861"/>
      <c r="DZ38" s="861"/>
      <c r="EA38" s="208">
        <f>IF(DY38=0,0,(DZ38-DY38)/DY38*100)</f>
        <v>0</v>
      </c>
      <c r="EB38" s="861"/>
      <c r="EC38" s="861"/>
      <c r="ED38" s="208">
        <f>IF(EB38=0,0,(EC38-EB38)/EB38*100)</f>
        <v>0</v>
      </c>
      <c r="EE38" s="861"/>
      <c r="EF38" s="861"/>
      <c r="EG38" s="208">
        <f>IF(EE38=0,0,(EF38-EE38)/EE38*100)</f>
        <v>0</v>
      </c>
      <c r="EH38" s="861"/>
      <c r="EI38" s="861"/>
      <c r="EJ38" s="208">
        <f>IF(EH38=0,0,(EI38-EH38)/EH38*100)</f>
        <v>0</v>
      </c>
      <c r="EK38" s="861"/>
      <c r="EL38" s="861"/>
      <c r="EM38" s="208">
        <f>IF(EK38=0,0,(EL38-EK38)/EK38*100)</f>
        <v>0</v>
      </c>
      <c r="EN38" s="861"/>
      <c r="EO38" s="861"/>
      <c r="EP38" s="208">
        <f>IF(EN38=0,0,(EO38-EN38)/EN38*100)</f>
        <v>0</v>
      </c>
      <c r="EQ38" s="861"/>
      <c r="ER38" s="861"/>
      <c r="ES38" s="208">
        <f>IF(EQ38=0,0,(ER38-EQ38)/EQ38*100)</f>
        <v>0</v>
      </c>
      <c r="ET38" s="861"/>
      <c r="EU38" s="861"/>
      <c r="EV38" s="208">
        <f>IF(ET38=0,0,(EU38-ET38)/ET38*100)</f>
        <v>0</v>
      </c>
      <c r="EW38" s="861"/>
      <c r="EX38" s="861"/>
      <c r="EY38" s="208">
        <f>IF(EW38=0,0,(EX38-EW38)/EW38*100)</f>
        <v>0</v>
      </c>
      <c r="EZ38" s="861"/>
      <c r="FA38" s="861"/>
      <c r="FB38" s="208">
        <f>IF(EZ38=0,0,(FA38-EZ38)/EZ38*100)</f>
        <v>0</v>
      </c>
      <c r="FC38" s="861"/>
      <c r="FD38" s="861"/>
      <c r="FE38" s="208">
        <f>IF(FC38=0,0,(FD38-FC38)/FC38*100)</f>
        <v>0</v>
      </c>
      <c r="FF38" s="861"/>
      <c r="FG38" s="861"/>
      <c r="FH38" s="208">
        <f>IF(FF38=0,0,(FG38-FF38)/FF38*100)</f>
        <v>0</v>
      </c>
      <c r="FI38" s="861"/>
      <c r="FJ38" s="861"/>
      <c r="FK38" s="208">
        <f>IF(FI38=0,0,(FJ38-FI38)/FI38*100)</f>
        <v>0</v>
      </c>
      <c r="FL38" s="861"/>
      <c r="FM38" s="861"/>
      <c r="FN38" s="208">
        <f>IF(FL38=0,0,(FM38-FL38)/FL38*100)</f>
        <v>0</v>
      </c>
      <c r="FO38" s="861"/>
      <c r="FP38" s="861"/>
      <c r="FQ38" s="208">
        <f>IF(FO38=0,0,(FP38-FO38)/FO38*100)</f>
        <v>0</v>
      </c>
      <c r="FR38" s="861"/>
      <c r="FS38" s="861"/>
      <c r="FT38" s="208">
        <f>IF(FR38=0,0,(FS38-FR38)/FR38*100)</f>
        <v>0</v>
      </c>
      <c r="FU38" s="861"/>
      <c r="FV38" s="861"/>
      <c r="FW38" s="208">
        <f>IF(FU38=0,0,(FV38-FU38)/FU38*100)</f>
        <v>0</v>
      </c>
      <c r="FZ38" s="691" t="s">
        <v>1659</v>
      </c>
      <c r="GA38" s="691"/>
      <c r="GB38" s="691"/>
      <c r="GC38" s="692"/>
      <c r="GD38" s="692"/>
    </row>
    <row r="39" spans="1:186" s="204" customFormat="1" ht="23.85" hidden="1" customHeight="1" x14ac:dyDescent="0.15">
      <c r="A39" s="594"/>
      <c r="B39" s="613" t="b" cm="1">
        <f t="array" ref="B39">B38</f>
        <v>0</v>
      </c>
      <c r="C39" s="594"/>
      <c r="D39" s="594"/>
      <c r="E39" s="595">
        <v>24.5</v>
      </c>
      <c r="F39" s="3" cm="1">
        <f t="array" aca="1" ref="F39" ca="1">OFFSET(E39,-1,1)</f>
        <v>0</v>
      </c>
      <c r="G39" s="25" t="s">
        <v>1660</v>
      </c>
      <c r="H39" s="59" t="s">
        <v>482</v>
      </c>
      <c r="I39" s="59" t="s">
        <v>1661</v>
      </c>
      <c r="J39" s="594"/>
      <c r="K39" s="594"/>
      <c r="L39" s="59"/>
      <c r="M39" s="594"/>
      <c r="N39" s="594"/>
      <c r="O39" s="594"/>
      <c r="P39" s="594"/>
      <c r="Q39" s="594"/>
      <c r="R39" s="59"/>
      <c r="S39" s="59"/>
      <c r="T39" s="353" t="b" cm="1">
        <f t="array" ref="T39">T38</f>
        <v>0</v>
      </c>
      <c r="U39" s="594"/>
      <c r="V39" s="594"/>
      <c r="W39" s="594"/>
      <c r="X39" s="1022"/>
      <c r="Y39" s="594"/>
      <c r="Z39" s="966"/>
      <c r="AA39" s="594"/>
      <c r="AB39" s="713" t="s">
        <v>1662</v>
      </c>
      <c r="AC39" s="206" t="s">
        <v>1644</v>
      </c>
      <c r="AD39" s="861">
        <f ca="1">IF(AND(method_reg="Метод индексации",god&lt;&gt;first_year),SUMIFS(INDEX('Калькуляция (МИ корр)'!$AJ$25:$BC$603,,MATCH(AD$8,'Калькуляция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(МИ)'!$AJ$25:$BC$603,,MATCH(AD$8,'Калькуляция (МИ)'!$AJ$8:$BC$8,0)),'Калькуляция (МИ)'!$F$25:$F$603,$F39,'Калькуляция (МИ)'!$G$25:$G$603,$G39))))</f>
        <v>0</v>
      </c>
      <c r="AE39" s="861">
        <f ca="1">IF(AND(method_reg="Метод индексации",god&lt;&gt;first_year),SUMIFS(INDEX('Калькуляция (МИ корр)'!$AJ$25:$BC$603,,MATCH(AE$8,'Калькуляция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(МИ)'!$AJ$25:$BC$603,,MATCH(AE$8,'Калькуляция (МИ)'!$AJ$8:$BC$8,0)),'Калькуляция (МИ)'!$F$25:$F$603,$F39,'Калькуляция (МИ)'!$G$25:$G$603,$G39))))</f>
        <v>0</v>
      </c>
      <c r="AF39" s="208">
        <f ca="1">IF(AD39=0,0,(AE39-AD39)/AD39*100)</f>
        <v>0</v>
      </c>
      <c r="AG39" s="861">
        <f ca="1">IF(AND(method_reg="Метод индексации",god&lt;&gt;first_year),SUMIFS(INDEX('Калькуляция (МИ корр)'!$AJ$25:$BC$603,,MATCH(AG$8,'Калькуляция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(МИ)'!$AJ$25:$BC$603,,MATCH(AG$8,'Калькуляция (МИ)'!$AJ$8:$BC$8,0)),'Калькуляция (МИ)'!$F$25:$F$603,$F39,'Калькуляция (МИ)'!$G$25:$G$603,$G39))))</f>
        <v>0</v>
      </c>
      <c r="AH39" s="861">
        <f ca="1">IF(AND(method_reg="Метод индексации",god&lt;&gt;first_year),SUMIFS(INDEX('Калькуляция (МИ корр)'!$AJ$25:$BC$603,,MATCH(AH$8,'Калькуляция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(МИ)'!$AJ$25:$BC$603,,MATCH(AH$8,'Калькуляция (МИ)'!$AJ$8:$BC$8,0)),'Калькуляция (МИ)'!$F$25:$F$603,$F39,'Калькуляция (МИ)'!$G$25:$G$603,$G39))))</f>
        <v>0</v>
      </c>
      <c r="AI39" s="208">
        <f ca="1">IF(AG39=0,0,(AH39-AG39)/AG39*100)</f>
        <v>0</v>
      </c>
      <c r="AJ39" s="861">
        <f ca="1">IF(AND(method_reg="Метод индексации",god&lt;&gt;first_year),SUMIFS(INDEX('Калькуляция (МИ корр)'!$AJ$25:$BC$603,,MATCH(AJ$8,'Калькуляция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(МИ)'!$AJ$25:$BC$603,,MATCH(AJ$8,'Калькуляция (МИ)'!$AJ$8:$BC$8,0)),'Калькуляция (МИ)'!$F$25:$F$603,$F39,'Калькуляция (МИ)'!$G$25:$G$603,$G39))))</f>
        <v>0</v>
      </c>
      <c r="AK39" s="861">
        <f ca="1">IF(AND(method_reg="Метод индексации",god&lt;&gt;first_year),SUMIFS(INDEX('Калькуляция (МИ корр)'!$AJ$25:$BC$603,,MATCH(AK$8,'Калькуляция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(МИ)'!$AJ$25:$BC$603,,MATCH(AK$8,'Калькуляция (МИ)'!$AJ$8:$BC$8,0)),'Калькуляция (МИ)'!$F$25:$F$603,$F39,'Калькуляция (МИ)'!$G$25:$G$603,$G39))))</f>
        <v>0</v>
      </c>
      <c r="AL39" s="208">
        <f ca="1">IF(AJ39=0,0,(AK39-AJ39)/AJ39*100)</f>
        <v>0</v>
      </c>
      <c r="AM39" s="861">
        <f ca="1">IF(AND(method_reg="Метод индексации",god&lt;&gt;first_year),SUMIFS(INDEX('Калькуляция (МИ корр)'!$AJ$25:$BC$603,,MATCH(AM$8,'Калькуляция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(МИ)'!$AJ$25:$BC$603,,MATCH(AM$8,'Калькуляция (МИ)'!$AJ$8:$BC$8,0)),'Калькуляция (МИ)'!$F$25:$F$603,$F39,'Калькуляция (МИ)'!$G$25:$G$603,$G39))))</f>
        <v>0</v>
      </c>
      <c r="AN39" s="861">
        <f ca="1">IF(AND(method_reg="Метод индексации",god&lt;&gt;first_year),SUMIFS(INDEX('Калькуляция (МИ корр)'!$AJ$25:$BC$603,,MATCH(AN$8,'Калькуляция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(МИ)'!$AJ$25:$BC$603,,MATCH(AN$8,'Калькуляция (МИ)'!$AJ$8:$BC$8,0)),'Калькуляция (МИ)'!$F$25:$F$603,$F39,'Калькуляция (МИ)'!$G$25:$G$603,$G39))))</f>
        <v>0</v>
      </c>
      <c r="AO39" s="208">
        <f ca="1">IF(AM39=0,0,(AN39-AM39)/AM39*100)</f>
        <v>0</v>
      </c>
      <c r="AP39" s="861">
        <f ca="1">IF(AND(method_reg="Метод индексации",god&lt;&gt;first_year),SUMIFS(INDEX('Калькуляция (МИ корр)'!$AJ$25:$BC$603,,MATCH(AP$8,'Калькуляция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(МИ)'!$AJ$25:$BC$603,,MATCH(AP$8,'Калькуляция (МИ)'!$AJ$8:$BC$8,0)),'Калькуляция (МИ)'!$F$25:$F$603,$F39,'Калькуляция (МИ)'!$G$25:$G$603,$G39))))</f>
        <v>0</v>
      </c>
      <c r="AQ39" s="861">
        <f ca="1">IF(AND(method_reg="Метод индексации",god&lt;&gt;first_year),SUMIFS(INDEX('Калькуляция (МИ корр)'!$AJ$25:$BC$603,,MATCH(AQ$8,'Калькуляция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(МИ)'!$AJ$25:$BC$603,,MATCH(AQ$8,'Калькуляция (МИ)'!$AJ$8:$BC$8,0)),'Калькуляция (МИ)'!$F$25:$F$603,$F39,'Калькуляция (МИ)'!$G$25:$G$603,$G39))))</f>
        <v>0</v>
      </c>
      <c r="AR39" s="208">
        <f ca="1">IF(AP39=0,0,(AQ39-AP39)/AP39*100)</f>
        <v>0</v>
      </c>
      <c r="AS39" s="861">
        <f ca="1">IF(AND(method_reg="Метод индексации",god&lt;&gt;first_year),SUMIFS(INDEX('Калькуляция (МИ корр)'!$AJ$25:$BC$603,,MATCH(AS$8,'Калькуляция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(МИ)'!$AJ$25:$BC$603,,MATCH(AS$8,'Калькуляция (МИ)'!$AJ$8:$BC$8,0)),'Калькуляция (МИ)'!$F$25:$F$603,$F39,'Калькуляция (МИ)'!$G$25:$G$603,$G39))))</f>
        <v>0</v>
      </c>
      <c r="AT39" s="861">
        <f ca="1">IF(AND(method_reg="Метод индексации",god&lt;&gt;first_year),SUMIFS(INDEX('Калькуляция (МИ корр)'!$AJ$25:$BC$603,,MATCH(AT$8,'Калькуляция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(МИ)'!$AJ$25:$BC$603,,MATCH(AT$8,'Калькуляция (МИ)'!$AJ$8:$BC$8,0)),'Калькуляция (МИ)'!$F$25:$F$603,$F39,'Калькуляция (МИ)'!$G$25:$G$603,$G39))))</f>
        <v>0</v>
      </c>
      <c r="AU39" s="208">
        <f ca="1">IF(AS39=0,0,(AT39-AS39)/AS39*100)</f>
        <v>0</v>
      </c>
      <c r="AV39" s="861">
        <f ca="1">IF(AND(method_reg="Метод индексации",god&lt;&gt;first_year),SUMIFS(INDEX('Калькуляция (МИ корр)'!$AJ$25:$BC$603,,MATCH(AV$8,'Калькуляция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(МИ)'!$AJ$25:$BC$603,,MATCH(AV$8,'Калькуляция (МИ)'!$AJ$8:$BC$8,0)),'Калькуляция (МИ)'!$F$25:$F$603,$F39,'Калькуляция (МИ)'!$G$25:$G$603,$G39))))</f>
        <v>0</v>
      </c>
      <c r="AW39" s="861">
        <f ca="1">IF(AND(method_reg="Метод индексации",god&lt;&gt;first_year),SUMIFS(INDEX('Калькуляция (МИ корр)'!$AJ$25:$BC$603,,MATCH(AW$8,'Калькуляция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(МИ)'!$AJ$25:$BC$603,,MATCH(AW$8,'Калькуляция (МИ)'!$AJ$8:$BC$8,0)),'Калькуляция (МИ)'!$F$25:$F$603,$F39,'Калькуляция (МИ)'!$G$25:$G$603,$G39))))</f>
        <v>0</v>
      </c>
      <c r="AX39" s="208">
        <f ca="1">IF(AV39=0,0,(AW39-AV39)/AV39*100)</f>
        <v>0</v>
      </c>
      <c r="AY39" s="861">
        <f ca="1">IF(AND(method_reg="Метод индексации",god&lt;&gt;first_year),SUMIFS(INDEX('Калькуляция (МИ корр)'!$AJ$25:$BC$603,,MATCH(AY$8,'Калькуляция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(МИ)'!$AJ$25:$BC$603,,MATCH(AY$8,'Калькуляция (МИ)'!$AJ$8:$BC$8,0)),'Калькуляция (МИ)'!$F$25:$F$603,$F39,'Калькуляция (МИ)'!$G$25:$G$603,$G39))))</f>
        <v>0</v>
      </c>
      <c r="AZ39" s="861">
        <f ca="1">IF(AND(method_reg="Метод индексации",god&lt;&gt;first_year),SUMIFS(INDEX('Калькуляция (МИ корр)'!$AJ$25:$BC$603,,MATCH(AZ$8,'Калькуляция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(МИ)'!$AJ$25:$BC$603,,MATCH(AZ$8,'Калькуляция (МИ)'!$AJ$8:$BC$8,0)),'Калькуляция (МИ)'!$F$25:$F$603,$F39,'Калькуляция (МИ)'!$G$25:$G$603,$G39))))</f>
        <v>0</v>
      </c>
      <c r="BA39" s="208">
        <f ca="1">IF(AY39=0,0,(AZ39-AY39)/AY39*100)</f>
        <v>0</v>
      </c>
      <c r="BB39" s="861">
        <f ca="1">IF(AND(method_reg="Метод индексации",god&lt;&gt;first_year),SUMIFS(INDEX('Калькуляция (МИ корр)'!$AJ$25:$BC$603,,MATCH(BB$8,'Калькуляция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(МИ)'!$AJ$25:$BC$603,,MATCH(BB$8,'Калькуляция (МИ)'!$AJ$8:$BC$8,0)),'Калькуляция (МИ)'!$F$25:$F$603,$F39,'Калькуляция (МИ)'!$G$25:$G$603,$G39))))</f>
        <v>0</v>
      </c>
      <c r="BC39" s="861">
        <f ca="1">IF(AND(method_reg="Метод индексации",god&lt;&gt;first_year),SUMIFS(INDEX('Калькуляция (МИ корр)'!$AJ$25:$BC$603,,MATCH(BC$8,'Калькуляция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(МИ)'!$AJ$25:$BC$603,,MATCH(BC$8,'Калькуляция (МИ)'!$AJ$8:$BC$8,0)),'Калькуляция (МИ)'!$F$25:$F$603,$F39,'Калькуляция (МИ)'!$G$25:$G$603,$G39))))</f>
        <v>0</v>
      </c>
      <c r="BD39" s="208">
        <f ca="1">IF(BB39=0,0,(BC39-BB39)/BB39*100)</f>
        <v>0</v>
      </c>
      <c r="BE39" s="861">
        <f ca="1">IF(AND(method_reg="Метод индексации",god&lt;&gt;first_year),SUMIFS(INDEX('Калькуляция (МИ корр)'!$AJ$25:$BC$603,,MATCH(BE$8,'Калькуляция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(МИ)'!$AJ$25:$BC$603,,MATCH(BE$8,'Калькуляция (МИ)'!$AJ$8:$BC$8,0)),'Калькуляция (МИ)'!$F$25:$F$603,$F39,'Калькуляция (МИ)'!$G$25:$G$603,$G39))))</f>
        <v>0</v>
      </c>
      <c r="BF39" s="861">
        <f ca="1">IF(AND(method_reg="Метод индексации",god&lt;&gt;first_year),SUMIFS(INDEX('Калькуляция (МИ корр)'!$AJ$25:$BC$603,,MATCH(BF$8,'Калькуляция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(МИ)'!$AJ$25:$BC$603,,MATCH(BF$8,'Калькуляция (МИ)'!$AJ$8:$BC$8,0)),'Калькуляция (МИ)'!$F$25:$F$603,$F39,'Калькуляция (МИ)'!$G$25:$G$603,$G39))))</f>
        <v>0</v>
      </c>
      <c r="BG39" s="208">
        <f ca="1">IF(BE39=0,0,(BF39-BE39)/BE39*100)</f>
        <v>0</v>
      </c>
      <c r="BH39" s="861"/>
      <c r="BI39" s="861"/>
      <c r="BJ39" s="208">
        <f>IF(BH39=0,0,(BI39-BH39)/BH39*100)</f>
        <v>0</v>
      </c>
      <c r="BK39" s="861"/>
      <c r="BL39" s="861"/>
      <c r="BM39" s="208">
        <f>IF(BK39=0,0,(BL39-BK39)/BK39*100)</f>
        <v>0</v>
      </c>
      <c r="BN39" s="861"/>
      <c r="BO39" s="861"/>
      <c r="BP39" s="208">
        <f>IF(BN39=0,0,(BO39-BN39)/BN39*100)</f>
        <v>0</v>
      </c>
      <c r="BQ39" s="861"/>
      <c r="BR39" s="861"/>
      <c r="BS39" s="208">
        <f>IF(BQ39=0,0,(BR39-BQ39)/BQ39*100)</f>
        <v>0</v>
      </c>
      <c r="BT39" s="861"/>
      <c r="BU39" s="861"/>
      <c r="BV39" s="208">
        <f>IF(BT39=0,0,(BU39-BT39)/BT39*100)</f>
        <v>0</v>
      </c>
      <c r="BW39" s="861"/>
      <c r="BX39" s="861"/>
      <c r="BY39" s="208">
        <f>IF(BW39=0,0,(BX39-BW39)/BW39*100)</f>
        <v>0</v>
      </c>
      <c r="BZ39" s="861"/>
      <c r="CA39" s="861"/>
      <c r="CB39" s="208">
        <f>IF(BZ39=0,0,(CA39-BZ39)/BZ39*100)</f>
        <v>0</v>
      </c>
      <c r="CC39" s="861"/>
      <c r="CD39" s="861"/>
      <c r="CE39" s="208">
        <f>IF(CC39=0,0,(CD39-CC39)/CC39*100)</f>
        <v>0</v>
      </c>
      <c r="CF39" s="861"/>
      <c r="CG39" s="861"/>
      <c r="CH39" s="208">
        <f>IF(CF39=0,0,(CG39-CF39)/CF39*100)</f>
        <v>0</v>
      </c>
      <c r="CI39" s="861"/>
      <c r="CJ39" s="861"/>
      <c r="CK39" s="208">
        <f>IF(CI39=0,0,(CJ39-CI39)/CI39*100)</f>
        <v>0</v>
      </c>
      <c r="CL39" s="861"/>
      <c r="CM39" s="861"/>
      <c r="CN39" s="208">
        <f>IF(CL39=0,0,(CM39-CL39)/CL39*100)</f>
        <v>0</v>
      </c>
      <c r="CO39" s="861"/>
      <c r="CP39" s="861"/>
      <c r="CQ39" s="208">
        <f>IF(CO39=0,0,(CP39-CO39)/CO39*100)</f>
        <v>0</v>
      </c>
      <c r="CR39" s="861"/>
      <c r="CS39" s="861"/>
      <c r="CT39" s="208">
        <f>IF(CR39=0,0,(CS39-CR39)/CR39*100)</f>
        <v>0</v>
      </c>
      <c r="CU39" s="861"/>
      <c r="CV39" s="861"/>
      <c r="CW39" s="208">
        <f>IF(CU39=0,0,(CV39-CU39)/CU39*100)</f>
        <v>0</v>
      </c>
      <c r="CX39" s="861"/>
      <c r="CY39" s="861"/>
      <c r="CZ39" s="208">
        <f>IF(CX39=0,0,(CY39-CX39)/CX39*100)</f>
        <v>0</v>
      </c>
      <c r="DA39" s="861"/>
      <c r="DB39" s="861"/>
      <c r="DC39" s="208">
        <f>IF(DA39=0,0,(DB39-DA39)/DA39*100)</f>
        <v>0</v>
      </c>
      <c r="DD39" s="861"/>
      <c r="DE39" s="861"/>
      <c r="DF39" s="208">
        <f>IF(DD39=0,0,(DE39-DD39)/DD39*100)</f>
        <v>0</v>
      </c>
      <c r="DG39" s="861"/>
      <c r="DH39" s="861"/>
      <c r="DI39" s="208">
        <f>IF(DG39=0,0,(DH39-DG39)/DG39*100)</f>
        <v>0</v>
      </c>
      <c r="DJ39" s="861"/>
      <c r="DK39" s="861"/>
      <c r="DL39" s="208">
        <f>IF(DJ39=0,0,(DK39-DJ39)/DJ39*100)</f>
        <v>0</v>
      </c>
      <c r="DM39" s="861"/>
      <c r="DN39" s="861"/>
      <c r="DO39" s="208">
        <f>IF(DM39=0,0,(DN39-DM39)/DM39*100)</f>
        <v>0</v>
      </c>
      <c r="DP39" s="861"/>
      <c r="DQ39" s="861"/>
      <c r="DR39" s="208">
        <f>IF(DP39=0,0,(DQ39-DP39)/DP39*100)</f>
        <v>0</v>
      </c>
      <c r="DS39" s="861"/>
      <c r="DT39" s="861"/>
      <c r="DU39" s="208">
        <f>IF(DS39=0,0,(DT39-DS39)/DS39*100)</f>
        <v>0</v>
      </c>
      <c r="DV39" s="861"/>
      <c r="DW39" s="861"/>
      <c r="DX39" s="208">
        <f>IF(DV39=0,0,(DW39-DV39)/DV39*100)</f>
        <v>0</v>
      </c>
      <c r="DY39" s="861"/>
      <c r="DZ39" s="861"/>
      <c r="EA39" s="208">
        <f>IF(DY39=0,0,(DZ39-DY39)/DY39*100)</f>
        <v>0</v>
      </c>
      <c r="EB39" s="861"/>
      <c r="EC39" s="861"/>
      <c r="ED39" s="208">
        <f>IF(EB39=0,0,(EC39-EB39)/EB39*100)</f>
        <v>0</v>
      </c>
      <c r="EE39" s="861"/>
      <c r="EF39" s="861"/>
      <c r="EG39" s="208">
        <f>IF(EE39=0,0,(EF39-EE39)/EE39*100)</f>
        <v>0</v>
      </c>
      <c r="EH39" s="861"/>
      <c r="EI39" s="861"/>
      <c r="EJ39" s="208">
        <f>IF(EH39=0,0,(EI39-EH39)/EH39*100)</f>
        <v>0</v>
      </c>
      <c r="EK39" s="861"/>
      <c r="EL39" s="861"/>
      <c r="EM39" s="208">
        <f>IF(EK39=0,0,(EL39-EK39)/EK39*100)</f>
        <v>0</v>
      </c>
      <c r="EN39" s="861"/>
      <c r="EO39" s="861"/>
      <c r="EP39" s="208">
        <f>IF(EN39=0,0,(EO39-EN39)/EN39*100)</f>
        <v>0</v>
      </c>
      <c r="EQ39" s="861"/>
      <c r="ER39" s="861"/>
      <c r="ES39" s="208">
        <f>IF(EQ39=0,0,(ER39-EQ39)/EQ39*100)</f>
        <v>0</v>
      </c>
      <c r="ET39" s="861"/>
      <c r="EU39" s="861"/>
      <c r="EV39" s="208">
        <f>IF(ET39=0,0,(EU39-ET39)/ET39*100)</f>
        <v>0</v>
      </c>
      <c r="EW39" s="861"/>
      <c r="EX39" s="861"/>
      <c r="EY39" s="208">
        <f>IF(EW39=0,0,(EX39-EW39)/EW39*100)</f>
        <v>0</v>
      </c>
      <c r="EZ39" s="861"/>
      <c r="FA39" s="861"/>
      <c r="FB39" s="208">
        <f>IF(EZ39=0,0,(FA39-EZ39)/EZ39*100)</f>
        <v>0</v>
      </c>
      <c r="FC39" s="861"/>
      <c r="FD39" s="861"/>
      <c r="FE39" s="208">
        <f>IF(FC39=0,0,(FD39-FC39)/FC39*100)</f>
        <v>0</v>
      </c>
      <c r="FF39" s="861"/>
      <c r="FG39" s="861"/>
      <c r="FH39" s="208">
        <f>IF(FF39=0,0,(FG39-FF39)/FF39*100)</f>
        <v>0</v>
      </c>
      <c r="FI39" s="861"/>
      <c r="FJ39" s="861"/>
      <c r="FK39" s="208">
        <f>IF(FI39=0,0,(FJ39-FI39)/FI39*100)</f>
        <v>0</v>
      </c>
      <c r="FL39" s="861"/>
      <c r="FM39" s="861"/>
      <c r="FN39" s="208">
        <f>IF(FL39=0,0,(FM39-FL39)/FL39*100)</f>
        <v>0</v>
      </c>
      <c r="FO39" s="861"/>
      <c r="FP39" s="861"/>
      <c r="FQ39" s="208">
        <f>IF(FO39=0,0,(FP39-FO39)/FO39*100)</f>
        <v>0</v>
      </c>
      <c r="FR39" s="861"/>
      <c r="FS39" s="861"/>
      <c r="FT39" s="208">
        <f>IF(FR39=0,0,(FS39-FR39)/FR39*100)</f>
        <v>0</v>
      </c>
      <c r="FU39" s="861"/>
      <c r="FV39" s="861"/>
      <c r="FW39" s="208">
        <f>IF(FU39=0,0,(FV39-FU39)/FU39*100)</f>
        <v>0</v>
      </c>
      <c r="FZ39" s="691" t="s">
        <v>1663</v>
      </c>
      <c r="GA39" s="691"/>
      <c r="GB39" s="691"/>
      <c r="GC39" s="692"/>
      <c r="GD39" s="692"/>
    </row>
    <row r="40" spans="1:186" ht="14.65" hidden="1" customHeight="1" x14ac:dyDescent="0.15">
      <c r="A40" s="59"/>
      <c r="B40" s="613" t="b" cm="1">
        <f t="array" ref="B40">B39</f>
        <v>0</v>
      </c>
      <c r="C40" s="59"/>
      <c r="D40" s="59"/>
      <c r="E40" s="462">
        <v>15</v>
      </c>
      <c r="F40" s="3" cm="1">
        <f t="array" aca="1" ref="F40" ca="1">OFFSET(E40,-1,1)</f>
        <v>0</v>
      </c>
      <c r="G40" s="25"/>
      <c r="H40" s="59" t="s">
        <v>486</v>
      </c>
      <c r="I40" s="59" t="s">
        <v>1664</v>
      </c>
      <c r="J40" s="59"/>
      <c r="K40" s="59"/>
      <c r="L40" s="59"/>
      <c r="M40" s="59"/>
      <c r="N40" s="59"/>
      <c r="O40" s="59"/>
      <c r="P40" s="59"/>
      <c r="Q40" s="594"/>
      <c r="R40" s="59"/>
      <c r="S40" s="59"/>
      <c r="T40" s="353" t="b" cm="1">
        <f t="array" ref="T40">T39</f>
        <v>0</v>
      </c>
      <c r="U40" s="59"/>
      <c r="V40" s="59"/>
      <c r="W40" s="59"/>
      <c r="X40" s="1022"/>
      <c r="Y40" s="59"/>
      <c r="Z40" s="966"/>
      <c r="AA40" s="59"/>
      <c r="AB40" s="54" t="s">
        <v>1651</v>
      </c>
      <c r="AC40" s="12" t="s">
        <v>476</v>
      </c>
      <c r="AD40" s="620">
        <f ca="1">IF(AD38=0,0,AD39/AD38)*100</f>
        <v>0</v>
      </c>
      <c r="AE40" s="620">
        <f ca="1">IF(AE38=0,0,AE39/AE38)*100</f>
        <v>0</v>
      </c>
      <c r="AF40" s="714"/>
      <c r="AG40" s="620">
        <f ca="1">IF(AG38=0,0,AG39/AG38)*100</f>
        <v>0</v>
      </c>
      <c r="AH40" s="620">
        <f ca="1">IF(AH38=0,0,AH39/AH38)*100</f>
        <v>0</v>
      </c>
      <c r="AI40" s="714"/>
      <c r="AJ40" s="620">
        <f ca="1">IF(AJ38=0,0,AJ39/AJ38)*100</f>
        <v>0</v>
      </c>
      <c r="AK40" s="620">
        <f ca="1">IF(AK38=0,0,AK39/AK38)*100</f>
        <v>0</v>
      </c>
      <c r="AL40" s="714"/>
      <c r="AM40" s="620">
        <f ca="1">IF(AM38=0,0,AM39/AM38)*100</f>
        <v>0</v>
      </c>
      <c r="AN40" s="620">
        <f ca="1">IF(AN38=0,0,AN39/AN38)*100</f>
        <v>0</v>
      </c>
      <c r="AO40" s="714"/>
      <c r="AP40" s="620">
        <f ca="1">IF(AP38=0,0,AP39/AP38)*100</f>
        <v>0</v>
      </c>
      <c r="AQ40" s="620">
        <f ca="1">IF(AQ38=0,0,AQ39/AQ38)*100</f>
        <v>0</v>
      </c>
      <c r="AR40" s="714"/>
      <c r="AS40" s="620">
        <f ca="1">IF(AS38=0,0,AS39/AS38)*100</f>
        <v>0</v>
      </c>
      <c r="AT40" s="620">
        <f ca="1">IF(AT38=0,0,AT39/AT38)*100</f>
        <v>0</v>
      </c>
      <c r="AU40" s="714"/>
      <c r="AV40" s="620">
        <f ca="1">IF(AV38=0,0,AV39/AV38)*100</f>
        <v>0</v>
      </c>
      <c r="AW40" s="620">
        <f ca="1">IF(AW38=0,0,AW39/AW38)*100</f>
        <v>0</v>
      </c>
      <c r="AX40" s="714"/>
      <c r="AY40" s="620">
        <f ca="1">IF(AY38=0,0,AY39/AY38)*100</f>
        <v>0</v>
      </c>
      <c r="AZ40" s="620">
        <f ca="1">IF(AZ38=0,0,AZ39/AZ38)*100</f>
        <v>0</v>
      </c>
      <c r="BA40" s="714"/>
      <c r="BB40" s="620">
        <f ca="1">IF(BB38=0,0,BB39/BB38)*100</f>
        <v>0</v>
      </c>
      <c r="BC40" s="620">
        <f ca="1">IF(BC38=0,0,BC39/BC38)*100</f>
        <v>0</v>
      </c>
      <c r="BD40" s="714"/>
      <c r="BE40" s="620">
        <f ca="1">IF(BE38=0,0,BE39/BE38)*100</f>
        <v>0</v>
      </c>
      <c r="BF40" s="620">
        <f ca="1">IF(BF38=0,0,BF39/BF38)*100</f>
        <v>0</v>
      </c>
      <c r="BG40" s="714"/>
      <c r="BH40" s="620">
        <f>IF(BH38=0,0,BH39/BH38)*100</f>
        <v>0</v>
      </c>
      <c r="BI40" s="620">
        <f>IF(BI38=0,0,BI39/BI38)*100</f>
        <v>0</v>
      </c>
      <c r="BJ40" s="714"/>
      <c r="BK40" s="620">
        <f>IF(BK38=0,0,BK39/BK38)*100</f>
        <v>0</v>
      </c>
      <c r="BL40" s="620">
        <f>IF(BL38=0,0,BL39/BL38)*100</f>
        <v>0</v>
      </c>
      <c r="BM40" s="714"/>
      <c r="BN40" s="620">
        <f>IF(BN38=0,0,BN39/BN38)*100</f>
        <v>0</v>
      </c>
      <c r="BO40" s="620">
        <f>IF(BO38=0,0,BO39/BO38)*100</f>
        <v>0</v>
      </c>
      <c r="BP40" s="714"/>
      <c r="BQ40" s="620">
        <f>IF(BQ38=0,0,BQ39/BQ38)*100</f>
        <v>0</v>
      </c>
      <c r="BR40" s="620">
        <f>IF(BR38=0,0,BR39/BR38)*100</f>
        <v>0</v>
      </c>
      <c r="BS40" s="714"/>
      <c r="BT40" s="620">
        <f>IF(BT38=0,0,BT39/BT38)*100</f>
        <v>0</v>
      </c>
      <c r="BU40" s="620">
        <f>IF(BU38=0,0,BU39/BU38)*100</f>
        <v>0</v>
      </c>
      <c r="BV40" s="714"/>
      <c r="BW40" s="620">
        <f>IF(BW38=0,0,BW39/BW38)*100</f>
        <v>0</v>
      </c>
      <c r="BX40" s="620">
        <f>IF(BX38=0,0,BX39/BX38)*100</f>
        <v>0</v>
      </c>
      <c r="BY40" s="714"/>
      <c r="BZ40" s="620">
        <f>IF(BZ38=0,0,BZ39/BZ38)*100</f>
        <v>0</v>
      </c>
      <c r="CA40" s="620">
        <f>IF(CA38=0,0,CA39/CA38)*100</f>
        <v>0</v>
      </c>
      <c r="CB40" s="714"/>
      <c r="CC40" s="620">
        <f>IF(CC38=0,0,CC39/CC38)*100</f>
        <v>0</v>
      </c>
      <c r="CD40" s="620">
        <f>IF(CD38=0,0,CD39/CD38)*100</f>
        <v>0</v>
      </c>
      <c r="CE40" s="714"/>
      <c r="CF40" s="620">
        <f>IF(CF38=0,0,CF39/CF38)*100</f>
        <v>0</v>
      </c>
      <c r="CG40" s="620">
        <f>IF(CG38=0,0,CG39/CG38)*100</f>
        <v>0</v>
      </c>
      <c r="CH40" s="714"/>
      <c r="CI40" s="620">
        <f>IF(CI38=0,0,CI39/CI38)*100</f>
        <v>0</v>
      </c>
      <c r="CJ40" s="620">
        <f>IF(CJ38=0,0,CJ39/CJ38)*100</f>
        <v>0</v>
      </c>
      <c r="CK40" s="714"/>
      <c r="CL40" s="620">
        <f>IF(CL38=0,0,CL39/CL38)*100</f>
        <v>0</v>
      </c>
      <c r="CM40" s="620">
        <f>IF(CM38=0,0,CM39/CM38)*100</f>
        <v>0</v>
      </c>
      <c r="CN40" s="714"/>
      <c r="CO40" s="620">
        <f>IF(CO38=0,0,CO39/CO38)*100</f>
        <v>0</v>
      </c>
      <c r="CP40" s="620">
        <f>IF(CP38=0,0,CP39/CP38)*100</f>
        <v>0</v>
      </c>
      <c r="CQ40" s="714"/>
      <c r="CR40" s="620">
        <f>IF(CR38=0,0,CR39/CR38)*100</f>
        <v>0</v>
      </c>
      <c r="CS40" s="620">
        <f>IF(CS38=0,0,CS39/CS38)*100</f>
        <v>0</v>
      </c>
      <c r="CT40" s="714"/>
      <c r="CU40" s="620">
        <f>IF(CU38=0,0,CU39/CU38)*100</f>
        <v>0</v>
      </c>
      <c r="CV40" s="620">
        <f>IF(CV38=0,0,CV39/CV38)*100</f>
        <v>0</v>
      </c>
      <c r="CW40" s="714"/>
      <c r="CX40" s="620">
        <f>IF(CX38=0,0,CX39/CX38)*100</f>
        <v>0</v>
      </c>
      <c r="CY40" s="620">
        <f>IF(CY38=0,0,CY39/CY38)*100</f>
        <v>0</v>
      </c>
      <c r="CZ40" s="714"/>
      <c r="DA40" s="620">
        <f>IF(DA38=0,0,DA39/DA38)*100</f>
        <v>0</v>
      </c>
      <c r="DB40" s="620">
        <f>IF(DB38=0,0,DB39/DB38)*100</f>
        <v>0</v>
      </c>
      <c r="DC40" s="714"/>
      <c r="DD40" s="620">
        <f>IF(DD38=0,0,DD39/DD38)*100</f>
        <v>0</v>
      </c>
      <c r="DE40" s="620">
        <f>IF(DE38=0,0,DE39/DE38)*100</f>
        <v>0</v>
      </c>
      <c r="DF40" s="714"/>
      <c r="DG40" s="620">
        <f>IF(DG38=0,0,DG39/DG38)*100</f>
        <v>0</v>
      </c>
      <c r="DH40" s="620">
        <f>IF(DH38=0,0,DH39/DH38)*100</f>
        <v>0</v>
      </c>
      <c r="DI40" s="714"/>
      <c r="DJ40" s="620">
        <f>IF(DJ38=0,0,DJ39/DJ38)*100</f>
        <v>0</v>
      </c>
      <c r="DK40" s="620">
        <f>IF(DK38=0,0,DK39/DK38)*100</f>
        <v>0</v>
      </c>
      <c r="DL40" s="714"/>
      <c r="DM40" s="620">
        <f>IF(DM38=0,0,DM39/DM38)*100</f>
        <v>0</v>
      </c>
      <c r="DN40" s="620">
        <f>IF(DN38=0,0,DN39/DN38)*100</f>
        <v>0</v>
      </c>
      <c r="DO40" s="714"/>
      <c r="DP40" s="620">
        <f>IF(DP38=0,0,DP39/DP38)*100</f>
        <v>0</v>
      </c>
      <c r="DQ40" s="620">
        <f>IF(DQ38=0,0,DQ39/DQ38)*100</f>
        <v>0</v>
      </c>
      <c r="DR40" s="714"/>
      <c r="DS40" s="620">
        <f>IF(DS38=0,0,DS39/DS38)*100</f>
        <v>0</v>
      </c>
      <c r="DT40" s="620">
        <f>IF(DT38=0,0,DT39/DT38)*100</f>
        <v>0</v>
      </c>
      <c r="DU40" s="714"/>
      <c r="DV40" s="620">
        <f>IF(DV38=0,0,DV39/DV38)*100</f>
        <v>0</v>
      </c>
      <c r="DW40" s="620">
        <f>IF(DW38=0,0,DW39/DW38)*100</f>
        <v>0</v>
      </c>
      <c r="DX40" s="714"/>
      <c r="DY40" s="620">
        <f>IF(DY38=0,0,DY39/DY38)*100</f>
        <v>0</v>
      </c>
      <c r="DZ40" s="620">
        <f>IF(DZ38=0,0,DZ39/DZ38)*100</f>
        <v>0</v>
      </c>
      <c r="EA40" s="714"/>
      <c r="EB40" s="620">
        <f>IF(EB38=0,0,EB39/EB38)*100</f>
        <v>0</v>
      </c>
      <c r="EC40" s="620">
        <f>IF(EC38=0,0,EC39/EC38)*100</f>
        <v>0</v>
      </c>
      <c r="ED40" s="714"/>
      <c r="EE40" s="620">
        <f>IF(EE38=0,0,EE39/EE38)*100</f>
        <v>0</v>
      </c>
      <c r="EF40" s="620">
        <f>IF(EF38=0,0,EF39/EF38)*100</f>
        <v>0</v>
      </c>
      <c r="EG40" s="714"/>
      <c r="EH40" s="620">
        <f>IF(EH38=0,0,EH39/EH38)*100</f>
        <v>0</v>
      </c>
      <c r="EI40" s="620">
        <f>IF(EI38=0,0,EI39/EI38)*100</f>
        <v>0</v>
      </c>
      <c r="EJ40" s="714"/>
      <c r="EK40" s="620">
        <f>IF(EK38=0,0,EK39/EK38)*100</f>
        <v>0</v>
      </c>
      <c r="EL40" s="620">
        <f>IF(EL38=0,0,EL39/EL38)*100</f>
        <v>0</v>
      </c>
      <c r="EM40" s="714"/>
      <c r="EN40" s="620">
        <f>IF(EN38=0,0,EN39/EN38)*100</f>
        <v>0</v>
      </c>
      <c r="EO40" s="620">
        <f>IF(EO38=0,0,EO39/EO38)*100</f>
        <v>0</v>
      </c>
      <c r="EP40" s="714"/>
      <c r="EQ40" s="620">
        <f>IF(EQ38=0,0,EQ39/EQ38)*100</f>
        <v>0</v>
      </c>
      <c r="ER40" s="620">
        <f>IF(ER38=0,0,ER39/ER38)*100</f>
        <v>0</v>
      </c>
      <c r="ES40" s="714"/>
      <c r="ET40" s="620">
        <f>IF(ET38=0,0,ET39/ET38)*100</f>
        <v>0</v>
      </c>
      <c r="EU40" s="620">
        <f>IF(EU38=0,0,EU39/EU38)*100</f>
        <v>0</v>
      </c>
      <c r="EV40" s="714"/>
      <c r="EW40" s="620">
        <f>IF(EW38=0,0,EW39/EW38)*100</f>
        <v>0</v>
      </c>
      <c r="EX40" s="620">
        <f>IF(EX38=0,0,EX39/EX38)*100</f>
        <v>0</v>
      </c>
      <c r="EY40" s="714"/>
      <c r="EZ40" s="620">
        <f>IF(EZ38=0,0,EZ39/EZ38)*100</f>
        <v>0</v>
      </c>
      <c r="FA40" s="620">
        <f>IF(FA38=0,0,FA39/FA38)*100</f>
        <v>0</v>
      </c>
      <c r="FB40" s="714"/>
      <c r="FC40" s="620">
        <f>IF(FC38=0,0,FC39/FC38)*100</f>
        <v>0</v>
      </c>
      <c r="FD40" s="620">
        <f>IF(FD38=0,0,FD39/FD38)*100</f>
        <v>0</v>
      </c>
      <c r="FE40" s="714"/>
      <c r="FF40" s="620">
        <f>IF(FF38=0,0,FF39/FF38)*100</f>
        <v>0</v>
      </c>
      <c r="FG40" s="620">
        <f>IF(FG38=0,0,FG39/FG38)*100</f>
        <v>0</v>
      </c>
      <c r="FH40" s="714"/>
      <c r="FI40" s="620">
        <f>IF(FI38=0,0,FI39/FI38)*100</f>
        <v>0</v>
      </c>
      <c r="FJ40" s="620">
        <f>IF(FJ38=0,0,FJ39/FJ38)*100</f>
        <v>0</v>
      </c>
      <c r="FK40" s="714"/>
      <c r="FL40" s="620">
        <f>IF(FL38=0,0,FL39/FL38)*100</f>
        <v>0</v>
      </c>
      <c r="FM40" s="620">
        <f>IF(FM38=0,0,FM39/FM38)*100</f>
        <v>0</v>
      </c>
      <c r="FN40" s="714"/>
      <c r="FO40" s="620">
        <f>IF(FO38=0,0,FO39/FO38)*100</f>
        <v>0</v>
      </c>
      <c r="FP40" s="620">
        <f>IF(FP38=0,0,FP39/FP38)*100</f>
        <v>0</v>
      </c>
      <c r="FQ40" s="714"/>
      <c r="FR40" s="620">
        <f>IF(FR38=0,0,FR39/FR38)*100</f>
        <v>0</v>
      </c>
      <c r="FS40" s="620">
        <f>IF(FS38=0,0,FS39/FS38)*100</f>
        <v>0</v>
      </c>
      <c r="FT40" s="714"/>
      <c r="FU40" s="620">
        <f>IF(FU38=0,0,FU39/FU38)*100</f>
        <v>0</v>
      </c>
      <c r="FV40" s="620">
        <f>IF(FV38=0,0,FV39/FV38)*100</f>
        <v>0</v>
      </c>
      <c r="FW40" s="714"/>
      <c r="FX40" s="204"/>
      <c r="FZ40" s="691" t="s">
        <v>1665</v>
      </c>
    </row>
    <row r="41" spans="1:186" ht="14.65" hidden="1" customHeight="1" x14ac:dyDescent="0.15">
      <c r="A41" s="59"/>
      <c r="B41" s="613" t="b" cm="1">
        <f t="array" ref="B41">B40</f>
        <v>0</v>
      </c>
      <c r="C41" s="59"/>
      <c r="D41" s="59"/>
      <c r="E41" s="462">
        <v>15</v>
      </c>
      <c r="F41" s="3" cm="1">
        <f t="array" aca="1" ref="F41" ca="1">OFFSET(E41,-1,1)</f>
        <v>0</v>
      </c>
      <c r="G41" s="25" t="s">
        <v>1666</v>
      </c>
      <c r="H41" s="59" t="s">
        <v>489</v>
      </c>
      <c r="I41" s="59" t="s">
        <v>1664</v>
      </c>
      <c r="J41" s="59"/>
      <c r="K41" s="59"/>
      <c r="L41" s="59"/>
      <c r="M41" s="59"/>
      <c r="N41" s="59"/>
      <c r="O41" s="59"/>
      <c r="P41" s="59"/>
      <c r="Q41" s="594"/>
      <c r="R41" s="59"/>
      <c r="S41" s="59"/>
      <c r="T41" s="353" t="b" cm="1">
        <f t="array" ref="T41">T40</f>
        <v>0</v>
      </c>
      <c r="U41" s="59"/>
      <c r="V41" s="59"/>
      <c r="W41" s="59"/>
      <c r="X41" s="1022"/>
      <c r="Y41" s="59"/>
      <c r="Z41" s="966"/>
      <c r="AA41" s="59"/>
      <c r="AB41" s="54" t="s">
        <v>1667</v>
      </c>
      <c r="AC41" s="12" t="s">
        <v>558</v>
      </c>
      <c r="AD41" s="836">
        <f ca="1">IF(AND(method_reg="Метод индексации",god&lt;&gt;first_year),SUMIFS(INDEX('Калькуляция (МИ корр)'!$AJ$25:$BC$603,,MATCH(AD$8,'Калькуляция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(МИ)'!$AJ$25:$BC$603,,MATCH(AD$8,'Калькуляция (МИ)'!$AJ$8:$BC$8,0)),'Калькуляция (МИ)'!$F$25:$F$603,$F41,'Калькуляция (МИ)'!$G$25:$G$603,$G41))))</f>
        <v>0</v>
      </c>
      <c r="AE41" s="836">
        <f ca="1">IF(AND(method_reg="Метод индексации",god&lt;&gt;first_year),SUMIFS(INDEX('Калькуляция (МИ корр)'!$AJ$25:$BC$603,,MATCH(AE$8,'Калькуляция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(МИ)'!$AJ$25:$BC$603,,MATCH(AE$8,'Калькуляция (МИ)'!$AJ$8:$BC$8,0)),'Калькуляция (МИ)'!$F$25:$F$603,$F41,'Калькуляция (МИ)'!$G$25:$G$603,$G41))))</f>
        <v>0</v>
      </c>
      <c r="AF41" s="715">
        <f ca="1">IF(AD41=0,0,(AE41-AD41)/AD41*100)</f>
        <v>0</v>
      </c>
      <c r="AG41" s="836">
        <f ca="1">IF(AND(method_reg="Метод индексации",god&lt;&gt;first_year),SUMIFS(INDEX('Калькуляция (МИ корр)'!$AJ$25:$BC$603,,MATCH(AG$8,'Калькуляция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(МИ)'!$AJ$25:$BC$603,,MATCH(AG$8,'Калькуляция (МИ)'!$AJ$8:$BC$8,0)),'Калькуляция (МИ)'!$F$25:$F$603,$F41,'Калькуляция (МИ)'!$G$25:$G$603,$G41))))</f>
        <v>0</v>
      </c>
      <c r="AH41" s="836">
        <f ca="1">IF(AND(method_reg="Метод индексации",god&lt;&gt;first_year),SUMIFS(INDEX('Калькуляция (МИ корр)'!$AJ$25:$BC$603,,MATCH(AH$8,'Калькуляция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(МИ)'!$AJ$25:$BC$603,,MATCH(AH$8,'Калькуляция (МИ)'!$AJ$8:$BC$8,0)),'Калькуляция (МИ)'!$F$25:$F$603,$F41,'Калькуляция (МИ)'!$G$25:$G$603,$G41))))</f>
        <v>0</v>
      </c>
      <c r="AI41" s="715">
        <f ca="1">IF(AG41=0,0,(AH41-AG41)/AG41*100)</f>
        <v>0</v>
      </c>
      <c r="AJ41" s="836">
        <f ca="1">IF(AND(method_reg="Метод индексации",god&lt;&gt;first_year),SUMIFS(INDEX('Калькуляция (МИ корр)'!$AJ$25:$BC$603,,MATCH(AJ$8,'Калькуляция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(МИ)'!$AJ$25:$BC$603,,MATCH(AJ$8,'Калькуляция (МИ)'!$AJ$8:$BC$8,0)),'Калькуляция (МИ)'!$F$25:$F$603,$F41,'Калькуляция (МИ)'!$G$25:$G$603,$G41))))</f>
        <v>0</v>
      </c>
      <c r="AK41" s="836">
        <f ca="1">IF(AND(method_reg="Метод индексации",god&lt;&gt;first_year),SUMIFS(INDEX('Калькуляция (МИ корр)'!$AJ$25:$BC$603,,MATCH(AK$8,'Калькуляция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(МИ)'!$AJ$25:$BC$603,,MATCH(AK$8,'Калькуляция (МИ)'!$AJ$8:$BC$8,0)),'Калькуляция (МИ)'!$F$25:$F$603,$F41,'Калькуляция (МИ)'!$G$25:$G$603,$G41))))</f>
        <v>0</v>
      </c>
      <c r="AL41" s="715">
        <f ca="1">IF(AJ41=0,0,(AK41-AJ41)/AJ41*100)</f>
        <v>0</v>
      </c>
      <c r="AM41" s="836">
        <f ca="1">IF(AND(method_reg="Метод индексации",god&lt;&gt;first_year),SUMIFS(INDEX('Калькуляция (МИ корр)'!$AJ$25:$BC$603,,MATCH(AM$8,'Калькуляция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(МИ)'!$AJ$25:$BC$603,,MATCH(AM$8,'Калькуляция (МИ)'!$AJ$8:$BC$8,0)),'Калькуляция (МИ)'!$F$25:$F$603,$F41,'Калькуляция (МИ)'!$G$25:$G$603,$G41))))</f>
        <v>0</v>
      </c>
      <c r="AN41" s="836">
        <f ca="1">IF(AND(method_reg="Метод индексации",god&lt;&gt;first_year),SUMIFS(INDEX('Калькуляция (МИ корр)'!$AJ$25:$BC$603,,MATCH(AN$8,'Калькуляция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(МИ)'!$AJ$25:$BC$603,,MATCH(AN$8,'Калькуляция (МИ)'!$AJ$8:$BC$8,0)),'Калькуляция (МИ)'!$F$25:$F$603,$F41,'Калькуляция (МИ)'!$G$25:$G$603,$G41))))</f>
        <v>0</v>
      </c>
      <c r="AO41" s="715">
        <f ca="1">IF(AM41=0,0,(AN41-AM41)/AM41*100)</f>
        <v>0</v>
      </c>
      <c r="AP41" s="836">
        <f ca="1">IF(AND(method_reg="Метод индексации",god&lt;&gt;first_year),SUMIFS(INDEX('Калькуляция (МИ корр)'!$AJ$25:$BC$603,,MATCH(AP$8,'Калькуляция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(МИ)'!$AJ$25:$BC$603,,MATCH(AP$8,'Калькуляция (МИ)'!$AJ$8:$BC$8,0)),'Калькуляция (МИ)'!$F$25:$F$603,$F41,'Калькуляция (МИ)'!$G$25:$G$603,$G41))))</f>
        <v>0</v>
      </c>
      <c r="AQ41" s="836">
        <f ca="1">IF(AND(method_reg="Метод индексации",god&lt;&gt;first_year),SUMIFS(INDEX('Калькуляция (МИ корр)'!$AJ$25:$BC$603,,MATCH(AQ$8,'Калькуляция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(МИ)'!$AJ$25:$BC$603,,MATCH(AQ$8,'Калькуляция (МИ)'!$AJ$8:$BC$8,0)),'Калькуляция (МИ)'!$F$25:$F$603,$F41,'Калькуляция (МИ)'!$G$25:$G$603,$G41))))</f>
        <v>0</v>
      </c>
      <c r="AR41" s="715">
        <f ca="1">IF(AP41=0,0,(AQ41-AP41)/AP41*100)</f>
        <v>0</v>
      </c>
      <c r="AS41" s="836">
        <f ca="1">IF(AND(method_reg="Метод индексации",god&lt;&gt;first_year),SUMIFS(INDEX('Калькуляция (МИ корр)'!$AJ$25:$BC$603,,MATCH(AS$8,'Калькуляция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(МИ)'!$AJ$25:$BC$603,,MATCH(AS$8,'Калькуляция (МИ)'!$AJ$8:$BC$8,0)),'Калькуляция (МИ)'!$F$25:$F$603,$F41,'Калькуляция (МИ)'!$G$25:$G$603,$G41))))</f>
        <v>0</v>
      </c>
      <c r="AT41" s="836">
        <f ca="1">IF(AND(method_reg="Метод индексации",god&lt;&gt;first_year),SUMIFS(INDEX('Калькуляция (МИ корр)'!$AJ$25:$BC$603,,MATCH(AT$8,'Калькуляция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(МИ)'!$AJ$25:$BC$603,,MATCH(AT$8,'Калькуляция (МИ)'!$AJ$8:$BC$8,0)),'Калькуляция (МИ)'!$F$25:$F$603,$F41,'Калькуляция (МИ)'!$G$25:$G$603,$G41))))</f>
        <v>0</v>
      </c>
      <c r="AU41" s="715">
        <f ca="1">IF(AS41=0,0,(AT41-AS41)/AS41*100)</f>
        <v>0</v>
      </c>
      <c r="AV41" s="836">
        <f ca="1">IF(AND(method_reg="Метод индексации",god&lt;&gt;first_year),SUMIFS(INDEX('Калькуляция (МИ корр)'!$AJ$25:$BC$603,,MATCH(AV$8,'Калькуляция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(МИ)'!$AJ$25:$BC$603,,MATCH(AV$8,'Калькуляция (МИ)'!$AJ$8:$BC$8,0)),'Калькуляция (МИ)'!$F$25:$F$603,$F41,'Калькуляция (МИ)'!$G$25:$G$603,$G41))))</f>
        <v>0</v>
      </c>
      <c r="AW41" s="836">
        <f ca="1">IF(AND(method_reg="Метод индексации",god&lt;&gt;first_year),SUMIFS(INDEX('Калькуляция (МИ корр)'!$AJ$25:$BC$603,,MATCH(AW$8,'Калькуляция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(МИ)'!$AJ$25:$BC$603,,MATCH(AW$8,'Калькуляция (МИ)'!$AJ$8:$BC$8,0)),'Калькуляция (МИ)'!$F$25:$F$603,$F41,'Калькуляция (МИ)'!$G$25:$G$603,$G41))))</f>
        <v>0</v>
      </c>
      <c r="AX41" s="715">
        <f ca="1">IF(AV41=0,0,(AW41-AV41)/AV41*100)</f>
        <v>0</v>
      </c>
      <c r="AY41" s="836">
        <f ca="1">IF(AND(method_reg="Метод индексации",god&lt;&gt;first_year),SUMIFS(INDEX('Калькуляция (МИ корр)'!$AJ$25:$BC$603,,MATCH(AY$8,'Калькуляция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(МИ)'!$AJ$25:$BC$603,,MATCH(AY$8,'Калькуляция (МИ)'!$AJ$8:$BC$8,0)),'Калькуляция (МИ)'!$F$25:$F$603,$F41,'Калькуляция (МИ)'!$G$25:$G$603,$G41))))</f>
        <v>0</v>
      </c>
      <c r="AZ41" s="836">
        <f ca="1">IF(AND(method_reg="Метод индексации",god&lt;&gt;first_year),SUMIFS(INDEX('Калькуляция (МИ корр)'!$AJ$25:$BC$603,,MATCH(AZ$8,'Калькуляция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(МИ)'!$AJ$25:$BC$603,,MATCH(AZ$8,'Калькуляция (МИ)'!$AJ$8:$BC$8,0)),'Калькуляция (МИ)'!$F$25:$F$603,$F41,'Калькуляция (МИ)'!$G$25:$G$603,$G41))))</f>
        <v>0</v>
      </c>
      <c r="BA41" s="715">
        <f ca="1">IF(AY41=0,0,(AZ41-AY41)/AY41*100)</f>
        <v>0</v>
      </c>
      <c r="BB41" s="836">
        <f ca="1">IF(AND(method_reg="Метод индексации",god&lt;&gt;first_year),SUMIFS(INDEX('Калькуляция (МИ корр)'!$AJ$25:$BC$603,,MATCH(BB$8,'Калькуляция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(МИ)'!$AJ$25:$BC$603,,MATCH(BB$8,'Калькуляция (МИ)'!$AJ$8:$BC$8,0)),'Калькуляция (МИ)'!$F$25:$F$603,$F41,'Калькуляция (МИ)'!$G$25:$G$603,$G41))))</f>
        <v>0</v>
      </c>
      <c r="BC41" s="836">
        <f ca="1">IF(AND(method_reg="Метод индексации",god&lt;&gt;first_year),SUMIFS(INDEX('Калькуляция (МИ корр)'!$AJ$25:$BC$603,,MATCH(BC$8,'Калькуляция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(МИ)'!$AJ$25:$BC$603,,MATCH(BC$8,'Калькуляция (МИ)'!$AJ$8:$BC$8,0)),'Калькуляция (МИ)'!$F$25:$F$603,$F41,'Калькуляция (МИ)'!$G$25:$G$603,$G41))))</f>
        <v>0</v>
      </c>
      <c r="BD41" s="715">
        <f ca="1">IF(BB41=0,0,(BC41-BB41)/BB41*100)</f>
        <v>0</v>
      </c>
      <c r="BE41" s="836">
        <f ca="1">IF(AND(method_reg="Метод индексации",god&lt;&gt;first_year),SUMIFS(INDEX('Калькуляция (МИ корр)'!$AJ$25:$BC$603,,MATCH(BE$8,'Калькуляция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(МИ)'!$AJ$25:$BC$603,,MATCH(BE$8,'Калькуляция (МИ)'!$AJ$8:$BC$8,0)),'Калькуляция (МИ)'!$F$25:$F$603,$F41,'Калькуляция (МИ)'!$G$25:$G$603,$G41))))</f>
        <v>0</v>
      </c>
      <c r="BF41" s="836">
        <f ca="1">IF(AND(method_reg="Метод индексации",god&lt;&gt;first_year),SUMIFS(INDEX('Калькуляция (МИ корр)'!$AJ$25:$BC$603,,MATCH(BF$8,'Калькуляция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(МИ)'!$AJ$25:$BC$603,,MATCH(BF$8,'Калькуляция (МИ)'!$AJ$8:$BC$8,0)),'Калькуляция (МИ)'!$F$25:$F$603,$F41,'Калькуляция (МИ)'!$G$25:$G$603,$G41))))</f>
        <v>0</v>
      </c>
      <c r="BG41" s="715">
        <f ca="1">IF(BE41=0,0,(BF41-BE41)/BE41*100)</f>
        <v>0</v>
      </c>
      <c r="BH41" s="836"/>
      <c r="BI41" s="836"/>
      <c r="BJ41" s="715">
        <f>IF(BH41=0,0,(BI41-BH41)/BH41*100)</f>
        <v>0</v>
      </c>
      <c r="BK41" s="836"/>
      <c r="BL41" s="836"/>
      <c r="BM41" s="715">
        <f>IF(BK41=0,0,(BL41-BK41)/BK41*100)</f>
        <v>0</v>
      </c>
      <c r="BN41" s="836"/>
      <c r="BO41" s="836"/>
      <c r="BP41" s="715">
        <f>IF(BN41=0,0,(BO41-BN41)/BN41*100)</f>
        <v>0</v>
      </c>
      <c r="BQ41" s="836"/>
      <c r="BR41" s="836"/>
      <c r="BS41" s="715">
        <f>IF(BQ41=0,0,(BR41-BQ41)/BQ41*100)</f>
        <v>0</v>
      </c>
      <c r="BT41" s="836"/>
      <c r="BU41" s="836"/>
      <c r="BV41" s="715">
        <f>IF(BT41=0,0,(BU41-BT41)/BT41*100)</f>
        <v>0</v>
      </c>
      <c r="BW41" s="836"/>
      <c r="BX41" s="836"/>
      <c r="BY41" s="715">
        <f>IF(BW41=0,0,(BX41-BW41)/BW41*100)</f>
        <v>0</v>
      </c>
      <c r="BZ41" s="836"/>
      <c r="CA41" s="836"/>
      <c r="CB41" s="715">
        <f>IF(BZ41=0,0,(CA41-BZ41)/BZ41*100)</f>
        <v>0</v>
      </c>
      <c r="CC41" s="836"/>
      <c r="CD41" s="836"/>
      <c r="CE41" s="715">
        <f>IF(CC41=0,0,(CD41-CC41)/CC41*100)</f>
        <v>0</v>
      </c>
      <c r="CF41" s="836"/>
      <c r="CG41" s="836"/>
      <c r="CH41" s="715">
        <f>IF(CF41=0,0,(CG41-CF41)/CF41*100)</f>
        <v>0</v>
      </c>
      <c r="CI41" s="836"/>
      <c r="CJ41" s="836"/>
      <c r="CK41" s="715">
        <f>IF(CI41=0,0,(CJ41-CI41)/CI41*100)</f>
        <v>0</v>
      </c>
      <c r="CL41" s="836"/>
      <c r="CM41" s="836"/>
      <c r="CN41" s="715">
        <f>IF(CL41=0,0,(CM41-CL41)/CL41*100)</f>
        <v>0</v>
      </c>
      <c r="CO41" s="836"/>
      <c r="CP41" s="836"/>
      <c r="CQ41" s="715">
        <f>IF(CO41=0,0,(CP41-CO41)/CO41*100)</f>
        <v>0</v>
      </c>
      <c r="CR41" s="836"/>
      <c r="CS41" s="836"/>
      <c r="CT41" s="715">
        <f>IF(CR41=0,0,(CS41-CR41)/CR41*100)</f>
        <v>0</v>
      </c>
      <c r="CU41" s="836"/>
      <c r="CV41" s="836"/>
      <c r="CW41" s="715">
        <f>IF(CU41=0,0,(CV41-CU41)/CU41*100)</f>
        <v>0</v>
      </c>
      <c r="CX41" s="836"/>
      <c r="CY41" s="836"/>
      <c r="CZ41" s="715">
        <f>IF(CX41=0,0,(CY41-CX41)/CX41*100)</f>
        <v>0</v>
      </c>
      <c r="DA41" s="836"/>
      <c r="DB41" s="836"/>
      <c r="DC41" s="715">
        <f>IF(DA41=0,0,(DB41-DA41)/DA41*100)</f>
        <v>0</v>
      </c>
      <c r="DD41" s="836"/>
      <c r="DE41" s="836"/>
      <c r="DF41" s="715">
        <f>IF(DD41=0,0,(DE41-DD41)/DD41*100)</f>
        <v>0</v>
      </c>
      <c r="DG41" s="836"/>
      <c r="DH41" s="836"/>
      <c r="DI41" s="715">
        <f>IF(DG41=0,0,(DH41-DG41)/DG41*100)</f>
        <v>0</v>
      </c>
      <c r="DJ41" s="836"/>
      <c r="DK41" s="836"/>
      <c r="DL41" s="715">
        <f>IF(DJ41=0,0,(DK41-DJ41)/DJ41*100)</f>
        <v>0</v>
      </c>
      <c r="DM41" s="836"/>
      <c r="DN41" s="836"/>
      <c r="DO41" s="715">
        <f>IF(DM41=0,0,(DN41-DM41)/DM41*100)</f>
        <v>0</v>
      </c>
      <c r="DP41" s="836"/>
      <c r="DQ41" s="836"/>
      <c r="DR41" s="715">
        <f>IF(DP41=0,0,(DQ41-DP41)/DP41*100)</f>
        <v>0</v>
      </c>
      <c r="DS41" s="836"/>
      <c r="DT41" s="836"/>
      <c r="DU41" s="715">
        <f>IF(DS41=0,0,(DT41-DS41)/DS41*100)</f>
        <v>0</v>
      </c>
      <c r="DV41" s="836"/>
      <c r="DW41" s="836"/>
      <c r="DX41" s="715">
        <f>IF(DV41=0,0,(DW41-DV41)/DV41*100)</f>
        <v>0</v>
      </c>
      <c r="DY41" s="836"/>
      <c r="DZ41" s="836"/>
      <c r="EA41" s="715">
        <f>IF(DY41=0,0,(DZ41-DY41)/DY41*100)</f>
        <v>0</v>
      </c>
      <c r="EB41" s="836"/>
      <c r="EC41" s="836"/>
      <c r="ED41" s="715">
        <f>IF(EB41=0,0,(EC41-EB41)/EB41*100)</f>
        <v>0</v>
      </c>
      <c r="EE41" s="836"/>
      <c r="EF41" s="836"/>
      <c r="EG41" s="715">
        <f>IF(EE41=0,0,(EF41-EE41)/EE41*100)</f>
        <v>0</v>
      </c>
      <c r="EH41" s="836"/>
      <c r="EI41" s="836"/>
      <c r="EJ41" s="715">
        <f>IF(EH41=0,0,(EI41-EH41)/EH41*100)</f>
        <v>0</v>
      </c>
      <c r="EK41" s="836"/>
      <c r="EL41" s="836"/>
      <c r="EM41" s="715">
        <f>IF(EK41=0,0,(EL41-EK41)/EK41*100)</f>
        <v>0</v>
      </c>
      <c r="EN41" s="836"/>
      <c r="EO41" s="836"/>
      <c r="EP41" s="715">
        <f>IF(EN41=0,0,(EO41-EN41)/EN41*100)</f>
        <v>0</v>
      </c>
      <c r="EQ41" s="836"/>
      <c r="ER41" s="836"/>
      <c r="ES41" s="715">
        <f>IF(EQ41=0,0,(ER41-EQ41)/EQ41*100)</f>
        <v>0</v>
      </c>
      <c r="ET41" s="836"/>
      <c r="EU41" s="836"/>
      <c r="EV41" s="715">
        <f>IF(ET41=0,0,(EU41-ET41)/ET41*100)</f>
        <v>0</v>
      </c>
      <c r="EW41" s="836"/>
      <c r="EX41" s="836"/>
      <c r="EY41" s="715">
        <f>IF(EW41=0,0,(EX41-EW41)/EW41*100)</f>
        <v>0</v>
      </c>
      <c r="EZ41" s="836"/>
      <c r="FA41" s="836"/>
      <c r="FB41" s="715">
        <f>IF(EZ41=0,0,(FA41-EZ41)/EZ41*100)</f>
        <v>0</v>
      </c>
      <c r="FC41" s="836"/>
      <c r="FD41" s="836"/>
      <c r="FE41" s="715">
        <f>IF(FC41=0,0,(FD41-FC41)/FC41*100)</f>
        <v>0</v>
      </c>
      <c r="FF41" s="836"/>
      <c r="FG41" s="836"/>
      <c r="FH41" s="715">
        <f>IF(FF41=0,0,(FG41-FF41)/FF41*100)</f>
        <v>0</v>
      </c>
      <c r="FI41" s="836"/>
      <c r="FJ41" s="836"/>
      <c r="FK41" s="715">
        <f>IF(FI41=0,0,(FJ41-FI41)/FI41*100)</f>
        <v>0</v>
      </c>
      <c r="FL41" s="836"/>
      <c r="FM41" s="836"/>
      <c r="FN41" s="715">
        <f>IF(FL41=0,0,(FM41-FL41)/FL41*100)</f>
        <v>0</v>
      </c>
      <c r="FO41" s="836"/>
      <c r="FP41" s="836"/>
      <c r="FQ41" s="715">
        <f>IF(FO41=0,0,(FP41-FO41)/FO41*100)</f>
        <v>0</v>
      </c>
      <c r="FR41" s="836"/>
      <c r="FS41" s="836"/>
      <c r="FT41" s="715">
        <f>IF(FR41=0,0,(FS41-FR41)/FR41*100)</f>
        <v>0</v>
      </c>
      <c r="FU41" s="836"/>
      <c r="FV41" s="836"/>
      <c r="FW41" s="715">
        <f>IF(FU41=0,0,(FV41-FU41)/FU41*100)</f>
        <v>0</v>
      </c>
      <c r="FX41" s="204"/>
      <c r="FZ41" s="691" t="s">
        <v>1668</v>
      </c>
    </row>
    <row r="42" spans="1:186" ht="18.2" hidden="1" customHeight="1" x14ac:dyDescent="0.15">
      <c r="A42" s="59"/>
      <c r="B42" s="613" t="b" cm="1">
        <f t="array" ref="B42">B41</f>
        <v>0</v>
      </c>
      <c r="C42" s="59"/>
      <c r="D42" s="59"/>
      <c r="E42" s="462">
        <v>18.75</v>
      </c>
      <c r="F42" s="3" cm="1">
        <f t="array" aca="1" ref="F42" ca="1">OFFSET(E42,-1,1)</f>
        <v>0</v>
      </c>
      <c r="G42" s="59"/>
      <c r="H42" s="59" t="s">
        <v>482</v>
      </c>
      <c r="I42" s="59" cm="1">
        <f t="array" ref="I42">AB42</f>
        <v>0</v>
      </c>
      <c r="J42" s="59"/>
      <c r="K42" s="59"/>
      <c r="L42" s="59"/>
      <c r="M42" s="59"/>
      <c r="N42" s="59"/>
      <c r="O42" s="59"/>
      <c r="P42" s="59"/>
      <c r="Q42" s="594"/>
      <c r="R42" s="59"/>
      <c r="S42" s="59"/>
      <c r="T42" s="353" t="b">
        <f ca="1">AND(F42&gt;0,Y42&gt;0)</f>
        <v>0</v>
      </c>
      <c r="U42" s="59"/>
      <c r="V42" s="59"/>
      <c r="W42" s="59" t="s">
        <v>172</v>
      </c>
      <c r="X42" s="1022"/>
      <c r="Y42" s="1022">
        <v>0</v>
      </c>
      <c r="Z42" s="966"/>
      <c r="AA42" s="913" t="s">
        <v>173</v>
      </c>
      <c r="AB42" s="863"/>
      <c r="AC42" s="12" t="s">
        <v>1644</v>
      </c>
      <c r="AD42" s="820"/>
      <c r="AE42" s="864"/>
      <c r="AF42" s="714">
        <f>IF(AD42=0,0,(AE42-AD42)/AD42*100)</f>
        <v>0</v>
      </c>
      <c r="AG42" s="820"/>
      <c r="AH42" s="864"/>
      <c r="AI42" s="714">
        <f>IF(AG42=0,0,(AH42-AG42)/AG42*100)</f>
        <v>0</v>
      </c>
      <c r="AJ42" s="820"/>
      <c r="AK42" s="864"/>
      <c r="AL42" s="714">
        <f>IF(AJ42=0,0,(AK42-AJ42)/AJ42*100)</f>
        <v>0</v>
      </c>
      <c r="AM42" s="820"/>
      <c r="AN42" s="864"/>
      <c r="AO42" s="714">
        <f>IF(AM42=0,0,(AN42-AM42)/AM42*100)</f>
        <v>0</v>
      </c>
      <c r="AP42" s="820"/>
      <c r="AQ42" s="864"/>
      <c r="AR42" s="714">
        <f>IF(AP42=0,0,(AQ42-AP42)/AP42*100)</f>
        <v>0</v>
      </c>
      <c r="AS42" s="820"/>
      <c r="AT42" s="864"/>
      <c r="AU42" s="714">
        <f>IF(AS42=0,0,(AT42-AS42)/AS42*100)</f>
        <v>0</v>
      </c>
      <c r="AV42" s="820"/>
      <c r="AW42" s="864"/>
      <c r="AX42" s="714">
        <f>IF(AV42=0,0,(AW42-AV42)/AV42*100)</f>
        <v>0</v>
      </c>
      <c r="AY42" s="820"/>
      <c r="AZ42" s="864"/>
      <c r="BA42" s="714">
        <f>IF(AY42=0,0,(AZ42-AY42)/AY42*100)</f>
        <v>0</v>
      </c>
      <c r="BB42" s="820"/>
      <c r="BC42" s="864"/>
      <c r="BD42" s="714">
        <f>IF(BB42=0,0,(BC42-BB42)/BB42*100)</f>
        <v>0</v>
      </c>
      <c r="BE42" s="820"/>
      <c r="BF42" s="864"/>
      <c r="BG42" s="714">
        <f>IF(BE42=0,0,(BF42-BE42)/BE42*100)</f>
        <v>0</v>
      </c>
      <c r="BH42" s="820"/>
      <c r="BI42" s="864"/>
      <c r="BJ42" s="714">
        <f>IF(BH42=0,0,(BI42-BH42)/BH42*100)</f>
        <v>0</v>
      </c>
      <c r="BK42" s="820"/>
      <c r="BL42" s="864"/>
      <c r="BM42" s="714">
        <f>IF(BK42=0,0,(BL42-BK42)/BK42*100)</f>
        <v>0</v>
      </c>
      <c r="BN42" s="820"/>
      <c r="BO42" s="864"/>
      <c r="BP42" s="714">
        <f>IF(BN42=0,0,(BO42-BN42)/BN42*100)</f>
        <v>0</v>
      </c>
      <c r="BQ42" s="820"/>
      <c r="BR42" s="864"/>
      <c r="BS42" s="714">
        <f>IF(BQ42=0,0,(BR42-BQ42)/BQ42*100)</f>
        <v>0</v>
      </c>
      <c r="BT42" s="820"/>
      <c r="BU42" s="864"/>
      <c r="BV42" s="714">
        <f>IF(BT42=0,0,(BU42-BT42)/BT42*100)</f>
        <v>0</v>
      </c>
      <c r="BW42" s="820"/>
      <c r="BX42" s="864"/>
      <c r="BY42" s="714">
        <f>IF(BW42=0,0,(BX42-BW42)/BW42*100)</f>
        <v>0</v>
      </c>
      <c r="BZ42" s="820"/>
      <c r="CA42" s="864"/>
      <c r="CB42" s="714">
        <f>IF(BZ42=0,0,(CA42-BZ42)/BZ42*100)</f>
        <v>0</v>
      </c>
      <c r="CC42" s="820"/>
      <c r="CD42" s="864"/>
      <c r="CE42" s="714">
        <f>IF(CC42=0,0,(CD42-CC42)/CC42*100)</f>
        <v>0</v>
      </c>
      <c r="CF42" s="820"/>
      <c r="CG42" s="864"/>
      <c r="CH42" s="714">
        <f>IF(CF42=0,0,(CG42-CF42)/CF42*100)</f>
        <v>0</v>
      </c>
      <c r="CI42" s="820"/>
      <c r="CJ42" s="864"/>
      <c r="CK42" s="714">
        <f>IF(CI42=0,0,(CJ42-CI42)/CI42*100)</f>
        <v>0</v>
      </c>
      <c r="CL42" s="820"/>
      <c r="CM42" s="864"/>
      <c r="CN42" s="714">
        <f>IF(CL42=0,0,(CM42-CL42)/CL42*100)</f>
        <v>0</v>
      </c>
      <c r="CO42" s="820"/>
      <c r="CP42" s="864"/>
      <c r="CQ42" s="714">
        <f>IF(CO42=0,0,(CP42-CO42)/CO42*100)</f>
        <v>0</v>
      </c>
      <c r="CR42" s="820"/>
      <c r="CS42" s="864"/>
      <c r="CT42" s="714">
        <f>IF(CR42=0,0,(CS42-CR42)/CR42*100)</f>
        <v>0</v>
      </c>
      <c r="CU42" s="820"/>
      <c r="CV42" s="864"/>
      <c r="CW42" s="714">
        <f>IF(CU42=0,0,(CV42-CU42)/CU42*100)</f>
        <v>0</v>
      </c>
      <c r="CX42" s="820"/>
      <c r="CY42" s="864"/>
      <c r="CZ42" s="714">
        <f>IF(CX42=0,0,(CY42-CX42)/CX42*100)</f>
        <v>0</v>
      </c>
      <c r="DA42" s="820"/>
      <c r="DB42" s="864"/>
      <c r="DC42" s="714">
        <f>IF(DA42=0,0,(DB42-DA42)/DA42*100)</f>
        <v>0</v>
      </c>
      <c r="DD42" s="820"/>
      <c r="DE42" s="864"/>
      <c r="DF42" s="714">
        <f>IF(DD42=0,0,(DE42-DD42)/DD42*100)</f>
        <v>0</v>
      </c>
      <c r="DG42" s="820"/>
      <c r="DH42" s="864"/>
      <c r="DI42" s="714">
        <f>IF(DG42=0,0,(DH42-DG42)/DG42*100)</f>
        <v>0</v>
      </c>
      <c r="DJ42" s="820"/>
      <c r="DK42" s="864"/>
      <c r="DL42" s="714">
        <f>IF(DJ42=0,0,(DK42-DJ42)/DJ42*100)</f>
        <v>0</v>
      </c>
      <c r="DM42" s="820"/>
      <c r="DN42" s="864"/>
      <c r="DO42" s="714">
        <f>IF(DM42=0,0,(DN42-DM42)/DM42*100)</f>
        <v>0</v>
      </c>
      <c r="DP42" s="820"/>
      <c r="DQ42" s="864"/>
      <c r="DR42" s="714">
        <f>IF(DP42=0,0,(DQ42-DP42)/DP42*100)</f>
        <v>0</v>
      </c>
      <c r="DS42" s="820"/>
      <c r="DT42" s="864"/>
      <c r="DU42" s="714">
        <f>IF(DS42=0,0,(DT42-DS42)/DS42*100)</f>
        <v>0</v>
      </c>
      <c r="DV42" s="820"/>
      <c r="DW42" s="864"/>
      <c r="DX42" s="714">
        <f>IF(DV42=0,0,(DW42-DV42)/DV42*100)</f>
        <v>0</v>
      </c>
      <c r="DY42" s="820"/>
      <c r="DZ42" s="864"/>
      <c r="EA42" s="714">
        <f>IF(DY42=0,0,(DZ42-DY42)/DY42*100)</f>
        <v>0</v>
      </c>
      <c r="EB42" s="820"/>
      <c r="EC42" s="864"/>
      <c r="ED42" s="714">
        <f>IF(EB42=0,0,(EC42-EB42)/EB42*100)</f>
        <v>0</v>
      </c>
      <c r="EE42" s="820"/>
      <c r="EF42" s="864"/>
      <c r="EG42" s="714">
        <f>IF(EE42=0,0,(EF42-EE42)/EE42*100)</f>
        <v>0</v>
      </c>
      <c r="EH42" s="820"/>
      <c r="EI42" s="864"/>
      <c r="EJ42" s="714">
        <f>IF(EH42=0,0,(EI42-EH42)/EH42*100)</f>
        <v>0</v>
      </c>
      <c r="EK42" s="820"/>
      <c r="EL42" s="864"/>
      <c r="EM42" s="714">
        <f>IF(EK42=0,0,(EL42-EK42)/EK42*100)</f>
        <v>0</v>
      </c>
      <c r="EN42" s="820"/>
      <c r="EO42" s="864"/>
      <c r="EP42" s="714">
        <f>IF(EN42=0,0,(EO42-EN42)/EN42*100)</f>
        <v>0</v>
      </c>
      <c r="EQ42" s="820"/>
      <c r="ER42" s="864"/>
      <c r="ES42" s="714">
        <f>IF(EQ42=0,0,(ER42-EQ42)/EQ42*100)</f>
        <v>0</v>
      </c>
      <c r="ET42" s="820"/>
      <c r="EU42" s="864"/>
      <c r="EV42" s="714">
        <f>IF(ET42=0,0,(EU42-ET42)/ET42*100)</f>
        <v>0</v>
      </c>
      <c r="EW42" s="820"/>
      <c r="EX42" s="864"/>
      <c r="EY42" s="714">
        <f>IF(EW42=0,0,(EX42-EW42)/EW42*100)</f>
        <v>0</v>
      </c>
      <c r="EZ42" s="820"/>
      <c r="FA42" s="864"/>
      <c r="FB42" s="714">
        <f>IF(EZ42=0,0,(FA42-EZ42)/EZ42*100)</f>
        <v>0</v>
      </c>
      <c r="FC42" s="820"/>
      <c r="FD42" s="864"/>
      <c r="FE42" s="714">
        <f>IF(FC42=0,0,(FD42-FC42)/FC42*100)</f>
        <v>0</v>
      </c>
      <c r="FF42" s="820"/>
      <c r="FG42" s="864"/>
      <c r="FH42" s="714">
        <f>IF(FF42=0,0,(FG42-FF42)/FF42*100)</f>
        <v>0</v>
      </c>
      <c r="FI42" s="820"/>
      <c r="FJ42" s="864"/>
      <c r="FK42" s="714">
        <f>IF(FI42=0,0,(FJ42-FI42)/FI42*100)</f>
        <v>0</v>
      </c>
      <c r="FL42" s="820"/>
      <c r="FM42" s="864"/>
      <c r="FN42" s="714">
        <f>IF(FL42=0,0,(FM42-FL42)/FL42*100)</f>
        <v>0</v>
      </c>
      <c r="FO42" s="820"/>
      <c r="FP42" s="864"/>
      <c r="FQ42" s="714">
        <f>IF(FO42=0,0,(FP42-FO42)/FO42*100)</f>
        <v>0</v>
      </c>
      <c r="FR42" s="820"/>
      <c r="FS42" s="864"/>
      <c r="FT42" s="714">
        <f>IF(FR42=0,0,(FS42-FR42)/FR42*100)</f>
        <v>0</v>
      </c>
      <c r="FU42" s="820"/>
      <c r="FV42" s="864"/>
      <c r="FW42" s="714">
        <f>IF(FU42=0,0,(FV42-FU42)/FU42*100)</f>
        <v>0</v>
      </c>
      <c r="FX42" s="204"/>
      <c r="FZ42" s="691" t="s">
        <v>1669</v>
      </c>
      <c r="GA42" s="671" t="s">
        <v>1670</v>
      </c>
      <c r="GB42" s="671" cm="1">
        <f t="array" ref="GB42">AB42</f>
        <v>0</v>
      </c>
      <c r="GD42" s="461" t="b">
        <v>1</v>
      </c>
    </row>
    <row r="43" spans="1:186" ht="14.65" hidden="1" customHeight="1" x14ac:dyDescent="0.15">
      <c r="A43" s="59"/>
      <c r="B43" s="613" t="b" cm="1">
        <f t="array" ref="B43">B42</f>
        <v>0</v>
      </c>
      <c r="C43" s="59"/>
      <c r="D43" s="59"/>
      <c r="E43" s="462">
        <v>15</v>
      </c>
      <c r="F43" s="3" cm="1">
        <f t="array" aca="1" ref="F43" ca="1">OFFSET(E43,-1,1)</f>
        <v>0</v>
      </c>
      <c r="G43" s="59"/>
      <c r="H43" s="59" t="s">
        <v>489</v>
      </c>
      <c r="I43" s="59" cm="1">
        <f t="array" ref="I43">I42</f>
        <v>0</v>
      </c>
      <c r="J43" s="59"/>
      <c r="K43" s="59"/>
      <c r="L43" s="59"/>
      <c r="M43" s="59"/>
      <c r="N43" s="59"/>
      <c r="O43" s="59"/>
      <c r="P43" s="59"/>
      <c r="Q43" s="594"/>
      <c r="R43" s="59"/>
      <c r="S43" s="59"/>
      <c r="T43" s="353" t="b" cm="1">
        <f t="array" aca="1" ref="T43" ca="1">T42</f>
        <v>0</v>
      </c>
      <c r="U43" s="59"/>
      <c r="V43" s="59"/>
      <c r="W43" s="59"/>
      <c r="X43" s="1022"/>
      <c r="Y43" s="1022"/>
      <c r="Z43" s="966"/>
      <c r="AA43" s="913"/>
      <c r="AB43" s="54" t="s">
        <v>1671</v>
      </c>
      <c r="AC43" s="7" t="s">
        <v>558</v>
      </c>
      <c r="AD43" s="836"/>
      <c r="AE43" s="836"/>
      <c r="AF43" s="715">
        <f>IF(AD43=0,0,(AE43-AD43)/AD43*100)</f>
        <v>0</v>
      </c>
      <c r="AG43" s="836"/>
      <c r="AH43" s="836"/>
      <c r="AI43" s="715">
        <f>IF(AG43=0,0,(AH43-AG43)/AG43*100)</f>
        <v>0</v>
      </c>
      <c r="AJ43" s="836"/>
      <c r="AK43" s="836"/>
      <c r="AL43" s="715">
        <f>IF(AJ43=0,0,(AK43-AJ43)/AJ43*100)</f>
        <v>0</v>
      </c>
      <c r="AM43" s="836"/>
      <c r="AN43" s="836"/>
      <c r="AO43" s="715">
        <f>IF(AM43=0,0,(AN43-AM43)/AM43*100)</f>
        <v>0</v>
      </c>
      <c r="AP43" s="836"/>
      <c r="AQ43" s="836"/>
      <c r="AR43" s="715">
        <f>IF(AP43=0,0,(AQ43-AP43)/AP43*100)</f>
        <v>0</v>
      </c>
      <c r="AS43" s="836"/>
      <c r="AT43" s="836"/>
      <c r="AU43" s="715">
        <f>IF(AS43=0,0,(AT43-AS43)/AS43*100)</f>
        <v>0</v>
      </c>
      <c r="AV43" s="836"/>
      <c r="AW43" s="836"/>
      <c r="AX43" s="715">
        <f>IF(AV43=0,0,(AW43-AV43)/AV43*100)</f>
        <v>0</v>
      </c>
      <c r="AY43" s="836"/>
      <c r="AZ43" s="836"/>
      <c r="BA43" s="715">
        <f>IF(AY43=0,0,(AZ43-AY43)/AY43*100)</f>
        <v>0</v>
      </c>
      <c r="BB43" s="836"/>
      <c r="BC43" s="836"/>
      <c r="BD43" s="715">
        <f>IF(BB43=0,0,(BC43-BB43)/BB43*100)</f>
        <v>0</v>
      </c>
      <c r="BE43" s="836"/>
      <c r="BF43" s="836"/>
      <c r="BG43" s="715">
        <f>IF(BE43=0,0,(BF43-BE43)/BE43*100)</f>
        <v>0</v>
      </c>
      <c r="BH43" s="836"/>
      <c r="BI43" s="836"/>
      <c r="BJ43" s="715">
        <f>IF(BH43=0,0,(BI43-BH43)/BH43*100)</f>
        <v>0</v>
      </c>
      <c r="BK43" s="836"/>
      <c r="BL43" s="836"/>
      <c r="BM43" s="715">
        <f>IF(BK43=0,0,(BL43-BK43)/BK43*100)</f>
        <v>0</v>
      </c>
      <c r="BN43" s="836"/>
      <c r="BO43" s="836"/>
      <c r="BP43" s="715">
        <f>IF(BN43=0,0,(BO43-BN43)/BN43*100)</f>
        <v>0</v>
      </c>
      <c r="BQ43" s="836"/>
      <c r="BR43" s="836"/>
      <c r="BS43" s="715">
        <f>IF(BQ43=0,0,(BR43-BQ43)/BQ43*100)</f>
        <v>0</v>
      </c>
      <c r="BT43" s="836"/>
      <c r="BU43" s="836"/>
      <c r="BV43" s="715">
        <f>IF(BT43=0,0,(BU43-BT43)/BT43*100)</f>
        <v>0</v>
      </c>
      <c r="BW43" s="836"/>
      <c r="BX43" s="836"/>
      <c r="BY43" s="715">
        <f>IF(BW43=0,0,(BX43-BW43)/BW43*100)</f>
        <v>0</v>
      </c>
      <c r="BZ43" s="836"/>
      <c r="CA43" s="836"/>
      <c r="CB43" s="715">
        <f>IF(BZ43=0,0,(CA43-BZ43)/BZ43*100)</f>
        <v>0</v>
      </c>
      <c r="CC43" s="836"/>
      <c r="CD43" s="836"/>
      <c r="CE43" s="715">
        <f>IF(CC43=0,0,(CD43-CC43)/CC43*100)</f>
        <v>0</v>
      </c>
      <c r="CF43" s="836"/>
      <c r="CG43" s="836"/>
      <c r="CH43" s="715">
        <f>IF(CF43=0,0,(CG43-CF43)/CF43*100)</f>
        <v>0</v>
      </c>
      <c r="CI43" s="836"/>
      <c r="CJ43" s="836"/>
      <c r="CK43" s="715">
        <f>IF(CI43=0,0,(CJ43-CI43)/CI43*100)</f>
        <v>0</v>
      </c>
      <c r="CL43" s="836"/>
      <c r="CM43" s="836"/>
      <c r="CN43" s="715">
        <f>IF(CL43=0,0,(CM43-CL43)/CL43*100)</f>
        <v>0</v>
      </c>
      <c r="CO43" s="836"/>
      <c r="CP43" s="836"/>
      <c r="CQ43" s="715">
        <f>IF(CO43=0,0,(CP43-CO43)/CO43*100)</f>
        <v>0</v>
      </c>
      <c r="CR43" s="836"/>
      <c r="CS43" s="836"/>
      <c r="CT43" s="715">
        <f>IF(CR43=0,0,(CS43-CR43)/CR43*100)</f>
        <v>0</v>
      </c>
      <c r="CU43" s="836"/>
      <c r="CV43" s="836"/>
      <c r="CW43" s="715">
        <f>IF(CU43=0,0,(CV43-CU43)/CU43*100)</f>
        <v>0</v>
      </c>
      <c r="CX43" s="836"/>
      <c r="CY43" s="836"/>
      <c r="CZ43" s="715">
        <f>IF(CX43=0,0,(CY43-CX43)/CX43*100)</f>
        <v>0</v>
      </c>
      <c r="DA43" s="836"/>
      <c r="DB43" s="836"/>
      <c r="DC43" s="715">
        <f>IF(DA43=0,0,(DB43-DA43)/DA43*100)</f>
        <v>0</v>
      </c>
      <c r="DD43" s="836"/>
      <c r="DE43" s="836"/>
      <c r="DF43" s="715">
        <f>IF(DD43=0,0,(DE43-DD43)/DD43*100)</f>
        <v>0</v>
      </c>
      <c r="DG43" s="836"/>
      <c r="DH43" s="836"/>
      <c r="DI43" s="715">
        <f>IF(DG43=0,0,(DH43-DG43)/DG43*100)</f>
        <v>0</v>
      </c>
      <c r="DJ43" s="836"/>
      <c r="DK43" s="836"/>
      <c r="DL43" s="715">
        <f>IF(DJ43=0,0,(DK43-DJ43)/DJ43*100)</f>
        <v>0</v>
      </c>
      <c r="DM43" s="836"/>
      <c r="DN43" s="836"/>
      <c r="DO43" s="715">
        <f>IF(DM43=0,0,(DN43-DM43)/DM43*100)</f>
        <v>0</v>
      </c>
      <c r="DP43" s="836"/>
      <c r="DQ43" s="836"/>
      <c r="DR43" s="715">
        <f>IF(DP43=0,0,(DQ43-DP43)/DP43*100)</f>
        <v>0</v>
      </c>
      <c r="DS43" s="836"/>
      <c r="DT43" s="836"/>
      <c r="DU43" s="715">
        <f>IF(DS43=0,0,(DT43-DS43)/DS43*100)</f>
        <v>0</v>
      </c>
      <c r="DV43" s="836"/>
      <c r="DW43" s="836"/>
      <c r="DX43" s="715">
        <f>IF(DV43=0,0,(DW43-DV43)/DV43*100)</f>
        <v>0</v>
      </c>
      <c r="DY43" s="836"/>
      <c r="DZ43" s="836"/>
      <c r="EA43" s="715">
        <f>IF(DY43=0,0,(DZ43-DY43)/DY43*100)</f>
        <v>0</v>
      </c>
      <c r="EB43" s="836"/>
      <c r="EC43" s="836"/>
      <c r="ED43" s="715">
        <f>IF(EB43=0,0,(EC43-EB43)/EB43*100)</f>
        <v>0</v>
      </c>
      <c r="EE43" s="836"/>
      <c r="EF43" s="836"/>
      <c r="EG43" s="715">
        <f>IF(EE43=0,0,(EF43-EE43)/EE43*100)</f>
        <v>0</v>
      </c>
      <c r="EH43" s="836"/>
      <c r="EI43" s="836"/>
      <c r="EJ43" s="715">
        <f>IF(EH43=0,0,(EI43-EH43)/EH43*100)</f>
        <v>0</v>
      </c>
      <c r="EK43" s="836"/>
      <c r="EL43" s="836"/>
      <c r="EM43" s="715">
        <f>IF(EK43=0,0,(EL43-EK43)/EK43*100)</f>
        <v>0</v>
      </c>
      <c r="EN43" s="836"/>
      <c r="EO43" s="836"/>
      <c r="EP43" s="715">
        <f>IF(EN43=0,0,(EO43-EN43)/EN43*100)</f>
        <v>0</v>
      </c>
      <c r="EQ43" s="836"/>
      <c r="ER43" s="836"/>
      <c r="ES43" s="715">
        <f>IF(EQ43=0,0,(ER43-EQ43)/EQ43*100)</f>
        <v>0</v>
      </c>
      <c r="ET43" s="836"/>
      <c r="EU43" s="836"/>
      <c r="EV43" s="715">
        <f>IF(ET43=0,0,(EU43-ET43)/ET43*100)</f>
        <v>0</v>
      </c>
      <c r="EW43" s="836"/>
      <c r="EX43" s="836"/>
      <c r="EY43" s="715">
        <f>IF(EW43=0,0,(EX43-EW43)/EW43*100)</f>
        <v>0</v>
      </c>
      <c r="EZ43" s="836"/>
      <c r="FA43" s="836"/>
      <c r="FB43" s="715">
        <f>IF(EZ43=0,0,(FA43-EZ43)/EZ43*100)</f>
        <v>0</v>
      </c>
      <c r="FC43" s="836"/>
      <c r="FD43" s="836"/>
      <c r="FE43" s="715">
        <f>IF(FC43=0,0,(FD43-FC43)/FC43*100)</f>
        <v>0</v>
      </c>
      <c r="FF43" s="836"/>
      <c r="FG43" s="836"/>
      <c r="FH43" s="715">
        <f>IF(FF43=0,0,(FG43-FF43)/FF43*100)</f>
        <v>0</v>
      </c>
      <c r="FI43" s="836"/>
      <c r="FJ43" s="836"/>
      <c r="FK43" s="715">
        <f>IF(FI43=0,0,(FJ43-FI43)/FI43*100)</f>
        <v>0</v>
      </c>
      <c r="FL43" s="836"/>
      <c r="FM43" s="836"/>
      <c r="FN43" s="715">
        <f>IF(FL43=0,0,(FM43-FL43)/FL43*100)</f>
        <v>0</v>
      </c>
      <c r="FO43" s="836"/>
      <c r="FP43" s="836"/>
      <c r="FQ43" s="715">
        <f>IF(FO43=0,0,(FP43-FO43)/FO43*100)</f>
        <v>0</v>
      </c>
      <c r="FR43" s="836"/>
      <c r="FS43" s="836"/>
      <c r="FT43" s="715">
        <f>IF(FR43=0,0,(FS43-FR43)/FR43*100)</f>
        <v>0</v>
      </c>
      <c r="FU43" s="836"/>
      <c r="FV43" s="836"/>
      <c r="FW43" s="715">
        <f>IF(FU43=0,0,(FV43-FU43)/FU43*100)</f>
        <v>0</v>
      </c>
      <c r="FX43" s="204"/>
      <c r="FZ43" s="691" t="s">
        <v>1672</v>
      </c>
      <c r="GA43" s="671" t="s">
        <v>1670</v>
      </c>
      <c r="GB43" s="671" cm="1">
        <f t="array" ref="GB43">GB42</f>
        <v>0</v>
      </c>
    </row>
    <row r="44" spans="1:186" ht="14.65" hidden="1" customHeight="1" x14ac:dyDescent="0.15">
      <c r="A44" s="59"/>
      <c r="B44" s="613" t="b" cm="1">
        <f t="array" ref="B44">B43</f>
        <v>0</v>
      </c>
      <c r="C44" s="59"/>
      <c r="D44" s="59"/>
      <c r="E44" s="462">
        <v>15</v>
      </c>
      <c r="F44" s="3" cm="1">
        <f t="array" aca="1" ref="F44" ca="1">OFFSET(E44,-1,1)</f>
        <v>0</v>
      </c>
      <c r="G44" s="59"/>
      <c r="H44" s="59"/>
      <c r="I44" s="17" t="s">
        <v>1673</v>
      </c>
      <c r="J44" s="59"/>
      <c r="K44" s="59"/>
      <c r="L44" s="59"/>
      <c r="M44" s="59"/>
      <c r="N44" s="59"/>
      <c r="O44" s="59"/>
      <c r="P44" s="59"/>
      <c r="Q44" s="59"/>
      <c r="R44" s="4"/>
      <c r="S44" s="59"/>
      <c r="T44" s="353" t="b">
        <f ca="1">F44&gt;0</f>
        <v>0</v>
      </c>
      <c r="U44" s="59"/>
      <c r="W44" s="517" t="s">
        <v>1674</v>
      </c>
      <c r="X44" s="1022"/>
      <c r="Z44" s="966"/>
      <c r="AB44" s="172" t="s">
        <v>176</v>
      </c>
      <c r="AC44" s="176"/>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c r="BZ44" s="716"/>
      <c r="CA44" s="716"/>
      <c r="CB44" s="716"/>
      <c r="CC44" s="716"/>
      <c r="CD44" s="716"/>
      <c r="CE44" s="716"/>
      <c r="CF44" s="716"/>
      <c r="CG44" s="716"/>
      <c r="CH44" s="716"/>
      <c r="CI44" s="716"/>
      <c r="CJ44" s="716"/>
      <c r="CK44" s="716"/>
      <c r="CL44" s="716"/>
      <c r="CM44" s="716"/>
      <c r="CN44" s="716"/>
      <c r="CO44" s="716"/>
      <c r="CP44" s="716"/>
      <c r="CQ44" s="716"/>
      <c r="CR44" s="716"/>
      <c r="CS44" s="716"/>
      <c r="CT44" s="716"/>
      <c r="CU44" s="716"/>
      <c r="CV44" s="716"/>
      <c r="CW44" s="716"/>
      <c r="CX44" s="716"/>
      <c r="CY44" s="716"/>
      <c r="CZ44" s="716"/>
      <c r="DA44" s="716"/>
      <c r="DB44" s="716"/>
      <c r="DC44" s="716"/>
      <c r="DD44" s="716"/>
      <c r="DE44" s="716"/>
      <c r="DF44" s="716"/>
      <c r="DG44" s="716"/>
      <c r="DH44" s="716"/>
      <c r="DI44" s="716"/>
      <c r="DJ44" s="716"/>
      <c r="DK44" s="716"/>
      <c r="DL44" s="716"/>
      <c r="DM44" s="716"/>
      <c r="DN44" s="716"/>
      <c r="DO44" s="716"/>
      <c r="DP44" s="716"/>
      <c r="DQ44" s="716"/>
      <c r="DR44" s="716"/>
      <c r="DS44" s="716"/>
      <c r="DT44" s="716"/>
      <c r="DU44" s="716"/>
      <c r="DV44" s="716"/>
      <c r="DW44" s="716"/>
      <c r="DX44" s="716"/>
      <c r="DY44" s="716"/>
      <c r="DZ44" s="716"/>
      <c r="EA44" s="716"/>
      <c r="EB44" s="716"/>
      <c r="EC44" s="716"/>
      <c r="ED44" s="716"/>
      <c r="EE44" s="716"/>
      <c r="EF44" s="716"/>
      <c r="EG44" s="716"/>
      <c r="EH44" s="716"/>
      <c r="EI44" s="716"/>
      <c r="EJ44" s="716"/>
      <c r="EK44" s="716"/>
      <c r="EL44" s="716"/>
      <c r="EM44" s="716"/>
      <c r="EN44" s="716"/>
      <c r="EO44" s="716"/>
      <c r="EP44" s="716"/>
      <c r="EQ44" s="716"/>
      <c r="ER44" s="716"/>
      <c r="ES44" s="716"/>
      <c r="ET44" s="716"/>
      <c r="EU44" s="716"/>
      <c r="EV44" s="716"/>
      <c r="EW44" s="716"/>
      <c r="EX44" s="716"/>
      <c r="EY44" s="716"/>
      <c r="EZ44" s="716"/>
      <c r="FA44" s="716"/>
      <c r="FB44" s="716"/>
      <c r="FC44" s="716"/>
      <c r="FD44" s="716"/>
      <c r="FE44" s="716"/>
      <c r="FF44" s="716"/>
      <c r="FG44" s="716"/>
      <c r="FH44" s="716"/>
      <c r="FI44" s="716"/>
      <c r="FJ44" s="716"/>
      <c r="FK44" s="716"/>
      <c r="FL44" s="716"/>
      <c r="FM44" s="716"/>
      <c r="FN44" s="716"/>
      <c r="FO44" s="716"/>
      <c r="FP44" s="716"/>
      <c r="FQ44" s="716"/>
      <c r="FR44" s="716"/>
      <c r="FS44" s="716"/>
      <c r="FT44" s="716"/>
      <c r="FU44" s="716"/>
      <c r="FV44" s="716"/>
      <c r="FW44" s="717"/>
      <c r="FZ44" s="691" t="s">
        <v>225</v>
      </c>
      <c r="GC44" s="461" t="s">
        <v>1670</v>
      </c>
    </row>
    <row r="45" spans="1:186" ht="14.65" hidden="1" customHeight="1" x14ac:dyDescent="0.15">
      <c r="A45" s="59"/>
      <c r="B45" s="613" t="b">
        <f>AND(R29="двухставочный",NOT(S29))</f>
        <v>0</v>
      </c>
      <c r="C45" s="59"/>
      <c r="D45" s="59"/>
      <c r="E45" s="462">
        <v>15</v>
      </c>
      <c r="F45" s="3" cm="1">
        <f t="array" aca="1" ref="F45" ca="1">OFFSET(E45,-1,1)</f>
        <v>0</v>
      </c>
      <c r="G45" s="59"/>
      <c r="H45" s="59"/>
      <c r="I45" s="59"/>
      <c r="J45" s="59"/>
      <c r="K45" s="59"/>
      <c r="L45" s="59"/>
      <c r="M45" s="59"/>
      <c r="N45" s="59"/>
      <c r="O45" s="59"/>
      <c r="P45" s="59"/>
      <c r="Q45" s="59"/>
      <c r="R45" s="4"/>
      <c r="S45" s="59"/>
      <c r="T45" s="353" t="b" cm="1">
        <f t="array" aca="1" ref="T45" ca="1">T44</f>
        <v>0</v>
      </c>
      <c r="U45" s="59"/>
      <c r="V45" s="59"/>
      <c r="W45" s="59"/>
      <c r="X45" s="1022"/>
      <c r="Y45" s="59"/>
      <c r="Z45" s="966"/>
      <c r="AA45" s="59"/>
      <c r="AB45" s="592" t="s">
        <v>1675</v>
      </c>
      <c r="AC45" s="593"/>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1" t="s">
        <v>225</v>
      </c>
    </row>
    <row r="46" spans="1:186" ht="23.85" hidden="1" customHeight="1" x14ac:dyDescent="0.15">
      <c r="A46" s="59"/>
      <c r="B46" s="613" t="b" cm="1">
        <f t="array" ref="B46">B45</f>
        <v>0</v>
      </c>
      <c r="C46" s="59"/>
      <c r="D46" s="59"/>
      <c r="E46" s="462">
        <v>24.5</v>
      </c>
      <c r="F46" s="3" cm="1">
        <f t="array" aca="1" ref="F46" ca="1">OFFSET(E46,-1,1)</f>
        <v>0</v>
      </c>
      <c r="G46" s="59"/>
      <c r="H46" s="59"/>
      <c r="I46" s="59"/>
      <c r="J46" s="59"/>
      <c r="K46" s="59"/>
      <c r="L46" s="59"/>
      <c r="M46" s="59"/>
      <c r="N46" s="59"/>
      <c r="O46" s="59"/>
      <c r="P46" s="59"/>
      <c r="Q46" s="59"/>
      <c r="R46" s="59"/>
      <c r="S46" s="59"/>
      <c r="T46" s="353" t="b" cm="1">
        <f t="array" aca="1" ref="T46" ca="1">T45</f>
        <v>0</v>
      </c>
      <c r="U46" s="59"/>
      <c r="V46" s="59"/>
      <c r="W46" s="59"/>
      <c r="X46" s="1022"/>
      <c r="Y46" s="59"/>
      <c r="Z46" s="966"/>
      <c r="AA46" s="59"/>
      <c r="AB46" s="205" t="s">
        <v>1676</v>
      </c>
      <c r="AC46" s="597"/>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9"/>
      <c r="FZ46" s="691" t="s">
        <v>225</v>
      </c>
    </row>
    <row r="47" spans="1:186" ht="14.65" hidden="1" customHeight="1" x14ac:dyDescent="0.15">
      <c r="A47" s="59"/>
      <c r="B47" s="613" t="b" cm="1">
        <f t="array" ref="B47">B46</f>
        <v>0</v>
      </c>
      <c r="C47" s="59"/>
      <c r="D47" s="59"/>
      <c r="E47" s="462">
        <v>15</v>
      </c>
      <c r="F47" s="3" cm="1">
        <f t="array" aca="1" ref="F47" ca="1">OFFSET(E47,-1,1)</f>
        <v>0</v>
      </c>
      <c r="G47" s="59"/>
      <c r="H47" s="59" t="s">
        <v>1570</v>
      </c>
      <c r="I47" s="59" t="s">
        <v>1642</v>
      </c>
      <c r="J47" s="59"/>
      <c r="K47" s="59"/>
      <c r="L47" s="59"/>
      <c r="M47" s="59"/>
      <c r="N47" s="59"/>
      <c r="O47" s="59"/>
      <c r="P47" s="59"/>
      <c r="Q47" s="59"/>
      <c r="R47" s="59"/>
      <c r="S47" s="59"/>
      <c r="T47" s="353" t="b" cm="1">
        <f t="array" aca="1" ref="T47" ca="1">T46</f>
        <v>0</v>
      </c>
      <c r="U47" s="59"/>
      <c r="V47" s="59"/>
      <c r="W47" s="59"/>
      <c r="X47" s="1022"/>
      <c r="Y47" s="59"/>
      <c r="Z47" s="966"/>
      <c r="AA47" s="59"/>
      <c r="AB47" s="105" t="s">
        <v>1677</v>
      </c>
      <c r="AC47" s="12" t="s">
        <v>1644</v>
      </c>
      <c r="AD47" s="820">
        <f ca="1">IF(AD49=0,0,(AD48*AD49+AD50*AD51*IF(god=2026,9,6))/AD49)</f>
        <v>0</v>
      </c>
      <c r="AE47" s="820">
        <f ca="1">IF(AE49=0,0,(AE48*AE49+AE50*AE51*IF(god=2026,9,6))/AE49)</f>
        <v>0</v>
      </c>
      <c r="AF47" s="714">
        <f ca="1">IF(AD47=0,0,(AE47-AD47)/AD47*100)</f>
        <v>0</v>
      </c>
      <c r="AG47" s="820">
        <f ca="1">IF(AG49=0,0,(AG48*AG49+AG50*AG51*IF(god=2025,9,6))/AG49)</f>
        <v>0</v>
      </c>
      <c r="AH47" s="820">
        <f ca="1">IF(AH49=0,0,(AH48*AH49+AH50*AH51*IF(god=2025,9,6))/AH49)</f>
        <v>0</v>
      </c>
      <c r="AI47" s="714">
        <f ca="1">IF(AG47=0,0,(AH47-AG47)/AG47*100)</f>
        <v>0</v>
      </c>
      <c r="AJ47" s="820">
        <f ca="1">IF(AJ49=0,0,(AJ48*AJ49+AJ50*AJ51*6)/AJ49)</f>
        <v>0</v>
      </c>
      <c r="AK47" s="820">
        <f ca="1">IF(AK49=0,0,(AK48*AK49+AK50*AK51*6)/AK49)</f>
        <v>0</v>
      </c>
      <c r="AL47" s="714">
        <f ca="1">IF(AJ47=0,0,(AK47-AJ47)/AJ47*100)</f>
        <v>0</v>
      </c>
      <c r="AM47" s="820">
        <f ca="1">IF(AM49=0,0,(AM48*AM49+AM50*AM51*6)/AM49)</f>
        <v>0</v>
      </c>
      <c r="AN47" s="820">
        <f ca="1">IF(AN49=0,0,(AN48*AN49+AN50*AN51*6)/AN49)</f>
        <v>0</v>
      </c>
      <c r="AO47" s="714">
        <f ca="1">IF(AM47=0,0,(AN47-AM47)/AM47*100)</f>
        <v>0</v>
      </c>
      <c r="AP47" s="820">
        <f ca="1">IF(AP49=0,0,(AP48*AP49+AP50*AP51*6)/AP49)</f>
        <v>0</v>
      </c>
      <c r="AQ47" s="820">
        <f ca="1">IF(AQ49=0,0,(AQ48*AQ49+AQ50*AQ51*6)/AQ49)</f>
        <v>0</v>
      </c>
      <c r="AR47" s="714">
        <f ca="1">IF(AP47=0,0,(AQ47-AP47)/AP47*100)</f>
        <v>0</v>
      </c>
      <c r="AS47" s="820">
        <f ca="1">IF(AS49=0,0,(AS48*AS49+AS50*AS51*6)/AS49)</f>
        <v>0</v>
      </c>
      <c r="AT47" s="820">
        <f ca="1">IF(AT49=0,0,(AT48*AT49+AT50*AT51*6)/AT49)</f>
        <v>0</v>
      </c>
      <c r="AU47" s="714">
        <f ca="1">IF(AS47=0,0,(AT47-AS47)/AS47*100)</f>
        <v>0</v>
      </c>
      <c r="AV47" s="820">
        <f ca="1">IF(AV49=0,0,(AV48*AV49+AV50*AV51*6)/AV49)</f>
        <v>0</v>
      </c>
      <c r="AW47" s="820">
        <f ca="1">IF(AW49=0,0,(AW48*AW49+AW50*AW51*6)/AW49)</f>
        <v>0</v>
      </c>
      <c r="AX47" s="714">
        <f ca="1">IF(AV47=0,0,(AW47-AV47)/AV47*100)</f>
        <v>0</v>
      </c>
      <c r="AY47" s="820">
        <f ca="1">IF(AY49=0,0,(AY48*AY49+AY50*AY51*6)/AY49)</f>
        <v>0</v>
      </c>
      <c r="AZ47" s="820">
        <f ca="1">IF(AZ49=0,0,(AZ48*AZ49+AZ50*AZ51*6)/AZ49)</f>
        <v>0</v>
      </c>
      <c r="BA47" s="714">
        <f ca="1">IF(AY47=0,0,(AZ47-AY47)/AY47*100)</f>
        <v>0</v>
      </c>
      <c r="BB47" s="820">
        <f ca="1">IF(BB49=0,0,(BB48*BB49+BB50*BB51*6)/BB49)</f>
        <v>0</v>
      </c>
      <c r="BC47" s="820">
        <f ca="1">IF(BC49=0,0,(BC48*BC49+BC50*BC51*6)/BC49)</f>
        <v>0</v>
      </c>
      <c r="BD47" s="714">
        <f ca="1">IF(BB47=0,0,(BC47-BB47)/BB47*100)</f>
        <v>0</v>
      </c>
      <c r="BE47" s="820">
        <f ca="1">IF(BE49=0,0,(BE48*BE49+BE50*BE51*6)/BE49)</f>
        <v>0</v>
      </c>
      <c r="BF47" s="820">
        <f ca="1">IF(BF49=0,0,(BF48*BF49+BF50*BF51*6)/BF49)</f>
        <v>0</v>
      </c>
      <c r="BG47" s="714">
        <f ca="1">IF(BE47=0,0,(BF47-BE47)/BE47*100)</f>
        <v>0</v>
      </c>
      <c r="BH47" s="820">
        <f>IF(BH49=0,0,(BH48*BH49+BH50*BH51*6)/BH49)</f>
        <v>0</v>
      </c>
      <c r="BI47" s="820">
        <f>IF(BI49=0,0,(BI48*BI49+BI50*BI51*6)/BI49)</f>
        <v>0</v>
      </c>
      <c r="BJ47" s="714">
        <f>IF(BH47=0,0,(BI47-BH47)/BH47*100)</f>
        <v>0</v>
      </c>
      <c r="BK47" s="820">
        <f>IF(BK49=0,0,(BK48*BK49+BK50*BK51*6)/BK49)</f>
        <v>0</v>
      </c>
      <c r="BL47" s="820">
        <f>IF(BL49=0,0,(BL48*BL49+BL50*BL51*6)/BL49)</f>
        <v>0</v>
      </c>
      <c r="BM47" s="714">
        <f>IF(BK47=0,0,(BL47-BK47)/BK47*100)</f>
        <v>0</v>
      </c>
      <c r="BN47" s="820">
        <f>IF(BN49=0,0,(BN48*BN49+BN50*BN51*6)/BN49)</f>
        <v>0</v>
      </c>
      <c r="BO47" s="820">
        <f>IF(BO49=0,0,(BO48*BO49+BO50*BO51*6)/BO49)</f>
        <v>0</v>
      </c>
      <c r="BP47" s="714">
        <f>IF(BN47=0,0,(BO47-BN47)/BN47*100)</f>
        <v>0</v>
      </c>
      <c r="BQ47" s="820">
        <f>IF(BQ49=0,0,(BQ48*BQ49+BQ50*BQ51*6)/BQ49)</f>
        <v>0</v>
      </c>
      <c r="BR47" s="820">
        <f>IF(BR49=0,0,(BR48*BR49+BR50*BR51*6)/BR49)</f>
        <v>0</v>
      </c>
      <c r="BS47" s="714">
        <f>IF(BQ47=0,0,(BR47-BQ47)/BQ47*100)</f>
        <v>0</v>
      </c>
      <c r="BT47" s="820">
        <f>IF(BT49=0,0,(BT48*BT49+BT50*BT51*6)/BT49)</f>
        <v>0</v>
      </c>
      <c r="BU47" s="820">
        <f>IF(BU49=0,0,(BU48*BU49+BU50*BU51*6)/BU49)</f>
        <v>0</v>
      </c>
      <c r="BV47" s="714">
        <f>IF(BT47=0,0,(BU47-BT47)/BT47*100)</f>
        <v>0</v>
      </c>
      <c r="BW47" s="820">
        <f>IF(BW49=0,0,(BW48*BW49+BW50*BW51*6)/BW49)</f>
        <v>0</v>
      </c>
      <c r="BX47" s="820">
        <f>IF(BX49=0,0,(BX48*BX49+BX50*BX51*6)/BX49)</f>
        <v>0</v>
      </c>
      <c r="BY47" s="714">
        <f>IF(BW47=0,0,(BX47-BW47)/BW47*100)</f>
        <v>0</v>
      </c>
      <c r="BZ47" s="820">
        <f>IF(BZ49=0,0,(BZ48*BZ49+BZ50*BZ51*6)/BZ49)</f>
        <v>0</v>
      </c>
      <c r="CA47" s="820">
        <f>IF(CA49=0,0,(CA48*CA49+CA50*CA51*6)/CA49)</f>
        <v>0</v>
      </c>
      <c r="CB47" s="714">
        <f>IF(BZ47=0,0,(CA47-BZ47)/BZ47*100)</f>
        <v>0</v>
      </c>
      <c r="CC47" s="820">
        <f>IF(CC49=0,0,(CC48*CC49+CC50*CC51*6)/CC49)</f>
        <v>0</v>
      </c>
      <c r="CD47" s="820">
        <f>IF(CD49=0,0,(CD48*CD49+CD50*CD51*6)/CD49)</f>
        <v>0</v>
      </c>
      <c r="CE47" s="714">
        <f>IF(CC47=0,0,(CD47-CC47)/CC47*100)</f>
        <v>0</v>
      </c>
      <c r="CF47" s="820">
        <f>IF(CF49=0,0,(CF48*CF49+CF50*CF51*6)/CF49)</f>
        <v>0</v>
      </c>
      <c r="CG47" s="820">
        <f>IF(CG49=0,0,(CG48*CG49+CG50*CG51*6)/CG49)</f>
        <v>0</v>
      </c>
      <c r="CH47" s="714">
        <f>IF(CF47=0,0,(CG47-CF47)/CF47*100)</f>
        <v>0</v>
      </c>
      <c r="CI47" s="820">
        <f>IF(CI49=0,0,(CI48*CI49+CI50*CI51*6)/CI49)</f>
        <v>0</v>
      </c>
      <c r="CJ47" s="820">
        <f>IF(CJ49=0,0,(CJ48*CJ49+CJ50*CJ51*6)/CJ49)</f>
        <v>0</v>
      </c>
      <c r="CK47" s="714">
        <f>IF(CI47=0,0,(CJ47-CI47)/CI47*100)</f>
        <v>0</v>
      </c>
      <c r="CL47" s="820">
        <f>IF(CL49=0,0,(CL48*CL49+CL50*CL51*6)/CL49)</f>
        <v>0</v>
      </c>
      <c r="CM47" s="820">
        <f>IF(CM49=0,0,(CM48*CM49+CM50*CM51*6)/CM49)</f>
        <v>0</v>
      </c>
      <c r="CN47" s="714">
        <f>IF(CL47=0,0,(CM47-CL47)/CL47*100)</f>
        <v>0</v>
      </c>
      <c r="CO47" s="820">
        <f>IF(CO49=0,0,(CO48*CO49+CO50*CO51*6)/CO49)</f>
        <v>0</v>
      </c>
      <c r="CP47" s="820">
        <f>IF(CP49=0,0,(CP48*CP49+CP50*CP51*6)/CP49)</f>
        <v>0</v>
      </c>
      <c r="CQ47" s="714">
        <f>IF(CO47=0,0,(CP47-CO47)/CO47*100)</f>
        <v>0</v>
      </c>
      <c r="CR47" s="820">
        <f>IF(CR49=0,0,(CR48*CR49+CR50*CR51*6)/CR49)</f>
        <v>0</v>
      </c>
      <c r="CS47" s="820">
        <f>IF(CS49=0,0,(CS48*CS49+CS50*CS51*6)/CS49)</f>
        <v>0</v>
      </c>
      <c r="CT47" s="714">
        <f>IF(CR47=0,0,(CS47-CR47)/CR47*100)</f>
        <v>0</v>
      </c>
      <c r="CU47" s="820">
        <f>IF(CU49=0,0,(CU48*CU49+CU50*CU51*6)/CU49)</f>
        <v>0</v>
      </c>
      <c r="CV47" s="820">
        <f>IF(CV49=0,0,(CV48*CV49+CV50*CV51*6)/CV49)</f>
        <v>0</v>
      </c>
      <c r="CW47" s="714">
        <f>IF(CU47=0,0,(CV47-CU47)/CU47*100)</f>
        <v>0</v>
      </c>
      <c r="CX47" s="820">
        <f>IF(CX49=0,0,(CX48*CX49+CX50*CX51*6)/CX49)</f>
        <v>0</v>
      </c>
      <c r="CY47" s="820">
        <f>IF(CY49=0,0,(CY48*CY49+CY50*CY51*6)/CY49)</f>
        <v>0</v>
      </c>
      <c r="CZ47" s="714">
        <f>IF(CX47=0,0,(CY47-CX47)/CX47*100)</f>
        <v>0</v>
      </c>
      <c r="DA47" s="820">
        <f>IF(DA49=0,0,(DA48*DA49+DA50*DA51*6)/DA49)</f>
        <v>0</v>
      </c>
      <c r="DB47" s="820">
        <f>IF(DB49=0,0,(DB48*DB49+DB50*DB51*6)/DB49)</f>
        <v>0</v>
      </c>
      <c r="DC47" s="714">
        <f>IF(DA47=0,0,(DB47-DA47)/DA47*100)</f>
        <v>0</v>
      </c>
      <c r="DD47" s="820">
        <f>IF(DD49=0,0,(DD48*DD49+DD50*DD51*6)/DD49)</f>
        <v>0</v>
      </c>
      <c r="DE47" s="820">
        <f>IF(DE49=0,0,(DE48*DE49+DE50*DE51*6)/DE49)</f>
        <v>0</v>
      </c>
      <c r="DF47" s="714">
        <f>IF(DD47=0,0,(DE47-DD47)/DD47*100)</f>
        <v>0</v>
      </c>
      <c r="DG47" s="820">
        <f>IF(DG49=0,0,(DG48*DG49+DG50*DG51*6)/DG49)</f>
        <v>0</v>
      </c>
      <c r="DH47" s="820">
        <f>IF(DH49=0,0,(DH48*DH49+DH50*DH51*6)/DH49)</f>
        <v>0</v>
      </c>
      <c r="DI47" s="714">
        <f>IF(DG47=0,0,(DH47-DG47)/DG47*100)</f>
        <v>0</v>
      </c>
      <c r="DJ47" s="820">
        <f>IF(DJ49=0,0,(DJ48*DJ49+DJ50*DJ51*6)/DJ49)</f>
        <v>0</v>
      </c>
      <c r="DK47" s="820">
        <f>IF(DK49=0,0,(DK48*DK49+DK50*DK51*6)/DK49)</f>
        <v>0</v>
      </c>
      <c r="DL47" s="714">
        <f>IF(DJ47=0,0,(DK47-DJ47)/DJ47*100)</f>
        <v>0</v>
      </c>
      <c r="DM47" s="820">
        <f>IF(DM49=0,0,(DM48*DM49+DM50*DM51*6)/DM49)</f>
        <v>0</v>
      </c>
      <c r="DN47" s="820">
        <f>IF(DN49=0,0,(DN48*DN49+DN50*DN51*6)/DN49)</f>
        <v>0</v>
      </c>
      <c r="DO47" s="714">
        <f>IF(DM47=0,0,(DN47-DM47)/DM47*100)</f>
        <v>0</v>
      </c>
      <c r="DP47" s="820">
        <f>IF(DP49=0,0,(DP48*DP49+DP50*DP51*6)/DP49)</f>
        <v>0</v>
      </c>
      <c r="DQ47" s="820">
        <f>IF(DQ49=0,0,(DQ48*DQ49+DQ50*DQ51*6)/DQ49)</f>
        <v>0</v>
      </c>
      <c r="DR47" s="714">
        <f>IF(DP47=0,0,(DQ47-DP47)/DP47*100)</f>
        <v>0</v>
      </c>
      <c r="DS47" s="820">
        <f>IF(DS49=0,0,(DS48*DS49+DS50*DS51*6)/DS49)</f>
        <v>0</v>
      </c>
      <c r="DT47" s="820">
        <f>IF(DT49=0,0,(DT48*DT49+DT50*DT51*6)/DT49)</f>
        <v>0</v>
      </c>
      <c r="DU47" s="714">
        <f>IF(DS47=0,0,(DT47-DS47)/DS47*100)</f>
        <v>0</v>
      </c>
      <c r="DV47" s="820">
        <f>IF(DV49=0,0,(DV48*DV49+DV50*DV51*6)/DV49)</f>
        <v>0</v>
      </c>
      <c r="DW47" s="820">
        <f>IF(DW49=0,0,(DW48*DW49+DW50*DW51*6)/DW49)</f>
        <v>0</v>
      </c>
      <c r="DX47" s="714">
        <f>IF(DV47=0,0,(DW47-DV47)/DV47*100)</f>
        <v>0</v>
      </c>
      <c r="DY47" s="820">
        <f>IF(DY49=0,0,(DY48*DY49+DY50*DY51*6)/DY49)</f>
        <v>0</v>
      </c>
      <c r="DZ47" s="820">
        <f>IF(DZ49=0,0,(DZ48*DZ49+DZ50*DZ51*6)/DZ49)</f>
        <v>0</v>
      </c>
      <c r="EA47" s="714">
        <f>IF(DY47=0,0,(DZ47-DY47)/DY47*100)</f>
        <v>0</v>
      </c>
      <c r="EB47" s="820">
        <f>IF(EB49=0,0,(EB48*EB49+EB50*EB51*6)/EB49)</f>
        <v>0</v>
      </c>
      <c r="EC47" s="820">
        <f>IF(EC49=0,0,(EC48*EC49+EC50*EC51*6)/EC49)</f>
        <v>0</v>
      </c>
      <c r="ED47" s="714">
        <f>IF(EB47=0,0,(EC47-EB47)/EB47*100)</f>
        <v>0</v>
      </c>
      <c r="EE47" s="820">
        <f>IF(EE49=0,0,(EE48*EE49+EE50*EE51*6)/EE49)</f>
        <v>0</v>
      </c>
      <c r="EF47" s="820">
        <f>IF(EF49=0,0,(EF48*EF49+EF50*EF51*6)/EF49)</f>
        <v>0</v>
      </c>
      <c r="EG47" s="714">
        <f>IF(EE47=0,0,(EF47-EE47)/EE47*100)</f>
        <v>0</v>
      </c>
      <c r="EH47" s="820">
        <f>IF(EH49=0,0,(EH48*EH49+EH50*EH51*6)/EH49)</f>
        <v>0</v>
      </c>
      <c r="EI47" s="820">
        <f>IF(EI49=0,0,(EI48*EI49+EI50*EI51*6)/EI49)</f>
        <v>0</v>
      </c>
      <c r="EJ47" s="714">
        <f>IF(EH47=0,0,(EI47-EH47)/EH47*100)</f>
        <v>0</v>
      </c>
      <c r="EK47" s="820">
        <f>IF(EK49=0,0,(EK48*EK49+EK50*EK51*6)/EK49)</f>
        <v>0</v>
      </c>
      <c r="EL47" s="820">
        <f>IF(EL49=0,0,(EL48*EL49+EL50*EL51*6)/EL49)</f>
        <v>0</v>
      </c>
      <c r="EM47" s="714">
        <f>IF(EK47=0,0,(EL47-EK47)/EK47*100)</f>
        <v>0</v>
      </c>
      <c r="EN47" s="820">
        <f>IF(EN49=0,0,(EN48*EN49+EN50*EN51*6)/EN49)</f>
        <v>0</v>
      </c>
      <c r="EO47" s="820">
        <f>IF(EO49=0,0,(EO48*EO49+EO50*EO51*6)/EO49)</f>
        <v>0</v>
      </c>
      <c r="EP47" s="714">
        <f>IF(EN47=0,0,(EO47-EN47)/EN47*100)</f>
        <v>0</v>
      </c>
      <c r="EQ47" s="820">
        <f>IF(EQ49=0,0,(EQ48*EQ49+EQ50*EQ51*6)/EQ49)</f>
        <v>0</v>
      </c>
      <c r="ER47" s="820">
        <f>IF(ER49=0,0,(ER48*ER49+ER50*ER51*6)/ER49)</f>
        <v>0</v>
      </c>
      <c r="ES47" s="714">
        <f>IF(EQ47=0,0,(ER47-EQ47)/EQ47*100)</f>
        <v>0</v>
      </c>
      <c r="ET47" s="820">
        <f>IF(ET49=0,0,(ET48*ET49+ET50*ET51*6)/ET49)</f>
        <v>0</v>
      </c>
      <c r="EU47" s="820">
        <f>IF(EU49=0,0,(EU48*EU49+EU50*EU51*6)/EU49)</f>
        <v>0</v>
      </c>
      <c r="EV47" s="714">
        <f>IF(ET47=0,0,(EU47-ET47)/ET47*100)</f>
        <v>0</v>
      </c>
      <c r="EW47" s="820">
        <f>IF(EW49=0,0,(EW48*EW49+EW50*EW51*6)/EW49)</f>
        <v>0</v>
      </c>
      <c r="EX47" s="820">
        <f>IF(EX49=0,0,(EX48*EX49+EX50*EX51*6)/EX49)</f>
        <v>0</v>
      </c>
      <c r="EY47" s="714">
        <f>IF(EW47=0,0,(EX47-EW47)/EW47*100)</f>
        <v>0</v>
      </c>
      <c r="EZ47" s="820">
        <f>IF(EZ49=0,0,(EZ48*EZ49+EZ50*EZ51*6)/EZ49)</f>
        <v>0</v>
      </c>
      <c r="FA47" s="820">
        <f>IF(FA49=0,0,(FA48*FA49+FA50*FA51*6)/FA49)</f>
        <v>0</v>
      </c>
      <c r="FB47" s="714">
        <f>IF(EZ47=0,0,(FA47-EZ47)/EZ47*100)</f>
        <v>0</v>
      </c>
      <c r="FC47" s="820">
        <f>IF(FC49=0,0,(FC48*FC49+FC50*FC51*6)/FC49)</f>
        <v>0</v>
      </c>
      <c r="FD47" s="820">
        <f>IF(FD49=0,0,(FD48*FD49+FD50*FD51*6)/FD49)</f>
        <v>0</v>
      </c>
      <c r="FE47" s="714">
        <f>IF(FC47=0,0,(FD47-FC47)/FC47*100)</f>
        <v>0</v>
      </c>
      <c r="FF47" s="820">
        <f>IF(FF49=0,0,(FF48*FF49+FF50*FF51*6)/FF49)</f>
        <v>0</v>
      </c>
      <c r="FG47" s="820">
        <f>IF(FG49=0,0,(FG48*FG49+FG50*FG51*6)/FG49)</f>
        <v>0</v>
      </c>
      <c r="FH47" s="714">
        <f>IF(FF47=0,0,(FG47-FF47)/FF47*100)</f>
        <v>0</v>
      </c>
      <c r="FI47" s="820">
        <f>IF(FI49=0,0,(FI48*FI49+FI50*FI51*6)/FI49)</f>
        <v>0</v>
      </c>
      <c r="FJ47" s="820">
        <f>IF(FJ49=0,0,(FJ48*FJ49+FJ50*FJ51*6)/FJ49)</f>
        <v>0</v>
      </c>
      <c r="FK47" s="714">
        <f>IF(FI47=0,0,(FJ47-FI47)/FI47*100)</f>
        <v>0</v>
      </c>
      <c r="FL47" s="820">
        <f>IF(FL49=0,0,(FL48*FL49+FL50*FL51*6)/FL49)</f>
        <v>0</v>
      </c>
      <c r="FM47" s="820">
        <f>IF(FM49=0,0,(FM48*FM49+FM50*FM51*6)/FM49)</f>
        <v>0</v>
      </c>
      <c r="FN47" s="714">
        <f>IF(FL47=0,0,(FM47-FL47)/FL47*100)</f>
        <v>0</v>
      </c>
      <c r="FO47" s="820">
        <f>IF(FO49=0,0,(FO48*FO49+FO50*FO51*6)/FO49)</f>
        <v>0</v>
      </c>
      <c r="FP47" s="820">
        <f>IF(FP49=0,0,(FP48*FP49+FP50*FP51*6)/FP49)</f>
        <v>0</v>
      </c>
      <c r="FQ47" s="714">
        <f>IF(FO47=0,0,(FP47-FO47)/FO47*100)</f>
        <v>0</v>
      </c>
      <c r="FR47" s="820">
        <f>IF(FR49=0,0,(FR48*FR49+FR50*FR51*6)/FR49)</f>
        <v>0</v>
      </c>
      <c r="FS47" s="820">
        <f>IF(FS49=0,0,(FS48*FS49+FS50*FS51*6)/FS49)</f>
        <v>0</v>
      </c>
      <c r="FT47" s="714">
        <f>IF(FR47=0,0,(FS47-FR47)/FR47*100)</f>
        <v>0</v>
      </c>
      <c r="FU47" s="820">
        <f>IF(FU49=0,0,(FU48*FU49+FU50*FU51*6)/FU49)</f>
        <v>0</v>
      </c>
      <c r="FV47" s="820">
        <f>IF(FV49=0,0,(FV48*FV49+FV50*FV51*6)/FV49)</f>
        <v>0</v>
      </c>
      <c r="FW47" s="714">
        <f>IF(FU47=0,0,(FV47-FU47)/FU47*100)</f>
        <v>0</v>
      </c>
      <c r="FZ47" s="691" t="s">
        <v>1678</v>
      </c>
    </row>
    <row r="48" spans="1:186" ht="14.65" hidden="1" customHeight="1" x14ac:dyDescent="0.15">
      <c r="A48" s="59"/>
      <c r="B48" s="613" t="b" cm="1">
        <f t="array" ref="B48">B47</f>
        <v>0</v>
      </c>
      <c r="C48" s="59"/>
      <c r="D48" s="59"/>
      <c r="E48" s="462">
        <v>15</v>
      </c>
      <c r="F48" s="3" cm="1">
        <f t="array" aca="1" ref="F48" ca="1">OFFSET(E48,-1,1)</f>
        <v>0</v>
      </c>
      <c r="G48" s="59"/>
      <c r="H48" s="59" t="s">
        <v>1574</v>
      </c>
      <c r="I48" s="59" t="s">
        <v>1642</v>
      </c>
      <c r="J48" s="59"/>
      <c r="K48" s="59"/>
      <c r="L48" s="59"/>
      <c r="M48" s="59"/>
      <c r="N48" s="59"/>
      <c r="O48" s="59"/>
      <c r="P48" s="59"/>
      <c r="Q48" s="59"/>
      <c r="R48" s="59"/>
      <c r="S48" s="59"/>
      <c r="T48" s="353" t="b" cm="1">
        <f t="array" aca="1" ref="T48" ca="1">T47</f>
        <v>0</v>
      </c>
      <c r="U48" s="59"/>
      <c r="V48" s="59"/>
      <c r="W48" s="59"/>
      <c r="X48" s="1022"/>
      <c r="Y48" s="59"/>
      <c r="Z48" s="966"/>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1644</v>
      </c>
      <c r="AD48" s="820"/>
      <c r="AE48" s="820"/>
      <c r="AF48" s="714">
        <f>IF(AD48=0,0,(AE48-AD48)/AD48*100)</f>
        <v>0</v>
      </c>
      <c r="AG48" s="820"/>
      <c r="AH48" s="820"/>
      <c r="AI48" s="714">
        <f>IF(AG48=0,0,(AH48-AG48)/AG48*100)</f>
        <v>0</v>
      </c>
      <c r="AJ48" s="820"/>
      <c r="AK48" s="820"/>
      <c r="AL48" s="714">
        <f>IF(AJ48=0,0,(AK48-AJ48)/AJ48*100)</f>
        <v>0</v>
      </c>
      <c r="AM48" s="820"/>
      <c r="AN48" s="820"/>
      <c r="AO48" s="714">
        <f>IF(AM48=0,0,(AN48-AM48)/AM48*100)</f>
        <v>0</v>
      </c>
      <c r="AP48" s="820"/>
      <c r="AQ48" s="820"/>
      <c r="AR48" s="714">
        <f>IF(AP48=0,0,(AQ48-AP48)/AP48*100)</f>
        <v>0</v>
      </c>
      <c r="AS48" s="820"/>
      <c r="AT48" s="820"/>
      <c r="AU48" s="714">
        <f>IF(AS48=0,0,(AT48-AS48)/AS48*100)</f>
        <v>0</v>
      </c>
      <c r="AV48" s="820"/>
      <c r="AW48" s="820"/>
      <c r="AX48" s="714">
        <f>IF(AV48=0,0,(AW48-AV48)/AV48*100)</f>
        <v>0</v>
      </c>
      <c r="AY48" s="820"/>
      <c r="AZ48" s="820"/>
      <c r="BA48" s="714">
        <f>IF(AY48=0,0,(AZ48-AY48)/AY48*100)</f>
        <v>0</v>
      </c>
      <c r="BB48" s="820"/>
      <c r="BC48" s="820"/>
      <c r="BD48" s="714">
        <f>IF(BB48=0,0,(BC48-BB48)/BB48*100)</f>
        <v>0</v>
      </c>
      <c r="BE48" s="820"/>
      <c r="BF48" s="820"/>
      <c r="BG48" s="714">
        <f>IF(BE48=0,0,(BF48-BE48)/BE48*100)</f>
        <v>0</v>
      </c>
      <c r="BH48" s="820"/>
      <c r="BI48" s="820"/>
      <c r="BJ48" s="714">
        <f>IF(BH48=0,0,(BI48-BH48)/BH48*100)</f>
        <v>0</v>
      </c>
      <c r="BK48" s="820"/>
      <c r="BL48" s="820"/>
      <c r="BM48" s="714">
        <f>IF(BK48=0,0,(BL48-BK48)/BK48*100)</f>
        <v>0</v>
      </c>
      <c r="BN48" s="820"/>
      <c r="BO48" s="820"/>
      <c r="BP48" s="714">
        <f>IF(BN48=0,0,(BO48-BN48)/BN48*100)</f>
        <v>0</v>
      </c>
      <c r="BQ48" s="820"/>
      <c r="BR48" s="820"/>
      <c r="BS48" s="714">
        <f>IF(BQ48=0,0,(BR48-BQ48)/BQ48*100)</f>
        <v>0</v>
      </c>
      <c r="BT48" s="820"/>
      <c r="BU48" s="820"/>
      <c r="BV48" s="714">
        <f>IF(BT48=0,0,(BU48-BT48)/BT48*100)</f>
        <v>0</v>
      </c>
      <c r="BW48" s="820"/>
      <c r="BX48" s="820"/>
      <c r="BY48" s="714">
        <f>IF(BW48=0,0,(BX48-BW48)/BW48*100)</f>
        <v>0</v>
      </c>
      <c r="BZ48" s="820"/>
      <c r="CA48" s="820"/>
      <c r="CB48" s="714">
        <f>IF(BZ48=0,0,(CA48-BZ48)/BZ48*100)</f>
        <v>0</v>
      </c>
      <c r="CC48" s="820"/>
      <c r="CD48" s="820"/>
      <c r="CE48" s="714">
        <f>IF(CC48=0,0,(CD48-CC48)/CC48*100)</f>
        <v>0</v>
      </c>
      <c r="CF48" s="820"/>
      <c r="CG48" s="820"/>
      <c r="CH48" s="714">
        <f>IF(CF48=0,0,(CG48-CF48)/CF48*100)</f>
        <v>0</v>
      </c>
      <c r="CI48" s="820"/>
      <c r="CJ48" s="820"/>
      <c r="CK48" s="714">
        <f>IF(CI48=0,0,(CJ48-CI48)/CI48*100)</f>
        <v>0</v>
      </c>
      <c r="CL48" s="820"/>
      <c r="CM48" s="820"/>
      <c r="CN48" s="714">
        <f>IF(CL48=0,0,(CM48-CL48)/CL48*100)</f>
        <v>0</v>
      </c>
      <c r="CO48" s="820"/>
      <c r="CP48" s="820"/>
      <c r="CQ48" s="714">
        <f>IF(CO48=0,0,(CP48-CO48)/CO48*100)</f>
        <v>0</v>
      </c>
      <c r="CR48" s="820"/>
      <c r="CS48" s="820"/>
      <c r="CT48" s="714">
        <f>IF(CR48=0,0,(CS48-CR48)/CR48*100)</f>
        <v>0</v>
      </c>
      <c r="CU48" s="820"/>
      <c r="CV48" s="820"/>
      <c r="CW48" s="714">
        <f>IF(CU48=0,0,(CV48-CU48)/CU48*100)</f>
        <v>0</v>
      </c>
      <c r="CX48" s="820"/>
      <c r="CY48" s="820"/>
      <c r="CZ48" s="714">
        <f>IF(CX48=0,0,(CY48-CX48)/CX48*100)</f>
        <v>0</v>
      </c>
      <c r="DA48" s="820"/>
      <c r="DB48" s="820"/>
      <c r="DC48" s="714">
        <f>IF(DA48=0,0,(DB48-DA48)/DA48*100)</f>
        <v>0</v>
      </c>
      <c r="DD48" s="820"/>
      <c r="DE48" s="820"/>
      <c r="DF48" s="714">
        <f>IF(DD48=0,0,(DE48-DD48)/DD48*100)</f>
        <v>0</v>
      </c>
      <c r="DG48" s="820"/>
      <c r="DH48" s="820"/>
      <c r="DI48" s="714">
        <f>IF(DG48=0,0,(DH48-DG48)/DG48*100)</f>
        <v>0</v>
      </c>
      <c r="DJ48" s="820"/>
      <c r="DK48" s="820"/>
      <c r="DL48" s="714">
        <f>IF(DJ48=0,0,(DK48-DJ48)/DJ48*100)</f>
        <v>0</v>
      </c>
      <c r="DM48" s="820"/>
      <c r="DN48" s="820"/>
      <c r="DO48" s="714">
        <f>IF(DM48=0,0,(DN48-DM48)/DM48*100)</f>
        <v>0</v>
      </c>
      <c r="DP48" s="820"/>
      <c r="DQ48" s="820"/>
      <c r="DR48" s="714">
        <f>IF(DP48=0,0,(DQ48-DP48)/DP48*100)</f>
        <v>0</v>
      </c>
      <c r="DS48" s="820"/>
      <c r="DT48" s="820"/>
      <c r="DU48" s="714">
        <f>IF(DS48=0,0,(DT48-DS48)/DS48*100)</f>
        <v>0</v>
      </c>
      <c r="DV48" s="820"/>
      <c r="DW48" s="820"/>
      <c r="DX48" s="714">
        <f>IF(DV48=0,0,(DW48-DV48)/DV48*100)</f>
        <v>0</v>
      </c>
      <c r="DY48" s="820"/>
      <c r="DZ48" s="820"/>
      <c r="EA48" s="714">
        <f>IF(DY48=0,0,(DZ48-DY48)/DY48*100)</f>
        <v>0</v>
      </c>
      <c r="EB48" s="820"/>
      <c r="EC48" s="820"/>
      <c r="ED48" s="714">
        <f>IF(EB48=0,0,(EC48-EB48)/EB48*100)</f>
        <v>0</v>
      </c>
      <c r="EE48" s="820"/>
      <c r="EF48" s="820"/>
      <c r="EG48" s="714">
        <f>IF(EE48=0,0,(EF48-EE48)/EE48*100)</f>
        <v>0</v>
      </c>
      <c r="EH48" s="820"/>
      <c r="EI48" s="820"/>
      <c r="EJ48" s="714">
        <f>IF(EH48=0,0,(EI48-EH48)/EH48*100)</f>
        <v>0</v>
      </c>
      <c r="EK48" s="820"/>
      <c r="EL48" s="820"/>
      <c r="EM48" s="714">
        <f>IF(EK48=0,0,(EL48-EK48)/EK48*100)</f>
        <v>0</v>
      </c>
      <c r="EN48" s="820"/>
      <c r="EO48" s="820"/>
      <c r="EP48" s="714">
        <f>IF(EN48=0,0,(EO48-EN48)/EN48*100)</f>
        <v>0</v>
      </c>
      <c r="EQ48" s="820"/>
      <c r="ER48" s="820"/>
      <c r="ES48" s="714">
        <f>IF(EQ48=0,0,(ER48-EQ48)/EQ48*100)</f>
        <v>0</v>
      </c>
      <c r="ET48" s="820"/>
      <c r="EU48" s="820"/>
      <c r="EV48" s="714">
        <f>IF(ET48=0,0,(EU48-ET48)/ET48*100)</f>
        <v>0</v>
      </c>
      <c r="EW48" s="820"/>
      <c r="EX48" s="820"/>
      <c r="EY48" s="714">
        <f>IF(EW48=0,0,(EX48-EW48)/EW48*100)</f>
        <v>0</v>
      </c>
      <c r="EZ48" s="820"/>
      <c r="FA48" s="820"/>
      <c r="FB48" s="714">
        <f>IF(EZ48=0,0,(FA48-EZ48)/EZ48*100)</f>
        <v>0</v>
      </c>
      <c r="FC48" s="820"/>
      <c r="FD48" s="820"/>
      <c r="FE48" s="714">
        <f>IF(FC48=0,0,(FD48-FC48)/FC48*100)</f>
        <v>0</v>
      </c>
      <c r="FF48" s="820"/>
      <c r="FG48" s="820"/>
      <c r="FH48" s="714">
        <f>IF(FF48=0,0,(FG48-FF48)/FF48*100)</f>
        <v>0</v>
      </c>
      <c r="FI48" s="820"/>
      <c r="FJ48" s="820"/>
      <c r="FK48" s="714">
        <f>IF(FI48=0,0,(FJ48-FI48)/FI48*100)</f>
        <v>0</v>
      </c>
      <c r="FL48" s="820"/>
      <c r="FM48" s="820"/>
      <c r="FN48" s="714">
        <f>IF(FL48=0,0,(FM48-FL48)/FL48*100)</f>
        <v>0</v>
      </c>
      <c r="FO48" s="820"/>
      <c r="FP48" s="820"/>
      <c r="FQ48" s="714">
        <f>IF(FO48=0,0,(FP48-FO48)/FO48*100)</f>
        <v>0</v>
      </c>
      <c r="FR48" s="820"/>
      <c r="FS48" s="820"/>
      <c r="FT48" s="714">
        <f>IF(FR48=0,0,(FS48-FR48)/FR48*100)</f>
        <v>0</v>
      </c>
      <c r="FU48" s="820"/>
      <c r="FV48" s="820"/>
      <c r="FW48" s="714">
        <f>IF(FU48=0,0,(FV48-FU48)/FU48*100)</f>
        <v>0</v>
      </c>
      <c r="FZ48" s="691" t="s">
        <v>1679</v>
      </c>
    </row>
    <row r="49" spans="1:182" ht="14.65" hidden="1" customHeight="1" x14ac:dyDescent="0.15">
      <c r="A49" s="59"/>
      <c r="B49" s="613" t="b" cm="1">
        <f t="array" ref="B49">B48</f>
        <v>0</v>
      </c>
      <c r="C49" s="59"/>
      <c r="D49" s="59"/>
      <c r="E49" s="462">
        <v>15</v>
      </c>
      <c r="F49" s="3" cm="1">
        <f t="array" aca="1" ref="F49" ca="1">OFFSET(E49,-1,1)</f>
        <v>0</v>
      </c>
      <c r="G49" s="25" t="s">
        <v>1680</v>
      </c>
      <c r="H49" s="59" t="s">
        <v>1681</v>
      </c>
      <c r="I49" s="59" t="s">
        <v>1642</v>
      </c>
      <c r="J49" s="59"/>
      <c r="K49" s="59"/>
      <c r="L49" s="59"/>
      <c r="M49" s="59"/>
      <c r="N49" s="59"/>
      <c r="O49" s="59"/>
      <c r="P49" s="59"/>
      <c r="Q49" s="59"/>
      <c r="R49" s="59"/>
      <c r="S49" s="59"/>
      <c r="T49" s="353" t="b" cm="1">
        <f t="array" aca="1" ref="T49" ca="1">T48</f>
        <v>0</v>
      </c>
      <c r="U49" s="59"/>
      <c r="V49" s="59"/>
      <c r="W49" s="59"/>
      <c r="X49" s="1022"/>
      <c r="Y49" s="59"/>
      <c r="Z49" s="966"/>
      <c r="AA49" s="59"/>
      <c r="AB49" s="105" t="str">
        <f>"объём "&amp;IF(Q29="Водоснабжение","потребления холодной воды","водоотведения")</f>
        <v>объём водоотведения</v>
      </c>
      <c r="AC49" s="12" t="s">
        <v>558</v>
      </c>
      <c r="AD49" s="836">
        <f ca="1">IF(AND(method_reg="Метод индексации",god&lt;&gt;first_year),SUMIFS(INDEX('Калькуляция (МИ корр)'!$AJ$25:$BC$603,,MATCH(AD$8,'Калькуляция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(МИ)'!$AJ$25:$BC$603,,MATCH(AD$8,'Калькуляция (МИ)'!$AJ$8:$BC$8,0)),'Калькуляция (МИ)'!$F$25:$F$603,$F49,'Калькуляция (МИ)'!$G$25:$G$603,$G49))))</f>
        <v>0</v>
      </c>
      <c r="AE49" s="836">
        <f ca="1">IF(AND(method_reg="Метод индексации",god&lt;&gt;first_year),SUMIFS(INDEX('Калькуляция (МИ корр)'!$AJ$25:$BC$603,,MATCH(AE$8,'Калькуляция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(МИ)'!$AJ$25:$BC$603,,MATCH(AE$8,'Калькуляция (МИ)'!$AJ$8:$BC$8,0)),'Калькуляция (МИ)'!$F$25:$F$603,$F49,'Калькуляция (МИ)'!$G$25:$G$603,$G49))))</f>
        <v>0</v>
      </c>
      <c r="AF49" s="715">
        <f ca="1">IF(AD49=0,0,(AE49-AD49)/AD49*100)</f>
        <v>0</v>
      </c>
      <c r="AG49" s="836">
        <f ca="1">IF(AND(method_reg="Метод индексации",god&lt;&gt;first_year),SUMIFS(INDEX('Калькуляция (МИ корр)'!$AJ$25:$BC$603,,MATCH(AG$8,'Калькуляция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(МИ)'!$AJ$25:$BC$603,,MATCH(AG$8,'Калькуляция (МИ)'!$AJ$8:$BC$8,0)),'Калькуляция (МИ)'!$F$25:$F$603,$F49,'Калькуляция (МИ)'!$G$25:$G$603,$G49))))</f>
        <v>0</v>
      </c>
      <c r="AH49" s="836">
        <f ca="1">IF(AND(method_reg="Метод индексации",god&lt;&gt;first_year),SUMIFS(INDEX('Калькуляция (МИ корр)'!$AJ$25:$BC$603,,MATCH(AH$8,'Калькуляция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(МИ)'!$AJ$25:$BC$603,,MATCH(AH$8,'Калькуляция (МИ)'!$AJ$8:$BC$8,0)),'Калькуляция (МИ)'!$F$25:$F$603,$F49,'Калькуляция (МИ)'!$G$25:$G$603,$G49))))</f>
        <v>0</v>
      </c>
      <c r="AI49" s="715">
        <f ca="1">IF(AG49=0,0,(AH49-AG49)/AG49*100)</f>
        <v>0</v>
      </c>
      <c r="AJ49" s="836">
        <f ca="1">IF(AND(method_reg="Метод индексации",god&lt;&gt;first_year),SUMIFS(INDEX('Калькуляция (МИ корр)'!$AJ$25:$BC$603,,MATCH(AJ$8,'Калькуляция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(МИ)'!$AJ$25:$BC$603,,MATCH(AJ$8,'Калькуляция (МИ)'!$AJ$8:$BC$8,0)),'Калькуляция (МИ)'!$F$25:$F$603,$F49,'Калькуляция (МИ)'!$G$25:$G$603,$G49))))</f>
        <v>0</v>
      </c>
      <c r="AK49" s="836">
        <f ca="1">IF(AND(method_reg="Метод индексации",god&lt;&gt;first_year),SUMIFS(INDEX('Калькуляция (МИ корр)'!$AJ$25:$BC$603,,MATCH(AK$8,'Калькуляция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(МИ)'!$AJ$25:$BC$603,,MATCH(AK$8,'Калькуляция (МИ)'!$AJ$8:$BC$8,0)),'Калькуляция (МИ)'!$F$25:$F$603,$F49,'Калькуляция (МИ)'!$G$25:$G$603,$G49))))</f>
        <v>0</v>
      </c>
      <c r="AL49" s="715">
        <f ca="1">IF(AJ49=0,0,(AK49-AJ49)/AJ49*100)</f>
        <v>0</v>
      </c>
      <c r="AM49" s="836">
        <f ca="1">IF(AND(method_reg="Метод индексации",god&lt;&gt;first_year),SUMIFS(INDEX('Калькуляция (МИ корр)'!$AJ$25:$BC$603,,MATCH(AM$8,'Калькуляция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(МИ)'!$AJ$25:$BC$603,,MATCH(AM$8,'Калькуляция (МИ)'!$AJ$8:$BC$8,0)),'Калькуляция (МИ)'!$F$25:$F$603,$F49,'Калькуляция (МИ)'!$G$25:$G$603,$G49))))</f>
        <v>0</v>
      </c>
      <c r="AN49" s="836">
        <f ca="1">IF(AND(method_reg="Метод индексации",god&lt;&gt;first_year),SUMIFS(INDEX('Калькуляция (МИ корр)'!$AJ$25:$BC$603,,MATCH(AN$8,'Калькуляция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(МИ)'!$AJ$25:$BC$603,,MATCH(AN$8,'Калькуляция (МИ)'!$AJ$8:$BC$8,0)),'Калькуляция (МИ)'!$F$25:$F$603,$F49,'Калькуляция (МИ)'!$G$25:$G$603,$G49))))</f>
        <v>0</v>
      </c>
      <c r="AO49" s="715">
        <f ca="1">IF(AM49=0,0,(AN49-AM49)/AM49*100)</f>
        <v>0</v>
      </c>
      <c r="AP49" s="836">
        <f ca="1">IF(AND(method_reg="Метод индексации",god&lt;&gt;first_year),SUMIFS(INDEX('Калькуляция (МИ корр)'!$AJ$25:$BC$603,,MATCH(AP$8,'Калькуляция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(МИ)'!$AJ$25:$BC$603,,MATCH(AP$8,'Калькуляция (МИ)'!$AJ$8:$BC$8,0)),'Калькуляция (МИ)'!$F$25:$F$603,$F49,'Калькуляция (МИ)'!$G$25:$G$603,$G49))))</f>
        <v>0</v>
      </c>
      <c r="AQ49" s="836">
        <f ca="1">IF(AND(method_reg="Метод индексации",god&lt;&gt;first_year),SUMIFS(INDEX('Калькуляция (МИ корр)'!$AJ$25:$BC$603,,MATCH(AQ$8,'Калькуляция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(МИ)'!$AJ$25:$BC$603,,MATCH(AQ$8,'Калькуляция (МИ)'!$AJ$8:$BC$8,0)),'Калькуляция (МИ)'!$F$25:$F$603,$F49,'Калькуляция (МИ)'!$G$25:$G$603,$G49))))</f>
        <v>0</v>
      </c>
      <c r="AR49" s="715">
        <f ca="1">IF(AP49=0,0,(AQ49-AP49)/AP49*100)</f>
        <v>0</v>
      </c>
      <c r="AS49" s="836">
        <f ca="1">IF(AND(method_reg="Метод индексации",god&lt;&gt;first_year),SUMIFS(INDEX('Калькуляция (МИ корр)'!$AJ$25:$BC$603,,MATCH(AS$8,'Калькуляция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(МИ)'!$AJ$25:$BC$603,,MATCH(AS$8,'Калькуляция (МИ)'!$AJ$8:$BC$8,0)),'Калькуляция (МИ)'!$F$25:$F$603,$F49,'Калькуляция (МИ)'!$G$25:$G$603,$G49))))</f>
        <v>0</v>
      </c>
      <c r="AT49" s="836">
        <f ca="1">IF(AND(method_reg="Метод индексации",god&lt;&gt;first_year),SUMIFS(INDEX('Калькуляция (МИ корр)'!$AJ$25:$BC$603,,MATCH(AT$8,'Калькуляция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(МИ)'!$AJ$25:$BC$603,,MATCH(AT$8,'Калькуляция (МИ)'!$AJ$8:$BC$8,0)),'Калькуляция (МИ)'!$F$25:$F$603,$F49,'Калькуляция (МИ)'!$G$25:$G$603,$G49))))</f>
        <v>0</v>
      </c>
      <c r="AU49" s="715">
        <f ca="1">IF(AS49=0,0,(AT49-AS49)/AS49*100)</f>
        <v>0</v>
      </c>
      <c r="AV49" s="836">
        <f ca="1">IF(AND(method_reg="Метод индексации",god&lt;&gt;first_year),SUMIFS(INDEX('Калькуляция (МИ корр)'!$AJ$25:$BC$603,,MATCH(AV$8,'Калькуляция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(МИ)'!$AJ$25:$BC$603,,MATCH(AV$8,'Калькуляция (МИ)'!$AJ$8:$BC$8,0)),'Калькуляция (МИ)'!$F$25:$F$603,$F49,'Калькуляция (МИ)'!$G$25:$G$603,$G49))))</f>
        <v>0</v>
      </c>
      <c r="AW49" s="836">
        <f ca="1">IF(AND(method_reg="Метод индексации",god&lt;&gt;first_year),SUMIFS(INDEX('Калькуляция (МИ корр)'!$AJ$25:$BC$603,,MATCH(AW$8,'Калькуляция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(МИ)'!$AJ$25:$BC$603,,MATCH(AW$8,'Калькуляция (МИ)'!$AJ$8:$BC$8,0)),'Калькуляция (МИ)'!$F$25:$F$603,$F49,'Калькуляция (МИ)'!$G$25:$G$603,$G49))))</f>
        <v>0</v>
      </c>
      <c r="AX49" s="715">
        <f ca="1">IF(AV49=0,0,(AW49-AV49)/AV49*100)</f>
        <v>0</v>
      </c>
      <c r="AY49" s="836">
        <f ca="1">IF(AND(method_reg="Метод индексации",god&lt;&gt;first_year),SUMIFS(INDEX('Калькуляция (МИ корр)'!$AJ$25:$BC$603,,MATCH(AY$8,'Калькуляция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(МИ)'!$AJ$25:$BC$603,,MATCH(AY$8,'Калькуляция (МИ)'!$AJ$8:$BC$8,0)),'Калькуляция (МИ)'!$F$25:$F$603,$F49,'Калькуляция (МИ)'!$G$25:$G$603,$G49))))</f>
        <v>0</v>
      </c>
      <c r="AZ49" s="836">
        <f ca="1">IF(AND(method_reg="Метод индексации",god&lt;&gt;first_year),SUMIFS(INDEX('Калькуляция (МИ корр)'!$AJ$25:$BC$603,,MATCH(AZ$8,'Калькуляция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(МИ)'!$AJ$25:$BC$603,,MATCH(AZ$8,'Калькуляция (МИ)'!$AJ$8:$BC$8,0)),'Калькуляция (МИ)'!$F$25:$F$603,$F49,'Калькуляция (МИ)'!$G$25:$G$603,$G49))))</f>
        <v>0</v>
      </c>
      <c r="BA49" s="715">
        <f ca="1">IF(AY49=0,0,(AZ49-AY49)/AY49*100)</f>
        <v>0</v>
      </c>
      <c r="BB49" s="836">
        <f ca="1">IF(AND(method_reg="Метод индексации",god&lt;&gt;first_year),SUMIFS(INDEX('Калькуляция (МИ корр)'!$AJ$25:$BC$603,,MATCH(BB$8,'Калькуляция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(МИ)'!$AJ$25:$BC$603,,MATCH(BB$8,'Калькуляция (МИ)'!$AJ$8:$BC$8,0)),'Калькуляция (МИ)'!$F$25:$F$603,$F49,'Калькуляция (МИ)'!$G$25:$G$603,$G49))))</f>
        <v>0</v>
      </c>
      <c r="BC49" s="836">
        <f ca="1">IF(AND(method_reg="Метод индексации",god&lt;&gt;first_year),SUMIFS(INDEX('Калькуляция (МИ корр)'!$AJ$25:$BC$603,,MATCH(BC$8,'Калькуляция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(МИ)'!$AJ$25:$BC$603,,MATCH(BC$8,'Калькуляция (МИ)'!$AJ$8:$BC$8,0)),'Калькуляция (МИ)'!$F$25:$F$603,$F49,'Калькуляция (МИ)'!$G$25:$G$603,$G49))))</f>
        <v>0</v>
      </c>
      <c r="BD49" s="715">
        <f ca="1">IF(BB49=0,0,(BC49-BB49)/BB49*100)</f>
        <v>0</v>
      </c>
      <c r="BE49" s="836">
        <f ca="1">IF(AND(method_reg="Метод индексации",god&lt;&gt;first_year),SUMIFS(INDEX('Калькуляция (МИ корр)'!$AJ$25:$BC$603,,MATCH(BE$8,'Калькуляция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(МИ)'!$AJ$25:$BC$603,,MATCH(BE$8,'Калькуляция (МИ)'!$AJ$8:$BC$8,0)),'Калькуляция (МИ)'!$F$25:$F$603,$F49,'Калькуляция (МИ)'!$G$25:$G$603,$G49))))</f>
        <v>0</v>
      </c>
      <c r="BF49" s="836">
        <f ca="1">IF(AND(method_reg="Метод индексации",god&lt;&gt;first_year),SUMIFS(INDEX('Калькуляция (МИ корр)'!$AJ$25:$BC$603,,MATCH(BF$8,'Калькуляция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(МИ)'!$AJ$25:$BC$603,,MATCH(BF$8,'Калькуляция (МИ)'!$AJ$8:$BC$8,0)),'Калькуляция (МИ)'!$F$25:$F$603,$F49,'Калькуляция (МИ)'!$G$25:$G$603,$G49))))</f>
        <v>0</v>
      </c>
      <c r="BG49" s="715">
        <f ca="1">IF(BE49=0,0,(BF49-BE49)/BE49*100)</f>
        <v>0</v>
      </c>
      <c r="BH49" s="836"/>
      <c r="BI49" s="836"/>
      <c r="BJ49" s="715">
        <f>IF(BH49=0,0,(BI49-BH49)/BH49*100)</f>
        <v>0</v>
      </c>
      <c r="BK49" s="836"/>
      <c r="BL49" s="836"/>
      <c r="BM49" s="715">
        <f>IF(BK49=0,0,(BL49-BK49)/BK49*100)</f>
        <v>0</v>
      </c>
      <c r="BN49" s="836"/>
      <c r="BO49" s="836"/>
      <c r="BP49" s="715">
        <f>IF(BN49=0,0,(BO49-BN49)/BN49*100)</f>
        <v>0</v>
      </c>
      <c r="BQ49" s="836"/>
      <c r="BR49" s="836"/>
      <c r="BS49" s="715">
        <f>IF(BQ49=0,0,(BR49-BQ49)/BQ49*100)</f>
        <v>0</v>
      </c>
      <c r="BT49" s="836"/>
      <c r="BU49" s="836"/>
      <c r="BV49" s="715">
        <f>IF(BT49=0,0,(BU49-BT49)/BT49*100)</f>
        <v>0</v>
      </c>
      <c r="BW49" s="836"/>
      <c r="BX49" s="836"/>
      <c r="BY49" s="715">
        <f>IF(BW49=0,0,(BX49-BW49)/BW49*100)</f>
        <v>0</v>
      </c>
      <c r="BZ49" s="836"/>
      <c r="CA49" s="836"/>
      <c r="CB49" s="715">
        <f>IF(BZ49=0,0,(CA49-BZ49)/BZ49*100)</f>
        <v>0</v>
      </c>
      <c r="CC49" s="836"/>
      <c r="CD49" s="836"/>
      <c r="CE49" s="715">
        <f>IF(CC49=0,0,(CD49-CC49)/CC49*100)</f>
        <v>0</v>
      </c>
      <c r="CF49" s="836"/>
      <c r="CG49" s="836"/>
      <c r="CH49" s="715">
        <f>IF(CF49=0,0,(CG49-CF49)/CF49*100)</f>
        <v>0</v>
      </c>
      <c r="CI49" s="836"/>
      <c r="CJ49" s="836"/>
      <c r="CK49" s="715">
        <f>IF(CI49=0,0,(CJ49-CI49)/CI49*100)</f>
        <v>0</v>
      </c>
      <c r="CL49" s="836"/>
      <c r="CM49" s="836"/>
      <c r="CN49" s="715">
        <f>IF(CL49=0,0,(CM49-CL49)/CL49*100)</f>
        <v>0</v>
      </c>
      <c r="CO49" s="836"/>
      <c r="CP49" s="836"/>
      <c r="CQ49" s="715">
        <f>IF(CO49=0,0,(CP49-CO49)/CO49*100)</f>
        <v>0</v>
      </c>
      <c r="CR49" s="836"/>
      <c r="CS49" s="836"/>
      <c r="CT49" s="715">
        <f>IF(CR49=0,0,(CS49-CR49)/CR49*100)</f>
        <v>0</v>
      </c>
      <c r="CU49" s="836"/>
      <c r="CV49" s="836"/>
      <c r="CW49" s="715">
        <f>IF(CU49=0,0,(CV49-CU49)/CU49*100)</f>
        <v>0</v>
      </c>
      <c r="CX49" s="836"/>
      <c r="CY49" s="836"/>
      <c r="CZ49" s="715">
        <f>IF(CX49=0,0,(CY49-CX49)/CX49*100)</f>
        <v>0</v>
      </c>
      <c r="DA49" s="836"/>
      <c r="DB49" s="836"/>
      <c r="DC49" s="715">
        <f>IF(DA49=0,0,(DB49-DA49)/DA49*100)</f>
        <v>0</v>
      </c>
      <c r="DD49" s="836"/>
      <c r="DE49" s="836"/>
      <c r="DF49" s="715">
        <f>IF(DD49=0,0,(DE49-DD49)/DD49*100)</f>
        <v>0</v>
      </c>
      <c r="DG49" s="836"/>
      <c r="DH49" s="836"/>
      <c r="DI49" s="715">
        <f>IF(DG49=0,0,(DH49-DG49)/DG49*100)</f>
        <v>0</v>
      </c>
      <c r="DJ49" s="836"/>
      <c r="DK49" s="836"/>
      <c r="DL49" s="715">
        <f>IF(DJ49=0,0,(DK49-DJ49)/DJ49*100)</f>
        <v>0</v>
      </c>
      <c r="DM49" s="836"/>
      <c r="DN49" s="836"/>
      <c r="DO49" s="715">
        <f>IF(DM49=0,0,(DN49-DM49)/DM49*100)</f>
        <v>0</v>
      </c>
      <c r="DP49" s="836"/>
      <c r="DQ49" s="836"/>
      <c r="DR49" s="715">
        <f>IF(DP49=0,0,(DQ49-DP49)/DP49*100)</f>
        <v>0</v>
      </c>
      <c r="DS49" s="836"/>
      <c r="DT49" s="836"/>
      <c r="DU49" s="715">
        <f>IF(DS49=0,0,(DT49-DS49)/DS49*100)</f>
        <v>0</v>
      </c>
      <c r="DV49" s="836"/>
      <c r="DW49" s="836"/>
      <c r="DX49" s="715">
        <f>IF(DV49=0,0,(DW49-DV49)/DV49*100)</f>
        <v>0</v>
      </c>
      <c r="DY49" s="836"/>
      <c r="DZ49" s="836"/>
      <c r="EA49" s="715">
        <f>IF(DY49=0,0,(DZ49-DY49)/DY49*100)</f>
        <v>0</v>
      </c>
      <c r="EB49" s="836"/>
      <c r="EC49" s="836"/>
      <c r="ED49" s="715">
        <f>IF(EB49=0,0,(EC49-EB49)/EB49*100)</f>
        <v>0</v>
      </c>
      <c r="EE49" s="836"/>
      <c r="EF49" s="836"/>
      <c r="EG49" s="715">
        <f>IF(EE49=0,0,(EF49-EE49)/EE49*100)</f>
        <v>0</v>
      </c>
      <c r="EH49" s="836"/>
      <c r="EI49" s="836"/>
      <c r="EJ49" s="715">
        <f>IF(EH49=0,0,(EI49-EH49)/EH49*100)</f>
        <v>0</v>
      </c>
      <c r="EK49" s="836"/>
      <c r="EL49" s="836"/>
      <c r="EM49" s="715">
        <f>IF(EK49=0,0,(EL49-EK49)/EK49*100)</f>
        <v>0</v>
      </c>
      <c r="EN49" s="836"/>
      <c r="EO49" s="836"/>
      <c r="EP49" s="715">
        <f>IF(EN49=0,0,(EO49-EN49)/EN49*100)</f>
        <v>0</v>
      </c>
      <c r="EQ49" s="836"/>
      <c r="ER49" s="836"/>
      <c r="ES49" s="715">
        <f>IF(EQ49=0,0,(ER49-EQ49)/EQ49*100)</f>
        <v>0</v>
      </c>
      <c r="ET49" s="836"/>
      <c r="EU49" s="836"/>
      <c r="EV49" s="715">
        <f>IF(ET49=0,0,(EU49-ET49)/ET49*100)</f>
        <v>0</v>
      </c>
      <c r="EW49" s="836"/>
      <c r="EX49" s="836"/>
      <c r="EY49" s="715">
        <f>IF(EW49=0,0,(EX49-EW49)/EW49*100)</f>
        <v>0</v>
      </c>
      <c r="EZ49" s="836"/>
      <c r="FA49" s="836"/>
      <c r="FB49" s="715">
        <f>IF(EZ49=0,0,(FA49-EZ49)/EZ49*100)</f>
        <v>0</v>
      </c>
      <c r="FC49" s="836"/>
      <c r="FD49" s="836"/>
      <c r="FE49" s="715">
        <f>IF(FC49=0,0,(FD49-FC49)/FC49*100)</f>
        <v>0</v>
      </c>
      <c r="FF49" s="836"/>
      <c r="FG49" s="836"/>
      <c r="FH49" s="715">
        <f>IF(FF49=0,0,(FG49-FF49)/FF49*100)</f>
        <v>0</v>
      </c>
      <c r="FI49" s="836"/>
      <c r="FJ49" s="836"/>
      <c r="FK49" s="715">
        <f>IF(FI49=0,0,(FJ49-FI49)/FI49*100)</f>
        <v>0</v>
      </c>
      <c r="FL49" s="836"/>
      <c r="FM49" s="836"/>
      <c r="FN49" s="715">
        <f>IF(FL49=0,0,(FM49-FL49)/FL49*100)</f>
        <v>0</v>
      </c>
      <c r="FO49" s="836"/>
      <c r="FP49" s="836"/>
      <c r="FQ49" s="715">
        <f>IF(FO49=0,0,(FP49-FO49)/FO49*100)</f>
        <v>0</v>
      </c>
      <c r="FR49" s="836"/>
      <c r="FS49" s="836"/>
      <c r="FT49" s="715">
        <f>IF(FR49=0,0,(FS49-FR49)/FR49*100)</f>
        <v>0</v>
      </c>
      <c r="FU49" s="836"/>
      <c r="FV49" s="836"/>
      <c r="FW49" s="715">
        <f>IF(FU49=0,0,(FV49-FU49)/FU49*100)</f>
        <v>0</v>
      </c>
      <c r="FZ49" s="691" t="s">
        <v>1682</v>
      </c>
    </row>
    <row r="50" spans="1:182" ht="24.2" hidden="1" customHeight="1" x14ac:dyDescent="0.15">
      <c r="A50" s="59"/>
      <c r="B50" s="613" t="b" cm="1">
        <f t="array" ref="B50">B49</f>
        <v>0</v>
      </c>
      <c r="C50" s="59"/>
      <c r="D50" s="59"/>
      <c r="E50" s="462">
        <v>24.75</v>
      </c>
      <c r="F50" s="3" cm="1">
        <f t="array" aca="1" ref="F50" ca="1">OFFSET(E50,-1,1)</f>
        <v>0</v>
      </c>
      <c r="G50" s="59"/>
      <c r="H50" s="59" t="s">
        <v>1683</v>
      </c>
      <c r="I50" s="59" t="s">
        <v>1642</v>
      </c>
      <c r="J50" s="59"/>
      <c r="K50" s="59"/>
      <c r="L50" s="59"/>
      <c r="M50" s="59"/>
      <c r="N50" s="59"/>
      <c r="O50" s="59"/>
      <c r="P50" s="59"/>
      <c r="Q50" s="59"/>
      <c r="R50" s="59"/>
      <c r="S50" s="59"/>
      <c r="T50" s="353" t="b" cm="1">
        <f t="array" aca="1" ref="T50" ca="1">T49</f>
        <v>0</v>
      </c>
      <c r="U50" s="59"/>
      <c r="V50" s="59"/>
      <c r="W50" s="59"/>
      <c r="X50" s="1022"/>
      <c r="Y50" s="59"/>
      <c r="Z50" s="966"/>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1684</v>
      </c>
      <c r="AD50" s="820"/>
      <c r="AE50" s="820"/>
      <c r="AF50" s="714">
        <f>IF(AD50=0,0,(AE50-AD50)/AD50*100)</f>
        <v>0</v>
      </c>
      <c r="AG50" s="820"/>
      <c r="AH50" s="820"/>
      <c r="AI50" s="714">
        <f>IF(AG50=0,0,(AH50-AG50)/AG50*100)</f>
        <v>0</v>
      </c>
      <c r="AJ50" s="820"/>
      <c r="AK50" s="820"/>
      <c r="AL50" s="714">
        <f>IF(AJ50=0,0,(AK50-AJ50)/AJ50*100)</f>
        <v>0</v>
      </c>
      <c r="AM50" s="820"/>
      <c r="AN50" s="820"/>
      <c r="AO50" s="714">
        <f>IF(AM50=0,0,(AN50-AM50)/AM50*100)</f>
        <v>0</v>
      </c>
      <c r="AP50" s="820"/>
      <c r="AQ50" s="820"/>
      <c r="AR50" s="714">
        <f>IF(AP50=0,0,(AQ50-AP50)/AP50*100)</f>
        <v>0</v>
      </c>
      <c r="AS50" s="820"/>
      <c r="AT50" s="820"/>
      <c r="AU50" s="714">
        <f>IF(AS50=0,0,(AT50-AS50)/AS50*100)</f>
        <v>0</v>
      </c>
      <c r="AV50" s="820"/>
      <c r="AW50" s="820"/>
      <c r="AX50" s="714">
        <f>IF(AV50=0,0,(AW50-AV50)/AV50*100)</f>
        <v>0</v>
      </c>
      <c r="AY50" s="820"/>
      <c r="AZ50" s="820"/>
      <c r="BA50" s="714">
        <f>IF(AY50=0,0,(AZ50-AY50)/AY50*100)</f>
        <v>0</v>
      </c>
      <c r="BB50" s="820"/>
      <c r="BC50" s="820"/>
      <c r="BD50" s="714">
        <f>IF(BB50=0,0,(BC50-BB50)/BB50*100)</f>
        <v>0</v>
      </c>
      <c r="BE50" s="820"/>
      <c r="BF50" s="820"/>
      <c r="BG50" s="714">
        <f>IF(BE50=0,0,(BF50-BE50)/BE50*100)</f>
        <v>0</v>
      </c>
      <c r="BH50" s="820"/>
      <c r="BI50" s="820"/>
      <c r="BJ50" s="714">
        <f>IF(BH50=0,0,(BI50-BH50)/BH50*100)</f>
        <v>0</v>
      </c>
      <c r="BK50" s="820"/>
      <c r="BL50" s="820"/>
      <c r="BM50" s="714">
        <f>IF(BK50=0,0,(BL50-BK50)/BK50*100)</f>
        <v>0</v>
      </c>
      <c r="BN50" s="820"/>
      <c r="BO50" s="820"/>
      <c r="BP50" s="714">
        <f>IF(BN50=0,0,(BO50-BN50)/BN50*100)</f>
        <v>0</v>
      </c>
      <c r="BQ50" s="820"/>
      <c r="BR50" s="820"/>
      <c r="BS50" s="714">
        <f>IF(BQ50=0,0,(BR50-BQ50)/BQ50*100)</f>
        <v>0</v>
      </c>
      <c r="BT50" s="820"/>
      <c r="BU50" s="820"/>
      <c r="BV50" s="714">
        <f>IF(BT50=0,0,(BU50-BT50)/BT50*100)</f>
        <v>0</v>
      </c>
      <c r="BW50" s="820"/>
      <c r="BX50" s="820"/>
      <c r="BY50" s="714">
        <f>IF(BW50=0,0,(BX50-BW50)/BW50*100)</f>
        <v>0</v>
      </c>
      <c r="BZ50" s="820"/>
      <c r="CA50" s="820"/>
      <c r="CB50" s="714">
        <f>IF(BZ50=0,0,(CA50-BZ50)/BZ50*100)</f>
        <v>0</v>
      </c>
      <c r="CC50" s="820"/>
      <c r="CD50" s="820"/>
      <c r="CE50" s="714">
        <f>IF(CC50=0,0,(CD50-CC50)/CC50*100)</f>
        <v>0</v>
      </c>
      <c r="CF50" s="820"/>
      <c r="CG50" s="820"/>
      <c r="CH50" s="714">
        <f>IF(CF50=0,0,(CG50-CF50)/CF50*100)</f>
        <v>0</v>
      </c>
      <c r="CI50" s="820"/>
      <c r="CJ50" s="820"/>
      <c r="CK50" s="714">
        <f>IF(CI50=0,0,(CJ50-CI50)/CI50*100)</f>
        <v>0</v>
      </c>
      <c r="CL50" s="820"/>
      <c r="CM50" s="820"/>
      <c r="CN50" s="714">
        <f>IF(CL50=0,0,(CM50-CL50)/CL50*100)</f>
        <v>0</v>
      </c>
      <c r="CO50" s="820"/>
      <c r="CP50" s="820"/>
      <c r="CQ50" s="714">
        <f>IF(CO50=0,0,(CP50-CO50)/CO50*100)</f>
        <v>0</v>
      </c>
      <c r="CR50" s="820"/>
      <c r="CS50" s="820"/>
      <c r="CT50" s="714">
        <f>IF(CR50=0,0,(CS50-CR50)/CR50*100)</f>
        <v>0</v>
      </c>
      <c r="CU50" s="820"/>
      <c r="CV50" s="820"/>
      <c r="CW50" s="714">
        <f>IF(CU50=0,0,(CV50-CU50)/CU50*100)</f>
        <v>0</v>
      </c>
      <c r="CX50" s="820"/>
      <c r="CY50" s="820"/>
      <c r="CZ50" s="714">
        <f>IF(CX50=0,0,(CY50-CX50)/CX50*100)</f>
        <v>0</v>
      </c>
      <c r="DA50" s="820"/>
      <c r="DB50" s="820"/>
      <c r="DC50" s="714">
        <f>IF(DA50=0,0,(DB50-DA50)/DA50*100)</f>
        <v>0</v>
      </c>
      <c r="DD50" s="820"/>
      <c r="DE50" s="820"/>
      <c r="DF50" s="714">
        <f>IF(DD50=0,0,(DE50-DD50)/DD50*100)</f>
        <v>0</v>
      </c>
      <c r="DG50" s="820"/>
      <c r="DH50" s="820"/>
      <c r="DI50" s="714">
        <f>IF(DG50=0,0,(DH50-DG50)/DG50*100)</f>
        <v>0</v>
      </c>
      <c r="DJ50" s="820"/>
      <c r="DK50" s="820"/>
      <c r="DL50" s="714">
        <f>IF(DJ50=0,0,(DK50-DJ50)/DJ50*100)</f>
        <v>0</v>
      </c>
      <c r="DM50" s="820"/>
      <c r="DN50" s="820"/>
      <c r="DO50" s="714">
        <f>IF(DM50=0,0,(DN50-DM50)/DM50*100)</f>
        <v>0</v>
      </c>
      <c r="DP50" s="820"/>
      <c r="DQ50" s="820"/>
      <c r="DR50" s="714">
        <f>IF(DP50=0,0,(DQ50-DP50)/DP50*100)</f>
        <v>0</v>
      </c>
      <c r="DS50" s="820"/>
      <c r="DT50" s="820"/>
      <c r="DU50" s="714">
        <f>IF(DS50=0,0,(DT50-DS50)/DS50*100)</f>
        <v>0</v>
      </c>
      <c r="DV50" s="820"/>
      <c r="DW50" s="820"/>
      <c r="DX50" s="714">
        <f>IF(DV50=0,0,(DW50-DV50)/DV50*100)</f>
        <v>0</v>
      </c>
      <c r="DY50" s="820"/>
      <c r="DZ50" s="820"/>
      <c r="EA50" s="714">
        <f>IF(DY50=0,0,(DZ50-DY50)/DY50*100)</f>
        <v>0</v>
      </c>
      <c r="EB50" s="820"/>
      <c r="EC50" s="820"/>
      <c r="ED50" s="714">
        <f>IF(EB50=0,0,(EC50-EB50)/EB50*100)</f>
        <v>0</v>
      </c>
      <c r="EE50" s="820"/>
      <c r="EF50" s="820"/>
      <c r="EG50" s="714">
        <f>IF(EE50=0,0,(EF50-EE50)/EE50*100)</f>
        <v>0</v>
      </c>
      <c r="EH50" s="820"/>
      <c r="EI50" s="820"/>
      <c r="EJ50" s="714">
        <f>IF(EH50=0,0,(EI50-EH50)/EH50*100)</f>
        <v>0</v>
      </c>
      <c r="EK50" s="820"/>
      <c r="EL50" s="820"/>
      <c r="EM50" s="714">
        <f>IF(EK50=0,0,(EL50-EK50)/EK50*100)</f>
        <v>0</v>
      </c>
      <c r="EN50" s="820"/>
      <c r="EO50" s="820"/>
      <c r="EP50" s="714">
        <f>IF(EN50=0,0,(EO50-EN50)/EN50*100)</f>
        <v>0</v>
      </c>
      <c r="EQ50" s="820"/>
      <c r="ER50" s="820"/>
      <c r="ES50" s="714">
        <f>IF(EQ50=0,0,(ER50-EQ50)/EQ50*100)</f>
        <v>0</v>
      </c>
      <c r="ET50" s="820"/>
      <c r="EU50" s="820"/>
      <c r="EV50" s="714">
        <f>IF(ET50=0,0,(EU50-ET50)/ET50*100)</f>
        <v>0</v>
      </c>
      <c r="EW50" s="820"/>
      <c r="EX50" s="820"/>
      <c r="EY50" s="714">
        <f>IF(EW50=0,0,(EX50-EW50)/EW50*100)</f>
        <v>0</v>
      </c>
      <c r="EZ50" s="820"/>
      <c r="FA50" s="820"/>
      <c r="FB50" s="714">
        <f>IF(EZ50=0,0,(FA50-EZ50)/EZ50*100)</f>
        <v>0</v>
      </c>
      <c r="FC50" s="820"/>
      <c r="FD50" s="820"/>
      <c r="FE50" s="714">
        <f>IF(FC50=0,0,(FD50-FC50)/FC50*100)</f>
        <v>0</v>
      </c>
      <c r="FF50" s="820"/>
      <c r="FG50" s="820"/>
      <c r="FH50" s="714">
        <f>IF(FF50=0,0,(FG50-FF50)/FF50*100)</f>
        <v>0</v>
      </c>
      <c r="FI50" s="820"/>
      <c r="FJ50" s="820"/>
      <c r="FK50" s="714">
        <f>IF(FI50=0,0,(FJ50-FI50)/FI50*100)</f>
        <v>0</v>
      </c>
      <c r="FL50" s="820"/>
      <c r="FM50" s="820"/>
      <c r="FN50" s="714">
        <f>IF(FL50=0,0,(FM50-FL50)/FL50*100)</f>
        <v>0</v>
      </c>
      <c r="FO50" s="820"/>
      <c r="FP50" s="820"/>
      <c r="FQ50" s="714">
        <f>IF(FO50=0,0,(FP50-FO50)/FO50*100)</f>
        <v>0</v>
      </c>
      <c r="FR50" s="820"/>
      <c r="FS50" s="820"/>
      <c r="FT50" s="714">
        <f>IF(FR50=0,0,(FS50-FR50)/FR50*100)</f>
        <v>0</v>
      </c>
      <c r="FU50" s="820"/>
      <c r="FV50" s="820"/>
      <c r="FW50" s="714">
        <f>IF(FU50=0,0,(FV50-FU50)/FU50*100)</f>
        <v>0</v>
      </c>
      <c r="FZ50" s="691" t="s">
        <v>1685</v>
      </c>
    </row>
    <row r="51" spans="1:182" ht="14.65" hidden="1" customHeight="1" x14ac:dyDescent="0.15">
      <c r="A51" s="59"/>
      <c r="B51" s="613" t="b" cm="1">
        <f t="array" ref="B51">B50</f>
        <v>0</v>
      </c>
      <c r="C51" s="59"/>
      <c r="D51" s="59"/>
      <c r="E51" s="462">
        <v>15</v>
      </c>
      <c r="F51" s="3" cm="1">
        <f t="array" aca="1" ref="F51" ca="1">OFFSET(E51,-1,1)</f>
        <v>0</v>
      </c>
      <c r="G51" s="59"/>
      <c r="H51" s="59" t="s">
        <v>1686</v>
      </c>
      <c r="I51" s="59" t="s">
        <v>1642</v>
      </c>
      <c r="J51" s="59"/>
      <c r="K51" s="59"/>
      <c r="L51" s="59"/>
      <c r="M51" s="59"/>
      <c r="N51" s="59"/>
      <c r="O51" s="59"/>
      <c r="P51" s="59"/>
      <c r="Q51" s="59"/>
      <c r="R51" s="59"/>
      <c r="S51" s="59"/>
      <c r="T51" s="353" t="b" cm="1">
        <f t="array" aca="1" ref="T51" ca="1">T50</f>
        <v>0</v>
      </c>
      <c r="U51" s="59"/>
      <c r="V51" s="59"/>
      <c r="W51" s="59"/>
      <c r="X51" s="1022"/>
      <c r="Y51" s="59"/>
      <c r="Z51" s="966"/>
      <c r="AA51" s="59"/>
      <c r="AB51" s="105" t="s">
        <v>1687</v>
      </c>
      <c r="AC51" s="12" t="s">
        <v>1688</v>
      </c>
      <c r="AD51" s="820"/>
      <c r="AE51" s="820"/>
      <c r="AF51" s="714">
        <f>IF(AD51=0,0,(AE51-AD51)/AD51*100)</f>
        <v>0</v>
      </c>
      <c r="AG51" s="820"/>
      <c r="AH51" s="820"/>
      <c r="AI51" s="714">
        <f>IF(AG51=0,0,(AH51-AG51)/AG51*100)</f>
        <v>0</v>
      </c>
      <c r="AJ51" s="820"/>
      <c r="AK51" s="820"/>
      <c r="AL51" s="714">
        <f>IF(AJ51=0,0,(AK51-AJ51)/AJ51*100)</f>
        <v>0</v>
      </c>
      <c r="AM51" s="820"/>
      <c r="AN51" s="820"/>
      <c r="AO51" s="714">
        <f>IF(AM51=0,0,(AN51-AM51)/AM51*100)</f>
        <v>0</v>
      </c>
      <c r="AP51" s="820"/>
      <c r="AQ51" s="820"/>
      <c r="AR51" s="714">
        <f>IF(AP51=0,0,(AQ51-AP51)/AP51*100)</f>
        <v>0</v>
      </c>
      <c r="AS51" s="820"/>
      <c r="AT51" s="820"/>
      <c r="AU51" s="714">
        <f>IF(AS51=0,0,(AT51-AS51)/AS51*100)</f>
        <v>0</v>
      </c>
      <c r="AV51" s="820"/>
      <c r="AW51" s="820"/>
      <c r="AX51" s="714">
        <f>IF(AV51=0,0,(AW51-AV51)/AV51*100)</f>
        <v>0</v>
      </c>
      <c r="AY51" s="820"/>
      <c r="AZ51" s="820"/>
      <c r="BA51" s="714">
        <f>IF(AY51=0,0,(AZ51-AY51)/AY51*100)</f>
        <v>0</v>
      </c>
      <c r="BB51" s="820"/>
      <c r="BC51" s="820"/>
      <c r="BD51" s="714">
        <f>IF(BB51=0,0,(BC51-BB51)/BB51*100)</f>
        <v>0</v>
      </c>
      <c r="BE51" s="820"/>
      <c r="BF51" s="820"/>
      <c r="BG51" s="714">
        <f>IF(BE51=0,0,(BF51-BE51)/BE51*100)</f>
        <v>0</v>
      </c>
      <c r="BH51" s="820"/>
      <c r="BI51" s="820"/>
      <c r="BJ51" s="714">
        <f>IF(BH51=0,0,(BI51-BH51)/BH51*100)</f>
        <v>0</v>
      </c>
      <c r="BK51" s="820"/>
      <c r="BL51" s="820"/>
      <c r="BM51" s="714">
        <f>IF(BK51=0,0,(BL51-BK51)/BK51*100)</f>
        <v>0</v>
      </c>
      <c r="BN51" s="820"/>
      <c r="BO51" s="820"/>
      <c r="BP51" s="714">
        <f>IF(BN51=0,0,(BO51-BN51)/BN51*100)</f>
        <v>0</v>
      </c>
      <c r="BQ51" s="820"/>
      <c r="BR51" s="820"/>
      <c r="BS51" s="714">
        <f>IF(BQ51=0,0,(BR51-BQ51)/BQ51*100)</f>
        <v>0</v>
      </c>
      <c r="BT51" s="820"/>
      <c r="BU51" s="820"/>
      <c r="BV51" s="714">
        <f>IF(BT51=0,0,(BU51-BT51)/BT51*100)</f>
        <v>0</v>
      </c>
      <c r="BW51" s="820"/>
      <c r="BX51" s="820"/>
      <c r="BY51" s="714">
        <f>IF(BW51=0,0,(BX51-BW51)/BW51*100)</f>
        <v>0</v>
      </c>
      <c r="BZ51" s="820"/>
      <c r="CA51" s="820"/>
      <c r="CB51" s="714">
        <f>IF(BZ51=0,0,(CA51-BZ51)/BZ51*100)</f>
        <v>0</v>
      </c>
      <c r="CC51" s="820"/>
      <c r="CD51" s="820"/>
      <c r="CE51" s="714">
        <f>IF(CC51=0,0,(CD51-CC51)/CC51*100)</f>
        <v>0</v>
      </c>
      <c r="CF51" s="820"/>
      <c r="CG51" s="820"/>
      <c r="CH51" s="714">
        <f>IF(CF51=0,0,(CG51-CF51)/CF51*100)</f>
        <v>0</v>
      </c>
      <c r="CI51" s="820"/>
      <c r="CJ51" s="820"/>
      <c r="CK51" s="714">
        <f>IF(CI51=0,0,(CJ51-CI51)/CI51*100)</f>
        <v>0</v>
      </c>
      <c r="CL51" s="820"/>
      <c r="CM51" s="820"/>
      <c r="CN51" s="714">
        <f>IF(CL51=0,0,(CM51-CL51)/CL51*100)</f>
        <v>0</v>
      </c>
      <c r="CO51" s="820"/>
      <c r="CP51" s="820"/>
      <c r="CQ51" s="714">
        <f>IF(CO51=0,0,(CP51-CO51)/CO51*100)</f>
        <v>0</v>
      </c>
      <c r="CR51" s="820"/>
      <c r="CS51" s="820"/>
      <c r="CT51" s="714">
        <f>IF(CR51=0,0,(CS51-CR51)/CR51*100)</f>
        <v>0</v>
      </c>
      <c r="CU51" s="820"/>
      <c r="CV51" s="820"/>
      <c r="CW51" s="714">
        <f>IF(CU51=0,0,(CV51-CU51)/CU51*100)</f>
        <v>0</v>
      </c>
      <c r="CX51" s="820"/>
      <c r="CY51" s="820"/>
      <c r="CZ51" s="714">
        <f>IF(CX51=0,0,(CY51-CX51)/CX51*100)</f>
        <v>0</v>
      </c>
      <c r="DA51" s="820"/>
      <c r="DB51" s="820"/>
      <c r="DC51" s="714">
        <f>IF(DA51=0,0,(DB51-DA51)/DA51*100)</f>
        <v>0</v>
      </c>
      <c r="DD51" s="820"/>
      <c r="DE51" s="820"/>
      <c r="DF51" s="714">
        <f>IF(DD51=0,0,(DE51-DD51)/DD51*100)</f>
        <v>0</v>
      </c>
      <c r="DG51" s="820"/>
      <c r="DH51" s="820"/>
      <c r="DI51" s="714">
        <f>IF(DG51=0,0,(DH51-DG51)/DG51*100)</f>
        <v>0</v>
      </c>
      <c r="DJ51" s="820"/>
      <c r="DK51" s="820"/>
      <c r="DL51" s="714">
        <f>IF(DJ51=0,0,(DK51-DJ51)/DJ51*100)</f>
        <v>0</v>
      </c>
      <c r="DM51" s="820"/>
      <c r="DN51" s="820"/>
      <c r="DO51" s="714">
        <f>IF(DM51=0,0,(DN51-DM51)/DM51*100)</f>
        <v>0</v>
      </c>
      <c r="DP51" s="820"/>
      <c r="DQ51" s="820"/>
      <c r="DR51" s="714">
        <f>IF(DP51=0,0,(DQ51-DP51)/DP51*100)</f>
        <v>0</v>
      </c>
      <c r="DS51" s="820"/>
      <c r="DT51" s="820"/>
      <c r="DU51" s="714">
        <f>IF(DS51=0,0,(DT51-DS51)/DS51*100)</f>
        <v>0</v>
      </c>
      <c r="DV51" s="820"/>
      <c r="DW51" s="820"/>
      <c r="DX51" s="714">
        <f>IF(DV51=0,0,(DW51-DV51)/DV51*100)</f>
        <v>0</v>
      </c>
      <c r="DY51" s="820"/>
      <c r="DZ51" s="820"/>
      <c r="EA51" s="714">
        <f>IF(DY51=0,0,(DZ51-DY51)/DY51*100)</f>
        <v>0</v>
      </c>
      <c r="EB51" s="820"/>
      <c r="EC51" s="820"/>
      <c r="ED51" s="714">
        <f>IF(EB51=0,0,(EC51-EB51)/EB51*100)</f>
        <v>0</v>
      </c>
      <c r="EE51" s="820"/>
      <c r="EF51" s="820"/>
      <c r="EG51" s="714">
        <f>IF(EE51=0,0,(EF51-EE51)/EE51*100)</f>
        <v>0</v>
      </c>
      <c r="EH51" s="820"/>
      <c r="EI51" s="820"/>
      <c r="EJ51" s="714">
        <f>IF(EH51=0,0,(EI51-EH51)/EH51*100)</f>
        <v>0</v>
      </c>
      <c r="EK51" s="820"/>
      <c r="EL51" s="820"/>
      <c r="EM51" s="714">
        <f>IF(EK51=0,0,(EL51-EK51)/EK51*100)</f>
        <v>0</v>
      </c>
      <c r="EN51" s="820"/>
      <c r="EO51" s="820"/>
      <c r="EP51" s="714">
        <f>IF(EN51=0,0,(EO51-EN51)/EN51*100)</f>
        <v>0</v>
      </c>
      <c r="EQ51" s="820"/>
      <c r="ER51" s="820"/>
      <c r="ES51" s="714">
        <f>IF(EQ51=0,0,(ER51-EQ51)/EQ51*100)</f>
        <v>0</v>
      </c>
      <c r="ET51" s="820"/>
      <c r="EU51" s="820"/>
      <c r="EV51" s="714">
        <f>IF(ET51=0,0,(EU51-ET51)/ET51*100)</f>
        <v>0</v>
      </c>
      <c r="EW51" s="820"/>
      <c r="EX51" s="820"/>
      <c r="EY51" s="714">
        <f>IF(EW51=0,0,(EX51-EW51)/EW51*100)</f>
        <v>0</v>
      </c>
      <c r="EZ51" s="820"/>
      <c r="FA51" s="820"/>
      <c r="FB51" s="714">
        <f>IF(EZ51=0,0,(FA51-EZ51)/EZ51*100)</f>
        <v>0</v>
      </c>
      <c r="FC51" s="820"/>
      <c r="FD51" s="820"/>
      <c r="FE51" s="714">
        <f>IF(FC51=0,0,(FD51-FC51)/FC51*100)</f>
        <v>0</v>
      </c>
      <c r="FF51" s="820"/>
      <c r="FG51" s="820"/>
      <c r="FH51" s="714">
        <f>IF(FF51=0,0,(FG51-FF51)/FF51*100)</f>
        <v>0</v>
      </c>
      <c r="FI51" s="820"/>
      <c r="FJ51" s="820"/>
      <c r="FK51" s="714">
        <f>IF(FI51=0,0,(FJ51-FI51)/FI51*100)</f>
        <v>0</v>
      </c>
      <c r="FL51" s="820"/>
      <c r="FM51" s="820"/>
      <c r="FN51" s="714">
        <f>IF(FL51=0,0,(FM51-FL51)/FL51*100)</f>
        <v>0</v>
      </c>
      <c r="FO51" s="820"/>
      <c r="FP51" s="820"/>
      <c r="FQ51" s="714">
        <f>IF(FO51=0,0,(FP51-FO51)/FO51*100)</f>
        <v>0</v>
      </c>
      <c r="FR51" s="820"/>
      <c r="FS51" s="820"/>
      <c r="FT51" s="714">
        <f>IF(FR51=0,0,(FS51-FR51)/FR51*100)</f>
        <v>0</v>
      </c>
      <c r="FU51" s="820"/>
      <c r="FV51" s="820"/>
      <c r="FW51" s="714">
        <f>IF(FU51=0,0,(FV51-FU51)/FU51*100)</f>
        <v>0</v>
      </c>
      <c r="FZ51" s="691" t="s">
        <v>1689</v>
      </c>
    </row>
    <row r="52" spans="1:182" ht="23.85" hidden="1" customHeight="1" x14ac:dyDescent="0.15">
      <c r="A52" s="59"/>
      <c r="B52" s="613" t="b" cm="1">
        <f t="array" ref="B52">B51</f>
        <v>0</v>
      </c>
      <c r="C52" s="59"/>
      <c r="D52" s="59"/>
      <c r="E52" s="462">
        <v>24.5</v>
      </c>
      <c r="F52" s="3" cm="1">
        <f t="array" aca="1" ref="F52" ca="1">OFFSET(E52,-1,1)</f>
        <v>0</v>
      </c>
      <c r="G52" s="59"/>
      <c r="H52" s="59"/>
      <c r="I52" s="59"/>
      <c r="J52" s="59"/>
      <c r="K52" s="59"/>
      <c r="L52" s="59"/>
      <c r="M52" s="59"/>
      <c r="N52" s="59"/>
      <c r="O52" s="59"/>
      <c r="P52" s="59"/>
      <c r="Q52" s="59"/>
      <c r="R52" s="59"/>
      <c r="S52" s="59"/>
      <c r="T52" s="353" t="b" cm="1">
        <f t="array" aca="1" ref="T52" ca="1">T51</f>
        <v>0</v>
      </c>
      <c r="U52" s="59"/>
      <c r="V52" s="59"/>
      <c r="W52" s="59"/>
      <c r="X52" s="1022"/>
      <c r="Y52" s="59"/>
      <c r="Z52" s="966"/>
      <c r="AA52" s="59"/>
      <c r="AB52" s="205" t="s">
        <v>1690</v>
      </c>
      <c r="AC52" s="597"/>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9"/>
      <c r="FZ52" s="691"/>
    </row>
    <row r="53" spans="1:182" ht="14.65" hidden="1" customHeight="1" x14ac:dyDescent="0.15">
      <c r="A53" s="59"/>
      <c r="B53" s="613" t="b" cm="1">
        <f t="array" ref="B53">B52</f>
        <v>0</v>
      </c>
      <c r="C53" s="59"/>
      <c r="D53" s="59"/>
      <c r="E53" s="462">
        <v>15</v>
      </c>
      <c r="F53" s="3" cm="1">
        <f t="array" aca="1" ref="F53" ca="1">OFFSET(E53,-1,1)</f>
        <v>0</v>
      </c>
      <c r="G53" s="59"/>
      <c r="H53" s="59" t="s">
        <v>1570</v>
      </c>
      <c r="I53" s="59" t="s">
        <v>1647</v>
      </c>
      <c r="J53" s="59"/>
      <c r="K53" s="59"/>
      <c r="L53" s="59"/>
      <c r="M53" s="59"/>
      <c r="N53" s="59"/>
      <c r="O53" s="59"/>
      <c r="P53" s="59"/>
      <c r="Q53" s="59"/>
      <c r="R53" s="59"/>
      <c r="S53" s="59"/>
      <c r="T53" s="353" t="b" cm="1">
        <f t="array" aca="1" ref="T53" ca="1">T52</f>
        <v>0</v>
      </c>
      <c r="U53" s="59"/>
      <c r="V53" s="59"/>
      <c r="W53" s="59"/>
      <c r="X53" s="1022"/>
      <c r="Y53" s="59"/>
      <c r="Z53" s="966"/>
      <c r="AA53" s="59"/>
      <c r="AB53" s="105" t="s">
        <v>1677</v>
      </c>
      <c r="AC53" s="12" t="s">
        <v>1644</v>
      </c>
      <c r="AD53" s="820">
        <f ca="1">IF(AD55=0,0,(AD54*AD55+AD56*AD57*IF(god=2026,3,6))/AD55)</f>
        <v>0</v>
      </c>
      <c r="AE53" s="820">
        <f ca="1">IF(AE55=0,0,(AE54*AE55+AE56*AE57*IF(god=2026,3,6))/AE55)</f>
        <v>0</v>
      </c>
      <c r="AF53" s="714">
        <f ca="1">IF(AD53=0,0,(AE53-AD53)/AD53*100)</f>
        <v>0</v>
      </c>
      <c r="AG53" s="820">
        <f ca="1">IF(AG55=0,0,(AG54*AG55+AG56*AG57*IF(god=2025,3,6))/AG55)</f>
        <v>0</v>
      </c>
      <c r="AH53" s="820">
        <f ca="1">IF(AH55=0,0,(AH54*AH55+AH56*AH57*IF(god=2025,3,6))/AH55)</f>
        <v>0</v>
      </c>
      <c r="AI53" s="714">
        <f ca="1">IF(AG53=0,0,(AH53-AG53)/AG53*100)</f>
        <v>0</v>
      </c>
      <c r="AJ53" s="820">
        <f ca="1">IF(AJ55=0,0,(AJ54*AJ55+AJ56*AJ57*6)/AJ55)</f>
        <v>0</v>
      </c>
      <c r="AK53" s="820">
        <f ca="1">IF(AK55=0,0,(AK54*AK55+AK56*AK57*6)/AK55)</f>
        <v>0</v>
      </c>
      <c r="AL53" s="714">
        <f ca="1">IF(AJ53=0,0,(AK53-AJ53)/AJ53*100)</f>
        <v>0</v>
      </c>
      <c r="AM53" s="820">
        <f ca="1">IF(AM55=0,0,(AM54*AM55+AM56*AM57*6)/AM55)</f>
        <v>0</v>
      </c>
      <c r="AN53" s="820">
        <f ca="1">IF(AN55=0,0,(AN54*AN55+AN56*AN57*6)/AN55)</f>
        <v>0</v>
      </c>
      <c r="AO53" s="714">
        <f ca="1">IF(AM53=0,0,(AN53-AM53)/AM53*100)</f>
        <v>0</v>
      </c>
      <c r="AP53" s="820">
        <f ca="1">IF(AP55=0,0,(AP54*AP55+AP56*AP57*6)/AP55)</f>
        <v>0</v>
      </c>
      <c r="AQ53" s="820">
        <f ca="1">IF(AQ55=0,0,(AQ54*AQ55+AQ56*AQ57*6)/AQ55)</f>
        <v>0</v>
      </c>
      <c r="AR53" s="714">
        <f ca="1">IF(AP53=0,0,(AQ53-AP53)/AP53*100)</f>
        <v>0</v>
      </c>
      <c r="AS53" s="820">
        <f ca="1">IF(AS55=0,0,(AS54*AS55+AS56*AS57*6)/AS55)</f>
        <v>0</v>
      </c>
      <c r="AT53" s="820">
        <f ca="1">IF(AT55=0,0,(AT54*AT55+AT56*AT57*6)/AT55)</f>
        <v>0</v>
      </c>
      <c r="AU53" s="714">
        <f ca="1">IF(AS53=0,0,(AT53-AS53)/AS53*100)</f>
        <v>0</v>
      </c>
      <c r="AV53" s="820">
        <f ca="1">IF(AV55=0,0,(AV54*AV55+AV56*AV57*6)/AV55)</f>
        <v>0</v>
      </c>
      <c r="AW53" s="820">
        <f ca="1">IF(AW55=0,0,(AW54*AW55+AW56*AW57*6)/AW55)</f>
        <v>0</v>
      </c>
      <c r="AX53" s="714">
        <f ca="1">IF(AV53=0,0,(AW53-AV53)/AV53*100)</f>
        <v>0</v>
      </c>
      <c r="AY53" s="820">
        <f ca="1">IF(AY55=0,0,(AY54*AY55+AY56*AY57*6)/AY55)</f>
        <v>0</v>
      </c>
      <c r="AZ53" s="820">
        <f ca="1">IF(AZ55=0,0,(AZ54*AZ55+AZ56*AZ57*6)/AZ55)</f>
        <v>0</v>
      </c>
      <c r="BA53" s="714">
        <f ca="1">IF(AY53=0,0,(AZ53-AY53)/AY53*100)</f>
        <v>0</v>
      </c>
      <c r="BB53" s="820">
        <f ca="1">IF(BB55=0,0,(BB54*BB55+BB56*BB57*6)/BB55)</f>
        <v>0</v>
      </c>
      <c r="BC53" s="820">
        <f ca="1">IF(BC55=0,0,(BC54*BC55+BC56*BC57*6)/BC55)</f>
        <v>0</v>
      </c>
      <c r="BD53" s="714">
        <f ca="1">IF(BB53=0,0,(BC53-BB53)/BB53*100)</f>
        <v>0</v>
      </c>
      <c r="BE53" s="820">
        <f ca="1">IF(BE55=0,0,(BE54*BE55+BE56*BE57*6)/BE55)</f>
        <v>0</v>
      </c>
      <c r="BF53" s="820">
        <f ca="1">IF(BF55=0,0,(BF54*BF55+BF56*BF57*6)/BF55)</f>
        <v>0</v>
      </c>
      <c r="BG53" s="714">
        <f ca="1">IF(BE53=0,0,(BF53-BE53)/BE53*100)</f>
        <v>0</v>
      </c>
      <c r="BH53" s="820">
        <f>IF(BH55=0,0,(BH54*BH55+BH56*BH57*6)/BH55)</f>
        <v>0</v>
      </c>
      <c r="BI53" s="820">
        <f>IF(BI55=0,0,(BI54*BI55+BI56*BI57*6)/BI55)</f>
        <v>0</v>
      </c>
      <c r="BJ53" s="714">
        <f>IF(BH53=0,0,(BI53-BH53)/BH53*100)</f>
        <v>0</v>
      </c>
      <c r="BK53" s="820">
        <f>IF(BK55=0,0,(BK54*BK55+BK56*BK57*6)/BK55)</f>
        <v>0</v>
      </c>
      <c r="BL53" s="820">
        <f>IF(BL55=0,0,(BL54*BL55+BL56*BL57*6)/BL55)</f>
        <v>0</v>
      </c>
      <c r="BM53" s="714">
        <f>IF(BK53=0,0,(BL53-BK53)/BK53*100)</f>
        <v>0</v>
      </c>
      <c r="BN53" s="820">
        <f>IF(BN55=0,0,(BN54*BN55+BN56*BN57*6)/BN55)</f>
        <v>0</v>
      </c>
      <c r="BO53" s="820">
        <f>IF(BO55=0,0,(BO54*BO55+BO56*BO57*6)/BO55)</f>
        <v>0</v>
      </c>
      <c r="BP53" s="714">
        <f>IF(BN53=0,0,(BO53-BN53)/BN53*100)</f>
        <v>0</v>
      </c>
      <c r="BQ53" s="820">
        <f>IF(BQ55=0,0,(BQ54*BQ55+BQ56*BQ57*6)/BQ55)</f>
        <v>0</v>
      </c>
      <c r="BR53" s="820">
        <f>IF(BR55=0,0,(BR54*BR55+BR56*BR57*6)/BR55)</f>
        <v>0</v>
      </c>
      <c r="BS53" s="714">
        <f>IF(BQ53=0,0,(BR53-BQ53)/BQ53*100)</f>
        <v>0</v>
      </c>
      <c r="BT53" s="820">
        <f>IF(BT55=0,0,(BT54*BT55+BT56*BT57*6)/BT55)</f>
        <v>0</v>
      </c>
      <c r="BU53" s="820">
        <f>IF(BU55=0,0,(BU54*BU55+BU56*BU57*6)/BU55)</f>
        <v>0</v>
      </c>
      <c r="BV53" s="714">
        <f>IF(BT53=0,0,(BU53-BT53)/BT53*100)</f>
        <v>0</v>
      </c>
      <c r="BW53" s="820">
        <f>IF(BW55=0,0,(BW54*BW55+BW56*BW57*6)/BW55)</f>
        <v>0</v>
      </c>
      <c r="BX53" s="820">
        <f>IF(BX55=0,0,(BX54*BX55+BX56*BX57*6)/BX55)</f>
        <v>0</v>
      </c>
      <c r="BY53" s="714">
        <f>IF(BW53=0,0,(BX53-BW53)/BW53*100)</f>
        <v>0</v>
      </c>
      <c r="BZ53" s="820">
        <f>IF(BZ55=0,0,(BZ54*BZ55+BZ56*BZ57*6)/BZ55)</f>
        <v>0</v>
      </c>
      <c r="CA53" s="820">
        <f>IF(CA55=0,0,(CA54*CA55+CA56*CA57*6)/CA55)</f>
        <v>0</v>
      </c>
      <c r="CB53" s="714">
        <f>IF(BZ53=0,0,(CA53-BZ53)/BZ53*100)</f>
        <v>0</v>
      </c>
      <c r="CC53" s="820">
        <f>IF(CC55=0,0,(CC54*CC55+CC56*CC57*6)/CC55)</f>
        <v>0</v>
      </c>
      <c r="CD53" s="820">
        <f>IF(CD55=0,0,(CD54*CD55+CD56*CD57*6)/CD55)</f>
        <v>0</v>
      </c>
      <c r="CE53" s="714">
        <f>IF(CC53=0,0,(CD53-CC53)/CC53*100)</f>
        <v>0</v>
      </c>
      <c r="CF53" s="820">
        <f>IF(CF55=0,0,(CF54*CF55+CF56*CF57*6)/CF55)</f>
        <v>0</v>
      </c>
      <c r="CG53" s="820">
        <f>IF(CG55=0,0,(CG54*CG55+CG56*CG57*6)/CG55)</f>
        <v>0</v>
      </c>
      <c r="CH53" s="714">
        <f>IF(CF53=0,0,(CG53-CF53)/CF53*100)</f>
        <v>0</v>
      </c>
      <c r="CI53" s="820">
        <f>IF(CI55=0,0,(CI54*CI55+CI56*CI57*6)/CI55)</f>
        <v>0</v>
      </c>
      <c r="CJ53" s="820">
        <f>IF(CJ55=0,0,(CJ54*CJ55+CJ56*CJ57*6)/CJ55)</f>
        <v>0</v>
      </c>
      <c r="CK53" s="714">
        <f>IF(CI53=0,0,(CJ53-CI53)/CI53*100)</f>
        <v>0</v>
      </c>
      <c r="CL53" s="820">
        <f>IF(CL55=0,0,(CL54*CL55+CL56*CL57*6)/CL55)</f>
        <v>0</v>
      </c>
      <c r="CM53" s="820">
        <f>IF(CM55=0,0,(CM54*CM55+CM56*CM57*6)/CM55)</f>
        <v>0</v>
      </c>
      <c r="CN53" s="714">
        <f>IF(CL53=0,0,(CM53-CL53)/CL53*100)</f>
        <v>0</v>
      </c>
      <c r="CO53" s="820">
        <f>IF(CO55=0,0,(CO54*CO55+CO56*CO57*6)/CO55)</f>
        <v>0</v>
      </c>
      <c r="CP53" s="820">
        <f>IF(CP55=0,0,(CP54*CP55+CP56*CP57*6)/CP55)</f>
        <v>0</v>
      </c>
      <c r="CQ53" s="714">
        <f>IF(CO53=0,0,(CP53-CO53)/CO53*100)</f>
        <v>0</v>
      </c>
      <c r="CR53" s="820">
        <f>IF(CR55=0,0,(CR54*CR55+CR56*CR57*6)/CR55)</f>
        <v>0</v>
      </c>
      <c r="CS53" s="820">
        <f>IF(CS55=0,0,(CS54*CS55+CS56*CS57*6)/CS55)</f>
        <v>0</v>
      </c>
      <c r="CT53" s="714">
        <f>IF(CR53=0,0,(CS53-CR53)/CR53*100)</f>
        <v>0</v>
      </c>
      <c r="CU53" s="820">
        <f>IF(CU55=0,0,(CU54*CU55+CU56*CU57*6)/CU55)</f>
        <v>0</v>
      </c>
      <c r="CV53" s="820">
        <f>IF(CV55=0,0,(CV54*CV55+CV56*CV57*6)/CV55)</f>
        <v>0</v>
      </c>
      <c r="CW53" s="714">
        <f>IF(CU53=0,0,(CV53-CU53)/CU53*100)</f>
        <v>0</v>
      </c>
      <c r="CX53" s="820">
        <f>IF(CX55=0,0,(CX54*CX55+CX56*CX57*6)/CX55)</f>
        <v>0</v>
      </c>
      <c r="CY53" s="820">
        <f>IF(CY55=0,0,(CY54*CY55+CY56*CY57*6)/CY55)</f>
        <v>0</v>
      </c>
      <c r="CZ53" s="714">
        <f>IF(CX53=0,0,(CY53-CX53)/CX53*100)</f>
        <v>0</v>
      </c>
      <c r="DA53" s="820">
        <f>IF(DA55=0,0,(DA54*DA55+DA56*DA57*6)/DA55)</f>
        <v>0</v>
      </c>
      <c r="DB53" s="820">
        <f>IF(DB55=0,0,(DB54*DB55+DB56*DB57*6)/DB55)</f>
        <v>0</v>
      </c>
      <c r="DC53" s="714">
        <f>IF(DA53=0,0,(DB53-DA53)/DA53*100)</f>
        <v>0</v>
      </c>
      <c r="DD53" s="820">
        <f>IF(DD55=0,0,(DD54*DD55+DD56*DD57*6)/DD55)</f>
        <v>0</v>
      </c>
      <c r="DE53" s="820">
        <f>IF(DE55=0,0,(DE54*DE55+DE56*DE57*6)/DE55)</f>
        <v>0</v>
      </c>
      <c r="DF53" s="714">
        <f>IF(DD53=0,0,(DE53-DD53)/DD53*100)</f>
        <v>0</v>
      </c>
      <c r="DG53" s="820">
        <f>IF(DG55=0,0,(DG54*DG55+DG56*DG57*6)/DG55)</f>
        <v>0</v>
      </c>
      <c r="DH53" s="820">
        <f>IF(DH55=0,0,(DH54*DH55+DH56*DH57*6)/DH55)</f>
        <v>0</v>
      </c>
      <c r="DI53" s="714">
        <f>IF(DG53=0,0,(DH53-DG53)/DG53*100)</f>
        <v>0</v>
      </c>
      <c r="DJ53" s="820">
        <f>IF(DJ55=0,0,(DJ54*DJ55+DJ56*DJ57*6)/DJ55)</f>
        <v>0</v>
      </c>
      <c r="DK53" s="820">
        <f>IF(DK55=0,0,(DK54*DK55+DK56*DK57*6)/DK55)</f>
        <v>0</v>
      </c>
      <c r="DL53" s="714">
        <f>IF(DJ53=0,0,(DK53-DJ53)/DJ53*100)</f>
        <v>0</v>
      </c>
      <c r="DM53" s="820">
        <f>IF(DM55=0,0,(DM54*DM55+DM56*DM57*6)/DM55)</f>
        <v>0</v>
      </c>
      <c r="DN53" s="820">
        <f>IF(DN55=0,0,(DN54*DN55+DN56*DN57*6)/DN55)</f>
        <v>0</v>
      </c>
      <c r="DO53" s="714">
        <f>IF(DM53=0,0,(DN53-DM53)/DM53*100)</f>
        <v>0</v>
      </c>
      <c r="DP53" s="820">
        <f>IF(DP55=0,0,(DP54*DP55+DP56*DP57*6)/DP55)</f>
        <v>0</v>
      </c>
      <c r="DQ53" s="820">
        <f>IF(DQ55=0,0,(DQ54*DQ55+DQ56*DQ57*6)/DQ55)</f>
        <v>0</v>
      </c>
      <c r="DR53" s="714">
        <f>IF(DP53=0,0,(DQ53-DP53)/DP53*100)</f>
        <v>0</v>
      </c>
      <c r="DS53" s="820">
        <f>IF(DS55=0,0,(DS54*DS55+DS56*DS57*6)/DS55)</f>
        <v>0</v>
      </c>
      <c r="DT53" s="820">
        <f>IF(DT55=0,0,(DT54*DT55+DT56*DT57*6)/DT55)</f>
        <v>0</v>
      </c>
      <c r="DU53" s="714">
        <f>IF(DS53=0,0,(DT53-DS53)/DS53*100)</f>
        <v>0</v>
      </c>
      <c r="DV53" s="820">
        <f>IF(DV55=0,0,(DV54*DV55+DV56*DV57*6)/DV55)</f>
        <v>0</v>
      </c>
      <c r="DW53" s="820">
        <f>IF(DW55=0,0,(DW54*DW55+DW56*DW57*6)/DW55)</f>
        <v>0</v>
      </c>
      <c r="DX53" s="714">
        <f>IF(DV53=0,0,(DW53-DV53)/DV53*100)</f>
        <v>0</v>
      </c>
      <c r="DY53" s="820">
        <f>IF(DY55=0,0,(DY54*DY55+DY56*DY57*6)/DY55)</f>
        <v>0</v>
      </c>
      <c r="DZ53" s="820">
        <f>IF(DZ55=0,0,(DZ54*DZ55+DZ56*DZ57*6)/DZ55)</f>
        <v>0</v>
      </c>
      <c r="EA53" s="714">
        <f>IF(DY53=0,0,(DZ53-DY53)/DY53*100)</f>
        <v>0</v>
      </c>
      <c r="EB53" s="820">
        <f>IF(EB55=0,0,(EB54*EB55+EB56*EB57*6)/EB55)</f>
        <v>0</v>
      </c>
      <c r="EC53" s="820">
        <f>IF(EC55=0,0,(EC54*EC55+EC56*EC57*6)/EC55)</f>
        <v>0</v>
      </c>
      <c r="ED53" s="714">
        <f>IF(EB53=0,0,(EC53-EB53)/EB53*100)</f>
        <v>0</v>
      </c>
      <c r="EE53" s="820">
        <f>IF(EE55=0,0,(EE54*EE55+EE56*EE57*6)/EE55)</f>
        <v>0</v>
      </c>
      <c r="EF53" s="820">
        <f>IF(EF55=0,0,(EF54*EF55+EF56*EF57*6)/EF55)</f>
        <v>0</v>
      </c>
      <c r="EG53" s="714">
        <f>IF(EE53=0,0,(EF53-EE53)/EE53*100)</f>
        <v>0</v>
      </c>
      <c r="EH53" s="820">
        <f>IF(EH55=0,0,(EH54*EH55+EH56*EH57*6)/EH55)</f>
        <v>0</v>
      </c>
      <c r="EI53" s="820">
        <f>IF(EI55=0,0,(EI54*EI55+EI56*EI57*6)/EI55)</f>
        <v>0</v>
      </c>
      <c r="EJ53" s="714">
        <f>IF(EH53=0,0,(EI53-EH53)/EH53*100)</f>
        <v>0</v>
      </c>
      <c r="EK53" s="820">
        <f>IF(EK55=0,0,(EK54*EK55+EK56*EK57*6)/EK55)</f>
        <v>0</v>
      </c>
      <c r="EL53" s="820">
        <f>IF(EL55=0,0,(EL54*EL55+EL56*EL57*6)/EL55)</f>
        <v>0</v>
      </c>
      <c r="EM53" s="714">
        <f>IF(EK53=0,0,(EL53-EK53)/EK53*100)</f>
        <v>0</v>
      </c>
      <c r="EN53" s="820">
        <f>IF(EN55=0,0,(EN54*EN55+EN56*EN57*6)/EN55)</f>
        <v>0</v>
      </c>
      <c r="EO53" s="820">
        <f>IF(EO55=0,0,(EO54*EO55+EO56*EO57*6)/EO55)</f>
        <v>0</v>
      </c>
      <c r="EP53" s="714">
        <f>IF(EN53=0,0,(EO53-EN53)/EN53*100)</f>
        <v>0</v>
      </c>
      <c r="EQ53" s="820">
        <f>IF(EQ55=0,0,(EQ54*EQ55+EQ56*EQ57*6)/EQ55)</f>
        <v>0</v>
      </c>
      <c r="ER53" s="820">
        <f>IF(ER55=0,0,(ER54*ER55+ER56*ER57*6)/ER55)</f>
        <v>0</v>
      </c>
      <c r="ES53" s="714">
        <f>IF(EQ53=0,0,(ER53-EQ53)/EQ53*100)</f>
        <v>0</v>
      </c>
      <c r="ET53" s="820">
        <f>IF(ET55=0,0,(ET54*ET55+ET56*ET57*6)/ET55)</f>
        <v>0</v>
      </c>
      <c r="EU53" s="820">
        <f>IF(EU55=0,0,(EU54*EU55+EU56*EU57*6)/EU55)</f>
        <v>0</v>
      </c>
      <c r="EV53" s="714">
        <f>IF(ET53=0,0,(EU53-ET53)/ET53*100)</f>
        <v>0</v>
      </c>
      <c r="EW53" s="820">
        <f>IF(EW55=0,0,(EW54*EW55+EW56*EW57*6)/EW55)</f>
        <v>0</v>
      </c>
      <c r="EX53" s="820">
        <f>IF(EX55=0,0,(EX54*EX55+EX56*EX57*6)/EX55)</f>
        <v>0</v>
      </c>
      <c r="EY53" s="714">
        <f>IF(EW53=0,0,(EX53-EW53)/EW53*100)</f>
        <v>0</v>
      </c>
      <c r="EZ53" s="820">
        <f>IF(EZ55=0,0,(EZ54*EZ55+EZ56*EZ57*6)/EZ55)</f>
        <v>0</v>
      </c>
      <c r="FA53" s="820">
        <f>IF(FA55=0,0,(FA54*FA55+FA56*FA57*6)/FA55)</f>
        <v>0</v>
      </c>
      <c r="FB53" s="714">
        <f>IF(EZ53=0,0,(FA53-EZ53)/EZ53*100)</f>
        <v>0</v>
      </c>
      <c r="FC53" s="820">
        <f>IF(FC55=0,0,(FC54*FC55+FC56*FC57*6)/FC55)</f>
        <v>0</v>
      </c>
      <c r="FD53" s="820">
        <f>IF(FD55=0,0,(FD54*FD55+FD56*FD57*6)/FD55)</f>
        <v>0</v>
      </c>
      <c r="FE53" s="714">
        <f>IF(FC53=0,0,(FD53-FC53)/FC53*100)</f>
        <v>0</v>
      </c>
      <c r="FF53" s="820">
        <f>IF(FF55=0,0,(FF54*FF55+FF56*FF57*6)/FF55)</f>
        <v>0</v>
      </c>
      <c r="FG53" s="820">
        <f>IF(FG55=0,0,(FG54*FG55+FG56*FG57*6)/FG55)</f>
        <v>0</v>
      </c>
      <c r="FH53" s="714">
        <f>IF(FF53=0,0,(FG53-FF53)/FF53*100)</f>
        <v>0</v>
      </c>
      <c r="FI53" s="820">
        <f>IF(FI55=0,0,(FI54*FI55+FI56*FI57*6)/FI55)</f>
        <v>0</v>
      </c>
      <c r="FJ53" s="820">
        <f>IF(FJ55=0,0,(FJ54*FJ55+FJ56*FJ57*6)/FJ55)</f>
        <v>0</v>
      </c>
      <c r="FK53" s="714">
        <f>IF(FI53=0,0,(FJ53-FI53)/FI53*100)</f>
        <v>0</v>
      </c>
      <c r="FL53" s="820">
        <f>IF(FL55=0,0,(FL54*FL55+FL56*FL57*6)/FL55)</f>
        <v>0</v>
      </c>
      <c r="FM53" s="820">
        <f>IF(FM55=0,0,(FM54*FM55+FM56*FM57*6)/FM55)</f>
        <v>0</v>
      </c>
      <c r="FN53" s="714">
        <f>IF(FL53=0,0,(FM53-FL53)/FL53*100)</f>
        <v>0</v>
      </c>
      <c r="FO53" s="820">
        <f>IF(FO55=0,0,(FO54*FO55+FO56*FO57*6)/FO55)</f>
        <v>0</v>
      </c>
      <c r="FP53" s="820">
        <f>IF(FP55=0,0,(FP54*FP55+FP56*FP57*6)/FP55)</f>
        <v>0</v>
      </c>
      <c r="FQ53" s="714">
        <f>IF(FO53=0,0,(FP53-FO53)/FO53*100)</f>
        <v>0</v>
      </c>
      <c r="FR53" s="820">
        <f>IF(FR55=0,0,(FR54*FR55+FR56*FR57*6)/FR55)</f>
        <v>0</v>
      </c>
      <c r="FS53" s="820">
        <f>IF(FS55=0,0,(FS54*FS55+FS56*FS57*6)/FS55)</f>
        <v>0</v>
      </c>
      <c r="FT53" s="714">
        <f>IF(FR53=0,0,(FS53-FR53)/FR53*100)</f>
        <v>0</v>
      </c>
      <c r="FU53" s="820">
        <f>IF(FU55=0,0,(FU54*FU55+FU56*FU57*6)/FU55)</f>
        <v>0</v>
      </c>
      <c r="FV53" s="820">
        <f>IF(FV55=0,0,(FV54*FV55+FV56*FV57*6)/FV55)</f>
        <v>0</v>
      </c>
      <c r="FW53" s="714">
        <f>IF(FU53=0,0,(FV53-FU53)/FU53*100)</f>
        <v>0</v>
      </c>
      <c r="FZ53" s="691" t="s">
        <v>1691</v>
      </c>
    </row>
    <row r="54" spans="1:182" ht="14.65" hidden="1" customHeight="1" x14ac:dyDescent="0.15">
      <c r="A54" s="59"/>
      <c r="B54" s="613" t="b" cm="1">
        <f t="array" ref="B54">B53</f>
        <v>0</v>
      </c>
      <c r="C54" s="59"/>
      <c r="D54" s="59"/>
      <c r="E54" s="462">
        <v>15</v>
      </c>
      <c r="F54" s="3" cm="1">
        <f t="array" aca="1" ref="F54" ca="1">OFFSET(E54,-1,1)</f>
        <v>0</v>
      </c>
      <c r="G54" s="59"/>
      <c r="H54" s="59" t="s">
        <v>1574</v>
      </c>
      <c r="I54" s="59" t="s">
        <v>1647</v>
      </c>
      <c r="J54" s="59"/>
      <c r="K54" s="59"/>
      <c r="L54" s="59"/>
      <c r="M54" s="59"/>
      <c r="N54" s="59"/>
      <c r="O54" s="59"/>
      <c r="P54" s="59"/>
      <c r="Q54" s="59"/>
      <c r="R54" s="59"/>
      <c r="S54" s="59"/>
      <c r="T54" s="353" t="b" cm="1">
        <f t="array" aca="1" ref="T54" ca="1">T53</f>
        <v>0</v>
      </c>
      <c r="U54" s="59"/>
      <c r="V54" s="59"/>
      <c r="W54" s="59"/>
      <c r="X54" s="1022"/>
      <c r="Y54" s="59"/>
      <c r="Z54" s="966"/>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1644</v>
      </c>
      <c r="AD54" s="820"/>
      <c r="AE54" s="820"/>
      <c r="AF54" s="714">
        <f>IF(AD54=0,0,(AE54-AD54)/AD54*100)</f>
        <v>0</v>
      </c>
      <c r="AG54" s="820"/>
      <c r="AH54" s="820"/>
      <c r="AI54" s="714">
        <f>IF(AG54=0,0,(AH54-AG54)/AG54*100)</f>
        <v>0</v>
      </c>
      <c r="AJ54" s="820"/>
      <c r="AK54" s="820"/>
      <c r="AL54" s="714">
        <f>IF(AJ54=0,0,(AK54-AJ54)/AJ54*100)</f>
        <v>0</v>
      </c>
      <c r="AM54" s="820"/>
      <c r="AN54" s="820"/>
      <c r="AO54" s="714">
        <f>IF(AM54=0,0,(AN54-AM54)/AM54*100)</f>
        <v>0</v>
      </c>
      <c r="AP54" s="820"/>
      <c r="AQ54" s="820"/>
      <c r="AR54" s="714">
        <f>IF(AP54=0,0,(AQ54-AP54)/AP54*100)</f>
        <v>0</v>
      </c>
      <c r="AS54" s="820"/>
      <c r="AT54" s="820"/>
      <c r="AU54" s="714">
        <f>IF(AS54=0,0,(AT54-AS54)/AS54*100)</f>
        <v>0</v>
      </c>
      <c r="AV54" s="820"/>
      <c r="AW54" s="820"/>
      <c r="AX54" s="714">
        <f>IF(AV54=0,0,(AW54-AV54)/AV54*100)</f>
        <v>0</v>
      </c>
      <c r="AY54" s="820"/>
      <c r="AZ54" s="820"/>
      <c r="BA54" s="714">
        <f>IF(AY54=0,0,(AZ54-AY54)/AY54*100)</f>
        <v>0</v>
      </c>
      <c r="BB54" s="820"/>
      <c r="BC54" s="820"/>
      <c r="BD54" s="714">
        <f>IF(BB54=0,0,(BC54-BB54)/BB54*100)</f>
        <v>0</v>
      </c>
      <c r="BE54" s="820"/>
      <c r="BF54" s="820"/>
      <c r="BG54" s="714">
        <f>IF(BE54=0,0,(BF54-BE54)/BE54*100)</f>
        <v>0</v>
      </c>
      <c r="BH54" s="820"/>
      <c r="BI54" s="820"/>
      <c r="BJ54" s="714">
        <f>IF(BH54=0,0,(BI54-BH54)/BH54*100)</f>
        <v>0</v>
      </c>
      <c r="BK54" s="820"/>
      <c r="BL54" s="820"/>
      <c r="BM54" s="714">
        <f>IF(BK54=0,0,(BL54-BK54)/BK54*100)</f>
        <v>0</v>
      </c>
      <c r="BN54" s="820"/>
      <c r="BO54" s="820"/>
      <c r="BP54" s="714">
        <f>IF(BN54=0,0,(BO54-BN54)/BN54*100)</f>
        <v>0</v>
      </c>
      <c r="BQ54" s="820"/>
      <c r="BR54" s="820"/>
      <c r="BS54" s="714">
        <f>IF(BQ54=0,0,(BR54-BQ54)/BQ54*100)</f>
        <v>0</v>
      </c>
      <c r="BT54" s="820"/>
      <c r="BU54" s="820"/>
      <c r="BV54" s="714">
        <f>IF(BT54=0,0,(BU54-BT54)/BT54*100)</f>
        <v>0</v>
      </c>
      <c r="BW54" s="820"/>
      <c r="BX54" s="820"/>
      <c r="BY54" s="714">
        <f>IF(BW54=0,0,(BX54-BW54)/BW54*100)</f>
        <v>0</v>
      </c>
      <c r="BZ54" s="820"/>
      <c r="CA54" s="820"/>
      <c r="CB54" s="714">
        <f>IF(BZ54=0,0,(CA54-BZ54)/BZ54*100)</f>
        <v>0</v>
      </c>
      <c r="CC54" s="820"/>
      <c r="CD54" s="820"/>
      <c r="CE54" s="714">
        <f>IF(CC54=0,0,(CD54-CC54)/CC54*100)</f>
        <v>0</v>
      </c>
      <c r="CF54" s="820"/>
      <c r="CG54" s="820"/>
      <c r="CH54" s="714">
        <f>IF(CF54=0,0,(CG54-CF54)/CF54*100)</f>
        <v>0</v>
      </c>
      <c r="CI54" s="820"/>
      <c r="CJ54" s="820"/>
      <c r="CK54" s="714">
        <f>IF(CI54=0,0,(CJ54-CI54)/CI54*100)</f>
        <v>0</v>
      </c>
      <c r="CL54" s="820"/>
      <c r="CM54" s="820"/>
      <c r="CN54" s="714">
        <f>IF(CL54=0,0,(CM54-CL54)/CL54*100)</f>
        <v>0</v>
      </c>
      <c r="CO54" s="820"/>
      <c r="CP54" s="820"/>
      <c r="CQ54" s="714">
        <f>IF(CO54=0,0,(CP54-CO54)/CO54*100)</f>
        <v>0</v>
      </c>
      <c r="CR54" s="820"/>
      <c r="CS54" s="820"/>
      <c r="CT54" s="714">
        <f>IF(CR54=0,0,(CS54-CR54)/CR54*100)</f>
        <v>0</v>
      </c>
      <c r="CU54" s="820"/>
      <c r="CV54" s="820"/>
      <c r="CW54" s="714">
        <f>IF(CU54=0,0,(CV54-CU54)/CU54*100)</f>
        <v>0</v>
      </c>
      <c r="CX54" s="820"/>
      <c r="CY54" s="820"/>
      <c r="CZ54" s="714">
        <f>IF(CX54=0,0,(CY54-CX54)/CX54*100)</f>
        <v>0</v>
      </c>
      <c r="DA54" s="820"/>
      <c r="DB54" s="820"/>
      <c r="DC54" s="714">
        <f>IF(DA54=0,0,(DB54-DA54)/DA54*100)</f>
        <v>0</v>
      </c>
      <c r="DD54" s="820"/>
      <c r="DE54" s="820"/>
      <c r="DF54" s="714">
        <f>IF(DD54=0,0,(DE54-DD54)/DD54*100)</f>
        <v>0</v>
      </c>
      <c r="DG54" s="820"/>
      <c r="DH54" s="820"/>
      <c r="DI54" s="714">
        <f>IF(DG54=0,0,(DH54-DG54)/DG54*100)</f>
        <v>0</v>
      </c>
      <c r="DJ54" s="820"/>
      <c r="DK54" s="820"/>
      <c r="DL54" s="714">
        <f>IF(DJ54=0,0,(DK54-DJ54)/DJ54*100)</f>
        <v>0</v>
      </c>
      <c r="DM54" s="820"/>
      <c r="DN54" s="820"/>
      <c r="DO54" s="714">
        <f>IF(DM54=0,0,(DN54-DM54)/DM54*100)</f>
        <v>0</v>
      </c>
      <c r="DP54" s="820"/>
      <c r="DQ54" s="820"/>
      <c r="DR54" s="714">
        <f>IF(DP54=0,0,(DQ54-DP54)/DP54*100)</f>
        <v>0</v>
      </c>
      <c r="DS54" s="820"/>
      <c r="DT54" s="820"/>
      <c r="DU54" s="714">
        <f>IF(DS54=0,0,(DT54-DS54)/DS54*100)</f>
        <v>0</v>
      </c>
      <c r="DV54" s="820"/>
      <c r="DW54" s="820"/>
      <c r="DX54" s="714">
        <f>IF(DV54=0,0,(DW54-DV54)/DV54*100)</f>
        <v>0</v>
      </c>
      <c r="DY54" s="820"/>
      <c r="DZ54" s="820"/>
      <c r="EA54" s="714">
        <f>IF(DY54=0,0,(DZ54-DY54)/DY54*100)</f>
        <v>0</v>
      </c>
      <c r="EB54" s="820"/>
      <c r="EC54" s="820"/>
      <c r="ED54" s="714">
        <f>IF(EB54=0,0,(EC54-EB54)/EB54*100)</f>
        <v>0</v>
      </c>
      <c r="EE54" s="820"/>
      <c r="EF54" s="820"/>
      <c r="EG54" s="714">
        <f>IF(EE54=0,0,(EF54-EE54)/EE54*100)</f>
        <v>0</v>
      </c>
      <c r="EH54" s="820"/>
      <c r="EI54" s="820"/>
      <c r="EJ54" s="714">
        <f>IF(EH54=0,0,(EI54-EH54)/EH54*100)</f>
        <v>0</v>
      </c>
      <c r="EK54" s="820"/>
      <c r="EL54" s="820"/>
      <c r="EM54" s="714">
        <f>IF(EK54=0,0,(EL54-EK54)/EK54*100)</f>
        <v>0</v>
      </c>
      <c r="EN54" s="820"/>
      <c r="EO54" s="820"/>
      <c r="EP54" s="714">
        <f>IF(EN54=0,0,(EO54-EN54)/EN54*100)</f>
        <v>0</v>
      </c>
      <c r="EQ54" s="820"/>
      <c r="ER54" s="820"/>
      <c r="ES54" s="714">
        <f>IF(EQ54=0,0,(ER54-EQ54)/EQ54*100)</f>
        <v>0</v>
      </c>
      <c r="ET54" s="820"/>
      <c r="EU54" s="820"/>
      <c r="EV54" s="714">
        <f>IF(ET54=0,0,(EU54-ET54)/ET54*100)</f>
        <v>0</v>
      </c>
      <c r="EW54" s="820"/>
      <c r="EX54" s="820"/>
      <c r="EY54" s="714">
        <f>IF(EW54=0,0,(EX54-EW54)/EW54*100)</f>
        <v>0</v>
      </c>
      <c r="EZ54" s="820"/>
      <c r="FA54" s="820"/>
      <c r="FB54" s="714">
        <f>IF(EZ54=0,0,(FA54-EZ54)/EZ54*100)</f>
        <v>0</v>
      </c>
      <c r="FC54" s="820"/>
      <c r="FD54" s="820"/>
      <c r="FE54" s="714">
        <f>IF(FC54=0,0,(FD54-FC54)/FC54*100)</f>
        <v>0</v>
      </c>
      <c r="FF54" s="820"/>
      <c r="FG54" s="820"/>
      <c r="FH54" s="714">
        <f>IF(FF54=0,0,(FG54-FF54)/FF54*100)</f>
        <v>0</v>
      </c>
      <c r="FI54" s="820"/>
      <c r="FJ54" s="820"/>
      <c r="FK54" s="714">
        <f>IF(FI54=0,0,(FJ54-FI54)/FI54*100)</f>
        <v>0</v>
      </c>
      <c r="FL54" s="820"/>
      <c r="FM54" s="820"/>
      <c r="FN54" s="714">
        <f>IF(FL54=0,0,(FM54-FL54)/FL54*100)</f>
        <v>0</v>
      </c>
      <c r="FO54" s="820"/>
      <c r="FP54" s="820"/>
      <c r="FQ54" s="714">
        <f>IF(FO54=0,0,(FP54-FO54)/FO54*100)</f>
        <v>0</v>
      </c>
      <c r="FR54" s="820"/>
      <c r="FS54" s="820"/>
      <c r="FT54" s="714">
        <f>IF(FR54=0,0,(FS54-FR54)/FR54*100)</f>
        <v>0</v>
      </c>
      <c r="FU54" s="820"/>
      <c r="FV54" s="820"/>
      <c r="FW54" s="714">
        <f>IF(FU54=0,0,(FV54-FU54)/FU54*100)</f>
        <v>0</v>
      </c>
      <c r="FZ54" s="691" t="s">
        <v>1692</v>
      </c>
    </row>
    <row r="55" spans="1:182" ht="14.65" hidden="1" customHeight="1" x14ac:dyDescent="0.15">
      <c r="A55" s="59"/>
      <c r="B55" s="613" t="b" cm="1">
        <f t="array" ref="B55">B54</f>
        <v>0</v>
      </c>
      <c r="C55" s="59"/>
      <c r="D55" s="59"/>
      <c r="E55" s="462">
        <v>15</v>
      </c>
      <c r="F55" s="3" cm="1">
        <f t="array" aca="1" ref="F55" ca="1">OFFSET(E55,-1,1)</f>
        <v>0</v>
      </c>
      <c r="G55" s="25" t="s">
        <v>1693</v>
      </c>
      <c r="H55" s="59" t="s">
        <v>1681</v>
      </c>
      <c r="I55" s="59" t="s">
        <v>1647</v>
      </c>
      <c r="J55" s="59"/>
      <c r="K55" s="59"/>
      <c r="L55" s="59"/>
      <c r="M55" s="59"/>
      <c r="N55" s="59"/>
      <c r="O55" s="59"/>
      <c r="P55" s="59"/>
      <c r="Q55" s="59"/>
      <c r="R55" s="59"/>
      <c r="S55" s="59"/>
      <c r="T55" s="353" t="b" cm="1">
        <f t="array" aca="1" ref="T55" ca="1">T54</f>
        <v>0</v>
      </c>
      <c r="U55" s="59"/>
      <c r="V55" s="59"/>
      <c r="W55" s="59"/>
      <c r="X55" s="1022"/>
      <c r="Y55" s="59"/>
      <c r="Z55" s="966"/>
      <c r="AA55" s="59"/>
      <c r="AB55" s="105" t="str">
        <f>"объём "&amp;IF(Q29="Водоснабжение","потребления холодной воды","водоотведения")</f>
        <v>объём водоотведения</v>
      </c>
      <c r="AC55" s="12" t="s">
        <v>558</v>
      </c>
      <c r="AD55" s="836">
        <f ca="1">IF(AND(method_reg="Метод индексации",god&lt;&gt;first_year),SUMIFS(INDEX('Калькуляция (МИ корр)'!$AJ$25:$BC$603,,MATCH(AD$8,'Калькуляция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(МИ)'!$AJ$25:$BC$603,,MATCH(AD$8,'Калькуляция (МИ)'!$AJ$8:$BC$8,0)),'Калькуляция (МИ)'!$F$25:$F$603,$F55,'Калькуляция (МИ)'!$G$25:$G$603,$G55))))</f>
        <v>0</v>
      </c>
      <c r="AE55" s="836">
        <f ca="1">IF(AND(method_reg="Метод индексации",god&lt;&gt;first_year),SUMIFS(INDEX('Калькуляция (МИ корр)'!$AJ$25:$BC$603,,MATCH(AE$8,'Калькуляция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(МИ)'!$AJ$25:$BC$603,,MATCH(AE$8,'Калькуляция (МИ)'!$AJ$8:$BC$8,0)),'Калькуляция (МИ)'!$F$25:$F$603,$F55,'Калькуляция (МИ)'!$G$25:$G$603,$G55))))</f>
        <v>0</v>
      </c>
      <c r="AF55" s="715">
        <f ca="1">IF(AD55=0,0,(AE55-AD55)/AD55*100)</f>
        <v>0</v>
      </c>
      <c r="AG55" s="836">
        <f ca="1">IF(AND(method_reg="Метод индексации",god&lt;&gt;first_year),SUMIFS(INDEX('Калькуляция (МИ корр)'!$AJ$25:$BC$603,,MATCH(AG$8,'Калькуляция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(МИ)'!$AJ$25:$BC$603,,MATCH(AG$8,'Калькуляция (МИ)'!$AJ$8:$BC$8,0)),'Калькуляция (МИ)'!$F$25:$F$603,$F55,'Калькуляция (МИ)'!$G$25:$G$603,$G55))))</f>
        <v>0</v>
      </c>
      <c r="AH55" s="836">
        <f ca="1">IF(AND(method_reg="Метод индексации",god&lt;&gt;first_year),SUMIFS(INDEX('Калькуляция (МИ корр)'!$AJ$25:$BC$603,,MATCH(AH$8,'Калькуляция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(МИ)'!$AJ$25:$BC$603,,MATCH(AH$8,'Калькуляция (МИ)'!$AJ$8:$BC$8,0)),'Калькуляция (МИ)'!$F$25:$F$603,$F55,'Калькуляция (МИ)'!$G$25:$G$603,$G55))))</f>
        <v>0</v>
      </c>
      <c r="AI55" s="715">
        <f ca="1">IF(AG55=0,0,(AH55-AG55)/AG55*100)</f>
        <v>0</v>
      </c>
      <c r="AJ55" s="836">
        <f ca="1">IF(AND(method_reg="Метод индексации",god&lt;&gt;first_year),SUMIFS(INDEX('Калькуляция (МИ корр)'!$AJ$25:$BC$603,,MATCH(AJ$8,'Калькуляция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(МИ)'!$AJ$25:$BC$603,,MATCH(AJ$8,'Калькуляция (МИ)'!$AJ$8:$BC$8,0)),'Калькуляция (МИ)'!$F$25:$F$603,$F55,'Калькуляция (МИ)'!$G$25:$G$603,$G55))))</f>
        <v>0</v>
      </c>
      <c r="AK55" s="836">
        <f ca="1">IF(AND(method_reg="Метод индексации",god&lt;&gt;first_year),SUMIFS(INDEX('Калькуляция (МИ корр)'!$AJ$25:$BC$603,,MATCH(AK$8,'Калькуляция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(МИ)'!$AJ$25:$BC$603,,MATCH(AK$8,'Калькуляция (МИ)'!$AJ$8:$BC$8,0)),'Калькуляция (МИ)'!$F$25:$F$603,$F55,'Калькуляция (МИ)'!$G$25:$G$603,$G55))))</f>
        <v>0</v>
      </c>
      <c r="AL55" s="715">
        <f ca="1">IF(AJ55=0,0,(AK55-AJ55)/AJ55*100)</f>
        <v>0</v>
      </c>
      <c r="AM55" s="836">
        <f ca="1">IF(AND(method_reg="Метод индексации",god&lt;&gt;first_year),SUMIFS(INDEX('Калькуляция (МИ корр)'!$AJ$25:$BC$603,,MATCH(AM$8,'Калькуляция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(МИ)'!$AJ$25:$BC$603,,MATCH(AM$8,'Калькуляция (МИ)'!$AJ$8:$BC$8,0)),'Калькуляция (МИ)'!$F$25:$F$603,$F55,'Калькуляция (МИ)'!$G$25:$G$603,$G55))))</f>
        <v>0</v>
      </c>
      <c r="AN55" s="836">
        <f ca="1">IF(AND(method_reg="Метод индексации",god&lt;&gt;first_year),SUMIFS(INDEX('Калькуляция (МИ корр)'!$AJ$25:$BC$603,,MATCH(AN$8,'Калькуляция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(МИ)'!$AJ$25:$BC$603,,MATCH(AN$8,'Калькуляция (МИ)'!$AJ$8:$BC$8,0)),'Калькуляция (МИ)'!$F$25:$F$603,$F55,'Калькуляция (МИ)'!$G$25:$G$603,$G55))))</f>
        <v>0</v>
      </c>
      <c r="AO55" s="715">
        <f ca="1">IF(AM55=0,0,(AN55-AM55)/AM55*100)</f>
        <v>0</v>
      </c>
      <c r="AP55" s="836">
        <f ca="1">IF(AND(method_reg="Метод индексации",god&lt;&gt;first_year),SUMIFS(INDEX('Калькуляция (МИ корр)'!$AJ$25:$BC$603,,MATCH(AP$8,'Калькуляция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(МИ)'!$AJ$25:$BC$603,,MATCH(AP$8,'Калькуляция (МИ)'!$AJ$8:$BC$8,0)),'Калькуляция (МИ)'!$F$25:$F$603,$F55,'Калькуляция (МИ)'!$G$25:$G$603,$G55))))</f>
        <v>0</v>
      </c>
      <c r="AQ55" s="836">
        <f ca="1">IF(AND(method_reg="Метод индексации",god&lt;&gt;first_year),SUMIFS(INDEX('Калькуляция (МИ корр)'!$AJ$25:$BC$603,,MATCH(AQ$8,'Калькуляция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(МИ)'!$AJ$25:$BC$603,,MATCH(AQ$8,'Калькуляция (МИ)'!$AJ$8:$BC$8,0)),'Калькуляция (МИ)'!$F$25:$F$603,$F55,'Калькуляция (МИ)'!$G$25:$G$603,$G55))))</f>
        <v>0</v>
      </c>
      <c r="AR55" s="715">
        <f ca="1">IF(AP55=0,0,(AQ55-AP55)/AP55*100)</f>
        <v>0</v>
      </c>
      <c r="AS55" s="836">
        <f ca="1">IF(AND(method_reg="Метод индексации",god&lt;&gt;first_year),SUMIFS(INDEX('Калькуляция (МИ корр)'!$AJ$25:$BC$603,,MATCH(AS$8,'Калькуляция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(МИ)'!$AJ$25:$BC$603,,MATCH(AS$8,'Калькуляция (МИ)'!$AJ$8:$BC$8,0)),'Калькуляция (МИ)'!$F$25:$F$603,$F55,'Калькуляция (МИ)'!$G$25:$G$603,$G55))))</f>
        <v>0</v>
      </c>
      <c r="AT55" s="836">
        <f ca="1">IF(AND(method_reg="Метод индексации",god&lt;&gt;first_year),SUMIFS(INDEX('Калькуляция (МИ корр)'!$AJ$25:$BC$603,,MATCH(AT$8,'Калькуляция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(МИ)'!$AJ$25:$BC$603,,MATCH(AT$8,'Калькуляция (МИ)'!$AJ$8:$BC$8,0)),'Калькуляция (МИ)'!$F$25:$F$603,$F55,'Калькуляция (МИ)'!$G$25:$G$603,$G55))))</f>
        <v>0</v>
      </c>
      <c r="AU55" s="715">
        <f ca="1">IF(AS55=0,0,(AT55-AS55)/AS55*100)</f>
        <v>0</v>
      </c>
      <c r="AV55" s="836">
        <f ca="1">IF(AND(method_reg="Метод индексации",god&lt;&gt;first_year),SUMIFS(INDEX('Калькуляция (МИ корр)'!$AJ$25:$BC$603,,MATCH(AV$8,'Калькуляция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(МИ)'!$AJ$25:$BC$603,,MATCH(AV$8,'Калькуляция (МИ)'!$AJ$8:$BC$8,0)),'Калькуляция (МИ)'!$F$25:$F$603,$F55,'Калькуляция (МИ)'!$G$25:$G$603,$G55))))</f>
        <v>0</v>
      </c>
      <c r="AW55" s="836">
        <f ca="1">IF(AND(method_reg="Метод индексации",god&lt;&gt;first_year),SUMIFS(INDEX('Калькуляция (МИ корр)'!$AJ$25:$BC$603,,MATCH(AW$8,'Калькуляция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(МИ)'!$AJ$25:$BC$603,,MATCH(AW$8,'Калькуляция (МИ)'!$AJ$8:$BC$8,0)),'Калькуляция (МИ)'!$F$25:$F$603,$F55,'Калькуляция (МИ)'!$G$25:$G$603,$G55))))</f>
        <v>0</v>
      </c>
      <c r="AX55" s="715">
        <f ca="1">IF(AV55=0,0,(AW55-AV55)/AV55*100)</f>
        <v>0</v>
      </c>
      <c r="AY55" s="836">
        <f ca="1">IF(AND(method_reg="Метод индексации",god&lt;&gt;first_year),SUMIFS(INDEX('Калькуляция (МИ корр)'!$AJ$25:$BC$603,,MATCH(AY$8,'Калькуляция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(МИ)'!$AJ$25:$BC$603,,MATCH(AY$8,'Калькуляция (МИ)'!$AJ$8:$BC$8,0)),'Калькуляция (МИ)'!$F$25:$F$603,$F55,'Калькуляция (МИ)'!$G$25:$G$603,$G55))))</f>
        <v>0</v>
      </c>
      <c r="AZ55" s="836">
        <f ca="1">IF(AND(method_reg="Метод индексации",god&lt;&gt;first_year),SUMIFS(INDEX('Калькуляция (МИ корр)'!$AJ$25:$BC$603,,MATCH(AZ$8,'Калькуляция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(МИ)'!$AJ$25:$BC$603,,MATCH(AZ$8,'Калькуляция (МИ)'!$AJ$8:$BC$8,0)),'Калькуляция (МИ)'!$F$25:$F$603,$F55,'Калькуляция (МИ)'!$G$25:$G$603,$G55))))</f>
        <v>0</v>
      </c>
      <c r="BA55" s="715">
        <f ca="1">IF(AY55=0,0,(AZ55-AY55)/AY55*100)</f>
        <v>0</v>
      </c>
      <c r="BB55" s="836">
        <f ca="1">IF(AND(method_reg="Метод индексации",god&lt;&gt;first_year),SUMIFS(INDEX('Калькуляция (МИ корр)'!$AJ$25:$BC$603,,MATCH(BB$8,'Калькуляция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(МИ)'!$AJ$25:$BC$603,,MATCH(BB$8,'Калькуляция (МИ)'!$AJ$8:$BC$8,0)),'Калькуляция (МИ)'!$F$25:$F$603,$F55,'Калькуляция (МИ)'!$G$25:$G$603,$G55))))</f>
        <v>0</v>
      </c>
      <c r="BC55" s="836">
        <f ca="1">IF(AND(method_reg="Метод индексации",god&lt;&gt;first_year),SUMIFS(INDEX('Калькуляция (МИ корр)'!$AJ$25:$BC$603,,MATCH(BC$8,'Калькуляция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(МИ)'!$AJ$25:$BC$603,,MATCH(BC$8,'Калькуляция (МИ)'!$AJ$8:$BC$8,0)),'Калькуляция (МИ)'!$F$25:$F$603,$F55,'Калькуляция (МИ)'!$G$25:$G$603,$G55))))</f>
        <v>0</v>
      </c>
      <c r="BD55" s="715">
        <f ca="1">IF(BB55=0,0,(BC55-BB55)/BB55*100)</f>
        <v>0</v>
      </c>
      <c r="BE55" s="836">
        <f ca="1">IF(AND(method_reg="Метод индексации",god&lt;&gt;first_year),SUMIFS(INDEX('Калькуляция (МИ корр)'!$AJ$25:$BC$603,,MATCH(BE$8,'Калькуляция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(МИ)'!$AJ$25:$BC$603,,MATCH(BE$8,'Калькуляция (МИ)'!$AJ$8:$BC$8,0)),'Калькуляция (МИ)'!$F$25:$F$603,$F55,'Калькуляция (МИ)'!$G$25:$G$603,$G55))))</f>
        <v>0</v>
      </c>
      <c r="BF55" s="836">
        <f ca="1">IF(AND(method_reg="Метод индексации",god&lt;&gt;first_year),SUMIFS(INDEX('Калькуляция (МИ корр)'!$AJ$25:$BC$603,,MATCH(BF$8,'Калькуляция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(МИ)'!$AJ$25:$BC$603,,MATCH(BF$8,'Калькуляция (МИ)'!$AJ$8:$BC$8,0)),'Калькуляция (МИ)'!$F$25:$F$603,$F55,'Калькуляция (МИ)'!$G$25:$G$603,$G55))))</f>
        <v>0</v>
      </c>
      <c r="BG55" s="715">
        <f ca="1">IF(BE55=0,0,(BF55-BE55)/BE55*100)</f>
        <v>0</v>
      </c>
      <c r="BH55" s="836"/>
      <c r="BI55" s="836"/>
      <c r="BJ55" s="715">
        <f>IF(BH55=0,0,(BI55-BH55)/BH55*100)</f>
        <v>0</v>
      </c>
      <c r="BK55" s="836"/>
      <c r="BL55" s="836"/>
      <c r="BM55" s="715">
        <f>IF(BK55=0,0,(BL55-BK55)/BK55*100)</f>
        <v>0</v>
      </c>
      <c r="BN55" s="836"/>
      <c r="BO55" s="836"/>
      <c r="BP55" s="715">
        <f>IF(BN55=0,0,(BO55-BN55)/BN55*100)</f>
        <v>0</v>
      </c>
      <c r="BQ55" s="836"/>
      <c r="BR55" s="836"/>
      <c r="BS55" s="715">
        <f>IF(BQ55=0,0,(BR55-BQ55)/BQ55*100)</f>
        <v>0</v>
      </c>
      <c r="BT55" s="836"/>
      <c r="BU55" s="836"/>
      <c r="BV55" s="715">
        <f>IF(BT55=0,0,(BU55-BT55)/BT55*100)</f>
        <v>0</v>
      </c>
      <c r="BW55" s="836"/>
      <c r="BX55" s="836"/>
      <c r="BY55" s="715">
        <f>IF(BW55=0,0,(BX55-BW55)/BW55*100)</f>
        <v>0</v>
      </c>
      <c r="BZ55" s="836"/>
      <c r="CA55" s="836"/>
      <c r="CB55" s="715">
        <f>IF(BZ55=0,0,(CA55-BZ55)/BZ55*100)</f>
        <v>0</v>
      </c>
      <c r="CC55" s="836"/>
      <c r="CD55" s="836"/>
      <c r="CE55" s="715">
        <f>IF(CC55=0,0,(CD55-CC55)/CC55*100)</f>
        <v>0</v>
      </c>
      <c r="CF55" s="836"/>
      <c r="CG55" s="836"/>
      <c r="CH55" s="715">
        <f>IF(CF55=0,0,(CG55-CF55)/CF55*100)</f>
        <v>0</v>
      </c>
      <c r="CI55" s="836"/>
      <c r="CJ55" s="836"/>
      <c r="CK55" s="715">
        <f>IF(CI55=0,0,(CJ55-CI55)/CI55*100)</f>
        <v>0</v>
      </c>
      <c r="CL55" s="836"/>
      <c r="CM55" s="836"/>
      <c r="CN55" s="715">
        <f>IF(CL55=0,0,(CM55-CL55)/CL55*100)</f>
        <v>0</v>
      </c>
      <c r="CO55" s="836"/>
      <c r="CP55" s="836"/>
      <c r="CQ55" s="715">
        <f>IF(CO55=0,0,(CP55-CO55)/CO55*100)</f>
        <v>0</v>
      </c>
      <c r="CR55" s="836"/>
      <c r="CS55" s="836"/>
      <c r="CT55" s="715">
        <f>IF(CR55=0,0,(CS55-CR55)/CR55*100)</f>
        <v>0</v>
      </c>
      <c r="CU55" s="836"/>
      <c r="CV55" s="836"/>
      <c r="CW55" s="715">
        <f>IF(CU55=0,0,(CV55-CU55)/CU55*100)</f>
        <v>0</v>
      </c>
      <c r="CX55" s="836"/>
      <c r="CY55" s="836"/>
      <c r="CZ55" s="715">
        <f>IF(CX55=0,0,(CY55-CX55)/CX55*100)</f>
        <v>0</v>
      </c>
      <c r="DA55" s="836"/>
      <c r="DB55" s="836"/>
      <c r="DC55" s="715">
        <f>IF(DA55=0,0,(DB55-DA55)/DA55*100)</f>
        <v>0</v>
      </c>
      <c r="DD55" s="836"/>
      <c r="DE55" s="836"/>
      <c r="DF55" s="715">
        <f>IF(DD55=0,0,(DE55-DD55)/DD55*100)</f>
        <v>0</v>
      </c>
      <c r="DG55" s="836"/>
      <c r="DH55" s="836"/>
      <c r="DI55" s="715">
        <f>IF(DG55=0,0,(DH55-DG55)/DG55*100)</f>
        <v>0</v>
      </c>
      <c r="DJ55" s="836"/>
      <c r="DK55" s="836"/>
      <c r="DL55" s="715">
        <f>IF(DJ55=0,0,(DK55-DJ55)/DJ55*100)</f>
        <v>0</v>
      </c>
      <c r="DM55" s="836"/>
      <c r="DN55" s="836"/>
      <c r="DO55" s="715">
        <f>IF(DM55=0,0,(DN55-DM55)/DM55*100)</f>
        <v>0</v>
      </c>
      <c r="DP55" s="836"/>
      <c r="DQ55" s="836"/>
      <c r="DR55" s="715">
        <f>IF(DP55=0,0,(DQ55-DP55)/DP55*100)</f>
        <v>0</v>
      </c>
      <c r="DS55" s="836"/>
      <c r="DT55" s="836"/>
      <c r="DU55" s="715">
        <f>IF(DS55=0,0,(DT55-DS55)/DS55*100)</f>
        <v>0</v>
      </c>
      <c r="DV55" s="836"/>
      <c r="DW55" s="836"/>
      <c r="DX55" s="715">
        <f>IF(DV55=0,0,(DW55-DV55)/DV55*100)</f>
        <v>0</v>
      </c>
      <c r="DY55" s="836"/>
      <c r="DZ55" s="836"/>
      <c r="EA55" s="715">
        <f>IF(DY55=0,0,(DZ55-DY55)/DY55*100)</f>
        <v>0</v>
      </c>
      <c r="EB55" s="836"/>
      <c r="EC55" s="836"/>
      <c r="ED55" s="715">
        <f>IF(EB55=0,0,(EC55-EB55)/EB55*100)</f>
        <v>0</v>
      </c>
      <c r="EE55" s="836"/>
      <c r="EF55" s="836"/>
      <c r="EG55" s="715">
        <f>IF(EE55=0,0,(EF55-EE55)/EE55*100)</f>
        <v>0</v>
      </c>
      <c r="EH55" s="836"/>
      <c r="EI55" s="836"/>
      <c r="EJ55" s="715">
        <f>IF(EH55=0,0,(EI55-EH55)/EH55*100)</f>
        <v>0</v>
      </c>
      <c r="EK55" s="836"/>
      <c r="EL55" s="836"/>
      <c r="EM55" s="715">
        <f>IF(EK55=0,0,(EL55-EK55)/EK55*100)</f>
        <v>0</v>
      </c>
      <c r="EN55" s="836"/>
      <c r="EO55" s="836"/>
      <c r="EP55" s="715">
        <f>IF(EN55=0,0,(EO55-EN55)/EN55*100)</f>
        <v>0</v>
      </c>
      <c r="EQ55" s="836"/>
      <c r="ER55" s="836"/>
      <c r="ES55" s="715">
        <f>IF(EQ55=0,0,(ER55-EQ55)/EQ55*100)</f>
        <v>0</v>
      </c>
      <c r="ET55" s="836"/>
      <c r="EU55" s="836"/>
      <c r="EV55" s="715">
        <f>IF(ET55=0,0,(EU55-ET55)/ET55*100)</f>
        <v>0</v>
      </c>
      <c r="EW55" s="836"/>
      <c r="EX55" s="836"/>
      <c r="EY55" s="715">
        <f>IF(EW55=0,0,(EX55-EW55)/EW55*100)</f>
        <v>0</v>
      </c>
      <c r="EZ55" s="836"/>
      <c r="FA55" s="836"/>
      <c r="FB55" s="715">
        <f>IF(EZ55=0,0,(FA55-EZ55)/EZ55*100)</f>
        <v>0</v>
      </c>
      <c r="FC55" s="836"/>
      <c r="FD55" s="836"/>
      <c r="FE55" s="715">
        <f>IF(FC55=0,0,(FD55-FC55)/FC55*100)</f>
        <v>0</v>
      </c>
      <c r="FF55" s="836"/>
      <c r="FG55" s="836"/>
      <c r="FH55" s="715">
        <f>IF(FF55=0,0,(FG55-FF55)/FF55*100)</f>
        <v>0</v>
      </c>
      <c r="FI55" s="836"/>
      <c r="FJ55" s="836"/>
      <c r="FK55" s="715">
        <f>IF(FI55=0,0,(FJ55-FI55)/FI55*100)</f>
        <v>0</v>
      </c>
      <c r="FL55" s="836"/>
      <c r="FM55" s="836"/>
      <c r="FN55" s="715">
        <f>IF(FL55=0,0,(FM55-FL55)/FL55*100)</f>
        <v>0</v>
      </c>
      <c r="FO55" s="836"/>
      <c r="FP55" s="836"/>
      <c r="FQ55" s="715">
        <f>IF(FO55=0,0,(FP55-FO55)/FO55*100)</f>
        <v>0</v>
      </c>
      <c r="FR55" s="836"/>
      <c r="FS55" s="836"/>
      <c r="FT55" s="715">
        <f>IF(FR55=0,0,(FS55-FR55)/FR55*100)</f>
        <v>0</v>
      </c>
      <c r="FU55" s="836"/>
      <c r="FV55" s="836"/>
      <c r="FW55" s="715">
        <f>IF(FU55=0,0,(FV55-FU55)/FU55*100)</f>
        <v>0</v>
      </c>
      <c r="FZ55" s="691" t="s">
        <v>1694</v>
      </c>
    </row>
    <row r="56" spans="1:182" ht="21.95" hidden="1" customHeight="1" x14ac:dyDescent="0.15">
      <c r="A56" s="59"/>
      <c r="B56" s="613" t="b" cm="1">
        <f t="array" ref="B56">B55</f>
        <v>0</v>
      </c>
      <c r="C56" s="59"/>
      <c r="D56" s="59"/>
      <c r="E56" s="462">
        <v>22.5</v>
      </c>
      <c r="F56" s="3" cm="1">
        <f t="array" aca="1" ref="F56" ca="1">OFFSET(E56,-1,1)</f>
        <v>0</v>
      </c>
      <c r="G56" s="59"/>
      <c r="H56" s="59" t="s">
        <v>1683</v>
      </c>
      <c r="I56" s="59" t="s">
        <v>1647</v>
      </c>
      <c r="J56" s="59"/>
      <c r="K56" s="59"/>
      <c r="L56" s="59"/>
      <c r="M56" s="59"/>
      <c r="N56" s="59"/>
      <c r="O56" s="59"/>
      <c r="P56" s="59"/>
      <c r="Q56" s="59"/>
      <c r="R56" s="59"/>
      <c r="S56" s="59"/>
      <c r="T56" s="353" t="b" cm="1">
        <f t="array" aca="1" ref="T56" ca="1">T55</f>
        <v>0</v>
      </c>
      <c r="U56" s="59"/>
      <c r="V56" s="59"/>
      <c r="W56" s="59"/>
      <c r="X56" s="1022"/>
      <c r="Y56" s="59"/>
      <c r="Z56" s="966"/>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1684</v>
      </c>
      <c r="AD56" s="820"/>
      <c r="AE56" s="820"/>
      <c r="AF56" s="714">
        <f>IF(AD56=0,0,(AE56-AD56)/AD56*100)</f>
        <v>0</v>
      </c>
      <c r="AG56" s="820"/>
      <c r="AH56" s="820"/>
      <c r="AI56" s="714">
        <f>IF(AG56=0,0,(AH56-AG56)/AG56*100)</f>
        <v>0</v>
      </c>
      <c r="AJ56" s="820"/>
      <c r="AK56" s="820"/>
      <c r="AL56" s="714">
        <f>IF(AJ56=0,0,(AK56-AJ56)/AJ56*100)</f>
        <v>0</v>
      </c>
      <c r="AM56" s="820"/>
      <c r="AN56" s="820"/>
      <c r="AO56" s="714">
        <f>IF(AM56=0,0,(AN56-AM56)/AM56*100)</f>
        <v>0</v>
      </c>
      <c r="AP56" s="820"/>
      <c r="AQ56" s="820"/>
      <c r="AR56" s="714">
        <f>IF(AP56=0,0,(AQ56-AP56)/AP56*100)</f>
        <v>0</v>
      </c>
      <c r="AS56" s="820"/>
      <c r="AT56" s="820"/>
      <c r="AU56" s="714">
        <f>IF(AS56=0,0,(AT56-AS56)/AS56*100)</f>
        <v>0</v>
      </c>
      <c r="AV56" s="820"/>
      <c r="AW56" s="820"/>
      <c r="AX56" s="714">
        <f>IF(AV56=0,0,(AW56-AV56)/AV56*100)</f>
        <v>0</v>
      </c>
      <c r="AY56" s="820"/>
      <c r="AZ56" s="820"/>
      <c r="BA56" s="714">
        <f>IF(AY56=0,0,(AZ56-AY56)/AY56*100)</f>
        <v>0</v>
      </c>
      <c r="BB56" s="820"/>
      <c r="BC56" s="820"/>
      <c r="BD56" s="714">
        <f>IF(BB56=0,0,(BC56-BB56)/BB56*100)</f>
        <v>0</v>
      </c>
      <c r="BE56" s="820"/>
      <c r="BF56" s="820"/>
      <c r="BG56" s="714">
        <f>IF(BE56=0,0,(BF56-BE56)/BE56*100)</f>
        <v>0</v>
      </c>
      <c r="BH56" s="820"/>
      <c r="BI56" s="820"/>
      <c r="BJ56" s="714">
        <f>IF(BH56=0,0,(BI56-BH56)/BH56*100)</f>
        <v>0</v>
      </c>
      <c r="BK56" s="820"/>
      <c r="BL56" s="820"/>
      <c r="BM56" s="714">
        <f>IF(BK56=0,0,(BL56-BK56)/BK56*100)</f>
        <v>0</v>
      </c>
      <c r="BN56" s="820"/>
      <c r="BO56" s="820"/>
      <c r="BP56" s="714">
        <f>IF(BN56=0,0,(BO56-BN56)/BN56*100)</f>
        <v>0</v>
      </c>
      <c r="BQ56" s="820"/>
      <c r="BR56" s="820"/>
      <c r="BS56" s="714">
        <f>IF(BQ56=0,0,(BR56-BQ56)/BQ56*100)</f>
        <v>0</v>
      </c>
      <c r="BT56" s="820"/>
      <c r="BU56" s="820"/>
      <c r="BV56" s="714">
        <f>IF(BT56=0,0,(BU56-BT56)/BT56*100)</f>
        <v>0</v>
      </c>
      <c r="BW56" s="820"/>
      <c r="BX56" s="820"/>
      <c r="BY56" s="714">
        <f>IF(BW56=0,0,(BX56-BW56)/BW56*100)</f>
        <v>0</v>
      </c>
      <c r="BZ56" s="820"/>
      <c r="CA56" s="820"/>
      <c r="CB56" s="714">
        <f>IF(BZ56=0,0,(CA56-BZ56)/BZ56*100)</f>
        <v>0</v>
      </c>
      <c r="CC56" s="820"/>
      <c r="CD56" s="820"/>
      <c r="CE56" s="714">
        <f>IF(CC56=0,0,(CD56-CC56)/CC56*100)</f>
        <v>0</v>
      </c>
      <c r="CF56" s="820"/>
      <c r="CG56" s="820"/>
      <c r="CH56" s="714">
        <f>IF(CF56=0,0,(CG56-CF56)/CF56*100)</f>
        <v>0</v>
      </c>
      <c r="CI56" s="820"/>
      <c r="CJ56" s="820"/>
      <c r="CK56" s="714">
        <f>IF(CI56=0,0,(CJ56-CI56)/CI56*100)</f>
        <v>0</v>
      </c>
      <c r="CL56" s="820"/>
      <c r="CM56" s="820"/>
      <c r="CN56" s="714">
        <f>IF(CL56=0,0,(CM56-CL56)/CL56*100)</f>
        <v>0</v>
      </c>
      <c r="CO56" s="820"/>
      <c r="CP56" s="820"/>
      <c r="CQ56" s="714">
        <f>IF(CO56=0,0,(CP56-CO56)/CO56*100)</f>
        <v>0</v>
      </c>
      <c r="CR56" s="820"/>
      <c r="CS56" s="820"/>
      <c r="CT56" s="714">
        <f>IF(CR56=0,0,(CS56-CR56)/CR56*100)</f>
        <v>0</v>
      </c>
      <c r="CU56" s="820"/>
      <c r="CV56" s="820"/>
      <c r="CW56" s="714">
        <f>IF(CU56=0,0,(CV56-CU56)/CU56*100)</f>
        <v>0</v>
      </c>
      <c r="CX56" s="820"/>
      <c r="CY56" s="820"/>
      <c r="CZ56" s="714">
        <f>IF(CX56=0,0,(CY56-CX56)/CX56*100)</f>
        <v>0</v>
      </c>
      <c r="DA56" s="820"/>
      <c r="DB56" s="820"/>
      <c r="DC56" s="714">
        <f>IF(DA56=0,0,(DB56-DA56)/DA56*100)</f>
        <v>0</v>
      </c>
      <c r="DD56" s="820"/>
      <c r="DE56" s="820"/>
      <c r="DF56" s="714">
        <f>IF(DD56=0,0,(DE56-DD56)/DD56*100)</f>
        <v>0</v>
      </c>
      <c r="DG56" s="820"/>
      <c r="DH56" s="820"/>
      <c r="DI56" s="714">
        <f>IF(DG56=0,0,(DH56-DG56)/DG56*100)</f>
        <v>0</v>
      </c>
      <c r="DJ56" s="820"/>
      <c r="DK56" s="820"/>
      <c r="DL56" s="714">
        <f>IF(DJ56=0,0,(DK56-DJ56)/DJ56*100)</f>
        <v>0</v>
      </c>
      <c r="DM56" s="820"/>
      <c r="DN56" s="820"/>
      <c r="DO56" s="714">
        <f>IF(DM56=0,0,(DN56-DM56)/DM56*100)</f>
        <v>0</v>
      </c>
      <c r="DP56" s="820"/>
      <c r="DQ56" s="820"/>
      <c r="DR56" s="714">
        <f>IF(DP56=0,0,(DQ56-DP56)/DP56*100)</f>
        <v>0</v>
      </c>
      <c r="DS56" s="820"/>
      <c r="DT56" s="820"/>
      <c r="DU56" s="714">
        <f>IF(DS56=0,0,(DT56-DS56)/DS56*100)</f>
        <v>0</v>
      </c>
      <c r="DV56" s="820"/>
      <c r="DW56" s="820"/>
      <c r="DX56" s="714">
        <f>IF(DV56=0,0,(DW56-DV56)/DV56*100)</f>
        <v>0</v>
      </c>
      <c r="DY56" s="820"/>
      <c r="DZ56" s="820"/>
      <c r="EA56" s="714">
        <f>IF(DY56=0,0,(DZ56-DY56)/DY56*100)</f>
        <v>0</v>
      </c>
      <c r="EB56" s="820"/>
      <c r="EC56" s="820"/>
      <c r="ED56" s="714">
        <f>IF(EB56=0,0,(EC56-EB56)/EB56*100)</f>
        <v>0</v>
      </c>
      <c r="EE56" s="820"/>
      <c r="EF56" s="820"/>
      <c r="EG56" s="714">
        <f>IF(EE56=0,0,(EF56-EE56)/EE56*100)</f>
        <v>0</v>
      </c>
      <c r="EH56" s="820"/>
      <c r="EI56" s="820"/>
      <c r="EJ56" s="714">
        <f>IF(EH56=0,0,(EI56-EH56)/EH56*100)</f>
        <v>0</v>
      </c>
      <c r="EK56" s="820"/>
      <c r="EL56" s="820"/>
      <c r="EM56" s="714">
        <f>IF(EK56=0,0,(EL56-EK56)/EK56*100)</f>
        <v>0</v>
      </c>
      <c r="EN56" s="820"/>
      <c r="EO56" s="820"/>
      <c r="EP56" s="714">
        <f>IF(EN56=0,0,(EO56-EN56)/EN56*100)</f>
        <v>0</v>
      </c>
      <c r="EQ56" s="820"/>
      <c r="ER56" s="820"/>
      <c r="ES56" s="714">
        <f>IF(EQ56=0,0,(ER56-EQ56)/EQ56*100)</f>
        <v>0</v>
      </c>
      <c r="ET56" s="820"/>
      <c r="EU56" s="820"/>
      <c r="EV56" s="714">
        <f>IF(ET56=0,0,(EU56-ET56)/ET56*100)</f>
        <v>0</v>
      </c>
      <c r="EW56" s="820"/>
      <c r="EX56" s="820"/>
      <c r="EY56" s="714">
        <f>IF(EW56=0,0,(EX56-EW56)/EW56*100)</f>
        <v>0</v>
      </c>
      <c r="EZ56" s="820"/>
      <c r="FA56" s="820"/>
      <c r="FB56" s="714">
        <f>IF(EZ56=0,0,(FA56-EZ56)/EZ56*100)</f>
        <v>0</v>
      </c>
      <c r="FC56" s="820"/>
      <c r="FD56" s="820"/>
      <c r="FE56" s="714">
        <f>IF(FC56=0,0,(FD56-FC56)/FC56*100)</f>
        <v>0</v>
      </c>
      <c r="FF56" s="820"/>
      <c r="FG56" s="820"/>
      <c r="FH56" s="714">
        <f>IF(FF56=0,0,(FG56-FF56)/FF56*100)</f>
        <v>0</v>
      </c>
      <c r="FI56" s="820"/>
      <c r="FJ56" s="820"/>
      <c r="FK56" s="714">
        <f>IF(FI56=0,0,(FJ56-FI56)/FI56*100)</f>
        <v>0</v>
      </c>
      <c r="FL56" s="820"/>
      <c r="FM56" s="820"/>
      <c r="FN56" s="714">
        <f>IF(FL56=0,0,(FM56-FL56)/FL56*100)</f>
        <v>0</v>
      </c>
      <c r="FO56" s="820"/>
      <c r="FP56" s="820"/>
      <c r="FQ56" s="714">
        <f>IF(FO56=0,0,(FP56-FO56)/FO56*100)</f>
        <v>0</v>
      </c>
      <c r="FR56" s="820"/>
      <c r="FS56" s="820"/>
      <c r="FT56" s="714">
        <f>IF(FR56=0,0,(FS56-FR56)/FR56*100)</f>
        <v>0</v>
      </c>
      <c r="FU56" s="820"/>
      <c r="FV56" s="820"/>
      <c r="FW56" s="714">
        <f>IF(FU56=0,0,(FV56-FU56)/FU56*100)</f>
        <v>0</v>
      </c>
      <c r="FZ56" s="691" t="s">
        <v>1695</v>
      </c>
    </row>
    <row r="57" spans="1:182" ht="14.65" hidden="1" customHeight="1" x14ac:dyDescent="0.15">
      <c r="A57" s="59"/>
      <c r="B57" s="613" t="b" cm="1">
        <f t="array" ref="B57">B56</f>
        <v>0</v>
      </c>
      <c r="C57" s="59"/>
      <c r="D57" s="59"/>
      <c r="E57" s="462">
        <v>15</v>
      </c>
      <c r="F57" s="3" cm="1">
        <f t="array" aca="1" ref="F57" ca="1">OFFSET(E57,-1,1)</f>
        <v>0</v>
      </c>
      <c r="G57" s="59"/>
      <c r="H57" s="59" t="s">
        <v>1686</v>
      </c>
      <c r="I57" s="59" t="s">
        <v>1647</v>
      </c>
      <c r="J57" s="59"/>
      <c r="K57" s="59"/>
      <c r="L57" s="59"/>
      <c r="M57" s="59"/>
      <c r="N57" s="59"/>
      <c r="O57" s="59"/>
      <c r="P57" s="59"/>
      <c r="Q57" s="59"/>
      <c r="R57" s="59"/>
      <c r="S57" s="59"/>
      <c r="T57" s="353" t="b" cm="1">
        <f t="array" aca="1" ref="T57" ca="1">T56</f>
        <v>0</v>
      </c>
      <c r="U57" s="59"/>
      <c r="V57" s="59"/>
      <c r="W57" s="59"/>
      <c r="X57" s="1022"/>
      <c r="Y57" s="59"/>
      <c r="Z57" s="966"/>
      <c r="AA57" s="59"/>
      <c r="AB57" s="105" t="s">
        <v>1687</v>
      </c>
      <c r="AC57" s="12" t="s">
        <v>1688</v>
      </c>
      <c r="AD57" s="820"/>
      <c r="AE57" s="820"/>
      <c r="AF57" s="714">
        <f>IF(AD57=0,0,(AE57-AD57)/AD57*100)</f>
        <v>0</v>
      </c>
      <c r="AG57" s="820"/>
      <c r="AH57" s="820"/>
      <c r="AI57" s="714">
        <f>IF(AG57=0,0,(AH57-AG57)/AG57*100)</f>
        <v>0</v>
      </c>
      <c r="AJ57" s="820"/>
      <c r="AK57" s="820"/>
      <c r="AL57" s="714">
        <f>IF(AJ57=0,0,(AK57-AJ57)/AJ57*100)</f>
        <v>0</v>
      </c>
      <c r="AM57" s="820"/>
      <c r="AN57" s="820"/>
      <c r="AO57" s="714">
        <f>IF(AM57=0,0,(AN57-AM57)/AM57*100)</f>
        <v>0</v>
      </c>
      <c r="AP57" s="820"/>
      <c r="AQ57" s="820"/>
      <c r="AR57" s="714">
        <f>IF(AP57=0,0,(AQ57-AP57)/AP57*100)</f>
        <v>0</v>
      </c>
      <c r="AS57" s="820"/>
      <c r="AT57" s="820"/>
      <c r="AU57" s="714">
        <f>IF(AS57=0,0,(AT57-AS57)/AS57*100)</f>
        <v>0</v>
      </c>
      <c r="AV57" s="820"/>
      <c r="AW57" s="820"/>
      <c r="AX57" s="714">
        <f>IF(AV57=0,0,(AW57-AV57)/AV57*100)</f>
        <v>0</v>
      </c>
      <c r="AY57" s="820"/>
      <c r="AZ57" s="820"/>
      <c r="BA57" s="714">
        <f>IF(AY57=0,0,(AZ57-AY57)/AY57*100)</f>
        <v>0</v>
      </c>
      <c r="BB57" s="820"/>
      <c r="BC57" s="820"/>
      <c r="BD57" s="714">
        <f>IF(BB57=0,0,(BC57-BB57)/BB57*100)</f>
        <v>0</v>
      </c>
      <c r="BE57" s="820"/>
      <c r="BF57" s="820"/>
      <c r="BG57" s="714">
        <f>IF(BE57=0,0,(BF57-BE57)/BE57*100)</f>
        <v>0</v>
      </c>
      <c r="BH57" s="820"/>
      <c r="BI57" s="820"/>
      <c r="BJ57" s="714">
        <f>IF(BH57=0,0,(BI57-BH57)/BH57*100)</f>
        <v>0</v>
      </c>
      <c r="BK57" s="820"/>
      <c r="BL57" s="820"/>
      <c r="BM57" s="714">
        <f>IF(BK57=0,0,(BL57-BK57)/BK57*100)</f>
        <v>0</v>
      </c>
      <c r="BN57" s="820"/>
      <c r="BO57" s="820"/>
      <c r="BP57" s="714">
        <f>IF(BN57=0,0,(BO57-BN57)/BN57*100)</f>
        <v>0</v>
      </c>
      <c r="BQ57" s="820"/>
      <c r="BR57" s="820"/>
      <c r="BS57" s="714">
        <f>IF(BQ57=0,0,(BR57-BQ57)/BQ57*100)</f>
        <v>0</v>
      </c>
      <c r="BT57" s="820"/>
      <c r="BU57" s="820"/>
      <c r="BV57" s="714">
        <f>IF(BT57=0,0,(BU57-BT57)/BT57*100)</f>
        <v>0</v>
      </c>
      <c r="BW57" s="820"/>
      <c r="BX57" s="820"/>
      <c r="BY57" s="714">
        <f>IF(BW57=0,0,(BX57-BW57)/BW57*100)</f>
        <v>0</v>
      </c>
      <c r="BZ57" s="820"/>
      <c r="CA57" s="820"/>
      <c r="CB57" s="714">
        <f>IF(BZ57=0,0,(CA57-BZ57)/BZ57*100)</f>
        <v>0</v>
      </c>
      <c r="CC57" s="820"/>
      <c r="CD57" s="820"/>
      <c r="CE57" s="714">
        <f>IF(CC57=0,0,(CD57-CC57)/CC57*100)</f>
        <v>0</v>
      </c>
      <c r="CF57" s="820"/>
      <c r="CG57" s="820"/>
      <c r="CH57" s="714">
        <f>IF(CF57=0,0,(CG57-CF57)/CF57*100)</f>
        <v>0</v>
      </c>
      <c r="CI57" s="820"/>
      <c r="CJ57" s="820"/>
      <c r="CK57" s="714">
        <f>IF(CI57=0,0,(CJ57-CI57)/CI57*100)</f>
        <v>0</v>
      </c>
      <c r="CL57" s="820"/>
      <c r="CM57" s="820"/>
      <c r="CN57" s="714">
        <f>IF(CL57=0,0,(CM57-CL57)/CL57*100)</f>
        <v>0</v>
      </c>
      <c r="CO57" s="820"/>
      <c r="CP57" s="820"/>
      <c r="CQ57" s="714">
        <f>IF(CO57=0,0,(CP57-CO57)/CO57*100)</f>
        <v>0</v>
      </c>
      <c r="CR57" s="820"/>
      <c r="CS57" s="820"/>
      <c r="CT57" s="714">
        <f>IF(CR57=0,0,(CS57-CR57)/CR57*100)</f>
        <v>0</v>
      </c>
      <c r="CU57" s="820"/>
      <c r="CV57" s="820"/>
      <c r="CW57" s="714">
        <f>IF(CU57=0,0,(CV57-CU57)/CU57*100)</f>
        <v>0</v>
      </c>
      <c r="CX57" s="820"/>
      <c r="CY57" s="820"/>
      <c r="CZ57" s="714">
        <f>IF(CX57=0,0,(CY57-CX57)/CX57*100)</f>
        <v>0</v>
      </c>
      <c r="DA57" s="820"/>
      <c r="DB57" s="820"/>
      <c r="DC57" s="714">
        <f>IF(DA57=0,0,(DB57-DA57)/DA57*100)</f>
        <v>0</v>
      </c>
      <c r="DD57" s="820"/>
      <c r="DE57" s="820"/>
      <c r="DF57" s="714">
        <f>IF(DD57=0,0,(DE57-DD57)/DD57*100)</f>
        <v>0</v>
      </c>
      <c r="DG57" s="820"/>
      <c r="DH57" s="820"/>
      <c r="DI57" s="714">
        <f>IF(DG57=0,0,(DH57-DG57)/DG57*100)</f>
        <v>0</v>
      </c>
      <c r="DJ57" s="820"/>
      <c r="DK57" s="820"/>
      <c r="DL57" s="714">
        <f>IF(DJ57=0,0,(DK57-DJ57)/DJ57*100)</f>
        <v>0</v>
      </c>
      <c r="DM57" s="820"/>
      <c r="DN57" s="820"/>
      <c r="DO57" s="714">
        <f>IF(DM57=0,0,(DN57-DM57)/DM57*100)</f>
        <v>0</v>
      </c>
      <c r="DP57" s="820"/>
      <c r="DQ57" s="820"/>
      <c r="DR57" s="714">
        <f>IF(DP57=0,0,(DQ57-DP57)/DP57*100)</f>
        <v>0</v>
      </c>
      <c r="DS57" s="820"/>
      <c r="DT57" s="820"/>
      <c r="DU57" s="714">
        <f>IF(DS57=0,0,(DT57-DS57)/DS57*100)</f>
        <v>0</v>
      </c>
      <c r="DV57" s="820"/>
      <c r="DW57" s="820"/>
      <c r="DX57" s="714">
        <f>IF(DV57=0,0,(DW57-DV57)/DV57*100)</f>
        <v>0</v>
      </c>
      <c r="DY57" s="820"/>
      <c r="DZ57" s="820"/>
      <c r="EA57" s="714">
        <f>IF(DY57=0,0,(DZ57-DY57)/DY57*100)</f>
        <v>0</v>
      </c>
      <c r="EB57" s="820"/>
      <c r="EC57" s="820"/>
      <c r="ED57" s="714">
        <f>IF(EB57=0,0,(EC57-EB57)/EB57*100)</f>
        <v>0</v>
      </c>
      <c r="EE57" s="820"/>
      <c r="EF57" s="820"/>
      <c r="EG57" s="714">
        <f>IF(EE57=0,0,(EF57-EE57)/EE57*100)</f>
        <v>0</v>
      </c>
      <c r="EH57" s="820"/>
      <c r="EI57" s="820"/>
      <c r="EJ57" s="714">
        <f>IF(EH57=0,0,(EI57-EH57)/EH57*100)</f>
        <v>0</v>
      </c>
      <c r="EK57" s="820"/>
      <c r="EL57" s="820"/>
      <c r="EM57" s="714">
        <f>IF(EK57=0,0,(EL57-EK57)/EK57*100)</f>
        <v>0</v>
      </c>
      <c r="EN57" s="820"/>
      <c r="EO57" s="820"/>
      <c r="EP57" s="714">
        <f>IF(EN57=0,0,(EO57-EN57)/EN57*100)</f>
        <v>0</v>
      </c>
      <c r="EQ57" s="820"/>
      <c r="ER57" s="820"/>
      <c r="ES57" s="714">
        <f>IF(EQ57=0,0,(ER57-EQ57)/EQ57*100)</f>
        <v>0</v>
      </c>
      <c r="ET57" s="820"/>
      <c r="EU57" s="820"/>
      <c r="EV57" s="714">
        <f>IF(ET57=0,0,(EU57-ET57)/ET57*100)</f>
        <v>0</v>
      </c>
      <c r="EW57" s="820"/>
      <c r="EX57" s="820"/>
      <c r="EY57" s="714">
        <f>IF(EW57=0,0,(EX57-EW57)/EW57*100)</f>
        <v>0</v>
      </c>
      <c r="EZ57" s="820"/>
      <c r="FA57" s="820"/>
      <c r="FB57" s="714">
        <f>IF(EZ57=0,0,(FA57-EZ57)/EZ57*100)</f>
        <v>0</v>
      </c>
      <c r="FC57" s="820"/>
      <c r="FD57" s="820"/>
      <c r="FE57" s="714">
        <f>IF(FC57=0,0,(FD57-FC57)/FC57*100)</f>
        <v>0</v>
      </c>
      <c r="FF57" s="820"/>
      <c r="FG57" s="820"/>
      <c r="FH57" s="714">
        <f>IF(FF57=0,0,(FG57-FF57)/FF57*100)</f>
        <v>0</v>
      </c>
      <c r="FI57" s="820"/>
      <c r="FJ57" s="820"/>
      <c r="FK57" s="714">
        <f>IF(FI57=0,0,(FJ57-FI57)/FI57*100)</f>
        <v>0</v>
      </c>
      <c r="FL57" s="820"/>
      <c r="FM57" s="820"/>
      <c r="FN57" s="714">
        <f>IF(FL57=0,0,(FM57-FL57)/FL57*100)</f>
        <v>0</v>
      </c>
      <c r="FO57" s="820"/>
      <c r="FP57" s="820"/>
      <c r="FQ57" s="714">
        <f>IF(FO57=0,0,(FP57-FO57)/FO57*100)</f>
        <v>0</v>
      </c>
      <c r="FR57" s="820"/>
      <c r="FS57" s="820"/>
      <c r="FT57" s="714">
        <f>IF(FR57=0,0,(FS57-FR57)/FR57*100)</f>
        <v>0</v>
      </c>
      <c r="FU57" s="820"/>
      <c r="FV57" s="820"/>
      <c r="FW57" s="714">
        <f>IF(FU57=0,0,(FV57-FU57)/FU57*100)</f>
        <v>0</v>
      </c>
      <c r="FZ57" s="691" t="s">
        <v>1696</v>
      </c>
    </row>
    <row r="58" spans="1:182" ht="23.85" hidden="1" customHeight="1" x14ac:dyDescent="0.15">
      <c r="A58" s="59"/>
      <c r="B58" s="613" t="b" cm="1">
        <f t="array" ref="B58">B57</f>
        <v>0</v>
      </c>
      <c r="C58" s="59"/>
      <c r="D58" s="59"/>
      <c r="E58" s="462">
        <v>24.5</v>
      </c>
      <c r="F58" s="3" cm="1">
        <f t="array" aca="1" ref="F58" ca="1">OFFSET(E58,-1,1)</f>
        <v>0</v>
      </c>
      <c r="G58" s="59"/>
      <c r="H58" s="59"/>
      <c r="I58" s="59"/>
      <c r="J58" s="59"/>
      <c r="K58" s="59"/>
      <c r="L58" s="59"/>
      <c r="M58" s="59"/>
      <c r="N58" s="59"/>
      <c r="O58" s="59"/>
      <c r="P58" s="59"/>
      <c r="Q58" s="59"/>
      <c r="R58" s="59"/>
      <c r="S58" s="59"/>
      <c r="T58" s="353" t="b" cm="1">
        <f t="array" aca="1" ref="T58" ca="1">T57</f>
        <v>0</v>
      </c>
      <c r="U58" s="59"/>
      <c r="V58" s="59"/>
      <c r="W58" s="59"/>
      <c r="X58" s="1022"/>
      <c r="Y58" s="59"/>
      <c r="Z58" s="966"/>
      <c r="AA58" s="59"/>
      <c r="AB58" s="205" t="s">
        <v>1697</v>
      </c>
      <c r="AC58" s="597"/>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9"/>
      <c r="FZ58" s="691"/>
    </row>
    <row r="59" spans="1:182" ht="14.65" hidden="1" customHeight="1" x14ac:dyDescent="0.15">
      <c r="A59" s="59"/>
      <c r="B59" s="613" t="b" cm="1">
        <f t="array" ref="B59">B58</f>
        <v>0</v>
      </c>
      <c r="C59" s="59"/>
      <c r="D59" s="59"/>
      <c r="E59" s="462">
        <v>15</v>
      </c>
      <c r="F59" s="3" cm="1">
        <f t="array" aca="1" ref="F59" ca="1">OFFSET(E59,-1,1)</f>
        <v>0</v>
      </c>
      <c r="G59" s="59"/>
      <c r="H59" s="59" t="s">
        <v>1570</v>
      </c>
      <c r="I59" s="59" t="s">
        <v>1657</v>
      </c>
      <c r="J59" s="59"/>
      <c r="K59" s="59"/>
      <c r="L59" s="59"/>
      <c r="M59" s="59"/>
      <c r="N59" s="59"/>
      <c r="O59" s="59"/>
      <c r="P59" s="59"/>
      <c r="Q59" s="59"/>
      <c r="R59" s="59"/>
      <c r="S59" s="59"/>
      <c r="T59" s="353" t="b" cm="1">
        <f t="array" aca="1" ref="T59" ca="1">T58</f>
        <v>0</v>
      </c>
      <c r="U59" s="59"/>
      <c r="V59" s="59"/>
      <c r="W59" s="59"/>
      <c r="X59" s="1022"/>
      <c r="Y59" s="59"/>
      <c r="Z59" s="966"/>
      <c r="AA59" s="59"/>
      <c r="AB59" s="105" t="s">
        <v>1677</v>
      </c>
      <c r="AC59" s="12" t="s">
        <v>1644</v>
      </c>
      <c r="AD59" s="820">
        <f ca="1">IF(AD61=0,0,(AD60*AD61+AD62*AD63*IF(god=2026,9,6))/AD61)</f>
        <v>0</v>
      </c>
      <c r="AE59" s="820">
        <f ca="1">IF(AE61=0,0,(AE60*AE61+AE62*AE63*IF(god=2026,9,6))/AE61)</f>
        <v>0</v>
      </c>
      <c r="AF59" s="714">
        <f ca="1">IF(AD59=0,0,(AE59-AD59)/AD59*100)</f>
        <v>0</v>
      </c>
      <c r="AG59" s="820">
        <f ca="1">IF(AG61=0,0,(AG60*AG61+AG62*AG63*IF(god=2025,9,6))/AG61)</f>
        <v>0</v>
      </c>
      <c r="AH59" s="820">
        <f ca="1">IF(AH61=0,0,(AH60*AH61+AH62*AH63*IF(god=2025,9,6))/AH61)</f>
        <v>0</v>
      </c>
      <c r="AI59" s="714">
        <f ca="1">IF(AG59=0,0,(AH59-AG59)/AG59*100)</f>
        <v>0</v>
      </c>
      <c r="AJ59" s="820">
        <f ca="1">IF(AJ61=0,0,(AJ60*AJ61+AJ62*AJ63*6)/AJ61)</f>
        <v>0</v>
      </c>
      <c r="AK59" s="820">
        <f ca="1">IF(AK61=0,0,(AK60*AK61+AK62*AK63*6)/AK61)</f>
        <v>0</v>
      </c>
      <c r="AL59" s="714">
        <f ca="1">IF(AJ59=0,0,(AK59-AJ59)/AJ59*100)</f>
        <v>0</v>
      </c>
      <c r="AM59" s="820">
        <f ca="1">IF(AM61=0,0,(AM60*AM61+AM62*AM63*6)/AM61)</f>
        <v>0</v>
      </c>
      <c r="AN59" s="820">
        <f ca="1">IF(AN61=0,0,(AN60*AN61+AN62*AN63*6)/AN61)</f>
        <v>0</v>
      </c>
      <c r="AO59" s="714">
        <f ca="1">IF(AM59=0,0,(AN59-AM59)/AM59*100)</f>
        <v>0</v>
      </c>
      <c r="AP59" s="820">
        <f ca="1">IF(AP61=0,0,(AP60*AP61+AP62*AP63*6)/AP61)</f>
        <v>0</v>
      </c>
      <c r="AQ59" s="820">
        <f ca="1">IF(AQ61=0,0,(AQ60*AQ61+AQ62*AQ63*6)/AQ61)</f>
        <v>0</v>
      </c>
      <c r="AR59" s="714">
        <f ca="1">IF(AP59=0,0,(AQ59-AP59)/AP59*100)</f>
        <v>0</v>
      </c>
      <c r="AS59" s="820">
        <f ca="1">IF(AS61=0,0,(AS60*AS61+AS62*AS63*6)/AS61)</f>
        <v>0</v>
      </c>
      <c r="AT59" s="820">
        <f ca="1">IF(AT61=0,0,(AT60*AT61+AT62*AT63*6)/AT61)</f>
        <v>0</v>
      </c>
      <c r="AU59" s="714">
        <f ca="1">IF(AS59=0,0,(AT59-AS59)/AS59*100)</f>
        <v>0</v>
      </c>
      <c r="AV59" s="820">
        <f ca="1">IF(AV61=0,0,(AV60*AV61+AV62*AV63*6)/AV61)</f>
        <v>0</v>
      </c>
      <c r="AW59" s="820">
        <f ca="1">IF(AW61=0,0,(AW60*AW61+AW62*AW63*6)/AW61)</f>
        <v>0</v>
      </c>
      <c r="AX59" s="714">
        <f ca="1">IF(AV59=0,0,(AW59-AV59)/AV59*100)</f>
        <v>0</v>
      </c>
      <c r="AY59" s="820">
        <f ca="1">IF(AY61=0,0,(AY60*AY61+AY62*AY63*6)/AY61)</f>
        <v>0</v>
      </c>
      <c r="AZ59" s="820">
        <f ca="1">IF(AZ61=0,0,(AZ60*AZ61+AZ62*AZ63*6)/AZ61)</f>
        <v>0</v>
      </c>
      <c r="BA59" s="714">
        <f ca="1">IF(AY59=0,0,(AZ59-AY59)/AY59*100)</f>
        <v>0</v>
      </c>
      <c r="BB59" s="820">
        <f ca="1">IF(BB61=0,0,(BB60*BB61+BB62*BB63*6)/BB61)</f>
        <v>0</v>
      </c>
      <c r="BC59" s="820">
        <f ca="1">IF(BC61=0,0,(BC60*BC61+BC62*BC63*6)/BC61)</f>
        <v>0</v>
      </c>
      <c r="BD59" s="714">
        <f ca="1">IF(BB59=0,0,(BC59-BB59)/BB59*100)</f>
        <v>0</v>
      </c>
      <c r="BE59" s="820">
        <f ca="1">IF(BE61=0,0,(BE60*BE61+BE62*BE63*6)/BE61)</f>
        <v>0</v>
      </c>
      <c r="BF59" s="820">
        <f ca="1">IF(BF61=0,0,(BF60*BF61+BF62*BF63*6)/BF61)</f>
        <v>0</v>
      </c>
      <c r="BG59" s="714">
        <f ca="1">IF(BE59=0,0,(BF59-BE59)/BE59*100)</f>
        <v>0</v>
      </c>
      <c r="BH59" s="820">
        <f>IF(BH61=0,0,(BH60*BH61+BH62*BH63*6)/BH61)</f>
        <v>0</v>
      </c>
      <c r="BI59" s="820">
        <f>IF(BI61=0,0,(BI60*BI61+BI62*BI63*6)/BI61)</f>
        <v>0</v>
      </c>
      <c r="BJ59" s="714">
        <f>IF(BH59=0,0,(BI59-BH59)/BH59*100)</f>
        <v>0</v>
      </c>
      <c r="BK59" s="820">
        <f>IF(BK61=0,0,(BK60*BK61+BK62*BK63*6)/BK61)</f>
        <v>0</v>
      </c>
      <c r="BL59" s="820">
        <f>IF(BL61=0,0,(BL60*BL61+BL62*BL63*6)/BL61)</f>
        <v>0</v>
      </c>
      <c r="BM59" s="714">
        <f>IF(BK59=0,0,(BL59-BK59)/BK59*100)</f>
        <v>0</v>
      </c>
      <c r="BN59" s="820">
        <f>IF(BN61=0,0,(BN60*BN61+BN62*BN63*6)/BN61)</f>
        <v>0</v>
      </c>
      <c r="BO59" s="820">
        <f>IF(BO61=0,0,(BO60*BO61+BO62*BO63*6)/BO61)</f>
        <v>0</v>
      </c>
      <c r="BP59" s="714">
        <f>IF(BN59=0,0,(BO59-BN59)/BN59*100)</f>
        <v>0</v>
      </c>
      <c r="BQ59" s="820">
        <f>IF(BQ61=0,0,(BQ60*BQ61+BQ62*BQ63*6)/BQ61)</f>
        <v>0</v>
      </c>
      <c r="BR59" s="820">
        <f>IF(BR61=0,0,(BR60*BR61+BR62*BR63*6)/BR61)</f>
        <v>0</v>
      </c>
      <c r="BS59" s="714">
        <f>IF(BQ59=0,0,(BR59-BQ59)/BQ59*100)</f>
        <v>0</v>
      </c>
      <c r="BT59" s="820">
        <f>IF(BT61=0,0,(BT60*BT61+BT62*BT63*6)/BT61)</f>
        <v>0</v>
      </c>
      <c r="BU59" s="820">
        <f>IF(BU61=0,0,(BU60*BU61+BU62*BU63*6)/BU61)</f>
        <v>0</v>
      </c>
      <c r="BV59" s="714">
        <f>IF(BT59=0,0,(BU59-BT59)/BT59*100)</f>
        <v>0</v>
      </c>
      <c r="BW59" s="820">
        <f>IF(BW61=0,0,(BW60*BW61+BW62*BW63*6)/BW61)</f>
        <v>0</v>
      </c>
      <c r="BX59" s="820">
        <f>IF(BX61=0,0,(BX60*BX61+BX62*BX63*6)/BX61)</f>
        <v>0</v>
      </c>
      <c r="BY59" s="714">
        <f>IF(BW59=0,0,(BX59-BW59)/BW59*100)</f>
        <v>0</v>
      </c>
      <c r="BZ59" s="820">
        <f>IF(BZ61=0,0,(BZ60*BZ61+BZ62*BZ63*6)/BZ61)</f>
        <v>0</v>
      </c>
      <c r="CA59" s="820">
        <f>IF(CA61=0,0,(CA60*CA61+CA62*CA63*6)/CA61)</f>
        <v>0</v>
      </c>
      <c r="CB59" s="714">
        <f>IF(BZ59=0,0,(CA59-BZ59)/BZ59*100)</f>
        <v>0</v>
      </c>
      <c r="CC59" s="820">
        <f>IF(CC61=0,0,(CC60*CC61+CC62*CC63*6)/CC61)</f>
        <v>0</v>
      </c>
      <c r="CD59" s="820">
        <f>IF(CD61=0,0,(CD60*CD61+CD62*CD63*6)/CD61)</f>
        <v>0</v>
      </c>
      <c r="CE59" s="714">
        <f>IF(CC59=0,0,(CD59-CC59)/CC59*100)</f>
        <v>0</v>
      </c>
      <c r="CF59" s="820">
        <f>IF(CF61=0,0,(CF60*CF61+CF62*CF63*6)/CF61)</f>
        <v>0</v>
      </c>
      <c r="CG59" s="820">
        <f>IF(CG61=0,0,(CG60*CG61+CG62*CG63*6)/CG61)</f>
        <v>0</v>
      </c>
      <c r="CH59" s="714">
        <f>IF(CF59=0,0,(CG59-CF59)/CF59*100)</f>
        <v>0</v>
      </c>
      <c r="CI59" s="820">
        <f>IF(CI61=0,0,(CI60*CI61+CI62*CI63*6)/CI61)</f>
        <v>0</v>
      </c>
      <c r="CJ59" s="820">
        <f>IF(CJ61=0,0,(CJ60*CJ61+CJ62*CJ63*6)/CJ61)</f>
        <v>0</v>
      </c>
      <c r="CK59" s="714">
        <f>IF(CI59=0,0,(CJ59-CI59)/CI59*100)</f>
        <v>0</v>
      </c>
      <c r="CL59" s="820">
        <f>IF(CL61=0,0,(CL60*CL61+CL62*CL63*6)/CL61)</f>
        <v>0</v>
      </c>
      <c r="CM59" s="820">
        <f>IF(CM61=0,0,(CM60*CM61+CM62*CM63*6)/CM61)</f>
        <v>0</v>
      </c>
      <c r="CN59" s="714">
        <f>IF(CL59=0,0,(CM59-CL59)/CL59*100)</f>
        <v>0</v>
      </c>
      <c r="CO59" s="820">
        <f>IF(CO61=0,0,(CO60*CO61+CO62*CO63*6)/CO61)</f>
        <v>0</v>
      </c>
      <c r="CP59" s="820">
        <f>IF(CP61=0,0,(CP60*CP61+CP62*CP63*6)/CP61)</f>
        <v>0</v>
      </c>
      <c r="CQ59" s="714">
        <f>IF(CO59=0,0,(CP59-CO59)/CO59*100)</f>
        <v>0</v>
      </c>
      <c r="CR59" s="820">
        <f>IF(CR61=0,0,(CR60*CR61+CR62*CR63*6)/CR61)</f>
        <v>0</v>
      </c>
      <c r="CS59" s="820">
        <f>IF(CS61=0,0,(CS60*CS61+CS62*CS63*6)/CS61)</f>
        <v>0</v>
      </c>
      <c r="CT59" s="714">
        <f>IF(CR59=0,0,(CS59-CR59)/CR59*100)</f>
        <v>0</v>
      </c>
      <c r="CU59" s="820">
        <f>IF(CU61=0,0,(CU60*CU61+CU62*CU63*6)/CU61)</f>
        <v>0</v>
      </c>
      <c r="CV59" s="820">
        <f>IF(CV61=0,0,(CV60*CV61+CV62*CV63*6)/CV61)</f>
        <v>0</v>
      </c>
      <c r="CW59" s="714">
        <f>IF(CU59=0,0,(CV59-CU59)/CU59*100)</f>
        <v>0</v>
      </c>
      <c r="CX59" s="820">
        <f>IF(CX61=0,0,(CX60*CX61+CX62*CX63*6)/CX61)</f>
        <v>0</v>
      </c>
      <c r="CY59" s="820">
        <f>IF(CY61=0,0,(CY60*CY61+CY62*CY63*6)/CY61)</f>
        <v>0</v>
      </c>
      <c r="CZ59" s="714">
        <f>IF(CX59=0,0,(CY59-CX59)/CX59*100)</f>
        <v>0</v>
      </c>
      <c r="DA59" s="820">
        <f>IF(DA61=0,0,(DA60*DA61+DA62*DA63*6)/DA61)</f>
        <v>0</v>
      </c>
      <c r="DB59" s="820">
        <f>IF(DB61=0,0,(DB60*DB61+DB62*DB63*6)/DB61)</f>
        <v>0</v>
      </c>
      <c r="DC59" s="714">
        <f>IF(DA59=0,0,(DB59-DA59)/DA59*100)</f>
        <v>0</v>
      </c>
      <c r="DD59" s="820">
        <f>IF(DD61=0,0,(DD60*DD61+DD62*DD63*6)/DD61)</f>
        <v>0</v>
      </c>
      <c r="DE59" s="820">
        <f>IF(DE61=0,0,(DE60*DE61+DE62*DE63*6)/DE61)</f>
        <v>0</v>
      </c>
      <c r="DF59" s="714">
        <f>IF(DD59=0,0,(DE59-DD59)/DD59*100)</f>
        <v>0</v>
      </c>
      <c r="DG59" s="820">
        <f>IF(DG61=0,0,(DG60*DG61+DG62*DG63*6)/DG61)</f>
        <v>0</v>
      </c>
      <c r="DH59" s="820">
        <f>IF(DH61=0,0,(DH60*DH61+DH62*DH63*6)/DH61)</f>
        <v>0</v>
      </c>
      <c r="DI59" s="714">
        <f>IF(DG59=0,0,(DH59-DG59)/DG59*100)</f>
        <v>0</v>
      </c>
      <c r="DJ59" s="820">
        <f>IF(DJ61=0,0,(DJ60*DJ61+DJ62*DJ63*6)/DJ61)</f>
        <v>0</v>
      </c>
      <c r="DK59" s="820">
        <f>IF(DK61=0,0,(DK60*DK61+DK62*DK63*6)/DK61)</f>
        <v>0</v>
      </c>
      <c r="DL59" s="714">
        <f>IF(DJ59=0,0,(DK59-DJ59)/DJ59*100)</f>
        <v>0</v>
      </c>
      <c r="DM59" s="820">
        <f>IF(DM61=0,0,(DM60*DM61+DM62*DM63*6)/DM61)</f>
        <v>0</v>
      </c>
      <c r="DN59" s="820">
        <f>IF(DN61=0,0,(DN60*DN61+DN62*DN63*6)/DN61)</f>
        <v>0</v>
      </c>
      <c r="DO59" s="714">
        <f>IF(DM59=0,0,(DN59-DM59)/DM59*100)</f>
        <v>0</v>
      </c>
      <c r="DP59" s="820">
        <f>IF(DP61=0,0,(DP60*DP61+DP62*DP63*6)/DP61)</f>
        <v>0</v>
      </c>
      <c r="DQ59" s="820">
        <f>IF(DQ61=0,0,(DQ60*DQ61+DQ62*DQ63*6)/DQ61)</f>
        <v>0</v>
      </c>
      <c r="DR59" s="714">
        <f>IF(DP59=0,0,(DQ59-DP59)/DP59*100)</f>
        <v>0</v>
      </c>
      <c r="DS59" s="820">
        <f>IF(DS61=0,0,(DS60*DS61+DS62*DS63*6)/DS61)</f>
        <v>0</v>
      </c>
      <c r="DT59" s="820">
        <f>IF(DT61=0,0,(DT60*DT61+DT62*DT63*6)/DT61)</f>
        <v>0</v>
      </c>
      <c r="DU59" s="714">
        <f>IF(DS59=0,0,(DT59-DS59)/DS59*100)</f>
        <v>0</v>
      </c>
      <c r="DV59" s="820">
        <f>IF(DV61=0,0,(DV60*DV61+DV62*DV63*6)/DV61)</f>
        <v>0</v>
      </c>
      <c r="DW59" s="820">
        <f>IF(DW61=0,0,(DW60*DW61+DW62*DW63*6)/DW61)</f>
        <v>0</v>
      </c>
      <c r="DX59" s="714">
        <f>IF(DV59=0,0,(DW59-DV59)/DV59*100)</f>
        <v>0</v>
      </c>
      <c r="DY59" s="820">
        <f>IF(DY61=0,0,(DY60*DY61+DY62*DY63*6)/DY61)</f>
        <v>0</v>
      </c>
      <c r="DZ59" s="820">
        <f>IF(DZ61=0,0,(DZ60*DZ61+DZ62*DZ63*6)/DZ61)</f>
        <v>0</v>
      </c>
      <c r="EA59" s="714">
        <f>IF(DY59=0,0,(DZ59-DY59)/DY59*100)</f>
        <v>0</v>
      </c>
      <c r="EB59" s="820">
        <f>IF(EB61=0,0,(EB60*EB61+EB62*EB63*6)/EB61)</f>
        <v>0</v>
      </c>
      <c r="EC59" s="820">
        <f>IF(EC61=0,0,(EC60*EC61+EC62*EC63*6)/EC61)</f>
        <v>0</v>
      </c>
      <c r="ED59" s="714">
        <f>IF(EB59=0,0,(EC59-EB59)/EB59*100)</f>
        <v>0</v>
      </c>
      <c r="EE59" s="820">
        <f>IF(EE61=0,0,(EE60*EE61+EE62*EE63*6)/EE61)</f>
        <v>0</v>
      </c>
      <c r="EF59" s="820">
        <f>IF(EF61=0,0,(EF60*EF61+EF62*EF63*6)/EF61)</f>
        <v>0</v>
      </c>
      <c r="EG59" s="714">
        <f>IF(EE59=0,0,(EF59-EE59)/EE59*100)</f>
        <v>0</v>
      </c>
      <c r="EH59" s="820">
        <f>IF(EH61=0,0,(EH60*EH61+EH62*EH63*6)/EH61)</f>
        <v>0</v>
      </c>
      <c r="EI59" s="820">
        <f>IF(EI61=0,0,(EI60*EI61+EI62*EI63*6)/EI61)</f>
        <v>0</v>
      </c>
      <c r="EJ59" s="714">
        <f>IF(EH59=0,0,(EI59-EH59)/EH59*100)</f>
        <v>0</v>
      </c>
      <c r="EK59" s="820">
        <f>IF(EK61=0,0,(EK60*EK61+EK62*EK63*6)/EK61)</f>
        <v>0</v>
      </c>
      <c r="EL59" s="820">
        <f>IF(EL61=0,0,(EL60*EL61+EL62*EL63*6)/EL61)</f>
        <v>0</v>
      </c>
      <c r="EM59" s="714">
        <f>IF(EK59=0,0,(EL59-EK59)/EK59*100)</f>
        <v>0</v>
      </c>
      <c r="EN59" s="820">
        <f>IF(EN61=0,0,(EN60*EN61+EN62*EN63*6)/EN61)</f>
        <v>0</v>
      </c>
      <c r="EO59" s="820">
        <f>IF(EO61=0,0,(EO60*EO61+EO62*EO63*6)/EO61)</f>
        <v>0</v>
      </c>
      <c r="EP59" s="714">
        <f>IF(EN59=0,0,(EO59-EN59)/EN59*100)</f>
        <v>0</v>
      </c>
      <c r="EQ59" s="820">
        <f>IF(EQ61=0,0,(EQ60*EQ61+EQ62*EQ63*6)/EQ61)</f>
        <v>0</v>
      </c>
      <c r="ER59" s="820">
        <f>IF(ER61=0,0,(ER60*ER61+ER62*ER63*6)/ER61)</f>
        <v>0</v>
      </c>
      <c r="ES59" s="714">
        <f>IF(EQ59=0,0,(ER59-EQ59)/EQ59*100)</f>
        <v>0</v>
      </c>
      <c r="ET59" s="820">
        <f>IF(ET61=0,0,(ET60*ET61+ET62*ET63*6)/ET61)</f>
        <v>0</v>
      </c>
      <c r="EU59" s="820">
        <f>IF(EU61=0,0,(EU60*EU61+EU62*EU63*6)/EU61)</f>
        <v>0</v>
      </c>
      <c r="EV59" s="714">
        <f>IF(ET59=0,0,(EU59-ET59)/ET59*100)</f>
        <v>0</v>
      </c>
      <c r="EW59" s="820">
        <f>IF(EW61=0,0,(EW60*EW61+EW62*EW63*6)/EW61)</f>
        <v>0</v>
      </c>
      <c r="EX59" s="820">
        <f>IF(EX61=0,0,(EX60*EX61+EX62*EX63*6)/EX61)</f>
        <v>0</v>
      </c>
      <c r="EY59" s="714">
        <f>IF(EW59=0,0,(EX59-EW59)/EW59*100)</f>
        <v>0</v>
      </c>
      <c r="EZ59" s="820">
        <f>IF(EZ61=0,0,(EZ60*EZ61+EZ62*EZ63*6)/EZ61)</f>
        <v>0</v>
      </c>
      <c r="FA59" s="820">
        <f>IF(FA61=0,0,(FA60*FA61+FA62*FA63*6)/FA61)</f>
        <v>0</v>
      </c>
      <c r="FB59" s="714">
        <f>IF(EZ59=0,0,(FA59-EZ59)/EZ59*100)</f>
        <v>0</v>
      </c>
      <c r="FC59" s="820">
        <f>IF(FC61=0,0,(FC60*FC61+FC62*FC63*6)/FC61)</f>
        <v>0</v>
      </c>
      <c r="FD59" s="820">
        <f>IF(FD61=0,0,(FD60*FD61+FD62*FD63*6)/FD61)</f>
        <v>0</v>
      </c>
      <c r="FE59" s="714">
        <f>IF(FC59=0,0,(FD59-FC59)/FC59*100)</f>
        <v>0</v>
      </c>
      <c r="FF59" s="820">
        <f>IF(FF61=0,0,(FF60*FF61+FF62*FF63*6)/FF61)</f>
        <v>0</v>
      </c>
      <c r="FG59" s="820">
        <f>IF(FG61=0,0,(FG60*FG61+FG62*FG63*6)/FG61)</f>
        <v>0</v>
      </c>
      <c r="FH59" s="714">
        <f>IF(FF59=0,0,(FG59-FF59)/FF59*100)</f>
        <v>0</v>
      </c>
      <c r="FI59" s="820">
        <f>IF(FI61=0,0,(FI60*FI61+FI62*FI63*6)/FI61)</f>
        <v>0</v>
      </c>
      <c r="FJ59" s="820">
        <f>IF(FJ61=0,0,(FJ60*FJ61+FJ62*FJ63*6)/FJ61)</f>
        <v>0</v>
      </c>
      <c r="FK59" s="714">
        <f>IF(FI59=0,0,(FJ59-FI59)/FI59*100)</f>
        <v>0</v>
      </c>
      <c r="FL59" s="820">
        <f>IF(FL61=0,0,(FL60*FL61+FL62*FL63*6)/FL61)</f>
        <v>0</v>
      </c>
      <c r="FM59" s="820">
        <f>IF(FM61=0,0,(FM60*FM61+FM62*FM63*6)/FM61)</f>
        <v>0</v>
      </c>
      <c r="FN59" s="714">
        <f>IF(FL59=0,0,(FM59-FL59)/FL59*100)</f>
        <v>0</v>
      </c>
      <c r="FO59" s="820">
        <f>IF(FO61=0,0,(FO60*FO61+FO62*FO63*6)/FO61)</f>
        <v>0</v>
      </c>
      <c r="FP59" s="820">
        <f>IF(FP61=0,0,(FP60*FP61+FP62*FP63*6)/FP61)</f>
        <v>0</v>
      </c>
      <c r="FQ59" s="714">
        <f>IF(FO59=0,0,(FP59-FO59)/FO59*100)</f>
        <v>0</v>
      </c>
      <c r="FR59" s="820">
        <f>IF(FR61=0,0,(FR60*FR61+FR62*FR63*6)/FR61)</f>
        <v>0</v>
      </c>
      <c r="FS59" s="820">
        <f>IF(FS61=0,0,(FS60*FS61+FS62*FS63*6)/FS61)</f>
        <v>0</v>
      </c>
      <c r="FT59" s="714">
        <f>IF(FR59=0,0,(FS59-FR59)/FR59*100)</f>
        <v>0</v>
      </c>
      <c r="FU59" s="820">
        <f>IF(FU61=0,0,(FU60*FU61+FU62*FU63*6)/FU61)</f>
        <v>0</v>
      </c>
      <c r="FV59" s="820">
        <f>IF(FV61=0,0,(FV60*FV61+FV62*FV63*6)/FV61)</f>
        <v>0</v>
      </c>
      <c r="FW59" s="714">
        <f>IF(FU59=0,0,(FV59-FU59)/FU59*100)</f>
        <v>0</v>
      </c>
      <c r="FZ59" s="691" t="s">
        <v>1698</v>
      </c>
    </row>
    <row r="60" spans="1:182" ht="14.65" hidden="1" customHeight="1" x14ac:dyDescent="0.15">
      <c r="A60" s="59"/>
      <c r="B60" s="613" t="b" cm="1">
        <f t="array" ref="B60">B59</f>
        <v>0</v>
      </c>
      <c r="C60" s="59"/>
      <c r="D60" s="59"/>
      <c r="E60" s="462">
        <v>15</v>
      </c>
      <c r="F60" s="3" cm="1">
        <f t="array" aca="1" ref="F60" ca="1">OFFSET(E60,-1,1)</f>
        <v>0</v>
      </c>
      <c r="G60" s="59"/>
      <c r="H60" s="59" t="s">
        <v>1574</v>
      </c>
      <c r="I60" s="59" t="s">
        <v>1657</v>
      </c>
      <c r="J60" s="59"/>
      <c r="K60" s="59"/>
      <c r="L60" s="59"/>
      <c r="M60" s="59"/>
      <c r="N60" s="59"/>
      <c r="O60" s="59"/>
      <c r="P60" s="59"/>
      <c r="Q60" s="59"/>
      <c r="R60" s="59"/>
      <c r="S60" s="59"/>
      <c r="T60" s="353" t="b" cm="1">
        <f t="array" aca="1" ref="T60" ca="1">T59</f>
        <v>0</v>
      </c>
      <c r="U60" s="59"/>
      <c r="V60" s="59"/>
      <c r="W60" s="59"/>
      <c r="X60" s="1022"/>
      <c r="Y60" s="59"/>
      <c r="Z60" s="966"/>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1644</v>
      </c>
      <c r="AD60" s="820"/>
      <c r="AE60" s="820"/>
      <c r="AF60" s="714">
        <f>IF(AD60=0,0,(AE60-AD60)/AD60*100)</f>
        <v>0</v>
      </c>
      <c r="AG60" s="820"/>
      <c r="AH60" s="820"/>
      <c r="AI60" s="714">
        <f>IF(AG60=0,0,(AH60-AG60)/AG60*100)</f>
        <v>0</v>
      </c>
      <c r="AJ60" s="820"/>
      <c r="AK60" s="820"/>
      <c r="AL60" s="714">
        <f>IF(AJ60=0,0,(AK60-AJ60)/AJ60*100)</f>
        <v>0</v>
      </c>
      <c r="AM60" s="820"/>
      <c r="AN60" s="820"/>
      <c r="AO60" s="714">
        <f>IF(AM60=0,0,(AN60-AM60)/AM60*100)</f>
        <v>0</v>
      </c>
      <c r="AP60" s="820"/>
      <c r="AQ60" s="820"/>
      <c r="AR60" s="714">
        <f>IF(AP60=0,0,(AQ60-AP60)/AP60*100)</f>
        <v>0</v>
      </c>
      <c r="AS60" s="820"/>
      <c r="AT60" s="820"/>
      <c r="AU60" s="714">
        <f>IF(AS60=0,0,(AT60-AS60)/AS60*100)</f>
        <v>0</v>
      </c>
      <c r="AV60" s="820"/>
      <c r="AW60" s="820"/>
      <c r="AX60" s="714">
        <f>IF(AV60=0,0,(AW60-AV60)/AV60*100)</f>
        <v>0</v>
      </c>
      <c r="AY60" s="820"/>
      <c r="AZ60" s="820"/>
      <c r="BA60" s="714">
        <f>IF(AY60=0,0,(AZ60-AY60)/AY60*100)</f>
        <v>0</v>
      </c>
      <c r="BB60" s="820"/>
      <c r="BC60" s="820"/>
      <c r="BD60" s="714">
        <f>IF(BB60=0,0,(BC60-BB60)/BB60*100)</f>
        <v>0</v>
      </c>
      <c r="BE60" s="820"/>
      <c r="BF60" s="820"/>
      <c r="BG60" s="714">
        <f>IF(BE60=0,0,(BF60-BE60)/BE60*100)</f>
        <v>0</v>
      </c>
      <c r="BH60" s="820"/>
      <c r="BI60" s="820"/>
      <c r="BJ60" s="714">
        <f>IF(BH60=0,0,(BI60-BH60)/BH60*100)</f>
        <v>0</v>
      </c>
      <c r="BK60" s="820"/>
      <c r="BL60" s="820"/>
      <c r="BM60" s="714">
        <f>IF(BK60=0,0,(BL60-BK60)/BK60*100)</f>
        <v>0</v>
      </c>
      <c r="BN60" s="820"/>
      <c r="BO60" s="820"/>
      <c r="BP60" s="714">
        <f>IF(BN60=0,0,(BO60-BN60)/BN60*100)</f>
        <v>0</v>
      </c>
      <c r="BQ60" s="820"/>
      <c r="BR60" s="820"/>
      <c r="BS60" s="714">
        <f>IF(BQ60=0,0,(BR60-BQ60)/BQ60*100)</f>
        <v>0</v>
      </c>
      <c r="BT60" s="820"/>
      <c r="BU60" s="820"/>
      <c r="BV60" s="714">
        <f>IF(BT60=0,0,(BU60-BT60)/BT60*100)</f>
        <v>0</v>
      </c>
      <c r="BW60" s="820"/>
      <c r="BX60" s="820"/>
      <c r="BY60" s="714">
        <f>IF(BW60=0,0,(BX60-BW60)/BW60*100)</f>
        <v>0</v>
      </c>
      <c r="BZ60" s="820"/>
      <c r="CA60" s="820"/>
      <c r="CB60" s="714">
        <f>IF(BZ60=0,0,(CA60-BZ60)/BZ60*100)</f>
        <v>0</v>
      </c>
      <c r="CC60" s="820"/>
      <c r="CD60" s="820"/>
      <c r="CE60" s="714">
        <f>IF(CC60=0,0,(CD60-CC60)/CC60*100)</f>
        <v>0</v>
      </c>
      <c r="CF60" s="820"/>
      <c r="CG60" s="820"/>
      <c r="CH60" s="714">
        <f>IF(CF60=0,0,(CG60-CF60)/CF60*100)</f>
        <v>0</v>
      </c>
      <c r="CI60" s="820"/>
      <c r="CJ60" s="820"/>
      <c r="CK60" s="714">
        <f>IF(CI60=0,0,(CJ60-CI60)/CI60*100)</f>
        <v>0</v>
      </c>
      <c r="CL60" s="820"/>
      <c r="CM60" s="820"/>
      <c r="CN60" s="714">
        <f>IF(CL60=0,0,(CM60-CL60)/CL60*100)</f>
        <v>0</v>
      </c>
      <c r="CO60" s="820"/>
      <c r="CP60" s="820"/>
      <c r="CQ60" s="714">
        <f>IF(CO60=0,0,(CP60-CO60)/CO60*100)</f>
        <v>0</v>
      </c>
      <c r="CR60" s="820"/>
      <c r="CS60" s="820"/>
      <c r="CT60" s="714">
        <f>IF(CR60=0,0,(CS60-CR60)/CR60*100)</f>
        <v>0</v>
      </c>
      <c r="CU60" s="820"/>
      <c r="CV60" s="820"/>
      <c r="CW60" s="714">
        <f>IF(CU60=0,0,(CV60-CU60)/CU60*100)</f>
        <v>0</v>
      </c>
      <c r="CX60" s="820"/>
      <c r="CY60" s="820"/>
      <c r="CZ60" s="714">
        <f>IF(CX60=0,0,(CY60-CX60)/CX60*100)</f>
        <v>0</v>
      </c>
      <c r="DA60" s="820"/>
      <c r="DB60" s="820"/>
      <c r="DC60" s="714">
        <f>IF(DA60=0,0,(DB60-DA60)/DA60*100)</f>
        <v>0</v>
      </c>
      <c r="DD60" s="820"/>
      <c r="DE60" s="820"/>
      <c r="DF60" s="714">
        <f>IF(DD60=0,0,(DE60-DD60)/DD60*100)</f>
        <v>0</v>
      </c>
      <c r="DG60" s="820"/>
      <c r="DH60" s="820"/>
      <c r="DI60" s="714">
        <f>IF(DG60=0,0,(DH60-DG60)/DG60*100)</f>
        <v>0</v>
      </c>
      <c r="DJ60" s="820"/>
      <c r="DK60" s="820"/>
      <c r="DL60" s="714">
        <f>IF(DJ60=0,0,(DK60-DJ60)/DJ60*100)</f>
        <v>0</v>
      </c>
      <c r="DM60" s="820"/>
      <c r="DN60" s="820"/>
      <c r="DO60" s="714">
        <f>IF(DM60=0,0,(DN60-DM60)/DM60*100)</f>
        <v>0</v>
      </c>
      <c r="DP60" s="820"/>
      <c r="DQ60" s="820"/>
      <c r="DR60" s="714">
        <f>IF(DP60=0,0,(DQ60-DP60)/DP60*100)</f>
        <v>0</v>
      </c>
      <c r="DS60" s="820"/>
      <c r="DT60" s="820"/>
      <c r="DU60" s="714">
        <f>IF(DS60=0,0,(DT60-DS60)/DS60*100)</f>
        <v>0</v>
      </c>
      <c r="DV60" s="820"/>
      <c r="DW60" s="820"/>
      <c r="DX60" s="714">
        <f>IF(DV60=0,0,(DW60-DV60)/DV60*100)</f>
        <v>0</v>
      </c>
      <c r="DY60" s="820"/>
      <c r="DZ60" s="820"/>
      <c r="EA60" s="714">
        <f>IF(DY60=0,0,(DZ60-DY60)/DY60*100)</f>
        <v>0</v>
      </c>
      <c r="EB60" s="820"/>
      <c r="EC60" s="820"/>
      <c r="ED60" s="714">
        <f>IF(EB60=0,0,(EC60-EB60)/EB60*100)</f>
        <v>0</v>
      </c>
      <c r="EE60" s="820"/>
      <c r="EF60" s="820"/>
      <c r="EG60" s="714">
        <f>IF(EE60=0,0,(EF60-EE60)/EE60*100)</f>
        <v>0</v>
      </c>
      <c r="EH60" s="820"/>
      <c r="EI60" s="820"/>
      <c r="EJ60" s="714">
        <f>IF(EH60=0,0,(EI60-EH60)/EH60*100)</f>
        <v>0</v>
      </c>
      <c r="EK60" s="820"/>
      <c r="EL60" s="820"/>
      <c r="EM60" s="714">
        <f>IF(EK60=0,0,(EL60-EK60)/EK60*100)</f>
        <v>0</v>
      </c>
      <c r="EN60" s="820"/>
      <c r="EO60" s="820"/>
      <c r="EP60" s="714">
        <f>IF(EN60=0,0,(EO60-EN60)/EN60*100)</f>
        <v>0</v>
      </c>
      <c r="EQ60" s="820"/>
      <c r="ER60" s="820"/>
      <c r="ES60" s="714">
        <f>IF(EQ60=0,0,(ER60-EQ60)/EQ60*100)</f>
        <v>0</v>
      </c>
      <c r="ET60" s="820"/>
      <c r="EU60" s="820"/>
      <c r="EV60" s="714">
        <f>IF(ET60=0,0,(EU60-ET60)/ET60*100)</f>
        <v>0</v>
      </c>
      <c r="EW60" s="820"/>
      <c r="EX60" s="820"/>
      <c r="EY60" s="714">
        <f>IF(EW60=0,0,(EX60-EW60)/EW60*100)</f>
        <v>0</v>
      </c>
      <c r="EZ60" s="820"/>
      <c r="FA60" s="820"/>
      <c r="FB60" s="714">
        <f>IF(EZ60=0,0,(FA60-EZ60)/EZ60*100)</f>
        <v>0</v>
      </c>
      <c r="FC60" s="820"/>
      <c r="FD60" s="820"/>
      <c r="FE60" s="714">
        <f>IF(FC60=0,0,(FD60-FC60)/FC60*100)</f>
        <v>0</v>
      </c>
      <c r="FF60" s="820"/>
      <c r="FG60" s="820"/>
      <c r="FH60" s="714">
        <f>IF(FF60=0,0,(FG60-FF60)/FF60*100)</f>
        <v>0</v>
      </c>
      <c r="FI60" s="820"/>
      <c r="FJ60" s="820"/>
      <c r="FK60" s="714">
        <f>IF(FI60=0,0,(FJ60-FI60)/FI60*100)</f>
        <v>0</v>
      </c>
      <c r="FL60" s="820"/>
      <c r="FM60" s="820"/>
      <c r="FN60" s="714">
        <f>IF(FL60=0,0,(FM60-FL60)/FL60*100)</f>
        <v>0</v>
      </c>
      <c r="FO60" s="820"/>
      <c r="FP60" s="820"/>
      <c r="FQ60" s="714">
        <f>IF(FO60=0,0,(FP60-FO60)/FO60*100)</f>
        <v>0</v>
      </c>
      <c r="FR60" s="820"/>
      <c r="FS60" s="820"/>
      <c r="FT60" s="714">
        <f>IF(FR60=0,0,(FS60-FR60)/FR60*100)</f>
        <v>0</v>
      </c>
      <c r="FU60" s="820"/>
      <c r="FV60" s="820"/>
      <c r="FW60" s="714">
        <f>IF(FU60=0,0,(FV60-FU60)/FU60*100)</f>
        <v>0</v>
      </c>
      <c r="FZ60" s="691" t="s">
        <v>1699</v>
      </c>
    </row>
    <row r="61" spans="1:182" ht="14.65" hidden="1" customHeight="1" x14ac:dyDescent="0.15">
      <c r="A61" s="59"/>
      <c r="B61" s="613" t="b" cm="1">
        <f t="array" ref="B61">B60</f>
        <v>0</v>
      </c>
      <c r="C61" s="59"/>
      <c r="D61" s="59"/>
      <c r="E61" s="462">
        <v>15</v>
      </c>
      <c r="F61" s="3" cm="1">
        <f t="array" aca="1" ref="F61" ca="1">OFFSET(E61,-1,1)</f>
        <v>0</v>
      </c>
      <c r="G61" s="25" t="s">
        <v>1700</v>
      </c>
      <c r="H61" s="59" t="s">
        <v>1681</v>
      </c>
      <c r="I61" s="59" t="s">
        <v>1657</v>
      </c>
      <c r="J61" s="59"/>
      <c r="K61" s="59"/>
      <c r="L61" s="59"/>
      <c r="M61" s="59"/>
      <c r="N61" s="59"/>
      <c r="O61" s="59"/>
      <c r="P61" s="59"/>
      <c r="Q61" s="59"/>
      <c r="R61" s="59"/>
      <c r="S61" s="59"/>
      <c r="T61" s="353" t="b" cm="1">
        <f t="array" aca="1" ref="T61" ca="1">T60</f>
        <v>0</v>
      </c>
      <c r="U61" s="59"/>
      <c r="V61" s="59"/>
      <c r="W61" s="59"/>
      <c r="X61" s="1022"/>
      <c r="Y61" s="59"/>
      <c r="Z61" s="966"/>
      <c r="AA61" s="59"/>
      <c r="AB61" s="105" t="str">
        <f>"объём "&amp;IF(Q29="Водоснабжение","потребления холодной воды","водоотведения")</f>
        <v>объём водоотведения</v>
      </c>
      <c r="AC61" s="12" t="s">
        <v>558</v>
      </c>
      <c r="AD61" s="836">
        <f ca="1">IF(AND(method_reg="Метод индексации",god&lt;&gt;first_year),SUMIFS(INDEX('Калькуляция (МИ корр)'!$AJ$25:$BC$603,,MATCH(AD$8,'Калькуляция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(МИ)'!$AJ$25:$BC$603,,MATCH(AD$8,'Калькуляция (МИ)'!$AJ$8:$BC$8,0)),'Калькуляция (МИ)'!$F$25:$F$603,$F61,'Калькуляция (МИ)'!$G$25:$G$603,$G61))))</f>
        <v>0</v>
      </c>
      <c r="AE61" s="836">
        <f ca="1">IF(AND(method_reg="Метод индексации",god&lt;&gt;first_year),SUMIFS(INDEX('Калькуляция (МИ корр)'!$AJ$25:$BC$603,,MATCH(AE$8,'Калькуляция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(МИ)'!$AJ$25:$BC$603,,MATCH(AE$8,'Калькуляция (МИ)'!$AJ$8:$BC$8,0)),'Калькуляция (МИ)'!$F$25:$F$603,$F61,'Калькуляция (МИ)'!$G$25:$G$603,$G61))))</f>
        <v>0</v>
      </c>
      <c r="AF61" s="715">
        <f ca="1">IF(AD61=0,0,(AE61-AD61)/AD61*100)</f>
        <v>0</v>
      </c>
      <c r="AG61" s="836">
        <f ca="1">IF(AND(method_reg="Метод индексации",god&lt;&gt;first_year),SUMIFS(INDEX('Калькуляция (МИ корр)'!$AJ$25:$BC$603,,MATCH(AG$8,'Калькуляция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(МИ)'!$AJ$25:$BC$603,,MATCH(AG$8,'Калькуляция (МИ)'!$AJ$8:$BC$8,0)),'Калькуляция (МИ)'!$F$25:$F$603,$F61,'Калькуляция (МИ)'!$G$25:$G$603,$G61))))</f>
        <v>0</v>
      </c>
      <c r="AH61" s="836">
        <f ca="1">IF(AND(method_reg="Метод индексации",god&lt;&gt;first_year),SUMIFS(INDEX('Калькуляция (МИ корр)'!$AJ$25:$BC$603,,MATCH(AH$8,'Калькуляция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(МИ)'!$AJ$25:$BC$603,,MATCH(AH$8,'Калькуляция (МИ)'!$AJ$8:$BC$8,0)),'Калькуляция (МИ)'!$F$25:$F$603,$F61,'Калькуляция (МИ)'!$G$25:$G$603,$G61))))</f>
        <v>0</v>
      </c>
      <c r="AI61" s="715">
        <f ca="1">IF(AG61=0,0,(AH61-AG61)/AG61*100)</f>
        <v>0</v>
      </c>
      <c r="AJ61" s="836">
        <f ca="1">IF(AND(method_reg="Метод индексации",god&lt;&gt;first_year),SUMIFS(INDEX('Калькуляция (МИ корр)'!$AJ$25:$BC$603,,MATCH(AJ$8,'Калькуляция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(МИ)'!$AJ$25:$BC$603,,MATCH(AJ$8,'Калькуляция (МИ)'!$AJ$8:$BC$8,0)),'Калькуляция (МИ)'!$F$25:$F$603,$F61,'Калькуляция (МИ)'!$G$25:$G$603,$G61))))</f>
        <v>0</v>
      </c>
      <c r="AK61" s="836">
        <f ca="1">IF(AND(method_reg="Метод индексации",god&lt;&gt;first_year),SUMIFS(INDEX('Калькуляция (МИ корр)'!$AJ$25:$BC$603,,MATCH(AK$8,'Калькуляция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(МИ)'!$AJ$25:$BC$603,,MATCH(AK$8,'Калькуляция (МИ)'!$AJ$8:$BC$8,0)),'Калькуляция (МИ)'!$F$25:$F$603,$F61,'Калькуляция (МИ)'!$G$25:$G$603,$G61))))</f>
        <v>0</v>
      </c>
      <c r="AL61" s="715">
        <f ca="1">IF(AJ61=0,0,(AK61-AJ61)/AJ61*100)</f>
        <v>0</v>
      </c>
      <c r="AM61" s="836">
        <f ca="1">IF(AND(method_reg="Метод индексации",god&lt;&gt;first_year),SUMIFS(INDEX('Калькуляция (МИ корр)'!$AJ$25:$BC$603,,MATCH(AM$8,'Калькуляция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(МИ)'!$AJ$25:$BC$603,,MATCH(AM$8,'Калькуляция (МИ)'!$AJ$8:$BC$8,0)),'Калькуляция (МИ)'!$F$25:$F$603,$F61,'Калькуляция (МИ)'!$G$25:$G$603,$G61))))</f>
        <v>0</v>
      </c>
      <c r="AN61" s="836">
        <f ca="1">IF(AND(method_reg="Метод индексации",god&lt;&gt;first_year),SUMIFS(INDEX('Калькуляция (МИ корр)'!$AJ$25:$BC$603,,MATCH(AN$8,'Калькуляция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(МИ)'!$AJ$25:$BC$603,,MATCH(AN$8,'Калькуляция (МИ)'!$AJ$8:$BC$8,0)),'Калькуляция (МИ)'!$F$25:$F$603,$F61,'Калькуляция (МИ)'!$G$25:$G$603,$G61))))</f>
        <v>0</v>
      </c>
      <c r="AO61" s="715">
        <f ca="1">IF(AM61=0,0,(AN61-AM61)/AM61*100)</f>
        <v>0</v>
      </c>
      <c r="AP61" s="836">
        <f ca="1">IF(AND(method_reg="Метод индексации",god&lt;&gt;first_year),SUMIFS(INDEX('Калькуляция (МИ корр)'!$AJ$25:$BC$603,,MATCH(AP$8,'Калькуляция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(МИ)'!$AJ$25:$BC$603,,MATCH(AP$8,'Калькуляция (МИ)'!$AJ$8:$BC$8,0)),'Калькуляция (МИ)'!$F$25:$F$603,$F61,'Калькуляция (МИ)'!$G$25:$G$603,$G61))))</f>
        <v>0</v>
      </c>
      <c r="AQ61" s="836">
        <f ca="1">IF(AND(method_reg="Метод индексации",god&lt;&gt;first_year),SUMIFS(INDEX('Калькуляция (МИ корр)'!$AJ$25:$BC$603,,MATCH(AQ$8,'Калькуляция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(МИ)'!$AJ$25:$BC$603,,MATCH(AQ$8,'Калькуляция (МИ)'!$AJ$8:$BC$8,0)),'Калькуляция (МИ)'!$F$25:$F$603,$F61,'Калькуляция (МИ)'!$G$25:$G$603,$G61))))</f>
        <v>0</v>
      </c>
      <c r="AR61" s="715">
        <f ca="1">IF(AP61=0,0,(AQ61-AP61)/AP61*100)</f>
        <v>0</v>
      </c>
      <c r="AS61" s="836">
        <f ca="1">IF(AND(method_reg="Метод индексации",god&lt;&gt;first_year),SUMIFS(INDEX('Калькуляция (МИ корр)'!$AJ$25:$BC$603,,MATCH(AS$8,'Калькуляция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(МИ)'!$AJ$25:$BC$603,,MATCH(AS$8,'Калькуляция (МИ)'!$AJ$8:$BC$8,0)),'Калькуляция (МИ)'!$F$25:$F$603,$F61,'Калькуляция (МИ)'!$G$25:$G$603,$G61))))</f>
        <v>0</v>
      </c>
      <c r="AT61" s="836">
        <f ca="1">IF(AND(method_reg="Метод индексации",god&lt;&gt;first_year),SUMIFS(INDEX('Калькуляция (МИ корр)'!$AJ$25:$BC$603,,MATCH(AT$8,'Калькуляция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(МИ)'!$AJ$25:$BC$603,,MATCH(AT$8,'Калькуляция (МИ)'!$AJ$8:$BC$8,0)),'Калькуляция (МИ)'!$F$25:$F$603,$F61,'Калькуляция (МИ)'!$G$25:$G$603,$G61))))</f>
        <v>0</v>
      </c>
      <c r="AU61" s="715">
        <f ca="1">IF(AS61=0,0,(AT61-AS61)/AS61*100)</f>
        <v>0</v>
      </c>
      <c r="AV61" s="836">
        <f ca="1">IF(AND(method_reg="Метод индексации",god&lt;&gt;first_year),SUMIFS(INDEX('Калькуляция (МИ корр)'!$AJ$25:$BC$603,,MATCH(AV$8,'Калькуляция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(МИ)'!$AJ$25:$BC$603,,MATCH(AV$8,'Калькуляция (МИ)'!$AJ$8:$BC$8,0)),'Калькуляция (МИ)'!$F$25:$F$603,$F61,'Калькуляция (МИ)'!$G$25:$G$603,$G61))))</f>
        <v>0</v>
      </c>
      <c r="AW61" s="836">
        <f ca="1">IF(AND(method_reg="Метод индексации",god&lt;&gt;first_year),SUMIFS(INDEX('Калькуляция (МИ корр)'!$AJ$25:$BC$603,,MATCH(AW$8,'Калькуляция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(МИ)'!$AJ$25:$BC$603,,MATCH(AW$8,'Калькуляция (МИ)'!$AJ$8:$BC$8,0)),'Калькуляция (МИ)'!$F$25:$F$603,$F61,'Калькуляция (МИ)'!$G$25:$G$603,$G61))))</f>
        <v>0</v>
      </c>
      <c r="AX61" s="715">
        <f ca="1">IF(AV61=0,0,(AW61-AV61)/AV61*100)</f>
        <v>0</v>
      </c>
      <c r="AY61" s="836">
        <f ca="1">IF(AND(method_reg="Метод индексации",god&lt;&gt;first_year),SUMIFS(INDEX('Калькуляция (МИ корр)'!$AJ$25:$BC$603,,MATCH(AY$8,'Калькуляция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(МИ)'!$AJ$25:$BC$603,,MATCH(AY$8,'Калькуляция (МИ)'!$AJ$8:$BC$8,0)),'Калькуляция (МИ)'!$F$25:$F$603,$F61,'Калькуляция (МИ)'!$G$25:$G$603,$G61))))</f>
        <v>0</v>
      </c>
      <c r="AZ61" s="836">
        <f ca="1">IF(AND(method_reg="Метод индексации",god&lt;&gt;first_year),SUMIFS(INDEX('Калькуляция (МИ корр)'!$AJ$25:$BC$603,,MATCH(AZ$8,'Калькуляция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(МИ)'!$AJ$25:$BC$603,,MATCH(AZ$8,'Калькуляция (МИ)'!$AJ$8:$BC$8,0)),'Калькуляция (МИ)'!$F$25:$F$603,$F61,'Калькуляция (МИ)'!$G$25:$G$603,$G61))))</f>
        <v>0</v>
      </c>
      <c r="BA61" s="715">
        <f ca="1">IF(AY61=0,0,(AZ61-AY61)/AY61*100)</f>
        <v>0</v>
      </c>
      <c r="BB61" s="836">
        <f ca="1">IF(AND(method_reg="Метод индексации",god&lt;&gt;first_year),SUMIFS(INDEX('Калькуляция (МИ корр)'!$AJ$25:$BC$603,,MATCH(BB$8,'Калькуляция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(МИ)'!$AJ$25:$BC$603,,MATCH(BB$8,'Калькуляция (МИ)'!$AJ$8:$BC$8,0)),'Калькуляция (МИ)'!$F$25:$F$603,$F61,'Калькуляция (МИ)'!$G$25:$G$603,$G61))))</f>
        <v>0</v>
      </c>
      <c r="BC61" s="836">
        <f ca="1">IF(AND(method_reg="Метод индексации",god&lt;&gt;first_year),SUMIFS(INDEX('Калькуляция (МИ корр)'!$AJ$25:$BC$603,,MATCH(BC$8,'Калькуляция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(МИ)'!$AJ$25:$BC$603,,MATCH(BC$8,'Калькуляция (МИ)'!$AJ$8:$BC$8,0)),'Калькуляция (МИ)'!$F$25:$F$603,$F61,'Калькуляция (МИ)'!$G$25:$G$603,$G61))))</f>
        <v>0</v>
      </c>
      <c r="BD61" s="715">
        <f ca="1">IF(BB61=0,0,(BC61-BB61)/BB61*100)</f>
        <v>0</v>
      </c>
      <c r="BE61" s="836">
        <f ca="1">IF(AND(method_reg="Метод индексации",god&lt;&gt;first_year),SUMIFS(INDEX('Калькуляция (МИ корр)'!$AJ$25:$BC$603,,MATCH(BE$8,'Калькуляция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(МИ)'!$AJ$25:$BC$603,,MATCH(BE$8,'Калькуляция (МИ)'!$AJ$8:$BC$8,0)),'Калькуляция (МИ)'!$F$25:$F$603,$F61,'Калькуляция (МИ)'!$G$25:$G$603,$G61))))</f>
        <v>0</v>
      </c>
      <c r="BF61" s="836">
        <f ca="1">IF(AND(method_reg="Метод индексации",god&lt;&gt;first_year),SUMIFS(INDEX('Калькуляция (МИ корр)'!$AJ$25:$BC$603,,MATCH(BF$8,'Калькуляция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(МИ)'!$AJ$25:$BC$603,,MATCH(BF$8,'Калькуляция (МИ)'!$AJ$8:$BC$8,0)),'Калькуляция (МИ)'!$F$25:$F$603,$F61,'Калькуляция (МИ)'!$G$25:$G$603,$G61))))</f>
        <v>0</v>
      </c>
      <c r="BG61" s="715">
        <f ca="1">IF(BE61=0,0,(BF61-BE61)/BE61*100)</f>
        <v>0</v>
      </c>
      <c r="BH61" s="836"/>
      <c r="BI61" s="836"/>
      <c r="BJ61" s="715">
        <f>IF(BH61=0,0,(BI61-BH61)/BH61*100)</f>
        <v>0</v>
      </c>
      <c r="BK61" s="836"/>
      <c r="BL61" s="836"/>
      <c r="BM61" s="715">
        <f>IF(BK61=0,0,(BL61-BK61)/BK61*100)</f>
        <v>0</v>
      </c>
      <c r="BN61" s="836"/>
      <c r="BO61" s="836"/>
      <c r="BP61" s="715">
        <f>IF(BN61=0,0,(BO61-BN61)/BN61*100)</f>
        <v>0</v>
      </c>
      <c r="BQ61" s="836"/>
      <c r="BR61" s="836"/>
      <c r="BS61" s="715">
        <f>IF(BQ61=0,0,(BR61-BQ61)/BQ61*100)</f>
        <v>0</v>
      </c>
      <c r="BT61" s="836"/>
      <c r="BU61" s="836"/>
      <c r="BV61" s="715">
        <f>IF(BT61=0,0,(BU61-BT61)/BT61*100)</f>
        <v>0</v>
      </c>
      <c r="BW61" s="836"/>
      <c r="BX61" s="836"/>
      <c r="BY61" s="715">
        <f>IF(BW61=0,0,(BX61-BW61)/BW61*100)</f>
        <v>0</v>
      </c>
      <c r="BZ61" s="836"/>
      <c r="CA61" s="836"/>
      <c r="CB61" s="715">
        <f>IF(BZ61=0,0,(CA61-BZ61)/BZ61*100)</f>
        <v>0</v>
      </c>
      <c r="CC61" s="836"/>
      <c r="CD61" s="836"/>
      <c r="CE61" s="715">
        <f>IF(CC61=0,0,(CD61-CC61)/CC61*100)</f>
        <v>0</v>
      </c>
      <c r="CF61" s="836"/>
      <c r="CG61" s="836"/>
      <c r="CH61" s="715">
        <f>IF(CF61=0,0,(CG61-CF61)/CF61*100)</f>
        <v>0</v>
      </c>
      <c r="CI61" s="836"/>
      <c r="CJ61" s="836"/>
      <c r="CK61" s="715">
        <f>IF(CI61=0,0,(CJ61-CI61)/CI61*100)</f>
        <v>0</v>
      </c>
      <c r="CL61" s="836"/>
      <c r="CM61" s="836"/>
      <c r="CN61" s="715">
        <f>IF(CL61=0,0,(CM61-CL61)/CL61*100)</f>
        <v>0</v>
      </c>
      <c r="CO61" s="836"/>
      <c r="CP61" s="836"/>
      <c r="CQ61" s="715">
        <f>IF(CO61=0,0,(CP61-CO61)/CO61*100)</f>
        <v>0</v>
      </c>
      <c r="CR61" s="836"/>
      <c r="CS61" s="836"/>
      <c r="CT61" s="715">
        <f>IF(CR61=0,0,(CS61-CR61)/CR61*100)</f>
        <v>0</v>
      </c>
      <c r="CU61" s="836"/>
      <c r="CV61" s="836"/>
      <c r="CW61" s="715">
        <f>IF(CU61=0,0,(CV61-CU61)/CU61*100)</f>
        <v>0</v>
      </c>
      <c r="CX61" s="836"/>
      <c r="CY61" s="836"/>
      <c r="CZ61" s="715">
        <f>IF(CX61=0,0,(CY61-CX61)/CX61*100)</f>
        <v>0</v>
      </c>
      <c r="DA61" s="836"/>
      <c r="DB61" s="836"/>
      <c r="DC61" s="715">
        <f>IF(DA61=0,0,(DB61-DA61)/DA61*100)</f>
        <v>0</v>
      </c>
      <c r="DD61" s="836"/>
      <c r="DE61" s="836"/>
      <c r="DF61" s="715">
        <f>IF(DD61=0,0,(DE61-DD61)/DD61*100)</f>
        <v>0</v>
      </c>
      <c r="DG61" s="836"/>
      <c r="DH61" s="836"/>
      <c r="DI61" s="715">
        <f>IF(DG61=0,0,(DH61-DG61)/DG61*100)</f>
        <v>0</v>
      </c>
      <c r="DJ61" s="836"/>
      <c r="DK61" s="836"/>
      <c r="DL61" s="715">
        <f>IF(DJ61=0,0,(DK61-DJ61)/DJ61*100)</f>
        <v>0</v>
      </c>
      <c r="DM61" s="836"/>
      <c r="DN61" s="836"/>
      <c r="DO61" s="715">
        <f>IF(DM61=0,0,(DN61-DM61)/DM61*100)</f>
        <v>0</v>
      </c>
      <c r="DP61" s="836"/>
      <c r="DQ61" s="836"/>
      <c r="DR61" s="715">
        <f>IF(DP61=0,0,(DQ61-DP61)/DP61*100)</f>
        <v>0</v>
      </c>
      <c r="DS61" s="836"/>
      <c r="DT61" s="836"/>
      <c r="DU61" s="715">
        <f>IF(DS61=0,0,(DT61-DS61)/DS61*100)</f>
        <v>0</v>
      </c>
      <c r="DV61" s="836"/>
      <c r="DW61" s="836"/>
      <c r="DX61" s="715">
        <f>IF(DV61=0,0,(DW61-DV61)/DV61*100)</f>
        <v>0</v>
      </c>
      <c r="DY61" s="836"/>
      <c r="DZ61" s="836"/>
      <c r="EA61" s="715">
        <f>IF(DY61=0,0,(DZ61-DY61)/DY61*100)</f>
        <v>0</v>
      </c>
      <c r="EB61" s="836"/>
      <c r="EC61" s="836"/>
      <c r="ED61" s="715">
        <f>IF(EB61=0,0,(EC61-EB61)/EB61*100)</f>
        <v>0</v>
      </c>
      <c r="EE61" s="836"/>
      <c r="EF61" s="836"/>
      <c r="EG61" s="715">
        <f>IF(EE61=0,0,(EF61-EE61)/EE61*100)</f>
        <v>0</v>
      </c>
      <c r="EH61" s="836"/>
      <c r="EI61" s="836"/>
      <c r="EJ61" s="715">
        <f>IF(EH61=0,0,(EI61-EH61)/EH61*100)</f>
        <v>0</v>
      </c>
      <c r="EK61" s="836"/>
      <c r="EL61" s="836"/>
      <c r="EM61" s="715">
        <f>IF(EK61=0,0,(EL61-EK61)/EK61*100)</f>
        <v>0</v>
      </c>
      <c r="EN61" s="836"/>
      <c r="EO61" s="836"/>
      <c r="EP61" s="715">
        <f>IF(EN61=0,0,(EO61-EN61)/EN61*100)</f>
        <v>0</v>
      </c>
      <c r="EQ61" s="836"/>
      <c r="ER61" s="836"/>
      <c r="ES61" s="715">
        <f>IF(EQ61=0,0,(ER61-EQ61)/EQ61*100)</f>
        <v>0</v>
      </c>
      <c r="ET61" s="836"/>
      <c r="EU61" s="836"/>
      <c r="EV61" s="715">
        <f>IF(ET61=0,0,(EU61-ET61)/ET61*100)</f>
        <v>0</v>
      </c>
      <c r="EW61" s="836"/>
      <c r="EX61" s="836"/>
      <c r="EY61" s="715">
        <f>IF(EW61=0,0,(EX61-EW61)/EW61*100)</f>
        <v>0</v>
      </c>
      <c r="EZ61" s="836"/>
      <c r="FA61" s="836"/>
      <c r="FB61" s="715">
        <f>IF(EZ61=0,0,(FA61-EZ61)/EZ61*100)</f>
        <v>0</v>
      </c>
      <c r="FC61" s="836"/>
      <c r="FD61" s="836"/>
      <c r="FE61" s="715">
        <f>IF(FC61=0,0,(FD61-FC61)/FC61*100)</f>
        <v>0</v>
      </c>
      <c r="FF61" s="836"/>
      <c r="FG61" s="836"/>
      <c r="FH61" s="715">
        <f>IF(FF61=0,0,(FG61-FF61)/FF61*100)</f>
        <v>0</v>
      </c>
      <c r="FI61" s="836"/>
      <c r="FJ61" s="836"/>
      <c r="FK61" s="715">
        <f>IF(FI61=0,0,(FJ61-FI61)/FI61*100)</f>
        <v>0</v>
      </c>
      <c r="FL61" s="836"/>
      <c r="FM61" s="836"/>
      <c r="FN61" s="715">
        <f>IF(FL61=0,0,(FM61-FL61)/FL61*100)</f>
        <v>0</v>
      </c>
      <c r="FO61" s="836"/>
      <c r="FP61" s="836"/>
      <c r="FQ61" s="715">
        <f>IF(FO61=0,0,(FP61-FO61)/FO61*100)</f>
        <v>0</v>
      </c>
      <c r="FR61" s="836"/>
      <c r="FS61" s="836"/>
      <c r="FT61" s="715">
        <f>IF(FR61=0,0,(FS61-FR61)/FR61*100)</f>
        <v>0</v>
      </c>
      <c r="FU61" s="836"/>
      <c r="FV61" s="836"/>
      <c r="FW61" s="715">
        <f>IF(FU61=0,0,(FV61-FU61)/FU61*100)</f>
        <v>0</v>
      </c>
      <c r="FZ61" s="691" t="s">
        <v>1701</v>
      </c>
    </row>
    <row r="62" spans="1:182" ht="21.95" hidden="1" customHeight="1" x14ac:dyDescent="0.15">
      <c r="A62" s="59"/>
      <c r="B62" s="613" t="b" cm="1">
        <f t="array" ref="B62">B61</f>
        <v>0</v>
      </c>
      <c r="C62" s="59"/>
      <c r="D62" s="59"/>
      <c r="E62" s="462">
        <v>22.5</v>
      </c>
      <c r="F62" s="3" cm="1">
        <f t="array" aca="1" ref="F62" ca="1">OFFSET(E62,-1,1)</f>
        <v>0</v>
      </c>
      <c r="G62" s="59"/>
      <c r="H62" s="59" t="s">
        <v>1683</v>
      </c>
      <c r="I62" s="59" t="s">
        <v>1657</v>
      </c>
      <c r="J62" s="59"/>
      <c r="K62" s="59"/>
      <c r="L62" s="59"/>
      <c r="M62" s="59"/>
      <c r="N62" s="59"/>
      <c r="O62" s="59"/>
      <c r="P62" s="59"/>
      <c r="Q62" s="59"/>
      <c r="R62" s="59"/>
      <c r="S62" s="59"/>
      <c r="T62" s="353" t="b" cm="1">
        <f t="array" aca="1" ref="T62" ca="1">T61</f>
        <v>0</v>
      </c>
      <c r="U62" s="59"/>
      <c r="V62" s="59"/>
      <c r="W62" s="59"/>
      <c r="X62" s="1022"/>
      <c r="Y62" s="59"/>
      <c r="Z62" s="966"/>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1684</v>
      </c>
      <c r="AD62" s="820"/>
      <c r="AE62" s="820"/>
      <c r="AF62" s="714">
        <f>IF(AD62=0,0,(AE62-AD62)/AD62*100)</f>
        <v>0</v>
      </c>
      <c r="AG62" s="820"/>
      <c r="AH62" s="820"/>
      <c r="AI62" s="714">
        <f>IF(AG62=0,0,(AH62-AG62)/AG62*100)</f>
        <v>0</v>
      </c>
      <c r="AJ62" s="820"/>
      <c r="AK62" s="820"/>
      <c r="AL62" s="714">
        <f>IF(AJ62=0,0,(AK62-AJ62)/AJ62*100)</f>
        <v>0</v>
      </c>
      <c r="AM62" s="820"/>
      <c r="AN62" s="820"/>
      <c r="AO62" s="714">
        <f>IF(AM62=0,0,(AN62-AM62)/AM62*100)</f>
        <v>0</v>
      </c>
      <c r="AP62" s="820"/>
      <c r="AQ62" s="820"/>
      <c r="AR62" s="714">
        <f>IF(AP62=0,0,(AQ62-AP62)/AP62*100)</f>
        <v>0</v>
      </c>
      <c r="AS62" s="820"/>
      <c r="AT62" s="820"/>
      <c r="AU62" s="714">
        <f>IF(AS62=0,0,(AT62-AS62)/AS62*100)</f>
        <v>0</v>
      </c>
      <c r="AV62" s="820"/>
      <c r="AW62" s="820"/>
      <c r="AX62" s="714">
        <f>IF(AV62=0,0,(AW62-AV62)/AV62*100)</f>
        <v>0</v>
      </c>
      <c r="AY62" s="820"/>
      <c r="AZ62" s="820"/>
      <c r="BA62" s="714">
        <f>IF(AY62=0,0,(AZ62-AY62)/AY62*100)</f>
        <v>0</v>
      </c>
      <c r="BB62" s="820"/>
      <c r="BC62" s="820"/>
      <c r="BD62" s="714">
        <f>IF(BB62=0,0,(BC62-BB62)/BB62*100)</f>
        <v>0</v>
      </c>
      <c r="BE62" s="820"/>
      <c r="BF62" s="820"/>
      <c r="BG62" s="714">
        <f>IF(BE62=0,0,(BF62-BE62)/BE62*100)</f>
        <v>0</v>
      </c>
      <c r="BH62" s="820"/>
      <c r="BI62" s="820"/>
      <c r="BJ62" s="714">
        <f>IF(BH62=0,0,(BI62-BH62)/BH62*100)</f>
        <v>0</v>
      </c>
      <c r="BK62" s="820"/>
      <c r="BL62" s="820"/>
      <c r="BM62" s="714">
        <f>IF(BK62=0,0,(BL62-BK62)/BK62*100)</f>
        <v>0</v>
      </c>
      <c r="BN62" s="820"/>
      <c r="BO62" s="820"/>
      <c r="BP62" s="714">
        <f>IF(BN62=0,0,(BO62-BN62)/BN62*100)</f>
        <v>0</v>
      </c>
      <c r="BQ62" s="820"/>
      <c r="BR62" s="820"/>
      <c r="BS62" s="714">
        <f>IF(BQ62=0,0,(BR62-BQ62)/BQ62*100)</f>
        <v>0</v>
      </c>
      <c r="BT62" s="820"/>
      <c r="BU62" s="820"/>
      <c r="BV62" s="714">
        <f>IF(BT62=0,0,(BU62-BT62)/BT62*100)</f>
        <v>0</v>
      </c>
      <c r="BW62" s="820"/>
      <c r="BX62" s="820"/>
      <c r="BY62" s="714">
        <f>IF(BW62=0,0,(BX62-BW62)/BW62*100)</f>
        <v>0</v>
      </c>
      <c r="BZ62" s="820"/>
      <c r="CA62" s="820"/>
      <c r="CB62" s="714">
        <f>IF(BZ62=0,0,(CA62-BZ62)/BZ62*100)</f>
        <v>0</v>
      </c>
      <c r="CC62" s="820"/>
      <c r="CD62" s="820"/>
      <c r="CE62" s="714">
        <f>IF(CC62=0,0,(CD62-CC62)/CC62*100)</f>
        <v>0</v>
      </c>
      <c r="CF62" s="820"/>
      <c r="CG62" s="820"/>
      <c r="CH62" s="714">
        <f>IF(CF62=0,0,(CG62-CF62)/CF62*100)</f>
        <v>0</v>
      </c>
      <c r="CI62" s="820"/>
      <c r="CJ62" s="820"/>
      <c r="CK62" s="714">
        <f>IF(CI62=0,0,(CJ62-CI62)/CI62*100)</f>
        <v>0</v>
      </c>
      <c r="CL62" s="820"/>
      <c r="CM62" s="820"/>
      <c r="CN62" s="714">
        <f>IF(CL62=0,0,(CM62-CL62)/CL62*100)</f>
        <v>0</v>
      </c>
      <c r="CO62" s="820"/>
      <c r="CP62" s="820"/>
      <c r="CQ62" s="714">
        <f>IF(CO62=0,0,(CP62-CO62)/CO62*100)</f>
        <v>0</v>
      </c>
      <c r="CR62" s="820"/>
      <c r="CS62" s="820"/>
      <c r="CT62" s="714">
        <f>IF(CR62=0,0,(CS62-CR62)/CR62*100)</f>
        <v>0</v>
      </c>
      <c r="CU62" s="820"/>
      <c r="CV62" s="820"/>
      <c r="CW62" s="714">
        <f>IF(CU62=0,0,(CV62-CU62)/CU62*100)</f>
        <v>0</v>
      </c>
      <c r="CX62" s="820"/>
      <c r="CY62" s="820"/>
      <c r="CZ62" s="714">
        <f>IF(CX62=0,0,(CY62-CX62)/CX62*100)</f>
        <v>0</v>
      </c>
      <c r="DA62" s="820"/>
      <c r="DB62" s="820"/>
      <c r="DC62" s="714">
        <f>IF(DA62=0,0,(DB62-DA62)/DA62*100)</f>
        <v>0</v>
      </c>
      <c r="DD62" s="820"/>
      <c r="DE62" s="820"/>
      <c r="DF62" s="714">
        <f>IF(DD62=0,0,(DE62-DD62)/DD62*100)</f>
        <v>0</v>
      </c>
      <c r="DG62" s="820"/>
      <c r="DH62" s="820"/>
      <c r="DI62" s="714">
        <f>IF(DG62=0,0,(DH62-DG62)/DG62*100)</f>
        <v>0</v>
      </c>
      <c r="DJ62" s="820"/>
      <c r="DK62" s="820"/>
      <c r="DL62" s="714">
        <f>IF(DJ62=0,0,(DK62-DJ62)/DJ62*100)</f>
        <v>0</v>
      </c>
      <c r="DM62" s="820"/>
      <c r="DN62" s="820"/>
      <c r="DO62" s="714">
        <f>IF(DM62=0,0,(DN62-DM62)/DM62*100)</f>
        <v>0</v>
      </c>
      <c r="DP62" s="820"/>
      <c r="DQ62" s="820"/>
      <c r="DR62" s="714">
        <f>IF(DP62=0,0,(DQ62-DP62)/DP62*100)</f>
        <v>0</v>
      </c>
      <c r="DS62" s="820"/>
      <c r="DT62" s="820"/>
      <c r="DU62" s="714">
        <f>IF(DS62=0,0,(DT62-DS62)/DS62*100)</f>
        <v>0</v>
      </c>
      <c r="DV62" s="820"/>
      <c r="DW62" s="820"/>
      <c r="DX62" s="714">
        <f>IF(DV62=0,0,(DW62-DV62)/DV62*100)</f>
        <v>0</v>
      </c>
      <c r="DY62" s="820"/>
      <c r="DZ62" s="820"/>
      <c r="EA62" s="714">
        <f>IF(DY62=0,0,(DZ62-DY62)/DY62*100)</f>
        <v>0</v>
      </c>
      <c r="EB62" s="820"/>
      <c r="EC62" s="820"/>
      <c r="ED62" s="714">
        <f>IF(EB62=0,0,(EC62-EB62)/EB62*100)</f>
        <v>0</v>
      </c>
      <c r="EE62" s="820"/>
      <c r="EF62" s="820"/>
      <c r="EG62" s="714">
        <f>IF(EE62=0,0,(EF62-EE62)/EE62*100)</f>
        <v>0</v>
      </c>
      <c r="EH62" s="820"/>
      <c r="EI62" s="820"/>
      <c r="EJ62" s="714">
        <f>IF(EH62=0,0,(EI62-EH62)/EH62*100)</f>
        <v>0</v>
      </c>
      <c r="EK62" s="820"/>
      <c r="EL62" s="820"/>
      <c r="EM62" s="714">
        <f>IF(EK62=0,0,(EL62-EK62)/EK62*100)</f>
        <v>0</v>
      </c>
      <c r="EN62" s="820"/>
      <c r="EO62" s="820"/>
      <c r="EP62" s="714">
        <f>IF(EN62=0,0,(EO62-EN62)/EN62*100)</f>
        <v>0</v>
      </c>
      <c r="EQ62" s="820"/>
      <c r="ER62" s="820"/>
      <c r="ES62" s="714">
        <f>IF(EQ62=0,0,(ER62-EQ62)/EQ62*100)</f>
        <v>0</v>
      </c>
      <c r="ET62" s="820"/>
      <c r="EU62" s="820"/>
      <c r="EV62" s="714">
        <f>IF(ET62=0,0,(EU62-ET62)/ET62*100)</f>
        <v>0</v>
      </c>
      <c r="EW62" s="820"/>
      <c r="EX62" s="820"/>
      <c r="EY62" s="714">
        <f>IF(EW62=0,0,(EX62-EW62)/EW62*100)</f>
        <v>0</v>
      </c>
      <c r="EZ62" s="820"/>
      <c r="FA62" s="820"/>
      <c r="FB62" s="714">
        <f>IF(EZ62=0,0,(FA62-EZ62)/EZ62*100)</f>
        <v>0</v>
      </c>
      <c r="FC62" s="820"/>
      <c r="FD62" s="820"/>
      <c r="FE62" s="714">
        <f>IF(FC62=0,0,(FD62-FC62)/FC62*100)</f>
        <v>0</v>
      </c>
      <c r="FF62" s="820"/>
      <c r="FG62" s="820"/>
      <c r="FH62" s="714">
        <f>IF(FF62=0,0,(FG62-FF62)/FF62*100)</f>
        <v>0</v>
      </c>
      <c r="FI62" s="820"/>
      <c r="FJ62" s="820"/>
      <c r="FK62" s="714">
        <f>IF(FI62=0,0,(FJ62-FI62)/FI62*100)</f>
        <v>0</v>
      </c>
      <c r="FL62" s="820"/>
      <c r="FM62" s="820"/>
      <c r="FN62" s="714">
        <f>IF(FL62=0,0,(FM62-FL62)/FL62*100)</f>
        <v>0</v>
      </c>
      <c r="FO62" s="820"/>
      <c r="FP62" s="820"/>
      <c r="FQ62" s="714">
        <f>IF(FO62=0,0,(FP62-FO62)/FO62*100)</f>
        <v>0</v>
      </c>
      <c r="FR62" s="820"/>
      <c r="FS62" s="820"/>
      <c r="FT62" s="714">
        <f>IF(FR62=0,0,(FS62-FR62)/FR62*100)</f>
        <v>0</v>
      </c>
      <c r="FU62" s="820"/>
      <c r="FV62" s="820"/>
      <c r="FW62" s="714">
        <f>IF(FU62=0,0,(FV62-FU62)/FU62*100)</f>
        <v>0</v>
      </c>
      <c r="FZ62" s="691" t="s">
        <v>1702</v>
      </c>
    </row>
    <row r="63" spans="1:182" ht="14.65" hidden="1" customHeight="1" x14ac:dyDescent="0.15">
      <c r="A63" s="59"/>
      <c r="B63" s="613" t="b" cm="1">
        <f t="array" ref="B63">B62</f>
        <v>0</v>
      </c>
      <c r="C63" s="59"/>
      <c r="D63" s="59"/>
      <c r="E63" s="462">
        <v>15</v>
      </c>
      <c r="F63" s="3" cm="1">
        <f t="array" aca="1" ref="F63" ca="1">OFFSET(E63,-1,1)</f>
        <v>0</v>
      </c>
      <c r="G63" s="59"/>
      <c r="H63" s="59" t="s">
        <v>1686</v>
      </c>
      <c r="I63" s="59" t="s">
        <v>1657</v>
      </c>
      <c r="J63" s="59"/>
      <c r="K63" s="59"/>
      <c r="L63" s="59"/>
      <c r="M63" s="59"/>
      <c r="N63" s="59"/>
      <c r="O63" s="59"/>
      <c r="P63" s="59"/>
      <c r="Q63" s="59"/>
      <c r="R63" s="59"/>
      <c r="S63" s="59"/>
      <c r="T63" s="353" t="b" cm="1">
        <f t="array" aca="1" ref="T63" ca="1">T62</f>
        <v>0</v>
      </c>
      <c r="U63" s="59"/>
      <c r="V63" s="59"/>
      <c r="W63" s="59"/>
      <c r="X63" s="1022"/>
      <c r="Y63" s="59"/>
      <c r="Z63" s="966"/>
      <c r="AA63" s="59"/>
      <c r="AB63" s="105" t="s">
        <v>1687</v>
      </c>
      <c r="AC63" s="12" t="s">
        <v>1688</v>
      </c>
      <c r="AD63" s="820"/>
      <c r="AE63" s="820"/>
      <c r="AF63" s="714">
        <f>IF(AD63=0,0,(AE63-AD63)/AD63*100)</f>
        <v>0</v>
      </c>
      <c r="AG63" s="820"/>
      <c r="AH63" s="820"/>
      <c r="AI63" s="714">
        <f>IF(AG63=0,0,(AH63-AG63)/AG63*100)</f>
        <v>0</v>
      </c>
      <c r="AJ63" s="820"/>
      <c r="AK63" s="820"/>
      <c r="AL63" s="714">
        <f>IF(AJ63=0,0,(AK63-AJ63)/AJ63*100)</f>
        <v>0</v>
      </c>
      <c r="AM63" s="820"/>
      <c r="AN63" s="820"/>
      <c r="AO63" s="714">
        <f>IF(AM63=0,0,(AN63-AM63)/AM63*100)</f>
        <v>0</v>
      </c>
      <c r="AP63" s="820"/>
      <c r="AQ63" s="820"/>
      <c r="AR63" s="714">
        <f>IF(AP63=0,0,(AQ63-AP63)/AP63*100)</f>
        <v>0</v>
      </c>
      <c r="AS63" s="820"/>
      <c r="AT63" s="820"/>
      <c r="AU63" s="714">
        <f>IF(AS63=0,0,(AT63-AS63)/AS63*100)</f>
        <v>0</v>
      </c>
      <c r="AV63" s="820"/>
      <c r="AW63" s="820"/>
      <c r="AX63" s="714">
        <f>IF(AV63=0,0,(AW63-AV63)/AV63*100)</f>
        <v>0</v>
      </c>
      <c r="AY63" s="820"/>
      <c r="AZ63" s="820"/>
      <c r="BA63" s="714">
        <f>IF(AY63=0,0,(AZ63-AY63)/AY63*100)</f>
        <v>0</v>
      </c>
      <c r="BB63" s="820"/>
      <c r="BC63" s="820"/>
      <c r="BD63" s="714">
        <f>IF(BB63=0,0,(BC63-BB63)/BB63*100)</f>
        <v>0</v>
      </c>
      <c r="BE63" s="820"/>
      <c r="BF63" s="820"/>
      <c r="BG63" s="714">
        <f>IF(BE63=0,0,(BF63-BE63)/BE63*100)</f>
        <v>0</v>
      </c>
      <c r="BH63" s="820"/>
      <c r="BI63" s="820"/>
      <c r="BJ63" s="714">
        <f>IF(BH63=0,0,(BI63-BH63)/BH63*100)</f>
        <v>0</v>
      </c>
      <c r="BK63" s="820"/>
      <c r="BL63" s="820"/>
      <c r="BM63" s="714">
        <f>IF(BK63=0,0,(BL63-BK63)/BK63*100)</f>
        <v>0</v>
      </c>
      <c r="BN63" s="820"/>
      <c r="BO63" s="820"/>
      <c r="BP63" s="714">
        <f>IF(BN63=0,0,(BO63-BN63)/BN63*100)</f>
        <v>0</v>
      </c>
      <c r="BQ63" s="820"/>
      <c r="BR63" s="820"/>
      <c r="BS63" s="714">
        <f>IF(BQ63=0,0,(BR63-BQ63)/BQ63*100)</f>
        <v>0</v>
      </c>
      <c r="BT63" s="820"/>
      <c r="BU63" s="820"/>
      <c r="BV63" s="714">
        <f>IF(BT63=0,0,(BU63-BT63)/BT63*100)</f>
        <v>0</v>
      </c>
      <c r="BW63" s="820"/>
      <c r="BX63" s="820"/>
      <c r="BY63" s="714">
        <f>IF(BW63=0,0,(BX63-BW63)/BW63*100)</f>
        <v>0</v>
      </c>
      <c r="BZ63" s="820"/>
      <c r="CA63" s="820"/>
      <c r="CB63" s="714">
        <f>IF(BZ63=0,0,(CA63-BZ63)/BZ63*100)</f>
        <v>0</v>
      </c>
      <c r="CC63" s="820"/>
      <c r="CD63" s="820"/>
      <c r="CE63" s="714">
        <f>IF(CC63=0,0,(CD63-CC63)/CC63*100)</f>
        <v>0</v>
      </c>
      <c r="CF63" s="820"/>
      <c r="CG63" s="820"/>
      <c r="CH63" s="714">
        <f>IF(CF63=0,0,(CG63-CF63)/CF63*100)</f>
        <v>0</v>
      </c>
      <c r="CI63" s="820"/>
      <c r="CJ63" s="820"/>
      <c r="CK63" s="714">
        <f>IF(CI63=0,0,(CJ63-CI63)/CI63*100)</f>
        <v>0</v>
      </c>
      <c r="CL63" s="820"/>
      <c r="CM63" s="820"/>
      <c r="CN63" s="714">
        <f>IF(CL63=0,0,(CM63-CL63)/CL63*100)</f>
        <v>0</v>
      </c>
      <c r="CO63" s="820"/>
      <c r="CP63" s="820"/>
      <c r="CQ63" s="714">
        <f>IF(CO63=0,0,(CP63-CO63)/CO63*100)</f>
        <v>0</v>
      </c>
      <c r="CR63" s="820"/>
      <c r="CS63" s="820"/>
      <c r="CT63" s="714">
        <f>IF(CR63=0,0,(CS63-CR63)/CR63*100)</f>
        <v>0</v>
      </c>
      <c r="CU63" s="820"/>
      <c r="CV63" s="820"/>
      <c r="CW63" s="714">
        <f>IF(CU63=0,0,(CV63-CU63)/CU63*100)</f>
        <v>0</v>
      </c>
      <c r="CX63" s="820"/>
      <c r="CY63" s="820"/>
      <c r="CZ63" s="714">
        <f>IF(CX63=0,0,(CY63-CX63)/CX63*100)</f>
        <v>0</v>
      </c>
      <c r="DA63" s="820"/>
      <c r="DB63" s="820"/>
      <c r="DC63" s="714">
        <f>IF(DA63=0,0,(DB63-DA63)/DA63*100)</f>
        <v>0</v>
      </c>
      <c r="DD63" s="820"/>
      <c r="DE63" s="820"/>
      <c r="DF63" s="714">
        <f>IF(DD63=0,0,(DE63-DD63)/DD63*100)</f>
        <v>0</v>
      </c>
      <c r="DG63" s="820"/>
      <c r="DH63" s="820"/>
      <c r="DI63" s="714">
        <f>IF(DG63=0,0,(DH63-DG63)/DG63*100)</f>
        <v>0</v>
      </c>
      <c r="DJ63" s="820"/>
      <c r="DK63" s="820"/>
      <c r="DL63" s="714">
        <f>IF(DJ63=0,0,(DK63-DJ63)/DJ63*100)</f>
        <v>0</v>
      </c>
      <c r="DM63" s="820"/>
      <c r="DN63" s="820"/>
      <c r="DO63" s="714">
        <f>IF(DM63=0,0,(DN63-DM63)/DM63*100)</f>
        <v>0</v>
      </c>
      <c r="DP63" s="820"/>
      <c r="DQ63" s="820"/>
      <c r="DR63" s="714">
        <f>IF(DP63=0,0,(DQ63-DP63)/DP63*100)</f>
        <v>0</v>
      </c>
      <c r="DS63" s="820"/>
      <c r="DT63" s="820"/>
      <c r="DU63" s="714">
        <f>IF(DS63=0,0,(DT63-DS63)/DS63*100)</f>
        <v>0</v>
      </c>
      <c r="DV63" s="820"/>
      <c r="DW63" s="820"/>
      <c r="DX63" s="714">
        <f>IF(DV63=0,0,(DW63-DV63)/DV63*100)</f>
        <v>0</v>
      </c>
      <c r="DY63" s="820"/>
      <c r="DZ63" s="820"/>
      <c r="EA63" s="714">
        <f>IF(DY63=0,0,(DZ63-DY63)/DY63*100)</f>
        <v>0</v>
      </c>
      <c r="EB63" s="820"/>
      <c r="EC63" s="820"/>
      <c r="ED63" s="714">
        <f>IF(EB63=0,0,(EC63-EB63)/EB63*100)</f>
        <v>0</v>
      </c>
      <c r="EE63" s="820"/>
      <c r="EF63" s="820"/>
      <c r="EG63" s="714">
        <f>IF(EE63=0,0,(EF63-EE63)/EE63*100)</f>
        <v>0</v>
      </c>
      <c r="EH63" s="820"/>
      <c r="EI63" s="820"/>
      <c r="EJ63" s="714">
        <f>IF(EH63=0,0,(EI63-EH63)/EH63*100)</f>
        <v>0</v>
      </c>
      <c r="EK63" s="820"/>
      <c r="EL63" s="820"/>
      <c r="EM63" s="714">
        <f>IF(EK63=0,0,(EL63-EK63)/EK63*100)</f>
        <v>0</v>
      </c>
      <c r="EN63" s="820"/>
      <c r="EO63" s="820"/>
      <c r="EP63" s="714">
        <f>IF(EN63=0,0,(EO63-EN63)/EN63*100)</f>
        <v>0</v>
      </c>
      <c r="EQ63" s="820"/>
      <c r="ER63" s="820"/>
      <c r="ES63" s="714">
        <f>IF(EQ63=0,0,(ER63-EQ63)/EQ63*100)</f>
        <v>0</v>
      </c>
      <c r="ET63" s="820"/>
      <c r="EU63" s="820"/>
      <c r="EV63" s="714">
        <f>IF(ET63=0,0,(EU63-ET63)/ET63*100)</f>
        <v>0</v>
      </c>
      <c r="EW63" s="820"/>
      <c r="EX63" s="820"/>
      <c r="EY63" s="714">
        <f>IF(EW63=0,0,(EX63-EW63)/EW63*100)</f>
        <v>0</v>
      </c>
      <c r="EZ63" s="820"/>
      <c r="FA63" s="820"/>
      <c r="FB63" s="714">
        <f>IF(EZ63=0,0,(FA63-EZ63)/EZ63*100)</f>
        <v>0</v>
      </c>
      <c r="FC63" s="820"/>
      <c r="FD63" s="820"/>
      <c r="FE63" s="714">
        <f>IF(FC63=0,0,(FD63-FC63)/FC63*100)</f>
        <v>0</v>
      </c>
      <c r="FF63" s="820"/>
      <c r="FG63" s="820"/>
      <c r="FH63" s="714">
        <f>IF(FF63=0,0,(FG63-FF63)/FF63*100)</f>
        <v>0</v>
      </c>
      <c r="FI63" s="820"/>
      <c r="FJ63" s="820"/>
      <c r="FK63" s="714">
        <f>IF(FI63=0,0,(FJ63-FI63)/FI63*100)</f>
        <v>0</v>
      </c>
      <c r="FL63" s="820"/>
      <c r="FM63" s="820"/>
      <c r="FN63" s="714">
        <f>IF(FL63=0,0,(FM63-FL63)/FL63*100)</f>
        <v>0</v>
      </c>
      <c r="FO63" s="820"/>
      <c r="FP63" s="820"/>
      <c r="FQ63" s="714">
        <f>IF(FO63=0,0,(FP63-FO63)/FO63*100)</f>
        <v>0</v>
      </c>
      <c r="FR63" s="820"/>
      <c r="FS63" s="820"/>
      <c r="FT63" s="714">
        <f>IF(FR63=0,0,(FS63-FR63)/FR63*100)</f>
        <v>0</v>
      </c>
      <c r="FU63" s="820"/>
      <c r="FV63" s="820"/>
      <c r="FW63" s="714">
        <f>IF(FU63=0,0,(FV63-FU63)/FU63*100)</f>
        <v>0</v>
      </c>
      <c r="FZ63" s="691" t="s">
        <v>1703</v>
      </c>
    </row>
    <row r="64" spans="1:182" ht="23.85" hidden="1" customHeight="1" x14ac:dyDescent="0.15">
      <c r="A64" s="59"/>
      <c r="B64" s="613" t="b" cm="1">
        <f t="array" ref="B64">B63</f>
        <v>0</v>
      </c>
      <c r="C64" s="59"/>
      <c r="D64" s="59"/>
      <c r="E64" s="462">
        <v>24.5</v>
      </c>
      <c r="F64" s="3" cm="1">
        <f t="array" aca="1" ref="F64" ca="1">OFFSET(E64,-1,1)</f>
        <v>0</v>
      </c>
      <c r="G64" s="59"/>
      <c r="H64" s="59"/>
      <c r="I64" s="59"/>
      <c r="J64" s="59"/>
      <c r="K64" s="59"/>
      <c r="L64" s="59"/>
      <c r="M64" s="59"/>
      <c r="N64" s="59"/>
      <c r="O64" s="59"/>
      <c r="P64" s="59"/>
      <c r="Q64" s="59"/>
      <c r="R64" s="59"/>
      <c r="S64" s="59"/>
      <c r="T64" s="353" t="b" cm="1">
        <f t="array" aca="1" ref="T64" ca="1">T63</f>
        <v>0</v>
      </c>
      <c r="U64" s="59"/>
      <c r="V64" s="59"/>
      <c r="W64" s="59"/>
      <c r="X64" s="1022"/>
      <c r="Y64" s="59"/>
      <c r="Z64" s="966"/>
      <c r="AA64" s="59"/>
      <c r="AB64" s="205" t="s">
        <v>1704</v>
      </c>
      <c r="AC64" s="597"/>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8"/>
      <c r="DJ64" s="718"/>
      <c r="DK64" s="718"/>
      <c r="DL64" s="718"/>
      <c r="DM64" s="718"/>
      <c r="DN64" s="718"/>
      <c r="DO64" s="718"/>
      <c r="DP64" s="718"/>
      <c r="DQ64" s="718"/>
      <c r="DR64" s="718"/>
      <c r="DS64" s="718"/>
      <c r="DT64" s="718"/>
      <c r="DU64" s="718"/>
      <c r="DV64" s="718"/>
      <c r="DW64" s="718"/>
      <c r="DX64" s="718"/>
      <c r="DY64" s="718"/>
      <c r="DZ64" s="718"/>
      <c r="EA64" s="718"/>
      <c r="EB64" s="718"/>
      <c r="EC64" s="718"/>
      <c r="ED64" s="718"/>
      <c r="EE64" s="718"/>
      <c r="EF64" s="718"/>
      <c r="EG64" s="718"/>
      <c r="EH64" s="718"/>
      <c r="EI64" s="718"/>
      <c r="EJ64" s="718"/>
      <c r="EK64" s="718"/>
      <c r="EL64" s="718"/>
      <c r="EM64" s="718"/>
      <c r="EN64" s="718"/>
      <c r="EO64" s="718"/>
      <c r="EP64" s="718"/>
      <c r="EQ64" s="718"/>
      <c r="ER64" s="718"/>
      <c r="ES64" s="718"/>
      <c r="ET64" s="718"/>
      <c r="EU64" s="718"/>
      <c r="EV64" s="718"/>
      <c r="EW64" s="718"/>
      <c r="EX64" s="718"/>
      <c r="EY64" s="718"/>
      <c r="EZ64" s="718"/>
      <c r="FA64" s="718"/>
      <c r="FB64" s="718"/>
      <c r="FC64" s="718"/>
      <c r="FD64" s="718"/>
      <c r="FE64" s="718"/>
      <c r="FF64" s="718"/>
      <c r="FG64" s="718"/>
      <c r="FH64" s="718"/>
      <c r="FI64" s="718"/>
      <c r="FJ64" s="718"/>
      <c r="FK64" s="718"/>
      <c r="FL64" s="718"/>
      <c r="FM64" s="718"/>
      <c r="FN64" s="718"/>
      <c r="FO64" s="718"/>
      <c r="FP64" s="718"/>
      <c r="FQ64" s="718"/>
      <c r="FR64" s="718"/>
      <c r="FS64" s="718"/>
      <c r="FT64" s="718"/>
      <c r="FU64" s="718"/>
      <c r="FV64" s="718"/>
      <c r="FW64" s="719"/>
      <c r="FZ64" s="691"/>
    </row>
    <row r="65" spans="1:186" ht="14.65" hidden="1" customHeight="1" x14ac:dyDescent="0.15">
      <c r="A65" s="59"/>
      <c r="B65" s="613" t="b" cm="1">
        <f t="array" ref="B65">B64</f>
        <v>0</v>
      </c>
      <c r="C65" s="59"/>
      <c r="D65" s="59"/>
      <c r="E65" s="462">
        <v>15</v>
      </c>
      <c r="F65" s="3" cm="1">
        <f t="array" aca="1" ref="F65" ca="1">OFFSET(E65,-1,1)</f>
        <v>0</v>
      </c>
      <c r="G65" s="59"/>
      <c r="H65" s="59" t="s">
        <v>1570</v>
      </c>
      <c r="I65" s="59" t="s">
        <v>1661</v>
      </c>
      <c r="J65" s="59"/>
      <c r="K65" s="59"/>
      <c r="L65" s="59"/>
      <c r="M65" s="59"/>
      <c r="N65" s="59"/>
      <c r="O65" s="59"/>
      <c r="P65" s="59"/>
      <c r="Q65" s="59"/>
      <c r="R65" s="59"/>
      <c r="S65" s="59"/>
      <c r="T65" s="353" t="b" cm="1">
        <f t="array" aca="1" ref="T65" ca="1">T64</f>
        <v>0</v>
      </c>
      <c r="U65" s="59"/>
      <c r="V65" s="59"/>
      <c r="W65" s="59"/>
      <c r="X65" s="1022"/>
      <c r="Y65" s="59"/>
      <c r="Z65" s="966"/>
      <c r="AA65" s="59"/>
      <c r="AB65" s="105" t="s">
        <v>1677</v>
      </c>
      <c r="AC65" s="12" t="s">
        <v>1644</v>
      </c>
      <c r="AD65" s="820">
        <f ca="1">IF(AD67=0,0,(AD66*AD67+AD68*AD69*IF(god=2026,3,6))/AD67)</f>
        <v>0</v>
      </c>
      <c r="AE65" s="820">
        <f ca="1">IF(AE67=0,0,(AE66*AE67+AE68*AE69*IF(god=2026,3,6))/AE67)</f>
        <v>0</v>
      </c>
      <c r="AF65" s="714">
        <f ca="1">IF(AD65=0,0,(AE65-AD65)/AD65*100)</f>
        <v>0</v>
      </c>
      <c r="AG65" s="820">
        <f ca="1">IF(AG67=0,0,(AG66*AG67+AG68*AG69*IF(god=2025,3,6))/AG67)</f>
        <v>0</v>
      </c>
      <c r="AH65" s="820">
        <f ca="1">IF(AH67=0,0,(AH66*AH67+AH68*AH69*IF(god=2025,3,6))/AH67)</f>
        <v>0</v>
      </c>
      <c r="AI65" s="714">
        <f ca="1">IF(AG65=0,0,(AH65-AG65)/AG65*100)</f>
        <v>0</v>
      </c>
      <c r="AJ65" s="820">
        <f ca="1">IF(AJ67=0,0,(AJ66*AJ67+AJ68*AJ69*6)/AJ67)</f>
        <v>0</v>
      </c>
      <c r="AK65" s="820">
        <f ca="1">IF(AK67=0,0,(AK66*AK67+AK68*AK69*6)/AK67)</f>
        <v>0</v>
      </c>
      <c r="AL65" s="714">
        <f ca="1">IF(AJ65=0,0,(AK65-AJ65)/AJ65*100)</f>
        <v>0</v>
      </c>
      <c r="AM65" s="820">
        <f ca="1">IF(AM67=0,0,(AM66*AM67+AM68*AM69*6)/AM67)</f>
        <v>0</v>
      </c>
      <c r="AN65" s="820">
        <f ca="1">IF(AN67=0,0,(AN66*AN67+AN68*AN69*6)/AN67)</f>
        <v>0</v>
      </c>
      <c r="AO65" s="714">
        <f ca="1">IF(AM65=0,0,(AN65-AM65)/AM65*100)</f>
        <v>0</v>
      </c>
      <c r="AP65" s="820">
        <f ca="1">IF(AP67=0,0,(AP66*AP67+AP68*AP69*6)/AP67)</f>
        <v>0</v>
      </c>
      <c r="AQ65" s="820">
        <f ca="1">IF(AQ67=0,0,(AQ66*AQ67+AQ68*AQ69*6)/AQ67)</f>
        <v>0</v>
      </c>
      <c r="AR65" s="714">
        <f ca="1">IF(AP65=0,0,(AQ65-AP65)/AP65*100)</f>
        <v>0</v>
      </c>
      <c r="AS65" s="820">
        <f ca="1">IF(AS67=0,0,(AS66*AS67+AS68*AS69*6)/AS67)</f>
        <v>0</v>
      </c>
      <c r="AT65" s="820">
        <f ca="1">IF(AT67=0,0,(AT66*AT67+AT68*AT69*6)/AT67)</f>
        <v>0</v>
      </c>
      <c r="AU65" s="714">
        <f ca="1">IF(AS65=0,0,(AT65-AS65)/AS65*100)</f>
        <v>0</v>
      </c>
      <c r="AV65" s="820">
        <f ca="1">IF(AV67=0,0,(AV66*AV67+AV68*AV69*6)/AV67)</f>
        <v>0</v>
      </c>
      <c r="AW65" s="820">
        <f ca="1">IF(AW67=0,0,(AW66*AW67+AW68*AW69*6)/AW67)</f>
        <v>0</v>
      </c>
      <c r="AX65" s="714">
        <f ca="1">IF(AV65=0,0,(AW65-AV65)/AV65*100)</f>
        <v>0</v>
      </c>
      <c r="AY65" s="820">
        <f ca="1">IF(AY67=0,0,(AY66*AY67+AY68*AY69*6)/AY67)</f>
        <v>0</v>
      </c>
      <c r="AZ65" s="820">
        <f ca="1">IF(AZ67=0,0,(AZ66*AZ67+AZ68*AZ69*6)/AZ67)</f>
        <v>0</v>
      </c>
      <c r="BA65" s="714">
        <f ca="1">IF(AY65=0,0,(AZ65-AY65)/AY65*100)</f>
        <v>0</v>
      </c>
      <c r="BB65" s="820">
        <f ca="1">IF(BB67=0,0,(BB66*BB67+BB68*BB69*6)/BB67)</f>
        <v>0</v>
      </c>
      <c r="BC65" s="820">
        <f ca="1">IF(BC67=0,0,(BC66*BC67+BC68*BC69*6)/BC67)</f>
        <v>0</v>
      </c>
      <c r="BD65" s="714">
        <f ca="1">IF(BB65=0,0,(BC65-BB65)/BB65*100)</f>
        <v>0</v>
      </c>
      <c r="BE65" s="820">
        <f ca="1">IF(BE67=0,0,(BE66*BE67+BE68*BE69*6)/BE67)</f>
        <v>0</v>
      </c>
      <c r="BF65" s="820">
        <f ca="1">IF(BF67=0,0,(BF66*BF67+BF68*BF69*6)/BF67)</f>
        <v>0</v>
      </c>
      <c r="BG65" s="714">
        <f ca="1">IF(BE65=0,0,(BF65-BE65)/BE65*100)</f>
        <v>0</v>
      </c>
      <c r="BH65" s="820">
        <f>IF(BH67=0,0,(BH66*BH67+BH68*BH69*6)/BH67)</f>
        <v>0</v>
      </c>
      <c r="BI65" s="820">
        <f>IF(BI67=0,0,(BI66*BI67+BI68*BI69*6)/BI67)</f>
        <v>0</v>
      </c>
      <c r="BJ65" s="714">
        <f>IF(BH65=0,0,(BI65-BH65)/BH65*100)</f>
        <v>0</v>
      </c>
      <c r="BK65" s="820">
        <f>IF(BK67=0,0,(BK66*BK67+BK68*BK69*6)/BK67)</f>
        <v>0</v>
      </c>
      <c r="BL65" s="820">
        <f>IF(BL67=0,0,(BL66*BL67+BL68*BL69*6)/BL67)</f>
        <v>0</v>
      </c>
      <c r="BM65" s="714">
        <f>IF(BK65=0,0,(BL65-BK65)/BK65*100)</f>
        <v>0</v>
      </c>
      <c r="BN65" s="820">
        <f>IF(BN67=0,0,(BN66*BN67+BN68*BN69*6)/BN67)</f>
        <v>0</v>
      </c>
      <c r="BO65" s="820">
        <f>IF(BO67=0,0,(BO66*BO67+BO68*BO69*6)/BO67)</f>
        <v>0</v>
      </c>
      <c r="BP65" s="714">
        <f>IF(BN65=0,0,(BO65-BN65)/BN65*100)</f>
        <v>0</v>
      </c>
      <c r="BQ65" s="820">
        <f>IF(BQ67=0,0,(BQ66*BQ67+BQ68*BQ69*6)/BQ67)</f>
        <v>0</v>
      </c>
      <c r="BR65" s="820">
        <f>IF(BR67=0,0,(BR66*BR67+BR68*BR69*6)/BR67)</f>
        <v>0</v>
      </c>
      <c r="BS65" s="714">
        <f>IF(BQ65=0,0,(BR65-BQ65)/BQ65*100)</f>
        <v>0</v>
      </c>
      <c r="BT65" s="820">
        <f>IF(BT67=0,0,(BT66*BT67+BT68*BT69*6)/BT67)</f>
        <v>0</v>
      </c>
      <c r="BU65" s="820">
        <f>IF(BU67=0,0,(BU66*BU67+BU68*BU69*6)/BU67)</f>
        <v>0</v>
      </c>
      <c r="BV65" s="714">
        <f>IF(BT65=0,0,(BU65-BT65)/BT65*100)</f>
        <v>0</v>
      </c>
      <c r="BW65" s="820">
        <f>IF(BW67=0,0,(BW66*BW67+BW68*BW69*6)/BW67)</f>
        <v>0</v>
      </c>
      <c r="BX65" s="820">
        <f>IF(BX67=0,0,(BX66*BX67+BX68*BX69*6)/BX67)</f>
        <v>0</v>
      </c>
      <c r="BY65" s="714">
        <f>IF(BW65=0,0,(BX65-BW65)/BW65*100)</f>
        <v>0</v>
      </c>
      <c r="BZ65" s="820">
        <f>IF(BZ67=0,0,(BZ66*BZ67+BZ68*BZ69*6)/BZ67)</f>
        <v>0</v>
      </c>
      <c r="CA65" s="820">
        <f>IF(CA67=0,0,(CA66*CA67+CA68*CA69*6)/CA67)</f>
        <v>0</v>
      </c>
      <c r="CB65" s="714">
        <f>IF(BZ65=0,0,(CA65-BZ65)/BZ65*100)</f>
        <v>0</v>
      </c>
      <c r="CC65" s="820">
        <f>IF(CC67=0,0,(CC66*CC67+CC68*CC69*6)/CC67)</f>
        <v>0</v>
      </c>
      <c r="CD65" s="820">
        <f>IF(CD67=0,0,(CD66*CD67+CD68*CD69*6)/CD67)</f>
        <v>0</v>
      </c>
      <c r="CE65" s="714">
        <f>IF(CC65=0,0,(CD65-CC65)/CC65*100)</f>
        <v>0</v>
      </c>
      <c r="CF65" s="820">
        <f>IF(CF67=0,0,(CF66*CF67+CF68*CF69*6)/CF67)</f>
        <v>0</v>
      </c>
      <c r="CG65" s="820">
        <f>IF(CG67=0,0,(CG66*CG67+CG68*CG69*6)/CG67)</f>
        <v>0</v>
      </c>
      <c r="CH65" s="714">
        <f>IF(CF65=0,0,(CG65-CF65)/CF65*100)</f>
        <v>0</v>
      </c>
      <c r="CI65" s="820">
        <f>IF(CI67=0,0,(CI66*CI67+CI68*CI69*6)/CI67)</f>
        <v>0</v>
      </c>
      <c r="CJ65" s="820">
        <f>IF(CJ67=0,0,(CJ66*CJ67+CJ68*CJ69*6)/CJ67)</f>
        <v>0</v>
      </c>
      <c r="CK65" s="714">
        <f>IF(CI65=0,0,(CJ65-CI65)/CI65*100)</f>
        <v>0</v>
      </c>
      <c r="CL65" s="820">
        <f>IF(CL67=0,0,(CL66*CL67+CL68*CL69*6)/CL67)</f>
        <v>0</v>
      </c>
      <c r="CM65" s="820">
        <f>IF(CM67=0,0,(CM66*CM67+CM68*CM69*6)/CM67)</f>
        <v>0</v>
      </c>
      <c r="CN65" s="714">
        <f>IF(CL65=0,0,(CM65-CL65)/CL65*100)</f>
        <v>0</v>
      </c>
      <c r="CO65" s="820">
        <f>IF(CO67=0,0,(CO66*CO67+CO68*CO69*6)/CO67)</f>
        <v>0</v>
      </c>
      <c r="CP65" s="820">
        <f>IF(CP67=0,0,(CP66*CP67+CP68*CP69*6)/CP67)</f>
        <v>0</v>
      </c>
      <c r="CQ65" s="714">
        <f>IF(CO65=0,0,(CP65-CO65)/CO65*100)</f>
        <v>0</v>
      </c>
      <c r="CR65" s="820">
        <f>IF(CR67=0,0,(CR66*CR67+CR68*CR69*6)/CR67)</f>
        <v>0</v>
      </c>
      <c r="CS65" s="820">
        <f>IF(CS67=0,0,(CS66*CS67+CS68*CS69*6)/CS67)</f>
        <v>0</v>
      </c>
      <c r="CT65" s="714">
        <f>IF(CR65=0,0,(CS65-CR65)/CR65*100)</f>
        <v>0</v>
      </c>
      <c r="CU65" s="820">
        <f>IF(CU67=0,0,(CU66*CU67+CU68*CU69*6)/CU67)</f>
        <v>0</v>
      </c>
      <c r="CV65" s="820">
        <f>IF(CV67=0,0,(CV66*CV67+CV68*CV69*6)/CV67)</f>
        <v>0</v>
      </c>
      <c r="CW65" s="714">
        <f>IF(CU65=0,0,(CV65-CU65)/CU65*100)</f>
        <v>0</v>
      </c>
      <c r="CX65" s="820">
        <f>IF(CX67=0,0,(CX66*CX67+CX68*CX69*6)/CX67)</f>
        <v>0</v>
      </c>
      <c r="CY65" s="820">
        <f>IF(CY67=0,0,(CY66*CY67+CY68*CY69*6)/CY67)</f>
        <v>0</v>
      </c>
      <c r="CZ65" s="714">
        <f>IF(CX65=0,0,(CY65-CX65)/CX65*100)</f>
        <v>0</v>
      </c>
      <c r="DA65" s="820">
        <f>IF(DA67=0,0,(DA66*DA67+DA68*DA69*6)/DA67)</f>
        <v>0</v>
      </c>
      <c r="DB65" s="820">
        <f>IF(DB67=0,0,(DB66*DB67+DB68*DB69*6)/DB67)</f>
        <v>0</v>
      </c>
      <c r="DC65" s="714">
        <f>IF(DA65=0,0,(DB65-DA65)/DA65*100)</f>
        <v>0</v>
      </c>
      <c r="DD65" s="820">
        <f>IF(DD67=0,0,(DD66*DD67+DD68*DD69*6)/DD67)</f>
        <v>0</v>
      </c>
      <c r="DE65" s="820">
        <f>IF(DE67=0,0,(DE66*DE67+DE68*DE69*6)/DE67)</f>
        <v>0</v>
      </c>
      <c r="DF65" s="714">
        <f>IF(DD65=0,0,(DE65-DD65)/DD65*100)</f>
        <v>0</v>
      </c>
      <c r="DG65" s="820">
        <f>IF(DG67=0,0,(DG66*DG67+DG68*DG69*6)/DG67)</f>
        <v>0</v>
      </c>
      <c r="DH65" s="820">
        <f>IF(DH67=0,0,(DH66*DH67+DH68*DH69*6)/DH67)</f>
        <v>0</v>
      </c>
      <c r="DI65" s="714">
        <f>IF(DG65=0,0,(DH65-DG65)/DG65*100)</f>
        <v>0</v>
      </c>
      <c r="DJ65" s="820">
        <f>IF(DJ67=0,0,(DJ66*DJ67+DJ68*DJ69*6)/DJ67)</f>
        <v>0</v>
      </c>
      <c r="DK65" s="820">
        <f>IF(DK67=0,0,(DK66*DK67+DK68*DK69*6)/DK67)</f>
        <v>0</v>
      </c>
      <c r="DL65" s="714">
        <f>IF(DJ65=0,0,(DK65-DJ65)/DJ65*100)</f>
        <v>0</v>
      </c>
      <c r="DM65" s="820">
        <f>IF(DM67=0,0,(DM66*DM67+DM68*DM69*6)/DM67)</f>
        <v>0</v>
      </c>
      <c r="DN65" s="820">
        <f>IF(DN67=0,0,(DN66*DN67+DN68*DN69*6)/DN67)</f>
        <v>0</v>
      </c>
      <c r="DO65" s="714">
        <f>IF(DM65=0,0,(DN65-DM65)/DM65*100)</f>
        <v>0</v>
      </c>
      <c r="DP65" s="820">
        <f>IF(DP67=0,0,(DP66*DP67+DP68*DP69*6)/DP67)</f>
        <v>0</v>
      </c>
      <c r="DQ65" s="820">
        <f>IF(DQ67=0,0,(DQ66*DQ67+DQ68*DQ69*6)/DQ67)</f>
        <v>0</v>
      </c>
      <c r="DR65" s="714">
        <f>IF(DP65=0,0,(DQ65-DP65)/DP65*100)</f>
        <v>0</v>
      </c>
      <c r="DS65" s="820">
        <f>IF(DS67=0,0,(DS66*DS67+DS68*DS69*6)/DS67)</f>
        <v>0</v>
      </c>
      <c r="DT65" s="820">
        <f>IF(DT67=0,0,(DT66*DT67+DT68*DT69*6)/DT67)</f>
        <v>0</v>
      </c>
      <c r="DU65" s="714">
        <f>IF(DS65=0,0,(DT65-DS65)/DS65*100)</f>
        <v>0</v>
      </c>
      <c r="DV65" s="820">
        <f>IF(DV67=0,0,(DV66*DV67+DV68*DV69*6)/DV67)</f>
        <v>0</v>
      </c>
      <c r="DW65" s="820">
        <f>IF(DW67=0,0,(DW66*DW67+DW68*DW69*6)/DW67)</f>
        <v>0</v>
      </c>
      <c r="DX65" s="714">
        <f>IF(DV65=0,0,(DW65-DV65)/DV65*100)</f>
        <v>0</v>
      </c>
      <c r="DY65" s="820">
        <f>IF(DY67=0,0,(DY66*DY67+DY68*DY69*6)/DY67)</f>
        <v>0</v>
      </c>
      <c r="DZ65" s="820">
        <f>IF(DZ67=0,0,(DZ66*DZ67+DZ68*DZ69*6)/DZ67)</f>
        <v>0</v>
      </c>
      <c r="EA65" s="714">
        <f>IF(DY65=0,0,(DZ65-DY65)/DY65*100)</f>
        <v>0</v>
      </c>
      <c r="EB65" s="820">
        <f>IF(EB67=0,0,(EB66*EB67+EB68*EB69*6)/EB67)</f>
        <v>0</v>
      </c>
      <c r="EC65" s="820">
        <f>IF(EC67=0,0,(EC66*EC67+EC68*EC69*6)/EC67)</f>
        <v>0</v>
      </c>
      <c r="ED65" s="714">
        <f>IF(EB65=0,0,(EC65-EB65)/EB65*100)</f>
        <v>0</v>
      </c>
      <c r="EE65" s="820">
        <f>IF(EE67=0,0,(EE66*EE67+EE68*EE69*6)/EE67)</f>
        <v>0</v>
      </c>
      <c r="EF65" s="820">
        <f>IF(EF67=0,0,(EF66*EF67+EF68*EF69*6)/EF67)</f>
        <v>0</v>
      </c>
      <c r="EG65" s="714">
        <f>IF(EE65=0,0,(EF65-EE65)/EE65*100)</f>
        <v>0</v>
      </c>
      <c r="EH65" s="820">
        <f>IF(EH67=0,0,(EH66*EH67+EH68*EH69*6)/EH67)</f>
        <v>0</v>
      </c>
      <c r="EI65" s="820">
        <f>IF(EI67=0,0,(EI66*EI67+EI68*EI69*6)/EI67)</f>
        <v>0</v>
      </c>
      <c r="EJ65" s="714">
        <f>IF(EH65=0,0,(EI65-EH65)/EH65*100)</f>
        <v>0</v>
      </c>
      <c r="EK65" s="820">
        <f>IF(EK67=0,0,(EK66*EK67+EK68*EK69*6)/EK67)</f>
        <v>0</v>
      </c>
      <c r="EL65" s="820">
        <f>IF(EL67=0,0,(EL66*EL67+EL68*EL69*6)/EL67)</f>
        <v>0</v>
      </c>
      <c r="EM65" s="714">
        <f>IF(EK65=0,0,(EL65-EK65)/EK65*100)</f>
        <v>0</v>
      </c>
      <c r="EN65" s="820">
        <f>IF(EN67=0,0,(EN66*EN67+EN68*EN69*6)/EN67)</f>
        <v>0</v>
      </c>
      <c r="EO65" s="820">
        <f>IF(EO67=0,0,(EO66*EO67+EO68*EO69*6)/EO67)</f>
        <v>0</v>
      </c>
      <c r="EP65" s="714">
        <f>IF(EN65=0,0,(EO65-EN65)/EN65*100)</f>
        <v>0</v>
      </c>
      <c r="EQ65" s="820">
        <f>IF(EQ67=0,0,(EQ66*EQ67+EQ68*EQ69*6)/EQ67)</f>
        <v>0</v>
      </c>
      <c r="ER65" s="820">
        <f>IF(ER67=0,0,(ER66*ER67+ER68*ER69*6)/ER67)</f>
        <v>0</v>
      </c>
      <c r="ES65" s="714">
        <f>IF(EQ65=0,0,(ER65-EQ65)/EQ65*100)</f>
        <v>0</v>
      </c>
      <c r="ET65" s="820">
        <f>IF(ET67=0,0,(ET66*ET67+ET68*ET69*6)/ET67)</f>
        <v>0</v>
      </c>
      <c r="EU65" s="820">
        <f>IF(EU67=0,0,(EU66*EU67+EU68*EU69*6)/EU67)</f>
        <v>0</v>
      </c>
      <c r="EV65" s="714">
        <f>IF(ET65=0,0,(EU65-ET65)/ET65*100)</f>
        <v>0</v>
      </c>
      <c r="EW65" s="820">
        <f>IF(EW67=0,0,(EW66*EW67+EW68*EW69*6)/EW67)</f>
        <v>0</v>
      </c>
      <c r="EX65" s="820">
        <f>IF(EX67=0,0,(EX66*EX67+EX68*EX69*6)/EX67)</f>
        <v>0</v>
      </c>
      <c r="EY65" s="714">
        <f>IF(EW65=0,0,(EX65-EW65)/EW65*100)</f>
        <v>0</v>
      </c>
      <c r="EZ65" s="820">
        <f>IF(EZ67=0,0,(EZ66*EZ67+EZ68*EZ69*6)/EZ67)</f>
        <v>0</v>
      </c>
      <c r="FA65" s="820">
        <f>IF(FA67=0,0,(FA66*FA67+FA68*FA69*6)/FA67)</f>
        <v>0</v>
      </c>
      <c r="FB65" s="714">
        <f>IF(EZ65=0,0,(FA65-EZ65)/EZ65*100)</f>
        <v>0</v>
      </c>
      <c r="FC65" s="820">
        <f>IF(FC67=0,0,(FC66*FC67+FC68*FC69*6)/FC67)</f>
        <v>0</v>
      </c>
      <c r="FD65" s="820">
        <f>IF(FD67=0,0,(FD66*FD67+FD68*FD69*6)/FD67)</f>
        <v>0</v>
      </c>
      <c r="FE65" s="714">
        <f>IF(FC65=0,0,(FD65-FC65)/FC65*100)</f>
        <v>0</v>
      </c>
      <c r="FF65" s="820">
        <f>IF(FF67=0,0,(FF66*FF67+FF68*FF69*6)/FF67)</f>
        <v>0</v>
      </c>
      <c r="FG65" s="820">
        <f>IF(FG67=0,0,(FG66*FG67+FG68*FG69*6)/FG67)</f>
        <v>0</v>
      </c>
      <c r="FH65" s="714">
        <f>IF(FF65=0,0,(FG65-FF65)/FF65*100)</f>
        <v>0</v>
      </c>
      <c r="FI65" s="820">
        <f>IF(FI67=0,0,(FI66*FI67+FI68*FI69*6)/FI67)</f>
        <v>0</v>
      </c>
      <c r="FJ65" s="820">
        <f>IF(FJ67=0,0,(FJ66*FJ67+FJ68*FJ69*6)/FJ67)</f>
        <v>0</v>
      </c>
      <c r="FK65" s="714">
        <f>IF(FI65=0,0,(FJ65-FI65)/FI65*100)</f>
        <v>0</v>
      </c>
      <c r="FL65" s="820">
        <f>IF(FL67=0,0,(FL66*FL67+FL68*FL69*6)/FL67)</f>
        <v>0</v>
      </c>
      <c r="FM65" s="820">
        <f>IF(FM67=0,0,(FM66*FM67+FM68*FM69*6)/FM67)</f>
        <v>0</v>
      </c>
      <c r="FN65" s="714">
        <f>IF(FL65=0,0,(FM65-FL65)/FL65*100)</f>
        <v>0</v>
      </c>
      <c r="FO65" s="820">
        <f>IF(FO67=0,0,(FO66*FO67+FO68*FO69*6)/FO67)</f>
        <v>0</v>
      </c>
      <c r="FP65" s="820">
        <f>IF(FP67=0,0,(FP66*FP67+FP68*FP69*6)/FP67)</f>
        <v>0</v>
      </c>
      <c r="FQ65" s="714">
        <f>IF(FO65=0,0,(FP65-FO65)/FO65*100)</f>
        <v>0</v>
      </c>
      <c r="FR65" s="820">
        <f>IF(FR67=0,0,(FR66*FR67+FR68*FR69*6)/FR67)</f>
        <v>0</v>
      </c>
      <c r="FS65" s="820">
        <f>IF(FS67=0,0,(FS66*FS67+FS68*FS69*6)/FS67)</f>
        <v>0</v>
      </c>
      <c r="FT65" s="714">
        <f>IF(FR65=0,0,(FS65-FR65)/FR65*100)</f>
        <v>0</v>
      </c>
      <c r="FU65" s="820">
        <f>IF(FU67=0,0,(FU66*FU67+FU68*FU69*6)/FU67)</f>
        <v>0</v>
      </c>
      <c r="FV65" s="820">
        <f>IF(FV67=0,0,(FV66*FV67+FV68*FV69*6)/FV67)</f>
        <v>0</v>
      </c>
      <c r="FW65" s="714">
        <f>IF(FU65=0,0,(FV65-FU65)/FU65*100)</f>
        <v>0</v>
      </c>
      <c r="FZ65" s="691" t="s">
        <v>1705</v>
      </c>
    </row>
    <row r="66" spans="1:186" ht="14.65" hidden="1" customHeight="1" x14ac:dyDescent="0.15">
      <c r="A66" s="59"/>
      <c r="B66" s="613" t="b" cm="1">
        <f t="array" ref="B66">B65</f>
        <v>0</v>
      </c>
      <c r="C66" s="59"/>
      <c r="D66" s="59"/>
      <c r="E66" s="462">
        <v>15</v>
      </c>
      <c r="F66" s="3" cm="1">
        <f t="array" aca="1" ref="F66" ca="1">OFFSET(E66,-1,1)</f>
        <v>0</v>
      </c>
      <c r="G66" s="59"/>
      <c r="H66" s="59" t="s">
        <v>1574</v>
      </c>
      <c r="I66" s="59" t="s">
        <v>1661</v>
      </c>
      <c r="J66" s="59"/>
      <c r="K66" s="59"/>
      <c r="L66" s="59"/>
      <c r="M66" s="59"/>
      <c r="N66" s="59"/>
      <c r="O66" s="59"/>
      <c r="P66" s="59"/>
      <c r="Q66" s="59"/>
      <c r="R66" s="59"/>
      <c r="S66" s="59"/>
      <c r="T66" s="353" t="b" cm="1">
        <f t="array" aca="1" ref="T66" ca="1">T65</f>
        <v>0</v>
      </c>
      <c r="U66" s="59"/>
      <c r="V66" s="59"/>
      <c r="W66" s="59"/>
      <c r="X66" s="1022"/>
      <c r="Y66" s="59"/>
      <c r="Z66" s="966"/>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1644</v>
      </c>
      <c r="AD66" s="820"/>
      <c r="AE66" s="820"/>
      <c r="AF66" s="714">
        <f>IF(AD66=0,0,(AE66-AD66)/AD66*100)</f>
        <v>0</v>
      </c>
      <c r="AG66" s="820"/>
      <c r="AH66" s="820"/>
      <c r="AI66" s="714">
        <f>IF(AG66=0,0,(AH66-AG66)/AG66*100)</f>
        <v>0</v>
      </c>
      <c r="AJ66" s="820"/>
      <c r="AK66" s="820"/>
      <c r="AL66" s="714">
        <f>IF(AJ66=0,0,(AK66-AJ66)/AJ66*100)</f>
        <v>0</v>
      </c>
      <c r="AM66" s="820"/>
      <c r="AN66" s="820"/>
      <c r="AO66" s="714">
        <f>IF(AM66=0,0,(AN66-AM66)/AM66*100)</f>
        <v>0</v>
      </c>
      <c r="AP66" s="820"/>
      <c r="AQ66" s="820"/>
      <c r="AR66" s="714">
        <f>IF(AP66=0,0,(AQ66-AP66)/AP66*100)</f>
        <v>0</v>
      </c>
      <c r="AS66" s="820"/>
      <c r="AT66" s="820"/>
      <c r="AU66" s="714">
        <f>IF(AS66=0,0,(AT66-AS66)/AS66*100)</f>
        <v>0</v>
      </c>
      <c r="AV66" s="820"/>
      <c r="AW66" s="820"/>
      <c r="AX66" s="714">
        <f>IF(AV66=0,0,(AW66-AV66)/AV66*100)</f>
        <v>0</v>
      </c>
      <c r="AY66" s="820"/>
      <c r="AZ66" s="820"/>
      <c r="BA66" s="714">
        <f>IF(AY66=0,0,(AZ66-AY66)/AY66*100)</f>
        <v>0</v>
      </c>
      <c r="BB66" s="820"/>
      <c r="BC66" s="820"/>
      <c r="BD66" s="714">
        <f>IF(BB66=0,0,(BC66-BB66)/BB66*100)</f>
        <v>0</v>
      </c>
      <c r="BE66" s="820"/>
      <c r="BF66" s="820"/>
      <c r="BG66" s="714">
        <f>IF(BE66=0,0,(BF66-BE66)/BE66*100)</f>
        <v>0</v>
      </c>
      <c r="BH66" s="820"/>
      <c r="BI66" s="820"/>
      <c r="BJ66" s="714">
        <f>IF(BH66=0,0,(BI66-BH66)/BH66*100)</f>
        <v>0</v>
      </c>
      <c r="BK66" s="820"/>
      <c r="BL66" s="820"/>
      <c r="BM66" s="714">
        <f>IF(BK66=0,0,(BL66-BK66)/BK66*100)</f>
        <v>0</v>
      </c>
      <c r="BN66" s="820"/>
      <c r="BO66" s="820"/>
      <c r="BP66" s="714">
        <f>IF(BN66=0,0,(BO66-BN66)/BN66*100)</f>
        <v>0</v>
      </c>
      <c r="BQ66" s="820"/>
      <c r="BR66" s="820"/>
      <c r="BS66" s="714">
        <f>IF(BQ66=0,0,(BR66-BQ66)/BQ66*100)</f>
        <v>0</v>
      </c>
      <c r="BT66" s="820"/>
      <c r="BU66" s="820"/>
      <c r="BV66" s="714">
        <f>IF(BT66=0,0,(BU66-BT66)/BT66*100)</f>
        <v>0</v>
      </c>
      <c r="BW66" s="820"/>
      <c r="BX66" s="820"/>
      <c r="BY66" s="714">
        <f>IF(BW66=0,0,(BX66-BW66)/BW66*100)</f>
        <v>0</v>
      </c>
      <c r="BZ66" s="820"/>
      <c r="CA66" s="820"/>
      <c r="CB66" s="714">
        <f>IF(BZ66=0,0,(CA66-BZ66)/BZ66*100)</f>
        <v>0</v>
      </c>
      <c r="CC66" s="820"/>
      <c r="CD66" s="820"/>
      <c r="CE66" s="714">
        <f>IF(CC66=0,0,(CD66-CC66)/CC66*100)</f>
        <v>0</v>
      </c>
      <c r="CF66" s="820"/>
      <c r="CG66" s="820"/>
      <c r="CH66" s="714">
        <f>IF(CF66=0,0,(CG66-CF66)/CF66*100)</f>
        <v>0</v>
      </c>
      <c r="CI66" s="820"/>
      <c r="CJ66" s="820"/>
      <c r="CK66" s="714">
        <f>IF(CI66=0,0,(CJ66-CI66)/CI66*100)</f>
        <v>0</v>
      </c>
      <c r="CL66" s="820"/>
      <c r="CM66" s="820"/>
      <c r="CN66" s="714">
        <f>IF(CL66=0,0,(CM66-CL66)/CL66*100)</f>
        <v>0</v>
      </c>
      <c r="CO66" s="820"/>
      <c r="CP66" s="820"/>
      <c r="CQ66" s="714">
        <f>IF(CO66=0,0,(CP66-CO66)/CO66*100)</f>
        <v>0</v>
      </c>
      <c r="CR66" s="820"/>
      <c r="CS66" s="820"/>
      <c r="CT66" s="714">
        <f>IF(CR66=0,0,(CS66-CR66)/CR66*100)</f>
        <v>0</v>
      </c>
      <c r="CU66" s="820"/>
      <c r="CV66" s="820"/>
      <c r="CW66" s="714">
        <f>IF(CU66=0,0,(CV66-CU66)/CU66*100)</f>
        <v>0</v>
      </c>
      <c r="CX66" s="820"/>
      <c r="CY66" s="820"/>
      <c r="CZ66" s="714">
        <f>IF(CX66=0,0,(CY66-CX66)/CX66*100)</f>
        <v>0</v>
      </c>
      <c r="DA66" s="820"/>
      <c r="DB66" s="820"/>
      <c r="DC66" s="714">
        <f>IF(DA66=0,0,(DB66-DA66)/DA66*100)</f>
        <v>0</v>
      </c>
      <c r="DD66" s="820"/>
      <c r="DE66" s="820"/>
      <c r="DF66" s="714">
        <f>IF(DD66=0,0,(DE66-DD66)/DD66*100)</f>
        <v>0</v>
      </c>
      <c r="DG66" s="820"/>
      <c r="DH66" s="820"/>
      <c r="DI66" s="714">
        <f>IF(DG66=0,0,(DH66-DG66)/DG66*100)</f>
        <v>0</v>
      </c>
      <c r="DJ66" s="820"/>
      <c r="DK66" s="820"/>
      <c r="DL66" s="714">
        <f>IF(DJ66=0,0,(DK66-DJ66)/DJ66*100)</f>
        <v>0</v>
      </c>
      <c r="DM66" s="820"/>
      <c r="DN66" s="820"/>
      <c r="DO66" s="714">
        <f>IF(DM66=0,0,(DN66-DM66)/DM66*100)</f>
        <v>0</v>
      </c>
      <c r="DP66" s="820"/>
      <c r="DQ66" s="820"/>
      <c r="DR66" s="714">
        <f>IF(DP66=0,0,(DQ66-DP66)/DP66*100)</f>
        <v>0</v>
      </c>
      <c r="DS66" s="820"/>
      <c r="DT66" s="820"/>
      <c r="DU66" s="714">
        <f>IF(DS66=0,0,(DT66-DS66)/DS66*100)</f>
        <v>0</v>
      </c>
      <c r="DV66" s="820"/>
      <c r="DW66" s="820"/>
      <c r="DX66" s="714">
        <f>IF(DV66=0,0,(DW66-DV66)/DV66*100)</f>
        <v>0</v>
      </c>
      <c r="DY66" s="820"/>
      <c r="DZ66" s="820"/>
      <c r="EA66" s="714">
        <f>IF(DY66=0,0,(DZ66-DY66)/DY66*100)</f>
        <v>0</v>
      </c>
      <c r="EB66" s="820"/>
      <c r="EC66" s="820"/>
      <c r="ED66" s="714">
        <f>IF(EB66=0,0,(EC66-EB66)/EB66*100)</f>
        <v>0</v>
      </c>
      <c r="EE66" s="820"/>
      <c r="EF66" s="820"/>
      <c r="EG66" s="714">
        <f>IF(EE66=0,0,(EF66-EE66)/EE66*100)</f>
        <v>0</v>
      </c>
      <c r="EH66" s="820"/>
      <c r="EI66" s="820"/>
      <c r="EJ66" s="714">
        <f>IF(EH66=0,0,(EI66-EH66)/EH66*100)</f>
        <v>0</v>
      </c>
      <c r="EK66" s="820"/>
      <c r="EL66" s="820"/>
      <c r="EM66" s="714">
        <f>IF(EK66=0,0,(EL66-EK66)/EK66*100)</f>
        <v>0</v>
      </c>
      <c r="EN66" s="820"/>
      <c r="EO66" s="820"/>
      <c r="EP66" s="714">
        <f>IF(EN66=0,0,(EO66-EN66)/EN66*100)</f>
        <v>0</v>
      </c>
      <c r="EQ66" s="820"/>
      <c r="ER66" s="820"/>
      <c r="ES66" s="714">
        <f>IF(EQ66=0,0,(ER66-EQ66)/EQ66*100)</f>
        <v>0</v>
      </c>
      <c r="ET66" s="820"/>
      <c r="EU66" s="820"/>
      <c r="EV66" s="714">
        <f>IF(ET66=0,0,(EU66-ET66)/ET66*100)</f>
        <v>0</v>
      </c>
      <c r="EW66" s="820"/>
      <c r="EX66" s="820"/>
      <c r="EY66" s="714">
        <f>IF(EW66=0,0,(EX66-EW66)/EW66*100)</f>
        <v>0</v>
      </c>
      <c r="EZ66" s="820"/>
      <c r="FA66" s="820"/>
      <c r="FB66" s="714">
        <f>IF(EZ66=0,0,(FA66-EZ66)/EZ66*100)</f>
        <v>0</v>
      </c>
      <c r="FC66" s="820"/>
      <c r="FD66" s="820"/>
      <c r="FE66" s="714">
        <f>IF(FC66=0,0,(FD66-FC66)/FC66*100)</f>
        <v>0</v>
      </c>
      <c r="FF66" s="820"/>
      <c r="FG66" s="820"/>
      <c r="FH66" s="714">
        <f>IF(FF66=0,0,(FG66-FF66)/FF66*100)</f>
        <v>0</v>
      </c>
      <c r="FI66" s="820"/>
      <c r="FJ66" s="820"/>
      <c r="FK66" s="714">
        <f>IF(FI66=0,0,(FJ66-FI66)/FI66*100)</f>
        <v>0</v>
      </c>
      <c r="FL66" s="820"/>
      <c r="FM66" s="820"/>
      <c r="FN66" s="714">
        <f>IF(FL66=0,0,(FM66-FL66)/FL66*100)</f>
        <v>0</v>
      </c>
      <c r="FO66" s="820"/>
      <c r="FP66" s="820"/>
      <c r="FQ66" s="714">
        <f>IF(FO66=0,0,(FP66-FO66)/FO66*100)</f>
        <v>0</v>
      </c>
      <c r="FR66" s="820"/>
      <c r="FS66" s="820"/>
      <c r="FT66" s="714">
        <f>IF(FR66=0,0,(FS66-FR66)/FR66*100)</f>
        <v>0</v>
      </c>
      <c r="FU66" s="820"/>
      <c r="FV66" s="820"/>
      <c r="FW66" s="714">
        <f>IF(FU66=0,0,(FV66-FU66)/FU66*100)</f>
        <v>0</v>
      </c>
      <c r="FZ66" s="691" t="s">
        <v>1706</v>
      </c>
    </row>
    <row r="67" spans="1:186" ht="14.65" hidden="1" customHeight="1" x14ac:dyDescent="0.15">
      <c r="A67" s="59"/>
      <c r="B67" s="613" t="b" cm="1">
        <f t="array" ref="B67">B66</f>
        <v>0</v>
      </c>
      <c r="C67" s="59"/>
      <c r="D67" s="59"/>
      <c r="E67" s="462">
        <v>15</v>
      </c>
      <c r="F67" s="3" cm="1">
        <f t="array" aca="1" ref="F67" ca="1">OFFSET(E67,-1,1)</f>
        <v>0</v>
      </c>
      <c r="G67" s="25" t="s">
        <v>1707</v>
      </c>
      <c r="H67" s="59" t="s">
        <v>1681</v>
      </c>
      <c r="I67" s="59" t="s">
        <v>1661</v>
      </c>
      <c r="J67" s="59"/>
      <c r="K67" s="59"/>
      <c r="L67" s="59"/>
      <c r="M67" s="59"/>
      <c r="N67" s="59"/>
      <c r="O67" s="59"/>
      <c r="P67" s="59"/>
      <c r="Q67" s="59"/>
      <c r="R67" s="59"/>
      <c r="S67" s="59"/>
      <c r="T67" s="353" t="b" cm="1">
        <f t="array" aca="1" ref="T67" ca="1">T66</f>
        <v>0</v>
      </c>
      <c r="U67" s="59"/>
      <c r="V67" s="59"/>
      <c r="W67" s="59"/>
      <c r="X67" s="1022"/>
      <c r="Y67" s="59"/>
      <c r="Z67" s="966"/>
      <c r="AA67" s="59"/>
      <c r="AB67" s="105" t="str">
        <f>"объём "&amp;IF(Q29="Водоснабжение","потребления холодной воды","водоотведения")</f>
        <v>объём водоотведения</v>
      </c>
      <c r="AC67" s="12" t="s">
        <v>558</v>
      </c>
      <c r="AD67" s="836">
        <f ca="1">IF(AND(method_reg="Метод индексации",god&lt;&gt;first_year),SUMIFS(INDEX('Калькуляция (МИ корр)'!$AJ$25:$BC$603,,MATCH(AD$8,'Калькуляция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(МИ)'!$AJ$25:$BC$603,,MATCH(AD$8,'Калькуляция (МИ)'!$AJ$8:$BC$8,0)),'Калькуляция (МИ)'!$F$25:$F$603,$F67,'Калькуляция (МИ)'!$G$25:$G$603,$G67))))</f>
        <v>0</v>
      </c>
      <c r="AE67" s="836">
        <f ca="1">IF(AND(method_reg="Метод индексации",god&lt;&gt;first_year),SUMIFS(INDEX('Калькуляция (МИ корр)'!$AJ$25:$BC$603,,MATCH(AE$8,'Калькуляция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(МИ)'!$AJ$25:$BC$603,,MATCH(AE$8,'Калькуляция (МИ)'!$AJ$8:$BC$8,0)),'Калькуляция (МИ)'!$F$25:$F$603,$F67,'Калькуляция (МИ)'!$G$25:$G$603,$G67))))</f>
        <v>0</v>
      </c>
      <c r="AF67" s="715">
        <f ca="1">IF(AD67=0,0,(AE67-AD67)/AD67*100)</f>
        <v>0</v>
      </c>
      <c r="AG67" s="836">
        <f ca="1">IF(AND(method_reg="Метод индексации",god&lt;&gt;first_year),SUMIFS(INDEX('Калькуляция (МИ корр)'!$AJ$25:$BC$603,,MATCH(AG$8,'Калькуляция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(МИ)'!$AJ$25:$BC$603,,MATCH(AG$8,'Калькуляция (МИ)'!$AJ$8:$BC$8,0)),'Калькуляция (МИ)'!$F$25:$F$603,$F67,'Калькуляция (МИ)'!$G$25:$G$603,$G67))))</f>
        <v>0</v>
      </c>
      <c r="AH67" s="836">
        <f ca="1">IF(AND(method_reg="Метод индексации",god&lt;&gt;first_year),SUMIFS(INDEX('Калькуляция (МИ корр)'!$AJ$25:$BC$603,,MATCH(AH$8,'Калькуляция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(МИ)'!$AJ$25:$BC$603,,MATCH(AH$8,'Калькуляция (МИ)'!$AJ$8:$BC$8,0)),'Калькуляция (МИ)'!$F$25:$F$603,$F67,'Калькуляция (МИ)'!$G$25:$G$603,$G67))))</f>
        <v>0</v>
      </c>
      <c r="AI67" s="715">
        <f ca="1">IF(AG67=0,0,(AH67-AG67)/AG67*100)</f>
        <v>0</v>
      </c>
      <c r="AJ67" s="836">
        <f ca="1">IF(AND(method_reg="Метод индексации",god&lt;&gt;first_year),SUMIFS(INDEX('Калькуляция (МИ корр)'!$AJ$25:$BC$603,,MATCH(AJ$8,'Калькуляция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(МИ)'!$AJ$25:$BC$603,,MATCH(AJ$8,'Калькуляция (МИ)'!$AJ$8:$BC$8,0)),'Калькуляция (МИ)'!$F$25:$F$603,$F67,'Калькуляция (МИ)'!$G$25:$G$603,$G67))))</f>
        <v>0</v>
      </c>
      <c r="AK67" s="836">
        <f ca="1">IF(AND(method_reg="Метод индексации",god&lt;&gt;first_year),SUMIFS(INDEX('Калькуляция (МИ корр)'!$AJ$25:$BC$603,,MATCH(AK$8,'Калькуляция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(МИ)'!$AJ$25:$BC$603,,MATCH(AK$8,'Калькуляция (МИ)'!$AJ$8:$BC$8,0)),'Калькуляция (МИ)'!$F$25:$F$603,$F67,'Калькуляция (МИ)'!$G$25:$G$603,$G67))))</f>
        <v>0</v>
      </c>
      <c r="AL67" s="715">
        <f ca="1">IF(AJ67=0,0,(AK67-AJ67)/AJ67*100)</f>
        <v>0</v>
      </c>
      <c r="AM67" s="836">
        <f ca="1">IF(AND(method_reg="Метод индексации",god&lt;&gt;first_year),SUMIFS(INDEX('Калькуляция (МИ корр)'!$AJ$25:$BC$603,,MATCH(AM$8,'Калькуляция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(МИ)'!$AJ$25:$BC$603,,MATCH(AM$8,'Калькуляция (МИ)'!$AJ$8:$BC$8,0)),'Калькуляция (МИ)'!$F$25:$F$603,$F67,'Калькуляция (МИ)'!$G$25:$G$603,$G67))))</f>
        <v>0</v>
      </c>
      <c r="AN67" s="836">
        <f ca="1">IF(AND(method_reg="Метод индексации",god&lt;&gt;first_year),SUMIFS(INDEX('Калькуляция (МИ корр)'!$AJ$25:$BC$603,,MATCH(AN$8,'Калькуляция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(МИ)'!$AJ$25:$BC$603,,MATCH(AN$8,'Калькуляция (МИ)'!$AJ$8:$BC$8,0)),'Калькуляция (МИ)'!$F$25:$F$603,$F67,'Калькуляция (МИ)'!$G$25:$G$603,$G67))))</f>
        <v>0</v>
      </c>
      <c r="AO67" s="715">
        <f ca="1">IF(AM67=0,0,(AN67-AM67)/AM67*100)</f>
        <v>0</v>
      </c>
      <c r="AP67" s="836">
        <f ca="1">IF(AND(method_reg="Метод индексации",god&lt;&gt;first_year),SUMIFS(INDEX('Калькуляция (МИ корр)'!$AJ$25:$BC$603,,MATCH(AP$8,'Калькуляция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(МИ)'!$AJ$25:$BC$603,,MATCH(AP$8,'Калькуляция (МИ)'!$AJ$8:$BC$8,0)),'Калькуляция (МИ)'!$F$25:$F$603,$F67,'Калькуляция (МИ)'!$G$25:$G$603,$G67))))</f>
        <v>0</v>
      </c>
      <c r="AQ67" s="836">
        <f ca="1">IF(AND(method_reg="Метод индексации",god&lt;&gt;first_year),SUMIFS(INDEX('Калькуляция (МИ корр)'!$AJ$25:$BC$603,,MATCH(AQ$8,'Калькуляция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(МИ)'!$AJ$25:$BC$603,,MATCH(AQ$8,'Калькуляция (МИ)'!$AJ$8:$BC$8,0)),'Калькуляция (МИ)'!$F$25:$F$603,$F67,'Калькуляция (МИ)'!$G$25:$G$603,$G67))))</f>
        <v>0</v>
      </c>
      <c r="AR67" s="715">
        <f ca="1">IF(AP67=0,0,(AQ67-AP67)/AP67*100)</f>
        <v>0</v>
      </c>
      <c r="AS67" s="836">
        <f ca="1">IF(AND(method_reg="Метод индексации",god&lt;&gt;first_year),SUMIFS(INDEX('Калькуляция (МИ корр)'!$AJ$25:$BC$603,,MATCH(AS$8,'Калькуляция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(МИ)'!$AJ$25:$BC$603,,MATCH(AS$8,'Калькуляция (МИ)'!$AJ$8:$BC$8,0)),'Калькуляция (МИ)'!$F$25:$F$603,$F67,'Калькуляция (МИ)'!$G$25:$G$603,$G67))))</f>
        <v>0</v>
      </c>
      <c r="AT67" s="836">
        <f ca="1">IF(AND(method_reg="Метод индексации",god&lt;&gt;first_year),SUMIFS(INDEX('Калькуляция (МИ корр)'!$AJ$25:$BC$603,,MATCH(AT$8,'Калькуляция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(МИ)'!$AJ$25:$BC$603,,MATCH(AT$8,'Калькуляция (МИ)'!$AJ$8:$BC$8,0)),'Калькуляция (МИ)'!$F$25:$F$603,$F67,'Калькуляция (МИ)'!$G$25:$G$603,$G67))))</f>
        <v>0</v>
      </c>
      <c r="AU67" s="715">
        <f ca="1">IF(AS67=0,0,(AT67-AS67)/AS67*100)</f>
        <v>0</v>
      </c>
      <c r="AV67" s="836">
        <f ca="1">IF(AND(method_reg="Метод индексации",god&lt;&gt;first_year),SUMIFS(INDEX('Калькуляция (МИ корр)'!$AJ$25:$BC$603,,MATCH(AV$8,'Калькуляция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(МИ)'!$AJ$25:$BC$603,,MATCH(AV$8,'Калькуляция (МИ)'!$AJ$8:$BC$8,0)),'Калькуляция (МИ)'!$F$25:$F$603,$F67,'Калькуляция (МИ)'!$G$25:$G$603,$G67))))</f>
        <v>0</v>
      </c>
      <c r="AW67" s="836">
        <f ca="1">IF(AND(method_reg="Метод индексации",god&lt;&gt;first_year),SUMIFS(INDEX('Калькуляция (МИ корр)'!$AJ$25:$BC$603,,MATCH(AW$8,'Калькуляция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(МИ)'!$AJ$25:$BC$603,,MATCH(AW$8,'Калькуляция (МИ)'!$AJ$8:$BC$8,0)),'Калькуляция (МИ)'!$F$25:$F$603,$F67,'Калькуляция (МИ)'!$G$25:$G$603,$G67))))</f>
        <v>0</v>
      </c>
      <c r="AX67" s="715">
        <f ca="1">IF(AV67=0,0,(AW67-AV67)/AV67*100)</f>
        <v>0</v>
      </c>
      <c r="AY67" s="836">
        <f ca="1">IF(AND(method_reg="Метод индексации",god&lt;&gt;first_year),SUMIFS(INDEX('Калькуляция (МИ корр)'!$AJ$25:$BC$603,,MATCH(AY$8,'Калькуляция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(МИ)'!$AJ$25:$BC$603,,MATCH(AY$8,'Калькуляция (МИ)'!$AJ$8:$BC$8,0)),'Калькуляция (МИ)'!$F$25:$F$603,$F67,'Калькуляция (МИ)'!$G$25:$G$603,$G67))))</f>
        <v>0</v>
      </c>
      <c r="AZ67" s="836">
        <f ca="1">IF(AND(method_reg="Метод индексации",god&lt;&gt;first_year),SUMIFS(INDEX('Калькуляция (МИ корр)'!$AJ$25:$BC$603,,MATCH(AZ$8,'Калькуляция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(МИ)'!$AJ$25:$BC$603,,MATCH(AZ$8,'Калькуляция (МИ)'!$AJ$8:$BC$8,0)),'Калькуляция (МИ)'!$F$25:$F$603,$F67,'Калькуляция (МИ)'!$G$25:$G$603,$G67))))</f>
        <v>0</v>
      </c>
      <c r="BA67" s="715">
        <f ca="1">IF(AY67=0,0,(AZ67-AY67)/AY67*100)</f>
        <v>0</v>
      </c>
      <c r="BB67" s="836">
        <f ca="1">IF(AND(method_reg="Метод индексации",god&lt;&gt;first_year),SUMIFS(INDEX('Калькуляция (МИ корр)'!$AJ$25:$BC$603,,MATCH(BB$8,'Калькуляция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(МИ)'!$AJ$25:$BC$603,,MATCH(BB$8,'Калькуляция (МИ)'!$AJ$8:$BC$8,0)),'Калькуляция (МИ)'!$F$25:$F$603,$F67,'Калькуляция (МИ)'!$G$25:$G$603,$G67))))</f>
        <v>0</v>
      </c>
      <c r="BC67" s="836">
        <f ca="1">IF(AND(method_reg="Метод индексации",god&lt;&gt;first_year),SUMIFS(INDEX('Калькуляция (МИ корр)'!$AJ$25:$BC$603,,MATCH(BC$8,'Калькуляция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(МИ)'!$AJ$25:$BC$603,,MATCH(BC$8,'Калькуляция (МИ)'!$AJ$8:$BC$8,0)),'Калькуляция (МИ)'!$F$25:$F$603,$F67,'Калькуляция (МИ)'!$G$25:$G$603,$G67))))</f>
        <v>0</v>
      </c>
      <c r="BD67" s="715">
        <f ca="1">IF(BB67=0,0,(BC67-BB67)/BB67*100)</f>
        <v>0</v>
      </c>
      <c r="BE67" s="836">
        <f ca="1">IF(AND(method_reg="Метод индексации",god&lt;&gt;first_year),SUMIFS(INDEX('Калькуляция (МИ корр)'!$AJ$25:$BC$603,,MATCH(BE$8,'Калькуляция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(МИ)'!$AJ$25:$BC$603,,MATCH(BE$8,'Калькуляция (МИ)'!$AJ$8:$BC$8,0)),'Калькуляция (МИ)'!$F$25:$F$603,$F67,'Калькуляция (МИ)'!$G$25:$G$603,$G67))))</f>
        <v>0</v>
      </c>
      <c r="BF67" s="836">
        <f ca="1">IF(AND(method_reg="Метод индексации",god&lt;&gt;first_year),SUMIFS(INDEX('Калькуляция (МИ корр)'!$AJ$25:$BC$603,,MATCH(BF$8,'Калькуляция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(МИ)'!$AJ$25:$BC$603,,MATCH(BF$8,'Калькуляция (МИ)'!$AJ$8:$BC$8,0)),'Калькуляция (МИ)'!$F$25:$F$603,$F67,'Калькуляция (МИ)'!$G$25:$G$603,$G67))))</f>
        <v>0</v>
      </c>
      <c r="BG67" s="715">
        <f ca="1">IF(BE67=0,0,(BF67-BE67)/BE67*100)</f>
        <v>0</v>
      </c>
      <c r="BH67" s="836"/>
      <c r="BI67" s="836"/>
      <c r="BJ67" s="715">
        <f>IF(BH67=0,0,(BI67-BH67)/BH67*100)</f>
        <v>0</v>
      </c>
      <c r="BK67" s="836"/>
      <c r="BL67" s="836"/>
      <c r="BM67" s="715">
        <f>IF(BK67=0,0,(BL67-BK67)/BK67*100)</f>
        <v>0</v>
      </c>
      <c r="BN67" s="836"/>
      <c r="BO67" s="836"/>
      <c r="BP67" s="715">
        <f>IF(BN67=0,0,(BO67-BN67)/BN67*100)</f>
        <v>0</v>
      </c>
      <c r="BQ67" s="836"/>
      <c r="BR67" s="836"/>
      <c r="BS67" s="715">
        <f>IF(BQ67=0,0,(BR67-BQ67)/BQ67*100)</f>
        <v>0</v>
      </c>
      <c r="BT67" s="836"/>
      <c r="BU67" s="836"/>
      <c r="BV67" s="715">
        <f>IF(BT67=0,0,(BU67-BT67)/BT67*100)</f>
        <v>0</v>
      </c>
      <c r="BW67" s="836"/>
      <c r="BX67" s="836"/>
      <c r="BY67" s="715">
        <f>IF(BW67=0,0,(BX67-BW67)/BW67*100)</f>
        <v>0</v>
      </c>
      <c r="BZ67" s="836"/>
      <c r="CA67" s="836"/>
      <c r="CB67" s="715">
        <f>IF(BZ67=0,0,(CA67-BZ67)/BZ67*100)</f>
        <v>0</v>
      </c>
      <c r="CC67" s="836"/>
      <c r="CD67" s="836"/>
      <c r="CE67" s="715">
        <f>IF(CC67=0,0,(CD67-CC67)/CC67*100)</f>
        <v>0</v>
      </c>
      <c r="CF67" s="836"/>
      <c r="CG67" s="836"/>
      <c r="CH67" s="715">
        <f>IF(CF67=0,0,(CG67-CF67)/CF67*100)</f>
        <v>0</v>
      </c>
      <c r="CI67" s="836"/>
      <c r="CJ67" s="836"/>
      <c r="CK67" s="715">
        <f>IF(CI67=0,0,(CJ67-CI67)/CI67*100)</f>
        <v>0</v>
      </c>
      <c r="CL67" s="836"/>
      <c r="CM67" s="836"/>
      <c r="CN67" s="715">
        <f>IF(CL67=0,0,(CM67-CL67)/CL67*100)</f>
        <v>0</v>
      </c>
      <c r="CO67" s="836"/>
      <c r="CP67" s="836"/>
      <c r="CQ67" s="715">
        <f>IF(CO67=0,0,(CP67-CO67)/CO67*100)</f>
        <v>0</v>
      </c>
      <c r="CR67" s="836"/>
      <c r="CS67" s="836"/>
      <c r="CT67" s="715">
        <f>IF(CR67=0,0,(CS67-CR67)/CR67*100)</f>
        <v>0</v>
      </c>
      <c r="CU67" s="836"/>
      <c r="CV67" s="836"/>
      <c r="CW67" s="715">
        <f>IF(CU67=0,0,(CV67-CU67)/CU67*100)</f>
        <v>0</v>
      </c>
      <c r="CX67" s="836"/>
      <c r="CY67" s="836"/>
      <c r="CZ67" s="715">
        <f>IF(CX67=0,0,(CY67-CX67)/CX67*100)</f>
        <v>0</v>
      </c>
      <c r="DA67" s="836"/>
      <c r="DB67" s="836"/>
      <c r="DC67" s="715">
        <f>IF(DA67=0,0,(DB67-DA67)/DA67*100)</f>
        <v>0</v>
      </c>
      <c r="DD67" s="836"/>
      <c r="DE67" s="836"/>
      <c r="DF67" s="715">
        <f>IF(DD67=0,0,(DE67-DD67)/DD67*100)</f>
        <v>0</v>
      </c>
      <c r="DG67" s="836"/>
      <c r="DH67" s="836"/>
      <c r="DI67" s="715">
        <f>IF(DG67=0,0,(DH67-DG67)/DG67*100)</f>
        <v>0</v>
      </c>
      <c r="DJ67" s="836"/>
      <c r="DK67" s="836"/>
      <c r="DL67" s="715">
        <f>IF(DJ67=0,0,(DK67-DJ67)/DJ67*100)</f>
        <v>0</v>
      </c>
      <c r="DM67" s="836"/>
      <c r="DN67" s="836"/>
      <c r="DO67" s="715">
        <f>IF(DM67=0,0,(DN67-DM67)/DM67*100)</f>
        <v>0</v>
      </c>
      <c r="DP67" s="836"/>
      <c r="DQ67" s="836"/>
      <c r="DR67" s="715">
        <f>IF(DP67=0,0,(DQ67-DP67)/DP67*100)</f>
        <v>0</v>
      </c>
      <c r="DS67" s="836"/>
      <c r="DT67" s="836"/>
      <c r="DU67" s="715">
        <f>IF(DS67=0,0,(DT67-DS67)/DS67*100)</f>
        <v>0</v>
      </c>
      <c r="DV67" s="836"/>
      <c r="DW67" s="836"/>
      <c r="DX67" s="715">
        <f>IF(DV67=0,0,(DW67-DV67)/DV67*100)</f>
        <v>0</v>
      </c>
      <c r="DY67" s="836"/>
      <c r="DZ67" s="836"/>
      <c r="EA67" s="715">
        <f>IF(DY67=0,0,(DZ67-DY67)/DY67*100)</f>
        <v>0</v>
      </c>
      <c r="EB67" s="836"/>
      <c r="EC67" s="836"/>
      <c r="ED67" s="715">
        <f>IF(EB67=0,0,(EC67-EB67)/EB67*100)</f>
        <v>0</v>
      </c>
      <c r="EE67" s="836"/>
      <c r="EF67" s="836"/>
      <c r="EG67" s="715">
        <f>IF(EE67=0,0,(EF67-EE67)/EE67*100)</f>
        <v>0</v>
      </c>
      <c r="EH67" s="836"/>
      <c r="EI67" s="836"/>
      <c r="EJ67" s="715">
        <f>IF(EH67=0,0,(EI67-EH67)/EH67*100)</f>
        <v>0</v>
      </c>
      <c r="EK67" s="836"/>
      <c r="EL67" s="836"/>
      <c r="EM67" s="715">
        <f>IF(EK67=0,0,(EL67-EK67)/EK67*100)</f>
        <v>0</v>
      </c>
      <c r="EN67" s="836"/>
      <c r="EO67" s="836"/>
      <c r="EP67" s="715">
        <f>IF(EN67=0,0,(EO67-EN67)/EN67*100)</f>
        <v>0</v>
      </c>
      <c r="EQ67" s="836"/>
      <c r="ER67" s="836"/>
      <c r="ES67" s="715">
        <f>IF(EQ67=0,0,(ER67-EQ67)/EQ67*100)</f>
        <v>0</v>
      </c>
      <c r="ET67" s="836"/>
      <c r="EU67" s="836"/>
      <c r="EV67" s="715">
        <f>IF(ET67=0,0,(EU67-ET67)/ET67*100)</f>
        <v>0</v>
      </c>
      <c r="EW67" s="836"/>
      <c r="EX67" s="836"/>
      <c r="EY67" s="715">
        <f>IF(EW67=0,0,(EX67-EW67)/EW67*100)</f>
        <v>0</v>
      </c>
      <c r="EZ67" s="836"/>
      <c r="FA67" s="836"/>
      <c r="FB67" s="715">
        <f>IF(EZ67=0,0,(FA67-EZ67)/EZ67*100)</f>
        <v>0</v>
      </c>
      <c r="FC67" s="836"/>
      <c r="FD67" s="836"/>
      <c r="FE67" s="715">
        <f>IF(FC67=0,0,(FD67-FC67)/FC67*100)</f>
        <v>0</v>
      </c>
      <c r="FF67" s="836"/>
      <c r="FG67" s="836"/>
      <c r="FH67" s="715">
        <f>IF(FF67=0,0,(FG67-FF67)/FF67*100)</f>
        <v>0</v>
      </c>
      <c r="FI67" s="836"/>
      <c r="FJ67" s="836"/>
      <c r="FK67" s="715">
        <f>IF(FI67=0,0,(FJ67-FI67)/FI67*100)</f>
        <v>0</v>
      </c>
      <c r="FL67" s="836"/>
      <c r="FM67" s="836"/>
      <c r="FN67" s="715">
        <f>IF(FL67=0,0,(FM67-FL67)/FL67*100)</f>
        <v>0</v>
      </c>
      <c r="FO67" s="836"/>
      <c r="FP67" s="836"/>
      <c r="FQ67" s="715">
        <f>IF(FO67=0,0,(FP67-FO67)/FO67*100)</f>
        <v>0</v>
      </c>
      <c r="FR67" s="836"/>
      <c r="FS67" s="836"/>
      <c r="FT67" s="715">
        <f>IF(FR67=0,0,(FS67-FR67)/FR67*100)</f>
        <v>0</v>
      </c>
      <c r="FU67" s="836"/>
      <c r="FV67" s="836"/>
      <c r="FW67" s="715">
        <f>IF(FU67=0,0,(FV67-FU67)/FU67*100)</f>
        <v>0</v>
      </c>
      <c r="FZ67" s="691" t="s">
        <v>1708</v>
      </c>
    </row>
    <row r="68" spans="1:186" ht="21.95" hidden="1" customHeight="1" x14ac:dyDescent="0.15">
      <c r="A68" s="59"/>
      <c r="B68" s="613" t="b" cm="1">
        <f t="array" ref="B68">B67</f>
        <v>0</v>
      </c>
      <c r="C68" s="59"/>
      <c r="D68" s="59"/>
      <c r="E68" s="462">
        <v>22.5</v>
      </c>
      <c r="F68" s="3" cm="1">
        <f t="array" aca="1" ref="F68" ca="1">OFFSET(E68,-1,1)</f>
        <v>0</v>
      </c>
      <c r="G68" s="59"/>
      <c r="H68" s="59" t="s">
        <v>1683</v>
      </c>
      <c r="I68" s="59" t="s">
        <v>1661</v>
      </c>
      <c r="J68" s="59"/>
      <c r="K68" s="59"/>
      <c r="L68" s="59"/>
      <c r="M68" s="59"/>
      <c r="N68" s="59"/>
      <c r="O68" s="59"/>
      <c r="P68" s="59"/>
      <c r="Q68" s="59"/>
      <c r="R68" s="59"/>
      <c r="S68" s="59"/>
      <c r="T68" s="353" t="b" cm="1">
        <f t="array" aca="1" ref="T68" ca="1">T67</f>
        <v>0</v>
      </c>
      <c r="U68" s="59"/>
      <c r="V68" s="59"/>
      <c r="W68" s="59"/>
      <c r="X68" s="1022"/>
      <c r="Y68" s="59"/>
      <c r="Z68" s="966"/>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1684</v>
      </c>
      <c r="AD68" s="820"/>
      <c r="AE68" s="820"/>
      <c r="AF68" s="714">
        <f>IF(AD68=0,0,(AE68-AD68)/AD68*100)</f>
        <v>0</v>
      </c>
      <c r="AG68" s="820"/>
      <c r="AH68" s="820"/>
      <c r="AI68" s="714">
        <f>IF(AG68=0,0,(AH68-AG68)/AG68*100)</f>
        <v>0</v>
      </c>
      <c r="AJ68" s="820"/>
      <c r="AK68" s="820"/>
      <c r="AL68" s="714">
        <f>IF(AJ68=0,0,(AK68-AJ68)/AJ68*100)</f>
        <v>0</v>
      </c>
      <c r="AM68" s="820"/>
      <c r="AN68" s="820"/>
      <c r="AO68" s="714">
        <f>IF(AM68=0,0,(AN68-AM68)/AM68*100)</f>
        <v>0</v>
      </c>
      <c r="AP68" s="820"/>
      <c r="AQ68" s="820"/>
      <c r="AR68" s="714">
        <f>IF(AP68=0,0,(AQ68-AP68)/AP68*100)</f>
        <v>0</v>
      </c>
      <c r="AS68" s="820"/>
      <c r="AT68" s="820"/>
      <c r="AU68" s="714">
        <f>IF(AS68=0,0,(AT68-AS68)/AS68*100)</f>
        <v>0</v>
      </c>
      <c r="AV68" s="820"/>
      <c r="AW68" s="820"/>
      <c r="AX68" s="714">
        <f>IF(AV68=0,0,(AW68-AV68)/AV68*100)</f>
        <v>0</v>
      </c>
      <c r="AY68" s="820"/>
      <c r="AZ68" s="820"/>
      <c r="BA68" s="714">
        <f>IF(AY68=0,0,(AZ68-AY68)/AY68*100)</f>
        <v>0</v>
      </c>
      <c r="BB68" s="820"/>
      <c r="BC68" s="820"/>
      <c r="BD68" s="714">
        <f>IF(BB68=0,0,(BC68-BB68)/BB68*100)</f>
        <v>0</v>
      </c>
      <c r="BE68" s="820"/>
      <c r="BF68" s="820"/>
      <c r="BG68" s="714">
        <f>IF(BE68=0,0,(BF68-BE68)/BE68*100)</f>
        <v>0</v>
      </c>
      <c r="BH68" s="820"/>
      <c r="BI68" s="820"/>
      <c r="BJ68" s="714">
        <f>IF(BH68=0,0,(BI68-BH68)/BH68*100)</f>
        <v>0</v>
      </c>
      <c r="BK68" s="820"/>
      <c r="BL68" s="820"/>
      <c r="BM68" s="714">
        <f>IF(BK68=0,0,(BL68-BK68)/BK68*100)</f>
        <v>0</v>
      </c>
      <c r="BN68" s="820"/>
      <c r="BO68" s="820"/>
      <c r="BP68" s="714">
        <f>IF(BN68=0,0,(BO68-BN68)/BN68*100)</f>
        <v>0</v>
      </c>
      <c r="BQ68" s="820"/>
      <c r="BR68" s="820"/>
      <c r="BS68" s="714">
        <f>IF(BQ68=0,0,(BR68-BQ68)/BQ68*100)</f>
        <v>0</v>
      </c>
      <c r="BT68" s="820"/>
      <c r="BU68" s="820"/>
      <c r="BV68" s="714">
        <f>IF(BT68=0,0,(BU68-BT68)/BT68*100)</f>
        <v>0</v>
      </c>
      <c r="BW68" s="820"/>
      <c r="BX68" s="820"/>
      <c r="BY68" s="714">
        <f>IF(BW68=0,0,(BX68-BW68)/BW68*100)</f>
        <v>0</v>
      </c>
      <c r="BZ68" s="820"/>
      <c r="CA68" s="820"/>
      <c r="CB68" s="714">
        <f>IF(BZ68=0,0,(CA68-BZ68)/BZ68*100)</f>
        <v>0</v>
      </c>
      <c r="CC68" s="820"/>
      <c r="CD68" s="820"/>
      <c r="CE68" s="714">
        <f>IF(CC68=0,0,(CD68-CC68)/CC68*100)</f>
        <v>0</v>
      </c>
      <c r="CF68" s="820"/>
      <c r="CG68" s="820"/>
      <c r="CH68" s="714">
        <f>IF(CF68=0,0,(CG68-CF68)/CF68*100)</f>
        <v>0</v>
      </c>
      <c r="CI68" s="820"/>
      <c r="CJ68" s="820"/>
      <c r="CK68" s="714">
        <f>IF(CI68=0,0,(CJ68-CI68)/CI68*100)</f>
        <v>0</v>
      </c>
      <c r="CL68" s="820"/>
      <c r="CM68" s="820"/>
      <c r="CN68" s="714">
        <f>IF(CL68=0,0,(CM68-CL68)/CL68*100)</f>
        <v>0</v>
      </c>
      <c r="CO68" s="820"/>
      <c r="CP68" s="820"/>
      <c r="CQ68" s="714">
        <f>IF(CO68=0,0,(CP68-CO68)/CO68*100)</f>
        <v>0</v>
      </c>
      <c r="CR68" s="820"/>
      <c r="CS68" s="820"/>
      <c r="CT68" s="714">
        <f>IF(CR68=0,0,(CS68-CR68)/CR68*100)</f>
        <v>0</v>
      </c>
      <c r="CU68" s="820"/>
      <c r="CV68" s="820"/>
      <c r="CW68" s="714">
        <f>IF(CU68=0,0,(CV68-CU68)/CU68*100)</f>
        <v>0</v>
      </c>
      <c r="CX68" s="820"/>
      <c r="CY68" s="820"/>
      <c r="CZ68" s="714">
        <f>IF(CX68=0,0,(CY68-CX68)/CX68*100)</f>
        <v>0</v>
      </c>
      <c r="DA68" s="820"/>
      <c r="DB68" s="820"/>
      <c r="DC68" s="714">
        <f>IF(DA68=0,0,(DB68-DA68)/DA68*100)</f>
        <v>0</v>
      </c>
      <c r="DD68" s="820"/>
      <c r="DE68" s="820"/>
      <c r="DF68" s="714">
        <f>IF(DD68=0,0,(DE68-DD68)/DD68*100)</f>
        <v>0</v>
      </c>
      <c r="DG68" s="820"/>
      <c r="DH68" s="820"/>
      <c r="DI68" s="714">
        <f>IF(DG68=0,0,(DH68-DG68)/DG68*100)</f>
        <v>0</v>
      </c>
      <c r="DJ68" s="820"/>
      <c r="DK68" s="820"/>
      <c r="DL68" s="714">
        <f>IF(DJ68=0,0,(DK68-DJ68)/DJ68*100)</f>
        <v>0</v>
      </c>
      <c r="DM68" s="820"/>
      <c r="DN68" s="820"/>
      <c r="DO68" s="714">
        <f>IF(DM68=0,0,(DN68-DM68)/DM68*100)</f>
        <v>0</v>
      </c>
      <c r="DP68" s="820"/>
      <c r="DQ68" s="820"/>
      <c r="DR68" s="714">
        <f>IF(DP68=0,0,(DQ68-DP68)/DP68*100)</f>
        <v>0</v>
      </c>
      <c r="DS68" s="820"/>
      <c r="DT68" s="820"/>
      <c r="DU68" s="714">
        <f>IF(DS68=0,0,(DT68-DS68)/DS68*100)</f>
        <v>0</v>
      </c>
      <c r="DV68" s="820"/>
      <c r="DW68" s="820"/>
      <c r="DX68" s="714">
        <f>IF(DV68=0,0,(DW68-DV68)/DV68*100)</f>
        <v>0</v>
      </c>
      <c r="DY68" s="820"/>
      <c r="DZ68" s="820"/>
      <c r="EA68" s="714">
        <f>IF(DY68=0,0,(DZ68-DY68)/DY68*100)</f>
        <v>0</v>
      </c>
      <c r="EB68" s="820"/>
      <c r="EC68" s="820"/>
      <c r="ED68" s="714">
        <f>IF(EB68=0,0,(EC68-EB68)/EB68*100)</f>
        <v>0</v>
      </c>
      <c r="EE68" s="820"/>
      <c r="EF68" s="820"/>
      <c r="EG68" s="714">
        <f>IF(EE68=0,0,(EF68-EE68)/EE68*100)</f>
        <v>0</v>
      </c>
      <c r="EH68" s="820"/>
      <c r="EI68" s="820"/>
      <c r="EJ68" s="714">
        <f>IF(EH68=0,0,(EI68-EH68)/EH68*100)</f>
        <v>0</v>
      </c>
      <c r="EK68" s="820"/>
      <c r="EL68" s="820"/>
      <c r="EM68" s="714">
        <f>IF(EK68=0,0,(EL68-EK68)/EK68*100)</f>
        <v>0</v>
      </c>
      <c r="EN68" s="820"/>
      <c r="EO68" s="820"/>
      <c r="EP68" s="714">
        <f>IF(EN68=0,0,(EO68-EN68)/EN68*100)</f>
        <v>0</v>
      </c>
      <c r="EQ68" s="820"/>
      <c r="ER68" s="820"/>
      <c r="ES68" s="714">
        <f>IF(EQ68=0,0,(ER68-EQ68)/EQ68*100)</f>
        <v>0</v>
      </c>
      <c r="ET68" s="820"/>
      <c r="EU68" s="820"/>
      <c r="EV68" s="714">
        <f>IF(ET68=0,0,(EU68-ET68)/ET68*100)</f>
        <v>0</v>
      </c>
      <c r="EW68" s="820"/>
      <c r="EX68" s="820"/>
      <c r="EY68" s="714">
        <f>IF(EW68=0,0,(EX68-EW68)/EW68*100)</f>
        <v>0</v>
      </c>
      <c r="EZ68" s="820"/>
      <c r="FA68" s="820"/>
      <c r="FB68" s="714">
        <f>IF(EZ68=0,0,(FA68-EZ68)/EZ68*100)</f>
        <v>0</v>
      </c>
      <c r="FC68" s="820"/>
      <c r="FD68" s="820"/>
      <c r="FE68" s="714">
        <f>IF(FC68=0,0,(FD68-FC68)/FC68*100)</f>
        <v>0</v>
      </c>
      <c r="FF68" s="820"/>
      <c r="FG68" s="820"/>
      <c r="FH68" s="714">
        <f>IF(FF68=0,0,(FG68-FF68)/FF68*100)</f>
        <v>0</v>
      </c>
      <c r="FI68" s="820"/>
      <c r="FJ68" s="820"/>
      <c r="FK68" s="714">
        <f>IF(FI68=0,0,(FJ68-FI68)/FI68*100)</f>
        <v>0</v>
      </c>
      <c r="FL68" s="820"/>
      <c r="FM68" s="820"/>
      <c r="FN68" s="714">
        <f>IF(FL68=0,0,(FM68-FL68)/FL68*100)</f>
        <v>0</v>
      </c>
      <c r="FO68" s="820"/>
      <c r="FP68" s="820"/>
      <c r="FQ68" s="714">
        <f>IF(FO68=0,0,(FP68-FO68)/FO68*100)</f>
        <v>0</v>
      </c>
      <c r="FR68" s="820"/>
      <c r="FS68" s="820"/>
      <c r="FT68" s="714">
        <f>IF(FR68=0,0,(FS68-FR68)/FR68*100)</f>
        <v>0</v>
      </c>
      <c r="FU68" s="820"/>
      <c r="FV68" s="820"/>
      <c r="FW68" s="714">
        <f>IF(FU68=0,0,(FV68-FU68)/FU68*100)</f>
        <v>0</v>
      </c>
      <c r="FZ68" s="691" t="s">
        <v>1709</v>
      </c>
    </row>
    <row r="69" spans="1:186" ht="14.65" hidden="1" customHeight="1" x14ac:dyDescent="0.15">
      <c r="A69" s="59"/>
      <c r="B69" s="613" t="b" cm="1">
        <f t="array" ref="B69">B68</f>
        <v>0</v>
      </c>
      <c r="C69" s="59"/>
      <c r="D69" s="59"/>
      <c r="E69" s="462">
        <v>15</v>
      </c>
      <c r="F69" s="3" cm="1">
        <f t="array" aca="1" ref="F69" ca="1">OFFSET(E69,-1,1)</f>
        <v>0</v>
      </c>
      <c r="G69" s="59"/>
      <c r="H69" s="59" t="s">
        <v>1686</v>
      </c>
      <c r="I69" s="59" t="s">
        <v>1661</v>
      </c>
      <c r="J69" s="59"/>
      <c r="K69" s="59"/>
      <c r="L69" s="59"/>
      <c r="M69" s="59"/>
      <c r="N69" s="59"/>
      <c r="O69" s="59"/>
      <c r="P69" s="59"/>
      <c r="Q69" s="59"/>
      <c r="R69" s="59"/>
      <c r="S69" s="59"/>
      <c r="T69" s="353" t="b" cm="1">
        <f t="array" aca="1" ref="T69" ca="1">T68</f>
        <v>0</v>
      </c>
      <c r="U69" s="59"/>
      <c r="V69" s="59"/>
      <c r="W69" s="59"/>
      <c r="X69" s="1022"/>
      <c r="Y69" s="59"/>
      <c r="Z69" s="966"/>
      <c r="AA69" s="59"/>
      <c r="AB69" s="105" t="s">
        <v>1687</v>
      </c>
      <c r="AC69" s="12" t="s">
        <v>1688</v>
      </c>
      <c r="AD69" s="820"/>
      <c r="AE69" s="820"/>
      <c r="AF69" s="714">
        <f>IF(AD69=0,0,(AE69-AD69)/AD69*100)</f>
        <v>0</v>
      </c>
      <c r="AG69" s="820"/>
      <c r="AH69" s="820"/>
      <c r="AI69" s="714">
        <f>IF(AG69=0,0,(AH69-AG69)/AG69*100)</f>
        <v>0</v>
      </c>
      <c r="AJ69" s="820"/>
      <c r="AK69" s="820"/>
      <c r="AL69" s="714">
        <f>IF(AJ69=0,0,(AK69-AJ69)/AJ69*100)</f>
        <v>0</v>
      </c>
      <c r="AM69" s="820"/>
      <c r="AN69" s="820"/>
      <c r="AO69" s="714">
        <f>IF(AM69=0,0,(AN69-AM69)/AM69*100)</f>
        <v>0</v>
      </c>
      <c r="AP69" s="820"/>
      <c r="AQ69" s="820"/>
      <c r="AR69" s="714">
        <f>IF(AP69=0,0,(AQ69-AP69)/AP69*100)</f>
        <v>0</v>
      </c>
      <c r="AS69" s="820"/>
      <c r="AT69" s="820"/>
      <c r="AU69" s="714">
        <f>IF(AS69=0,0,(AT69-AS69)/AS69*100)</f>
        <v>0</v>
      </c>
      <c r="AV69" s="820"/>
      <c r="AW69" s="820"/>
      <c r="AX69" s="714">
        <f>IF(AV69=0,0,(AW69-AV69)/AV69*100)</f>
        <v>0</v>
      </c>
      <c r="AY69" s="820"/>
      <c r="AZ69" s="820"/>
      <c r="BA69" s="714">
        <f>IF(AY69=0,0,(AZ69-AY69)/AY69*100)</f>
        <v>0</v>
      </c>
      <c r="BB69" s="820"/>
      <c r="BC69" s="820"/>
      <c r="BD69" s="714">
        <f>IF(BB69=0,0,(BC69-BB69)/BB69*100)</f>
        <v>0</v>
      </c>
      <c r="BE69" s="820"/>
      <c r="BF69" s="820"/>
      <c r="BG69" s="714">
        <f>IF(BE69=0,0,(BF69-BE69)/BE69*100)</f>
        <v>0</v>
      </c>
      <c r="BH69" s="820"/>
      <c r="BI69" s="820"/>
      <c r="BJ69" s="714">
        <f>IF(BH69=0,0,(BI69-BH69)/BH69*100)</f>
        <v>0</v>
      </c>
      <c r="BK69" s="820"/>
      <c r="BL69" s="820"/>
      <c r="BM69" s="714">
        <f>IF(BK69=0,0,(BL69-BK69)/BK69*100)</f>
        <v>0</v>
      </c>
      <c r="BN69" s="820"/>
      <c r="BO69" s="820"/>
      <c r="BP69" s="714">
        <f>IF(BN69=0,0,(BO69-BN69)/BN69*100)</f>
        <v>0</v>
      </c>
      <c r="BQ69" s="820"/>
      <c r="BR69" s="820"/>
      <c r="BS69" s="714">
        <f>IF(BQ69=0,0,(BR69-BQ69)/BQ69*100)</f>
        <v>0</v>
      </c>
      <c r="BT69" s="820"/>
      <c r="BU69" s="820"/>
      <c r="BV69" s="714">
        <f>IF(BT69=0,0,(BU69-BT69)/BT69*100)</f>
        <v>0</v>
      </c>
      <c r="BW69" s="820"/>
      <c r="BX69" s="820"/>
      <c r="BY69" s="714">
        <f>IF(BW69=0,0,(BX69-BW69)/BW69*100)</f>
        <v>0</v>
      </c>
      <c r="BZ69" s="820"/>
      <c r="CA69" s="820"/>
      <c r="CB69" s="714">
        <f>IF(BZ69=0,0,(CA69-BZ69)/BZ69*100)</f>
        <v>0</v>
      </c>
      <c r="CC69" s="820"/>
      <c r="CD69" s="820"/>
      <c r="CE69" s="714">
        <f>IF(CC69=0,0,(CD69-CC69)/CC69*100)</f>
        <v>0</v>
      </c>
      <c r="CF69" s="820"/>
      <c r="CG69" s="820"/>
      <c r="CH69" s="714">
        <f>IF(CF69=0,0,(CG69-CF69)/CF69*100)</f>
        <v>0</v>
      </c>
      <c r="CI69" s="820"/>
      <c r="CJ69" s="820"/>
      <c r="CK69" s="714">
        <f>IF(CI69=0,0,(CJ69-CI69)/CI69*100)</f>
        <v>0</v>
      </c>
      <c r="CL69" s="820"/>
      <c r="CM69" s="820"/>
      <c r="CN69" s="714">
        <f>IF(CL69=0,0,(CM69-CL69)/CL69*100)</f>
        <v>0</v>
      </c>
      <c r="CO69" s="820"/>
      <c r="CP69" s="820"/>
      <c r="CQ69" s="714">
        <f>IF(CO69=0,0,(CP69-CO69)/CO69*100)</f>
        <v>0</v>
      </c>
      <c r="CR69" s="820"/>
      <c r="CS69" s="820"/>
      <c r="CT69" s="714">
        <f>IF(CR69=0,0,(CS69-CR69)/CR69*100)</f>
        <v>0</v>
      </c>
      <c r="CU69" s="820"/>
      <c r="CV69" s="820"/>
      <c r="CW69" s="714">
        <f>IF(CU69=0,0,(CV69-CU69)/CU69*100)</f>
        <v>0</v>
      </c>
      <c r="CX69" s="820"/>
      <c r="CY69" s="820"/>
      <c r="CZ69" s="714">
        <f>IF(CX69=0,0,(CY69-CX69)/CX69*100)</f>
        <v>0</v>
      </c>
      <c r="DA69" s="820"/>
      <c r="DB69" s="820"/>
      <c r="DC69" s="714">
        <f>IF(DA69=0,0,(DB69-DA69)/DA69*100)</f>
        <v>0</v>
      </c>
      <c r="DD69" s="820"/>
      <c r="DE69" s="820"/>
      <c r="DF69" s="714">
        <f>IF(DD69=0,0,(DE69-DD69)/DD69*100)</f>
        <v>0</v>
      </c>
      <c r="DG69" s="820"/>
      <c r="DH69" s="820"/>
      <c r="DI69" s="714">
        <f>IF(DG69=0,0,(DH69-DG69)/DG69*100)</f>
        <v>0</v>
      </c>
      <c r="DJ69" s="820"/>
      <c r="DK69" s="820"/>
      <c r="DL69" s="714">
        <f>IF(DJ69=0,0,(DK69-DJ69)/DJ69*100)</f>
        <v>0</v>
      </c>
      <c r="DM69" s="820"/>
      <c r="DN69" s="820"/>
      <c r="DO69" s="714">
        <f>IF(DM69=0,0,(DN69-DM69)/DM69*100)</f>
        <v>0</v>
      </c>
      <c r="DP69" s="820"/>
      <c r="DQ69" s="820"/>
      <c r="DR69" s="714">
        <f>IF(DP69=0,0,(DQ69-DP69)/DP69*100)</f>
        <v>0</v>
      </c>
      <c r="DS69" s="820"/>
      <c r="DT69" s="820"/>
      <c r="DU69" s="714">
        <f>IF(DS69=0,0,(DT69-DS69)/DS69*100)</f>
        <v>0</v>
      </c>
      <c r="DV69" s="820"/>
      <c r="DW69" s="820"/>
      <c r="DX69" s="714">
        <f>IF(DV69=0,0,(DW69-DV69)/DV69*100)</f>
        <v>0</v>
      </c>
      <c r="DY69" s="820"/>
      <c r="DZ69" s="820"/>
      <c r="EA69" s="714">
        <f>IF(DY69=0,0,(DZ69-DY69)/DY69*100)</f>
        <v>0</v>
      </c>
      <c r="EB69" s="820"/>
      <c r="EC69" s="820"/>
      <c r="ED69" s="714">
        <f>IF(EB69=0,0,(EC69-EB69)/EB69*100)</f>
        <v>0</v>
      </c>
      <c r="EE69" s="820"/>
      <c r="EF69" s="820"/>
      <c r="EG69" s="714">
        <f>IF(EE69=0,0,(EF69-EE69)/EE69*100)</f>
        <v>0</v>
      </c>
      <c r="EH69" s="820"/>
      <c r="EI69" s="820"/>
      <c r="EJ69" s="714">
        <f>IF(EH69=0,0,(EI69-EH69)/EH69*100)</f>
        <v>0</v>
      </c>
      <c r="EK69" s="820"/>
      <c r="EL69" s="820"/>
      <c r="EM69" s="714">
        <f>IF(EK69=0,0,(EL69-EK69)/EK69*100)</f>
        <v>0</v>
      </c>
      <c r="EN69" s="820"/>
      <c r="EO69" s="820"/>
      <c r="EP69" s="714">
        <f>IF(EN69=0,0,(EO69-EN69)/EN69*100)</f>
        <v>0</v>
      </c>
      <c r="EQ69" s="820"/>
      <c r="ER69" s="820"/>
      <c r="ES69" s="714">
        <f>IF(EQ69=0,0,(ER69-EQ69)/EQ69*100)</f>
        <v>0</v>
      </c>
      <c r="ET69" s="820"/>
      <c r="EU69" s="820"/>
      <c r="EV69" s="714">
        <f>IF(ET69=0,0,(EU69-ET69)/ET69*100)</f>
        <v>0</v>
      </c>
      <c r="EW69" s="820"/>
      <c r="EX69" s="820"/>
      <c r="EY69" s="714">
        <f>IF(EW69=0,0,(EX69-EW69)/EW69*100)</f>
        <v>0</v>
      </c>
      <c r="EZ69" s="820"/>
      <c r="FA69" s="820"/>
      <c r="FB69" s="714">
        <f>IF(EZ69=0,0,(FA69-EZ69)/EZ69*100)</f>
        <v>0</v>
      </c>
      <c r="FC69" s="820"/>
      <c r="FD69" s="820"/>
      <c r="FE69" s="714">
        <f>IF(FC69=0,0,(FD69-FC69)/FC69*100)</f>
        <v>0</v>
      </c>
      <c r="FF69" s="820"/>
      <c r="FG69" s="820"/>
      <c r="FH69" s="714">
        <f>IF(FF69=0,0,(FG69-FF69)/FF69*100)</f>
        <v>0</v>
      </c>
      <c r="FI69" s="820"/>
      <c r="FJ69" s="820"/>
      <c r="FK69" s="714">
        <f>IF(FI69=0,0,(FJ69-FI69)/FI69*100)</f>
        <v>0</v>
      </c>
      <c r="FL69" s="820"/>
      <c r="FM69" s="820"/>
      <c r="FN69" s="714">
        <f>IF(FL69=0,0,(FM69-FL69)/FL69*100)</f>
        <v>0</v>
      </c>
      <c r="FO69" s="820"/>
      <c r="FP69" s="820"/>
      <c r="FQ69" s="714">
        <f>IF(FO69=0,0,(FP69-FO69)/FO69*100)</f>
        <v>0</v>
      </c>
      <c r="FR69" s="820"/>
      <c r="FS69" s="820"/>
      <c r="FT69" s="714">
        <f>IF(FR69=0,0,(FS69-FR69)/FR69*100)</f>
        <v>0</v>
      </c>
      <c r="FU69" s="820"/>
      <c r="FV69" s="820"/>
      <c r="FW69" s="714">
        <f>IF(FU69=0,0,(FV69-FU69)/FU69*100)</f>
        <v>0</v>
      </c>
      <c r="FZ69" s="691" t="s">
        <v>1710</v>
      </c>
    </row>
    <row r="70" spans="1:186" ht="18.2" hidden="1" customHeight="1" x14ac:dyDescent="0.15">
      <c r="A70" s="59"/>
      <c r="B70" s="613" t="b" cm="1">
        <f t="array" ref="B70">B69</f>
        <v>0</v>
      </c>
      <c r="C70" s="59"/>
      <c r="D70" s="59"/>
      <c r="E70" s="462">
        <v>18.75</v>
      </c>
      <c r="F70" s="3" cm="1">
        <f t="array" aca="1" ref="F70" ca="1">OFFSET(E70,-1,1)</f>
        <v>0</v>
      </c>
      <c r="G70" s="59"/>
      <c r="H70" s="59"/>
      <c r="I70" s="59"/>
      <c r="J70" s="59"/>
      <c r="K70" s="59"/>
      <c r="L70" s="59"/>
      <c r="M70" s="59"/>
      <c r="N70" s="59"/>
      <c r="O70" s="59"/>
      <c r="P70" s="59"/>
      <c r="Q70" s="59"/>
      <c r="R70" s="59"/>
      <c r="S70" s="59"/>
      <c r="T70" s="353" t="b">
        <f ca="1">AND(F70&gt;0,Y70&gt;0)</f>
        <v>0</v>
      </c>
      <c r="U70" s="59"/>
      <c r="V70" s="59"/>
      <c r="W70" s="59" t="s">
        <v>172</v>
      </c>
      <c r="X70" s="1022"/>
      <c r="Y70" s="1022">
        <v>0</v>
      </c>
      <c r="Z70" s="966"/>
      <c r="AA70" s="913" t="s">
        <v>173</v>
      </c>
      <c r="AB70" s="863"/>
      <c r="AC70" s="584"/>
      <c r="AD70" s="720"/>
      <c r="AE70" s="721"/>
      <c r="AF70" s="721"/>
      <c r="AG70" s="720"/>
      <c r="AH70" s="721"/>
      <c r="AI70" s="721"/>
      <c r="AJ70" s="720"/>
      <c r="AK70" s="721"/>
      <c r="AL70" s="721"/>
      <c r="AM70" s="720"/>
      <c r="AN70" s="721"/>
      <c r="AO70" s="721"/>
      <c r="AP70" s="720"/>
      <c r="AQ70" s="721"/>
      <c r="AR70" s="721"/>
      <c r="AS70" s="720"/>
      <c r="AT70" s="721"/>
      <c r="AU70" s="721"/>
      <c r="AV70" s="720"/>
      <c r="AW70" s="721"/>
      <c r="AX70" s="721"/>
      <c r="AY70" s="720"/>
      <c r="AZ70" s="721"/>
      <c r="BA70" s="721"/>
      <c r="BB70" s="720"/>
      <c r="BC70" s="721"/>
      <c r="BD70" s="721"/>
      <c r="BE70" s="720"/>
      <c r="BF70" s="721"/>
      <c r="BG70" s="721"/>
      <c r="BH70" s="720"/>
      <c r="BI70" s="721"/>
      <c r="BJ70" s="721"/>
      <c r="BK70" s="720"/>
      <c r="BL70" s="721"/>
      <c r="BM70" s="721"/>
      <c r="BN70" s="720"/>
      <c r="BO70" s="721"/>
      <c r="BP70" s="721"/>
      <c r="BQ70" s="720"/>
      <c r="BR70" s="721"/>
      <c r="BS70" s="721"/>
      <c r="BT70" s="720"/>
      <c r="BU70" s="721"/>
      <c r="BV70" s="721"/>
      <c r="BW70" s="720"/>
      <c r="BX70" s="721"/>
      <c r="BY70" s="721"/>
      <c r="BZ70" s="720"/>
      <c r="CA70" s="721"/>
      <c r="CB70" s="721"/>
      <c r="CC70" s="720"/>
      <c r="CD70" s="721"/>
      <c r="CE70" s="721"/>
      <c r="CF70" s="720"/>
      <c r="CG70" s="721"/>
      <c r="CH70" s="721"/>
      <c r="CI70" s="720"/>
      <c r="CJ70" s="721"/>
      <c r="CK70" s="721"/>
      <c r="CL70" s="720"/>
      <c r="CM70" s="721"/>
      <c r="CN70" s="721"/>
      <c r="CO70" s="720"/>
      <c r="CP70" s="721"/>
      <c r="CQ70" s="721"/>
      <c r="CR70" s="720"/>
      <c r="CS70" s="721"/>
      <c r="CT70" s="721"/>
      <c r="CU70" s="720"/>
      <c r="CV70" s="721"/>
      <c r="CW70" s="721"/>
      <c r="CX70" s="720"/>
      <c r="CY70" s="721"/>
      <c r="CZ70" s="721"/>
      <c r="DA70" s="720"/>
      <c r="DB70" s="721"/>
      <c r="DC70" s="721"/>
      <c r="DD70" s="720"/>
      <c r="DE70" s="721"/>
      <c r="DF70" s="721"/>
      <c r="DG70" s="720"/>
      <c r="DH70" s="721"/>
      <c r="DI70" s="721"/>
      <c r="DJ70" s="720"/>
      <c r="DK70" s="721"/>
      <c r="DL70" s="721"/>
      <c r="DM70" s="720"/>
      <c r="DN70" s="721"/>
      <c r="DO70" s="721"/>
      <c r="DP70" s="720"/>
      <c r="DQ70" s="721"/>
      <c r="DR70" s="721"/>
      <c r="DS70" s="720"/>
      <c r="DT70" s="721"/>
      <c r="DU70" s="721"/>
      <c r="DV70" s="720"/>
      <c r="DW70" s="721"/>
      <c r="DX70" s="721"/>
      <c r="DY70" s="720"/>
      <c r="DZ70" s="721"/>
      <c r="EA70" s="721"/>
      <c r="EB70" s="720"/>
      <c r="EC70" s="721"/>
      <c r="ED70" s="721"/>
      <c r="EE70" s="720"/>
      <c r="EF70" s="721"/>
      <c r="EG70" s="721"/>
      <c r="EH70" s="720"/>
      <c r="EI70" s="721"/>
      <c r="EJ70" s="721"/>
      <c r="EK70" s="720"/>
      <c r="EL70" s="721"/>
      <c r="EM70" s="721"/>
      <c r="EN70" s="720"/>
      <c r="EO70" s="721"/>
      <c r="EP70" s="721"/>
      <c r="EQ70" s="720"/>
      <c r="ER70" s="721"/>
      <c r="ES70" s="721"/>
      <c r="ET70" s="720"/>
      <c r="EU70" s="721"/>
      <c r="EV70" s="721"/>
      <c r="EW70" s="720"/>
      <c r="EX70" s="721"/>
      <c r="EY70" s="721"/>
      <c r="EZ70" s="720"/>
      <c r="FA70" s="721"/>
      <c r="FB70" s="721"/>
      <c r="FC70" s="720"/>
      <c r="FD70" s="721"/>
      <c r="FE70" s="721"/>
      <c r="FF70" s="720"/>
      <c r="FG70" s="721"/>
      <c r="FH70" s="721"/>
      <c r="FI70" s="720"/>
      <c r="FJ70" s="721"/>
      <c r="FK70" s="721"/>
      <c r="FL70" s="720"/>
      <c r="FM70" s="721"/>
      <c r="FN70" s="721"/>
      <c r="FO70" s="720"/>
      <c r="FP70" s="721"/>
      <c r="FQ70" s="721"/>
      <c r="FR70" s="720"/>
      <c r="FS70" s="721"/>
      <c r="FT70" s="721"/>
      <c r="FU70" s="720"/>
      <c r="FV70" s="721"/>
      <c r="FW70" s="722"/>
      <c r="FZ70" s="691"/>
      <c r="GD70" s="461" t="b">
        <v>1</v>
      </c>
    </row>
    <row r="71" spans="1:186" ht="14.65" hidden="1" customHeight="1" x14ac:dyDescent="0.15">
      <c r="A71" s="59"/>
      <c r="B71" s="613" t="b" cm="1">
        <f t="array" ref="B71">B70</f>
        <v>0</v>
      </c>
      <c r="C71" s="59"/>
      <c r="D71" s="59"/>
      <c r="E71" s="462">
        <v>15</v>
      </c>
      <c r="F71" s="3" cm="1">
        <f t="array" aca="1" ref="F71" ca="1">OFFSET(E71,-1,1)</f>
        <v>0</v>
      </c>
      <c r="G71" s="59"/>
      <c r="H71" s="59" t="s">
        <v>1570</v>
      </c>
      <c r="I71" s="59" cm="1">
        <f t="array" ref="I71">AB70</f>
        <v>0</v>
      </c>
      <c r="J71" s="59"/>
      <c r="K71" s="59"/>
      <c r="L71" s="59"/>
      <c r="M71" s="59"/>
      <c r="N71" s="59"/>
      <c r="O71" s="59"/>
      <c r="P71" s="59"/>
      <c r="Q71" s="59"/>
      <c r="R71" s="59"/>
      <c r="S71" s="59"/>
      <c r="T71" s="353" t="b" cm="1">
        <f t="array" aca="1" ref="T71" ca="1">T70</f>
        <v>0</v>
      </c>
      <c r="U71" s="59"/>
      <c r="V71" s="59"/>
      <c r="W71" s="59"/>
      <c r="X71" s="1022"/>
      <c r="Y71" s="1022"/>
      <c r="Z71" s="966"/>
      <c r="AA71" s="913"/>
      <c r="AB71" s="105" t="s">
        <v>1677</v>
      </c>
      <c r="AC71" s="12" t="s">
        <v>1644</v>
      </c>
      <c r="AD71" s="820">
        <f>IF(AD73=0,0,(AD72*AD73+AD74*AD75*IF(god=2026,3,6))/AD73)</f>
        <v>0</v>
      </c>
      <c r="AE71" s="820">
        <f>IF(AE73=0,0,(AE72*AE73+AE74*AE75*IF(god=2026,3,6))/AE73)</f>
        <v>0</v>
      </c>
      <c r="AF71" s="714">
        <f>IF(AD71=0,0,(AE71-AD71)/AD71*100)</f>
        <v>0</v>
      </c>
      <c r="AG71" s="820">
        <f>IF(AG73=0,0,(AG72*AG73+AG74*AG75*IF(god=2025,3,6))/AG73)</f>
        <v>0</v>
      </c>
      <c r="AH71" s="820">
        <f>IF(AH73=0,0,(AH72*AH73+AH74*AH75*IF(god=2025,3,6))/AH73)</f>
        <v>0</v>
      </c>
      <c r="AI71" s="714">
        <f>IF(AG71=0,0,(AH71-AG71)/AG71*100)</f>
        <v>0</v>
      </c>
      <c r="AJ71" s="820">
        <f>IF(AJ73=0,0,(AJ72*AJ73+AJ74*AJ75*6)/AJ73)</f>
        <v>0</v>
      </c>
      <c r="AK71" s="820">
        <f>IF(AK73=0,0,(AK72*AK73+AK74*AK75*6)/AK73)</f>
        <v>0</v>
      </c>
      <c r="AL71" s="714">
        <f>IF(AJ71=0,0,(AK71-AJ71)/AJ71*100)</f>
        <v>0</v>
      </c>
      <c r="AM71" s="820">
        <f>IF(AM73=0,0,(AM72*AM73+AM74*AM75*6)/AM73)</f>
        <v>0</v>
      </c>
      <c r="AN71" s="820">
        <f>IF(AN73=0,0,(AN72*AN73+AN74*AN75*6)/AN73)</f>
        <v>0</v>
      </c>
      <c r="AO71" s="714">
        <f>IF(AM71=0,0,(AN71-AM71)/AM71*100)</f>
        <v>0</v>
      </c>
      <c r="AP71" s="820">
        <f>IF(AP73=0,0,(AP72*AP73+AP74*AP75*6)/AP73)</f>
        <v>0</v>
      </c>
      <c r="AQ71" s="820">
        <f>IF(AQ73=0,0,(AQ72*AQ73+AQ74*AQ75*6)/AQ73)</f>
        <v>0</v>
      </c>
      <c r="AR71" s="714">
        <f>IF(AP71=0,0,(AQ71-AP71)/AP71*100)</f>
        <v>0</v>
      </c>
      <c r="AS71" s="820">
        <f>IF(AS73=0,0,(AS72*AS73+AS74*AS75*6)/AS73)</f>
        <v>0</v>
      </c>
      <c r="AT71" s="820">
        <f>IF(AT73=0,0,(AT72*AT73+AT74*AT75*6)/AT73)</f>
        <v>0</v>
      </c>
      <c r="AU71" s="714">
        <f>IF(AS71=0,0,(AT71-AS71)/AS71*100)</f>
        <v>0</v>
      </c>
      <c r="AV71" s="820">
        <f>IF(AV73=0,0,(AV72*AV73+AV74*AV75*6)/AV73)</f>
        <v>0</v>
      </c>
      <c r="AW71" s="820">
        <f>IF(AW73=0,0,(AW72*AW73+AW74*AW75*6)/AW73)</f>
        <v>0</v>
      </c>
      <c r="AX71" s="714">
        <f>IF(AV71=0,0,(AW71-AV71)/AV71*100)</f>
        <v>0</v>
      </c>
      <c r="AY71" s="820">
        <f>IF(AY73=0,0,(AY72*AY73+AY74*AY75*6)/AY73)</f>
        <v>0</v>
      </c>
      <c r="AZ71" s="820">
        <f>IF(AZ73=0,0,(AZ72*AZ73+AZ74*AZ75*6)/AZ73)</f>
        <v>0</v>
      </c>
      <c r="BA71" s="714">
        <f>IF(AY71=0,0,(AZ71-AY71)/AY71*100)</f>
        <v>0</v>
      </c>
      <c r="BB71" s="820">
        <f>IF(BB73=0,0,(BB72*BB73+BB74*BB75*6)/BB73)</f>
        <v>0</v>
      </c>
      <c r="BC71" s="820">
        <f>IF(BC73=0,0,(BC72*BC73+BC74*BC75*6)/BC73)</f>
        <v>0</v>
      </c>
      <c r="BD71" s="714">
        <f>IF(BB71=0,0,(BC71-BB71)/BB71*100)</f>
        <v>0</v>
      </c>
      <c r="BE71" s="820">
        <f>IF(BE73=0,0,(BE72*BE73+BE74*BE75*6)/BE73)</f>
        <v>0</v>
      </c>
      <c r="BF71" s="820">
        <f>IF(BF73=0,0,(BF72*BF73+BF74*BF75*6)/BF73)</f>
        <v>0</v>
      </c>
      <c r="BG71" s="714">
        <f>IF(BE71=0,0,(BF71-BE71)/BE71*100)</f>
        <v>0</v>
      </c>
      <c r="BH71" s="820">
        <f>IF(BH73=0,0,(BH72*BH73+BH74*BH75*6)/BH73)</f>
        <v>0</v>
      </c>
      <c r="BI71" s="820">
        <f>IF(BI73=0,0,(BI72*BI73+BI74*BI75*6)/BI73)</f>
        <v>0</v>
      </c>
      <c r="BJ71" s="714">
        <f>IF(BH71=0,0,(BI71-BH71)/BH71*100)</f>
        <v>0</v>
      </c>
      <c r="BK71" s="820">
        <f>IF(BK73=0,0,(BK72*BK73+BK74*BK75*6)/BK73)</f>
        <v>0</v>
      </c>
      <c r="BL71" s="820">
        <f>IF(BL73=0,0,(BL72*BL73+BL74*BL75*6)/BL73)</f>
        <v>0</v>
      </c>
      <c r="BM71" s="714">
        <f>IF(BK71=0,0,(BL71-BK71)/BK71*100)</f>
        <v>0</v>
      </c>
      <c r="BN71" s="820">
        <f>IF(BN73=0,0,(BN72*BN73+BN74*BN75*6)/BN73)</f>
        <v>0</v>
      </c>
      <c r="BO71" s="820">
        <f>IF(BO73=0,0,(BO72*BO73+BO74*BO75*6)/BO73)</f>
        <v>0</v>
      </c>
      <c r="BP71" s="714">
        <f>IF(BN71=0,0,(BO71-BN71)/BN71*100)</f>
        <v>0</v>
      </c>
      <c r="BQ71" s="820">
        <f>IF(BQ73=0,0,(BQ72*BQ73+BQ74*BQ75*6)/BQ73)</f>
        <v>0</v>
      </c>
      <c r="BR71" s="820">
        <f>IF(BR73=0,0,(BR72*BR73+BR74*BR75*6)/BR73)</f>
        <v>0</v>
      </c>
      <c r="BS71" s="714">
        <f>IF(BQ71=0,0,(BR71-BQ71)/BQ71*100)</f>
        <v>0</v>
      </c>
      <c r="BT71" s="820">
        <f>IF(BT73=0,0,(BT72*BT73+BT74*BT75*6)/BT73)</f>
        <v>0</v>
      </c>
      <c r="BU71" s="820">
        <f>IF(BU73=0,0,(BU72*BU73+BU74*BU75*6)/BU73)</f>
        <v>0</v>
      </c>
      <c r="BV71" s="714">
        <f>IF(BT71=0,0,(BU71-BT71)/BT71*100)</f>
        <v>0</v>
      </c>
      <c r="BW71" s="820">
        <f>IF(BW73=0,0,(BW72*BW73+BW74*BW75*6)/BW73)</f>
        <v>0</v>
      </c>
      <c r="BX71" s="820">
        <f>IF(BX73=0,0,(BX72*BX73+BX74*BX75*6)/BX73)</f>
        <v>0</v>
      </c>
      <c r="BY71" s="714">
        <f>IF(BW71=0,0,(BX71-BW71)/BW71*100)</f>
        <v>0</v>
      </c>
      <c r="BZ71" s="820">
        <f>IF(BZ73=0,0,(BZ72*BZ73+BZ74*BZ75*6)/BZ73)</f>
        <v>0</v>
      </c>
      <c r="CA71" s="820">
        <f>IF(CA73=0,0,(CA72*CA73+CA74*CA75*6)/CA73)</f>
        <v>0</v>
      </c>
      <c r="CB71" s="714">
        <f>IF(BZ71=0,0,(CA71-BZ71)/BZ71*100)</f>
        <v>0</v>
      </c>
      <c r="CC71" s="820">
        <f>IF(CC73=0,0,(CC72*CC73+CC74*CC75*6)/CC73)</f>
        <v>0</v>
      </c>
      <c r="CD71" s="820">
        <f>IF(CD73=0,0,(CD72*CD73+CD74*CD75*6)/CD73)</f>
        <v>0</v>
      </c>
      <c r="CE71" s="714">
        <f>IF(CC71=0,0,(CD71-CC71)/CC71*100)</f>
        <v>0</v>
      </c>
      <c r="CF71" s="820">
        <f>IF(CF73=0,0,(CF72*CF73+CF74*CF75*6)/CF73)</f>
        <v>0</v>
      </c>
      <c r="CG71" s="820">
        <f>IF(CG73=0,0,(CG72*CG73+CG74*CG75*6)/CG73)</f>
        <v>0</v>
      </c>
      <c r="CH71" s="714">
        <f>IF(CF71=0,0,(CG71-CF71)/CF71*100)</f>
        <v>0</v>
      </c>
      <c r="CI71" s="820">
        <f>IF(CI73=0,0,(CI72*CI73+CI74*CI75*6)/CI73)</f>
        <v>0</v>
      </c>
      <c r="CJ71" s="820">
        <f>IF(CJ73=0,0,(CJ72*CJ73+CJ74*CJ75*6)/CJ73)</f>
        <v>0</v>
      </c>
      <c r="CK71" s="714">
        <f>IF(CI71=0,0,(CJ71-CI71)/CI71*100)</f>
        <v>0</v>
      </c>
      <c r="CL71" s="820">
        <f>IF(CL73=0,0,(CL72*CL73+CL74*CL75*6)/CL73)</f>
        <v>0</v>
      </c>
      <c r="CM71" s="820">
        <f>IF(CM73=0,0,(CM72*CM73+CM74*CM75*6)/CM73)</f>
        <v>0</v>
      </c>
      <c r="CN71" s="714">
        <f>IF(CL71=0,0,(CM71-CL71)/CL71*100)</f>
        <v>0</v>
      </c>
      <c r="CO71" s="820">
        <f>IF(CO73=0,0,(CO72*CO73+CO74*CO75*6)/CO73)</f>
        <v>0</v>
      </c>
      <c r="CP71" s="820">
        <f>IF(CP73=0,0,(CP72*CP73+CP74*CP75*6)/CP73)</f>
        <v>0</v>
      </c>
      <c r="CQ71" s="714">
        <f>IF(CO71=0,0,(CP71-CO71)/CO71*100)</f>
        <v>0</v>
      </c>
      <c r="CR71" s="820">
        <f>IF(CR73=0,0,(CR72*CR73+CR74*CR75*6)/CR73)</f>
        <v>0</v>
      </c>
      <c r="CS71" s="820">
        <f>IF(CS73=0,0,(CS72*CS73+CS74*CS75*6)/CS73)</f>
        <v>0</v>
      </c>
      <c r="CT71" s="714">
        <f>IF(CR71=0,0,(CS71-CR71)/CR71*100)</f>
        <v>0</v>
      </c>
      <c r="CU71" s="820">
        <f>IF(CU73=0,0,(CU72*CU73+CU74*CU75*6)/CU73)</f>
        <v>0</v>
      </c>
      <c r="CV71" s="820">
        <f>IF(CV73=0,0,(CV72*CV73+CV74*CV75*6)/CV73)</f>
        <v>0</v>
      </c>
      <c r="CW71" s="714">
        <f>IF(CU71=0,0,(CV71-CU71)/CU71*100)</f>
        <v>0</v>
      </c>
      <c r="CX71" s="820">
        <f>IF(CX73=0,0,(CX72*CX73+CX74*CX75*6)/CX73)</f>
        <v>0</v>
      </c>
      <c r="CY71" s="820">
        <f>IF(CY73=0,0,(CY72*CY73+CY74*CY75*6)/CY73)</f>
        <v>0</v>
      </c>
      <c r="CZ71" s="714">
        <f>IF(CX71=0,0,(CY71-CX71)/CX71*100)</f>
        <v>0</v>
      </c>
      <c r="DA71" s="820">
        <f>IF(DA73=0,0,(DA72*DA73+DA74*DA75*6)/DA73)</f>
        <v>0</v>
      </c>
      <c r="DB71" s="820">
        <f>IF(DB73=0,0,(DB72*DB73+DB74*DB75*6)/DB73)</f>
        <v>0</v>
      </c>
      <c r="DC71" s="714">
        <f>IF(DA71=0,0,(DB71-DA71)/DA71*100)</f>
        <v>0</v>
      </c>
      <c r="DD71" s="820">
        <f>IF(DD73=0,0,(DD72*DD73+DD74*DD75*6)/DD73)</f>
        <v>0</v>
      </c>
      <c r="DE71" s="820">
        <f>IF(DE73=0,0,(DE72*DE73+DE74*DE75*6)/DE73)</f>
        <v>0</v>
      </c>
      <c r="DF71" s="714">
        <f>IF(DD71=0,0,(DE71-DD71)/DD71*100)</f>
        <v>0</v>
      </c>
      <c r="DG71" s="820">
        <f>IF(DG73=0,0,(DG72*DG73+DG74*DG75*6)/DG73)</f>
        <v>0</v>
      </c>
      <c r="DH71" s="820">
        <f>IF(DH73=0,0,(DH72*DH73+DH74*DH75*6)/DH73)</f>
        <v>0</v>
      </c>
      <c r="DI71" s="714">
        <f>IF(DG71=0,0,(DH71-DG71)/DG71*100)</f>
        <v>0</v>
      </c>
      <c r="DJ71" s="820">
        <f>IF(DJ73=0,0,(DJ72*DJ73+DJ74*DJ75*6)/DJ73)</f>
        <v>0</v>
      </c>
      <c r="DK71" s="820">
        <f>IF(DK73=0,0,(DK72*DK73+DK74*DK75*6)/DK73)</f>
        <v>0</v>
      </c>
      <c r="DL71" s="714">
        <f>IF(DJ71=0,0,(DK71-DJ71)/DJ71*100)</f>
        <v>0</v>
      </c>
      <c r="DM71" s="820">
        <f>IF(DM73=0,0,(DM72*DM73+DM74*DM75*6)/DM73)</f>
        <v>0</v>
      </c>
      <c r="DN71" s="820">
        <f>IF(DN73=0,0,(DN72*DN73+DN74*DN75*6)/DN73)</f>
        <v>0</v>
      </c>
      <c r="DO71" s="714">
        <f>IF(DM71=0,0,(DN71-DM71)/DM71*100)</f>
        <v>0</v>
      </c>
      <c r="DP71" s="820">
        <f>IF(DP73=0,0,(DP72*DP73+DP74*DP75*6)/DP73)</f>
        <v>0</v>
      </c>
      <c r="DQ71" s="820">
        <f>IF(DQ73=0,0,(DQ72*DQ73+DQ74*DQ75*6)/DQ73)</f>
        <v>0</v>
      </c>
      <c r="DR71" s="714">
        <f>IF(DP71=0,0,(DQ71-DP71)/DP71*100)</f>
        <v>0</v>
      </c>
      <c r="DS71" s="820">
        <f>IF(DS73=0,0,(DS72*DS73+DS74*DS75*6)/DS73)</f>
        <v>0</v>
      </c>
      <c r="DT71" s="820">
        <f>IF(DT73=0,0,(DT72*DT73+DT74*DT75*6)/DT73)</f>
        <v>0</v>
      </c>
      <c r="DU71" s="714">
        <f>IF(DS71=0,0,(DT71-DS71)/DS71*100)</f>
        <v>0</v>
      </c>
      <c r="DV71" s="820">
        <f>IF(DV73=0,0,(DV72*DV73+DV74*DV75*6)/DV73)</f>
        <v>0</v>
      </c>
      <c r="DW71" s="820">
        <f>IF(DW73=0,0,(DW72*DW73+DW74*DW75*6)/DW73)</f>
        <v>0</v>
      </c>
      <c r="DX71" s="714">
        <f>IF(DV71=0,0,(DW71-DV71)/DV71*100)</f>
        <v>0</v>
      </c>
      <c r="DY71" s="820">
        <f>IF(DY73=0,0,(DY72*DY73+DY74*DY75*6)/DY73)</f>
        <v>0</v>
      </c>
      <c r="DZ71" s="820">
        <f>IF(DZ73=0,0,(DZ72*DZ73+DZ74*DZ75*6)/DZ73)</f>
        <v>0</v>
      </c>
      <c r="EA71" s="714">
        <f>IF(DY71=0,0,(DZ71-DY71)/DY71*100)</f>
        <v>0</v>
      </c>
      <c r="EB71" s="820">
        <f>IF(EB73=0,0,(EB72*EB73+EB74*EB75*6)/EB73)</f>
        <v>0</v>
      </c>
      <c r="EC71" s="820">
        <f>IF(EC73=0,0,(EC72*EC73+EC74*EC75*6)/EC73)</f>
        <v>0</v>
      </c>
      <c r="ED71" s="714">
        <f>IF(EB71=0,0,(EC71-EB71)/EB71*100)</f>
        <v>0</v>
      </c>
      <c r="EE71" s="820">
        <f>IF(EE73=0,0,(EE72*EE73+EE74*EE75*6)/EE73)</f>
        <v>0</v>
      </c>
      <c r="EF71" s="820">
        <f>IF(EF73=0,0,(EF72*EF73+EF74*EF75*6)/EF73)</f>
        <v>0</v>
      </c>
      <c r="EG71" s="714">
        <f>IF(EE71=0,0,(EF71-EE71)/EE71*100)</f>
        <v>0</v>
      </c>
      <c r="EH71" s="820">
        <f>IF(EH73=0,0,(EH72*EH73+EH74*EH75*6)/EH73)</f>
        <v>0</v>
      </c>
      <c r="EI71" s="820">
        <f>IF(EI73=0,0,(EI72*EI73+EI74*EI75*6)/EI73)</f>
        <v>0</v>
      </c>
      <c r="EJ71" s="714">
        <f>IF(EH71=0,0,(EI71-EH71)/EH71*100)</f>
        <v>0</v>
      </c>
      <c r="EK71" s="820">
        <f>IF(EK73=0,0,(EK72*EK73+EK74*EK75*6)/EK73)</f>
        <v>0</v>
      </c>
      <c r="EL71" s="820">
        <f>IF(EL73=0,0,(EL72*EL73+EL74*EL75*6)/EL73)</f>
        <v>0</v>
      </c>
      <c r="EM71" s="714">
        <f>IF(EK71=0,0,(EL71-EK71)/EK71*100)</f>
        <v>0</v>
      </c>
      <c r="EN71" s="820">
        <f>IF(EN73=0,0,(EN72*EN73+EN74*EN75*6)/EN73)</f>
        <v>0</v>
      </c>
      <c r="EO71" s="820">
        <f>IF(EO73=0,0,(EO72*EO73+EO74*EO75*6)/EO73)</f>
        <v>0</v>
      </c>
      <c r="EP71" s="714">
        <f>IF(EN71=0,0,(EO71-EN71)/EN71*100)</f>
        <v>0</v>
      </c>
      <c r="EQ71" s="820">
        <f>IF(EQ73=0,0,(EQ72*EQ73+EQ74*EQ75*6)/EQ73)</f>
        <v>0</v>
      </c>
      <c r="ER71" s="820">
        <f>IF(ER73=0,0,(ER72*ER73+ER74*ER75*6)/ER73)</f>
        <v>0</v>
      </c>
      <c r="ES71" s="714">
        <f>IF(EQ71=0,0,(ER71-EQ71)/EQ71*100)</f>
        <v>0</v>
      </c>
      <c r="ET71" s="820">
        <f>IF(ET73=0,0,(ET72*ET73+ET74*ET75*6)/ET73)</f>
        <v>0</v>
      </c>
      <c r="EU71" s="820">
        <f>IF(EU73=0,0,(EU72*EU73+EU74*EU75*6)/EU73)</f>
        <v>0</v>
      </c>
      <c r="EV71" s="714">
        <f>IF(ET71=0,0,(EU71-ET71)/ET71*100)</f>
        <v>0</v>
      </c>
      <c r="EW71" s="820">
        <f>IF(EW73=0,0,(EW72*EW73+EW74*EW75*6)/EW73)</f>
        <v>0</v>
      </c>
      <c r="EX71" s="820">
        <f>IF(EX73=0,0,(EX72*EX73+EX74*EX75*6)/EX73)</f>
        <v>0</v>
      </c>
      <c r="EY71" s="714">
        <f>IF(EW71=0,0,(EX71-EW71)/EW71*100)</f>
        <v>0</v>
      </c>
      <c r="EZ71" s="820">
        <f>IF(EZ73=0,0,(EZ72*EZ73+EZ74*EZ75*6)/EZ73)</f>
        <v>0</v>
      </c>
      <c r="FA71" s="820">
        <f>IF(FA73=0,0,(FA72*FA73+FA74*FA75*6)/FA73)</f>
        <v>0</v>
      </c>
      <c r="FB71" s="714">
        <f>IF(EZ71=0,0,(FA71-EZ71)/EZ71*100)</f>
        <v>0</v>
      </c>
      <c r="FC71" s="820">
        <f>IF(FC73=0,0,(FC72*FC73+FC74*FC75*6)/FC73)</f>
        <v>0</v>
      </c>
      <c r="FD71" s="820">
        <f>IF(FD73=0,0,(FD72*FD73+FD74*FD75*6)/FD73)</f>
        <v>0</v>
      </c>
      <c r="FE71" s="714">
        <f>IF(FC71=0,0,(FD71-FC71)/FC71*100)</f>
        <v>0</v>
      </c>
      <c r="FF71" s="820">
        <f>IF(FF73=0,0,(FF72*FF73+FF74*FF75*6)/FF73)</f>
        <v>0</v>
      </c>
      <c r="FG71" s="820">
        <f>IF(FG73=0,0,(FG72*FG73+FG74*FG75*6)/FG73)</f>
        <v>0</v>
      </c>
      <c r="FH71" s="714">
        <f>IF(FF71=0,0,(FG71-FF71)/FF71*100)</f>
        <v>0</v>
      </c>
      <c r="FI71" s="820">
        <f>IF(FI73=0,0,(FI72*FI73+FI74*FI75*6)/FI73)</f>
        <v>0</v>
      </c>
      <c r="FJ71" s="820">
        <f>IF(FJ73=0,0,(FJ72*FJ73+FJ74*FJ75*6)/FJ73)</f>
        <v>0</v>
      </c>
      <c r="FK71" s="714">
        <f>IF(FI71=0,0,(FJ71-FI71)/FI71*100)</f>
        <v>0</v>
      </c>
      <c r="FL71" s="820">
        <f>IF(FL73=0,0,(FL72*FL73+FL74*FL75*6)/FL73)</f>
        <v>0</v>
      </c>
      <c r="FM71" s="820">
        <f>IF(FM73=0,0,(FM72*FM73+FM74*FM75*6)/FM73)</f>
        <v>0</v>
      </c>
      <c r="FN71" s="714">
        <f>IF(FL71=0,0,(FM71-FL71)/FL71*100)</f>
        <v>0</v>
      </c>
      <c r="FO71" s="820">
        <f>IF(FO73=0,0,(FO72*FO73+FO74*FO75*6)/FO73)</f>
        <v>0</v>
      </c>
      <c r="FP71" s="820">
        <f>IF(FP73=0,0,(FP72*FP73+FP74*FP75*6)/FP73)</f>
        <v>0</v>
      </c>
      <c r="FQ71" s="714">
        <f>IF(FO71=0,0,(FP71-FO71)/FO71*100)</f>
        <v>0</v>
      </c>
      <c r="FR71" s="820">
        <f>IF(FR73=0,0,(FR72*FR73+FR74*FR75*6)/FR73)</f>
        <v>0</v>
      </c>
      <c r="FS71" s="820">
        <f>IF(FS73=0,0,(FS72*FS73+FS74*FS75*6)/FS73)</f>
        <v>0</v>
      </c>
      <c r="FT71" s="714">
        <f>IF(FR71=0,0,(FS71-FR71)/FR71*100)</f>
        <v>0</v>
      </c>
      <c r="FU71" s="820">
        <f>IF(FU73=0,0,(FU72*FU73+FU74*FU75*6)/FU73)</f>
        <v>0</v>
      </c>
      <c r="FV71" s="820">
        <f>IF(FV73=0,0,(FV72*FV73+FV74*FV75*6)/FV73)</f>
        <v>0</v>
      </c>
      <c r="FW71" s="714">
        <f>IF(FU71=0,0,(FV71-FU71)/FU71*100)</f>
        <v>0</v>
      </c>
      <c r="FZ71" s="691" t="s">
        <v>1711</v>
      </c>
      <c r="GA71" s="671" t="s">
        <v>900</v>
      </c>
      <c r="GB71" s="693" cm="1">
        <f t="array" ref="GB71">AB70</f>
        <v>0</v>
      </c>
    </row>
    <row r="72" spans="1:186" ht="14.65" hidden="1" customHeight="1" x14ac:dyDescent="0.15">
      <c r="A72" s="59"/>
      <c r="B72" s="613" t="b" cm="1">
        <f t="array" ref="B72">B71</f>
        <v>0</v>
      </c>
      <c r="C72" s="59"/>
      <c r="D72" s="59"/>
      <c r="E72" s="462">
        <v>15</v>
      </c>
      <c r="F72" s="3" cm="1">
        <f t="array" aca="1" ref="F72" ca="1">OFFSET(E72,-1,1)</f>
        <v>0</v>
      </c>
      <c r="G72" s="59"/>
      <c r="H72" s="59" t="s">
        <v>1574</v>
      </c>
      <c r="I72" s="59" cm="1">
        <f t="array" ref="I72">I71</f>
        <v>0</v>
      </c>
      <c r="J72" s="59"/>
      <c r="K72" s="59"/>
      <c r="L72" s="59"/>
      <c r="M72" s="59"/>
      <c r="N72" s="59"/>
      <c r="O72" s="59"/>
      <c r="P72" s="59"/>
      <c r="Q72" s="59"/>
      <c r="R72" s="59"/>
      <c r="S72" s="59"/>
      <c r="T72" s="353" t="b" cm="1">
        <f t="array" aca="1" ref="T72" ca="1">T71</f>
        <v>0</v>
      </c>
      <c r="U72" s="59"/>
      <c r="V72" s="59"/>
      <c r="W72" s="59"/>
      <c r="X72" s="1022"/>
      <c r="Y72" s="1022"/>
      <c r="Z72" s="966"/>
      <c r="AA72" s="913"/>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1644</v>
      </c>
      <c r="AD72" s="820"/>
      <c r="AE72" s="820"/>
      <c r="AF72" s="714">
        <f>IF(AD72=0,0,(AE72-AD72)/AD72*100)</f>
        <v>0</v>
      </c>
      <c r="AG72" s="820"/>
      <c r="AH72" s="820"/>
      <c r="AI72" s="714">
        <f>IF(AG72=0,0,(AH72-AG72)/AG72*100)</f>
        <v>0</v>
      </c>
      <c r="AJ72" s="820"/>
      <c r="AK72" s="820"/>
      <c r="AL72" s="714">
        <f>IF(AJ72=0,0,(AK72-AJ72)/AJ72*100)</f>
        <v>0</v>
      </c>
      <c r="AM72" s="820"/>
      <c r="AN72" s="820"/>
      <c r="AO72" s="714">
        <f>IF(AM72=0,0,(AN72-AM72)/AM72*100)</f>
        <v>0</v>
      </c>
      <c r="AP72" s="820"/>
      <c r="AQ72" s="820"/>
      <c r="AR72" s="714">
        <f>IF(AP72=0,0,(AQ72-AP72)/AP72*100)</f>
        <v>0</v>
      </c>
      <c r="AS72" s="820"/>
      <c r="AT72" s="820"/>
      <c r="AU72" s="714">
        <f>IF(AS72=0,0,(AT72-AS72)/AS72*100)</f>
        <v>0</v>
      </c>
      <c r="AV72" s="820"/>
      <c r="AW72" s="820"/>
      <c r="AX72" s="714">
        <f>IF(AV72=0,0,(AW72-AV72)/AV72*100)</f>
        <v>0</v>
      </c>
      <c r="AY72" s="820"/>
      <c r="AZ72" s="820"/>
      <c r="BA72" s="714">
        <f>IF(AY72=0,0,(AZ72-AY72)/AY72*100)</f>
        <v>0</v>
      </c>
      <c r="BB72" s="820"/>
      <c r="BC72" s="820"/>
      <c r="BD72" s="714">
        <f>IF(BB72=0,0,(BC72-BB72)/BB72*100)</f>
        <v>0</v>
      </c>
      <c r="BE72" s="820"/>
      <c r="BF72" s="820"/>
      <c r="BG72" s="714">
        <f>IF(BE72=0,0,(BF72-BE72)/BE72*100)</f>
        <v>0</v>
      </c>
      <c r="BH72" s="820"/>
      <c r="BI72" s="820"/>
      <c r="BJ72" s="714">
        <f>IF(BH72=0,0,(BI72-BH72)/BH72*100)</f>
        <v>0</v>
      </c>
      <c r="BK72" s="820"/>
      <c r="BL72" s="820"/>
      <c r="BM72" s="714">
        <f>IF(BK72=0,0,(BL72-BK72)/BK72*100)</f>
        <v>0</v>
      </c>
      <c r="BN72" s="820"/>
      <c r="BO72" s="820"/>
      <c r="BP72" s="714">
        <f>IF(BN72=0,0,(BO72-BN72)/BN72*100)</f>
        <v>0</v>
      </c>
      <c r="BQ72" s="820"/>
      <c r="BR72" s="820"/>
      <c r="BS72" s="714">
        <f>IF(BQ72=0,0,(BR72-BQ72)/BQ72*100)</f>
        <v>0</v>
      </c>
      <c r="BT72" s="820"/>
      <c r="BU72" s="820"/>
      <c r="BV72" s="714">
        <f>IF(BT72=0,0,(BU72-BT72)/BT72*100)</f>
        <v>0</v>
      </c>
      <c r="BW72" s="820"/>
      <c r="BX72" s="820"/>
      <c r="BY72" s="714">
        <f>IF(BW72=0,0,(BX72-BW72)/BW72*100)</f>
        <v>0</v>
      </c>
      <c r="BZ72" s="820"/>
      <c r="CA72" s="820"/>
      <c r="CB72" s="714">
        <f>IF(BZ72=0,0,(CA72-BZ72)/BZ72*100)</f>
        <v>0</v>
      </c>
      <c r="CC72" s="820"/>
      <c r="CD72" s="820"/>
      <c r="CE72" s="714">
        <f>IF(CC72=0,0,(CD72-CC72)/CC72*100)</f>
        <v>0</v>
      </c>
      <c r="CF72" s="820"/>
      <c r="CG72" s="820"/>
      <c r="CH72" s="714">
        <f>IF(CF72=0,0,(CG72-CF72)/CF72*100)</f>
        <v>0</v>
      </c>
      <c r="CI72" s="820"/>
      <c r="CJ72" s="820"/>
      <c r="CK72" s="714">
        <f>IF(CI72=0,0,(CJ72-CI72)/CI72*100)</f>
        <v>0</v>
      </c>
      <c r="CL72" s="820"/>
      <c r="CM72" s="820"/>
      <c r="CN72" s="714">
        <f>IF(CL72=0,0,(CM72-CL72)/CL72*100)</f>
        <v>0</v>
      </c>
      <c r="CO72" s="820"/>
      <c r="CP72" s="820"/>
      <c r="CQ72" s="714">
        <f>IF(CO72=0,0,(CP72-CO72)/CO72*100)</f>
        <v>0</v>
      </c>
      <c r="CR72" s="820"/>
      <c r="CS72" s="820"/>
      <c r="CT72" s="714">
        <f>IF(CR72=0,0,(CS72-CR72)/CR72*100)</f>
        <v>0</v>
      </c>
      <c r="CU72" s="820"/>
      <c r="CV72" s="820"/>
      <c r="CW72" s="714">
        <f>IF(CU72=0,0,(CV72-CU72)/CU72*100)</f>
        <v>0</v>
      </c>
      <c r="CX72" s="820"/>
      <c r="CY72" s="820"/>
      <c r="CZ72" s="714">
        <f>IF(CX72=0,0,(CY72-CX72)/CX72*100)</f>
        <v>0</v>
      </c>
      <c r="DA72" s="820"/>
      <c r="DB72" s="820"/>
      <c r="DC72" s="714">
        <f>IF(DA72=0,0,(DB72-DA72)/DA72*100)</f>
        <v>0</v>
      </c>
      <c r="DD72" s="820"/>
      <c r="DE72" s="820"/>
      <c r="DF72" s="714">
        <f>IF(DD72=0,0,(DE72-DD72)/DD72*100)</f>
        <v>0</v>
      </c>
      <c r="DG72" s="820"/>
      <c r="DH72" s="820"/>
      <c r="DI72" s="714">
        <f>IF(DG72=0,0,(DH72-DG72)/DG72*100)</f>
        <v>0</v>
      </c>
      <c r="DJ72" s="820"/>
      <c r="DK72" s="820"/>
      <c r="DL72" s="714">
        <f>IF(DJ72=0,0,(DK72-DJ72)/DJ72*100)</f>
        <v>0</v>
      </c>
      <c r="DM72" s="820"/>
      <c r="DN72" s="820"/>
      <c r="DO72" s="714">
        <f>IF(DM72=0,0,(DN72-DM72)/DM72*100)</f>
        <v>0</v>
      </c>
      <c r="DP72" s="820"/>
      <c r="DQ72" s="820"/>
      <c r="DR72" s="714">
        <f>IF(DP72=0,0,(DQ72-DP72)/DP72*100)</f>
        <v>0</v>
      </c>
      <c r="DS72" s="820"/>
      <c r="DT72" s="820"/>
      <c r="DU72" s="714">
        <f>IF(DS72=0,0,(DT72-DS72)/DS72*100)</f>
        <v>0</v>
      </c>
      <c r="DV72" s="820"/>
      <c r="DW72" s="820"/>
      <c r="DX72" s="714">
        <f>IF(DV72=0,0,(DW72-DV72)/DV72*100)</f>
        <v>0</v>
      </c>
      <c r="DY72" s="820"/>
      <c r="DZ72" s="820"/>
      <c r="EA72" s="714">
        <f>IF(DY72=0,0,(DZ72-DY72)/DY72*100)</f>
        <v>0</v>
      </c>
      <c r="EB72" s="820"/>
      <c r="EC72" s="820"/>
      <c r="ED72" s="714">
        <f>IF(EB72=0,0,(EC72-EB72)/EB72*100)</f>
        <v>0</v>
      </c>
      <c r="EE72" s="820"/>
      <c r="EF72" s="820"/>
      <c r="EG72" s="714">
        <f>IF(EE72=0,0,(EF72-EE72)/EE72*100)</f>
        <v>0</v>
      </c>
      <c r="EH72" s="820"/>
      <c r="EI72" s="820"/>
      <c r="EJ72" s="714">
        <f>IF(EH72=0,0,(EI72-EH72)/EH72*100)</f>
        <v>0</v>
      </c>
      <c r="EK72" s="820"/>
      <c r="EL72" s="820"/>
      <c r="EM72" s="714">
        <f>IF(EK72=0,0,(EL72-EK72)/EK72*100)</f>
        <v>0</v>
      </c>
      <c r="EN72" s="820"/>
      <c r="EO72" s="820"/>
      <c r="EP72" s="714">
        <f>IF(EN72=0,0,(EO72-EN72)/EN72*100)</f>
        <v>0</v>
      </c>
      <c r="EQ72" s="820"/>
      <c r="ER72" s="820"/>
      <c r="ES72" s="714">
        <f>IF(EQ72=0,0,(ER72-EQ72)/EQ72*100)</f>
        <v>0</v>
      </c>
      <c r="ET72" s="820"/>
      <c r="EU72" s="820"/>
      <c r="EV72" s="714">
        <f>IF(ET72=0,0,(EU72-ET72)/ET72*100)</f>
        <v>0</v>
      </c>
      <c r="EW72" s="820"/>
      <c r="EX72" s="820"/>
      <c r="EY72" s="714">
        <f>IF(EW72=0,0,(EX72-EW72)/EW72*100)</f>
        <v>0</v>
      </c>
      <c r="EZ72" s="820"/>
      <c r="FA72" s="820"/>
      <c r="FB72" s="714">
        <f>IF(EZ72=0,0,(FA72-EZ72)/EZ72*100)</f>
        <v>0</v>
      </c>
      <c r="FC72" s="820"/>
      <c r="FD72" s="820"/>
      <c r="FE72" s="714">
        <f>IF(FC72=0,0,(FD72-FC72)/FC72*100)</f>
        <v>0</v>
      </c>
      <c r="FF72" s="820"/>
      <c r="FG72" s="820"/>
      <c r="FH72" s="714">
        <f>IF(FF72=0,0,(FG72-FF72)/FF72*100)</f>
        <v>0</v>
      </c>
      <c r="FI72" s="820"/>
      <c r="FJ72" s="820"/>
      <c r="FK72" s="714">
        <f>IF(FI72=0,0,(FJ72-FI72)/FI72*100)</f>
        <v>0</v>
      </c>
      <c r="FL72" s="820"/>
      <c r="FM72" s="820"/>
      <c r="FN72" s="714">
        <f>IF(FL72=0,0,(FM72-FL72)/FL72*100)</f>
        <v>0</v>
      </c>
      <c r="FO72" s="820"/>
      <c r="FP72" s="820"/>
      <c r="FQ72" s="714">
        <f>IF(FO72=0,0,(FP72-FO72)/FO72*100)</f>
        <v>0</v>
      </c>
      <c r="FR72" s="820"/>
      <c r="FS72" s="820"/>
      <c r="FT72" s="714">
        <f>IF(FR72=0,0,(FS72-FR72)/FR72*100)</f>
        <v>0</v>
      </c>
      <c r="FU72" s="820"/>
      <c r="FV72" s="820"/>
      <c r="FW72" s="714">
        <f>IF(FU72=0,0,(FV72-FU72)/FU72*100)</f>
        <v>0</v>
      </c>
      <c r="FZ72" s="691" t="s">
        <v>1712</v>
      </c>
      <c r="GA72" s="671" t="s">
        <v>900</v>
      </c>
      <c r="GB72" s="671" cm="1">
        <f t="array" ref="GB72">GB71</f>
        <v>0</v>
      </c>
    </row>
    <row r="73" spans="1:186" ht="14.65" hidden="1" customHeight="1" x14ac:dyDescent="0.15">
      <c r="A73" s="59"/>
      <c r="B73" s="613" t="b" cm="1">
        <f t="array" ref="B73">B72</f>
        <v>0</v>
      </c>
      <c r="C73" s="59"/>
      <c r="D73" s="59"/>
      <c r="E73" s="462">
        <v>15</v>
      </c>
      <c r="F73" s="3" cm="1">
        <f t="array" aca="1" ref="F73" ca="1">OFFSET(E73,-1,1)</f>
        <v>0</v>
      </c>
      <c r="G73" s="59"/>
      <c r="H73" s="59" t="s">
        <v>1681</v>
      </c>
      <c r="I73" s="59" cm="1">
        <f t="array" ref="I73">I72</f>
        <v>0</v>
      </c>
      <c r="J73" s="59"/>
      <c r="K73" s="59"/>
      <c r="L73" s="59"/>
      <c r="M73" s="59"/>
      <c r="N73" s="59"/>
      <c r="O73" s="59"/>
      <c r="P73" s="59"/>
      <c r="Q73" s="59"/>
      <c r="R73" s="59"/>
      <c r="S73" s="59"/>
      <c r="T73" s="353" t="b" cm="1">
        <f t="array" aca="1" ref="T73" ca="1">T72</f>
        <v>0</v>
      </c>
      <c r="U73" s="59"/>
      <c r="V73" s="59"/>
      <c r="W73" s="59"/>
      <c r="X73" s="1022"/>
      <c r="Y73" s="1022"/>
      <c r="Z73" s="966"/>
      <c r="AA73" s="913"/>
      <c r="AB73" s="105" t="str">
        <f>"объём "&amp;IF(Q29="Водоснабжение","потребления холодной воды","водоотведения")</f>
        <v>объём водоотведения</v>
      </c>
      <c r="AC73" s="12" t="s">
        <v>558</v>
      </c>
      <c r="AD73" s="836"/>
      <c r="AE73" s="836"/>
      <c r="AF73" s="715">
        <f>IF(AD73=0,0,(AE73-AD73)/AD73*100)</f>
        <v>0</v>
      </c>
      <c r="AG73" s="836"/>
      <c r="AH73" s="836"/>
      <c r="AI73" s="715">
        <f>IF(AG73=0,0,(AH73-AG73)/AG73*100)</f>
        <v>0</v>
      </c>
      <c r="AJ73" s="836"/>
      <c r="AK73" s="836"/>
      <c r="AL73" s="715">
        <f>IF(AJ73=0,0,(AK73-AJ73)/AJ73*100)</f>
        <v>0</v>
      </c>
      <c r="AM73" s="836"/>
      <c r="AN73" s="836"/>
      <c r="AO73" s="715">
        <f>IF(AM73=0,0,(AN73-AM73)/AM73*100)</f>
        <v>0</v>
      </c>
      <c r="AP73" s="836"/>
      <c r="AQ73" s="836"/>
      <c r="AR73" s="715">
        <f>IF(AP73=0,0,(AQ73-AP73)/AP73*100)</f>
        <v>0</v>
      </c>
      <c r="AS73" s="836"/>
      <c r="AT73" s="836"/>
      <c r="AU73" s="715">
        <f>IF(AS73=0,0,(AT73-AS73)/AS73*100)</f>
        <v>0</v>
      </c>
      <c r="AV73" s="836"/>
      <c r="AW73" s="836"/>
      <c r="AX73" s="715">
        <f>IF(AV73=0,0,(AW73-AV73)/AV73*100)</f>
        <v>0</v>
      </c>
      <c r="AY73" s="836"/>
      <c r="AZ73" s="836"/>
      <c r="BA73" s="715">
        <f>IF(AY73=0,0,(AZ73-AY73)/AY73*100)</f>
        <v>0</v>
      </c>
      <c r="BB73" s="836"/>
      <c r="BC73" s="836"/>
      <c r="BD73" s="715">
        <f>IF(BB73=0,0,(BC73-BB73)/BB73*100)</f>
        <v>0</v>
      </c>
      <c r="BE73" s="836"/>
      <c r="BF73" s="836"/>
      <c r="BG73" s="715">
        <f>IF(BE73=0,0,(BF73-BE73)/BE73*100)</f>
        <v>0</v>
      </c>
      <c r="BH73" s="836"/>
      <c r="BI73" s="836"/>
      <c r="BJ73" s="715">
        <f>IF(BH73=0,0,(BI73-BH73)/BH73*100)</f>
        <v>0</v>
      </c>
      <c r="BK73" s="836"/>
      <c r="BL73" s="836"/>
      <c r="BM73" s="715">
        <f>IF(BK73=0,0,(BL73-BK73)/BK73*100)</f>
        <v>0</v>
      </c>
      <c r="BN73" s="836"/>
      <c r="BO73" s="836"/>
      <c r="BP73" s="715">
        <f>IF(BN73=0,0,(BO73-BN73)/BN73*100)</f>
        <v>0</v>
      </c>
      <c r="BQ73" s="836"/>
      <c r="BR73" s="836"/>
      <c r="BS73" s="715">
        <f>IF(BQ73=0,0,(BR73-BQ73)/BQ73*100)</f>
        <v>0</v>
      </c>
      <c r="BT73" s="836"/>
      <c r="BU73" s="836"/>
      <c r="BV73" s="715">
        <f>IF(BT73=0,0,(BU73-BT73)/BT73*100)</f>
        <v>0</v>
      </c>
      <c r="BW73" s="836"/>
      <c r="BX73" s="836"/>
      <c r="BY73" s="715">
        <f>IF(BW73=0,0,(BX73-BW73)/BW73*100)</f>
        <v>0</v>
      </c>
      <c r="BZ73" s="836"/>
      <c r="CA73" s="836"/>
      <c r="CB73" s="715">
        <f>IF(BZ73=0,0,(CA73-BZ73)/BZ73*100)</f>
        <v>0</v>
      </c>
      <c r="CC73" s="836"/>
      <c r="CD73" s="836"/>
      <c r="CE73" s="715">
        <f>IF(CC73=0,0,(CD73-CC73)/CC73*100)</f>
        <v>0</v>
      </c>
      <c r="CF73" s="836"/>
      <c r="CG73" s="836"/>
      <c r="CH73" s="715">
        <f>IF(CF73=0,0,(CG73-CF73)/CF73*100)</f>
        <v>0</v>
      </c>
      <c r="CI73" s="836"/>
      <c r="CJ73" s="836"/>
      <c r="CK73" s="715">
        <f>IF(CI73=0,0,(CJ73-CI73)/CI73*100)</f>
        <v>0</v>
      </c>
      <c r="CL73" s="836"/>
      <c r="CM73" s="836"/>
      <c r="CN73" s="715">
        <f>IF(CL73=0,0,(CM73-CL73)/CL73*100)</f>
        <v>0</v>
      </c>
      <c r="CO73" s="836"/>
      <c r="CP73" s="836"/>
      <c r="CQ73" s="715">
        <f>IF(CO73=0,0,(CP73-CO73)/CO73*100)</f>
        <v>0</v>
      </c>
      <c r="CR73" s="836"/>
      <c r="CS73" s="836"/>
      <c r="CT73" s="715">
        <f>IF(CR73=0,0,(CS73-CR73)/CR73*100)</f>
        <v>0</v>
      </c>
      <c r="CU73" s="836"/>
      <c r="CV73" s="836"/>
      <c r="CW73" s="715">
        <f>IF(CU73=0,0,(CV73-CU73)/CU73*100)</f>
        <v>0</v>
      </c>
      <c r="CX73" s="836"/>
      <c r="CY73" s="836"/>
      <c r="CZ73" s="715">
        <f>IF(CX73=0,0,(CY73-CX73)/CX73*100)</f>
        <v>0</v>
      </c>
      <c r="DA73" s="836"/>
      <c r="DB73" s="836"/>
      <c r="DC73" s="715">
        <f>IF(DA73=0,0,(DB73-DA73)/DA73*100)</f>
        <v>0</v>
      </c>
      <c r="DD73" s="836"/>
      <c r="DE73" s="836"/>
      <c r="DF73" s="715">
        <f>IF(DD73=0,0,(DE73-DD73)/DD73*100)</f>
        <v>0</v>
      </c>
      <c r="DG73" s="836"/>
      <c r="DH73" s="836"/>
      <c r="DI73" s="715">
        <f>IF(DG73=0,0,(DH73-DG73)/DG73*100)</f>
        <v>0</v>
      </c>
      <c r="DJ73" s="836"/>
      <c r="DK73" s="836"/>
      <c r="DL73" s="715">
        <f>IF(DJ73=0,0,(DK73-DJ73)/DJ73*100)</f>
        <v>0</v>
      </c>
      <c r="DM73" s="836"/>
      <c r="DN73" s="836"/>
      <c r="DO73" s="715">
        <f>IF(DM73=0,0,(DN73-DM73)/DM73*100)</f>
        <v>0</v>
      </c>
      <c r="DP73" s="836"/>
      <c r="DQ73" s="836"/>
      <c r="DR73" s="715">
        <f>IF(DP73=0,0,(DQ73-DP73)/DP73*100)</f>
        <v>0</v>
      </c>
      <c r="DS73" s="836"/>
      <c r="DT73" s="836"/>
      <c r="DU73" s="715">
        <f>IF(DS73=0,0,(DT73-DS73)/DS73*100)</f>
        <v>0</v>
      </c>
      <c r="DV73" s="836"/>
      <c r="DW73" s="836"/>
      <c r="DX73" s="715">
        <f>IF(DV73=0,0,(DW73-DV73)/DV73*100)</f>
        <v>0</v>
      </c>
      <c r="DY73" s="836"/>
      <c r="DZ73" s="836"/>
      <c r="EA73" s="715">
        <f>IF(DY73=0,0,(DZ73-DY73)/DY73*100)</f>
        <v>0</v>
      </c>
      <c r="EB73" s="836"/>
      <c r="EC73" s="836"/>
      <c r="ED73" s="715">
        <f>IF(EB73=0,0,(EC73-EB73)/EB73*100)</f>
        <v>0</v>
      </c>
      <c r="EE73" s="836"/>
      <c r="EF73" s="836"/>
      <c r="EG73" s="715">
        <f>IF(EE73=0,0,(EF73-EE73)/EE73*100)</f>
        <v>0</v>
      </c>
      <c r="EH73" s="836"/>
      <c r="EI73" s="836"/>
      <c r="EJ73" s="715">
        <f>IF(EH73=0,0,(EI73-EH73)/EH73*100)</f>
        <v>0</v>
      </c>
      <c r="EK73" s="836"/>
      <c r="EL73" s="836"/>
      <c r="EM73" s="715">
        <f>IF(EK73=0,0,(EL73-EK73)/EK73*100)</f>
        <v>0</v>
      </c>
      <c r="EN73" s="836"/>
      <c r="EO73" s="836"/>
      <c r="EP73" s="715">
        <f>IF(EN73=0,0,(EO73-EN73)/EN73*100)</f>
        <v>0</v>
      </c>
      <c r="EQ73" s="836"/>
      <c r="ER73" s="836"/>
      <c r="ES73" s="715">
        <f>IF(EQ73=0,0,(ER73-EQ73)/EQ73*100)</f>
        <v>0</v>
      </c>
      <c r="ET73" s="836"/>
      <c r="EU73" s="836"/>
      <c r="EV73" s="715">
        <f>IF(ET73=0,0,(EU73-ET73)/ET73*100)</f>
        <v>0</v>
      </c>
      <c r="EW73" s="836"/>
      <c r="EX73" s="836"/>
      <c r="EY73" s="715">
        <f>IF(EW73=0,0,(EX73-EW73)/EW73*100)</f>
        <v>0</v>
      </c>
      <c r="EZ73" s="836"/>
      <c r="FA73" s="836"/>
      <c r="FB73" s="715">
        <f>IF(EZ73=0,0,(FA73-EZ73)/EZ73*100)</f>
        <v>0</v>
      </c>
      <c r="FC73" s="836"/>
      <c r="FD73" s="836"/>
      <c r="FE73" s="715">
        <f>IF(FC73=0,0,(FD73-FC73)/FC73*100)</f>
        <v>0</v>
      </c>
      <c r="FF73" s="836"/>
      <c r="FG73" s="836"/>
      <c r="FH73" s="715">
        <f>IF(FF73=0,0,(FG73-FF73)/FF73*100)</f>
        <v>0</v>
      </c>
      <c r="FI73" s="836"/>
      <c r="FJ73" s="836"/>
      <c r="FK73" s="715">
        <f>IF(FI73=0,0,(FJ73-FI73)/FI73*100)</f>
        <v>0</v>
      </c>
      <c r="FL73" s="836"/>
      <c r="FM73" s="836"/>
      <c r="FN73" s="715">
        <f>IF(FL73=0,0,(FM73-FL73)/FL73*100)</f>
        <v>0</v>
      </c>
      <c r="FO73" s="836"/>
      <c r="FP73" s="836"/>
      <c r="FQ73" s="715">
        <f>IF(FO73=0,0,(FP73-FO73)/FO73*100)</f>
        <v>0</v>
      </c>
      <c r="FR73" s="836"/>
      <c r="FS73" s="836"/>
      <c r="FT73" s="715">
        <f>IF(FR73=0,0,(FS73-FR73)/FR73*100)</f>
        <v>0</v>
      </c>
      <c r="FU73" s="836"/>
      <c r="FV73" s="836"/>
      <c r="FW73" s="715">
        <f>IF(FU73=0,0,(FV73-FU73)/FU73*100)</f>
        <v>0</v>
      </c>
      <c r="FZ73" s="691" t="s">
        <v>1713</v>
      </c>
      <c r="GA73" s="671" t="s">
        <v>900</v>
      </c>
      <c r="GB73" s="671" cm="1">
        <f t="array" ref="GB73">GB72</f>
        <v>0</v>
      </c>
    </row>
    <row r="74" spans="1:186" ht="21.95" hidden="1" customHeight="1" x14ac:dyDescent="0.15">
      <c r="A74" s="59"/>
      <c r="B74" s="613" t="b" cm="1">
        <f t="array" ref="B74">B73</f>
        <v>0</v>
      </c>
      <c r="C74" s="59"/>
      <c r="D74" s="59"/>
      <c r="E74" s="462">
        <v>22.5</v>
      </c>
      <c r="F74" s="3" cm="1">
        <f t="array" aca="1" ref="F74" ca="1">OFFSET(E74,-1,1)</f>
        <v>0</v>
      </c>
      <c r="G74" s="59"/>
      <c r="H74" s="59" t="s">
        <v>1683</v>
      </c>
      <c r="I74" s="59" cm="1">
        <f t="array" ref="I74">I73</f>
        <v>0</v>
      </c>
      <c r="J74" s="59"/>
      <c r="K74" s="59"/>
      <c r="L74" s="59"/>
      <c r="M74" s="59"/>
      <c r="N74" s="59"/>
      <c r="O74" s="59"/>
      <c r="P74" s="59"/>
      <c r="Q74" s="59"/>
      <c r="R74" s="59"/>
      <c r="S74" s="59"/>
      <c r="T74" s="353" t="b" cm="1">
        <f t="array" aca="1" ref="T74" ca="1">T73</f>
        <v>0</v>
      </c>
      <c r="U74" s="59"/>
      <c r="V74" s="59"/>
      <c r="W74" s="59"/>
      <c r="X74" s="1022"/>
      <c r="Y74" s="1022"/>
      <c r="Z74" s="966"/>
      <c r="AA74" s="913"/>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1684</v>
      </c>
      <c r="AD74" s="820"/>
      <c r="AE74" s="820"/>
      <c r="AF74" s="714">
        <f>IF(AD74=0,0,(AE74-AD74)/AD74*100)</f>
        <v>0</v>
      </c>
      <c r="AG74" s="820"/>
      <c r="AH74" s="820"/>
      <c r="AI74" s="714">
        <f>IF(AG74=0,0,(AH74-AG74)/AG74*100)</f>
        <v>0</v>
      </c>
      <c r="AJ74" s="820"/>
      <c r="AK74" s="820"/>
      <c r="AL74" s="714">
        <f>IF(AJ74=0,0,(AK74-AJ74)/AJ74*100)</f>
        <v>0</v>
      </c>
      <c r="AM74" s="820"/>
      <c r="AN74" s="820"/>
      <c r="AO74" s="714">
        <f>IF(AM74=0,0,(AN74-AM74)/AM74*100)</f>
        <v>0</v>
      </c>
      <c r="AP74" s="820"/>
      <c r="AQ74" s="820"/>
      <c r="AR74" s="714">
        <f>IF(AP74=0,0,(AQ74-AP74)/AP74*100)</f>
        <v>0</v>
      </c>
      <c r="AS74" s="820"/>
      <c r="AT74" s="820"/>
      <c r="AU74" s="714">
        <f>IF(AS74=0,0,(AT74-AS74)/AS74*100)</f>
        <v>0</v>
      </c>
      <c r="AV74" s="820"/>
      <c r="AW74" s="820"/>
      <c r="AX74" s="714">
        <f>IF(AV74=0,0,(AW74-AV74)/AV74*100)</f>
        <v>0</v>
      </c>
      <c r="AY74" s="820"/>
      <c r="AZ74" s="820"/>
      <c r="BA74" s="714">
        <f>IF(AY74=0,0,(AZ74-AY74)/AY74*100)</f>
        <v>0</v>
      </c>
      <c r="BB74" s="820"/>
      <c r="BC74" s="820"/>
      <c r="BD74" s="714">
        <f>IF(BB74=0,0,(BC74-BB74)/BB74*100)</f>
        <v>0</v>
      </c>
      <c r="BE74" s="820"/>
      <c r="BF74" s="820"/>
      <c r="BG74" s="714">
        <f>IF(BE74=0,0,(BF74-BE74)/BE74*100)</f>
        <v>0</v>
      </c>
      <c r="BH74" s="820"/>
      <c r="BI74" s="820"/>
      <c r="BJ74" s="714">
        <f>IF(BH74=0,0,(BI74-BH74)/BH74*100)</f>
        <v>0</v>
      </c>
      <c r="BK74" s="820"/>
      <c r="BL74" s="820"/>
      <c r="BM74" s="714">
        <f>IF(BK74=0,0,(BL74-BK74)/BK74*100)</f>
        <v>0</v>
      </c>
      <c r="BN74" s="820"/>
      <c r="BO74" s="820"/>
      <c r="BP74" s="714">
        <f>IF(BN74=0,0,(BO74-BN74)/BN74*100)</f>
        <v>0</v>
      </c>
      <c r="BQ74" s="820"/>
      <c r="BR74" s="820"/>
      <c r="BS74" s="714">
        <f>IF(BQ74=0,0,(BR74-BQ74)/BQ74*100)</f>
        <v>0</v>
      </c>
      <c r="BT74" s="820"/>
      <c r="BU74" s="820"/>
      <c r="BV74" s="714">
        <f>IF(BT74=0,0,(BU74-BT74)/BT74*100)</f>
        <v>0</v>
      </c>
      <c r="BW74" s="820"/>
      <c r="BX74" s="820"/>
      <c r="BY74" s="714">
        <f>IF(BW74=0,0,(BX74-BW74)/BW74*100)</f>
        <v>0</v>
      </c>
      <c r="BZ74" s="820"/>
      <c r="CA74" s="820"/>
      <c r="CB74" s="714">
        <f>IF(BZ74=0,0,(CA74-BZ74)/BZ74*100)</f>
        <v>0</v>
      </c>
      <c r="CC74" s="820"/>
      <c r="CD74" s="820"/>
      <c r="CE74" s="714">
        <f>IF(CC74=0,0,(CD74-CC74)/CC74*100)</f>
        <v>0</v>
      </c>
      <c r="CF74" s="820"/>
      <c r="CG74" s="820"/>
      <c r="CH74" s="714">
        <f>IF(CF74=0,0,(CG74-CF74)/CF74*100)</f>
        <v>0</v>
      </c>
      <c r="CI74" s="820"/>
      <c r="CJ74" s="820"/>
      <c r="CK74" s="714">
        <f>IF(CI74=0,0,(CJ74-CI74)/CI74*100)</f>
        <v>0</v>
      </c>
      <c r="CL74" s="820"/>
      <c r="CM74" s="820"/>
      <c r="CN74" s="714">
        <f>IF(CL74=0,0,(CM74-CL74)/CL74*100)</f>
        <v>0</v>
      </c>
      <c r="CO74" s="820"/>
      <c r="CP74" s="820"/>
      <c r="CQ74" s="714">
        <f>IF(CO74=0,0,(CP74-CO74)/CO74*100)</f>
        <v>0</v>
      </c>
      <c r="CR74" s="820"/>
      <c r="CS74" s="820"/>
      <c r="CT74" s="714">
        <f>IF(CR74=0,0,(CS74-CR74)/CR74*100)</f>
        <v>0</v>
      </c>
      <c r="CU74" s="820"/>
      <c r="CV74" s="820"/>
      <c r="CW74" s="714">
        <f>IF(CU74=0,0,(CV74-CU74)/CU74*100)</f>
        <v>0</v>
      </c>
      <c r="CX74" s="820"/>
      <c r="CY74" s="820"/>
      <c r="CZ74" s="714">
        <f>IF(CX74=0,0,(CY74-CX74)/CX74*100)</f>
        <v>0</v>
      </c>
      <c r="DA74" s="820"/>
      <c r="DB74" s="820"/>
      <c r="DC74" s="714">
        <f>IF(DA74=0,0,(DB74-DA74)/DA74*100)</f>
        <v>0</v>
      </c>
      <c r="DD74" s="820"/>
      <c r="DE74" s="820"/>
      <c r="DF74" s="714">
        <f>IF(DD74=0,0,(DE74-DD74)/DD74*100)</f>
        <v>0</v>
      </c>
      <c r="DG74" s="820"/>
      <c r="DH74" s="820"/>
      <c r="DI74" s="714">
        <f>IF(DG74=0,0,(DH74-DG74)/DG74*100)</f>
        <v>0</v>
      </c>
      <c r="DJ74" s="820"/>
      <c r="DK74" s="820"/>
      <c r="DL74" s="714">
        <f>IF(DJ74=0,0,(DK74-DJ74)/DJ74*100)</f>
        <v>0</v>
      </c>
      <c r="DM74" s="820"/>
      <c r="DN74" s="820"/>
      <c r="DO74" s="714">
        <f>IF(DM74=0,0,(DN74-DM74)/DM74*100)</f>
        <v>0</v>
      </c>
      <c r="DP74" s="820"/>
      <c r="DQ74" s="820"/>
      <c r="DR74" s="714">
        <f>IF(DP74=0,0,(DQ74-DP74)/DP74*100)</f>
        <v>0</v>
      </c>
      <c r="DS74" s="820"/>
      <c r="DT74" s="820"/>
      <c r="DU74" s="714">
        <f>IF(DS74=0,0,(DT74-DS74)/DS74*100)</f>
        <v>0</v>
      </c>
      <c r="DV74" s="820"/>
      <c r="DW74" s="820"/>
      <c r="DX74" s="714">
        <f>IF(DV74=0,0,(DW74-DV74)/DV74*100)</f>
        <v>0</v>
      </c>
      <c r="DY74" s="820"/>
      <c r="DZ74" s="820"/>
      <c r="EA74" s="714">
        <f>IF(DY74=0,0,(DZ74-DY74)/DY74*100)</f>
        <v>0</v>
      </c>
      <c r="EB74" s="820"/>
      <c r="EC74" s="820"/>
      <c r="ED74" s="714">
        <f>IF(EB74=0,0,(EC74-EB74)/EB74*100)</f>
        <v>0</v>
      </c>
      <c r="EE74" s="820"/>
      <c r="EF74" s="820"/>
      <c r="EG74" s="714">
        <f>IF(EE74=0,0,(EF74-EE74)/EE74*100)</f>
        <v>0</v>
      </c>
      <c r="EH74" s="820"/>
      <c r="EI74" s="820"/>
      <c r="EJ74" s="714">
        <f>IF(EH74=0,0,(EI74-EH74)/EH74*100)</f>
        <v>0</v>
      </c>
      <c r="EK74" s="820"/>
      <c r="EL74" s="820"/>
      <c r="EM74" s="714">
        <f>IF(EK74=0,0,(EL74-EK74)/EK74*100)</f>
        <v>0</v>
      </c>
      <c r="EN74" s="820"/>
      <c r="EO74" s="820"/>
      <c r="EP74" s="714">
        <f>IF(EN74=0,0,(EO74-EN74)/EN74*100)</f>
        <v>0</v>
      </c>
      <c r="EQ74" s="820"/>
      <c r="ER74" s="820"/>
      <c r="ES74" s="714">
        <f>IF(EQ74=0,0,(ER74-EQ74)/EQ74*100)</f>
        <v>0</v>
      </c>
      <c r="ET74" s="820"/>
      <c r="EU74" s="820"/>
      <c r="EV74" s="714">
        <f>IF(ET74=0,0,(EU74-ET74)/ET74*100)</f>
        <v>0</v>
      </c>
      <c r="EW74" s="820"/>
      <c r="EX74" s="820"/>
      <c r="EY74" s="714">
        <f>IF(EW74=0,0,(EX74-EW74)/EW74*100)</f>
        <v>0</v>
      </c>
      <c r="EZ74" s="820"/>
      <c r="FA74" s="820"/>
      <c r="FB74" s="714">
        <f>IF(EZ74=0,0,(FA74-EZ74)/EZ74*100)</f>
        <v>0</v>
      </c>
      <c r="FC74" s="820"/>
      <c r="FD74" s="820"/>
      <c r="FE74" s="714">
        <f>IF(FC74=0,0,(FD74-FC74)/FC74*100)</f>
        <v>0</v>
      </c>
      <c r="FF74" s="820"/>
      <c r="FG74" s="820"/>
      <c r="FH74" s="714">
        <f>IF(FF74=0,0,(FG74-FF74)/FF74*100)</f>
        <v>0</v>
      </c>
      <c r="FI74" s="820"/>
      <c r="FJ74" s="820"/>
      <c r="FK74" s="714">
        <f>IF(FI74=0,0,(FJ74-FI74)/FI74*100)</f>
        <v>0</v>
      </c>
      <c r="FL74" s="820"/>
      <c r="FM74" s="820"/>
      <c r="FN74" s="714">
        <f>IF(FL74=0,0,(FM74-FL74)/FL74*100)</f>
        <v>0</v>
      </c>
      <c r="FO74" s="820"/>
      <c r="FP74" s="820"/>
      <c r="FQ74" s="714">
        <f>IF(FO74=0,0,(FP74-FO74)/FO74*100)</f>
        <v>0</v>
      </c>
      <c r="FR74" s="820"/>
      <c r="FS74" s="820"/>
      <c r="FT74" s="714">
        <f>IF(FR74=0,0,(FS74-FR74)/FR74*100)</f>
        <v>0</v>
      </c>
      <c r="FU74" s="820"/>
      <c r="FV74" s="820"/>
      <c r="FW74" s="714">
        <f>IF(FU74=0,0,(FV74-FU74)/FU74*100)</f>
        <v>0</v>
      </c>
      <c r="FZ74" s="691" t="s">
        <v>1714</v>
      </c>
      <c r="GA74" s="671" t="s">
        <v>900</v>
      </c>
      <c r="GB74" s="671" cm="1">
        <f t="array" ref="GB74">GB73</f>
        <v>0</v>
      </c>
    </row>
    <row r="75" spans="1:186" ht="14.65" hidden="1" customHeight="1" x14ac:dyDescent="0.15">
      <c r="A75" s="59"/>
      <c r="B75" s="613" t="b" cm="1">
        <f t="array" ref="B75">B74</f>
        <v>0</v>
      </c>
      <c r="C75" s="59"/>
      <c r="D75" s="59"/>
      <c r="E75" s="462">
        <v>15</v>
      </c>
      <c r="F75" s="3" cm="1">
        <f t="array" aca="1" ref="F75" ca="1">OFFSET(E75,-1,1)</f>
        <v>0</v>
      </c>
      <c r="G75" s="59"/>
      <c r="H75" s="59" t="s">
        <v>1686</v>
      </c>
      <c r="I75" s="59" cm="1">
        <f t="array" ref="I75">I74</f>
        <v>0</v>
      </c>
      <c r="J75" s="59"/>
      <c r="K75" s="59"/>
      <c r="L75" s="59"/>
      <c r="M75" s="59"/>
      <c r="N75" s="59"/>
      <c r="O75" s="59"/>
      <c r="P75" s="59"/>
      <c r="Q75" s="59"/>
      <c r="R75" s="59"/>
      <c r="S75" s="59"/>
      <c r="T75" s="353" t="b" cm="1">
        <f t="array" aca="1" ref="T75" ca="1">T74</f>
        <v>0</v>
      </c>
      <c r="U75" s="59"/>
      <c r="V75" s="59"/>
      <c r="W75" s="59"/>
      <c r="X75" s="1022"/>
      <c r="Y75" s="1022"/>
      <c r="Z75" s="966"/>
      <c r="AA75" s="913"/>
      <c r="AB75" s="105" t="s">
        <v>1687</v>
      </c>
      <c r="AC75" s="12" t="s">
        <v>1688</v>
      </c>
      <c r="AD75" s="820"/>
      <c r="AE75" s="820"/>
      <c r="AF75" s="714">
        <f>IF(AD75=0,0,(AE75-AD75)/AD75*100)</f>
        <v>0</v>
      </c>
      <c r="AG75" s="820"/>
      <c r="AH75" s="820"/>
      <c r="AI75" s="714">
        <f>IF(AG75=0,0,(AH75-AG75)/AG75*100)</f>
        <v>0</v>
      </c>
      <c r="AJ75" s="820"/>
      <c r="AK75" s="820"/>
      <c r="AL75" s="714">
        <f>IF(AJ75=0,0,(AK75-AJ75)/AJ75*100)</f>
        <v>0</v>
      </c>
      <c r="AM75" s="820"/>
      <c r="AN75" s="820"/>
      <c r="AO75" s="714">
        <f>IF(AM75=0,0,(AN75-AM75)/AM75*100)</f>
        <v>0</v>
      </c>
      <c r="AP75" s="820"/>
      <c r="AQ75" s="820"/>
      <c r="AR75" s="714">
        <f>IF(AP75=0,0,(AQ75-AP75)/AP75*100)</f>
        <v>0</v>
      </c>
      <c r="AS75" s="820"/>
      <c r="AT75" s="820"/>
      <c r="AU75" s="714">
        <f>IF(AS75=0,0,(AT75-AS75)/AS75*100)</f>
        <v>0</v>
      </c>
      <c r="AV75" s="820"/>
      <c r="AW75" s="820"/>
      <c r="AX75" s="714">
        <f>IF(AV75=0,0,(AW75-AV75)/AV75*100)</f>
        <v>0</v>
      </c>
      <c r="AY75" s="820"/>
      <c r="AZ75" s="820"/>
      <c r="BA75" s="714">
        <f>IF(AY75=0,0,(AZ75-AY75)/AY75*100)</f>
        <v>0</v>
      </c>
      <c r="BB75" s="820"/>
      <c r="BC75" s="820"/>
      <c r="BD75" s="714">
        <f>IF(BB75=0,0,(BC75-BB75)/BB75*100)</f>
        <v>0</v>
      </c>
      <c r="BE75" s="820"/>
      <c r="BF75" s="820"/>
      <c r="BG75" s="714">
        <f>IF(BE75=0,0,(BF75-BE75)/BE75*100)</f>
        <v>0</v>
      </c>
      <c r="BH75" s="820"/>
      <c r="BI75" s="820"/>
      <c r="BJ75" s="714">
        <f>IF(BH75=0,0,(BI75-BH75)/BH75*100)</f>
        <v>0</v>
      </c>
      <c r="BK75" s="820"/>
      <c r="BL75" s="820"/>
      <c r="BM75" s="714">
        <f>IF(BK75=0,0,(BL75-BK75)/BK75*100)</f>
        <v>0</v>
      </c>
      <c r="BN75" s="820"/>
      <c r="BO75" s="820"/>
      <c r="BP75" s="714">
        <f>IF(BN75=0,0,(BO75-BN75)/BN75*100)</f>
        <v>0</v>
      </c>
      <c r="BQ75" s="820"/>
      <c r="BR75" s="820"/>
      <c r="BS75" s="714">
        <f>IF(BQ75=0,0,(BR75-BQ75)/BQ75*100)</f>
        <v>0</v>
      </c>
      <c r="BT75" s="820"/>
      <c r="BU75" s="820"/>
      <c r="BV75" s="714">
        <f>IF(BT75=0,0,(BU75-BT75)/BT75*100)</f>
        <v>0</v>
      </c>
      <c r="BW75" s="820"/>
      <c r="BX75" s="820"/>
      <c r="BY75" s="714">
        <f>IF(BW75=0,0,(BX75-BW75)/BW75*100)</f>
        <v>0</v>
      </c>
      <c r="BZ75" s="820"/>
      <c r="CA75" s="820"/>
      <c r="CB75" s="714">
        <f>IF(BZ75=0,0,(CA75-BZ75)/BZ75*100)</f>
        <v>0</v>
      </c>
      <c r="CC75" s="820"/>
      <c r="CD75" s="820"/>
      <c r="CE75" s="714">
        <f>IF(CC75=0,0,(CD75-CC75)/CC75*100)</f>
        <v>0</v>
      </c>
      <c r="CF75" s="820"/>
      <c r="CG75" s="820"/>
      <c r="CH75" s="714">
        <f>IF(CF75=0,0,(CG75-CF75)/CF75*100)</f>
        <v>0</v>
      </c>
      <c r="CI75" s="820"/>
      <c r="CJ75" s="820"/>
      <c r="CK75" s="714">
        <f>IF(CI75=0,0,(CJ75-CI75)/CI75*100)</f>
        <v>0</v>
      </c>
      <c r="CL75" s="820"/>
      <c r="CM75" s="820"/>
      <c r="CN75" s="714">
        <f>IF(CL75=0,0,(CM75-CL75)/CL75*100)</f>
        <v>0</v>
      </c>
      <c r="CO75" s="820"/>
      <c r="CP75" s="820"/>
      <c r="CQ75" s="714">
        <f>IF(CO75=0,0,(CP75-CO75)/CO75*100)</f>
        <v>0</v>
      </c>
      <c r="CR75" s="820"/>
      <c r="CS75" s="820"/>
      <c r="CT75" s="714">
        <f>IF(CR75=0,0,(CS75-CR75)/CR75*100)</f>
        <v>0</v>
      </c>
      <c r="CU75" s="820"/>
      <c r="CV75" s="820"/>
      <c r="CW75" s="714">
        <f>IF(CU75=0,0,(CV75-CU75)/CU75*100)</f>
        <v>0</v>
      </c>
      <c r="CX75" s="820"/>
      <c r="CY75" s="820"/>
      <c r="CZ75" s="714">
        <f>IF(CX75=0,0,(CY75-CX75)/CX75*100)</f>
        <v>0</v>
      </c>
      <c r="DA75" s="820"/>
      <c r="DB75" s="820"/>
      <c r="DC75" s="714">
        <f>IF(DA75=0,0,(DB75-DA75)/DA75*100)</f>
        <v>0</v>
      </c>
      <c r="DD75" s="820"/>
      <c r="DE75" s="820"/>
      <c r="DF75" s="714">
        <f>IF(DD75=0,0,(DE75-DD75)/DD75*100)</f>
        <v>0</v>
      </c>
      <c r="DG75" s="820"/>
      <c r="DH75" s="820"/>
      <c r="DI75" s="714">
        <f>IF(DG75=0,0,(DH75-DG75)/DG75*100)</f>
        <v>0</v>
      </c>
      <c r="DJ75" s="820"/>
      <c r="DK75" s="820"/>
      <c r="DL75" s="714">
        <f>IF(DJ75=0,0,(DK75-DJ75)/DJ75*100)</f>
        <v>0</v>
      </c>
      <c r="DM75" s="820"/>
      <c r="DN75" s="820"/>
      <c r="DO75" s="714">
        <f>IF(DM75=0,0,(DN75-DM75)/DM75*100)</f>
        <v>0</v>
      </c>
      <c r="DP75" s="820"/>
      <c r="DQ75" s="820"/>
      <c r="DR75" s="714">
        <f>IF(DP75=0,0,(DQ75-DP75)/DP75*100)</f>
        <v>0</v>
      </c>
      <c r="DS75" s="820"/>
      <c r="DT75" s="820"/>
      <c r="DU75" s="714">
        <f>IF(DS75=0,0,(DT75-DS75)/DS75*100)</f>
        <v>0</v>
      </c>
      <c r="DV75" s="820"/>
      <c r="DW75" s="820"/>
      <c r="DX75" s="714">
        <f>IF(DV75=0,0,(DW75-DV75)/DV75*100)</f>
        <v>0</v>
      </c>
      <c r="DY75" s="820"/>
      <c r="DZ75" s="820"/>
      <c r="EA75" s="714">
        <f>IF(DY75=0,0,(DZ75-DY75)/DY75*100)</f>
        <v>0</v>
      </c>
      <c r="EB75" s="820"/>
      <c r="EC75" s="820"/>
      <c r="ED75" s="714">
        <f>IF(EB75=0,0,(EC75-EB75)/EB75*100)</f>
        <v>0</v>
      </c>
      <c r="EE75" s="820"/>
      <c r="EF75" s="820"/>
      <c r="EG75" s="714">
        <f>IF(EE75=0,0,(EF75-EE75)/EE75*100)</f>
        <v>0</v>
      </c>
      <c r="EH75" s="820"/>
      <c r="EI75" s="820"/>
      <c r="EJ75" s="714">
        <f>IF(EH75=0,0,(EI75-EH75)/EH75*100)</f>
        <v>0</v>
      </c>
      <c r="EK75" s="820"/>
      <c r="EL75" s="820"/>
      <c r="EM75" s="714">
        <f>IF(EK75=0,0,(EL75-EK75)/EK75*100)</f>
        <v>0</v>
      </c>
      <c r="EN75" s="820"/>
      <c r="EO75" s="820"/>
      <c r="EP75" s="714">
        <f>IF(EN75=0,0,(EO75-EN75)/EN75*100)</f>
        <v>0</v>
      </c>
      <c r="EQ75" s="820"/>
      <c r="ER75" s="820"/>
      <c r="ES75" s="714">
        <f>IF(EQ75=0,0,(ER75-EQ75)/EQ75*100)</f>
        <v>0</v>
      </c>
      <c r="ET75" s="820"/>
      <c r="EU75" s="820"/>
      <c r="EV75" s="714">
        <f>IF(ET75=0,0,(EU75-ET75)/ET75*100)</f>
        <v>0</v>
      </c>
      <c r="EW75" s="820"/>
      <c r="EX75" s="820"/>
      <c r="EY75" s="714">
        <f>IF(EW75=0,0,(EX75-EW75)/EW75*100)</f>
        <v>0</v>
      </c>
      <c r="EZ75" s="820"/>
      <c r="FA75" s="820"/>
      <c r="FB75" s="714">
        <f>IF(EZ75=0,0,(FA75-EZ75)/EZ75*100)</f>
        <v>0</v>
      </c>
      <c r="FC75" s="820"/>
      <c r="FD75" s="820"/>
      <c r="FE75" s="714">
        <f>IF(FC75=0,0,(FD75-FC75)/FC75*100)</f>
        <v>0</v>
      </c>
      <c r="FF75" s="820"/>
      <c r="FG75" s="820"/>
      <c r="FH75" s="714">
        <f>IF(FF75=0,0,(FG75-FF75)/FF75*100)</f>
        <v>0</v>
      </c>
      <c r="FI75" s="820"/>
      <c r="FJ75" s="820"/>
      <c r="FK75" s="714">
        <f>IF(FI75=0,0,(FJ75-FI75)/FI75*100)</f>
        <v>0</v>
      </c>
      <c r="FL75" s="820"/>
      <c r="FM75" s="820"/>
      <c r="FN75" s="714">
        <f>IF(FL75=0,0,(FM75-FL75)/FL75*100)</f>
        <v>0</v>
      </c>
      <c r="FO75" s="820"/>
      <c r="FP75" s="820"/>
      <c r="FQ75" s="714">
        <f>IF(FO75=0,0,(FP75-FO75)/FO75*100)</f>
        <v>0</v>
      </c>
      <c r="FR75" s="820"/>
      <c r="FS75" s="820"/>
      <c r="FT75" s="714">
        <f>IF(FR75=0,0,(FS75-FR75)/FR75*100)</f>
        <v>0</v>
      </c>
      <c r="FU75" s="820"/>
      <c r="FV75" s="820"/>
      <c r="FW75" s="714">
        <f>IF(FU75=0,0,(FV75-FU75)/FU75*100)</f>
        <v>0</v>
      </c>
      <c r="FZ75" s="691" t="s">
        <v>1715</v>
      </c>
      <c r="GA75" s="671" t="s">
        <v>900</v>
      </c>
      <c r="GB75" s="671" cm="1">
        <f t="array" ref="GB75">GB74</f>
        <v>0</v>
      </c>
    </row>
    <row r="76" spans="1:186" ht="14.65" hidden="1" customHeight="1" x14ac:dyDescent="0.15">
      <c r="A76" s="59"/>
      <c r="B76" s="613" t="b" cm="1">
        <f t="array" ref="B76">B75</f>
        <v>0</v>
      </c>
      <c r="C76" s="59"/>
      <c r="D76" s="59"/>
      <c r="E76" s="462">
        <v>15</v>
      </c>
      <c r="F76" s="3" cm="1">
        <f t="array" aca="1" ref="F76" ca="1">OFFSET(E76,-1,1)</f>
        <v>0</v>
      </c>
      <c r="G76" s="59"/>
      <c r="H76" s="59"/>
      <c r="I76" s="17" t="s">
        <v>1716</v>
      </c>
      <c r="J76" s="59"/>
      <c r="K76" s="59"/>
      <c r="L76" s="59"/>
      <c r="M76" s="59"/>
      <c r="N76" s="59"/>
      <c r="O76" s="59"/>
      <c r="P76" s="59"/>
      <c r="Q76" s="59"/>
      <c r="R76" s="59"/>
      <c r="S76" s="59"/>
      <c r="T76" s="353" t="b">
        <f ca="1">F76&gt;0</f>
        <v>0</v>
      </c>
      <c r="U76" s="59"/>
      <c r="W76" s="517" t="s">
        <v>1674</v>
      </c>
      <c r="X76" s="1022"/>
      <c r="Z76" s="966"/>
      <c r="AB76" s="172" t="s">
        <v>176</v>
      </c>
      <c r="AC76" s="176"/>
      <c r="AD76" s="716"/>
      <c r="AE76" s="716"/>
      <c r="AF76" s="716"/>
      <c r="AG76" s="716"/>
      <c r="AH76" s="716"/>
      <c r="AI76" s="716"/>
      <c r="AJ76" s="716"/>
      <c r="AK76" s="716"/>
      <c r="AL76" s="716"/>
      <c r="AM76" s="716"/>
      <c r="AN76" s="716"/>
      <c r="AO76" s="716"/>
      <c r="AP76" s="716"/>
      <c r="AQ76" s="716"/>
      <c r="AR76" s="716"/>
      <c r="AS76" s="716"/>
      <c r="AT76" s="716"/>
      <c r="AU76" s="716"/>
      <c r="AV76" s="716"/>
      <c r="AW76" s="716"/>
      <c r="AX76" s="716"/>
      <c r="AY76" s="716"/>
      <c r="AZ76" s="716"/>
      <c r="BA76" s="716"/>
      <c r="BB76" s="716"/>
      <c r="BC76" s="716"/>
      <c r="BD76" s="716"/>
      <c r="BE76" s="716"/>
      <c r="BF76" s="716"/>
      <c r="BG76" s="716"/>
      <c r="BH76" s="716"/>
      <c r="BI76" s="716"/>
      <c r="BJ76" s="716"/>
      <c r="BK76" s="716"/>
      <c r="BL76" s="716"/>
      <c r="BM76" s="716"/>
      <c r="BN76" s="716"/>
      <c r="BO76" s="716"/>
      <c r="BP76" s="716"/>
      <c r="BQ76" s="716"/>
      <c r="BR76" s="716"/>
      <c r="BS76" s="716"/>
      <c r="BT76" s="716"/>
      <c r="BU76" s="716"/>
      <c r="BV76" s="716"/>
      <c r="BW76" s="716"/>
      <c r="BX76" s="716"/>
      <c r="BY76" s="716"/>
      <c r="BZ76" s="716"/>
      <c r="CA76" s="716"/>
      <c r="CB76" s="716"/>
      <c r="CC76" s="716"/>
      <c r="CD76" s="716"/>
      <c r="CE76" s="716"/>
      <c r="CF76" s="716"/>
      <c r="CG76" s="716"/>
      <c r="CH76" s="716"/>
      <c r="CI76" s="716"/>
      <c r="CJ76" s="716"/>
      <c r="CK76" s="716"/>
      <c r="CL76" s="716"/>
      <c r="CM76" s="716"/>
      <c r="CN76" s="716"/>
      <c r="CO76" s="716"/>
      <c r="CP76" s="716"/>
      <c r="CQ76" s="716"/>
      <c r="CR76" s="716"/>
      <c r="CS76" s="716"/>
      <c r="CT76" s="716"/>
      <c r="CU76" s="716"/>
      <c r="CV76" s="716"/>
      <c r="CW76" s="716"/>
      <c r="CX76" s="716"/>
      <c r="CY76" s="716"/>
      <c r="CZ76" s="716"/>
      <c r="DA76" s="716"/>
      <c r="DB76" s="716"/>
      <c r="DC76" s="716"/>
      <c r="DD76" s="716"/>
      <c r="DE76" s="716"/>
      <c r="DF76" s="716"/>
      <c r="DG76" s="716"/>
      <c r="DH76" s="716"/>
      <c r="DI76" s="716"/>
      <c r="DJ76" s="716"/>
      <c r="DK76" s="716"/>
      <c r="DL76" s="716"/>
      <c r="DM76" s="716"/>
      <c r="DN76" s="716"/>
      <c r="DO76" s="716"/>
      <c r="DP76" s="716"/>
      <c r="DQ76" s="716"/>
      <c r="DR76" s="716"/>
      <c r="DS76" s="716"/>
      <c r="DT76" s="716"/>
      <c r="DU76" s="716"/>
      <c r="DV76" s="716"/>
      <c r="DW76" s="716"/>
      <c r="DX76" s="716"/>
      <c r="DY76" s="716"/>
      <c r="DZ76" s="716"/>
      <c r="EA76" s="716"/>
      <c r="EB76" s="716"/>
      <c r="EC76" s="716"/>
      <c r="ED76" s="716"/>
      <c r="EE76" s="716"/>
      <c r="EF76" s="716"/>
      <c r="EG76" s="716"/>
      <c r="EH76" s="716"/>
      <c r="EI76" s="716"/>
      <c r="EJ76" s="716"/>
      <c r="EK76" s="716"/>
      <c r="EL76" s="716"/>
      <c r="EM76" s="716"/>
      <c r="EN76" s="716"/>
      <c r="EO76" s="716"/>
      <c r="EP76" s="716"/>
      <c r="EQ76" s="716"/>
      <c r="ER76" s="716"/>
      <c r="ES76" s="716"/>
      <c r="ET76" s="716"/>
      <c r="EU76" s="716"/>
      <c r="EV76" s="716"/>
      <c r="EW76" s="716"/>
      <c r="EX76" s="716"/>
      <c r="EY76" s="716"/>
      <c r="EZ76" s="716"/>
      <c r="FA76" s="716"/>
      <c r="FB76" s="716"/>
      <c r="FC76" s="716"/>
      <c r="FD76" s="716"/>
      <c r="FE76" s="716"/>
      <c r="FF76" s="716"/>
      <c r="FG76" s="716"/>
      <c r="FH76" s="716"/>
      <c r="FI76" s="716"/>
      <c r="FJ76" s="716"/>
      <c r="FK76" s="716"/>
      <c r="FL76" s="716"/>
      <c r="FM76" s="716"/>
      <c r="FN76" s="716"/>
      <c r="FO76" s="716"/>
      <c r="FP76" s="716"/>
      <c r="FQ76" s="716"/>
      <c r="FR76" s="716"/>
      <c r="FS76" s="716"/>
      <c r="FT76" s="716"/>
      <c r="FU76" s="716"/>
      <c r="FV76" s="716"/>
      <c r="FW76" s="717"/>
      <c r="FZ76" s="691" t="s">
        <v>225</v>
      </c>
      <c r="GC76" s="461" t="s">
        <v>900</v>
      </c>
    </row>
    <row r="77" spans="1:186" ht="11.25" hidden="1" customHeight="1" x14ac:dyDescent="0.15">
      <c r="A77" s="315"/>
      <c r="B77" s="613"/>
      <c r="C77" s="315"/>
      <c r="D77" s="315"/>
      <c r="E77" s="480">
        <v>0</v>
      </c>
      <c r="F77" s="765" cm="1">
        <f t="array" aca="1" ref="F77" ca="1">OFFSET(E77,-1,1)</f>
        <v>0</v>
      </c>
      <c r="G77" s="315"/>
      <c r="H77" s="315"/>
      <c r="I77" s="315"/>
      <c r="J77" s="315"/>
      <c r="K77" s="315"/>
      <c r="L77" s="315"/>
      <c r="M77" s="315"/>
      <c r="N77" s="315"/>
      <c r="O77" s="315"/>
      <c r="P77" s="315"/>
      <c r="Q77" s="315"/>
      <c r="R77" s="315"/>
      <c r="S77" s="315"/>
      <c r="T77" s="353" t="b">
        <v>0</v>
      </c>
      <c r="U77" s="315"/>
      <c r="V77" s="315"/>
      <c r="W77" s="315"/>
      <c r="X77" s="1022"/>
      <c r="Y77" s="315"/>
      <c r="Z77" s="966"/>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1" t="s">
        <v>225</v>
      </c>
      <c r="GA77" s="661"/>
      <c r="GB77" s="655"/>
      <c r="GC77" s="454"/>
      <c r="GD77" s="454"/>
    </row>
    <row r="78" spans="1:186" s="204" customFormat="1" ht="23.85" hidden="1" customHeight="1" x14ac:dyDescent="0.15">
      <c r="A78" s="594"/>
      <c r="B78" s="613" t="b" cm="1">
        <f t="array" ref="B78">S29</f>
        <v>0</v>
      </c>
      <c r="C78" s="594"/>
      <c r="D78" s="594"/>
      <c r="E78" s="462">
        <v>24.5</v>
      </c>
      <c r="F78" s="3" cm="1">
        <f t="array" aca="1" ref="F78" ca="1">OFFSET(E78,-1,1)</f>
        <v>0</v>
      </c>
      <c r="G78" s="25" t="s">
        <v>1641</v>
      </c>
      <c r="H78" s="59" t="s">
        <v>482</v>
      </c>
      <c r="I78" s="59" t="s">
        <v>1717</v>
      </c>
      <c r="J78" s="594"/>
      <c r="K78" s="594"/>
      <c r="L78" s="594"/>
      <c r="M78" s="594"/>
      <c r="N78" s="594"/>
      <c r="O78" s="594"/>
      <c r="P78" s="594"/>
      <c r="Q78" s="594"/>
      <c r="R78" s="594"/>
      <c r="S78" s="59"/>
      <c r="T78" s="353" t="b" cm="1">
        <f t="array" aca="1" ref="T78" ca="1">T76</f>
        <v>0</v>
      </c>
      <c r="U78" s="594"/>
      <c r="V78" s="594"/>
      <c r="W78" s="594"/>
      <c r="X78" s="1022"/>
      <c r="Y78" s="594"/>
      <c r="Z78" s="966"/>
      <c r="AA78" s="594"/>
      <c r="AB78" s="132" t="s">
        <v>1718</v>
      </c>
      <c r="AC78" s="147" t="s">
        <v>1644</v>
      </c>
      <c r="AD78" s="865">
        <f ca="1">IF(AND(method_reg="Метод индексации",god&lt;&gt;first_year),SUMIFS(INDEX('Калькуляция (МИ корр)'!$AJ$25:$BC$603,,MATCH(AD$8,'Калькуляция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(МИ)'!$AJ$25:$BC$603,,MATCH(AD$8,'Калькуляция (МИ)'!$AJ$8:$BC$8,0)),'Калькуляция (МИ)'!$F$25:$F$603,$F78,'Калькуляция (МИ)'!$G$25:$G$603,$G78))))</f>
        <v>0</v>
      </c>
      <c r="AE78" s="865">
        <f ca="1">IF(AND(method_reg="Метод индексации",god&lt;&gt;first_year),SUMIFS(INDEX('Калькуляция (МИ корр)'!$AJ$25:$BC$603,,MATCH(AE$8,'Калькуляция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(МИ)'!$AJ$25:$BC$603,,MATCH(AE$8,'Калькуляция (МИ)'!$AJ$8:$BC$8,0)),'Калькуляция (МИ)'!$F$25:$F$603,$F78,'Калькуляция (МИ)'!$G$25:$G$603,$G78))))</f>
        <v>0</v>
      </c>
      <c r="AF78" s="208">
        <f ca="1">IF(AD78=0,0,(AE78-AD78)/AD78*100)</f>
        <v>0</v>
      </c>
      <c r="AG78" s="865">
        <f ca="1">IF(AND(method_reg="Метод индексации",god&lt;&gt;first_year),SUMIFS(INDEX('Калькуляция (МИ корр)'!$AJ$25:$BC$603,,MATCH(AG$8,'Калькуляция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(МИ)'!$AJ$25:$BC$603,,MATCH(AG$8,'Калькуляция (МИ)'!$AJ$8:$BC$8,0)),'Калькуляция (МИ)'!$F$25:$F$603,$F78,'Калькуляция (МИ)'!$G$25:$G$603,$G78))))</f>
        <v>0</v>
      </c>
      <c r="AH78" s="865">
        <f ca="1">IF(AND(method_reg="Метод индексации",god&lt;&gt;first_year),SUMIFS(INDEX('Калькуляция (МИ корр)'!$AJ$25:$BC$603,,MATCH(AH$8,'Калькуляция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(МИ)'!$AJ$25:$BC$603,,MATCH(AH$8,'Калькуляция (МИ)'!$AJ$8:$BC$8,0)),'Калькуляция (МИ)'!$F$25:$F$603,$F78,'Калькуляция (МИ)'!$G$25:$G$603,$G78))))</f>
        <v>0</v>
      </c>
      <c r="AI78" s="208">
        <f ca="1">IF(AG78=0,0,(AH78-AG78)/AG78*100)</f>
        <v>0</v>
      </c>
      <c r="AJ78" s="865">
        <f ca="1">IF(AND(method_reg="Метод индексации",god&lt;&gt;first_year),SUMIFS(INDEX('Калькуляция (МИ корр)'!$AJ$25:$BC$603,,MATCH(AJ$8,'Калькуляция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(МИ)'!$AJ$25:$BC$603,,MATCH(AJ$8,'Калькуляция (МИ)'!$AJ$8:$BC$8,0)),'Калькуляция (МИ)'!$F$25:$F$603,$F78,'Калькуляция (МИ)'!$G$25:$G$603,$G78))))</f>
        <v>0</v>
      </c>
      <c r="AK78" s="865">
        <f ca="1">IF(AND(method_reg="Метод индексации",god&lt;&gt;first_year),SUMIFS(INDEX('Калькуляция (МИ корр)'!$AJ$25:$BC$603,,MATCH(AK$8,'Калькуляция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(МИ)'!$AJ$25:$BC$603,,MATCH(AK$8,'Калькуляция (МИ)'!$AJ$8:$BC$8,0)),'Калькуляция (МИ)'!$F$25:$F$603,$F78,'Калькуляция (МИ)'!$G$25:$G$603,$G78))))</f>
        <v>0</v>
      </c>
      <c r="AL78" s="208">
        <f ca="1">IF(AJ78=0,0,(AK78-AJ78)/AJ78*100)</f>
        <v>0</v>
      </c>
      <c r="AM78" s="865">
        <f ca="1">IF(AND(method_reg="Метод индексации",god&lt;&gt;first_year),SUMIFS(INDEX('Калькуляция (МИ корр)'!$AJ$25:$BC$603,,MATCH(AM$8,'Калькуляция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(МИ)'!$AJ$25:$BC$603,,MATCH(AM$8,'Калькуляция (МИ)'!$AJ$8:$BC$8,0)),'Калькуляция (МИ)'!$F$25:$F$603,$F78,'Калькуляция (МИ)'!$G$25:$G$603,$G78))))</f>
        <v>0</v>
      </c>
      <c r="AN78" s="865">
        <f ca="1">IF(AND(method_reg="Метод индексации",god&lt;&gt;first_year),SUMIFS(INDEX('Калькуляция (МИ корр)'!$AJ$25:$BC$603,,MATCH(AN$8,'Калькуляция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(МИ)'!$AJ$25:$BC$603,,MATCH(AN$8,'Калькуляция (МИ)'!$AJ$8:$BC$8,0)),'Калькуляция (МИ)'!$F$25:$F$603,$F78,'Калькуляция (МИ)'!$G$25:$G$603,$G78))))</f>
        <v>0</v>
      </c>
      <c r="AO78" s="208">
        <f ca="1">IF(AM78=0,0,(AN78-AM78)/AM78*100)</f>
        <v>0</v>
      </c>
      <c r="AP78" s="865">
        <f ca="1">IF(AND(method_reg="Метод индексации",god&lt;&gt;first_year),SUMIFS(INDEX('Калькуляция (МИ корр)'!$AJ$25:$BC$603,,MATCH(AP$8,'Калькуляция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(МИ)'!$AJ$25:$BC$603,,MATCH(AP$8,'Калькуляция (МИ)'!$AJ$8:$BC$8,0)),'Калькуляция (МИ)'!$F$25:$F$603,$F78,'Калькуляция (МИ)'!$G$25:$G$603,$G78))))</f>
        <v>0</v>
      </c>
      <c r="AQ78" s="865">
        <f ca="1">IF(AND(method_reg="Метод индексации",god&lt;&gt;first_year),SUMIFS(INDEX('Калькуляция (МИ корр)'!$AJ$25:$BC$603,,MATCH(AQ$8,'Калькуляция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(МИ)'!$AJ$25:$BC$603,,MATCH(AQ$8,'Калькуляция (МИ)'!$AJ$8:$BC$8,0)),'Калькуляция (МИ)'!$F$25:$F$603,$F78,'Калькуляция (МИ)'!$G$25:$G$603,$G78))))</f>
        <v>0</v>
      </c>
      <c r="AR78" s="208">
        <f ca="1">IF(AP78=0,0,(AQ78-AP78)/AP78*100)</f>
        <v>0</v>
      </c>
      <c r="AS78" s="865">
        <f ca="1">IF(AND(method_reg="Метод индексации",god&lt;&gt;first_year),SUMIFS(INDEX('Калькуляция (МИ корр)'!$AJ$25:$BC$603,,MATCH(AS$8,'Калькуляция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(МИ)'!$AJ$25:$BC$603,,MATCH(AS$8,'Калькуляция (МИ)'!$AJ$8:$BC$8,0)),'Калькуляция (МИ)'!$F$25:$F$603,$F78,'Калькуляция (МИ)'!$G$25:$G$603,$G78))))</f>
        <v>0</v>
      </c>
      <c r="AT78" s="865">
        <f ca="1">IF(AND(method_reg="Метод индексации",god&lt;&gt;first_year),SUMIFS(INDEX('Калькуляция (МИ корр)'!$AJ$25:$BC$603,,MATCH(AT$8,'Калькуляция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(МИ)'!$AJ$25:$BC$603,,MATCH(AT$8,'Калькуляция (МИ)'!$AJ$8:$BC$8,0)),'Калькуляция (МИ)'!$F$25:$F$603,$F78,'Калькуляция (МИ)'!$G$25:$G$603,$G78))))</f>
        <v>0</v>
      </c>
      <c r="AU78" s="208">
        <f ca="1">IF(AS78=0,0,(AT78-AS78)/AS78*100)</f>
        <v>0</v>
      </c>
      <c r="AV78" s="865">
        <f ca="1">IF(AND(method_reg="Метод индексации",god&lt;&gt;first_year),SUMIFS(INDEX('Калькуляция (МИ корр)'!$AJ$25:$BC$603,,MATCH(AV$8,'Калькуляция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(МИ)'!$AJ$25:$BC$603,,MATCH(AV$8,'Калькуляция (МИ)'!$AJ$8:$BC$8,0)),'Калькуляция (МИ)'!$F$25:$F$603,$F78,'Калькуляция (МИ)'!$G$25:$G$603,$G78))))</f>
        <v>0</v>
      </c>
      <c r="AW78" s="865">
        <f ca="1">IF(AND(method_reg="Метод индексации",god&lt;&gt;first_year),SUMIFS(INDEX('Калькуляция (МИ корр)'!$AJ$25:$BC$603,,MATCH(AW$8,'Калькуляция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(МИ)'!$AJ$25:$BC$603,,MATCH(AW$8,'Калькуляция (МИ)'!$AJ$8:$BC$8,0)),'Калькуляция (МИ)'!$F$25:$F$603,$F78,'Калькуляция (МИ)'!$G$25:$G$603,$G78))))</f>
        <v>0</v>
      </c>
      <c r="AX78" s="208">
        <f ca="1">IF(AV78=0,0,(AW78-AV78)/AV78*100)</f>
        <v>0</v>
      </c>
      <c r="AY78" s="865">
        <f ca="1">IF(AND(method_reg="Метод индексации",god&lt;&gt;first_year),SUMIFS(INDEX('Калькуляция (МИ корр)'!$AJ$25:$BC$603,,MATCH(AY$8,'Калькуляция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(МИ)'!$AJ$25:$BC$603,,MATCH(AY$8,'Калькуляция (МИ)'!$AJ$8:$BC$8,0)),'Калькуляция (МИ)'!$F$25:$F$603,$F78,'Калькуляция (МИ)'!$G$25:$G$603,$G78))))</f>
        <v>0</v>
      </c>
      <c r="AZ78" s="865">
        <f ca="1">IF(AND(method_reg="Метод индексации",god&lt;&gt;first_year),SUMIFS(INDEX('Калькуляция (МИ корр)'!$AJ$25:$BC$603,,MATCH(AZ$8,'Калькуляция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(МИ)'!$AJ$25:$BC$603,,MATCH(AZ$8,'Калькуляция (МИ)'!$AJ$8:$BC$8,0)),'Калькуляция (МИ)'!$F$25:$F$603,$F78,'Калькуляция (МИ)'!$G$25:$G$603,$G78))))</f>
        <v>0</v>
      </c>
      <c r="BA78" s="208">
        <f ca="1">IF(AY78=0,0,(AZ78-AY78)/AY78*100)</f>
        <v>0</v>
      </c>
      <c r="BB78" s="865">
        <f ca="1">IF(AND(method_reg="Метод индексации",god&lt;&gt;first_year),SUMIFS(INDEX('Калькуляция (МИ корр)'!$AJ$25:$BC$603,,MATCH(BB$8,'Калькуляция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(МИ)'!$AJ$25:$BC$603,,MATCH(BB$8,'Калькуляция (МИ)'!$AJ$8:$BC$8,0)),'Калькуляция (МИ)'!$F$25:$F$603,$F78,'Калькуляция (МИ)'!$G$25:$G$603,$G78))))</f>
        <v>0</v>
      </c>
      <c r="BC78" s="865">
        <f ca="1">IF(AND(method_reg="Метод индексации",god&lt;&gt;first_year),SUMIFS(INDEX('Калькуляция (МИ корр)'!$AJ$25:$BC$603,,MATCH(BC$8,'Калькуляция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(МИ)'!$AJ$25:$BC$603,,MATCH(BC$8,'Калькуляция (МИ)'!$AJ$8:$BC$8,0)),'Калькуляция (МИ)'!$F$25:$F$603,$F78,'Калькуляция (МИ)'!$G$25:$G$603,$G78))))</f>
        <v>0</v>
      </c>
      <c r="BD78" s="208">
        <f ca="1">IF(BB78=0,0,(BC78-BB78)/BB78*100)</f>
        <v>0</v>
      </c>
      <c r="BE78" s="865">
        <f ca="1">IF(AND(method_reg="Метод индексации",god&lt;&gt;first_year),SUMIFS(INDEX('Калькуляция (МИ корр)'!$AJ$25:$BC$603,,MATCH(BE$8,'Калькуляция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(МИ)'!$AJ$25:$BC$603,,MATCH(BE$8,'Калькуляция (МИ)'!$AJ$8:$BC$8,0)),'Калькуляция (МИ)'!$F$25:$F$603,$F78,'Калькуляция (МИ)'!$G$25:$G$603,$G78))))</f>
        <v>0</v>
      </c>
      <c r="BF78" s="865">
        <f ca="1">IF(AND(method_reg="Метод индексации",god&lt;&gt;first_year),SUMIFS(INDEX('Калькуляция (МИ корр)'!$AJ$25:$BC$603,,MATCH(BF$8,'Калькуляция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(МИ)'!$AJ$25:$BC$603,,MATCH(BF$8,'Калькуляция (МИ)'!$AJ$8:$BC$8,0)),'Калькуляция (МИ)'!$F$25:$F$603,$F78,'Калькуляция (МИ)'!$G$25:$G$603,$G78))))</f>
        <v>0</v>
      </c>
      <c r="BG78" s="208">
        <f ca="1">IF(BE78=0,0,(BF78-BE78)/BE78*100)</f>
        <v>0</v>
      </c>
      <c r="BH78" s="865"/>
      <c r="BI78" s="865"/>
      <c r="BJ78" s="208">
        <f>IF(BH78=0,0,(BI78-BH78)/BH78*100)</f>
        <v>0</v>
      </c>
      <c r="BK78" s="865"/>
      <c r="BL78" s="865"/>
      <c r="BM78" s="208">
        <f>IF(BK78=0,0,(BL78-BK78)/BK78*100)</f>
        <v>0</v>
      </c>
      <c r="BN78" s="865"/>
      <c r="BO78" s="865"/>
      <c r="BP78" s="208">
        <f>IF(BN78=0,0,(BO78-BN78)/BN78*100)</f>
        <v>0</v>
      </c>
      <c r="BQ78" s="865"/>
      <c r="BR78" s="865"/>
      <c r="BS78" s="208">
        <f>IF(BQ78=0,0,(BR78-BQ78)/BQ78*100)</f>
        <v>0</v>
      </c>
      <c r="BT78" s="865"/>
      <c r="BU78" s="865"/>
      <c r="BV78" s="208">
        <f>IF(BT78=0,0,(BU78-BT78)/BT78*100)</f>
        <v>0</v>
      </c>
      <c r="BW78" s="865"/>
      <c r="BX78" s="865"/>
      <c r="BY78" s="208">
        <f>IF(BW78=0,0,(BX78-BW78)/BW78*100)</f>
        <v>0</v>
      </c>
      <c r="BZ78" s="865"/>
      <c r="CA78" s="865"/>
      <c r="CB78" s="208">
        <f>IF(BZ78=0,0,(CA78-BZ78)/BZ78*100)</f>
        <v>0</v>
      </c>
      <c r="CC78" s="865"/>
      <c r="CD78" s="865"/>
      <c r="CE78" s="208">
        <f>IF(CC78=0,0,(CD78-CC78)/CC78*100)</f>
        <v>0</v>
      </c>
      <c r="CF78" s="865"/>
      <c r="CG78" s="865"/>
      <c r="CH78" s="208">
        <f>IF(CF78=0,0,(CG78-CF78)/CF78*100)</f>
        <v>0</v>
      </c>
      <c r="CI78" s="865"/>
      <c r="CJ78" s="865"/>
      <c r="CK78" s="208">
        <f>IF(CI78=0,0,(CJ78-CI78)/CI78*100)</f>
        <v>0</v>
      </c>
      <c r="CL78" s="865"/>
      <c r="CM78" s="865"/>
      <c r="CN78" s="208">
        <f>IF(CL78=0,0,(CM78-CL78)/CL78*100)</f>
        <v>0</v>
      </c>
      <c r="CO78" s="865"/>
      <c r="CP78" s="865"/>
      <c r="CQ78" s="208">
        <f>IF(CO78=0,0,(CP78-CO78)/CO78*100)</f>
        <v>0</v>
      </c>
      <c r="CR78" s="865"/>
      <c r="CS78" s="865"/>
      <c r="CT78" s="208">
        <f>IF(CR78=0,0,(CS78-CR78)/CR78*100)</f>
        <v>0</v>
      </c>
      <c r="CU78" s="865"/>
      <c r="CV78" s="865"/>
      <c r="CW78" s="208">
        <f>IF(CU78=0,0,(CV78-CU78)/CU78*100)</f>
        <v>0</v>
      </c>
      <c r="CX78" s="865"/>
      <c r="CY78" s="865"/>
      <c r="CZ78" s="208">
        <f>IF(CX78=0,0,(CY78-CX78)/CX78*100)</f>
        <v>0</v>
      </c>
      <c r="DA78" s="865"/>
      <c r="DB78" s="865"/>
      <c r="DC78" s="208">
        <f>IF(DA78=0,0,(DB78-DA78)/DA78*100)</f>
        <v>0</v>
      </c>
      <c r="DD78" s="865"/>
      <c r="DE78" s="865"/>
      <c r="DF78" s="208">
        <f>IF(DD78=0,0,(DE78-DD78)/DD78*100)</f>
        <v>0</v>
      </c>
      <c r="DG78" s="865"/>
      <c r="DH78" s="865"/>
      <c r="DI78" s="208">
        <f>IF(DG78=0,0,(DH78-DG78)/DG78*100)</f>
        <v>0</v>
      </c>
      <c r="DJ78" s="865"/>
      <c r="DK78" s="865"/>
      <c r="DL78" s="208">
        <f>IF(DJ78=0,0,(DK78-DJ78)/DJ78*100)</f>
        <v>0</v>
      </c>
      <c r="DM78" s="865"/>
      <c r="DN78" s="865"/>
      <c r="DO78" s="208">
        <f>IF(DM78=0,0,(DN78-DM78)/DM78*100)</f>
        <v>0</v>
      </c>
      <c r="DP78" s="865"/>
      <c r="DQ78" s="865"/>
      <c r="DR78" s="208">
        <f>IF(DP78=0,0,(DQ78-DP78)/DP78*100)</f>
        <v>0</v>
      </c>
      <c r="DS78" s="865"/>
      <c r="DT78" s="865"/>
      <c r="DU78" s="208">
        <f>IF(DS78=0,0,(DT78-DS78)/DS78*100)</f>
        <v>0</v>
      </c>
      <c r="DV78" s="865"/>
      <c r="DW78" s="865"/>
      <c r="DX78" s="208">
        <f>IF(DV78=0,0,(DW78-DV78)/DV78*100)</f>
        <v>0</v>
      </c>
      <c r="DY78" s="865"/>
      <c r="DZ78" s="865"/>
      <c r="EA78" s="208">
        <f>IF(DY78=0,0,(DZ78-DY78)/DY78*100)</f>
        <v>0</v>
      </c>
      <c r="EB78" s="865"/>
      <c r="EC78" s="865"/>
      <c r="ED78" s="208">
        <f>IF(EB78=0,0,(EC78-EB78)/EB78*100)</f>
        <v>0</v>
      </c>
      <c r="EE78" s="865"/>
      <c r="EF78" s="865"/>
      <c r="EG78" s="208">
        <f>IF(EE78=0,0,(EF78-EE78)/EE78*100)</f>
        <v>0</v>
      </c>
      <c r="EH78" s="865"/>
      <c r="EI78" s="865"/>
      <c r="EJ78" s="208">
        <f>IF(EH78=0,0,(EI78-EH78)/EH78*100)</f>
        <v>0</v>
      </c>
      <c r="EK78" s="865"/>
      <c r="EL78" s="865"/>
      <c r="EM78" s="208">
        <f>IF(EK78=0,0,(EL78-EK78)/EK78*100)</f>
        <v>0</v>
      </c>
      <c r="EN78" s="865"/>
      <c r="EO78" s="865"/>
      <c r="EP78" s="208">
        <f>IF(EN78=0,0,(EO78-EN78)/EN78*100)</f>
        <v>0</v>
      </c>
      <c r="EQ78" s="865"/>
      <c r="ER78" s="865"/>
      <c r="ES78" s="208">
        <f>IF(EQ78=0,0,(ER78-EQ78)/EQ78*100)</f>
        <v>0</v>
      </c>
      <c r="ET78" s="865"/>
      <c r="EU78" s="865"/>
      <c r="EV78" s="208">
        <f>IF(ET78=0,0,(EU78-ET78)/ET78*100)</f>
        <v>0</v>
      </c>
      <c r="EW78" s="865"/>
      <c r="EX78" s="865"/>
      <c r="EY78" s="208">
        <f>IF(EW78=0,0,(EX78-EW78)/EW78*100)</f>
        <v>0</v>
      </c>
      <c r="EZ78" s="865"/>
      <c r="FA78" s="865"/>
      <c r="FB78" s="208">
        <f>IF(EZ78=0,0,(FA78-EZ78)/EZ78*100)</f>
        <v>0</v>
      </c>
      <c r="FC78" s="865"/>
      <c r="FD78" s="865"/>
      <c r="FE78" s="208">
        <f>IF(FC78=0,0,(FD78-FC78)/FC78*100)</f>
        <v>0</v>
      </c>
      <c r="FF78" s="865"/>
      <c r="FG78" s="865"/>
      <c r="FH78" s="208">
        <f>IF(FF78=0,0,(FG78-FF78)/FF78*100)</f>
        <v>0</v>
      </c>
      <c r="FI78" s="865"/>
      <c r="FJ78" s="865"/>
      <c r="FK78" s="208">
        <f>IF(FI78=0,0,(FJ78-FI78)/FI78*100)</f>
        <v>0</v>
      </c>
      <c r="FL78" s="865"/>
      <c r="FM78" s="865"/>
      <c r="FN78" s="208">
        <f>IF(FL78=0,0,(FM78-FL78)/FL78*100)</f>
        <v>0</v>
      </c>
      <c r="FO78" s="865"/>
      <c r="FP78" s="865"/>
      <c r="FQ78" s="208">
        <f>IF(FO78=0,0,(FP78-FO78)/FO78*100)</f>
        <v>0</v>
      </c>
      <c r="FR78" s="865"/>
      <c r="FS78" s="865"/>
      <c r="FT78" s="208">
        <f>IF(FR78=0,0,(FS78-FR78)/FR78*100)</f>
        <v>0</v>
      </c>
      <c r="FU78" s="865"/>
      <c r="FV78" s="865"/>
      <c r="FW78" s="208">
        <f>IF(FU78=0,0,(FV78-FU78)/FU78*100)</f>
        <v>0</v>
      </c>
      <c r="FZ78" s="691" t="s">
        <v>1719</v>
      </c>
      <c r="GA78" s="691"/>
      <c r="GB78" s="691"/>
      <c r="GC78" s="692"/>
      <c r="GD78" s="692"/>
    </row>
    <row r="79" spans="1:186" s="204" customFormat="1" ht="23.85" hidden="1" customHeight="1" x14ac:dyDescent="0.15">
      <c r="A79" s="594"/>
      <c r="B79" s="613" t="b" cm="1">
        <f t="array" ref="B79">B78</f>
        <v>0</v>
      </c>
      <c r="C79" s="594"/>
      <c r="D79" s="594"/>
      <c r="E79" s="462">
        <v>24.5</v>
      </c>
      <c r="F79" s="3" cm="1">
        <f t="array" aca="1" ref="F79" ca="1">OFFSET(E79,-1,1)</f>
        <v>0</v>
      </c>
      <c r="G79" s="25" t="s">
        <v>1646</v>
      </c>
      <c r="H79" s="59" t="s">
        <v>482</v>
      </c>
      <c r="I79" s="59" t="s">
        <v>1720</v>
      </c>
      <c r="J79" s="594"/>
      <c r="K79" s="594"/>
      <c r="L79" s="594"/>
      <c r="M79" s="594"/>
      <c r="N79" s="594"/>
      <c r="O79" s="594"/>
      <c r="P79" s="594"/>
      <c r="Q79" s="594"/>
      <c r="R79" s="594"/>
      <c r="S79" s="59"/>
      <c r="T79" s="353" t="b" cm="1">
        <f t="array" aca="1" ref="T79" ca="1">T78</f>
        <v>0</v>
      </c>
      <c r="U79" s="594"/>
      <c r="V79" s="594"/>
      <c r="W79" s="594"/>
      <c r="X79" s="1022"/>
      <c r="Y79" s="594"/>
      <c r="Z79" s="966"/>
      <c r="AA79" s="594"/>
      <c r="AB79" s="132" t="s">
        <v>1721</v>
      </c>
      <c r="AC79" s="147" t="s">
        <v>1644</v>
      </c>
      <c r="AD79" s="865">
        <f ca="1">IF(AND(method_reg="Метод индексации",god&lt;&gt;first_year),SUMIFS(INDEX('Калькуляция (МИ корр)'!$AJ$25:$BC$603,,MATCH(AD$8,'Калькуляция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(МИ)'!$AJ$25:$BC$603,,MATCH(AD$8,'Калькуляция (МИ)'!$AJ$8:$BC$8,0)),'Калькуляция (МИ)'!$F$25:$F$603,$F79,'Калькуляция (МИ)'!$G$25:$G$603,$G79))))</f>
        <v>0</v>
      </c>
      <c r="AE79" s="865">
        <f ca="1">IF(AND(method_reg="Метод индексации",god&lt;&gt;first_year),SUMIFS(INDEX('Калькуляция (МИ корр)'!$AJ$25:$BC$603,,MATCH(AE$8,'Калькуляция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(МИ)'!$AJ$25:$BC$603,,MATCH(AE$8,'Калькуляция (МИ)'!$AJ$8:$BC$8,0)),'Калькуляция (МИ)'!$F$25:$F$603,$F79,'Калькуляция (МИ)'!$G$25:$G$603,$G79))))</f>
        <v>0</v>
      </c>
      <c r="AF79" s="208">
        <f ca="1">IF(AD79=0,0,(AE79-AD79)/AD79*100)</f>
        <v>0</v>
      </c>
      <c r="AG79" s="865">
        <f ca="1">IF(AND(method_reg="Метод индексации",god&lt;&gt;first_year),SUMIFS(INDEX('Калькуляция (МИ корр)'!$AJ$25:$BC$603,,MATCH(AG$8,'Калькуляция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(МИ)'!$AJ$25:$BC$603,,MATCH(AG$8,'Калькуляция (МИ)'!$AJ$8:$BC$8,0)),'Калькуляция (МИ)'!$F$25:$F$603,$F79,'Калькуляция (МИ)'!$G$25:$G$603,$G79))))</f>
        <v>0</v>
      </c>
      <c r="AH79" s="865">
        <f ca="1">IF(AND(method_reg="Метод индексации",god&lt;&gt;first_year),SUMIFS(INDEX('Калькуляция (МИ корр)'!$AJ$25:$BC$603,,MATCH(AH$8,'Калькуляция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(МИ)'!$AJ$25:$BC$603,,MATCH(AH$8,'Калькуляция (МИ)'!$AJ$8:$BC$8,0)),'Калькуляция (МИ)'!$F$25:$F$603,$F79,'Калькуляция (МИ)'!$G$25:$G$603,$G79))))</f>
        <v>0</v>
      </c>
      <c r="AI79" s="208">
        <f ca="1">IF(AG79=0,0,(AH79-AG79)/AG79*100)</f>
        <v>0</v>
      </c>
      <c r="AJ79" s="865">
        <f ca="1">IF(AND(method_reg="Метод индексации",god&lt;&gt;first_year),SUMIFS(INDEX('Калькуляция (МИ корр)'!$AJ$25:$BC$603,,MATCH(AJ$8,'Калькуляция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(МИ)'!$AJ$25:$BC$603,,MATCH(AJ$8,'Калькуляция (МИ)'!$AJ$8:$BC$8,0)),'Калькуляция (МИ)'!$F$25:$F$603,$F79,'Калькуляция (МИ)'!$G$25:$G$603,$G79))))</f>
        <v>0</v>
      </c>
      <c r="AK79" s="865">
        <f ca="1">IF(AND(method_reg="Метод индексации",god&lt;&gt;first_year),SUMIFS(INDEX('Калькуляция (МИ корр)'!$AJ$25:$BC$603,,MATCH(AK$8,'Калькуляция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(МИ)'!$AJ$25:$BC$603,,MATCH(AK$8,'Калькуляция (МИ)'!$AJ$8:$BC$8,0)),'Калькуляция (МИ)'!$F$25:$F$603,$F79,'Калькуляция (МИ)'!$G$25:$G$603,$G79))))</f>
        <v>0</v>
      </c>
      <c r="AL79" s="208">
        <f ca="1">IF(AJ79=0,0,(AK79-AJ79)/AJ79*100)</f>
        <v>0</v>
      </c>
      <c r="AM79" s="865">
        <f ca="1">IF(AND(method_reg="Метод индексации",god&lt;&gt;first_year),SUMIFS(INDEX('Калькуляция (МИ корр)'!$AJ$25:$BC$603,,MATCH(AM$8,'Калькуляция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(МИ)'!$AJ$25:$BC$603,,MATCH(AM$8,'Калькуляция (МИ)'!$AJ$8:$BC$8,0)),'Калькуляция (МИ)'!$F$25:$F$603,$F79,'Калькуляция (МИ)'!$G$25:$G$603,$G79))))</f>
        <v>0</v>
      </c>
      <c r="AN79" s="865">
        <f ca="1">IF(AND(method_reg="Метод индексации",god&lt;&gt;first_year),SUMIFS(INDEX('Калькуляция (МИ корр)'!$AJ$25:$BC$603,,MATCH(AN$8,'Калькуляция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(МИ)'!$AJ$25:$BC$603,,MATCH(AN$8,'Калькуляция (МИ)'!$AJ$8:$BC$8,0)),'Калькуляция (МИ)'!$F$25:$F$603,$F79,'Калькуляция (МИ)'!$G$25:$G$603,$G79))))</f>
        <v>0</v>
      </c>
      <c r="AO79" s="208">
        <f ca="1">IF(AM79=0,0,(AN79-AM79)/AM79*100)</f>
        <v>0</v>
      </c>
      <c r="AP79" s="865">
        <f ca="1">IF(AND(method_reg="Метод индексации",god&lt;&gt;first_year),SUMIFS(INDEX('Калькуляция (МИ корр)'!$AJ$25:$BC$603,,MATCH(AP$8,'Калькуляция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(МИ)'!$AJ$25:$BC$603,,MATCH(AP$8,'Калькуляция (МИ)'!$AJ$8:$BC$8,0)),'Калькуляция (МИ)'!$F$25:$F$603,$F79,'Калькуляция (МИ)'!$G$25:$G$603,$G79))))</f>
        <v>0</v>
      </c>
      <c r="AQ79" s="865">
        <f ca="1">IF(AND(method_reg="Метод индексации",god&lt;&gt;first_year),SUMIFS(INDEX('Калькуляция (МИ корр)'!$AJ$25:$BC$603,,MATCH(AQ$8,'Калькуляция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(МИ)'!$AJ$25:$BC$603,,MATCH(AQ$8,'Калькуляция (МИ)'!$AJ$8:$BC$8,0)),'Калькуляция (МИ)'!$F$25:$F$603,$F79,'Калькуляция (МИ)'!$G$25:$G$603,$G79))))</f>
        <v>0</v>
      </c>
      <c r="AR79" s="208">
        <f ca="1">IF(AP79=0,0,(AQ79-AP79)/AP79*100)</f>
        <v>0</v>
      </c>
      <c r="AS79" s="865">
        <f ca="1">IF(AND(method_reg="Метод индексации",god&lt;&gt;first_year),SUMIFS(INDEX('Калькуляция (МИ корр)'!$AJ$25:$BC$603,,MATCH(AS$8,'Калькуляция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(МИ)'!$AJ$25:$BC$603,,MATCH(AS$8,'Калькуляция (МИ)'!$AJ$8:$BC$8,0)),'Калькуляция (МИ)'!$F$25:$F$603,$F79,'Калькуляция (МИ)'!$G$25:$G$603,$G79))))</f>
        <v>0</v>
      </c>
      <c r="AT79" s="865">
        <f ca="1">IF(AND(method_reg="Метод индексации",god&lt;&gt;first_year),SUMIFS(INDEX('Калькуляция (МИ корр)'!$AJ$25:$BC$603,,MATCH(AT$8,'Калькуляция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(МИ)'!$AJ$25:$BC$603,,MATCH(AT$8,'Калькуляция (МИ)'!$AJ$8:$BC$8,0)),'Калькуляция (МИ)'!$F$25:$F$603,$F79,'Калькуляция (МИ)'!$G$25:$G$603,$G79))))</f>
        <v>0</v>
      </c>
      <c r="AU79" s="208">
        <f ca="1">IF(AS79=0,0,(AT79-AS79)/AS79*100)</f>
        <v>0</v>
      </c>
      <c r="AV79" s="865">
        <f ca="1">IF(AND(method_reg="Метод индексации",god&lt;&gt;first_year),SUMIFS(INDEX('Калькуляция (МИ корр)'!$AJ$25:$BC$603,,MATCH(AV$8,'Калькуляция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(МИ)'!$AJ$25:$BC$603,,MATCH(AV$8,'Калькуляция (МИ)'!$AJ$8:$BC$8,0)),'Калькуляция (МИ)'!$F$25:$F$603,$F79,'Калькуляция (МИ)'!$G$25:$G$603,$G79))))</f>
        <v>0</v>
      </c>
      <c r="AW79" s="865">
        <f ca="1">IF(AND(method_reg="Метод индексации",god&lt;&gt;first_year),SUMIFS(INDEX('Калькуляция (МИ корр)'!$AJ$25:$BC$603,,MATCH(AW$8,'Калькуляция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(МИ)'!$AJ$25:$BC$603,,MATCH(AW$8,'Калькуляция (МИ)'!$AJ$8:$BC$8,0)),'Калькуляция (МИ)'!$F$25:$F$603,$F79,'Калькуляция (МИ)'!$G$25:$G$603,$G79))))</f>
        <v>0</v>
      </c>
      <c r="AX79" s="208">
        <f ca="1">IF(AV79=0,0,(AW79-AV79)/AV79*100)</f>
        <v>0</v>
      </c>
      <c r="AY79" s="865">
        <f ca="1">IF(AND(method_reg="Метод индексации",god&lt;&gt;first_year),SUMIFS(INDEX('Калькуляция (МИ корр)'!$AJ$25:$BC$603,,MATCH(AY$8,'Калькуляция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(МИ)'!$AJ$25:$BC$603,,MATCH(AY$8,'Калькуляция (МИ)'!$AJ$8:$BC$8,0)),'Калькуляция (МИ)'!$F$25:$F$603,$F79,'Калькуляция (МИ)'!$G$25:$G$603,$G79))))</f>
        <v>0</v>
      </c>
      <c r="AZ79" s="865">
        <f ca="1">IF(AND(method_reg="Метод индексации",god&lt;&gt;first_year),SUMIFS(INDEX('Калькуляция (МИ корр)'!$AJ$25:$BC$603,,MATCH(AZ$8,'Калькуляция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(МИ)'!$AJ$25:$BC$603,,MATCH(AZ$8,'Калькуляция (МИ)'!$AJ$8:$BC$8,0)),'Калькуляция (МИ)'!$F$25:$F$603,$F79,'Калькуляция (МИ)'!$G$25:$G$603,$G79))))</f>
        <v>0</v>
      </c>
      <c r="BA79" s="208">
        <f ca="1">IF(AY79=0,0,(AZ79-AY79)/AY79*100)</f>
        <v>0</v>
      </c>
      <c r="BB79" s="865">
        <f ca="1">IF(AND(method_reg="Метод индексации",god&lt;&gt;first_year),SUMIFS(INDEX('Калькуляция (МИ корр)'!$AJ$25:$BC$603,,MATCH(BB$8,'Калькуляция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(МИ)'!$AJ$25:$BC$603,,MATCH(BB$8,'Калькуляция (МИ)'!$AJ$8:$BC$8,0)),'Калькуляция (МИ)'!$F$25:$F$603,$F79,'Калькуляция (МИ)'!$G$25:$G$603,$G79))))</f>
        <v>0</v>
      </c>
      <c r="BC79" s="865">
        <f ca="1">IF(AND(method_reg="Метод индексации",god&lt;&gt;first_year),SUMIFS(INDEX('Калькуляция (МИ корр)'!$AJ$25:$BC$603,,MATCH(BC$8,'Калькуляция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(МИ)'!$AJ$25:$BC$603,,MATCH(BC$8,'Калькуляция (МИ)'!$AJ$8:$BC$8,0)),'Калькуляция (МИ)'!$F$25:$F$603,$F79,'Калькуляция (МИ)'!$G$25:$G$603,$G79))))</f>
        <v>0</v>
      </c>
      <c r="BD79" s="208">
        <f ca="1">IF(BB79=0,0,(BC79-BB79)/BB79*100)</f>
        <v>0</v>
      </c>
      <c r="BE79" s="865">
        <f ca="1">IF(AND(method_reg="Метод индексации",god&lt;&gt;first_year),SUMIFS(INDEX('Калькуляция (МИ корр)'!$AJ$25:$BC$603,,MATCH(BE$8,'Калькуляция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(МИ)'!$AJ$25:$BC$603,,MATCH(BE$8,'Калькуляция (МИ)'!$AJ$8:$BC$8,0)),'Калькуляция (МИ)'!$F$25:$F$603,$F79,'Калькуляция (МИ)'!$G$25:$G$603,$G79))))</f>
        <v>0</v>
      </c>
      <c r="BF79" s="865">
        <f ca="1">IF(AND(method_reg="Метод индексации",god&lt;&gt;first_year),SUMIFS(INDEX('Калькуляция (МИ корр)'!$AJ$25:$BC$603,,MATCH(BF$8,'Калькуляция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(МИ)'!$AJ$25:$BC$603,,MATCH(BF$8,'Калькуляция (МИ)'!$AJ$8:$BC$8,0)),'Калькуляция (МИ)'!$F$25:$F$603,$F79,'Калькуляция (МИ)'!$G$25:$G$603,$G79))))</f>
        <v>0</v>
      </c>
      <c r="BG79" s="208">
        <f ca="1">IF(BE79=0,0,(BF79-BE79)/BE79*100)</f>
        <v>0</v>
      </c>
      <c r="BH79" s="865"/>
      <c r="BI79" s="865"/>
      <c r="BJ79" s="208">
        <f>IF(BH79=0,0,(BI79-BH79)/BH79*100)</f>
        <v>0</v>
      </c>
      <c r="BK79" s="865"/>
      <c r="BL79" s="865"/>
      <c r="BM79" s="208">
        <f>IF(BK79=0,0,(BL79-BK79)/BK79*100)</f>
        <v>0</v>
      </c>
      <c r="BN79" s="865"/>
      <c r="BO79" s="865"/>
      <c r="BP79" s="208">
        <f>IF(BN79=0,0,(BO79-BN79)/BN79*100)</f>
        <v>0</v>
      </c>
      <c r="BQ79" s="865"/>
      <c r="BR79" s="865"/>
      <c r="BS79" s="208">
        <f>IF(BQ79=0,0,(BR79-BQ79)/BQ79*100)</f>
        <v>0</v>
      </c>
      <c r="BT79" s="865"/>
      <c r="BU79" s="865"/>
      <c r="BV79" s="208">
        <f>IF(BT79=0,0,(BU79-BT79)/BT79*100)</f>
        <v>0</v>
      </c>
      <c r="BW79" s="865"/>
      <c r="BX79" s="865"/>
      <c r="BY79" s="208">
        <f>IF(BW79=0,0,(BX79-BW79)/BW79*100)</f>
        <v>0</v>
      </c>
      <c r="BZ79" s="865"/>
      <c r="CA79" s="865"/>
      <c r="CB79" s="208">
        <f>IF(BZ79=0,0,(CA79-BZ79)/BZ79*100)</f>
        <v>0</v>
      </c>
      <c r="CC79" s="865"/>
      <c r="CD79" s="865"/>
      <c r="CE79" s="208">
        <f>IF(CC79=0,0,(CD79-CC79)/CC79*100)</f>
        <v>0</v>
      </c>
      <c r="CF79" s="865"/>
      <c r="CG79" s="865"/>
      <c r="CH79" s="208">
        <f>IF(CF79=0,0,(CG79-CF79)/CF79*100)</f>
        <v>0</v>
      </c>
      <c r="CI79" s="865"/>
      <c r="CJ79" s="865"/>
      <c r="CK79" s="208">
        <f>IF(CI79=0,0,(CJ79-CI79)/CI79*100)</f>
        <v>0</v>
      </c>
      <c r="CL79" s="865"/>
      <c r="CM79" s="865"/>
      <c r="CN79" s="208">
        <f>IF(CL79=0,0,(CM79-CL79)/CL79*100)</f>
        <v>0</v>
      </c>
      <c r="CO79" s="865"/>
      <c r="CP79" s="865"/>
      <c r="CQ79" s="208">
        <f>IF(CO79=0,0,(CP79-CO79)/CO79*100)</f>
        <v>0</v>
      </c>
      <c r="CR79" s="865"/>
      <c r="CS79" s="865"/>
      <c r="CT79" s="208">
        <f>IF(CR79=0,0,(CS79-CR79)/CR79*100)</f>
        <v>0</v>
      </c>
      <c r="CU79" s="865"/>
      <c r="CV79" s="865"/>
      <c r="CW79" s="208">
        <f>IF(CU79=0,0,(CV79-CU79)/CU79*100)</f>
        <v>0</v>
      </c>
      <c r="CX79" s="865"/>
      <c r="CY79" s="865"/>
      <c r="CZ79" s="208">
        <f>IF(CX79=0,0,(CY79-CX79)/CX79*100)</f>
        <v>0</v>
      </c>
      <c r="DA79" s="865"/>
      <c r="DB79" s="865"/>
      <c r="DC79" s="208">
        <f>IF(DA79=0,0,(DB79-DA79)/DA79*100)</f>
        <v>0</v>
      </c>
      <c r="DD79" s="865"/>
      <c r="DE79" s="865"/>
      <c r="DF79" s="208">
        <f>IF(DD79=0,0,(DE79-DD79)/DD79*100)</f>
        <v>0</v>
      </c>
      <c r="DG79" s="865"/>
      <c r="DH79" s="865"/>
      <c r="DI79" s="208">
        <f>IF(DG79=0,0,(DH79-DG79)/DG79*100)</f>
        <v>0</v>
      </c>
      <c r="DJ79" s="865"/>
      <c r="DK79" s="865"/>
      <c r="DL79" s="208">
        <f>IF(DJ79=0,0,(DK79-DJ79)/DJ79*100)</f>
        <v>0</v>
      </c>
      <c r="DM79" s="865"/>
      <c r="DN79" s="865"/>
      <c r="DO79" s="208">
        <f>IF(DM79=0,0,(DN79-DM79)/DM79*100)</f>
        <v>0</v>
      </c>
      <c r="DP79" s="865"/>
      <c r="DQ79" s="865"/>
      <c r="DR79" s="208">
        <f>IF(DP79=0,0,(DQ79-DP79)/DP79*100)</f>
        <v>0</v>
      </c>
      <c r="DS79" s="865"/>
      <c r="DT79" s="865"/>
      <c r="DU79" s="208">
        <f>IF(DS79=0,0,(DT79-DS79)/DS79*100)</f>
        <v>0</v>
      </c>
      <c r="DV79" s="865"/>
      <c r="DW79" s="865"/>
      <c r="DX79" s="208">
        <f>IF(DV79=0,0,(DW79-DV79)/DV79*100)</f>
        <v>0</v>
      </c>
      <c r="DY79" s="865"/>
      <c r="DZ79" s="865"/>
      <c r="EA79" s="208">
        <f>IF(DY79=0,0,(DZ79-DY79)/DY79*100)</f>
        <v>0</v>
      </c>
      <c r="EB79" s="865"/>
      <c r="EC79" s="865"/>
      <c r="ED79" s="208">
        <f>IF(EB79=0,0,(EC79-EB79)/EB79*100)</f>
        <v>0</v>
      </c>
      <c r="EE79" s="865"/>
      <c r="EF79" s="865"/>
      <c r="EG79" s="208">
        <f>IF(EE79=0,0,(EF79-EE79)/EE79*100)</f>
        <v>0</v>
      </c>
      <c r="EH79" s="865"/>
      <c r="EI79" s="865"/>
      <c r="EJ79" s="208">
        <f>IF(EH79=0,0,(EI79-EH79)/EH79*100)</f>
        <v>0</v>
      </c>
      <c r="EK79" s="865"/>
      <c r="EL79" s="865"/>
      <c r="EM79" s="208">
        <f>IF(EK79=0,0,(EL79-EK79)/EK79*100)</f>
        <v>0</v>
      </c>
      <c r="EN79" s="865"/>
      <c r="EO79" s="865"/>
      <c r="EP79" s="208">
        <f>IF(EN79=0,0,(EO79-EN79)/EN79*100)</f>
        <v>0</v>
      </c>
      <c r="EQ79" s="865"/>
      <c r="ER79" s="865"/>
      <c r="ES79" s="208">
        <f>IF(EQ79=0,0,(ER79-EQ79)/EQ79*100)</f>
        <v>0</v>
      </c>
      <c r="ET79" s="865"/>
      <c r="EU79" s="865"/>
      <c r="EV79" s="208">
        <f>IF(ET79=0,0,(EU79-ET79)/ET79*100)</f>
        <v>0</v>
      </c>
      <c r="EW79" s="865"/>
      <c r="EX79" s="865"/>
      <c r="EY79" s="208">
        <f>IF(EW79=0,0,(EX79-EW79)/EW79*100)</f>
        <v>0</v>
      </c>
      <c r="EZ79" s="865"/>
      <c r="FA79" s="865"/>
      <c r="FB79" s="208">
        <f>IF(EZ79=0,0,(FA79-EZ79)/EZ79*100)</f>
        <v>0</v>
      </c>
      <c r="FC79" s="865"/>
      <c r="FD79" s="865"/>
      <c r="FE79" s="208">
        <f>IF(FC79=0,0,(FD79-FC79)/FC79*100)</f>
        <v>0</v>
      </c>
      <c r="FF79" s="865"/>
      <c r="FG79" s="865"/>
      <c r="FH79" s="208">
        <f>IF(FF79=0,0,(FG79-FF79)/FF79*100)</f>
        <v>0</v>
      </c>
      <c r="FI79" s="865"/>
      <c r="FJ79" s="865"/>
      <c r="FK79" s="208">
        <f>IF(FI79=0,0,(FJ79-FI79)/FI79*100)</f>
        <v>0</v>
      </c>
      <c r="FL79" s="865"/>
      <c r="FM79" s="865"/>
      <c r="FN79" s="208">
        <f>IF(FL79=0,0,(FM79-FL79)/FL79*100)</f>
        <v>0</v>
      </c>
      <c r="FO79" s="865"/>
      <c r="FP79" s="865"/>
      <c r="FQ79" s="208">
        <f>IF(FO79=0,0,(FP79-FO79)/FO79*100)</f>
        <v>0</v>
      </c>
      <c r="FR79" s="865"/>
      <c r="FS79" s="865"/>
      <c r="FT79" s="208">
        <f>IF(FR79=0,0,(FS79-FR79)/FR79*100)</f>
        <v>0</v>
      </c>
      <c r="FU79" s="865"/>
      <c r="FV79" s="865"/>
      <c r="FW79" s="208">
        <f>IF(FU79=0,0,(FV79-FU79)/FU79*100)</f>
        <v>0</v>
      </c>
      <c r="FZ79" s="691" t="s">
        <v>1722</v>
      </c>
      <c r="GA79" s="691"/>
      <c r="GB79" s="691"/>
      <c r="GC79" s="692"/>
      <c r="GD79" s="692"/>
    </row>
    <row r="80" spans="1:186" ht="14.65" hidden="1" customHeight="1" x14ac:dyDescent="0.15">
      <c r="A80" s="59"/>
      <c r="B80" s="613" t="b" cm="1">
        <f t="array" ref="B80">B79</f>
        <v>0</v>
      </c>
      <c r="C80" s="59"/>
      <c r="D80" s="59"/>
      <c r="E80" s="462">
        <v>15</v>
      </c>
      <c r="F80" s="3" cm="1">
        <f t="array" aca="1" ref="F80" ca="1">OFFSET(E80,-1,1)</f>
        <v>0</v>
      </c>
      <c r="G80" s="59"/>
      <c r="H80" s="59" t="s">
        <v>486</v>
      </c>
      <c r="I80" s="59"/>
      <c r="J80" s="59"/>
      <c r="K80" s="59"/>
      <c r="L80" s="59"/>
      <c r="M80" s="59"/>
      <c r="N80" s="59"/>
      <c r="O80" s="59"/>
      <c r="P80" s="59"/>
      <c r="Q80" s="59"/>
      <c r="R80" s="59"/>
      <c r="S80" s="59"/>
      <c r="T80" s="353" t="b" cm="1">
        <f t="array" aca="1" ref="T80" ca="1">T79</f>
        <v>0</v>
      </c>
      <c r="U80" s="59"/>
      <c r="V80" s="59"/>
      <c r="W80" s="59"/>
      <c r="X80" s="1022"/>
      <c r="Y80" s="59"/>
      <c r="Z80" s="966"/>
      <c r="AA80" s="59"/>
      <c r="AB80" s="346" t="s">
        <v>1723</v>
      </c>
      <c r="AC80" s="9" t="s">
        <v>476</v>
      </c>
      <c r="AD80" s="620">
        <f ca="1">IF(AD78=0,0,AD79/AD78)*100</f>
        <v>0</v>
      </c>
      <c r="AE80" s="620">
        <f ca="1">IF(AE78=0,0,AE79/AE78)*100</f>
        <v>0</v>
      </c>
      <c r="AF80" s="723"/>
      <c r="AG80" s="620">
        <f ca="1">IF(AG78=0,0,AG79/AG78)*100</f>
        <v>0</v>
      </c>
      <c r="AH80" s="620">
        <f ca="1">IF(AH78=0,0,AH79/AH78)*100</f>
        <v>0</v>
      </c>
      <c r="AI80" s="723"/>
      <c r="AJ80" s="620">
        <f ca="1">IF(AJ78=0,0,AJ79/AJ78)*100</f>
        <v>0</v>
      </c>
      <c r="AK80" s="620">
        <f ca="1">IF(AK78=0,0,AK79/AK78)*100</f>
        <v>0</v>
      </c>
      <c r="AL80" s="723"/>
      <c r="AM80" s="620">
        <f ca="1">IF(AM78=0,0,AM79/AM78)*100</f>
        <v>0</v>
      </c>
      <c r="AN80" s="620">
        <f ca="1">IF(AN78=0,0,AN79/AN78)*100</f>
        <v>0</v>
      </c>
      <c r="AO80" s="723"/>
      <c r="AP80" s="620">
        <f ca="1">IF(AP78=0,0,AP79/AP78)*100</f>
        <v>0</v>
      </c>
      <c r="AQ80" s="620">
        <f ca="1">IF(AQ78=0,0,AQ79/AQ78)*100</f>
        <v>0</v>
      </c>
      <c r="AR80" s="723"/>
      <c r="AS80" s="620">
        <f ca="1">IF(AS78=0,0,AS79/AS78)*100</f>
        <v>0</v>
      </c>
      <c r="AT80" s="620">
        <f ca="1">IF(AT78=0,0,AT79/AT78)*100</f>
        <v>0</v>
      </c>
      <c r="AU80" s="723"/>
      <c r="AV80" s="620">
        <f ca="1">IF(AV78=0,0,AV79/AV78)*100</f>
        <v>0</v>
      </c>
      <c r="AW80" s="620">
        <f ca="1">IF(AW78=0,0,AW79/AW78)*100</f>
        <v>0</v>
      </c>
      <c r="AX80" s="723"/>
      <c r="AY80" s="620">
        <f ca="1">IF(AY78=0,0,AY79/AY78)*100</f>
        <v>0</v>
      </c>
      <c r="AZ80" s="620">
        <f ca="1">IF(AZ78=0,0,AZ79/AZ78)*100</f>
        <v>0</v>
      </c>
      <c r="BA80" s="723"/>
      <c r="BB80" s="620">
        <f ca="1">IF(BB78=0,0,BB79/BB78)*100</f>
        <v>0</v>
      </c>
      <c r="BC80" s="620">
        <f ca="1">IF(BC78=0,0,BC79/BC78)*100</f>
        <v>0</v>
      </c>
      <c r="BD80" s="723"/>
      <c r="BE80" s="620">
        <f ca="1">IF(BE78=0,0,BE79/BE78)*100</f>
        <v>0</v>
      </c>
      <c r="BF80" s="620">
        <f ca="1">IF(BF78=0,0,BF79/BF78)*100</f>
        <v>0</v>
      </c>
      <c r="BG80" s="723"/>
      <c r="BH80" s="620">
        <f>IF(BH78=0,0,BH79/BH78)*100</f>
        <v>0</v>
      </c>
      <c r="BI80" s="620">
        <f>IF(BI78=0,0,BI79/BI78)*100</f>
        <v>0</v>
      </c>
      <c r="BJ80" s="723"/>
      <c r="BK80" s="620">
        <f>IF(BK78=0,0,BK79/BK78)*100</f>
        <v>0</v>
      </c>
      <c r="BL80" s="620">
        <f>IF(BL78=0,0,BL79/BL78)*100</f>
        <v>0</v>
      </c>
      <c r="BM80" s="723"/>
      <c r="BN80" s="620">
        <f>IF(BN78=0,0,BN79/BN78)*100</f>
        <v>0</v>
      </c>
      <c r="BO80" s="620">
        <f>IF(BO78=0,0,BO79/BO78)*100</f>
        <v>0</v>
      </c>
      <c r="BP80" s="723"/>
      <c r="BQ80" s="620">
        <f>IF(BQ78=0,0,BQ79/BQ78)*100</f>
        <v>0</v>
      </c>
      <c r="BR80" s="620">
        <f>IF(BR78=0,0,BR79/BR78)*100</f>
        <v>0</v>
      </c>
      <c r="BS80" s="723"/>
      <c r="BT80" s="620">
        <f>IF(BT78=0,0,BT79/BT78)*100</f>
        <v>0</v>
      </c>
      <c r="BU80" s="620">
        <f>IF(BU78=0,0,BU79/BU78)*100</f>
        <v>0</v>
      </c>
      <c r="BV80" s="723"/>
      <c r="BW80" s="620">
        <f>IF(BW78=0,0,BW79/BW78)*100</f>
        <v>0</v>
      </c>
      <c r="BX80" s="620">
        <f>IF(BX78=0,0,BX79/BX78)*100</f>
        <v>0</v>
      </c>
      <c r="BY80" s="723"/>
      <c r="BZ80" s="620">
        <f>IF(BZ78=0,0,BZ79/BZ78)*100</f>
        <v>0</v>
      </c>
      <c r="CA80" s="620">
        <f>IF(CA78=0,0,CA79/CA78)*100</f>
        <v>0</v>
      </c>
      <c r="CB80" s="723"/>
      <c r="CC80" s="620">
        <f>IF(CC78=0,0,CC79/CC78)*100</f>
        <v>0</v>
      </c>
      <c r="CD80" s="620">
        <f>IF(CD78=0,0,CD79/CD78)*100</f>
        <v>0</v>
      </c>
      <c r="CE80" s="723"/>
      <c r="CF80" s="620">
        <f>IF(CF78=0,0,CF79/CF78)*100</f>
        <v>0</v>
      </c>
      <c r="CG80" s="620">
        <f>IF(CG78=0,0,CG79/CG78)*100</f>
        <v>0</v>
      </c>
      <c r="CH80" s="723"/>
      <c r="CI80" s="620">
        <f>IF(CI78=0,0,CI79/CI78)*100</f>
        <v>0</v>
      </c>
      <c r="CJ80" s="620">
        <f>IF(CJ78=0,0,CJ79/CJ78)*100</f>
        <v>0</v>
      </c>
      <c r="CK80" s="723"/>
      <c r="CL80" s="620">
        <f>IF(CL78=0,0,CL79/CL78)*100</f>
        <v>0</v>
      </c>
      <c r="CM80" s="620">
        <f>IF(CM78=0,0,CM79/CM78)*100</f>
        <v>0</v>
      </c>
      <c r="CN80" s="723"/>
      <c r="CO80" s="620">
        <f>IF(CO78=0,0,CO79/CO78)*100</f>
        <v>0</v>
      </c>
      <c r="CP80" s="620">
        <f>IF(CP78=0,0,CP79/CP78)*100</f>
        <v>0</v>
      </c>
      <c r="CQ80" s="723"/>
      <c r="CR80" s="620">
        <f>IF(CR78=0,0,CR79/CR78)*100</f>
        <v>0</v>
      </c>
      <c r="CS80" s="620">
        <f>IF(CS78=0,0,CS79/CS78)*100</f>
        <v>0</v>
      </c>
      <c r="CT80" s="723"/>
      <c r="CU80" s="620">
        <f>IF(CU78=0,0,CU79/CU78)*100</f>
        <v>0</v>
      </c>
      <c r="CV80" s="620">
        <f>IF(CV78=0,0,CV79/CV78)*100</f>
        <v>0</v>
      </c>
      <c r="CW80" s="723"/>
      <c r="CX80" s="620">
        <f>IF(CX78=0,0,CX79/CX78)*100</f>
        <v>0</v>
      </c>
      <c r="CY80" s="620">
        <f>IF(CY78=0,0,CY79/CY78)*100</f>
        <v>0</v>
      </c>
      <c r="CZ80" s="723"/>
      <c r="DA80" s="620">
        <f>IF(DA78=0,0,DA79/DA78)*100</f>
        <v>0</v>
      </c>
      <c r="DB80" s="620">
        <f>IF(DB78=0,0,DB79/DB78)*100</f>
        <v>0</v>
      </c>
      <c r="DC80" s="723"/>
      <c r="DD80" s="620">
        <f>IF(DD78=0,0,DD79/DD78)*100</f>
        <v>0</v>
      </c>
      <c r="DE80" s="620">
        <f>IF(DE78=0,0,DE79/DE78)*100</f>
        <v>0</v>
      </c>
      <c r="DF80" s="723"/>
      <c r="DG80" s="620">
        <f>IF(DG78=0,0,DG79/DG78)*100</f>
        <v>0</v>
      </c>
      <c r="DH80" s="620">
        <f>IF(DH78=0,0,DH79/DH78)*100</f>
        <v>0</v>
      </c>
      <c r="DI80" s="723"/>
      <c r="DJ80" s="620">
        <f>IF(DJ78=0,0,DJ79/DJ78)*100</f>
        <v>0</v>
      </c>
      <c r="DK80" s="620">
        <f>IF(DK78=0,0,DK79/DK78)*100</f>
        <v>0</v>
      </c>
      <c r="DL80" s="723"/>
      <c r="DM80" s="620">
        <f>IF(DM78=0,0,DM79/DM78)*100</f>
        <v>0</v>
      </c>
      <c r="DN80" s="620">
        <f>IF(DN78=0,0,DN79/DN78)*100</f>
        <v>0</v>
      </c>
      <c r="DO80" s="723"/>
      <c r="DP80" s="620">
        <f>IF(DP78=0,0,DP79/DP78)*100</f>
        <v>0</v>
      </c>
      <c r="DQ80" s="620">
        <f>IF(DQ78=0,0,DQ79/DQ78)*100</f>
        <v>0</v>
      </c>
      <c r="DR80" s="723"/>
      <c r="DS80" s="620">
        <f>IF(DS78=0,0,DS79/DS78)*100</f>
        <v>0</v>
      </c>
      <c r="DT80" s="620">
        <f>IF(DT78=0,0,DT79/DT78)*100</f>
        <v>0</v>
      </c>
      <c r="DU80" s="723"/>
      <c r="DV80" s="620">
        <f>IF(DV78=0,0,DV79/DV78)*100</f>
        <v>0</v>
      </c>
      <c r="DW80" s="620">
        <f>IF(DW78=0,0,DW79/DW78)*100</f>
        <v>0</v>
      </c>
      <c r="DX80" s="723"/>
      <c r="DY80" s="620">
        <f>IF(DY78=0,0,DY79/DY78)*100</f>
        <v>0</v>
      </c>
      <c r="DZ80" s="620">
        <f>IF(DZ78=0,0,DZ79/DZ78)*100</f>
        <v>0</v>
      </c>
      <c r="EA80" s="723"/>
      <c r="EB80" s="620">
        <f>IF(EB78=0,0,EB79/EB78)*100</f>
        <v>0</v>
      </c>
      <c r="EC80" s="620">
        <f>IF(EC78=0,0,EC79/EC78)*100</f>
        <v>0</v>
      </c>
      <c r="ED80" s="723"/>
      <c r="EE80" s="620">
        <f>IF(EE78=0,0,EE79/EE78)*100</f>
        <v>0</v>
      </c>
      <c r="EF80" s="620">
        <f>IF(EF78=0,0,EF79/EF78)*100</f>
        <v>0</v>
      </c>
      <c r="EG80" s="723"/>
      <c r="EH80" s="620">
        <f>IF(EH78=0,0,EH79/EH78)*100</f>
        <v>0</v>
      </c>
      <c r="EI80" s="620">
        <f>IF(EI78=0,0,EI79/EI78)*100</f>
        <v>0</v>
      </c>
      <c r="EJ80" s="723"/>
      <c r="EK80" s="620">
        <f>IF(EK78=0,0,EK79/EK78)*100</f>
        <v>0</v>
      </c>
      <c r="EL80" s="620">
        <f>IF(EL78=0,0,EL79/EL78)*100</f>
        <v>0</v>
      </c>
      <c r="EM80" s="723"/>
      <c r="EN80" s="620">
        <f>IF(EN78=0,0,EN79/EN78)*100</f>
        <v>0</v>
      </c>
      <c r="EO80" s="620">
        <f>IF(EO78=0,0,EO79/EO78)*100</f>
        <v>0</v>
      </c>
      <c r="EP80" s="723"/>
      <c r="EQ80" s="620">
        <f>IF(EQ78=0,0,EQ79/EQ78)*100</f>
        <v>0</v>
      </c>
      <c r="ER80" s="620">
        <f>IF(ER78=0,0,ER79/ER78)*100</f>
        <v>0</v>
      </c>
      <c r="ES80" s="723"/>
      <c r="ET80" s="620">
        <f>IF(ET78=0,0,ET79/ET78)*100</f>
        <v>0</v>
      </c>
      <c r="EU80" s="620">
        <f>IF(EU78=0,0,EU79/EU78)*100</f>
        <v>0</v>
      </c>
      <c r="EV80" s="723"/>
      <c r="EW80" s="620">
        <f>IF(EW78=0,0,EW79/EW78)*100</f>
        <v>0</v>
      </c>
      <c r="EX80" s="620">
        <f>IF(EX78=0,0,EX79/EX78)*100</f>
        <v>0</v>
      </c>
      <c r="EY80" s="723"/>
      <c r="EZ80" s="620">
        <f>IF(EZ78=0,0,EZ79/EZ78)*100</f>
        <v>0</v>
      </c>
      <c r="FA80" s="620">
        <f>IF(FA78=0,0,FA79/FA78)*100</f>
        <v>0</v>
      </c>
      <c r="FB80" s="723"/>
      <c r="FC80" s="620">
        <f>IF(FC78=0,0,FC79/FC78)*100</f>
        <v>0</v>
      </c>
      <c r="FD80" s="620">
        <f>IF(FD78=0,0,FD79/FD78)*100</f>
        <v>0</v>
      </c>
      <c r="FE80" s="723"/>
      <c r="FF80" s="620">
        <f>IF(FF78=0,0,FF79/FF78)*100</f>
        <v>0</v>
      </c>
      <c r="FG80" s="620">
        <f>IF(FG78=0,0,FG79/FG78)*100</f>
        <v>0</v>
      </c>
      <c r="FH80" s="723"/>
      <c r="FI80" s="620">
        <f>IF(FI78=0,0,FI79/FI78)*100</f>
        <v>0</v>
      </c>
      <c r="FJ80" s="620">
        <f>IF(FJ78=0,0,FJ79/FJ78)*100</f>
        <v>0</v>
      </c>
      <c r="FK80" s="723"/>
      <c r="FL80" s="620">
        <f>IF(FL78=0,0,FL79/FL78)*100</f>
        <v>0</v>
      </c>
      <c r="FM80" s="620">
        <f>IF(FM78=0,0,FM79/FM78)*100</f>
        <v>0</v>
      </c>
      <c r="FN80" s="723"/>
      <c r="FO80" s="620">
        <f>IF(FO78=0,0,FO79/FO78)*100</f>
        <v>0</v>
      </c>
      <c r="FP80" s="620">
        <f>IF(FP78=0,0,FP79/FP78)*100</f>
        <v>0</v>
      </c>
      <c r="FQ80" s="723"/>
      <c r="FR80" s="620">
        <f>IF(FR78=0,0,FR79/FR78)*100</f>
        <v>0</v>
      </c>
      <c r="FS80" s="620">
        <f>IF(FS78=0,0,FS79/FS78)*100</f>
        <v>0</v>
      </c>
      <c r="FT80" s="723"/>
      <c r="FU80" s="620">
        <f>IF(FU78=0,0,FU79/FU78)*100</f>
        <v>0</v>
      </c>
      <c r="FV80" s="620">
        <f>IF(FV78=0,0,FV79/FV78)*100</f>
        <v>0</v>
      </c>
      <c r="FW80" s="724"/>
      <c r="FX80" s="204"/>
      <c r="FZ80" s="691" t="s">
        <v>1724</v>
      </c>
    </row>
    <row r="81" spans="1:186" ht="14.65" hidden="1" customHeight="1" x14ac:dyDescent="0.15">
      <c r="A81" s="59"/>
      <c r="B81" s="613" t="b" cm="1">
        <f t="array" ref="B81">B80</f>
        <v>0</v>
      </c>
      <c r="C81" s="59"/>
      <c r="D81" s="59"/>
      <c r="E81" s="462">
        <v>15</v>
      </c>
      <c r="F81" s="3" cm="1">
        <f t="array" aca="1" ref="F81" ca="1">OFFSET(E81,-1,1)</f>
        <v>0</v>
      </c>
      <c r="G81" s="25" t="s">
        <v>1653</v>
      </c>
      <c r="H81" s="59"/>
      <c r="I81" s="59"/>
      <c r="J81" s="59"/>
      <c r="K81" s="59"/>
      <c r="L81" s="59"/>
      <c r="M81" s="59"/>
      <c r="N81" s="59"/>
      <c r="O81" s="59"/>
      <c r="P81" s="59"/>
      <c r="Q81" s="59"/>
      <c r="R81" s="59"/>
      <c r="S81" s="59"/>
      <c r="T81" s="353" t="b" cm="1">
        <f t="array" aca="1" ref="T81" ca="1">T80</f>
        <v>0</v>
      </c>
      <c r="U81" s="59"/>
      <c r="V81" s="59"/>
      <c r="W81" s="59"/>
      <c r="X81" s="1022"/>
      <c r="Y81" s="59"/>
      <c r="Z81" s="966"/>
      <c r="AA81" s="59"/>
      <c r="AB81" s="54" t="s">
        <v>1654</v>
      </c>
      <c r="AC81" s="12" t="s">
        <v>558</v>
      </c>
      <c r="AD81" s="836">
        <f ca="1">IF(AND(method_reg="Метод индексации",god&lt;&gt;first_year),SUMIFS(INDEX('Калькуляция (МИ корр)'!$AJ$25:$BC$603,,MATCH(AD$8,'Калькуляция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(МИ)'!$AJ$25:$BC$603,,MATCH(AD$8,'Калькуляция (МИ)'!$AJ$8:$BC$8,0)),'Калькуляция (МИ)'!$F$25:$F$603,$F81,'Калькуляция (МИ)'!$G$25:$G$603,$G81))))</f>
        <v>0</v>
      </c>
      <c r="AE81" s="836">
        <f ca="1">IF(AND(method_reg="Метод индексации",god&lt;&gt;first_year),SUMIFS(INDEX('Калькуляция (МИ корр)'!$AJ$25:$BC$603,,MATCH(AE$8,'Калькуляция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(МИ)'!$AJ$25:$BC$603,,MATCH(AE$8,'Калькуляция (МИ)'!$AJ$8:$BC$8,0)),'Калькуляция (МИ)'!$F$25:$F$603,$F81,'Калькуляция (МИ)'!$G$25:$G$603,$G81))))</f>
        <v>0</v>
      </c>
      <c r="AF81" s="715">
        <f ca="1">IF(AD81=0,0,(AE81-AD81)/AD81*100)</f>
        <v>0</v>
      </c>
      <c r="AG81" s="836">
        <f ca="1">IF(AND(method_reg="Метод индексации",god&lt;&gt;first_year),SUMIFS(INDEX('Калькуляция (МИ корр)'!$AJ$25:$BC$603,,MATCH(AG$8,'Калькуляция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(МИ)'!$AJ$25:$BC$603,,MATCH(AG$8,'Калькуляция (МИ)'!$AJ$8:$BC$8,0)),'Калькуляция (МИ)'!$F$25:$F$603,$F81,'Калькуляция (МИ)'!$G$25:$G$603,$G81))))</f>
        <v>0</v>
      </c>
      <c r="AH81" s="836">
        <f ca="1">IF(AND(method_reg="Метод индексации",god&lt;&gt;first_year),SUMIFS(INDEX('Калькуляция (МИ корр)'!$AJ$25:$BC$603,,MATCH(AH$8,'Калькуляция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(МИ)'!$AJ$25:$BC$603,,MATCH(AH$8,'Калькуляция (МИ)'!$AJ$8:$BC$8,0)),'Калькуляция (МИ)'!$F$25:$F$603,$F81,'Калькуляция (МИ)'!$G$25:$G$603,$G81))))</f>
        <v>0</v>
      </c>
      <c r="AI81" s="715">
        <f ca="1">IF(AG81=0,0,(AH81-AG81)/AG81*100)</f>
        <v>0</v>
      </c>
      <c r="AJ81" s="836">
        <f ca="1">IF(AND(method_reg="Метод индексации",god&lt;&gt;first_year),SUMIFS(INDEX('Калькуляция (МИ корр)'!$AJ$25:$BC$603,,MATCH(AJ$8,'Калькуляция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(МИ)'!$AJ$25:$BC$603,,MATCH(AJ$8,'Калькуляция (МИ)'!$AJ$8:$BC$8,0)),'Калькуляция (МИ)'!$F$25:$F$603,$F81,'Калькуляция (МИ)'!$G$25:$G$603,$G81))))</f>
        <v>0</v>
      </c>
      <c r="AK81" s="836">
        <f ca="1">IF(AND(method_reg="Метод индексации",god&lt;&gt;first_year),SUMIFS(INDEX('Калькуляция (МИ корр)'!$AJ$25:$BC$603,,MATCH(AK$8,'Калькуляция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(МИ)'!$AJ$25:$BC$603,,MATCH(AK$8,'Калькуляция (МИ)'!$AJ$8:$BC$8,0)),'Калькуляция (МИ)'!$F$25:$F$603,$F81,'Калькуляция (МИ)'!$G$25:$G$603,$G81))))</f>
        <v>0</v>
      </c>
      <c r="AL81" s="715">
        <f ca="1">IF(AJ81=0,0,(AK81-AJ81)/AJ81*100)</f>
        <v>0</v>
      </c>
      <c r="AM81" s="836">
        <f ca="1">IF(AND(method_reg="Метод индексации",god&lt;&gt;first_year),SUMIFS(INDEX('Калькуляция (МИ корр)'!$AJ$25:$BC$603,,MATCH(AM$8,'Калькуляция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(МИ)'!$AJ$25:$BC$603,,MATCH(AM$8,'Калькуляция (МИ)'!$AJ$8:$BC$8,0)),'Калькуляция (МИ)'!$F$25:$F$603,$F81,'Калькуляция (МИ)'!$G$25:$G$603,$G81))))</f>
        <v>0</v>
      </c>
      <c r="AN81" s="836">
        <f ca="1">IF(AND(method_reg="Метод индексации",god&lt;&gt;first_year),SUMIFS(INDEX('Калькуляция (МИ корр)'!$AJ$25:$BC$603,,MATCH(AN$8,'Калькуляция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(МИ)'!$AJ$25:$BC$603,,MATCH(AN$8,'Калькуляция (МИ)'!$AJ$8:$BC$8,0)),'Калькуляция (МИ)'!$F$25:$F$603,$F81,'Калькуляция (МИ)'!$G$25:$G$603,$G81))))</f>
        <v>0</v>
      </c>
      <c r="AO81" s="715">
        <f ca="1">IF(AM81=0,0,(AN81-AM81)/AM81*100)</f>
        <v>0</v>
      </c>
      <c r="AP81" s="836">
        <f ca="1">IF(AND(method_reg="Метод индексации",god&lt;&gt;first_year),SUMIFS(INDEX('Калькуляция (МИ корр)'!$AJ$25:$BC$603,,MATCH(AP$8,'Калькуляция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(МИ)'!$AJ$25:$BC$603,,MATCH(AP$8,'Калькуляция (МИ)'!$AJ$8:$BC$8,0)),'Калькуляция (МИ)'!$F$25:$F$603,$F81,'Калькуляция (МИ)'!$G$25:$G$603,$G81))))</f>
        <v>0</v>
      </c>
      <c r="AQ81" s="836">
        <f ca="1">IF(AND(method_reg="Метод индексации",god&lt;&gt;first_year),SUMIFS(INDEX('Калькуляция (МИ корр)'!$AJ$25:$BC$603,,MATCH(AQ$8,'Калькуляция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(МИ)'!$AJ$25:$BC$603,,MATCH(AQ$8,'Калькуляция (МИ)'!$AJ$8:$BC$8,0)),'Калькуляция (МИ)'!$F$25:$F$603,$F81,'Калькуляция (МИ)'!$G$25:$G$603,$G81))))</f>
        <v>0</v>
      </c>
      <c r="AR81" s="715">
        <f ca="1">IF(AP81=0,0,(AQ81-AP81)/AP81*100)</f>
        <v>0</v>
      </c>
      <c r="AS81" s="836">
        <f ca="1">IF(AND(method_reg="Метод индексации",god&lt;&gt;first_year),SUMIFS(INDEX('Калькуляция (МИ корр)'!$AJ$25:$BC$603,,MATCH(AS$8,'Калькуляция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(МИ)'!$AJ$25:$BC$603,,MATCH(AS$8,'Калькуляция (МИ)'!$AJ$8:$BC$8,0)),'Калькуляция (МИ)'!$F$25:$F$603,$F81,'Калькуляция (МИ)'!$G$25:$G$603,$G81))))</f>
        <v>0</v>
      </c>
      <c r="AT81" s="836">
        <f ca="1">IF(AND(method_reg="Метод индексации",god&lt;&gt;first_year),SUMIFS(INDEX('Калькуляция (МИ корр)'!$AJ$25:$BC$603,,MATCH(AT$8,'Калькуляция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(МИ)'!$AJ$25:$BC$603,,MATCH(AT$8,'Калькуляция (МИ)'!$AJ$8:$BC$8,0)),'Калькуляция (МИ)'!$F$25:$F$603,$F81,'Калькуляция (МИ)'!$G$25:$G$603,$G81))))</f>
        <v>0</v>
      </c>
      <c r="AU81" s="715">
        <f ca="1">IF(AS81=0,0,(AT81-AS81)/AS81*100)</f>
        <v>0</v>
      </c>
      <c r="AV81" s="836">
        <f ca="1">IF(AND(method_reg="Метод индексации",god&lt;&gt;first_year),SUMIFS(INDEX('Калькуляция (МИ корр)'!$AJ$25:$BC$603,,MATCH(AV$8,'Калькуляция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(МИ)'!$AJ$25:$BC$603,,MATCH(AV$8,'Калькуляция (МИ)'!$AJ$8:$BC$8,0)),'Калькуляция (МИ)'!$F$25:$F$603,$F81,'Калькуляция (МИ)'!$G$25:$G$603,$G81))))</f>
        <v>0</v>
      </c>
      <c r="AW81" s="836">
        <f ca="1">IF(AND(method_reg="Метод индексации",god&lt;&gt;first_year),SUMIFS(INDEX('Калькуляция (МИ корр)'!$AJ$25:$BC$603,,MATCH(AW$8,'Калькуляция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(МИ)'!$AJ$25:$BC$603,,MATCH(AW$8,'Калькуляция (МИ)'!$AJ$8:$BC$8,0)),'Калькуляция (МИ)'!$F$25:$F$603,$F81,'Калькуляция (МИ)'!$G$25:$G$603,$G81))))</f>
        <v>0</v>
      </c>
      <c r="AX81" s="715">
        <f ca="1">IF(AV81=0,0,(AW81-AV81)/AV81*100)</f>
        <v>0</v>
      </c>
      <c r="AY81" s="836">
        <f ca="1">IF(AND(method_reg="Метод индексации",god&lt;&gt;first_year),SUMIFS(INDEX('Калькуляция (МИ корр)'!$AJ$25:$BC$603,,MATCH(AY$8,'Калькуляция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(МИ)'!$AJ$25:$BC$603,,MATCH(AY$8,'Калькуляция (МИ)'!$AJ$8:$BC$8,0)),'Калькуляция (МИ)'!$F$25:$F$603,$F81,'Калькуляция (МИ)'!$G$25:$G$603,$G81))))</f>
        <v>0</v>
      </c>
      <c r="AZ81" s="836">
        <f ca="1">IF(AND(method_reg="Метод индексации",god&lt;&gt;first_year),SUMIFS(INDEX('Калькуляция (МИ корр)'!$AJ$25:$BC$603,,MATCH(AZ$8,'Калькуляция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(МИ)'!$AJ$25:$BC$603,,MATCH(AZ$8,'Калькуляция (МИ)'!$AJ$8:$BC$8,0)),'Калькуляция (МИ)'!$F$25:$F$603,$F81,'Калькуляция (МИ)'!$G$25:$G$603,$G81))))</f>
        <v>0</v>
      </c>
      <c r="BA81" s="715">
        <f ca="1">IF(AY81=0,0,(AZ81-AY81)/AY81*100)</f>
        <v>0</v>
      </c>
      <c r="BB81" s="836">
        <f ca="1">IF(AND(method_reg="Метод индексации",god&lt;&gt;first_year),SUMIFS(INDEX('Калькуляция (МИ корр)'!$AJ$25:$BC$603,,MATCH(BB$8,'Калькуляция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(МИ)'!$AJ$25:$BC$603,,MATCH(BB$8,'Калькуляция (МИ)'!$AJ$8:$BC$8,0)),'Калькуляция (МИ)'!$F$25:$F$603,$F81,'Калькуляция (МИ)'!$G$25:$G$603,$G81))))</f>
        <v>0</v>
      </c>
      <c r="BC81" s="836">
        <f ca="1">IF(AND(method_reg="Метод индексации",god&lt;&gt;first_year),SUMIFS(INDEX('Калькуляция (МИ корр)'!$AJ$25:$BC$603,,MATCH(BC$8,'Калькуляция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(МИ)'!$AJ$25:$BC$603,,MATCH(BC$8,'Калькуляция (МИ)'!$AJ$8:$BC$8,0)),'Калькуляция (МИ)'!$F$25:$F$603,$F81,'Калькуляция (МИ)'!$G$25:$G$603,$G81))))</f>
        <v>0</v>
      </c>
      <c r="BD81" s="715">
        <f ca="1">IF(BB81=0,0,(BC81-BB81)/BB81*100)</f>
        <v>0</v>
      </c>
      <c r="BE81" s="836">
        <f ca="1">IF(AND(method_reg="Метод индексации",god&lt;&gt;first_year),SUMIFS(INDEX('Калькуляция (МИ корр)'!$AJ$25:$BC$603,,MATCH(BE$8,'Калькуляция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(МИ)'!$AJ$25:$BC$603,,MATCH(BE$8,'Калькуляция (МИ)'!$AJ$8:$BC$8,0)),'Калькуляция (МИ)'!$F$25:$F$603,$F81,'Калькуляция (МИ)'!$G$25:$G$603,$G81))))</f>
        <v>0</v>
      </c>
      <c r="BF81" s="836">
        <f ca="1">IF(AND(method_reg="Метод индексации",god&lt;&gt;first_year),SUMIFS(INDEX('Калькуляция (МИ корр)'!$AJ$25:$BC$603,,MATCH(BF$8,'Калькуляция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(МИ)'!$AJ$25:$BC$603,,MATCH(BF$8,'Калькуляция (МИ)'!$AJ$8:$BC$8,0)),'Калькуляция (МИ)'!$F$25:$F$603,$F81,'Калькуляция (МИ)'!$G$25:$G$603,$G81))))</f>
        <v>0</v>
      </c>
      <c r="BG81" s="715">
        <f ca="1">IF(BE81=0,0,(BF81-BE81)/BE81*100)</f>
        <v>0</v>
      </c>
      <c r="BH81" s="836"/>
      <c r="BI81" s="836"/>
      <c r="BJ81" s="715">
        <f>IF(BH81=0,0,(BI81-BH81)/BH81*100)</f>
        <v>0</v>
      </c>
      <c r="BK81" s="836"/>
      <c r="BL81" s="836"/>
      <c r="BM81" s="715">
        <f>IF(BK81=0,0,(BL81-BK81)/BK81*100)</f>
        <v>0</v>
      </c>
      <c r="BN81" s="836"/>
      <c r="BO81" s="836"/>
      <c r="BP81" s="715">
        <f>IF(BN81=0,0,(BO81-BN81)/BN81*100)</f>
        <v>0</v>
      </c>
      <c r="BQ81" s="836"/>
      <c r="BR81" s="836"/>
      <c r="BS81" s="715">
        <f>IF(BQ81=0,0,(BR81-BQ81)/BQ81*100)</f>
        <v>0</v>
      </c>
      <c r="BT81" s="836"/>
      <c r="BU81" s="836"/>
      <c r="BV81" s="715">
        <f>IF(BT81=0,0,(BU81-BT81)/BT81*100)</f>
        <v>0</v>
      </c>
      <c r="BW81" s="836"/>
      <c r="BX81" s="836"/>
      <c r="BY81" s="715">
        <f>IF(BW81=0,0,(BX81-BW81)/BW81*100)</f>
        <v>0</v>
      </c>
      <c r="BZ81" s="836"/>
      <c r="CA81" s="836"/>
      <c r="CB81" s="715">
        <f>IF(BZ81=0,0,(CA81-BZ81)/BZ81*100)</f>
        <v>0</v>
      </c>
      <c r="CC81" s="836"/>
      <c r="CD81" s="836"/>
      <c r="CE81" s="715">
        <f>IF(CC81=0,0,(CD81-CC81)/CC81*100)</f>
        <v>0</v>
      </c>
      <c r="CF81" s="836"/>
      <c r="CG81" s="836"/>
      <c r="CH81" s="715">
        <f>IF(CF81=0,0,(CG81-CF81)/CF81*100)</f>
        <v>0</v>
      </c>
      <c r="CI81" s="836"/>
      <c r="CJ81" s="836"/>
      <c r="CK81" s="715">
        <f>IF(CI81=0,0,(CJ81-CI81)/CI81*100)</f>
        <v>0</v>
      </c>
      <c r="CL81" s="836"/>
      <c r="CM81" s="836"/>
      <c r="CN81" s="715">
        <f>IF(CL81=0,0,(CM81-CL81)/CL81*100)</f>
        <v>0</v>
      </c>
      <c r="CO81" s="836"/>
      <c r="CP81" s="836"/>
      <c r="CQ81" s="715">
        <f>IF(CO81=0,0,(CP81-CO81)/CO81*100)</f>
        <v>0</v>
      </c>
      <c r="CR81" s="836"/>
      <c r="CS81" s="836"/>
      <c r="CT81" s="715">
        <f>IF(CR81=0,0,(CS81-CR81)/CR81*100)</f>
        <v>0</v>
      </c>
      <c r="CU81" s="836"/>
      <c r="CV81" s="836"/>
      <c r="CW81" s="715">
        <f>IF(CU81=0,0,(CV81-CU81)/CU81*100)</f>
        <v>0</v>
      </c>
      <c r="CX81" s="836"/>
      <c r="CY81" s="836"/>
      <c r="CZ81" s="715">
        <f>IF(CX81=0,0,(CY81-CX81)/CX81*100)</f>
        <v>0</v>
      </c>
      <c r="DA81" s="836"/>
      <c r="DB81" s="836"/>
      <c r="DC81" s="715">
        <f>IF(DA81=0,0,(DB81-DA81)/DA81*100)</f>
        <v>0</v>
      </c>
      <c r="DD81" s="836"/>
      <c r="DE81" s="836"/>
      <c r="DF81" s="715">
        <f>IF(DD81=0,0,(DE81-DD81)/DD81*100)</f>
        <v>0</v>
      </c>
      <c r="DG81" s="836"/>
      <c r="DH81" s="836"/>
      <c r="DI81" s="715">
        <f>IF(DG81=0,0,(DH81-DG81)/DG81*100)</f>
        <v>0</v>
      </c>
      <c r="DJ81" s="836"/>
      <c r="DK81" s="836"/>
      <c r="DL81" s="715">
        <f>IF(DJ81=0,0,(DK81-DJ81)/DJ81*100)</f>
        <v>0</v>
      </c>
      <c r="DM81" s="836"/>
      <c r="DN81" s="836"/>
      <c r="DO81" s="715">
        <f>IF(DM81=0,0,(DN81-DM81)/DM81*100)</f>
        <v>0</v>
      </c>
      <c r="DP81" s="836"/>
      <c r="DQ81" s="836"/>
      <c r="DR81" s="715">
        <f>IF(DP81=0,0,(DQ81-DP81)/DP81*100)</f>
        <v>0</v>
      </c>
      <c r="DS81" s="836"/>
      <c r="DT81" s="836"/>
      <c r="DU81" s="715">
        <f>IF(DS81=0,0,(DT81-DS81)/DS81*100)</f>
        <v>0</v>
      </c>
      <c r="DV81" s="836"/>
      <c r="DW81" s="836"/>
      <c r="DX81" s="715">
        <f>IF(DV81=0,0,(DW81-DV81)/DV81*100)</f>
        <v>0</v>
      </c>
      <c r="DY81" s="836"/>
      <c r="DZ81" s="836"/>
      <c r="EA81" s="715">
        <f>IF(DY81=0,0,(DZ81-DY81)/DY81*100)</f>
        <v>0</v>
      </c>
      <c r="EB81" s="836"/>
      <c r="EC81" s="836"/>
      <c r="ED81" s="715">
        <f>IF(EB81=0,0,(EC81-EB81)/EB81*100)</f>
        <v>0</v>
      </c>
      <c r="EE81" s="836"/>
      <c r="EF81" s="836"/>
      <c r="EG81" s="715">
        <f>IF(EE81=0,0,(EF81-EE81)/EE81*100)</f>
        <v>0</v>
      </c>
      <c r="EH81" s="836"/>
      <c r="EI81" s="836"/>
      <c r="EJ81" s="715">
        <f>IF(EH81=0,0,(EI81-EH81)/EH81*100)</f>
        <v>0</v>
      </c>
      <c r="EK81" s="836"/>
      <c r="EL81" s="836"/>
      <c r="EM81" s="715">
        <f>IF(EK81=0,0,(EL81-EK81)/EK81*100)</f>
        <v>0</v>
      </c>
      <c r="EN81" s="836"/>
      <c r="EO81" s="836"/>
      <c r="EP81" s="715">
        <f>IF(EN81=0,0,(EO81-EN81)/EN81*100)</f>
        <v>0</v>
      </c>
      <c r="EQ81" s="836"/>
      <c r="ER81" s="836"/>
      <c r="ES81" s="715">
        <f>IF(EQ81=0,0,(ER81-EQ81)/EQ81*100)</f>
        <v>0</v>
      </c>
      <c r="ET81" s="836"/>
      <c r="EU81" s="836"/>
      <c r="EV81" s="715">
        <f>IF(ET81=0,0,(EU81-ET81)/ET81*100)</f>
        <v>0</v>
      </c>
      <c r="EW81" s="836"/>
      <c r="EX81" s="836"/>
      <c r="EY81" s="715">
        <f>IF(EW81=0,0,(EX81-EW81)/EW81*100)</f>
        <v>0</v>
      </c>
      <c r="EZ81" s="836"/>
      <c r="FA81" s="836"/>
      <c r="FB81" s="715">
        <f>IF(EZ81=0,0,(FA81-EZ81)/EZ81*100)</f>
        <v>0</v>
      </c>
      <c r="FC81" s="836"/>
      <c r="FD81" s="836"/>
      <c r="FE81" s="715">
        <f>IF(FC81=0,0,(FD81-FC81)/FC81*100)</f>
        <v>0</v>
      </c>
      <c r="FF81" s="836"/>
      <c r="FG81" s="836"/>
      <c r="FH81" s="715">
        <f>IF(FF81=0,0,(FG81-FF81)/FF81*100)</f>
        <v>0</v>
      </c>
      <c r="FI81" s="836"/>
      <c r="FJ81" s="836"/>
      <c r="FK81" s="715">
        <f>IF(FI81=0,0,(FJ81-FI81)/FI81*100)</f>
        <v>0</v>
      </c>
      <c r="FL81" s="836"/>
      <c r="FM81" s="836"/>
      <c r="FN81" s="715">
        <f>IF(FL81=0,0,(FM81-FL81)/FL81*100)</f>
        <v>0</v>
      </c>
      <c r="FO81" s="836"/>
      <c r="FP81" s="836"/>
      <c r="FQ81" s="715">
        <f>IF(FO81=0,0,(FP81-FO81)/FO81*100)</f>
        <v>0</v>
      </c>
      <c r="FR81" s="836"/>
      <c r="FS81" s="836"/>
      <c r="FT81" s="715">
        <f>IF(FR81=0,0,(FS81-FR81)/FR81*100)</f>
        <v>0</v>
      </c>
      <c r="FU81" s="836"/>
      <c r="FV81" s="836"/>
      <c r="FW81" s="715">
        <f>IF(FU81=0,0,(FV81-FU81)/FU81*100)</f>
        <v>0</v>
      </c>
      <c r="FX81" s="204"/>
      <c r="FZ81" s="691" t="s">
        <v>1725</v>
      </c>
    </row>
    <row r="82" spans="1:186" ht="18.2" hidden="1" customHeight="1" x14ac:dyDescent="0.15">
      <c r="A82" s="59"/>
      <c r="B82" s="613" t="b" cm="1">
        <f t="array" ref="B82">B81</f>
        <v>0</v>
      </c>
      <c r="C82" s="59"/>
      <c r="D82" s="59"/>
      <c r="E82" s="462">
        <v>18.75</v>
      </c>
      <c r="F82" s="3" cm="1">
        <f t="array" aca="1" ref="F82" ca="1">OFFSET(E82,-1,1)</f>
        <v>0</v>
      </c>
      <c r="G82" s="59"/>
      <c r="H82" s="59" t="s">
        <v>482</v>
      </c>
      <c r="I82" s="59" cm="1">
        <f t="array" ref="I82">AB82</f>
        <v>0</v>
      </c>
      <c r="J82" s="59"/>
      <c r="K82" s="59"/>
      <c r="L82" s="59"/>
      <c r="M82" s="59"/>
      <c r="N82" s="59"/>
      <c r="O82" s="59"/>
      <c r="P82" s="59"/>
      <c r="Q82" s="59"/>
      <c r="R82" s="59"/>
      <c r="S82" s="59"/>
      <c r="T82" s="353" t="b">
        <f ca="1">AND(F82&gt;0,Y82&gt;0)</f>
        <v>0</v>
      </c>
      <c r="U82" s="59"/>
      <c r="V82" s="59"/>
      <c r="W82" s="59" t="s">
        <v>172</v>
      </c>
      <c r="X82" s="1022"/>
      <c r="Y82" s="59">
        <v>0</v>
      </c>
      <c r="Z82" s="966"/>
      <c r="AA82" s="482" t="s">
        <v>173</v>
      </c>
      <c r="AB82" s="851"/>
      <c r="AC82" s="12" t="s">
        <v>1644</v>
      </c>
      <c r="AD82" s="820"/>
      <c r="AE82" s="864"/>
      <c r="AF82" s="714">
        <f>IF(AD82=0,0,(AE82-AD82)/AD82*100)</f>
        <v>0</v>
      </c>
      <c r="AG82" s="864"/>
      <c r="AH82" s="864"/>
      <c r="AI82" s="714">
        <f>IF(AG82=0,0,(AH82-AG82)/AG82*100)</f>
        <v>0</v>
      </c>
      <c r="AJ82" s="864"/>
      <c r="AK82" s="864"/>
      <c r="AL82" s="714">
        <f>IF(AJ82=0,0,(AK82-AJ82)/AJ82*100)</f>
        <v>0</v>
      </c>
      <c r="AM82" s="864"/>
      <c r="AN82" s="864"/>
      <c r="AO82" s="714">
        <f>IF(AM82=0,0,(AN82-AM82)/AM82*100)</f>
        <v>0</v>
      </c>
      <c r="AP82" s="864"/>
      <c r="AQ82" s="864"/>
      <c r="AR82" s="714">
        <f>IF(AP82=0,0,(AQ82-AP82)/AP82*100)</f>
        <v>0</v>
      </c>
      <c r="AS82" s="864"/>
      <c r="AT82" s="864"/>
      <c r="AU82" s="714">
        <f>IF(AS82=0,0,(AT82-AS82)/AS82*100)</f>
        <v>0</v>
      </c>
      <c r="AV82" s="864"/>
      <c r="AW82" s="864"/>
      <c r="AX82" s="714">
        <f>IF(AV82=0,0,(AW82-AV82)/AV82*100)</f>
        <v>0</v>
      </c>
      <c r="AY82" s="864"/>
      <c r="AZ82" s="864"/>
      <c r="BA82" s="714">
        <f>IF(AY82=0,0,(AZ82-AY82)/AY82*100)</f>
        <v>0</v>
      </c>
      <c r="BB82" s="864"/>
      <c r="BC82" s="864"/>
      <c r="BD82" s="714">
        <f>IF(BB82=0,0,(BC82-BB82)/BB82*100)</f>
        <v>0</v>
      </c>
      <c r="BE82" s="864"/>
      <c r="BF82" s="864"/>
      <c r="BG82" s="714">
        <f>IF(BE82=0,0,(BF82-BE82)/BE82*100)</f>
        <v>0</v>
      </c>
      <c r="BH82" s="864"/>
      <c r="BI82" s="864"/>
      <c r="BJ82" s="714">
        <f>IF(BH82=0,0,(BI82-BH82)/BH82*100)</f>
        <v>0</v>
      </c>
      <c r="BK82" s="864"/>
      <c r="BL82" s="864"/>
      <c r="BM82" s="714">
        <f>IF(BK82=0,0,(BL82-BK82)/BK82*100)</f>
        <v>0</v>
      </c>
      <c r="BN82" s="864"/>
      <c r="BO82" s="864"/>
      <c r="BP82" s="714">
        <f>IF(BN82=0,0,(BO82-BN82)/BN82*100)</f>
        <v>0</v>
      </c>
      <c r="BQ82" s="864"/>
      <c r="BR82" s="864"/>
      <c r="BS82" s="714">
        <f>IF(BQ82=0,0,(BR82-BQ82)/BQ82*100)</f>
        <v>0</v>
      </c>
      <c r="BT82" s="864"/>
      <c r="BU82" s="864"/>
      <c r="BV82" s="714">
        <f>IF(BT82=0,0,(BU82-BT82)/BT82*100)</f>
        <v>0</v>
      </c>
      <c r="BW82" s="864"/>
      <c r="BX82" s="864"/>
      <c r="BY82" s="714">
        <f>IF(BW82=0,0,(BX82-BW82)/BW82*100)</f>
        <v>0</v>
      </c>
      <c r="BZ82" s="864"/>
      <c r="CA82" s="864"/>
      <c r="CB82" s="714">
        <f>IF(BZ82=0,0,(CA82-BZ82)/BZ82*100)</f>
        <v>0</v>
      </c>
      <c r="CC82" s="864"/>
      <c r="CD82" s="864"/>
      <c r="CE82" s="714">
        <f>IF(CC82=0,0,(CD82-CC82)/CC82*100)</f>
        <v>0</v>
      </c>
      <c r="CF82" s="864"/>
      <c r="CG82" s="864"/>
      <c r="CH82" s="714">
        <f>IF(CF82=0,0,(CG82-CF82)/CF82*100)</f>
        <v>0</v>
      </c>
      <c r="CI82" s="864"/>
      <c r="CJ82" s="864"/>
      <c r="CK82" s="714">
        <f>IF(CI82=0,0,(CJ82-CI82)/CI82*100)</f>
        <v>0</v>
      </c>
      <c r="CL82" s="864"/>
      <c r="CM82" s="864"/>
      <c r="CN82" s="714">
        <f>IF(CL82=0,0,(CM82-CL82)/CL82*100)</f>
        <v>0</v>
      </c>
      <c r="CO82" s="864"/>
      <c r="CP82" s="864"/>
      <c r="CQ82" s="714">
        <f>IF(CO82=0,0,(CP82-CO82)/CO82*100)</f>
        <v>0</v>
      </c>
      <c r="CR82" s="864"/>
      <c r="CS82" s="864"/>
      <c r="CT82" s="714">
        <f>IF(CR82=0,0,(CS82-CR82)/CR82*100)</f>
        <v>0</v>
      </c>
      <c r="CU82" s="864"/>
      <c r="CV82" s="864"/>
      <c r="CW82" s="714">
        <f>IF(CU82=0,0,(CV82-CU82)/CU82*100)</f>
        <v>0</v>
      </c>
      <c r="CX82" s="864"/>
      <c r="CY82" s="864"/>
      <c r="CZ82" s="714">
        <f>IF(CX82=0,0,(CY82-CX82)/CX82*100)</f>
        <v>0</v>
      </c>
      <c r="DA82" s="864"/>
      <c r="DB82" s="864"/>
      <c r="DC82" s="714">
        <f>IF(DA82=0,0,(DB82-DA82)/DA82*100)</f>
        <v>0</v>
      </c>
      <c r="DD82" s="864"/>
      <c r="DE82" s="864"/>
      <c r="DF82" s="714">
        <f>IF(DD82=0,0,(DE82-DD82)/DD82*100)</f>
        <v>0</v>
      </c>
      <c r="DG82" s="864"/>
      <c r="DH82" s="864"/>
      <c r="DI82" s="714">
        <f>IF(DG82=0,0,(DH82-DG82)/DG82*100)</f>
        <v>0</v>
      </c>
      <c r="DJ82" s="864"/>
      <c r="DK82" s="864"/>
      <c r="DL82" s="714">
        <f>IF(DJ82=0,0,(DK82-DJ82)/DJ82*100)</f>
        <v>0</v>
      </c>
      <c r="DM82" s="864"/>
      <c r="DN82" s="864"/>
      <c r="DO82" s="714">
        <f>IF(DM82=0,0,(DN82-DM82)/DM82*100)</f>
        <v>0</v>
      </c>
      <c r="DP82" s="864"/>
      <c r="DQ82" s="864"/>
      <c r="DR82" s="714">
        <f>IF(DP82=0,0,(DQ82-DP82)/DP82*100)</f>
        <v>0</v>
      </c>
      <c r="DS82" s="864"/>
      <c r="DT82" s="864"/>
      <c r="DU82" s="714">
        <f>IF(DS82=0,0,(DT82-DS82)/DS82*100)</f>
        <v>0</v>
      </c>
      <c r="DV82" s="864"/>
      <c r="DW82" s="864"/>
      <c r="DX82" s="714">
        <f>IF(DV82=0,0,(DW82-DV82)/DV82*100)</f>
        <v>0</v>
      </c>
      <c r="DY82" s="864"/>
      <c r="DZ82" s="864"/>
      <c r="EA82" s="714">
        <f>IF(DY82=0,0,(DZ82-DY82)/DY82*100)</f>
        <v>0</v>
      </c>
      <c r="EB82" s="864"/>
      <c r="EC82" s="864"/>
      <c r="ED82" s="714">
        <f>IF(EB82=0,0,(EC82-EB82)/EB82*100)</f>
        <v>0</v>
      </c>
      <c r="EE82" s="864"/>
      <c r="EF82" s="864"/>
      <c r="EG82" s="714">
        <f>IF(EE82=0,0,(EF82-EE82)/EE82*100)</f>
        <v>0</v>
      </c>
      <c r="EH82" s="864"/>
      <c r="EI82" s="864"/>
      <c r="EJ82" s="714">
        <f>IF(EH82=0,0,(EI82-EH82)/EH82*100)</f>
        <v>0</v>
      </c>
      <c r="EK82" s="864"/>
      <c r="EL82" s="864"/>
      <c r="EM82" s="714">
        <f>IF(EK82=0,0,(EL82-EK82)/EK82*100)</f>
        <v>0</v>
      </c>
      <c r="EN82" s="864"/>
      <c r="EO82" s="864"/>
      <c r="EP82" s="714">
        <f>IF(EN82=0,0,(EO82-EN82)/EN82*100)</f>
        <v>0</v>
      </c>
      <c r="EQ82" s="864"/>
      <c r="ER82" s="864"/>
      <c r="ES82" s="714">
        <f>IF(EQ82=0,0,(ER82-EQ82)/EQ82*100)</f>
        <v>0</v>
      </c>
      <c r="ET82" s="864"/>
      <c r="EU82" s="864"/>
      <c r="EV82" s="714">
        <f>IF(ET82=0,0,(EU82-ET82)/ET82*100)</f>
        <v>0</v>
      </c>
      <c r="EW82" s="864"/>
      <c r="EX82" s="864"/>
      <c r="EY82" s="714">
        <f>IF(EW82=0,0,(EX82-EW82)/EW82*100)</f>
        <v>0</v>
      </c>
      <c r="EZ82" s="864"/>
      <c r="FA82" s="864"/>
      <c r="FB82" s="714">
        <f>IF(EZ82=0,0,(FA82-EZ82)/EZ82*100)</f>
        <v>0</v>
      </c>
      <c r="FC82" s="864"/>
      <c r="FD82" s="864"/>
      <c r="FE82" s="714">
        <f>IF(FC82=0,0,(FD82-FC82)/FC82*100)</f>
        <v>0</v>
      </c>
      <c r="FF82" s="864"/>
      <c r="FG82" s="864"/>
      <c r="FH82" s="714">
        <f>IF(FF82=0,0,(FG82-FF82)/FF82*100)</f>
        <v>0</v>
      </c>
      <c r="FI82" s="864"/>
      <c r="FJ82" s="864"/>
      <c r="FK82" s="714">
        <f>IF(FI82=0,0,(FJ82-FI82)/FI82*100)</f>
        <v>0</v>
      </c>
      <c r="FL82" s="864"/>
      <c r="FM82" s="864"/>
      <c r="FN82" s="714">
        <f>IF(FL82=0,0,(FM82-FL82)/FL82*100)</f>
        <v>0</v>
      </c>
      <c r="FO82" s="864"/>
      <c r="FP82" s="864"/>
      <c r="FQ82" s="714">
        <f>IF(FO82=0,0,(FP82-FO82)/FO82*100)</f>
        <v>0</v>
      </c>
      <c r="FR82" s="864"/>
      <c r="FS82" s="864"/>
      <c r="FT82" s="714">
        <f>IF(FR82=0,0,(FS82-FR82)/FR82*100)</f>
        <v>0</v>
      </c>
      <c r="FU82" s="864"/>
      <c r="FV82" s="864"/>
      <c r="FW82" s="714">
        <f>IF(FU82=0,0,(FV82-FU82)/FU82*100)</f>
        <v>0</v>
      </c>
      <c r="FX82" s="204"/>
      <c r="FZ82" s="691" t="s">
        <v>1726</v>
      </c>
      <c r="GA82" s="671" t="s">
        <v>1727</v>
      </c>
      <c r="GB82" s="671" cm="1">
        <f t="array" ref="GB82">AB82</f>
        <v>0</v>
      </c>
      <c r="GD82" s="461" t="b">
        <v>1</v>
      </c>
    </row>
    <row r="83" spans="1:186" ht="14.65" hidden="1" customHeight="1" x14ac:dyDescent="0.15">
      <c r="B83" s="613" t="b" cm="1">
        <f t="array" ref="B83">B82</f>
        <v>0</v>
      </c>
      <c r="D83" s="59"/>
      <c r="E83" s="462">
        <v>15</v>
      </c>
      <c r="F83" s="3" cm="1">
        <f t="array" aca="1" ref="F83" ca="1">OFFSET(E83,-1,1)</f>
        <v>0</v>
      </c>
      <c r="G83" s="59"/>
      <c r="I83" s="17" t="s">
        <v>1728</v>
      </c>
      <c r="T83" s="353" t="b">
        <f ca="1">F83&gt;0</f>
        <v>0</v>
      </c>
      <c r="W83" s="517" t="s">
        <v>1674</v>
      </c>
      <c r="X83" s="1022"/>
      <c r="Z83" s="966"/>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1" t="s">
        <v>1727</v>
      </c>
    </row>
    <row r="84" spans="1:186" ht="11.25" hidden="1" customHeight="1" x14ac:dyDescent="0.15">
      <c r="B84" s="598"/>
      <c r="D84" s="59"/>
      <c r="E84" s="462">
        <v>11.5</v>
      </c>
      <c r="G84" s="59"/>
      <c r="T84" s="353" t="b" cm="1">
        <f t="array" aca="1" ref="T84" ca="1">T83</f>
        <v>0</v>
      </c>
      <c r="W84" s="517"/>
      <c r="X84" s="1022"/>
      <c r="Z84" s="966"/>
      <c r="FZ84" s="661"/>
      <c r="GA84" s="661"/>
      <c r="GB84" s="655"/>
      <c r="GC84" s="454"/>
      <c r="GD84" s="454"/>
    </row>
    <row r="85" spans="1:186" ht="25.35" customHeight="1" x14ac:dyDescent="0.15">
      <c r="A85" s="59"/>
      <c r="C85" s="59"/>
      <c r="D85" s="59"/>
      <c r="E85" s="462">
        <v>15</v>
      </c>
      <c r="F85" s="372" t="str" cm="1">
        <f t="array" ref="F85">X85</f>
        <v>1</v>
      </c>
      <c r="G85" s="59" t="str" cm="1">
        <f t="array" ref="G85">INDEX('Общие сведения'!$AK$179:$AK$236,MATCH($X85,'Общие сведения'!$Z$179:$Z$236,0))</f>
        <v>одноставочный</v>
      </c>
      <c r="H85" s="59"/>
      <c r="I85" s="59"/>
      <c r="J85" s="59"/>
      <c r="K85" s="59"/>
      <c r="L85" s="59"/>
      <c r="M85" s="59"/>
      <c r="N85" s="59"/>
      <c r="O85" s="59"/>
      <c r="P85" s="59"/>
      <c r="Q85" s="59" t="str" cm="1">
        <f t="array" ref="Q85">INDEX('Общие сведения'!$AE$179:$AE$236,MATCH($X85,'Общие сведения'!$Z$179:$Z$236,0))</f>
        <v>Водоснабжение</v>
      </c>
      <c r="R85" s="365" t="str" cm="1">
        <f t="array" ref="R85">INDEX('Общие сведения'!$AK$179:$AK$236,MATCH($X85,'Общие сведения'!$Z$179:$Z$236,0))</f>
        <v>одноставочный</v>
      </c>
      <c r="S85" s="59" t="b" cm="1">
        <f t="array" ref="S85">INDEX('Общие сведения'!$AN$179:$AN$236,MATCH($X85,'Общие сведения'!$Z$179:$Z$236,0))</f>
        <v>0</v>
      </c>
      <c r="T85" s="353" t="b">
        <f>X85&gt;0</f>
        <v>1</v>
      </c>
      <c r="U85" s="59"/>
      <c r="V85" s="59" t="str" cm="1">
        <f t="array" ref="V85">'Корректировка НВВ'!$AB$78</f>
        <v>Тариф 1 (Водоснабжение) - тариф на техническую воду</v>
      </c>
      <c r="W85" s="59"/>
      <c r="X85" s="1022" t="s">
        <v>275</v>
      </c>
      <c r="Y85" s="59"/>
      <c r="Z85" s="966"/>
      <c r="AA85" s="59"/>
      <c r="AB85" s="1070" t="s">
        <v>21</v>
      </c>
      <c r="AC85" s="1071"/>
      <c r="AD85" s="591" t="str" cm="1">
        <f t="array" ref="AD85">'Корректировка НВВ'!$AB$78</f>
        <v>Тариф 1 (Водоснабжение) - тариф на техническую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4.25" customHeight="1" x14ac:dyDescent="0.15">
      <c r="A86" s="59"/>
      <c r="C86" s="59"/>
      <c r="D86" s="59"/>
      <c r="E86" s="462">
        <v>15</v>
      </c>
      <c r="F86" s="3" t="str" cm="1">
        <f t="array" aca="1" ref="F86" ca="1">OFFSET(E86,-1,1)</f>
        <v>1</v>
      </c>
      <c r="G86" s="59"/>
      <c r="H86" s="59"/>
      <c r="I86" s="59"/>
      <c r="J86" s="59"/>
      <c r="K86" s="59"/>
      <c r="L86" s="59"/>
      <c r="M86" s="59"/>
      <c r="N86" s="59"/>
      <c r="O86" s="59"/>
      <c r="P86" s="59"/>
      <c r="Q86" s="59"/>
      <c r="R86" s="365"/>
      <c r="S86" s="365"/>
      <c r="T86" s="353" t="b" cm="1">
        <f t="array" ref="T86">T85</f>
        <v>1</v>
      </c>
      <c r="U86" s="59"/>
      <c r="V86" s="59"/>
      <c r="W86" s="59"/>
      <c r="X86" s="1022"/>
      <c r="Y86" s="59"/>
      <c r="Z86" s="966"/>
      <c r="AA86" s="59"/>
      <c r="AB86" s="922" t="str">
        <f>"Вид "&amp;IF(ISERROR(SEARCH("Водоснабжение",AD85)),"сточных вод","воды")</f>
        <v>Вид воды</v>
      </c>
      <c r="AC86" s="924"/>
      <c r="AD86" s="591" t="str" cm="1">
        <f t="array" ref="AD86">INDEX('Общие сведения'!$AH$179:$AH$236,MATCH($X85,'Общие сведения'!$Z$179:$Z$236,0))</f>
        <v>техническая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4.25" customHeight="1" x14ac:dyDescent="0.15">
      <c r="A87" s="59"/>
      <c r="C87" s="59"/>
      <c r="D87" s="59"/>
      <c r="E87" s="462">
        <v>15</v>
      </c>
      <c r="F87" s="3" t="str" cm="1">
        <f t="array" aca="1" ref="F87" ca="1">OFFSET(E87,-1,1)</f>
        <v>1</v>
      </c>
      <c r="G87" s="59"/>
      <c r="H87" s="59"/>
      <c r="I87" s="59"/>
      <c r="J87" s="59"/>
      <c r="K87" s="59"/>
      <c r="L87" s="59"/>
      <c r="M87" s="59"/>
      <c r="N87" s="59"/>
      <c r="O87" s="59"/>
      <c r="P87" s="59"/>
      <c r="Q87" s="59"/>
      <c r="R87" s="365"/>
      <c r="S87" s="365"/>
      <c r="T87" s="353" t="b" cm="1">
        <f t="array" ref="T87">T86</f>
        <v>1</v>
      </c>
      <c r="U87" s="59"/>
      <c r="V87" s="59"/>
      <c r="W87" s="59"/>
      <c r="X87" s="1022"/>
      <c r="Y87" s="59"/>
      <c r="Z87" s="966"/>
      <c r="AA87" s="59"/>
      <c r="AB87" s="922" t="s">
        <v>1638</v>
      </c>
      <c r="AC87" s="924"/>
      <c r="AD87" s="591" t="str" cm="1">
        <f t="array" ref="AD87">INDEX('Общие сведения'!$AI$179:$AI$236,MATCH($X85,'Общие сведения'!$Z$179:$Z$236,0))</f>
        <v>тариф на техническую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x14ac:dyDescent="0.15">
      <c r="A88" s="59"/>
      <c r="C88" s="59"/>
      <c r="D88" s="59"/>
      <c r="E88" s="462">
        <v>15</v>
      </c>
      <c r="F88" s="3" t="str" cm="1">
        <f t="array" aca="1" ref="F88" ca="1">OFFSET(E88,-1,1)</f>
        <v>1</v>
      </c>
      <c r="G88" s="59"/>
      <c r="H88" s="59"/>
      <c r="I88" s="59"/>
      <c r="J88" s="59"/>
      <c r="K88" s="59"/>
      <c r="L88" s="59"/>
      <c r="M88" s="59"/>
      <c r="N88" s="59"/>
      <c r="O88" s="59"/>
      <c r="P88" s="59"/>
      <c r="Q88" s="59"/>
      <c r="R88" s="59"/>
      <c r="S88" s="365"/>
      <c r="T88" s="353" t="b" cm="1">
        <f t="array" ref="T88">T87</f>
        <v>1</v>
      </c>
      <c r="U88" s="59"/>
      <c r="V88" s="59"/>
      <c r="W88" s="59"/>
      <c r="X88" s="1022"/>
      <c r="Y88" s="59"/>
      <c r="Z88" s="966"/>
      <c r="AA88" s="59"/>
      <c r="AB88" s="922" t="s">
        <v>1639</v>
      </c>
      <c r="AC88" s="924"/>
      <c r="AD88" s="591" cm="1">
        <f t="array" ref="AD88">INDEX('Общие сведения'!$AJ$179:$AJ$236,MATCH($X85,'Общие сведения'!$Z$179:$Z$236,0))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9.7" customHeight="1" x14ac:dyDescent="0.15">
      <c r="A89" s="59"/>
      <c r="B89" s="613" t="b">
        <f>AND(R85="одноставочный",NOT(S85))</f>
        <v>1</v>
      </c>
      <c r="C89" s="59"/>
      <c r="D89" s="59"/>
      <c r="E89" s="462">
        <v>15</v>
      </c>
      <c r="F89" s="3" t="str" cm="1">
        <f t="array" aca="1" ref="F89" ca="1">OFFSET(E89,-1,1)</f>
        <v>1</v>
      </c>
      <c r="G89" s="59"/>
      <c r="H89" s="59"/>
      <c r="I89" s="59"/>
      <c r="J89" s="59"/>
      <c r="K89" s="59"/>
      <c r="L89" s="59"/>
      <c r="M89" s="59"/>
      <c r="N89" s="59"/>
      <c r="O89" s="59"/>
      <c r="P89" s="59"/>
      <c r="Q89" s="59"/>
      <c r="R89" s="59"/>
      <c r="S89" s="59"/>
      <c r="T89" s="353" t="b" cm="1">
        <f t="array" ref="T89">T88</f>
        <v>1</v>
      </c>
      <c r="U89" s="59"/>
      <c r="V89" s="59"/>
      <c r="W89" s="59"/>
      <c r="X89" s="1022"/>
      <c r="Y89" s="59"/>
      <c r="Z89" s="966"/>
      <c r="AA89" s="59"/>
      <c r="AB89" s="592" t="s">
        <v>1640</v>
      </c>
      <c r="AC89" s="593"/>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66" customFormat="1" ht="27.2" customHeight="1" x14ac:dyDescent="0.15">
      <c r="A90" s="594"/>
      <c r="B90" s="613" t="b" cm="1">
        <f t="array" ref="B90">B89</f>
        <v>1</v>
      </c>
      <c r="C90" s="594"/>
      <c r="D90" s="594"/>
      <c r="E90" s="595">
        <v>24.5</v>
      </c>
      <c r="F90" s="3" t="str" cm="1">
        <f t="array" aca="1" ref="F90" ca="1">OFFSET(E90,-1,1)</f>
        <v>1</v>
      </c>
      <c r="G90" s="59" t="s">
        <v>1641</v>
      </c>
      <c r="H90" s="59" t="s">
        <v>482</v>
      </c>
      <c r="I90" s="59" t="s">
        <v>1642</v>
      </c>
      <c r="J90" s="594"/>
      <c r="K90" s="594"/>
      <c r="L90" s="59"/>
      <c r="M90" s="594"/>
      <c r="N90" s="594"/>
      <c r="O90" s="594"/>
      <c r="P90" s="594"/>
      <c r="Q90" s="594"/>
      <c r="R90" s="594"/>
      <c r="S90" s="59"/>
      <c r="T90" s="353" t="b" cm="1">
        <f t="array" ref="T90">T89</f>
        <v>1</v>
      </c>
      <c r="U90" s="594"/>
      <c r="V90" s="594"/>
      <c r="W90" s="594"/>
      <c r="X90" s="1022"/>
      <c r="Y90" s="594"/>
      <c r="Z90" s="966"/>
      <c r="AA90" s="594"/>
      <c r="AB90" s="205" t="s">
        <v>1643</v>
      </c>
      <c r="AC90" s="206" t="s">
        <v>1644</v>
      </c>
      <c r="AD90" s="596">
        <f ca="1">IF(AND(method_reg="Метод индексации",god&lt;&gt;first_year),SUMIFS(INDEX('Калькуляция (МИ корр)'!$AJ$25:$BC$603,,MATCH(AD$8,'Калькуляция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(МИ)'!$AJ$25:$BC$603,,MATCH(AD$8,'Калькуляция (МИ)'!$AJ$8:$BC$8,0)),'Калькуляция (МИ)'!$F$25:$F$603,$F90,'Калькуляция (МИ)'!$G$25:$G$603,$G90))))</f>
        <v>5.9193670646000003</v>
      </c>
      <c r="AE90" s="596">
        <f ca="1">IF(AND(method_reg="Метод индексации",god&lt;&gt;first_year),SUMIFS(INDEX('Калькуляция (МИ корр)'!$AJ$25:$BC$603,,MATCH(AE$8,'Калькуляция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(МИ)'!$AJ$25:$BC$603,,MATCH(AE$8,'Калькуляция (МИ)'!$AJ$8:$BC$8,0)),'Калькуляция (МИ)'!$F$25:$F$603,$F90,'Калькуляция (МИ)'!$G$25:$G$603,$G90))))</f>
        <v>3.77</v>
      </c>
      <c r="AF90" s="208">
        <f ca="1">IF(AD90=0,0,(AE90-AD90)/AD90*100)</f>
        <v>-36.310758247347231</v>
      </c>
      <c r="AG90" s="861">
        <f ca="1">IF(AND(method_reg="Метод индексации",god&lt;&gt;first_year),SUMIFS(INDEX('Калькуляция (МИ корр)'!$AJ$25:$BC$603,,MATCH(AG$8,'Калькуляция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(МИ)'!$AJ$25:$BC$603,,MATCH(AG$8,'Калькуляция (МИ)'!$AJ$8:$BC$8,0)),'Калькуляция (МИ)'!$F$25:$F$603,$F90,'Калькуляция (МИ)'!$G$25:$G$603,$G90))))</f>
        <v>0</v>
      </c>
      <c r="AH90" s="861">
        <f ca="1">IF(AND(method_reg="Метод индексации",god&lt;&gt;first_year),SUMIFS(INDEX('Калькуляция (МИ корр)'!$AJ$25:$BC$603,,MATCH(AH$8,'Калькуляция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(МИ)'!$AJ$25:$BC$603,,MATCH(AH$8,'Калькуляция (МИ)'!$AJ$8:$BC$8,0)),'Калькуляция (МИ)'!$F$25:$F$603,$F90,'Калькуляция (МИ)'!$G$25:$G$603,$G90))))</f>
        <v>4.3659999999999997</v>
      </c>
      <c r="AI90" s="208">
        <f ca="1">IF(AG90=0,0,(AH90-AG90)/AG90*100)</f>
        <v>0</v>
      </c>
      <c r="AJ90" s="861">
        <f ca="1">IF(AND(method_reg="Метод индексации",god&lt;&gt;first_year),SUMIFS(INDEX('Калькуляция (МИ корр)'!$AJ$25:$BC$603,,MATCH(AJ$8,'Калькуляция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(МИ)'!$AJ$25:$BC$603,,MATCH(AJ$8,'Калькуляция (МИ)'!$AJ$8:$BC$8,0)),'Калькуляция (МИ)'!$F$25:$F$603,$F90,'Калькуляция (МИ)'!$G$25:$G$603,$G90))))</f>
        <v>0</v>
      </c>
      <c r="AK90" s="861">
        <f ca="1">IF(AND(method_reg="Метод индексации",god&lt;&gt;first_year),SUMIFS(INDEX('Калькуляция (МИ корр)'!$AJ$25:$BC$603,,MATCH(AK$8,'Калькуляция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(МИ)'!$AJ$25:$BC$603,,MATCH(AK$8,'Калькуляция (МИ)'!$AJ$8:$BC$8,0)),'Калькуляция (МИ)'!$F$25:$F$603,$F90,'Калькуляция (МИ)'!$G$25:$G$603,$G90))))</f>
        <v>0</v>
      </c>
      <c r="AL90" s="208">
        <f ca="1">IF(AJ90=0,0,(AK90-AJ90)/AJ90*100)</f>
        <v>0</v>
      </c>
      <c r="AM90" s="596">
        <f ca="1">IF(AND(method_reg="Метод индексации",god&lt;&gt;first_year),SUMIFS(INDEX('Калькуляция (МИ корр)'!$AJ$25:$BC$603,,MATCH(AM$8,'Калькуляция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(МИ)'!$AJ$25:$BC$603,,MATCH(AM$8,'Калькуляция (МИ)'!$AJ$8:$BC$8,0)),'Калькуляция (МИ)'!$F$25:$F$603,$F90,'Калькуляция (МИ)'!$G$25:$G$603,$G90))))</f>
        <v>0</v>
      </c>
      <c r="AN90" s="596">
        <f ca="1">IF(AND(method_reg="Метод индексации",god&lt;&gt;first_year),SUMIFS(INDEX('Калькуляция (МИ корр)'!$AJ$25:$BC$603,,MATCH(AN$8,'Калькуляция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(МИ)'!$AJ$25:$BC$603,,MATCH(AN$8,'Калькуляция (МИ)'!$AJ$8:$BC$8,0)),'Калькуляция (МИ)'!$F$25:$F$603,$F90,'Калькуляция (МИ)'!$G$25:$G$603,$G90))))</f>
        <v>0</v>
      </c>
      <c r="AO90" s="208">
        <f ca="1">IF(AM90=0,0,(AN90-AM90)/AM90*100)</f>
        <v>0</v>
      </c>
      <c r="AP90" s="596">
        <f ca="1">IF(AND(method_reg="Метод индексации",god&lt;&gt;first_year),SUMIFS(INDEX('Калькуляция (МИ корр)'!$AJ$25:$BC$603,,MATCH(AP$8,'Калькуляция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(МИ)'!$AJ$25:$BC$603,,MATCH(AP$8,'Калькуляция (МИ)'!$AJ$8:$BC$8,0)),'Калькуляция (МИ)'!$F$25:$F$603,$F90,'Калькуляция (МИ)'!$G$25:$G$603,$G90))))</f>
        <v>0</v>
      </c>
      <c r="AQ90" s="596">
        <f ca="1">IF(AND(method_reg="Метод индексации",god&lt;&gt;first_year),SUMIFS(INDEX('Калькуляция (МИ корр)'!$AJ$25:$BC$603,,MATCH(AQ$8,'Калькуляция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(МИ)'!$AJ$25:$BC$603,,MATCH(AQ$8,'Калькуляция (МИ)'!$AJ$8:$BC$8,0)),'Калькуляция (МИ)'!$F$25:$F$603,$F90,'Калькуляция (МИ)'!$G$25:$G$603,$G90))))</f>
        <v>0</v>
      </c>
      <c r="AR90" s="208">
        <f ca="1">IF(AP90=0,0,(AQ90-AP90)/AP90*100)</f>
        <v>0</v>
      </c>
      <c r="AS90" s="596">
        <f ca="1">IF(AND(method_reg="Метод индексации",god&lt;&gt;first_year),SUMIFS(INDEX('Калькуляция (МИ корр)'!$AJ$25:$BC$603,,MATCH(AS$8,'Калькуляция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(МИ)'!$AJ$25:$BC$603,,MATCH(AS$8,'Калькуляция (МИ)'!$AJ$8:$BC$8,0)),'Калькуляция (МИ)'!$F$25:$F$603,$F90,'Калькуляция (МИ)'!$G$25:$G$603,$G90))))</f>
        <v>0</v>
      </c>
      <c r="AT90" s="596">
        <f ca="1">IF(AND(method_reg="Метод индексации",god&lt;&gt;first_year),SUMIFS(INDEX('Калькуляция (МИ корр)'!$AJ$25:$BC$603,,MATCH(AT$8,'Калькуляция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(МИ)'!$AJ$25:$BC$603,,MATCH(AT$8,'Калькуляция (МИ)'!$AJ$8:$BC$8,0)),'Калькуляция (МИ)'!$F$25:$F$603,$F90,'Калькуляция (МИ)'!$G$25:$G$603,$G90))))</f>
        <v>0</v>
      </c>
      <c r="AU90" s="208">
        <f ca="1">IF(AS90=0,0,(AT90-AS90)/AS90*100)</f>
        <v>0</v>
      </c>
      <c r="AV90" s="596">
        <f ca="1">IF(AND(method_reg="Метод индексации",god&lt;&gt;first_year),SUMIFS(INDEX('Калькуляция (МИ корр)'!$AJ$25:$BC$603,,MATCH(AV$8,'Калькуляция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(МИ)'!$AJ$25:$BC$603,,MATCH(AV$8,'Калькуляция (МИ)'!$AJ$8:$BC$8,0)),'Калькуляция (МИ)'!$F$25:$F$603,$F90,'Калькуляция (МИ)'!$G$25:$G$603,$G90))))</f>
        <v>0</v>
      </c>
      <c r="AW90" s="596">
        <f ca="1">IF(AND(method_reg="Метод индексации",god&lt;&gt;first_year),SUMIFS(INDEX('Калькуляция (МИ корр)'!$AJ$25:$BC$603,,MATCH(AW$8,'Калькуляция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(МИ)'!$AJ$25:$BC$603,,MATCH(AW$8,'Калькуляция (МИ)'!$AJ$8:$BC$8,0)),'Калькуляция (МИ)'!$F$25:$F$603,$F90,'Калькуляция (МИ)'!$G$25:$G$603,$G90))))</f>
        <v>0</v>
      </c>
      <c r="AX90" s="208">
        <f ca="1">IF(AV90=0,0,(AW90-AV90)/AV90*100)</f>
        <v>0</v>
      </c>
      <c r="AY90" s="596">
        <f ca="1">IF(AND(method_reg="Метод индексации",god&lt;&gt;first_year),SUMIFS(INDEX('Калькуляция (МИ корр)'!$AJ$25:$BC$603,,MATCH(AY$8,'Калькуляция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(МИ)'!$AJ$25:$BC$603,,MATCH(AY$8,'Калькуляция (МИ)'!$AJ$8:$BC$8,0)),'Калькуляция (МИ)'!$F$25:$F$603,$F90,'Калькуляция (МИ)'!$G$25:$G$603,$G90))))</f>
        <v>0</v>
      </c>
      <c r="AZ90" s="596">
        <f ca="1">IF(AND(method_reg="Метод индексации",god&lt;&gt;first_year),SUMIFS(INDEX('Калькуляция (МИ корр)'!$AJ$25:$BC$603,,MATCH(AZ$8,'Калькуляция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(МИ)'!$AJ$25:$BC$603,,MATCH(AZ$8,'Калькуляция (МИ)'!$AJ$8:$BC$8,0)),'Калькуляция (МИ)'!$F$25:$F$603,$F90,'Калькуляция (МИ)'!$G$25:$G$603,$G90))))</f>
        <v>0</v>
      </c>
      <c r="BA90" s="208">
        <f ca="1">IF(AY90=0,0,(AZ90-AY90)/AY90*100)</f>
        <v>0</v>
      </c>
      <c r="BB90" s="596">
        <f ca="1">IF(AND(method_reg="Метод индексации",god&lt;&gt;first_year),SUMIFS(INDEX('Калькуляция (МИ корр)'!$AJ$25:$BC$603,,MATCH(BB$8,'Калькуляция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(МИ)'!$AJ$25:$BC$603,,MATCH(BB$8,'Калькуляция (МИ)'!$AJ$8:$BC$8,0)),'Калькуляция (МИ)'!$F$25:$F$603,$F90,'Калькуляция (МИ)'!$G$25:$G$603,$G90))))</f>
        <v>0</v>
      </c>
      <c r="BC90" s="596">
        <f ca="1">IF(AND(method_reg="Метод индексации",god&lt;&gt;first_year),SUMIFS(INDEX('Калькуляция (МИ корр)'!$AJ$25:$BC$603,,MATCH(BC$8,'Калькуляция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(МИ)'!$AJ$25:$BC$603,,MATCH(BC$8,'Калькуляция (МИ)'!$AJ$8:$BC$8,0)),'Калькуляция (МИ)'!$F$25:$F$603,$F90,'Калькуляция (МИ)'!$G$25:$G$603,$G90))))</f>
        <v>0</v>
      </c>
      <c r="BD90" s="208">
        <f ca="1">IF(BB90=0,0,(BC90-BB90)/BB90*100)</f>
        <v>0</v>
      </c>
      <c r="BE90" s="596">
        <f ca="1">IF(AND(method_reg="Метод индексации",god&lt;&gt;first_year),SUMIFS(INDEX('Калькуляция (МИ корр)'!$AJ$25:$BC$603,,MATCH(BE$8,'Калькуляция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(МИ)'!$AJ$25:$BC$603,,MATCH(BE$8,'Калькуляция (МИ)'!$AJ$8:$BC$8,0)),'Калькуляция (МИ)'!$F$25:$F$603,$F90,'Калькуляция (МИ)'!$G$25:$G$603,$G90))))</f>
        <v>0</v>
      </c>
      <c r="BF90" s="596">
        <f ca="1">IF(AND(method_reg="Метод индексации",god&lt;&gt;first_year),SUMIFS(INDEX('Калькуляция (МИ корр)'!$AJ$25:$BC$603,,MATCH(BF$8,'Калькуляция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(МИ)'!$AJ$25:$BC$603,,MATCH(BF$8,'Калькуляция (МИ)'!$AJ$8:$BC$8,0)),'Калькуляция (МИ)'!$F$25:$F$603,$F90,'Калькуляция (МИ)'!$G$25:$G$603,$G90))))</f>
        <v>0</v>
      </c>
      <c r="BG90" s="208">
        <f ca="1">IF(BE90=0,0,(BF90-BE90)/BE90*100)</f>
        <v>0</v>
      </c>
      <c r="BH90" s="596"/>
      <c r="BI90" s="596"/>
      <c r="BJ90" s="208">
        <f>IF(BH90=0,0,(BI90-BH90)/BH90*100)</f>
        <v>0</v>
      </c>
      <c r="BK90" s="596"/>
      <c r="BL90" s="596"/>
      <c r="BM90" s="208">
        <f>IF(BK90=0,0,(BL90-BK90)/BK90*100)</f>
        <v>0</v>
      </c>
      <c r="BN90" s="596"/>
      <c r="BO90" s="596"/>
      <c r="BP90" s="208">
        <f>IF(BN90=0,0,(BO90-BN90)/BN90*100)</f>
        <v>0</v>
      </c>
      <c r="BQ90" s="596"/>
      <c r="BR90" s="596"/>
      <c r="BS90" s="208">
        <f>IF(BQ90=0,0,(BR90-BQ90)/BQ90*100)</f>
        <v>0</v>
      </c>
      <c r="BT90" s="596"/>
      <c r="BU90" s="596"/>
      <c r="BV90" s="208">
        <f>IF(BT90=0,0,(BU90-BT90)/BT90*100)</f>
        <v>0</v>
      </c>
      <c r="BW90" s="596"/>
      <c r="BX90" s="596"/>
      <c r="BY90" s="208">
        <f>IF(BW90=0,0,(BX90-BW90)/BW90*100)</f>
        <v>0</v>
      </c>
      <c r="BZ90" s="596"/>
      <c r="CA90" s="596"/>
      <c r="CB90" s="208">
        <f>IF(BZ90=0,0,(CA90-BZ90)/BZ90*100)</f>
        <v>0</v>
      </c>
      <c r="CC90" s="596"/>
      <c r="CD90" s="596"/>
      <c r="CE90" s="208">
        <f>IF(CC90=0,0,(CD90-CC90)/CC90*100)</f>
        <v>0</v>
      </c>
      <c r="CF90" s="596"/>
      <c r="CG90" s="596"/>
      <c r="CH90" s="208">
        <f>IF(CF90=0,0,(CG90-CF90)/CF90*100)</f>
        <v>0</v>
      </c>
      <c r="CI90" s="596"/>
      <c r="CJ90" s="596"/>
      <c r="CK90" s="208">
        <f>IF(CI90=0,0,(CJ90-CI90)/CI90*100)</f>
        <v>0</v>
      </c>
      <c r="CL90" s="596"/>
      <c r="CM90" s="596"/>
      <c r="CN90" s="208">
        <f>IF(CL90=0,0,(CM90-CL90)/CL90*100)</f>
        <v>0</v>
      </c>
      <c r="CO90" s="596"/>
      <c r="CP90" s="596"/>
      <c r="CQ90" s="208">
        <f>IF(CO90=0,0,(CP90-CO90)/CO90*100)</f>
        <v>0</v>
      </c>
      <c r="CR90" s="596"/>
      <c r="CS90" s="596"/>
      <c r="CT90" s="208">
        <f>IF(CR90=0,0,(CS90-CR90)/CR90*100)</f>
        <v>0</v>
      </c>
      <c r="CU90" s="596"/>
      <c r="CV90" s="596"/>
      <c r="CW90" s="208">
        <f>IF(CU90=0,0,(CV90-CU90)/CU90*100)</f>
        <v>0</v>
      </c>
      <c r="CX90" s="596"/>
      <c r="CY90" s="596"/>
      <c r="CZ90" s="208">
        <f>IF(CX90=0,0,(CY90-CX90)/CX90*100)</f>
        <v>0</v>
      </c>
      <c r="DA90" s="596"/>
      <c r="DB90" s="596"/>
      <c r="DC90" s="208">
        <f>IF(DA90=0,0,(DB90-DA90)/DA90*100)</f>
        <v>0</v>
      </c>
      <c r="DD90" s="596"/>
      <c r="DE90" s="596"/>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1" t="s">
        <v>1645</v>
      </c>
      <c r="GA90" s="691"/>
      <c r="GB90" s="691"/>
      <c r="GC90" s="692"/>
      <c r="GD90" s="692"/>
    </row>
    <row r="91" spans="1:186" s="866" customFormat="1" ht="30.4" customHeight="1" x14ac:dyDescent="0.15">
      <c r="A91" s="594"/>
      <c r="B91" s="613" t="b" cm="1">
        <f t="array" ref="B91">B90</f>
        <v>1</v>
      </c>
      <c r="C91" s="594"/>
      <c r="D91" s="594"/>
      <c r="E91" s="595">
        <v>24.5</v>
      </c>
      <c r="F91" s="3" t="str" cm="1">
        <f t="array" aca="1" ref="F91" ca="1">OFFSET(E91,-1,1)</f>
        <v>1</v>
      </c>
      <c r="G91" s="59" t="s">
        <v>1646</v>
      </c>
      <c r="H91" s="59" t="s">
        <v>482</v>
      </c>
      <c r="I91" s="59" t="s">
        <v>1647</v>
      </c>
      <c r="J91" s="594"/>
      <c r="K91" s="594"/>
      <c r="L91" s="59"/>
      <c r="M91" s="594"/>
      <c r="N91" s="594"/>
      <c r="O91" s="594"/>
      <c r="P91" s="594"/>
      <c r="Q91" s="594"/>
      <c r="R91" s="594"/>
      <c r="S91" s="59"/>
      <c r="T91" s="353" t="b" cm="1">
        <f t="array" ref="T91">T90</f>
        <v>1</v>
      </c>
      <c r="U91" s="594"/>
      <c r="V91" s="594"/>
      <c r="W91" s="594"/>
      <c r="X91" s="1022"/>
      <c r="Y91" s="594"/>
      <c r="Z91" s="966"/>
      <c r="AA91" s="594"/>
      <c r="AB91" s="205" t="s">
        <v>1648</v>
      </c>
      <c r="AC91" s="206" t="s">
        <v>1644</v>
      </c>
      <c r="AD91" s="596">
        <f ca="1">IF(AND(method_reg="Метод индексации",god&lt;&gt;first_year),SUMIFS(INDEX('Калькуляция (МИ корр)'!$AJ$25:$BC$603,,MATCH(AD$8,'Калькуляция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(МИ)'!$AJ$25:$BC$603,,MATCH(AD$8,'Калькуляция (МИ)'!$AJ$8:$BC$8,0)),'Калькуляция (МИ)'!$F$25:$F$603,$F91,'Калькуляция (МИ)'!$G$25:$G$603,$G91))))</f>
        <v>5.9193670646000003</v>
      </c>
      <c r="AE91" s="596">
        <f ca="1">IF(AND(method_reg="Метод индексации",god&lt;&gt;first_year),SUMIFS(INDEX('Калькуляция (МИ корр)'!$AJ$25:$BC$603,,MATCH(AE$8,'Калькуляция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(МИ)'!$AJ$25:$BC$603,,MATCH(AE$8,'Калькуляция (МИ)'!$AJ$8:$BC$8,0)),'Калькуляция (МИ)'!$F$25:$F$603,$F91,'Калькуляция (МИ)'!$G$25:$G$603,$G91))))</f>
        <v>4.3659999999999997</v>
      </c>
      <c r="AF91" s="208">
        <f ca="1">IF(AD91=0,0,(AE91-AD91)/AD91*100)</f>
        <v>-26.242114193081704</v>
      </c>
      <c r="AG91" s="861">
        <f ca="1">IF(AND(method_reg="Метод индексации",god&lt;&gt;first_year),SUMIFS(INDEX('Калькуляция (МИ корр)'!$AJ$25:$BC$603,,MATCH(AG$8,'Калькуляция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(МИ)'!$AJ$25:$BC$603,,MATCH(AG$8,'Калькуляция (МИ)'!$AJ$8:$BC$8,0)),'Калькуляция (МИ)'!$F$25:$F$603,$F91,'Калькуляция (МИ)'!$G$25:$G$603,$G91))))</f>
        <v>0</v>
      </c>
      <c r="AH91" s="861">
        <f ca="1">IF(AND(method_reg="Метод индексации",god&lt;&gt;first_year),SUMIFS(INDEX('Калькуляция (МИ корр)'!$AJ$25:$BC$603,,MATCH(AH$8,'Калькуляция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(МИ)'!$AJ$25:$BC$603,,MATCH(AH$8,'Калькуляция (МИ)'!$AJ$8:$BC$8,0)),'Калькуляция (МИ)'!$F$25:$F$603,$F91,'Калькуляция (МИ)'!$G$25:$G$603,$G91))))</f>
        <v>0</v>
      </c>
      <c r="AI91" s="208">
        <f ca="1">IF(AG91=0,0,(AH91-AG91)/AG91*100)</f>
        <v>0</v>
      </c>
      <c r="AJ91" s="861">
        <f ca="1">IF(AND(method_reg="Метод индексации",god&lt;&gt;first_year),SUMIFS(INDEX('Калькуляция (МИ корр)'!$AJ$25:$BC$603,,MATCH(AJ$8,'Калькуляция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(МИ)'!$AJ$25:$BC$603,,MATCH(AJ$8,'Калькуляция (МИ)'!$AJ$8:$BC$8,0)),'Калькуляция (МИ)'!$F$25:$F$603,$F91,'Калькуляция (МИ)'!$G$25:$G$603,$G91))))</f>
        <v>0</v>
      </c>
      <c r="AK91" s="861">
        <f ca="1">IF(AND(method_reg="Метод индексации",god&lt;&gt;first_year),SUMIFS(INDEX('Калькуляция (МИ корр)'!$AJ$25:$BC$603,,MATCH(AK$8,'Калькуляция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(МИ)'!$AJ$25:$BC$603,,MATCH(AK$8,'Калькуляция (МИ)'!$AJ$8:$BC$8,0)),'Калькуляция (МИ)'!$F$25:$F$603,$F91,'Калькуляция (МИ)'!$G$25:$G$603,$G91))))</f>
        <v>0</v>
      </c>
      <c r="AL91" s="208">
        <f ca="1">IF(AJ91=0,0,(AK91-AJ91)/AJ91*100)</f>
        <v>0</v>
      </c>
      <c r="AM91" s="596">
        <f ca="1">IF(AND(method_reg="Метод индексации",god&lt;&gt;first_year),SUMIFS(INDEX('Калькуляция (МИ корр)'!$AJ$25:$BC$603,,MATCH(AM$8,'Калькуляция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(МИ)'!$AJ$25:$BC$603,,MATCH(AM$8,'Калькуляция (МИ)'!$AJ$8:$BC$8,0)),'Калькуляция (МИ)'!$F$25:$F$603,$F91,'Калькуляция (МИ)'!$G$25:$G$603,$G91))))</f>
        <v>0</v>
      </c>
      <c r="AN91" s="596">
        <f ca="1">IF(AND(method_reg="Метод индексации",god&lt;&gt;first_year),SUMIFS(INDEX('Калькуляция (МИ корр)'!$AJ$25:$BC$603,,MATCH(AN$8,'Калькуляция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(МИ)'!$AJ$25:$BC$603,,MATCH(AN$8,'Калькуляция (МИ)'!$AJ$8:$BC$8,0)),'Калькуляция (МИ)'!$F$25:$F$603,$F91,'Калькуляция (МИ)'!$G$25:$G$603,$G91))))</f>
        <v>0</v>
      </c>
      <c r="AO91" s="208">
        <f ca="1">IF(AM91=0,0,(AN91-AM91)/AM91*100)</f>
        <v>0</v>
      </c>
      <c r="AP91" s="596">
        <f ca="1">IF(AND(method_reg="Метод индексации",god&lt;&gt;first_year),SUMIFS(INDEX('Калькуляция (МИ корр)'!$AJ$25:$BC$603,,MATCH(AP$8,'Калькуляция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(МИ)'!$AJ$25:$BC$603,,MATCH(AP$8,'Калькуляция (МИ)'!$AJ$8:$BC$8,0)),'Калькуляция (МИ)'!$F$25:$F$603,$F91,'Калькуляция (МИ)'!$G$25:$G$603,$G91))))</f>
        <v>0</v>
      </c>
      <c r="AQ91" s="596">
        <f ca="1">IF(AND(method_reg="Метод индексации",god&lt;&gt;first_year),SUMIFS(INDEX('Калькуляция (МИ корр)'!$AJ$25:$BC$603,,MATCH(AQ$8,'Калькуляция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(МИ)'!$AJ$25:$BC$603,,MATCH(AQ$8,'Калькуляция (МИ)'!$AJ$8:$BC$8,0)),'Калькуляция (МИ)'!$F$25:$F$603,$F91,'Калькуляция (МИ)'!$G$25:$G$603,$G91))))</f>
        <v>0</v>
      </c>
      <c r="AR91" s="208">
        <f ca="1">IF(AP91=0,0,(AQ91-AP91)/AP91*100)</f>
        <v>0</v>
      </c>
      <c r="AS91" s="596">
        <f ca="1">IF(AND(method_reg="Метод индексации",god&lt;&gt;first_year),SUMIFS(INDEX('Калькуляция (МИ корр)'!$AJ$25:$BC$603,,MATCH(AS$8,'Калькуляция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(МИ)'!$AJ$25:$BC$603,,MATCH(AS$8,'Калькуляция (МИ)'!$AJ$8:$BC$8,0)),'Калькуляция (МИ)'!$F$25:$F$603,$F91,'Калькуляция (МИ)'!$G$25:$G$603,$G91))))</f>
        <v>0</v>
      </c>
      <c r="AT91" s="596">
        <f ca="1">IF(AND(method_reg="Метод индексации",god&lt;&gt;first_year),SUMIFS(INDEX('Калькуляция (МИ корр)'!$AJ$25:$BC$603,,MATCH(AT$8,'Калькуляция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(МИ)'!$AJ$25:$BC$603,,MATCH(AT$8,'Калькуляция (МИ)'!$AJ$8:$BC$8,0)),'Калькуляция (МИ)'!$F$25:$F$603,$F91,'Калькуляция (МИ)'!$G$25:$G$603,$G91))))</f>
        <v>0</v>
      </c>
      <c r="AU91" s="208">
        <f ca="1">IF(AS91=0,0,(AT91-AS91)/AS91*100)</f>
        <v>0</v>
      </c>
      <c r="AV91" s="596">
        <f ca="1">IF(AND(method_reg="Метод индексации",god&lt;&gt;first_year),SUMIFS(INDEX('Калькуляция (МИ корр)'!$AJ$25:$BC$603,,MATCH(AV$8,'Калькуляция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(МИ)'!$AJ$25:$BC$603,,MATCH(AV$8,'Калькуляция (МИ)'!$AJ$8:$BC$8,0)),'Калькуляция (МИ)'!$F$25:$F$603,$F91,'Калькуляция (МИ)'!$G$25:$G$603,$G91))))</f>
        <v>0</v>
      </c>
      <c r="AW91" s="596">
        <f ca="1">IF(AND(method_reg="Метод индексации",god&lt;&gt;first_year),SUMIFS(INDEX('Калькуляция (МИ корр)'!$AJ$25:$BC$603,,MATCH(AW$8,'Калькуляция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(МИ)'!$AJ$25:$BC$603,,MATCH(AW$8,'Калькуляция (МИ)'!$AJ$8:$BC$8,0)),'Калькуляция (МИ)'!$F$25:$F$603,$F91,'Калькуляция (МИ)'!$G$25:$G$603,$G91))))</f>
        <v>0</v>
      </c>
      <c r="AX91" s="208">
        <f ca="1">IF(AV91=0,0,(AW91-AV91)/AV91*100)</f>
        <v>0</v>
      </c>
      <c r="AY91" s="596">
        <f ca="1">IF(AND(method_reg="Метод индексации",god&lt;&gt;first_year),SUMIFS(INDEX('Калькуляция (МИ корр)'!$AJ$25:$BC$603,,MATCH(AY$8,'Калькуляция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(МИ)'!$AJ$25:$BC$603,,MATCH(AY$8,'Калькуляция (МИ)'!$AJ$8:$BC$8,0)),'Калькуляция (МИ)'!$F$25:$F$603,$F91,'Калькуляция (МИ)'!$G$25:$G$603,$G91))))</f>
        <v>0</v>
      </c>
      <c r="AZ91" s="596">
        <f ca="1">IF(AND(method_reg="Метод индексации",god&lt;&gt;first_year),SUMIFS(INDEX('Калькуляция (МИ корр)'!$AJ$25:$BC$603,,MATCH(AZ$8,'Калькуляция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(МИ)'!$AJ$25:$BC$603,,MATCH(AZ$8,'Калькуляция (МИ)'!$AJ$8:$BC$8,0)),'Калькуляция (МИ)'!$F$25:$F$603,$F91,'Калькуляция (МИ)'!$G$25:$G$603,$G91))))</f>
        <v>0</v>
      </c>
      <c r="BA91" s="208">
        <f ca="1">IF(AY91=0,0,(AZ91-AY91)/AY91*100)</f>
        <v>0</v>
      </c>
      <c r="BB91" s="596">
        <f ca="1">IF(AND(method_reg="Метод индексации",god&lt;&gt;first_year),SUMIFS(INDEX('Калькуляция (МИ корр)'!$AJ$25:$BC$603,,MATCH(BB$8,'Калькуляция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(МИ)'!$AJ$25:$BC$603,,MATCH(BB$8,'Калькуляция (МИ)'!$AJ$8:$BC$8,0)),'Калькуляция (МИ)'!$F$25:$F$603,$F91,'Калькуляция (МИ)'!$G$25:$G$603,$G91))))</f>
        <v>0</v>
      </c>
      <c r="BC91" s="596">
        <f ca="1">IF(AND(method_reg="Метод индексации",god&lt;&gt;first_year),SUMIFS(INDEX('Калькуляция (МИ корр)'!$AJ$25:$BC$603,,MATCH(BC$8,'Калькуляция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(МИ)'!$AJ$25:$BC$603,,MATCH(BC$8,'Калькуляция (МИ)'!$AJ$8:$BC$8,0)),'Калькуляция (МИ)'!$F$25:$F$603,$F91,'Калькуляция (МИ)'!$G$25:$G$603,$G91))))</f>
        <v>0</v>
      </c>
      <c r="BD91" s="208">
        <f ca="1">IF(BB91=0,0,(BC91-BB91)/BB91*100)</f>
        <v>0</v>
      </c>
      <c r="BE91" s="596">
        <f ca="1">IF(AND(method_reg="Метод индексации",god&lt;&gt;first_year),SUMIFS(INDEX('Калькуляция (МИ корр)'!$AJ$25:$BC$603,,MATCH(BE$8,'Калькуляция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(МИ)'!$AJ$25:$BC$603,,MATCH(BE$8,'Калькуляция (МИ)'!$AJ$8:$BC$8,0)),'Калькуляция (МИ)'!$F$25:$F$603,$F91,'Калькуляция (МИ)'!$G$25:$G$603,$G91))))</f>
        <v>0</v>
      </c>
      <c r="BF91" s="596">
        <f ca="1">IF(AND(method_reg="Метод индексации",god&lt;&gt;first_year),SUMIFS(INDEX('Калькуляция (МИ корр)'!$AJ$25:$BC$603,,MATCH(BF$8,'Калькуляция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(МИ)'!$AJ$25:$BC$603,,MATCH(BF$8,'Калькуляция (МИ)'!$AJ$8:$BC$8,0)),'Калькуляция (МИ)'!$F$25:$F$603,$F91,'Калькуляция (МИ)'!$G$25:$G$603,$G91))))</f>
        <v>0</v>
      </c>
      <c r="BG91" s="208">
        <f ca="1">IF(BE91=0,0,(BF91-BE91)/BE91*100)</f>
        <v>0</v>
      </c>
      <c r="BH91" s="596"/>
      <c r="BI91" s="596"/>
      <c r="BJ91" s="208">
        <f>IF(BH91=0,0,(BI91-BH91)/BH91*100)</f>
        <v>0</v>
      </c>
      <c r="BK91" s="596"/>
      <c r="BL91" s="596"/>
      <c r="BM91" s="208">
        <f>IF(BK91=0,0,(BL91-BK91)/BK91*100)</f>
        <v>0</v>
      </c>
      <c r="BN91" s="596"/>
      <c r="BO91" s="596"/>
      <c r="BP91" s="208">
        <f>IF(BN91=0,0,(BO91-BN91)/BN91*100)</f>
        <v>0</v>
      </c>
      <c r="BQ91" s="596"/>
      <c r="BR91" s="596"/>
      <c r="BS91" s="208">
        <f>IF(BQ91=0,0,(BR91-BQ91)/BQ91*100)</f>
        <v>0</v>
      </c>
      <c r="BT91" s="596"/>
      <c r="BU91" s="596"/>
      <c r="BV91" s="208">
        <f>IF(BT91=0,0,(BU91-BT91)/BT91*100)</f>
        <v>0</v>
      </c>
      <c r="BW91" s="596"/>
      <c r="BX91" s="596"/>
      <c r="BY91" s="208">
        <f>IF(BW91=0,0,(BX91-BW91)/BW91*100)</f>
        <v>0</v>
      </c>
      <c r="BZ91" s="596"/>
      <c r="CA91" s="596"/>
      <c r="CB91" s="208">
        <f>IF(BZ91=0,0,(CA91-BZ91)/BZ91*100)</f>
        <v>0</v>
      </c>
      <c r="CC91" s="596"/>
      <c r="CD91" s="596"/>
      <c r="CE91" s="208">
        <f>IF(CC91=0,0,(CD91-CC91)/CC91*100)</f>
        <v>0</v>
      </c>
      <c r="CF91" s="596"/>
      <c r="CG91" s="596"/>
      <c r="CH91" s="208">
        <f>IF(CF91=0,0,(CG91-CF91)/CF91*100)</f>
        <v>0</v>
      </c>
      <c r="CI91" s="596"/>
      <c r="CJ91" s="596"/>
      <c r="CK91" s="208">
        <f>IF(CI91=0,0,(CJ91-CI91)/CI91*100)</f>
        <v>0</v>
      </c>
      <c r="CL91" s="596"/>
      <c r="CM91" s="596"/>
      <c r="CN91" s="208">
        <f>IF(CL91=0,0,(CM91-CL91)/CL91*100)</f>
        <v>0</v>
      </c>
      <c r="CO91" s="596"/>
      <c r="CP91" s="596"/>
      <c r="CQ91" s="208">
        <f>IF(CO91=0,0,(CP91-CO91)/CO91*100)</f>
        <v>0</v>
      </c>
      <c r="CR91" s="596"/>
      <c r="CS91" s="596"/>
      <c r="CT91" s="208">
        <f>IF(CR91=0,0,(CS91-CR91)/CR91*100)</f>
        <v>0</v>
      </c>
      <c r="CU91" s="596"/>
      <c r="CV91" s="596"/>
      <c r="CW91" s="208">
        <f>IF(CU91=0,0,(CV91-CU91)/CU91*100)</f>
        <v>0</v>
      </c>
      <c r="CX91" s="596"/>
      <c r="CY91" s="596"/>
      <c r="CZ91" s="208">
        <f>IF(CX91=0,0,(CY91-CX91)/CX91*100)</f>
        <v>0</v>
      </c>
      <c r="DA91" s="596"/>
      <c r="DB91" s="596"/>
      <c r="DC91" s="208">
        <f>IF(DA91=0,0,(DB91-DA91)/DA91*100)</f>
        <v>0</v>
      </c>
      <c r="DD91" s="596"/>
      <c r="DE91" s="596"/>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1" t="s">
        <v>1649</v>
      </c>
      <c r="GA91" s="691"/>
      <c r="GB91" s="691"/>
      <c r="GC91" s="692"/>
      <c r="GD91" s="692"/>
    </row>
    <row r="92" spans="1:186" ht="24.2" customHeight="1" x14ac:dyDescent="0.15">
      <c r="A92" s="59"/>
      <c r="B92" s="613" t="b" cm="1">
        <f t="array" ref="B92">B91</f>
        <v>1</v>
      </c>
      <c r="C92" s="59"/>
      <c r="D92" s="59"/>
      <c r="E92" s="462">
        <v>15</v>
      </c>
      <c r="F92" s="3" t="str" cm="1">
        <f t="array" aca="1" ref="F92" ca="1">OFFSET(E92,-1,1)</f>
        <v>1</v>
      </c>
      <c r="G92" s="59"/>
      <c r="H92" s="59" t="s">
        <v>486</v>
      </c>
      <c r="I92" s="59" t="s">
        <v>1650</v>
      </c>
      <c r="J92" s="59"/>
      <c r="K92" s="59"/>
      <c r="L92" s="59"/>
      <c r="M92" s="59"/>
      <c r="N92" s="59"/>
      <c r="O92" s="59"/>
      <c r="P92" s="59"/>
      <c r="Q92" s="59"/>
      <c r="R92" s="59"/>
      <c r="S92" s="59"/>
      <c r="T92" s="353" t="b" cm="1">
        <f t="array" ref="T92">T91</f>
        <v>1</v>
      </c>
      <c r="U92" s="59"/>
      <c r="V92" s="59"/>
      <c r="W92" s="59"/>
      <c r="X92" s="1022"/>
      <c r="Y92" s="59"/>
      <c r="Z92" s="966"/>
      <c r="AA92" s="59"/>
      <c r="AB92" s="54" t="s">
        <v>1651</v>
      </c>
      <c r="AC92" s="12" t="s">
        <v>476</v>
      </c>
      <c r="AD92" s="620">
        <f ca="1">IF(AD90=0,0,AD91/AD90)*100</f>
        <v>100</v>
      </c>
      <c r="AE92" s="620">
        <f ca="1">IF(AE90=0,0,AE91/AE90)*100</f>
        <v>115.80901856763926</v>
      </c>
      <c r="AF92" s="714"/>
      <c r="AG92" s="620">
        <f ca="1">IF(AG90=0,0,AG91/AG90)*100</f>
        <v>0</v>
      </c>
      <c r="AH92" s="620">
        <f ca="1">IF(AH90=0,0,AH91/AH90)*100</f>
        <v>0</v>
      </c>
      <c r="AI92" s="714"/>
      <c r="AJ92" s="620">
        <f ca="1">IF(AJ90=0,0,AJ91/AJ90)*100</f>
        <v>0</v>
      </c>
      <c r="AK92" s="620">
        <f ca="1">IF(AK90=0,0,AK91/AK90)*100</f>
        <v>0</v>
      </c>
      <c r="AL92" s="714"/>
      <c r="AM92" s="620">
        <f ca="1">IF(AM90=0,0,AM91/AM90)*100</f>
        <v>0</v>
      </c>
      <c r="AN92" s="620">
        <f ca="1">IF(AN90=0,0,AN91/AN90)*100</f>
        <v>0</v>
      </c>
      <c r="AO92" s="714"/>
      <c r="AP92" s="620">
        <f ca="1">IF(AP90=0,0,AP91/AP90)*100</f>
        <v>0</v>
      </c>
      <c r="AQ92" s="620">
        <f ca="1">IF(AQ90=0,0,AQ91/AQ90)*100</f>
        <v>0</v>
      </c>
      <c r="AR92" s="714"/>
      <c r="AS92" s="620">
        <f ca="1">IF(AS90=0,0,AS91/AS90)*100</f>
        <v>0</v>
      </c>
      <c r="AT92" s="620">
        <f ca="1">IF(AT90=0,0,AT91/AT90)*100</f>
        <v>0</v>
      </c>
      <c r="AU92" s="714"/>
      <c r="AV92" s="620">
        <f ca="1">IF(AV90=0,0,AV91/AV90)*100</f>
        <v>0</v>
      </c>
      <c r="AW92" s="620">
        <f ca="1">IF(AW90=0,0,AW91/AW90)*100</f>
        <v>0</v>
      </c>
      <c r="AX92" s="714"/>
      <c r="AY92" s="620">
        <f ca="1">IF(AY90=0,0,AY91/AY90)*100</f>
        <v>0</v>
      </c>
      <c r="AZ92" s="620">
        <f ca="1">IF(AZ90=0,0,AZ91/AZ90)*100</f>
        <v>0</v>
      </c>
      <c r="BA92" s="714"/>
      <c r="BB92" s="620">
        <f ca="1">IF(BB90=0,0,BB91/BB90)*100</f>
        <v>0</v>
      </c>
      <c r="BC92" s="620">
        <f ca="1">IF(BC90=0,0,BC91/BC90)*100</f>
        <v>0</v>
      </c>
      <c r="BD92" s="714"/>
      <c r="BE92" s="620">
        <f ca="1">IF(BE90=0,0,BE91/BE90)*100</f>
        <v>0</v>
      </c>
      <c r="BF92" s="620">
        <f ca="1">IF(BF90=0,0,BF91/BF90)*100</f>
        <v>0</v>
      </c>
      <c r="BG92" s="714"/>
      <c r="BH92" s="620">
        <f>IF(BH90=0,0,BH91/BH90)*100</f>
        <v>0</v>
      </c>
      <c r="BI92" s="620">
        <f>IF(BI90=0,0,BI91/BI90)*100</f>
        <v>0</v>
      </c>
      <c r="BJ92" s="714"/>
      <c r="BK92" s="620">
        <f>IF(BK90=0,0,BK91/BK90)*100</f>
        <v>0</v>
      </c>
      <c r="BL92" s="620">
        <f>IF(BL90=0,0,BL91/BL90)*100</f>
        <v>0</v>
      </c>
      <c r="BM92" s="714"/>
      <c r="BN92" s="620">
        <f>IF(BN90=0,0,BN91/BN90)*100</f>
        <v>0</v>
      </c>
      <c r="BO92" s="620">
        <f>IF(BO90=0,0,BO91/BO90)*100</f>
        <v>0</v>
      </c>
      <c r="BP92" s="714"/>
      <c r="BQ92" s="620">
        <f>IF(BQ90=0,0,BQ91/BQ90)*100</f>
        <v>0</v>
      </c>
      <c r="BR92" s="620">
        <f>IF(BR90=0,0,BR91/BR90)*100</f>
        <v>0</v>
      </c>
      <c r="BS92" s="714"/>
      <c r="BT92" s="620">
        <f>IF(BT90=0,0,BT91/BT90)*100</f>
        <v>0</v>
      </c>
      <c r="BU92" s="620">
        <f>IF(BU90=0,0,BU91/BU90)*100</f>
        <v>0</v>
      </c>
      <c r="BV92" s="714"/>
      <c r="BW92" s="620">
        <f>IF(BW90=0,0,BW91/BW90)*100</f>
        <v>0</v>
      </c>
      <c r="BX92" s="620">
        <f>IF(BX90=0,0,BX91/BX90)*100</f>
        <v>0</v>
      </c>
      <c r="BY92" s="714"/>
      <c r="BZ92" s="620">
        <f>IF(BZ90=0,0,BZ91/BZ90)*100</f>
        <v>0</v>
      </c>
      <c r="CA92" s="620">
        <f>IF(CA90=0,0,CA91/CA90)*100</f>
        <v>0</v>
      </c>
      <c r="CB92" s="714"/>
      <c r="CC92" s="620">
        <f>IF(CC90=0,0,CC91/CC90)*100</f>
        <v>0</v>
      </c>
      <c r="CD92" s="620">
        <f>IF(CD90=0,0,CD91/CD90)*100</f>
        <v>0</v>
      </c>
      <c r="CE92" s="714"/>
      <c r="CF92" s="620">
        <f>IF(CF90=0,0,CF91/CF90)*100</f>
        <v>0</v>
      </c>
      <c r="CG92" s="620">
        <f>IF(CG90=0,0,CG91/CG90)*100</f>
        <v>0</v>
      </c>
      <c r="CH92" s="714"/>
      <c r="CI92" s="620">
        <f>IF(CI90=0,0,CI91/CI90)*100</f>
        <v>0</v>
      </c>
      <c r="CJ92" s="620">
        <f>IF(CJ90=0,0,CJ91/CJ90)*100</f>
        <v>0</v>
      </c>
      <c r="CK92" s="714"/>
      <c r="CL92" s="620">
        <f>IF(CL90=0,0,CL91/CL90)*100</f>
        <v>0</v>
      </c>
      <c r="CM92" s="620">
        <f>IF(CM90=0,0,CM91/CM90)*100</f>
        <v>0</v>
      </c>
      <c r="CN92" s="714"/>
      <c r="CO92" s="620">
        <f>IF(CO90=0,0,CO91/CO90)*100</f>
        <v>0</v>
      </c>
      <c r="CP92" s="620">
        <f>IF(CP90=0,0,CP91/CP90)*100</f>
        <v>0</v>
      </c>
      <c r="CQ92" s="714"/>
      <c r="CR92" s="620">
        <f>IF(CR90=0,0,CR91/CR90)*100</f>
        <v>0</v>
      </c>
      <c r="CS92" s="620">
        <f>IF(CS90=0,0,CS91/CS90)*100</f>
        <v>0</v>
      </c>
      <c r="CT92" s="714"/>
      <c r="CU92" s="620">
        <f>IF(CU90=0,0,CU91/CU90)*100</f>
        <v>0</v>
      </c>
      <c r="CV92" s="620">
        <f>IF(CV90=0,0,CV91/CV90)*100</f>
        <v>0</v>
      </c>
      <c r="CW92" s="714"/>
      <c r="CX92" s="620">
        <f>IF(CX90=0,0,CX91/CX90)*100</f>
        <v>0</v>
      </c>
      <c r="CY92" s="620">
        <f>IF(CY90=0,0,CY91/CY90)*100</f>
        <v>0</v>
      </c>
      <c r="CZ92" s="714"/>
      <c r="DA92" s="620">
        <f>IF(DA90=0,0,DA91/DA90)*100</f>
        <v>0</v>
      </c>
      <c r="DB92" s="620">
        <f>IF(DB90=0,0,DB91/DB90)*100</f>
        <v>0</v>
      </c>
      <c r="DC92" s="714"/>
      <c r="DD92" s="620">
        <f>IF(DD90=0,0,DD91/DD90)*100</f>
        <v>0</v>
      </c>
      <c r="DE92" s="620">
        <f>IF(DE90=0,0,DE91/DE90)*100</f>
        <v>0</v>
      </c>
      <c r="DF92" s="714"/>
      <c r="DG92" s="620">
        <f>IF(DG90=0,0,DG91/DG90)*100</f>
        <v>0</v>
      </c>
      <c r="DH92" s="620">
        <f>IF(DH90=0,0,DH91/DH90)*100</f>
        <v>0</v>
      </c>
      <c r="DI92" s="714"/>
      <c r="DJ92" s="620">
        <f>IF(DJ90=0,0,DJ91/DJ90)*100</f>
        <v>0</v>
      </c>
      <c r="DK92" s="620">
        <f>IF(DK90=0,0,DK91/DK90)*100</f>
        <v>0</v>
      </c>
      <c r="DL92" s="714"/>
      <c r="DM92" s="620">
        <f>IF(DM90=0,0,DM91/DM90)*100</f>
        <v>0</v>
      </c>
      <c r="DN92" s="620">
        <f>IF(DN90=0,0,DN91/DN90)*100</f>
        <v>0</v>
      </c>
      <c r="DO92" s="714"/>
      <c r="DP92" s="620">
        <f>IF(DP90=0,0,DP91/DP90)*100</f>
        <v>0</v>
      </c>
      <c r="DQ92" s="620">
        <f>IF(DQ90=0,0,DQ91/DQ90)*100</f>
        <v>0</v>
      </c>
      <c r="DR92" s="714"/>
      <c r="DS92" s="620">
        <f>IF(DS90=0,0,DS91/DS90)*100</f>
        <v>0</v>
      </c>
      <c r="DT92" s="620">
        <f>IF(DT90=0,0,DT91/DT90)*100</f>
        <v>0</v>
      </c>
      <c r="DU92" s="714"/>
      <c r="DV92" s="620">
        <f>IF(DV90=0,0,DV91/DV90)*100</f>
        <v>0</v>
      </c>
      <c r="DW92" s="620">
        <f>IF(DW90=0,0,DW91/DW90)*100</f>
        <v>0</v>
      </c>
      <c r="DX92" s="714"/>
      <c r="DY92" s="620">
        <f>IF(DY90=0,0,DY91/DY90)*100</f>
        <v>0</v>
      </c>
      <c r="DZ92" s="620">
        <f>IF(DZ90=0,0,DZ91/DZ90)*100</f>
        <v>0</v>
      </c>
      <c r="EA92" s="714"/>
      <c r="EB92" s="620">
        <f>IF(EB90=0,0,EB91/EB90)*100</f>
        <v>0</v>
      </c>
      <c r="EC92" s="620">
        <f>IF(EC90=0,0,EC91/EC90)*100</f>
        <v>0</v>
      </c>
      <c r="ED92" s="714"/>
      <c r="EE92" s="620">
        <f>IF(EE90=0,0,EE91/EE90)*100</f>
        <v>0</v>
      </c>
      <c r="EF92" s="620">
        <f>IF(EF90=0,0,EF91/EF90)*100</f>
        <v>0</v>
      </c>
      <c r="EG92" s="714"/>
      <c r="EH92" s="620">
        <f>IF(EH90=0,0,EH91/EH90)*100</f>
        <v>0</v>
      </c>
      <c r="EI92" s="620">
        <f>IF(EI90=0,0,EI91/EI90)*100</f>
        <v>0</v>
      </c>
      <c r="EJ92" s="714"/>
      <c r="EK92" s="620">
        <f>IF(EK90=0,0,EK91/EK90)*100</f>
        <v>0</v>
      </c>
      <c r="EL92" s="620">
        <f>IF(EL90=0,0,EL91/EL90)*100</f>
        <v>0</v>
      </c>
      <c r="EM92" s="714"/>
      <c r="EN92" s="620">
        <f>IF(EN90=0,0,EN91/EN90)*100</f>
        <v>0</v>
      </c>
      <c r="EO92" s="620">
        <f>IF(EO90=0,0,EO91/EO90)*100</f>
        <v>0</v>
      </c>
      <c r="EP92" s="714"/>
      <c r="EQ92" s="620">
        <f>IF(EQ90=0,0,EQ91/EQ90)*100</f>
        <v>0</v>
      </c>
      <c r="ER92" s="620">
        <f>IF(ER90=0,0,ER91/ER90)*100</f>
        <v>0</v>
      </c>
      <c r="ES92" s="714"/>
      <c r="ET92" s="620">
        <f>IF(ET90=0,0,ET91/ET90)*100</f>
        <v>0</v>
      </c>
      <c r="EU92" s="620">
        <f>IF(EU90=0,0,EU91/EU90)*100</f>
        <v>0</v>
      </c>
      <c r="EV92" s="714"/>
      <c r="EW92" s="620">
        <f>IF(EW90=0,0,EW91/EW90)*100</f>
        <v>0</v>
      </c>
      <c r="EX92" s="620">
        <f>IF(EX90=0,0,EX91/EX90)*100</f>
        <v>0</v>
      </c>
      <c r="EY92" s="714"/>
      <c r="EZ92" s="620">
        <f>IF(EZ90=0,0,EZ91/EZ90)*100</f>
        <v>0</v>
      </c>
      <c r="FA92" s="620">
        <f>IF(FA90=0,0,FA91/FA90)*100</f>
        <v>0</v>
      </c>
      <c r="FB92" s="714"/>
      <c r="FC92" s="620">
        <f>IF(FC90=0,0,FC91/FC90)*100</f>
        <v>0</v>
      </c>
      <c r="FD92" s="620">
        <f>IF(FD90=0,0,FD91/FD90)*100</f>
        <v>0</v>
      </c>
      <c r="FE92" s="714"/>
      <c r="FF92" s="620">
        <f>IF(FF90=0,0,FF91/FF90)*100</f>
        <v>0</v>
      </c>
      <c r="FG92" s="620">
        <f>IF(FG90=0,0,FG91/FG90)*100</f>
        <v>0</v>
      </c>
      <c r="FH92" s="714"/>
      <c r="FI92" s="620">
        <f>IF(FI90=0,0,FI91/FI90)*100</f>
        <v>0</v>
      </c>
      <c r="FJ92" s="620">
        <f>IF(FJ90=0,0,FJ91/FJ90)*100</f>
        <v>0</v>
      </c>
      <c r="FK92" s="714"/>
      <c r="FL92" s="620">
        <f>IF(FL90=0,0,FL91/FL90)*100</f>
        <v>0</v>
      </c>
      <c r="FM92" s="620">
        <f>IF(FM90=0,0,FM91/FM90)*100</f>
        <v>0</v>
      </c>
      <c r="FN92" s="714"/>
      <c r="FO92" s="620">
        <f>IF(FO90=0,0,FO91/FO90)*100</f>
        <v>0</v>
      </c>
      <c r="FP92" s="620">
        <f>IF(FP90=0,0,FP91/FP90)*100</f>
        <v>0</v>
      </c>
      <c r="FQ92" s="714"/>
      <c r="FR92" s="620">
        <f>IF(FR90=0,0,FR91/FR90)*100</f>
        <v>0</v>
      </c>
      <c r="FS92" s="620">
        <f>IF(FS90=0,0,FS91/FS90)*100</f>
        <v>0</v>
      </c>
      <c r="FT92" s="714"/>
      <c r="FU92" s="620">
        <f>IF(FU90=0,0,FU91/FU90)*100</f>
        <v>0</v>
      </c>
      <c r="FV92" s="620">
        <f>IF(FV90=0,0,FV91/FV90)*100</f>
        <v>0</v>
      </c>
      <c r="FW92" s="714"/>
      <c r="FX92" s="204"/>
      <c r="FZ92" s="691" t="s">
        <v>1652</v>
      </c>
    </row>
    <row r="93" spans="1:186" ht="24.2" customHeight="1" x14ac:dyDescent="0.15">
      <c r="A93" s="59"/>
      <c r="B93" s="613" t="b" cm="1">
        <f t="array" ref="B93">B92</f>
        <v>1</v>
      </c>
      <c r="C93" s="59"/>
      <c r="D93" s="59"/>
      <c r="E93" s="462">
        <v>15</v>
      </c>
      <c r="F93" s="3" t="str" cm="1">
        <f t="array" aca="1" ref="F93" ca="1">OFFSET(E93,-1,1)</f>
        <v>1</v>
      </c>
      <c r="G93" s="25" t="s">
        <v>1653</v>
      </c>
      <c r="H93" s="59" t="s">
        <v>489</v>
      </c>
      <c r="I93" s="59" t="s">
        <v>1650</v>
      </c>
      <c r="J93" s="59"/>
      <c r="K93" s="59"/>
      <c r="L93" s="59"/>
      <c r="M93" s="59"/>
      <c r="N93" s="59"/>
      <c r="O93" s="59"/>
      <c r="P93" s="59"/>
      <c r="Q93" s="59"/>
      <c r="R93" s="59"/>
      <c r="S93" s="59"/>
      <c r="T93" s="353" t="b" cm="1">
        <f t="array" ref="T93">T92</f>
        <v>1</v>
      </c>
      <c r="U93" s="59"/>
      <c r="V93" s="59"/>
      <c r="W93" s="59"/>
      <c r="X93" s="1022"/>
      <c r="Y93" s="59"/>
      <c r="Z93" s="966"/>
      <c r="AA93" s="59"/>
      <c r="AB93" s="54" t="s">
        <v>1654</v>
      </c>
      <c r="AC93" s="12" t="s">
        <v>558</v>
      </c>
      <c r="AD93" s="191">
        <f ca="1">IF(AND(method_reg="Метод индексации",god&lt;&gt;first_year),SUMIFS(INDEX('Калькуляция (МИ корр)'!$AJ$25:$BC$603,,MATCH(AD$8,'Калькуляция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(МИ)'!$AJ$25:$BC$603,,MATCH(AD$8,'Калькуляция (МИ)'!$AJ$8:$BC$8,0)),'Калькуляция (МИ)'!$F$25:$F$603,$F93,'Калькуляция (МИ)'!$G$25:$G$603,$G93))))</f>
        <v>22004.04</v>
      </c>
      <c r="AE93" s="191">
        <f ca="1">IF(AND(method_reg="Метод индексации",god&lt;&gt;first_year),SUMIFS(INDEX('Калькуляция (МИ корр)'!$AJ$25:$BC$603,,MATCH(AE$8,'Калькуляция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(МИ)'!$AJ$25:$BC$603,,MATCH(AE$8,'Калькуляция (МИ)'!$AJ$8:$BC$8,0)),'Калькуляция (МИ)'!$F$25:$F$603,$F93,'Калькуляция (МИ)'!$G$25:$G$603,$G93))))</f>
        <v>19250.848000000002</v>
      </c>
      <c r="AF93" s="715">
        <f ca="1">IF(AD93=0,0,(AE93-AD93)/AD93*100)</f>
        <v>-12.512211393907661</v>
      </c>
      <c r="AG93" s="836">
        <f ca="1">IF(AND(method_reg="Метод индексации",god&lt;&gt;first_year),SUMIFS(INDEX('Калькуляция (МИ корр)'!$AJ$25:$BC$603,,MATCH(AG$8,'Калькуляция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(МИ)'!$AJ$25:$BC$603,,MATCH(AG$8,'Калькуляция (МИ)'!$AJ$8:$BC$8,0)),'Калькуляция (МИ)'!$F$25:$F$603,$F93,'Калькуляция (МИ)'!$G$25:$G$603,$G93))))</f>
        <v>0</v>
      </c>
      <c r="AH93" s="836">
        <f ca="1">IF(AND(method_reg="Метод индексации",god&lt;&gt;first_year),SUMIFS(INDEX('Калькуляция (МИ корр)'!$AJ$25:$BC$603,,MATCH(AH$8,'Калькуляция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(МИ)'!$AJ$25:$BC$603,,MATCH(AH$8,'Калькуляция (МИ)'!$AJ$8:$BC$8,0)),'Калькуляция (МИ)'!$F$25:$F$603,$F93,'Калькуляция (МИ)'!$G$25:$G$603,$G93))))</f>
        <v>0</v>
      </c>
      <c r="AI93" s="715">
        <f ca="1">IF(AG93=0,0,(AH93-AG93)/AG93*100)</f>
        <v>0</v>
      </c>
      <c r="AJ93" s="836">
        <f ca="1">IF(AND(method_reg="Метод индексации",god&lt;&gt;first_year),SUMIFS(INDEX('Калькуляция (МИ корр)'!$AJ$25:$BC$603,,MATCH(AJ$8,'Калькуляция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(МИ)'!$AJ$25:$BC$603,,MATCH(AJ$8,'Калькуляция (МИ)'!$AJ$8:$BC$8,0)),'Калькуляция (МИ)'!$F$25:$F$603,$F93,'Калькуляция (МИ)'!$G$25:$G$603,$G93))))</f>
        <v>0</v>
      </c>
      <c r="AK93" s="836">
        <f ca="1">IF(AND(method_reg="Метод индексации",god&lt;&gt;first_year),SUMIFS(INDEX('Калькуляция (МИ корр)'!$AJ$25:$BC$603,,MATCH(AK$8,'Калькуляция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(МИ)'!$AJ$25:$BC$603,,MATCH(AK$8,'Калькуляция (МИ)'!$AJ$8:$BC$8,0)),'Калькуляция (МИ)'!$F$25:$F$603,$F93,'Калькуляция (МИ)'!$G$25:$G$603,$G93))))</f>
        <v>0</v>
      </c>
      <c r="AL93" s="715">
        <f ca="1">IF(AJ93=0,0,(AK93-AJ93)/AJ93*100)</f>
        <v>0</v>
      </c>
      <c r="AM93" s="191">
        <f ca="1">IF(AND(method_reg="Метод индексации",god&lt;&gt;first_year),SUMIFS(INDEX('Калькуляция (МИ корр)'!$AJ$25:$BC$603,,MATCH(AM$8,'Калькуляция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(МИ)'!$AJ$25:$BC$603,,MATCH(AM$8,'Калькуляция (МИ)'!$AJ$8:$BC$8,0)),'Калькуляция (МИ)'!$F$25:$F$603,$F93,'Калькуляция (МИ)'!$G$25:$G$603,$G93))))</f>
        <v>0</v>
      </c>
      <c r="AN93" s="191">
        <f ca="1">IF(AND(method_reg="Метод индексации",god&lt;&gt;first_year),SUMIFS(INDEX('Калькуляция (МИ корр)'!$AJ$25:$BC$603,,MATCH(AN$8,'Калькуляция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(МИ)'!$AJ$25:$BC$603,,MATCH(AN$8,'Калькуляция (МИ)'!$AJ$8:$BC$8,0)),'Калькуляция (МИ)'!$F$25:$F$603,$F93,'Калькуляция (МИ)'!$G$25:$G$603,$G93))))</f>
        <v>0</v>
      </c>
      <c r="AO93" s="715">
        <f ca="1">IF(AM93=0,0,(AN93-AM93)/AM93*100)</f>
        <v>0</v>
      </c>
      <c r="AP93" s="191">
        <f ca="1">IF(AND(method_reg="Метод индексации",god&lt;&gt;first_year),SUMIFS(INDEX('Калькуляция (МИ корр)'!$AJ$25:$BC$603,,MATCH(AP$8,'Калькуляция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(МИ)'!$AJ$25:$BC$603,,MATCH(AP$8,'Калькуляция (МИ)'!$AJ$8:$BC$8,0)),'Калькуляция (МИ)'!$F$25:$F$603,$F93,'Калькуляция (МИ)'!$G$25:$G$603,$G93))))</f>
        <v>0</v>
      </c>
      <c r="AQ93" s="191">
        <f ca="1">IF(AND(method_reg="Метод индексации",god&lt;&gt;first_year),SUMIFS(INDEX('Калькуляция (МИ корр)'!$AJ$25:$BC$603,,MATCH(AQ$8,'Калькуляция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(МИ)'!$AJ$25:$BC$603,,MATCH(AQ$8,'Калькуляция (МИ)'!$AJ$8:$BC$8,0)),'Калькуляция (МИ)'!$F$25:$F$603,$F93,'Калькуляция (МИ)'!$G$25:$G$603,$G93))))</f>
        <v>0</v>
      </c>
      <c r="AR93" s="715">
        <f ca="1">IF(AP93=0,0,(AQ93-AP93)/AP93*100)</f>
        <v>0</v>
      </c>
      <c r="AS93" s="191">
        <f ca="1">IF(AND(method_reg="Метод индексации",god&lt;&gt;first_year),SUMIFS(INDEX('Калькуляция (МИ корр)'!$AJ$25:$BC$603,,MATCH(AS$8,'Калькуляция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(МИ)'!$AJ$25:$BC$603,,MATCH(AS$8,'Калькуляция (МИ)'!$AJ$8:$BC$8,0)),'Калькуляция (МИ)'!$F$25:$F$603,$F93,'Калькуляция (МИ)'!$G$25:$G$603,$G93))))</f>
        <v>0</v>
      </c>
      <c r="AT93" s="191">
        <f ca="1">IF(AND(method_reg="Метод индексации",god&lt;&gt;first_year),SUMIFS(INDEX('Калькуляция (МИ корр)'!$AJ$25:$BC$603,,MATCH(AT$8,'Калькуляция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(МИ)'!$AJ$25:$BC$603,,MATCH(AT$8,'Калькуляция (МИ)'!$AJ$8:$BC$8,0)),'Калькуляция (МИ)'!$F$25:$F$603,$F93,'Калькуляция (МИ)'!$G$25:$G$603,$G93))))</f>
        <v>0</v>
      </c>
      <c r="AU93" s="715">
        <f ca="1">IF(AS93=0,0,(AT93-AS93)/AS93*100)</f>
        <v>0</v>
      </c>
      <c r="AV93" s="191">
        <f ca="1">IF(AND(method_reg="Метод индексации",god&lt;&gt;first_year),SUMIFS(INDEX('Калькуляция (МИ корр)'!$AJ$25:$BC$603,,MATCH(AV$8,'Калькуляция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(МИ)'!$AJ$25:$BC$603,,MATCH(AV$8,'Калькуляция (МИ)'!$AJ$8:$BC$8,0)),'Калькуляция (МИ)'!$F$25:$F$603,$F93,'Калькуляция (МИ)'!$G$25:$G$603,$G93))))</f>
        <v>0</v>
      </c>
      <c r="AW93" s="191">
        <f ca="1">IF(AND(method_reg="Метод индексации",god&lt;&gt;first_year),SUMIFS(INDEX('Калькуляция (МИ корр)'!$AJ$25:$BC$603,,MATCH(AW$8,'Калькуляция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(МИ)'!$AJ$25:$BC$603,,MATCH(AW$8,'Калькуляция (МИ)'!$AJ$8:$BC$8,0)),'Калькуляция (МИ)'!$F$25:$F$603,$F93,'Калькуляция (МИ)'!$G$25:$G$603,$G93))))</f>
        <v>0</v>
      </c>
      <c r="AX93" s="715">
        <f ca="1">IF(AV93=0,0,(AW93-AV93)/AV93*100)</f>
        <v>0</v>
      </c>
      <c r="AY93" s="191">
        <f ca="1">IF(AND(method_reg="Метод индексации",god&lt;&gt;first_year),SUMIFS(INDEX('Калькуляция (МИ корр)'!$AJ$25:$BC$603,,MATCH(AY$8,'Калькуляция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(МИ)'!$AJ$25:$BC$603,,MATCH(AY$8,'Калькуляция (МИ)'!$AJ$8:$BC$8,0)),'Калькуляция (МИ)'!$F$25:$F$603,$F93,'Калькуляция (МИ)'!$G$25:$G$603,$G93))))</f>
        <v>0</v>
      </c>
      <c r="AZ93" s="191">
        <f ca="1">IF(AND(method_reg="Метод индексации",god&lt;&gt;first_year),SUMIFS(INDEX('Калькуляция (МИ корр)'!$AJ$25:$BC$603,,MATCH(AZ$8,'Калькуляция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(МИ)'!$AJ$25:$BC$603,,MATCH(AZ$8,'Калькуляция (МИ)'!$AJ$8:$BC$8,0)),'Калькуляция (МИ)'!$F$25:$F$603,$F93,'Калькуляция (МИ)'!$G$25:$G$603,$G93))))</f>
        <v>0</v>
      </c>
      <c r="BA93" s="715">
        <f ca="1">IF(AY93=0,0,(AZ93-AY93)/AY93*100)</f>
        <v>0</v>
      </c>
      <c r="BB93" s="191">
        <f ca="1">IF(AND(method_reg="Метод индексации",god&lt;&gt;first_year),SUMIFS(INDEX('Калькуляция (МИ корр)'!$AJ$25:$BC$603,,MATCH(BB$8,'Калькуляция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(МИ)'!$AJ$25:$BC$603,,MATCH(BB$8,'Калькуляция (МИ)'!$AJ$8:$BC$8,0)),'Калькуляция (МИ)'!$F$25:$F$603,$F93,'Калькуляция (МИ)'!$G$25:$G$603,$G93))))</f>
        <v>0</v>
      </c>
      <c r="BC93" s="191">
        <f ca="1">IF(AND(method_reg="Метод индексации",god&lt;&gt;first_year),SUMIFS(INDEX('Калькуляция (МИ корр)'!$AJ$25:$BC$603,,MATCH(BC$8,'Калькуляция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(МИ)'!$AJ$25:$BC$603,,MATCH(BC$8,'Калькуляция (МИ)'!$AJ$8:$BC$8,0)),'Калькуляция (МИ)'!$F$25:$F$603,$F93,'Калькуляция (МИ)'!$G$25:$G$603,$G93))))</f>
        <v>0</v>
      </c>
      <c r="BD93" s="715">
        <f ca="1">IF(BB93=0,0,(BC93-BB93)/BB93*100)</f>
        <v>0</v>
      </c>
      <c r="BE93" s="191">
        <f ca="1">IF(AND(method_reg="Метод индексации",god&lt;&gt;first_year),SUMIFS(INDEX('Калькуляция (МИ корр)'!$AJ$25:$BC$603,,MATCH(BE$8,'Калькуляция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(МИ)'!$AJ$25:$BC$603,,MATCH(BE$8,'Калькуляция (МИ)'!$AJ$8:$BC$8,0)),'Калькуляция (МИ)'!$F$25:$F$603,$F93,'Калькуляция (МИ)'!$G$25:$G$603,$G93))))</f>
        <v>0</v>
      </c>
      <c r="BF93" s="191">
        <f ca="1">IF(AND(method_reg="Метод индексации",god&lt;&gt;first_year),SUMIFS(INDEX('Калькуляция (МИ корр)'!$AJ$25:$BC$603,,MATCH(BF$8,'Калькуляция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(МИ)'!$AJ$25:$BC$603,,MATCH(BF$8,'Калькуляция (МИ)'!$AJ$8:$BC$8,0)),'Калькуляция (МИ)'!$F$25:$F$603,$F93,'Калькуляция (МИ)'!$G$25:$G$603,$G93))))</f>
        <v>0</v>
      </c>
      <c r="BG93" s="715">
        <f ca="1">IF(BE93=0,0,(BF93-BE93)/BE93*100)</f>
        <v>0</v>
      </c>
      <c r="BH93" s="191"/>
      <c r="BI93" s="191"/>
      <c r="BJ93" s="715">
        <f>IF(BH93=0,0,(BI93-BH93)/BH93*100)</f>
        <v>0</v>
      </c>
      <c r="BK93" s="191"/>
      <c r="BL93" s="191"/>
      <c r="BM93" s="715">
        <f>IF(BK93=0,0,(BL93-BK93)/BK93*100)</f>
        <v>0</v>
      </c>
      <c r="BN93" s="191"/>
      <c r="BO93" s="191"/>
      <c r="BP93" s="715">
        <f>IF(BN93=0,0,(BO93-BN93)/BN93*100)</f>
        <v>0</v>
      </c>
      <c r="BQ93" s="191"/>
      <c r="BR93" s="191"/>
      <c r="BS93" s="715">
        <f>IF(BQ93=0,0,(BR93-BQ93)/BQ93*100)</f>
        <v>0</v>
      </c>
      <c r="BT93" s="191"/>
      <c r="BU93" s="191"/>
      <c r="BV93" s="715">
        <f>IF(BT93=0,0,(BU93-BT93)/BT93*100)</f>
        <v>0</v>
      </c>
      <c r="BW93" s="191"/>
      <c r="BX93" s="191"/>
      <c r="BY93" s="715">
        <f>IF(BW93=0,0,(BX93-BW93)/BW93*100)</f>
        <v>0</v>
      </c>
      <c r="BZ93" s="191"/>
      <c r="CA93" s="191"/>
      <c r="CB93" s="715">
        <f>IF(BZ93=0,0,(CA93-BZ93)/BZ93*100)</f>
        <v>0</v>
      </c>
      <c r="CC93" s="191"/>
      <c r="CD93" s="191"/>
      <c r="CE93" s="715">
        <f>IF(CC93=0,0,(CD93-CC93)/CC93*100)</f>
        <v>0</v>
      </c>
      <c r="CF93" s="191"/>
      <c r="CG93" s="191"/>
      <c r="CH93" s="715">
        <f>IF(CF93=0,0,(CG93-CF93)/CF93*100)</f>
        <v>0</v>
      </c>
      <c r="CI93" s="191"/>
      <c r="CJ93" s="191"/>
      <c r="CK93" s="715">
        <f>IF(CI93=0,0,(CJ93-CI93)/CI93*100)</f>
        <v>0</v>
      </c>
      <c r="CL93" s="191"/>
      <c r="CM93" s="191"/>
      <c r="CN93" s="715">
        <f>IF(CL93=0,0,(CM93-CL93)/CL93*100)</f>
        <v>0</v>
      </c>
      <c r="CO93" s="191"/>
      <c r="CP93" s="191"/>
      <c r="CQ93" s="715">
        <f>IF(CO93=0,0,(CP93-CO93)/CO93*100)</f>
        <v>0</v>
      </c>
      <c r="CR93" s="191"/>
      <c r="CS93" s="191"/>
      <c r="CT93" s="715">
        <f>IF(CR93=0,0,(CS93-CR93)/CR93*100)</f>
        <v>0</v>
      </c>
      <c r="CU93" s="191"/>
      <c r="CV93" s="191"/>
      <c r="CW93" s="715">
        <f>IF(CU93=0,0,(CV93-CU93)/CU93*100)</f>
        <v>0</v>
      </c>
      <c r="CX93" s="191"/>
      <c r="CY93" s="191"/>
      <c r="CZ93" s="715">
        <f>IF(CX93=0,0,(CY93-CX93)/CX93*100)</f>
        <v>0</v>
      </c>
      <c r="DA93" s="191"/>
      <c r="DB93" s="191"/>
      <c r="DC93" s="715">
        <f>IF(DA93=0,0,(DB93-DA93)/DA93*100)</f>
        <v>0</v>
      </c>
      <c r="DD93" s="191"/>
      <c r="DE93" s="191"/>
      <c r="DF93" s="715">
        <f>IF(DD93=0,0,(DE93-DD93)/DD93*100)</f>
        <v>0</v>
      </c>
      <c r="DG93" s="191"/>
      <c r="DH93" s="191"/>
      <c r="DI93" s="715">
        <f>IF(DG93=0,0,(DH93-DG93)/DG93*100)</f>
        <v>0</v>
      </c>
      <c r="DJ93" s="191"/>
      <c r="DK93" s="191"/>
      <c r="DL93" s="715">
        <f>IF(DJ93=0,0,(DK93-DJ93)/DJ93*100)</f>
        <v>0</v>
      </c>
      <c r="DM93" s="191"/>
      <c r="DN93" s="191"/>
      <c r="DO93" s="715">
        <f>IF(DM93=0,0,(DN93-DM93)/DM93*100)</f>
        <v>0</v>
      </c>
      <c r="DP93" s="191"/>
      <c r="DQ93" s="191"/>
      <c r="DR93" s="715">
        <f>IF(DP93=0,0,(DQ93-DP93)/DP93*100)</f>
        <v>0</v>
      </c>
      <c r="DS93" s="191"/>
      <c r="DT93" s="191"/>
      <c r="DU93" s="715">
        <f>IF(DS93=0,0,(DT93-DS93)/DS93*100)</f>
        <v>0</v>
      </c>
      <c r="DV93" s="191"/>
      <c r="DW93" s="191"/>
      <c r="DX93" s="715">
        <f>IF(DV93=0,0,(DW93-DV93)/DV93*100)</f>
        <v>0</v>
      </c>
      <c r="DY93" s="191"/>
      <c r="DZ93" s="191"/>
      <c r="EA93" s="715">
        <f>IF(DY93=0,0,(DZ93-DY93)/DY93*100)</f>
        <v>0</v>
      </c>
      <c r="EB93" s="191"/>
      <c r="EC93" s="191"/>
      <c r="ED93" s="715">
        <f>IF(EB93=0,0,(EC93-EB93)/EB93*100)</f>
        <v>0</v>
      </c>
      <c r="EE93" s="191"/>
      <c r="EF93" s="191"/>
      <c r="EG93" s="715">
        <f>IF(EE93=0,0,(EF93-EE93)/EE93*100)</f>
        <v>0</v>
      </c>
      <c r="EH93" s="191"/>
      <c r="EI93" s="191"/>
      <c r="EJ93" s="715">
        <f>IF(EH93=0,0,(EI93-EH93)/EH93*100)</f>
        <v>0</v>
      </c>
      <c r="EK93" s="191"/>
      <c r="EL93" s="191"/>
      <c r="EM93" s="715">
        <f>IF(EK93=0,0,(EL93-EK93)/EK93*100)</f>
        <v>0</v>
      </c>
      <c r="EN93" s="191"/>
      <c r="EO93" s="191"/>
      <c r="EP93" s="715">
        <f>IF(EN93=0,0,(EO93-EN93)/EN93*100)</f>
        <v>0</v>
      </c>
      <c r="EQ93" s="191"/>
      <c r="ER93" s="191"/>
      <c r="ES93" s="715">
        <f>IF(EQ93=0,0,(ER93-EQ93)/EQ93*100)</f>
        <v>0</v>
      </c>
      <c r="ET93" s="191"/>
      <c r="EU93" s="191"/>
      <c r="EV93" s="715">
        <f>IF(ET93=0,0,(EU93-ET93)/ET93*100)</f>
        <v>0</v>
      </c>
      <c r="EW93" s="191"/>
      <c r="EX93" s="191"/>
      <c r="EY93" s="715">
        <f>IF(EW93=0,0,(EX93-EW93)/EW93*100)</f>
        <v>0</v>
      </c>
      <c r="EZ93" s="191"/>
      <c r="FA93" s="191"/>
      <c r="FB93" s="715">
        <f>IF(EZ93=0,0,(FA93-EZ93)/EZ93*100)</f>
        <v>0</v>
      </c>
      <c r="FC93" s="191"/>
      <c r="FD93" s="191"/>
      <c r="FE93" s="715">
        <f>IF(FC93=0,0,(FD93-FC93)/FC93*100)</f>
        <v>0</v>
      </c>
      <c r="FF93" s="191"/>
      <c r="FG93" s="191"/>
      <c r="FH93" s="715">
        <f>IF(FF93=0,0,(FG93-FF93)/FF93*100)</f>
        <v>0</v>
      </c>
      <c r="FI93" s="191"/>
      <c r="FJ93" s="191"/>
      <c r="FK93" s="715">
        <f>IF(FI93=0,0,(FJ93-FI93)/FI93*100)</f>
        <v>0</v>
      </c>
      <c r="FL93" s="191"/>
      <c r="FM93" s="191"/>
      <c r="FN93" s="715">
        <f>IF(FL93=0,0,(FM93-FL93)/FL93*100)</f>
        <v>0</v>
      </c>
      <c r="FO93" s="191"/>
      <c r="FP93" s="191"/>
      <c r="FQ93" s="715">
        <f>IF(FO93=0,0,(FP93-FO93)/FO93*100)</f>
        <v>0</v>
      </c>
      <c r="FR93" s="191"/>
      <c r="FS93" s="191"/>
      <c r="FT93" s="715">
        <f>IF(FR93=0,0,(FS93-FR93)/FR93*100)</f>
        <v>0</v>
      </c>
      <c r="FU93" s="191"/>
      <c r="FV93" s="191"/>
      <c r="FW93" s="715">
        <f>IF(FU93=0,0,(FV93-FU93)/FU93*100)</f>
        <v>0</v>
      </c>
      <c r="FX93" s="204"/>
      <c r="FZ93" s="691" t="s">
        <v>1655</v>
      </c>
    </row>
    <row r="94" spans="1:186" s="866" customFormat="1" ht="27.2" customHeight="1" x14ac:dyDescent="0.15">
      <c r="A94" s="594"/>
      <c r="B94" s="613" t="b" cm="1">
        <f t="array" ref="B94">B93</f>
        <v>1</v>
      </c>
      <c r="C94" s="594"/>
      <c r="D94" s="594"/>
      <c r="E94" s="595">
        <v>24.5</v>
      </c>
      <c r="F94" s="3" t="str" cm="1">
        <f t="array" aca="1" ref="F94" ca="1">OFFSET(E94,-1,1)</f>
        <v>1</v>
      </c>
      <c r="G94" s="25" t="s">
        <v>1656</v>
      </c>
      <c r="H94" s="59" t="s">
        <v>482</v>
      </c>
      <c r="I94" s="59" t="s">
        <v>1657</v>
      </c>
      <c r="J94" s="594"/>
      <c r="K94" s="594"/>
      <c r="L94" s="59"/>
      <c r="M94" s="594"/>
      <c r="N94" s="594"/>
      <c r="O94" s="594"/>
      <c r="P94" s="594"/>
      <c r="Q94" s="594"/>
      <c r="R94" s="59"/>
      <c r="S94" s="59"/>
      <c r="T94" s="353" t="b" cm="1">
        <f t="array" ref="T94">T93</f>
        <v>1</v>
      </c>
      <c r="U94" s="594"/>
      <c r="V94" s="594"/>
      <c r="W94" s="594"/>
      <c r="X94" s="1022"/>
      <c r="Y94" s="594"/>
      <c r="Z94" s="966"/>
      <c r="AA94" s="594"/>
      <c r="AB94" s="205" t="s">
        <v>1658</v>
      </c>
      <c r="AC94" s="206" t="s">
        <v>1644</v>
      </c>
      <c r="AD94" s="596">
        <f ca="1">IF(AND(method_reg="Метод индексации",god&lt;&gt;first_year),SUMIFS(INDEX('Калькуляция (МИ корр)'!$AJ$25:$BC$603,,MATCH(AD$8,'Калькуляция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(МИ)'!$AJ$25:$BC$603,,MATCH(AD$8,'Калькуляция (МИ)'!$AJ$8:$BC$8,0)),'Калькуляция (МИ)'!$F$25:$F$603,$F94,'Калькуляция (МИ)'!$G$25:$G$603,$G94))))</f>
        <v>0</v>
      </c>
      <c r="AE94" s="596">
        <f ca="1">IF(AND(method_reg="Метод индексации",god&lt;&gt;first_year),SUMIFS(INDEX('Калькуляция (МИ корр)'!$AJ$25:$BC$603,,MATCH(AE$8,'Калькуляция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(МИ)'!$AJ$25:$BC$603,,MATCH(AE$8,'Калькуляция (МИ)'!$AJ$8:$BC$8,0)),'Калькуляция (МИ)'!$F$25:$F$603,$F94,'Калькуляция (МИ)'!$G$25:$G$603,$G94))))</f>
        <v>0</v>
      </c>
      <c r="AF94" s="208">
        <f ca="1">IF(AD94=0,0,(AE94-AD94)/AD94*100)</f>
        <v>0</v>
      </c>
      <c r="AG94" s="861">
        <f ca="1">IF(AND(method_reg="Метод индексации",god&lt;&gt;first_year),SUMIFS(INDEX('Калькуляция (МИ корр)'!$AJ$25:$BC$603,,MATCH(AG$8,'Калькуляция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(МИ)'!$AJ$25:$BC$603,,MATCH(AG$8,'Калькуляция (МИ)'!$AJ$8:$BC$8,0)),'Калькуляция (МИ)'!$F$25:$F$603,$F94,'Калькуляция (МИ)'!$G$25:$G$603,$G94))))</f>
        <v>0</v>
      </c>
      <c r="AH94" s="861">
        <f ca="1">IF(AND(method_reg="Метод индексации",god&lt;&gt;first_year),SUMIFS(INDEX('Калькуляция (МИ корр)'!$AJ$25:$BC$603,,MATCH(AH$8,'Калькуляция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(МИ)'!$AJ$25:$BC$603,,MATCH(AH$8,'Калькуляция (МИ)'!$AJ$8:$BC$8,0)),'Калькуляция (МИ)'!$F$25:$F$603,$F94,'Калькуляция (МИ)'!$G$25:$G$603,$G94))))</f>
        <v>0</v>
      </c>
      <c r="AI94" s="208">
        <f ca="1">IF(AG94=0,0,(AH94-AG94)/AG94*100)</f>
        <v>0</v>
      </c>
      <c r="AJ94" s="861">
        <f ca="1">IF(AND(method_reg="Метод индексации",god&lt;&gt;first_year),SUMIFS(INDEX('Калькуляция (МИ корр)'!$AJ$25:$BC$603,,MATCH(AJ$8,'Калькуляция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(МИ)'!$AJ$25:$BC$603,,MATCH(AJ$8,'Калькуляция (МИ)'!$AJ$8:$BC$8,0)),'Калькуляция (МИ)'!$F$25:$F$603,$F94,'Калькуляция (МИ)'!$G$25:$G$603,$G94))))</f>
        <v>0</v>
      </c>
      <c r="AK94" s="861">
        <f ca="1">IF(AND(method_reg="Метод индексации",god&lt;&gt;first_year),SUMIFS(INDEX('Калькуляция (МИ корр)'!$AJ$25:$BC$603,,MATCH(AK$8,'Калькуляция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(МИ)'!$AJ$25:$BC$603,,MATCH(AK$8,'Калькуляция (МИ)'!$AJ$8:$BC$8,0)),'Калькуляция (МИ)'!$F$25:$F$603,$F94,'Калькуляция (МИ)'!$G$25:$G$603,$G94))))</f>
        <v>0</v>
      </c>
      <c r="AL94" s="208">
        <f ca="1">IF(AJ94=0,0,(AK94-AJ94)/AJ94*100)</f>
        <v>0</v>
      </c>
      <c r="AM94" s="596">
        <f ca="1">IF(AND(method_reg="Метод индексации",god&lt;&gt;first_year),SUMIFS(INDEX('Калькуляция (МИ корр)'!$AJ$25:$BC$603,,MATCH(AM$8,'Калькуляция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(МИ)'!$AJ$25:$BC$603,,MATCH(AM$8,'Калькуляция (МИ)'!$AJ$8:$BC$8,0)),'Калькуляция (МИ)'!$F$25:$F$603,$F94,'Калькуляция (МИ)'!$G$25:$G$603,$G94))))</f>
        <v>0</v>
      </c>
      <c r="AN94" s="596">
        <f ca="1">IF(AND(method_reg="Метод индексации",god&lt;&gt;first_year),SUMIFS(INDEX('Калькуляция (МИ корр)'!$AJ$25:$BC$603,,MATCH(AN$8,'Калькуляция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(МИ)'!$AJ$25:$BC$603,,MATCH(AN$8,'Калькуляция (МИ)'!$AJ$8:$BC$8,0)),'Калькуляция (МИ)'!$F$25:$F$603,$F94,'Калькуляция (МИ)'!$G$25:$G$603,$G94))))</f>
        <v>0</v>
      </c>
      <c r="AO94" s="208">
        <f ca="1">IF(AM94=0,0,(AN94-AM94)/AM94*100)</f>
        <v>0</v>
      </c>
      <c r="AP94" s="596">
        <f ca="1">IF(AND(method_reg="Метод индексации",god&lt;&gt;first_year),SUMIFS(INDEX('Калькуляция (МИ корр)'!$AJ$25:$BC$603,,MATCH(AP$8,'Калькуляция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(МИ)'!$AJ$25:$BC$603,,MATCH(AP$8,'Калькуляция (МИ)'!$AJ$8:$BC$8,0)),'Калькуляция (МИ)'!$F$25:$F$603,$F94,'Калькуляция (МИ)'!$G$25:$G$603,$G94))))</f>
        <v>0</v>
      </c>
      <c r="AQ94" s="596">
        <f ca="1">IF(AND(method_reg="Метод индексации",god&lt;&gt;first_year),SUMIFS(INDEX('Калькуляция (МИ корр)'!$AJ$25:$BC$603,,MATCH(AQ$8,'Калькуляция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(МИ)'!$AJ$25:$BC$603,,MATCH(AQ$8,'Калькуляция (МИ)'!$AJ$8:$BC$8,0)),'Калькуляция (МИ)'!$F$25:$F$603,$F94,'Калькуляция (МИ)'!$G$25:$G$603,$G94))))</f>
        <v>0</v>
      </c>
      <c r="AR94" s="208">
        <f ca="1">IF(AP94=0,0,(AQ94-AP94)/AP94*100)</f>
        <v>0</v>
      </c>
      <c r="AS94" s="596">
        <f ca="1">IF(AND(method_reg="Метод индексации",god&lt;&gt;first_year),SUMIFS(INDEX('Калькуляция (МИ корр)'!$AJ$25:$BC$603,,MATCH(AS$8,'Калькуляция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(МИ)'!$AJ$25:$BC$603,,MATCH(AS$8,'Калькуляция (МИ)'!$AJ$8:$BC$8,0)),'Калькуляция (МИ)'!$F$25:$F$603,$F94,'Калькуляция (МИ)'!$G$25:$G$603,$G94))))</f>
        <v>0</v>
      </c>
      <c r="AT94" s="596">
        <f ca="1">IF(AND(method_reg="Метод индексации",god&lt;&gt;first_year),SUMIFS(INDEX('Калькуляция (МИ корр)'!$AJ$25:$BC$603,,MATCH(AT$8,'Калькуляция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(МИ)'!$AJ$25:$BC$603,,MATCH(AT$8,'Калькуляция (МИ)'!$AJ$8:$BC$8,0)),'Калькуляция (МИ)'!$F$25:$F$603,$F94,'Калькуляция (МИ)'!$G$25:$G$603,$G94))))</f>
        <v>0</v>
      </c>
      <c r="AU94" s="208">
        <f ca="1">IF(AS94=0,0,(AT94-AS94)/AS94*100)</f>
        <v>0</v>
      </c>
      <c r="AV94" s="596">
        <f ca="1">IF(AND(method_reg="Метод индексации",god&lt;&gt;first_year),SUMIFS(INDEX('Калькуляция (МИ корр)'!$AJ$25:$BC$603,,MATCH(AV$8,'Калькуляция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(МИ)'!$AJ$25:$BC$603,,MATCH(AV$8,'Калькуляция (МИ)'!$AJ$8:$BC$8,0)),'Калькуляция (МИ)'!$F$25:$F$603,$F94,'Калькуляция (МИ)'!$G$25:$G$603,$G94))))</f>
        <v>0</v>
      </c>
      <c r="AW94" s="596">
        <f ca="1">IF(AND(method_reg="Метод индексации",god&lt;&gt;first_year),SUMIFS(INDEX('Калькуляция (МИ корр)'!$AJ$25:$BC$603,,MATCH(AW$8,'Калькуляция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(МИ)'!$AJ$25:$BC$603,,MATCH(AW$8,'Калькуляция (МИ)'!$AJ$8:$BC$8,0)),'Калькуляция (МИ)'!$F$25:$F$603,$F94,'Калькуляция (МИ)'!$G$25:$G$603,$G94))))</f>
        <v>0</v>
      </c>
      <c r="AX94" s="208">
        <f ca="1">IF(AV94=0,0,(AW94-AV94)/AV94*100)</f>
        <v>0</v>
      </c>
      <c r="AY94" s="596">
        <f ca="1">IF(AND(method_reg="Метод индексации",god&lt;&gt;first_year),SUMIFS(INDEX('Калькуляция (МИ корр)'!$AJ$25:$BC$603,,MATCH(AY$8,'Калькуляция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(МИ)'!$AJ$25:$BC$603,,MATCH(AY$8,'Калькуляция (МИ)'!$AJ$8:$BC$8,0)),'Калькуляция (МИ)'!$F$25:$F$603,$F94,'Калькуляция (МИ)'!$G$25:$G$603,$G94))))</f>
        <v>0</v>
      </c>
      <c r="AZ94" s="596">
        <f ca="1">IF(AND(method_reg="Метод индексации",god&lt;&gt;first_year),SUMIFS(INDEX('Калькуляция (МИ корр)'!$AJ$25:$BC$603,,MATCH(AZ$8,'Калькуляция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(МИ)'!$AJ$25:$BC$603,,MATCH(AZ$8,'Калькуляция (МИ)'!$AJ$8:$BC$8,0)),'Калькуляция (МИ)'!$F$25:$F$603,$F94,'Калькуляция (МИ)'!$G$25:$G$603,$G94))))</f>
        <v>0</v>
      </c>
      <c r="BA94" s="208">
        <f ca="1">IF(AY94=0,0,(AZ94-AY94)/AY94*100)</f>
        <v>0</v>
      </c>
      <c r="BB94" s="596">
        <f ca="1">IF(AND(method_reg="Метод индексации",god&lt;&gt;first_year),SUMIFS(INDEX('Калькуляция (МИ корр)'!$AJ$25:$BC$603,,MATCH(BB$8,'Калькуляция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(МИ)'!$AJ$25:$BC$603,,MATCH(BB$8,'Калькуляция (МИ)'!$AJ$8:$BC$8,0)),'Калькуляция (МИ)'!$F$25:$F$603,$F94,'Калькуляция (МИ)'!$G$25:$G$603,$G94))))</f>
        <v>0</v>
      </c>
      <c r="BC94" s="596">
        <f ca="1">IF(AND(method_reg="Метод индексации",god&lt;&gt;first_year),SUMIFS(INDEX('Калькуляция (МИ корр)'!$AJ$25:$BC$603,,MATCH(BC$8,'Калькуляция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(МИ)'!$AJ$25:$BC$603,,MATCH(BC$8,'Калькуляция (МИ)'!$AJ$8:$BC$8,0)),'Калькуляция (МИ)'!$F$25:$F$603,$F94,'Калькуляция (МИ)'!$G$25:$G$603,$G94))))</f>
        <v>0</v>
      </c>
      <c r="BD94" s="208">
        <f ca="1">IF(BB94=0,0,(BC94-BB94)/BB94*100)</f>
        <v>0</v>
      </c>
      <c r="BE94" s="596">
        <f ca="1">IF(AND(method_reg="Метод индексации",god&lt;&gt;first_year),SUMIFS(INDEX('Калькуляция (МИ корр)'!$AJ$25:$BC$603,,MATCH(BE$8,'Калькуляция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(МИ)'!$AJ$25:$BC$603,,MATCH(BE$8,'Калькуляция (МИ)'!$AJ$8:$BC$8,0)),'Калькуляция (МИ)'!$F$25:$F$603,$F94,'Калькуляция (МИ)'!$G$25:$G$603,$G94))))</f>
        <v>0</v>
      </c>
      <c r="BF94" s="596">
        <f ca="1">IF(AND(method_reg="Метод индексации",god&lt;&gt;first_year),SUMIFS(INDEX('Калькуляция (МИ корр)'!$AJ$25:$BC$603,,MATCH(BF$8,'Калькуляция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(МИ)'!$AJ$25:$BC$603,,MATCH(BF$8,'Калькуляция (МИ)'!$AJ$8:$BC$8,0)),'Калькуляция (МИ)'!$F$25:$F$603,$F94,'Калькуляция (МИ)'!$G$25:$G$603,$G94))))</f>
        <v>0</v>
      </c>
      <c r="BG94" s="208">
        <f ca="1">IF(BE94=0,0,(BF94-BE94)/BE94*100)</f>
        <v>0</v>
      </c>
      <c r="BH94" s="596"/>
      <c r="BI94" s="596"/>
      <c r="BJ94" s="208">
        <f>IF(BH94=0,0,(BI94-BH94)/BH94*100)</f>
        <v>0</v>
      </c>
      <c r="BK94" s="596"/>
      <c r="BL94" s="596"/>
      <c r="BM94" s="208">
        <f>IF(BK94=0,0,(BL94-BK94)/BK94*100)</f>
        <v>0</v>
      </c>
      <c r="BN94" s="596"/>
      <c r="BO94" s="596"/>
      <c r="BP94" s="208">
        <f>IF(BN94=0,0,(BO94-BN94)/BN94*100)</f>
        <v>0</v>
      </c>
      <c r="BQ94" s="596"/>
      <c r="BR94" s="596"/>
      <c r="BS94" s="208">
        <f>IF(BQ94=0,0,(BR94-BQ94)/BQ94*100)</f>
        <v>0</v>
      </c>
      <c r="BT94" s="596"/>
      <c r="BU94" s="596"/>
      <c r="BV94" s="208">
        <f>IF(BT94=0,0,(BU94-BT94)/BT94*100)</f>
        <v>0</v>
      </c>
      <c r="BW94" s="596"/>
      <c r="BX94" s="596"/>
      <c r="BY94" s="208">
        <f>IF(BW94=0,0,(BX94-BW94)/BW94*100)</f>
        <v>0</v>
      </c>
      <c r="BZ94" s="596"/>
      <c r="CA94" s="596"/>
      <c r="CB94" s="208">
        <f>IF(BZ94=0,0,(CA94-BZ94)/BZ94*100)</f>
        <v>0</v>
      </c>
      <c r="CC94" s="596"/>
      <c r="CD94" s="596"/>
      <c r="CE94" s="208">
        <f>IF(CC94=0,0,(CD94-CC94)/CC94*100)</f>
        <v>0</v>
      </c>
      <c r="CF94" s="596"/>
      <c r="CG94" s="596"/>
      <c r="CH94" s="208">
        <f>IF(CF94=0,0,(CG94-CF94)/CF94*100)</f>
        <v>0</v>
      </c>
      <c r="CI94" s="596"/>
      <c r="CJ94" s="596"/>
      <c r="CK94" s="208">
        <f>IF(CI94=0,0,(CJ94-CI94)/CI94*100)</f>
        <v>0</v>
      </c>
      <c r="CL94" s="596"/>
      <c r="CM94" s="596"/>
      <c r="CN94" s="208">
        <f>IF(CL94=0,0,(CM94-CL94)/CL94*100)</f>
        <v>0</v>
      </c>
      <c r="CO94" s="596"/>
      <c r="CP94" s="596"/>
      <c r="CQ94" s="208">
        <f>IF(CO94=0,0,(CP94-CO94)/CO94*100)</f>
        <v>0</v>
      </c>
      <c r="CR94" s="596"/>
      <c r="CS94" s="596"/>
      <c r="CT94" s="208">
        <f>IF(CR94=0,0,(CS94-CR94)/CR94*100)</f>
        <v>0</v>
      </c>
      <c r="CU94" s="596"/>
      <c r="CV94" s="596"/>
      <c r="CW94" s="208">
        <f>IF(CU94=0,0,(CV94-CU94)/CU94*100)</f>
        <v>0</v>
      </c>
      <c r="CX94" s="596"/>
      <c r="CY94" s="596"/>
      <c r="CZ94" s="208">
        <f>IF(CX94=0,0,(CY94-CX94)/CX94*100)</f>
        <v>0</v>
      </c>
      <c r="DA94" s="596"/>
      <c r="DB94" s="596"/>
      <c r="DC94" s="208">
        <f>IF(DA94=0,0,(DB94-DA94)/DA94*100)</f>
        <v>0</v>
      </c>
      <c r="DD94" s="596"/>
      <c r="DE94" s="596"/>
      <c r="DF94" s="208">
        <f>IF(DD94=0,0,(DE94-DD94)/DD94*100)</f>
        <v>0</v>
      </c>
      <c r="DG94" s="596"/>
      <c r="DH94" s="596"/>
      <c r="DI94" s="208">
        <f>IF(DG94=0,0,(DH94-DG94)/DG94*100)</f>
        <v>0</v>
      </c>
      <c r="DJ94" s="596"/>
      <c r="DK94" s="596"/>
      <c r="DL94" s="208">
        <f>IF(DJ94=0,0,(DK94-DJ94)/DJ94*100)</f>
        <v>0</v>
      </c>
      <c r="DM94" s="596"/>
      <c r="DN94" s="596"/>
      <c r="DO94" s="208">
        <f>IF(DM94=0,0,(DN94-DM94)/DM94*100)</f>
        <v>0</v>
      </c>
      <c r="DP94" s="596"/>
      <c r="DQ94" s="596"/>
      <c r="DR94" s="208">
        <f>IF(DP94=0,0,(DQ94-DP94)/DP94*100)</f>
        <v>0</v>
      </c>
      <c r="DS94" s="596"/>
      <c r="DT94" s="596"/>
      <c r="DU94" s="208">
        <f>IF(DS94=0,0,(DT94-DS94)/DS94*100)</f>
        <v>0</v>
      </c>
      <c r="DV94" s="596"/>
      <c r="DW94" s="596"/>
      <c r="DX94" s="208">
        <f>IF(DV94=0,0,(DW94-DV94)/DV94*100)</f>
        <v>0</v>
      </c>
      <c r="DY94" s="596"/>
      <c r="DZ94" s="596"/>
      <c r="EA94" s="208">
        <f>IF(DY94=0,0,(DZ94-DY94)/DY94*100)</f>
        <v>0</v>
      </c>
      <c r="EB94" s="596"/>
      <c r="EC94" s="596"/>
      <c r="ED94" s="208">
        <f>IF(EB94=0,0,(EC94-EB94)/EB94*100)</f>
        <v>0</v>
      </c>
      <c r="EE94" s="596"/>
      <c r="EF94" s="596"/>
      <c r="EG94" s="208">
        <f>IF(EE94=0,0,(EF94-EE94)/EE94*100)</f>
        <v>0</v>
      </c>
      <c r="EH94" s="596"/>
      <c r="EI94" s="596"/>
      <c r="EJ94" s="208">
        <f>IF(EH94=0,0,(EI94-EH94)/EH94*100)</f>
        <v>0</v>
      </c>
      <c r="EK94" s="596"/>
      <c r="EL94" s="596"/>
      <c r="EM94" s="208">
        <f>IF(EK94=0,0,(EL94-EK94)/EK94*100)</f>
        <v>0</v>
      </c>
      <c r="EN94" s="596"/>
      <c r="EO94" s="596"/>
      <c r="EP94" s="208">
        <f>IF(EN94=0,0,(EO94-EN94)/EN94*100)</f>
        <v>0</v>
      </c>
      <c r="EQ94" s="596"/>
      <c r="ER94" s="596"/>
      <c r="ES94" s="208">
        <f>IF(EQ94=0,0,(ER94-EQ94)/EQ94*100)</f>
        <v>0</v>
      </c>
      <c r="ET94" s="596"/>
      <c r="EU94" s="596"/>
      <c r="EV94" s="208">
        <f>IF(ET94=0,0,(EU94-ET94)/ET94*100)</f>
        <v>0</v>
      </c>
      <c r="EW94" s="596"/>
      <c r="EX94" s="596"/>
      <c r="EY94" s="208">
        <f>IF(EW94=0,0,(EX94-EW94)/EW94*100)</f>
        <v>0</v>
      </c>
      <c r="EZ94" s="596"/>
      <c r="FA94" s="596"/>
      <c r="FB94" s="208">
        <f>IF(EZ94=0,0,(FA94-EZ94)/EZ94*100)</f>
        <v>0</v>
      </c>
      <c r="FC94" s="596"/>
      <c r="FD94" s="596"/>
      <c r="FE94" s="208">
        <f>IF(FC94=0,0,(FD94-FC94)/FC94*100)</f>
        <v>0</v>
      </c>
      <c r="FF94" s="596"/>
      <c r="FG94" s="596"/>
      <c r="FH94" s="208">
        <f>IF(FF94=0,0,(FG94-FF94)/FF94*100)</f>
        <v>0</v>
      </c>
      <c r="FI94" s="596"/>
      <c r="FJ94" s="596"/>
      <c r="FK94" s="208">
        <f>IF(FI94=0,0,(FJ94-FI94)/FI94*100)</f>
        <v>0</v>
      </c>
      <c r="FL94" s="596"/>
      <c r="FM94" s="596"/>
      <c r="FN94" s="208">
        <f>IF(FL94=0,0,(FM94-FL94)/FL94*100)</f>
        <v>0</v>
      </c>
      <c r="FO94" s="596"/>
      <c r="FP94" s="596"/>
      <c r="FQ94" s="208">
        <f>IF(FO94=0,0,(FP94-FO94)/FO94*100)</f>
        <v>0</v>
      </c>
      <c r="FR94" s="596"/>
      <c r="FS94" s="596"/>
      <c r="FT94" s="208">
        <f>IF(FR94=0,0,(FS94-FR94)/FR94*100)</f>
        <v>0</v>
      </c>
      <c r="FU94" s="596"/>
      <c r="FV94" s="596"/>
      <c r="FW94" s="208">
        <f>IF(FU94=0,0,(FV94-FU94)/FU94*100)</f>
        <v>0</v>
      </c>
      <c r="FX94" s="204"/>
      <c r="FY94" s="204"/>
      <c r="FZ94" s="691" t="s">
        <v>1659</v>
      </c>
      <c r="GA94" s="691"/>
      <c r="GB94" s="691"/>
      <c r="GC94" s="692"/>
      <c r="GD94" s="692"/>
    </row>
    <row r="95" spans="1:186" s="866" customFormat="1" ht="30.95" customHeight="1" x14ac:dyDescent="0.15">
      <c r="A95" s="594"/>
      <c r="B95" s="613" t="b" cm="1">
        <f t="array" ref="B95">B94</f>
        <v>1</v>
      </c>
      <c r="C95" s="594"/>
      <c r="D95" s="594"/>
      <c r="E95" s="595">
        <v>24.5</v>
      </c>
      <c r="F95" s="3" t="str" cm="1">
        <f t="array" aca="1" ref="F95" ca="1">OFFSET(E95,-1,1)</f>
        <v>1</v>
      </c>
      <c r="G95" s="25" t="s">
        <v>1660</v>
      </c>
      <c r="H95" s="59" t="s">
        <v>482</v>
      </c>
      <c r="I95" s="59" t="s">
        <v>1661</v>
      </c>
      <c r="J95" s="594"/>
      <c r="K95" s="594"/>
      <c r="L95" s="59"/>
      <c r="M95" s="594"/>
      <c r="N95" s="594"/>
      <c r="O95" s="594"/>
      <c r="P95" s="594"/>
      <c r="Q95" s="594"/>
      <c r="R95" s="59"/>
      <c r="S95" s="59"/>
      <c r="T95" s="353" t="b" cm="1">
        <f t="array" ref="T95">T94</f>
        <v>1</v>
      </c>
      <c r="U95" s="594"/>
      <c r="V95" s="594"/>
      <c r="W95" s="594"/>
      <c r="X95" s="1022"/>
      <c r="Y95" s="594"/>
      <c r="Z95" s="966"/>
      <c r="AA95" s="594"/>
      <c r="AB95" s="713" t="s">
        <v>1662</v>
      </c>
      <c r="AC95" s="206" t="s">
        <v>1644</v>
      </c>
      <c r="AD95" s="596">
        <f ca="1">IF(AND(method_reg="Метод индексации",god&lt;&gt;first_year),SUMIFS(INDEX('Калькуляция (МИ корр)'!$AJ$25:$BC$603,,MATCH(AD$8,'Калькуляция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(МИ)'!$AJ$25:$BC$603,,MATCH(AD$8,'Калькуляция (МИ)'!$AJ$8:$BC$8,0)),'Калькуляция (МИ)'!$F$25:$F$603,$F95,'Калькуляция (МИ)'!$G$25:$G$603,$G95))))</f>
        <v>0</v>
      </c>
      <c r="AE95" s="596">
        <f ca="1">IF(AND(method_reg="Метод индексации",god&lt;&gt;first_year),SUMIFS(INDEX('Калькуляция (МИ корр)'!$AJ$25:$BC$603,,MATCH(AE$8,'Калькуляция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(МИ)'!$AJ$25:$BC$603,,MATCH(AE$8,'Калькуляция (МИ)'!$AJ$8:$BC$8,0)),'Калькуляция (МИ)'!$F$25:$F$603,$F95,'Калькуляция (МИ)'!$G$25:$G$603,$G95))))</f>
        <v>0</v>
      </c>
      <c r="AF95" s="208">
        <f ca="1">IF(AD95=0,0,(AE95-AD95)/AD95*100)</f>
        <v>0</v>
      </c>
      <c r="AG95" s="861">
        <f ca="1">IF(AND(method_reg="Метод индексации",god&lt;&gt;first_year),SUMIFS(INDEX('Калькуляция (МИ корр)'!$AJ$25:$BC$603,,MATCH(AG$8,'Калькуляция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(МИ)'!$AJ$25:$BC$603,,MATCH(AG$8,'Калькуляция (МИ)'!$AJ$8:$BC$8,0)),'Калькуляция (МИ)'!$F$25:$F$603,$F95,'Калькуляция (МИ)'!$G$25:$G$603,$G95))))</f>
        <v>0</v>
      </c>
      <c r="AH95" s="861">
        <f ca="1">IF(AND(method_reg="Метод индексации",god&lt;&gt;first_year),SUMIFS(INDEX('Калькуляция (МИ корр)'!$AJ$25:$BC$603,,MATCH(AH$8,'Калькуляция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(МИ)'!$AJ$25:$BC$603,,MATCH(AH$8,'Калькуляция (МИ)'!$AJ$8:$BC$8,0)),'Калькуляция (МИ)'!$F$25:$F$603,$F95,'Калькуляция (МИ)'!$G$25:$G$603,$G95))))</f>
        <v>0</v>
      </c>
      <c r="AI95" s="208">
        <f ca="1">IF(AG95=0,0,(AH95-AG95)/AG95*100)</f>
        <v>0</v>
      </c>
      <c r="AJ95" s="861">
        <f ca="1">IF(AND(method_reg="Метод индексации",god&lt;&gt;first_year),SUMIFS(INDEX('Калькуляция (МИ корр)'!$AJ$25:$BC$603,,MATCH(AJ$8,'Калькуляция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(МИ)'!$AJ$25:$BC$603,,MATCH(AJ$8,'Калькуляция (МИ)'!$AJ$8:$BC$8,0)),'Калькуляция (МИ)'!$F$25:$F$603,$F95,'Калькуляция (МИ)'!$G$25:$G$603,$G95))))</f>
        <v>0</v>
      </c>
      <c r="AK95" s="861">
        <f ca="1">IF(AND(method_reg="Метод индексации",god&lt;&gt;first_year),SUMIFS(INDEX('Калькуляция (МИ корр)'!$AJ$25:$BC$603,,MATCH(AK$8,'Калькуляция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(МИ)'!$AJ$25:$BC$603,,MATCH(AK$8,'Калькуляция (МИ)'!$AJ$8:$BC$8,0)),'Калькуляция (МИ)'!$F$25:$F$603,$F95,'Калькуляция (МИ)'!$G$25:$G$603,$G95))))</f>
        <v>0</v>
      </c>
      <c r="AL95" s="208">
        <f ca="1">IF(AJ95=0,0,(AK95-AJ95)/AJ95*100)</f>
        <v>0</v>
      </c>
      <c r="AM95" s="596">
        <f ca="1">IF(AND(method_reg="Метод индексации",god&lt;&gt;first_year),SUMIFS(INDEX('Калькуляция (МИ корр)'!$AJ$25:$BC$603,,MATCH(AM$8,'Калькуляция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(МИ)'!$AJ$25:$BC$603,,MATCH(AM$8,'Калькуляция (МИ)'!$AJ$8:$BC$8,0)),'Калькуляция (МИ)'!$F$25:$F$603,$F95,'Калькуляция (МИ)'!$G$25:$G$603,$G95))))</f>
        <v>0</v>
      </c>
      <c r="AN95" s="596">
        <f ca="1">IF(AND(method_reg="Метод индексации",god&lt;&gt;first_year),SUMIFS(INDEX('Калькуляция (МИ корр)'!$AJ$25:$BC$603,,MATCH(AN$8,'Калькуляция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(МИ)'!$AJ$25:$BC$603,,MATCH(AN$8,'Калькуляция (МИ)'!$AJ$8:$BC$8,0)),'Калькуляция (МИ)'!$F$25:$F$603,$F95,'Калькуляция (МИ)'!$G$25:$G$603,$G95))))</f>
        <v>0</v>
      </c>
      <c r="AO95" s="208">
        <f ca="1">IF(AM95=0,0,(AN95-AM95)/AM95*100)</f>
        <v>0</v>
      </c>
      <c r="AP95" s="596">
        <f ca="1">IF(AND(method_reg="Метод индексации",god&lt;&gt;first_year),SUMIFS(INDEX('Калькуляция (МИ корр)'!$AJ$25:$BC$603,,MATCH(AP$8,'Калькуляция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(МИ)'!$AJ$25:$BC$603,,MATCH(AP$8,'Калькуляция (МИ)'!$AJ$8:$BC$8,0)),'Калькуляция (МИ)'!$F$25:$F$603,$F95,'Калькуляция (МИ)'!$G$25:$G$603,$G95))))</f>
        <v>0</v>
      </c>
      <c r="AQ95" s="596">
        <f ca="1">IF(AND(method_reg="Метод индексации",god&lt;&gt;first_year),SUMIFS(INDEX('Калькуляция (МИ корр)'!$AJ$25:$BC$603,,MATCH(AQ$8,'Калькуляция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(МИ)'!$AJ$25:$BC$603,,MATCH(AQ$8,'Калькуляция (МИ)'!$AJ$8:$BC$8,0)),'Калькуляция (МИ)'!$F$25:$F$603,$F95,'Калькуляция (МИ)'!$G$25:$G$603,$G95))))</f>
        <v>0</v>
      </c>
      <c r="AR95" s="208">
        <f ca="1">IF(AP95=0,0,(AQ95-AP95)/AP95*100)</f>
        <v>0</v>
      </c>
      <c r="AS95" s="596">
        <f ca="1">IF(AND(method_reg="Метод индексации",god&lt;&gt;first_year),SUMIFS(INDEX('Калькуляция (МИ корр)'!$AJ$25:$BC$603,,MATCH(AS$8,'Калькуляция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(МИ)'!$AJ$25:$BC$603,,MATCH(AS$8,'Калькуляция (МИ)'!$AJ$8:$BC$8,0)),'Калькуляция (МИ)'!$F$25:$F$603,$F95,'Калькуляция (МИ)'!$G$25:$G$603,$G95))))</f>
        <v>0</v>
      </c>
      <c r="AT95" s="596">
        <f ca="1">IF(AND(method_reg="Метод индексации",god&lt;&gt;first_year),SUMIFS(INDEX('Калькуляция (МИ корр)'!$AJ$25:$BC$603,,MATCH(AT$8,'Калькуляция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(МИ)'!$AJ$25:$BC$603,,MATCH(AT$8,'Калькуляция (МИ)'!$AJ$8:$BC$8,0)),'Калькуляция (МИ)'!$F$25:$F$603,$F95,'Калькуляция (МИ)'!$G$25:$G$603,$G95))))</f>
        <v>0</v>
      </c>
      <c r="AU95" s="208">
        <f ca="1">IF(AS95=0,0,(AT95-AS95)/AS95*100)</f>
        <v>0</v>
      </c>
      <c r="AV95" s="596">
        <f ca="1">IF(AND(method_reg="Метод индексации",god&lt;&gt;first_year),SUMIFS(INDEX('Калькуляция (МИ корр)'!$AJ$25:$BC$603,,MATCH(AV$8,'Калькуляция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(МИ)'!$AJ$25:$BC$603,,MATCH(AV$8,'Калькуляция (МИ)'!$AJ$8:$BC$8,0)),'Калькуляция (МИ)'!$F$25:$F$603,$F95,'Калькуляция (МИ)'!$G$25:$G$603,$G95))))</f>
        <v>0</v>
      </c>
      <c r="AW95" s="596">
        <f ca="1">IF(AND(method_reg="Метод индексации",god&lt;&gt;first_year),SUMIFS(INDEX('Калькуляция (МИ корр)'!$AJ$25:$BC$603,,MATCH(AW$8,'Калькуляция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(МИ)'!$AJ$25:$BC$603,,MATCH(AW$8,'Калькуляция (МИ)'!$AJ$8:$BC$8,0)),'Калькуляция (МИ)'!$F$25:$F$603,$F95,'Калькуляция (МИ)'!$G$25:$G$603,$G95))))</f>
        <v>0</v>
      </c>
      <c r="AX95" s="208">
        <f ca="1">IF(AV95=0,0,(AW95-AV95)/AV95*100)</f>
        <v>0</v>
      </c>
      <c r="AY95" s="596">
        <f ca="1">IF(AND(method_reg="Метод индексации",god&lt;&gt;first_year),SUMIFS(INDEX('Калькуляция (МИ корр)'!$AJ$25:$BC$603,,MATCH(AY$8,'Калькуляция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(МИ)'!$AJ$25:$BC$603,,MATCH(AY$8,'Калькуляция (МИ)'!$AJ$8:$BC$8,0)),'Калькуляция (МИ)'!$F$25:$F$603,$F95,'Калькуляция (МИ)'!$G$25:$G$603,$G95))))</f>
        <v>0</v>
      </c>
      <c r="AZ95" s="596">
        <f ca="1">IF(AND(method_reg="Метод индексации",god&lt;&gt;first_year),SUMIFS(INDEX('Калькуляция (МИ корр)'!$AJ$25:$BC$603,,MATCH(AZ$8,'Калькуляция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(МИ)'!$AJ$25:$BC$603,,MATCH(AZ$8,'Калькуляция (МИ)'!$AJ$8:$BC$8,0)),'Калькуляция (МИ)'!$F$25:$F$603,$F95,'Калькуляция (МИ)'!$G$25:$G$603,$G95))))</f>
        <v>0</v>
      </c>
      <c r="BA95" s="208">
        <f ca="1">IF(AY95=0,0,(AZ95-AY95)/AY95*100)</f>
        <v>0</v>
      </c>
      <c r="BB95" s="596">
        <f ca="1">IF(AND(method_reg="Метод индексации",god&lt;&gt;first_year),SUMIFS(INDEX('Калькуляция (МИ корр)'!$AJ$25:$BC$603,,MATCH(BB$8,'Калькуляция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(МИ)'!$AJ$25:$BC$603,,MATCH(BB$8,'Калькуляция (МИ)'!$AJ$8:$BC$8,0)),'Калькуляция (МИ)'!$F$25:$F$603,$F95,'Калькуляция (МИ)'!$G$25:$G$603,$G95))))</f>
        <v>0</v>
      </c>
      <c r="BC95" s="596">
        <f ca="1">IF(AND(method_reg="Метод индексации",god&lt;&gt;first_year),SUMIFS(INDEX('Калькуляция (МИ корр)'!$AJ$25:$BC$603,,MATCH(BC$8,'Калькуляция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(МИ)'!$AJ$25:$BC$603,,MATCH(BC$8,'Калькуляция (МИ)'!$AJ$8:$BC$8,0)),'Калькуляция (МИ)'!$F$25:$F$603,$F95,'Калькуляция (МИ)'!$G$25:$G$603,$G95))))</f>
        <v>0</v>
      </c>
      <c r="BD95" s="208">
        <f ca="1">IF(BB95=0,0,(BC95-BB95)/BB95*100)</f>
        <v>0</v>
      </c>
      <c r="BE95" s="596">
        <f ca="1">IF(AND(method_reg="Метод индексации",god&lt;&gt;first_year),SUMIFS(INDEX('Калькуляция (МИ корр)'!$AJ$25:$BC$603,,MATCH(BE$8,'Калькуляция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(МИ)'!$AJ$25:$BC$603,,MATCH(BE$8,'Калькуляция (МИ)'!$AJ$8:$BC$8,0)),'Калькуляция (МИ)'!$F$25:$F$603,$F95,'Калькуляция (МИ)'!$G$25:$G$603,$G95))))</f>
        <v>0</v>
      </c>
      <c r="BF95" s="596">
        <f ca="1">IF(AND(method_reg="Метод индексации",god&lt;&gt;first_year),SUMIFS(INDEX('Калькуляция (МИ корр)'!$AJ$25:$BC$603,,MATCH(BF$8,'Калькуляция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(МИ)'!$AJ$25:$BC$603,,MATCH(BF$8,'Калькуляция (МИ)'!$AJ$8:$BC$8,0)),'Калькуляция (МИ)'!$F$25:$F$603,$F95,'Калькуляция (МИ)'!$G$25:$G$603,$G95))))</f>
        <v>0</v>
      </c>
      <c r="BG95" s="208">
        <f ca="1">IF(BE95=0,0,(BF95-BE95)/BE95*100)</f>
        <v>0</v>
      </c>
      <c r="BH95" s="596"/>
      <c r="BI95" s="596"/>
      <c r="BJ95" s="208">
        <f>IF(BH95=0,0,(BI95-BH95)/BH95*100)</f>
        <v>0</v>
      </c>
      <c r="BK95" s="596"/>
      <c r="BL95" s="596"/>
      <c r="BM95" s="208">
        <f>IF(BK95=0,0,(BL95-BK95)/BK95*100)</f>
        <v>0</v>
      </c>
      <c r="BN95" s="596"/>
      <c r="BO95" s="596"/>
      <c r="BP95" s="208">
        <f>IF(BN95=0,0,(BO95-BN95)/BN95*100)</f>
        <v>0</v>
      </c>
      <c r="BQ95" s="596"/>
      <c r="BR95" s="596"/>
      <c r="BS95" s="208">
        <f>IF(BQ95=0,0,(BR95-BQ95)/BQ95*100)</f>
        <v>0</v>
      </c>
      <c r="BT95" s="596"/>
      <c r="BU95" s="596"/>
      <c r="BV95" s="208">
        <f>IF(BT95=0,0,(BU95-BT95)/BT95*100)</f>
        <v>0</v>
      </c>
      <c r="BW95" s="596"/>
      <c r="BX95" s="596"/>
      <c r="BY95" s="208">
        <f>IF(BW95=0,0,(BX95-BW95)/BW95*100)</f>
        <v>0</v>
      </c>
      <c r="BZ95" s="596"/>
      <c r="CA95" s="596"/>
      <c r="CB95" s="208">
        <f>IF(BZ95=0,0,(CA95-BZ95)/BZ95*100)</f>
        <v>0</v>
      </c>
      <c r="CC95" s="596"/>
      <c r="CD95" s="596"/>
      <c r="CE95" s="208">
        <f>IF(CC95=0,0,(CD95-CC95)/CC95*100)</f>
        <v>0</v>
      </c>
      <c r="CF95" s="596"/>
      <c r="CG95" s="596"/>
      <c r="CH95" s="208">
        <f>IF(CF95=0,0,(CG95-CF95)/CF95*100)</f>
        <v>0</v>
      </c>
      <c r="CI95" s="596"/>
      <c r="CJ95" s="596"/>
      <c r="CK95" s="208">
        <f>IF(CI95=0,0,(CJ95-CI95)/CI95*100)</f>
        <v>0</v>
      </c>
      <c r="CL95" s="596"/>
      <c r="CM95" s="596"/>
      <c r="CN95" s="208">
        <f>IF(CL95=0,0,(CM95-CL95)/CL95*100)</f>
        <v>0</v>
      </c>
      <c r="CO95" s="596"/>
      <c r="CP95" s="596"/>
      <c r="CQ95" s="208">
        <f>IF(CO95=0,0,(CP95-CO95)/CO95*100)</f>
        <v>0</v>
      </c>
      <c r="CR95" s="596"/>
      <c r="CS95" s="596"/>
      <c r="CT95" s="208">
        <f>IF(CR95=0,0,(CS95-CR95)/CR95*100)</f>
        <v>0</v>
      </c>
      <c r="CU95" s="596"/>
      <c r="CV95" s="596"/>
      <c r="CW95" s="208">
        <f>IF(CU95=0,0,(CV95-CU95)/CU95*100)</f>
        <v>0</v>
      </c>
      <c r="CX95" s="596"/>
      <c r="CY95" s="596"/>
      <c r="CZ95" s="208">
        <f>IF(CX95=0,0,(CY95-CX95)/CX95*100)</f>
        <v>0</v>
      </c>
      <c r="DA95" s="596"/>
      <c r="DB95" s="596"/>
      <c r="DC95" s="208">
        <f>IF(DA95=0,0,(DB95-DA95)/DA95*100)</f>
        <v>0</v>
      </c>
      <c r="DD95" s="596"/>
      <c r="DE95" s="596"/>
      <c r="DF95" s="208">
        <f>IF(DD95=0,0,(DE95-DD95)/DD95*100)</f>
        <v>0</v>
      </c>
      <c r="DG95" s="596"/>
      <c r="DH95" s="596"/>
      <c r="DI95" s="208">
        <f>IF(DG95=0,0,(DH95-DG95)/DG95*100)</f>
        <v>0</v>
      </c>
      <c r="DJ95" s="596"/>
      <c r="DK95" s="596"/>
      <c r="DL95" s="208">
        <f>IF(DJ95=0,0,(DK95-DJ95)/DJ95*100)</f>
        <v>0</v>
      </c>
      <c r="DM95" s="596"/>
      <c r="DN95" s="596"/>
      <c r="DO95" s="208">
        <f>IF(DM95=0,0,(DN95-DM95)/DM95*100)</f>
        <v>0</v>
      </c>
      <c r="DP95" s="596"/>
      <c r="DQ95" s="596"/>
      <c r="DR95" s="208">
        <f>IF(DP95=0,0,(DQ95-DP95)/DP95*100)</f>
        <v>0</v>
      </c>
      <c r="DS95" s="596"/>
      <c r="DT95" s="596"/>
      <c r="DU95" s="208">
        <f>IF(DS95=0,0,(DT95-DS95)/DS95*100)</f>
        <v>0</v>
      </c>
      <c r="DV95" s="596"/>
      <c r="DW95" s="596"/>
      <c r="DX95" s="208">
        <f>IF(DV95=0,0,(DW95-DV95)/DV95*100)</f>
        <v>0</v>
      </c>
      <c r="DY95" s="596"/>
      <c r="DZ95" s="596"/>
      <c r="EA95" s="208">
        <f>IF(DY95=0,0,(DZ95-DY95)/DY95*100)</f>
        <v>0</v>
      </c>
      <c r="EB95" s="596"/>
      <c r="EC95" s="596"/>
      <c r="ED95" s="208">
        <f>IF(EB95=0,0,(EC95-EB95)/EB95*100)</f>
        <v>0</v>
      </c>
      <c r="EE95" s="596"/>
      <c r="EF95" s="596"/>
      <c r="EG95" s="208">
        <f>IF(EE95=0,0,(EF95-EE95)/EE95*100)</f>
        <v>0</v>
      </c>
      <c r="EH95" s="596"/>
      <c r="EI95" s="596"/>
      <c r="EJ95" s="208">
        <f>IF(EH95=0,0,(EI95-EH95)/EH95*100)</f>
        <v>0</v>
      </c>
      <c r="EK95" s="596"/>
      <c r="EL95" s="596"/>
      <c r="EM95" s="208">
        <f>IF(EK95=0,0,(EL95-EK95)/EK95*100)</f>
        <v>0</v>
      </c>
      <c r="EN95" s="596"/>
      <c r="EO95" s="596"/>
      <c r="EP95" s="208">
        <f>IF(EN95=0,0,(EO95-EN95)/EN95*100)</f>
        <v>0</v>
      </c>
      <c r="EQ95" s="596"/>
      <c r="ER95" s="596"/>
      <c r="ES95" s="208">
        <f>IF(EQ95=0,0,(ER95-EQ95)/EQ95*100)</f>
        <v>0</v>
      </c>
      <c r="ET95" s="596"/>
      <c r="EU95" s="596"/>
      <c r="EV95" s="208">
        <f>IF(ET95=0,0,(EU95-ET95)/ET95*100)</f>
        <v>0</v>
      </c>
      <c r="EW95" s="596"/>
      <c r="EX95" s="596"/>
      <c r="EY95" s="208">
        <f>IF(EW95=0,0,(EX95-EW95)/EW95*100)</f>
        <v>0</v>
      </c>
      <c r="EZ95" s="596"/>
      <c r="FA95" s="596"/>
      <c r="FB95" s="208">
        <f>IF(EZ95=0,0,(FA95-EZ95)/EZ95*100)</f>
        <v>0</v>
      </c>
      <c r="FC95" s="596"/>
      <c r="FD95" s="596"/>
      <c r="FE95" s="208">
        <f>IF(FC95=0,0,(FD95-FC95)/FC95*100)</f>
        <v>0</v>
      </c>
      <c r="FF95" s="596"/>
      <c r="FG95" s="596"/>
      <c r="FH95" s="208">
        <f>IF(FF95=0,0,(FG95-FF95)/FF95*100)</f>
        <v>0</v>
      </c>
      <c r="FI95" s="596"/>
      <c r="FJ95" s="596"/>
      <c r="FK95" s="208">
        <f>IF(FI95=0,0,(FJ95-FI95)/FI95*100)</f>
        <v>0</v>
      </c>
      <c r="FL95" s="596"/>
      <c r="FM95" s="596"/>
      <c r="FN95" s="208">
        <f>IF(FL95=0,0,(FM95-FL95)/FL95*100)</f>
        <v>0</v>
      </c>
      <c r="FO95" s="596"/>
      <c r="FP95" s="596"/>
      <c r="FQ95" s="208">
        <f>IF(FO95=0,0,(FP95-FO95)/FO95*100)</f>
        <v>0</v>
      </c>
      <c r="FR95" s="596"/>
      <c r="FS95" s="596"/>
      <c r="FT95" s="208">
        <f>IF(FR95=0,0,(FS95-FR95)/FR95*100)</f>
        <v>0</v>
      </c>
      <c r="FU95" s="596"/>
      <c r="FV95" s="596"/>
      <c r="FW95" s="208">
        <f>IF(FU95=0,0,(FV95-FU95)/FU95*100)</f>
        <v>0</v>
      </c>
      <c r="FX95" s="204"/>
      <c r="FY95" s="204"/>
      <c r="FZ95" s="691" t="s">
        <v>1663</v>
      </c>
      <c r="GA95" s="691"/>
      <c r="GB95" s="691"/>
      <c r="GC95" s="692"/>
      <c r="GD95" s="692"/>
    </row>
    <row r="96" spans="1:186" ht="21.6" customHeight="1" x14ac:dyDescent="0.15">
      <c r="A96" s="59"/>
      <c r="B96" s="613" t="b" cm="1">
        <f t="array" ref="B96">B95</f>
        <v>1</v>
      </c>
      <c r="C96" s="59"/>
      <c r="D96" s="59"/>
      <c r="E96" s="462">
        <v>15</v>
      </c>
      <c r="F96" s="3" t="str" cm="1">
        <f t="array" aca="1" ref="F96" ca="1">OFFSET(E96,-1,1)</f>
        <v>1</v>
      </c>
      <c r="G96" s="25"/>
      <c r="H96" s="59" t="s">
        <v>486</v>
      </c>
      <c r="I96" s="59" t="s">
        <v>1664</v>
      </c>
      <c r="J96" s="59"/>
      <c r="K96" s="59"/>
      <c r="L96" s="59"/>
      <c r="M96" s="59"/>
      <c r="N96" s="59"/>
      <c r="O96" s="59"/>
      <c r="P96" s="59"/>
      <c r="Q96" s="594"/>
      <c r="R96" s="59"/>
      <c r="S96" s="59"/>
      <c r="T96" s="353" t="b" cm="1">
        <f t="array" ref="T96">T95</f>
        <v>1</v>
      </c>
      <c r="U96" s="59"/>
      <c r="V96" s="59"/>
      <c r="W96" s="59"/>
      <c r="X96" s="1022"/>
      <c r="Y96" s="59"/>
      <c r="Z96" s="966"/>
      <c r="AA96" s="59"/>
      <c r="AB96" s="54" t="s">
        <v>1651</v>
      </c>
      <c r="AC96" s="12" t="s">
        <v>476</v>
      </c>
      <c r="AD96" s="620">
        <f ca="1">IF(AD94=0,0,AD95/AD94)*100</f>
        <v>0</v>
      </c>
      <c r="AE96" s="620">
        <f ca="1">IF(AE94=0,0,AE95/AE94)*100</f>
        <v>0</v>
      </c>
      <c r="AF96" s="714"/>
      <c r="AG96" s="620">
        <f ca="1">IF(AG94=0,0,AG95/AG94)*100</f>
        <v>0</v>
      </c>
      <c r="AH96" s="620">
        <f ca="1">IF(AH94=0,0,AH95/AH94)*100</f>
        <v>0</v>
      </c>
      <c r="AI96" s="714"/>
      <c r="AJ96" s="620">
        <f ca="1">IF(AJ94=0,0,AJ95/AJ94)*100</f>
        <v>0</v>
      </c>
      <c r="AK96" s="620">
        <f ca="1">IF(AK94=0,0,AK95/AK94)*100</f>
        <v>0</v>
      </c>
      <c r="AL96" s="714"/>
      <c r="AM96" s="620">
        <f ca="1">IF(AM94=0,0,AM95/AM94)*100</f>
        <v>0</v>
      </c>
      <c r="AN96" s="620">
        <f ca="1">IF(AN94=0,0,AN95/AN94)*100</f>
        <v>0</v>
      </c>
      <c r="AO96" s="714"/>
      <c r="AP96" s="620">
        <f ca="1">IF(AP94=0,0,AP95/AP94)*100</f>
        <v>0</v>
      </c>
      <c r="AQ96" s="620">
        <f ca="1">IF(AQ94=0,0,AQ95/AQ94)*100</f>
        <v>0</v>
      </c>
      <c r="AR96" s="714"/>
      <c r="AS96" s="620">
        <f ca="1">IF(AS94=0,0,AS95/AS94)*100</f>
        <v>0</v>
      </c>
      <c r="AT96" s="620">
        <f ca="1">IF(AT94=0,0,AT95/AT94)*100</f>
        <v>0</v>
      </c>
      <c r="AU96" s="714"/>
      <c r="AV96" s="620">
        <f ca="1">IF(AV94=0,0,AV95/AV94)*100</f>
        <v>0</v>
      </c>
      <c r="AW96" s="620">
        <f ca="1">IF(AW94=0,0,AW95/AW94)*100</f>
        <v>0</v>
      </c>
      <c r="AX96" s="714"/>
      <c r="AY96" s="620">
        <f ca="1">IF(AY94=0,0,AY95/AY94)*100</f>
        <v>0</v>
      </c>
      <c r="AZ96" s="620">
        <f ca="1">IF(AZ94=0,0,AZ95/AZ94)*100</f>
        <v>0</v>
      </c>
      <c r="BA96" s="714"/>
      <c r="BB96" s="620">
        <f ca="1">IF(BB94=0,0,BB95/BB94)*100</f>
        <v>0</v>
      </c>
      <c r="BC96" s="620">
        <f ca="1">IF(BC94=0,0,BC95/BC94)*100</f>
        <v>0</v>
      </c>
      <c r="BD96" s="714"/>
      <c r="BE96" s="620">
        <f ca="1">IF(BE94=0,0,BE95/BE94)*100</f>
        <v>0</v>
      </c>
      <c r="BF96" s="620">
        <f ca="1">IF(BF94=0,0,BF95/BF94)*100</f>
        <v>0</v>
      </c>
      <c r="BG96" s="714"/>
      <c r="BH96" s="620">
        <f>IF(BH94=0,0,BH95/BH94)*100</f>
        <v>0</v>
      </c>
      <c r="BI96" s="620">
        <f>IF(BI94=0,0,BI95/BI94)*100</f>
        <v>0</v>
      </c>
      <c r="BJ96" s="714"/>
      <c r="BK96" s="620">
        <f>IF(BK94=0,0,BK95/BK94)*100</f>
        <v>0</v>
      </c>
      <c r="BL96" s="620">
        <f>IF(BL94=0,0,BL95/BL94)*100</f>
        <v>0</v>
      </c>
      <c r="BM96" s="714"/>
      <c r="BN96" s="620">
        <f>IF(BN94=0,0,BN95/BN94)*100</f>
        <v>0</v>
      </c>
      <c r="BO96" s="620">
        <f>IF(BO94=0,0,BO95/BO94)*100</f>
        <v>0</v>
      </c>
      <c r="BP96" s="714"/>
      <c r="BQ96" s="620">
        <f>IF(BQ94=0,0,BQ95/BQ94)*100</f>
        <v>0</v>
      </c>
      <c r="BR96" s="620">
        <f>IF(BR94=0,0,BR95/BR94)*100</f>
        <v>0</v>
      </c>
      <c r="BS96" s="714"/>
      <c r="BT96" s="620">
        <f>IF(BT94=0,0,BT95/BT94)*100</f>
        <v>0</v>
      </c>
      <c r="BU96" s="620">
        <f>IF(BU94=0,0,BU95/BU94)*100</f>
        <v>0</v>
      </c>
      <c r="BV96" s="714"/>
      <c r="BW96" s="620">
        <f>IF(BW94=0,0,BW95/BW94)*100</f>
        <v>0</v>
      </c>
      <c r="BX96" s="620">
        <f>IF(BX94=0,0,BX95/BX94)*100</f>
        <v>0</v>
      </c>
      <c r="BY96" s="714"/>
      <c r="BZ96" s="620">
        <f>IF(BZ94=0,0,BZ95/BZ94)*100</f>
        <v>0</v>
      </c>
      <c r="CA96" s="620">
        <f>IF(CA94=0,0,CA95/CA94)*100</f>
        <v>0</v>
      </c>
      <c r="CB96" s="714"/>
      <c r="CC96" s="620">
        <f>IF(CC94=0,0,CC95/CC94)*100</f>
        <v>0</v>
      </c>
      <c r="CD96" s="620">
        <f>IF(CD94=0,0,CD95/CD94)*100</f>
        <v>0</v>
      </c>
      <c r="CE96" s="714"/>
      <c r="CF96" s="620">
        <f>IF(CF94=0,0,CF95/CF94)*100</f>
        <v>0</v>
      </c>
      <c r="CG96" s="620">
        <f>IF(CG94=0,0,CG95/CG94)*100</f>
        <v>0</v>
      </c>
      <c r="CH96" s="714"/>
      <c r="CI96" s="620">
        <f>IF(CI94=0,0,CI95/CI94)*100</f>
        <v>0</v>
      </c>
      <c r="CJ96" s="620">
        <f>IF(CJ94=0,0,CJ95/CJ94)*100</f>
        <v>0</v>
      </c>
      <c r="CK96" s="714"/>
      <c r="CL96" s="620">
        <f>IF(CL94=0,0,CL95/CL94)*100</f>
        <v>0</v>
      </c>
      <c r="CM96" s="620">
        <f>IF(CM94=0,0,CM95/CM94)*100</f>
        <v>0</v>
      </c>
      <c r="CN96" s="714"/>
      <c r="CO96" s="620">
        <f>IF(CO94=0,0,CO95/CO94)*100</f>
        <v>0</v>
      </c>
      <c r="CP96" s="620">
        <f>IF(CP94=0,0,CP95/CP94)*100</f>
        <v>0</v>
      </c>
      <c r="CQ96" s="714"/>
      <c r="CR96" s="620">
        <f>IF(CR94=0,0,CR95/CR94)*100</f>
        <v>0</v>
      </c>
      <c r="CS96" s="620">
        <f>IF(CS94=0,0,CS95/CS94)*100</f>
        <v>0</v>
      </c>
      <c r="CT96" s="714"/>
      <c r="CU96" s="620">
        <f>IF(CU94=0,0,CU95/CU94)*100</f>
        <v>0</v>
      </c>
      <c r="CV96" s="620">
        <f>IF(CV94=0,0,CV95/CV94)*100</f>
        <v>0</v>
      </c>
      <c r="CW96" s="714"/>
      <c r="CX96" s="620">
        <f>IF(CX94=0,0,CX95/CX94)*100</f>
        <v>0</v>
      </c>
      <c r="CY96" s="620">
        <f>IF(CY94=0,0,CY95/CY94)*100</f>
        <v>0</v>
      </c>
      <c r="CZ96" s="714"/>
      <c r="DA96" s="620">
        <f>IF(DA94=0,0,DA95/DA94)*100</f>
        <v>0</v>
      </c>
      <c r="DB96" s="620">
        <f>IF(DB94=0,0,DB95/DB94)*100</f>
        <v>0</v>
      </c>
      <c r="DC96" s="714"/>
      <c r="DD96" s="620">
        <f>IF(DD94=0,0,DD95/DD94)*100</f>
        <v>0</v>
      </c>
      <c r="DE96" s="620">
        <f>IF(DE94=0,0,DE95/DE94)*100</f>
        <v>0</v>
      </c>
      <c r="DF96" s="714"/>
      <c r="DG96" s="620">
        <f>IF(DG94=0,0,DG95/DG94)*100</f>
        <v>0</v>
      </c>
      <c r="DH96" s="620">
        <f>IF(DH94=0,0,DH95/DH94)*100</f>
        <v>0</v>
      </c>
      <c r="DI96" s="714"/>
      <c r="DJ96" s="620">
        <f>IF(DJ94=0,0,DJ95/DJ94)*100</f>
        <v>0</v>
      </c>
      <c r="DK96" s="620">
        <f>IF(DK94=0,0,DK95/DK94)*100</f>
        <v>0</v>
      </c>
      <c r="DL96" s="714"/>
      <c r="DM96" s="620">
        <f>IF(DM94=0,0,DM95/DM94)*100</f>
        <v>0</v>
      </c>
      <c r="DN96" s="620">
        <f>IF(DN94=0,0,DN95/DN94)*100</f>
        <v>0</v>
      </c>
      <c r="DO96" s="714"/>
      <c r="DP96" s="620">
        <f>IF(DP94=0,0,DP95/DP94)*100</f>
        <v>0</v>
      </c>
      <c r="DQ96" s="620">
        <f>IF(DQ94=0,0,DQ95/DQ94)*100</f>
        <v>0</v>
      </c>
      <c r="DR96" s="714"/>
      <c r="DS96" s="620">
        <f>IF(DS94=0,0,DS95/DS94)*100</f>
        <v>0</v>
      </c>
      <c r="DT96" s="620">
        <f>IF(DT94=0,0,DT95/DT94)*100</f>
        <v>0</v>
      </c>
      <c r="DU96" s="714"/>
      <c r="DV96" s="620">
        <f>IF(DV94=0,0,DV95/DV94)*100</f>
        <v>0</v>
      </c>
      <c r="DW96" s="620">
        <f>IF(DW94=0,0,DW95/DW94)*100</f>
        <v>0</v>
      </c>
      <c r="DX96" s="714"/>
      <c r="DY96" s="620">
        <f>IF(DY94=0,0,DY95/DY94)*100</f>
        <v>0</v>
      </c>
      <c r="DZ96" s="620">
        <f>IF(DZ94=0,0,DZ95/DZ94)*100</f>
        <v>0</v>
      </c>
      <c r="EA96" s="714"/>
      <c r="EB96" s="620">
        <f>IF(EB94=0,0,EB95/EB94)*100</f>
        <v>0</v>
      </c>
      <c r="EC96" s="620">
        <f>IF(EC94=0,0,EC95/EC94)*100</f>
        <v>0</v>
      </c>
      <c r="ED96" s="714"/>
      <c r="EE96" s="620">
        <f>IF(EE94=0,0,EE95/EE94)*100</f>
        <v>0</v>
      </c>
      <c r="EF96" s="620">
        <f>IF(EF94=0,0,EF95/EF94)*100</f>
        <v>0</v>
      </c>
      <c r="EG96" s="714"/>
      <c r="EH96" s="620">
        <f>IF(EH94=0,0,EH95/EH94)*100</f>
        <v>0</v>
      </c>
      <c r="EI96" s="620">
        <f>IF(EI94=0,0,EI95/EI94)*100</f>
        <v>0</v>
      </c>
      <c r="EJ96" s="714"/>
      <c r="EK96" s="620">
        <f>IF(EK94=0,0,EK95/EK94)*100</f>
        <v>0</v>
      </c>
      <c r="EL96" s="620">
        <f>IF(EL94=0,0,EL95/EL94)*100</f>
        <v>0</v>
      </c>
      <c r="EM96" s="714"/>
      <c r="EN96" s="620">
        <f>IF(EN94=0,0,EN95/EN94)*100</f>
        <v>0</v>
      </c>
      <c r="EO96" s="620">
        <f>IF(EO94=0,0,EO95/EO94)*100</f>
        <v>0</v>
      </c>
      <c r="EP96" s="714"/>
      <c r="EQ96" s="620">
        <f>IF(EQ94=0,0,EQ95/EQ94)*100</f>
        <v>0</v>
      </c>
      <c r="ER96" s="620">
        <f>IF(ER94=0,0,ER95/ER94)*100</f>
        <v>0</v>
      </c>
      <c r="ES96" s="714"/>
      <c r="ET96" s="620">
        <f>IF(ET94=0,0,ET95/ET94)*100</f>
        <v>0</v>
      </c>
      <c r="EU96" s="620">
        <f>IF(EU94=0,0,EU95/EU94)*100</f>
        <v>0</v>
      </c>
      <c r="EV96" s="714"/>
      <c r="EW96" s="620">
        <f>IF(EW94=0,0,EW95/EW94)*100</f>
        <v>0</v>
      </c>
      <c r="EX96" s="620">
        <f>IF(EX94=0,0,EX95/EX94)*100</f>
        <v>0</v>
      </c>
      <c r="EY96" s="714"/>
      <c r="EZ96" s="620">
        <f>IF(EZ94=0,0,EZ95/EZ94)*100</f>
        <v>0</v>
      </c>
      <c r="FA96" s="620">
        <f>IF(FA94=0,0,FA95/FA94)*100</f>
        <v>0</v>
      </c>
      <c r="FB96" s="714"/>
      <c r="FC96" s="620">
        <f>IF(FC94=0,0,FC95/FC94)*100</f>
        <v>0</v>
      </c>
      <c r="FD96" s="620">
        <f>IF(FD94=0,0,FD95/FD94)*100</f>
        <v>0</v>
      </c>
      <c r="FE96" s="714"/>
      <c r="FF96" s="620">
        <f>IF(FF94=0,0,FF95/FF94)*100</f>
        <v>0</v>
      </c>
      <c r="FG96" s="620">
        <f>IF(FG94=0,0,FG95/FG94)*100</f>
        <v>0</v>
      </c>
      <c r="FH96" s="714"/>
      <c r="FI96" s="620">
        <f>IF(FI94=0,0,FI95/FI94)*100</f>
        <v>0</v>
      </c>
      <c r="FJ96" s="620">
        <f>IF(FJ94=0,0,FJ95/FJ94)*100</f>
        <v>0</v>
      </c>
      <c r="FK96" s="714"/>
      <c r="FL96" s="620">
        <f>IF(FL94=0,0,FL95/FL94)*100</f>
        <v>0</v>
      </c>
      <c r="FM96" s="620">
        <f>IF(FM94=0,0,FM95/FM94)*100</f>
        <v>0</v>
      </c>
      <c r="FN96" s="714"/>
      <c r="FO96" s="620">
        <f>IF(FO94=0,0,FO95/FO94)*100</f>
        <v>0</v>
      </c>
      <c r="FP96" s="620">
        <f>IF(FP94=0,0,FP95/FP94)*100</f>
        <v>0</v>
      </c>
      <c r="FQ96" s="714"/>
      <c r="FR96" s="620">
        <f>IF(FR94=0,0,FR95/FR94)*100</f>
        <v>0</v>
      </c>
      <c r="FS96" s="620">
        <f>IF(FS94=0,0,FS95/FS94)*100</f>
        <v>0</v>
      </c>
      <c r="FT96" s="714"/>
      <c r="FU96" s="620">
        <f>IF(FU94=0,0,FU95/FU94)*100</f>
        <v>0</v>
      </c>
      <c r="FV96" s="620">
        <f>IF(FV94=0,0,FV95/FV94)*100</f>
        <v>0</v>
      </c>
      <c r="FW96" s="714"/>
      <c r="FX96" s="204"/>
      <c r="FZ96" s="691" t="s">
        <v>1665</v>
      </c>
    </row>
    <row r="97" spans="1:186" ht="21.6" customHeight="1" x14ac:dyDescent="0.15">
      <c r="A97" s="59"/>
      <c r="B97" s="613" t="b" cm="1">
        <f t="array" ref="B97">B96</f>
        <v>1</v>
      </c>
      <c r="C97" s="59"/>
      <c r="D97" s="59"/>
      <c r="E97" s="462">
        <v>15</v>
      </c>
      <c r="F97" s="3" t="str" cm="1">
        <f t="array" aca="1" ref="F97" ca="1">OFFSET(E97,-1,1)</f>
        <v>1</v>
      </c>
      <c r="G97" s="25" t="s">
        <v>1666</v>
      </c>
      <c r="H97" s="59" t="s">
        <v>489</v>
      </c>
      <c r="I97" s="59" t="s">
        <v>1664</v>
      </c>
      <c r="J97" s="59"/>
      <c r="K97" s="59"/>
      <c r="L97" s="59"/>
      <c r="M97" s="59"/>
      <c r="N97" s="59"/>
      <c r="O97" s="59"/>
      <c r="P97" s="59"/>
      <c r="Q97" s="594"/>
      <c r="R97" s="59"/>
      <c r="S97" s="59"/>
      <c r="T97" s="353" t="b" cm="1">
        <f t="array" ref="T97">T96</f>
        <v>1</v>
      </c>
      <c r="U97" s="59"/>
      <c r="V97" s="59"/>
      <c r="W97" s="59"/>
      <c r="X97" s="1022"/>
      <c r="Y97" s="59"/>
      <c r="Z97" s="966"/>
      <c r="AA97" s="59"/>
      <c r="AB97" s="54" t="s">
        <v>1667</v>
      </c>
      <c r="AC97" s="12" t="s">
        <v>558</v>
      </c>
      <c r="AD97" s="191">
        <f ca="1">IF(AND(method_reg="Метод индексации",god&lt;&gt;first_year),SUMIFS(INDEX('Калькуляция (МИ корр)'!$AJ$25:$BC$603,,MATCH(AD$8,'Калькуляция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(МИ)'!$AJ$25:$BC$603,,MATCH(AD$8,'Калькуляция (МИ)'!$AJ$8:$BC$8,0)),'Калькуляция (МИ)'!$F$25:$F$603,$F97,'Калькуляция (МИ)'!$G$25:$G$603,$G97))))</f>
        <v>0</v>
      </c>
      <c r="AE97" s="191">
        <f ca="1">IF(AND(method_reg="Метод индексации",god&lt;&gt;first_year),SUMIFS(INDEX('Калькуляция (МИ корр)'!$AJ$25:$BC$603,,MATCH(AE$8,'Калькуляция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(МИ)'!$AJ$25:$BC$603,,MATCH(AE$8,'Калькуляция (МИ)'!$AJ$8:$BC$8,0)),'Калькуляция (МИ)'!$F$25:$F$603,$F97,'Калькуляция (МИ)'!$G$25:$G$603,$G97))))</f>
        <v>0</v>
      </c>
      <c r="AF97" s="715">
        <f ca="1">IF(AD97=0,0,(AE97-AD97)/AD97*100)</f>
        <v>0</v>
      </c>
      <c r="AG97" s="836">
        <f ca="1">IF(AND(method_reg="Метод индексации",god&lt;&gt;first_year),SUMIFS(INDEX('Калькуляция (МИ корр)'!$AJ$25:$BC$603,,MATCH(AG$8,'Калькуляция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(МИ)'!$AJ$25:$BC$603,,MATCH(AG$8,'Калькуляция (МИ)'!$AJ$8:$BC$8,0)),'Калькуляция (МИ)'!$F$25:$F$603,$F97,'Калькуляция (МИ)'!$G$25:$G$603,$G97))))</f>
        <v>0</v>
      </c>
      <c r="AH97" s="836">
        <f ca="1">IF(AND(method_reg="Метод индексации",god&lt;&gt;first_year),SUMIFS(INDEX('Калькуляция (МИ корр)'!$AJ$25:$BC$603,,MATCH(AH$8,'Калькуляция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(МИ)'!$AJ$25:$BC$603,,MATCH(AH$8,'Калькуляция (МИ)'!$AJ$8:$BC$8,0)),'Калькуляция (МИ)'!$F$25:$F$603,$F97,'Калькуляция (МИ)'!$G$25:$G$603,$G97))))</f>
        <v>0</v>
      </c>
      <c r="AI97" s="715">
        <f ca="1">IF(AG97=0,0,(AH97-AG97)/AG97*100)</f>
        <v>0</v>
      </c>
      <c r="AJ97" s="836">
        <f ca="1">IF(AND(method_reg="Метод индексации",god&lt;&gt;first_year),SUMIFS(INDEX('Калькуляция (МИ корр)'!$AJ$25:$BC$603,,MATCH(AJ$8,'Калькуляция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(МИ)'!$AJ$25:$BC$603,,MATCH(AJ$8,'Калькуляция (МИ)'!$AJ$8:$BC$8,0)),'Калькуляция (МИ)'!$F$25:$F$603,$F97,'Калькуляция (МИ)'!$G$25:$G$603,$G97))))</f>
        <v>0</v>
      </c>
      <c r="AK97" s="836">
        <f ca="1">IF(AND(method_reg="Метод индексации",god&lt;&gt;first_year),SUMIFS(INDEX('Калькуляция (МИ корр)'!$AJ$25:$BC$603,,MATCH(AK$8,'Калькуляция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(МИ)'!$AJ$25:$BC$603,,MATCH(AK$8,'Калькуляция (МИ)'!$AJ$8:$BC$8,0)),'Калькуляция (МИ)'!$F$25:$F$603,$F97,'Калькуляция (МИ)'!$G$25:$G$603,$G97))))</f>
        <v>0</v>
      </c>
      <c r="AL97" s="715">
        <f ca="1">IF(AJ97=0,0,(AK97-AJ97)/AJ97*100)</f>
        <v>0</v>
      </c>
      <c r="AM97" s="191">
        <f ca="1">IF(AND(method_reg="Метод индексации",god&lt;&gt;first_year),SUMIFS(INDEX('Калькуляция (МИ корр)'!$AJ$25:$BC$603,,MATCH(AM$8,'Калькуляция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(МИ)'!$AJ$25:$BC$603,,MATCH(AM$8,'Калькуляция (МИ)'!$AJ$8:$BC$8,0)),'Калькуляция (МИ)'!$F$25:$F$603,$F97,'Калькуляция (МИ)'!$G$25:$G$603,$G97))))</f>
        <v>0</v>
      </c>
      <c r="AN97" s="191">
        <f ca="1">IF(AND(method_reg="Метод индексации",god&lt;&gt;first_year),SUMIFS(INDEX('Калькуляция (МИ корр)'!$AJ$25:$BC$603,,MATCH(AN$8,'Калькуляция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(МИ)'!$AJ$25:$BC$603,,MATCH(AN$8,'Калькуляция (МИ)'!$AJ$8:$BC$8,0)),'Калькуляция (МИ)'!$F$25:$F$603,$F97,'Калькуляция (МИ)'!$G$25:$G$603,$G97))))</f>
        <v>0</v>
      </c>
      <c r="AO97" s="715">
        <f ca="1">IF(AM97=0,0,(AN97-AM97)/AM97*100)</f>
        <v>0</v>
      </c>
      <c r="AP97" s="191">
        <f ca="1">IF(AND(method_reg="Метод индексации",god&lt;&gt;first_year),SUMIFS(INDEX('Калькуляция (МИ корр)'!$AJ$25:$BC$603,,MATCH(AP$8,'Калькуляция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(МИ)'!$AJ$25:$BC$603,,MATCH(AP$8,'Калькуляция (МИ)'!$AJ$8:$BC$8,0)),'Калькуляция (МИ)'!$F$25:$F$603,$F97,'Калькуляция (МИ)'!$G$25:$G$603,$G97))))</f>
        <v>0</v>
      </c>
      <c r="AQ97" s="191">
        <f ca="1">IF(AND(method_reg="Метод индексации",god&lt;&gt;first_year),SUMIFS(INDEX('Калькуляция (МИ корр)'!$AJ$25:$BC$603,,MATCH(AQ$8,'Калькуляция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(МИ)'!$AJ$25:$BC$603,,MATCH(AQ$8,'Калькуляция (МИ)'!$AJ$8:$BC$8,0)),'Калькуляция (МИ)'!$F$25:$F$603,$F97,'Калькуляция (МИ)'!$G$25:$G$603,$G97))))</f>
        <v>0</v>
      </c>
      <c r="AR97" s="715">
        <f ca="1">IF(AP97=0,0,(AQ97-AP97)/AP97*100)</f>
        <v>0</v>
      </c>
      <c r="AS97" s="191">
        <f ca="1">IF(AND(method_reg="Метод индексации",god&lt;&gt;first_year),SUMIFS(INDEX('Калькуляция (МИ корр)'!$AJ$25:$BC$603,,MATCH(AS$8,'Калькуляция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(МИ)'!$AJ$25:$BC$603,,MATCH(AS$8,'Калькуляция (МИ)'!$AJ$8:$BC$8,0)),'Калькуляция (МИ)'!$F$25:$F$603,$F97,'Калькуляция (МИ)'!$G$25:$G$603,$G97))))</f>
        <v>0</v>
      </c>
      <c r="AT97" s="191">
        <f ca="1">IF(AND(method_reg="Метод индексации",god&lt;&gt;first_year),SUMIFS(INDEX('Калькуляция (МИ корр)'!$AJ$25:$BC$603,,MATCH(AT$8,'Калькуляция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(МИ)'!$AJ$25:$BC$603,,MATCH(AT$8,'Калькуляция (МИ)'!$AJ$8:$BC$8,0)),'Калькуляция (МИ)'!$F$25:$F$603,$F97,'Калькуляция (МИ)'!$G$25:$G$603,$G97))))</f>
        <v>0</v>
      </c>
      <c r="AU97" s="715">
        <f ca="1">IF(AS97=0,0,(AT97-AS97)/AS97*100)</f>
        <v>0</v>
      </c>
      <c r="AV97" s="191">
        <f ca="1">IF(AND(method_reg="Метод индексации",god&lt;&gt;first_year),SUMIFS(INDEX('Калькуляция (МИ корр)'!$AJ$25:$BC$603,,MATCH(AV$8,'Калькуляция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(МИ)'!$AJ$25:$BC$603,,MATCH(AV$8,'Калькуляция (МИ)'!$AJ$8:$BC$8,0)),'Калькуляция (МИ)'!$F$25:$F$603,$F97,'Калькуляция (МИ)'!$G$25:$G$603,$G97))))</f>
        <v>0</v>
      </c>
      <c r="AW97" s="191">
        <f ca="1">IF(AND(method_reg="Метод индексации",god&lt;&gt;first_year),SUMIFS(INDEX('Калькуляция (МИ корр)'!$AJ$25:$BC$603,,MATCH(AW$8,'Калькуляция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(МИ)'!$AJ$25:$BC$603,,MATCH(AW$8,'Калькуляция (МИ)'!$AJ$8:$BC$8,0)),'Калькуляция (МИ)'!$F$25:$F$603,$F97,'Калькуляция (МИ)'!$G$25:$G$603,$G97))))</f>
        <v>0</v>
      </c>
      <c r="AX97" s="715">
        <f ca="1">IF(AV97=0,0,(AW97-AV97)/AV97*100)</f>
        <v>0</v>
      </c>
      <c r="AY97" s="191">
        <f ca="1">IF(AND(method_reg="Метод индексации",god&lt;&gt;first_year),SUMIFS(INDEX('Калькуляция (МИ корр)'!$AJ$25:$BC$603,,MATCH(AY$8,'Калькуляция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(МИ)'!$AJ$25:$BC$603,,MATCH(AY$8,'Калькуляция (МИ)'!$AJ$8:$BC$8,0)),'Калькуляция (МИ)'!$F$25:$F$603,$F97,'Калькуляция (МИ)'!$G$25:$G$603,$G97))))</f>
        <v>0</v>
      </c>
      <c r="AZ97" s="191">
        <f ca="1">IF(AND(method_reg="Метод индексации",god&lt;&gt;first_year),SUMIFS(INDEX('Калькуляция (МИ корр)'!$AJ$25:$BC$603,,MATCH(AZ$8,'Калькуляция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(МИ)'!$AJ$25:$BC$603,,MATCH(AZ$8,'Калькуляция (МИ)'!$AJ$8:$BC$8,0)),'Калькуляция (МИ)'!$F$25:$F$603,$F97,'Калькуляция (МИ)'!$G$25:$G$603,$G97))))</f>
        <v>0</v>
      </c>
      <c r="BA97" s="715">
        <f ca="1">IF(AY97=0,0,(AZ97-AY97)/AY97*100)</f>
        <v>0</v>
      </c>
      <c r="BB97" s="191">
        <f ca="1">IF(AND(method_reg="Метод индексации",god&lt;&gt;first_year),SUMIFS(INDEX('Калькуляция (МИ корр)'!$AJ$25:$BC$603,,MATCH(BB$8,'Калькуляция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(МИ)'!$AJ$25:$BC$603,,MATCH(BB$8,'Калькуляция (МИ)'!$AJ$8:$BC$8,0)),'Калькуляция (МИ)'!$F$25:$F$603,$F97,'Калькуляция (МИ)'!$G$25:$G$603,$G97))))</f>
        <v>0</v>
      </c>
      <c r="BC97" s="191">
        <f ca="1">IF(AND(method_reg="Метод индексации",god&lt;&gt;first_year),SUMIFS(INDEX('Калькуляция (МИ корр)'!$AJ$25:$BC$603,,MATCH(BC$8,'Калькуляция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(МИ)'!$AJ$25:$BC$603,,MATCH(BC$8,'Калькуляция (МИ)'!$AJ$8:$BC$8,0)),'Калькуляция (МИ)'!$F$25:$F$603,$F97,'Калькуляция (МИ)'!$G$25:$G$603,$G97))))</f>
        <v>0</v>
      </c>
      <c r="BD97" s="715">
        <f ca="1">IF(BB97=0,0,(BC97-BB97)/BB97*100)</f>
        <v>0</v>
      </c>
      <c r="BE97" s="191">
        <f ca="1">IF(AND(method_reg="Метод индексации",god&lt;&gt;first_year),SUMIFS(INDEX('Калькуляция (МИ корр)'!$AJ$25:$BC$603,,MATCH(BE$8,'Калькуляция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(МИ)'!$AJ$25:$BC$603,,MATCH(BE$8,'Калькуляция (МИ)'!$AJ$8:$BC$8,0)),'Калькуляция (МИ)'!$F$25:$F$603,$F97,'Калькуляция (МИ)'!$G$25:$G$603,$G97))))</f>
        <v>0</v>
      </c>
      <c r="BF97" s="191">
        <f ca="1">IF(AND(method_reg="Метод индексации",god&lt;&gt;first_year),SUMIFS(INDEX('Калькуляция (МИ корр)'!$AJ$25:$BC$603,,MATCH(BF$8,'Калькуляция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(МИ)'!$AJ$25:$BC$603,,MATCH(BF$8,'Калькуляция (МИ)'!$AJ$8:$BC$8,0)),'Калькуляция (МИ)'!$F$25:$F$603,$F97,'Калькуляция (МИ)'!$G$25:$G$603,$G97))))</f>
        <v>0</v>
      </c>
      <c r="BG97" s="715">
        <f ca="1">IF(BE97=0,0,(BF97-BE97)/BE97*100)</f>
        <v>0</v>
      </c>
      <c r="BH97" s="191"/>
      <c r="BI97" s="191"/>
      <c r="BJ97" s="715">
        <f>IF(BH97=0,0,(BI97-BH97)/BH97*100)</f>
        <v>0</v>
      </c>
      <c r="BK97" s="191"/>
      <c r="BL97" s="191"/>
      <c r="BM97" s="715">
        <f>IF(BK97=0,0,(BL97-BK97)/BK97*100)</f>
        <v>0</v>
      </c>
      <c r="BN97" s="191"/>
      <c r="BO97" s="191"/>
      <c r="BP97" s="715">
        <f>IF(BN97=0,0,(BO97-BN97)/BN97*100)</f>
        <v>0</v>
      </c>
      <c r="BQ97" s="191"/>
      <c r="BR97" s="191"/>
      <c r="BS97" s="715">
        <f>IF(BQ97=0,0,(BR97-BQ97)/BQ97*100)</f>
        <v>0</v>
      </c>
      <c r="BT97" s="191"/>
      <c r="BU97" s="191"/>
      <c r="BV97" s="715">
        <f>IF(BT97=0,0,(BU97-BT97)/BT97*100)</f>
        <v>0</v>
      </c>
      <c r="BW97" s="191"/>
      <c r="BX97" s="191"/>
      <c r="BY97" s="715">
        <f>IF(BW97=0,0,(BX97-BW97)/BW97*100)</f>
        <v>0</v>
      </c>
      <c r="BZ97" s="191"/>
      <c r="CA97" s="191"/>
      <c r="CB97" s="715">
        <f>IF(BZ97=0,0,(CA97-BZ97)/BZ97*100)</f>
        <v>0</v>
      </c>
      <c r="CC97" s="191"/>
      <c r="CD97" s="191"/>
      <c r="CE97" s="715">
        <f>IF(CC97=0,0,(CD97-CC97)/CC97*100)</f>
        <v>0</v>
      </c>
      <c r="CF97" s="191"/>
      <c r="CG97" s="191"/>
      <c r="CH97" s="715">
        <f>IF(CF97=0,0,(CG97-CF97)/CF97*100)</f>
        <v>0</v>
      </c>
      <c r="CI97" s="191"/>
      <c r="CJ97" s="191"/>
      <c r="CK97" s="715">
        <f>IF(CI97=0,0,(CJ97-CI97)/CI97*100)</f>
        <v>0</v>
      </c>
      <c r="CL97" s="191"/>
      <c r="CM97" s="191"/>
      <c r="CN97" s="715">
        <f>IF(CL97=0,0,(CM97-CL97)/CL97*100)</f>
        <v>0</v>
      </c>
      <c r="CO97" s="191"/>
      <c r="CP97" s="191"/>
      <c r="CQ97" s="715">
        <f>IF(CO97=0,0,(CP97-CO97)/CO97*100)</f>
        <v>0</v>
      </c>
      <c r="CR97" s="191"/>
      <c r="CS97" s="191"/>
      <c r="CT97" s="715">
        <f>IF(CR97=0,0,(CS97-CR97)/CR97*100)</f>
        <v>0</v>
      </c>
      <c r="CU97" s="191"/>
      <c r="CV97" s="191"/>
      <c r="CW97" s="715">
        <f>IF(CU97=0,0,(CV97-CU97)/CU97*100)</f>
        <v>0</v>
      </c>
      <c r="CX97" s="191"/>
      <c r="CY97" s="191"/>
      <c r="CZ97" s="715">
        <f>IF(CX97=0,0,(CY97-CX97)/CX97*100)</f>
        <v>0</v>
      </c>
      <c r="DA97" s="191"/>
      <c r="DB97" s="191"/>
      <c r="DC97" s="715">
        <f>IF(DA97=0,0,(DB97-DA97)/DA97*100)</f>
        <v>0</v>
      </c>
      <c r="DD97" s="191"/>
      <c r="DE97" s="191"/>
      <c r="DF97" s="715">
        <f>IF(DD97=0,0,(DE97-DD97)/DD97*100)</f>
        <v>0</v>
      </c>
      <c r="DG97" s="191"/>
      <c r="DH97" s="191"/>
      <c r="DI97" s="715">
        <f>IF(DG97=0,0,(DH97-DG97)/DG97*100)</f>
        <v>0</v>
      </c>
      <c r="DJ97" s="191"/>
      <c r="DK97" s="191"/>
      <c r="DL97" s="715">
        <f>IF(DJ97=0,0,(DK97-DJ97)/DJ97*100)</f>
        <v>0</v>
      </c>
      <c r="DM97" s="191"/>
      <c r="DN97" s="191"/>
      <c r="DO97" s="715">
        <f>IF(DM97=0,0,(DN97-DM97)/DM97*100)</f>
        <v>0</v>
      </c>
      <c r="DP97" s="191"/>
      <c r="DQ97" s="191"/>
      <c r="DR97" s="715">
        <f>IF(DP97=0,0,(DQ97-DP97)/DP97*100)</f>
        <v>0</v>
      </c>
      <c r="DS97" s="191"/>
      <c r="DT97" s="191"/>
      <c r="DU97" s="715">
        <f>IF(DS97=0,0,(DT97-DS97)/DS97*100)</f>
        <v>0</v>
      </c>
      <c r="DV97" s="191"/>
      <c r="DW97" s="191"/>
      <c r="DX97" s="715">
        <f>IF(DV97=0,0,(DW97-DV97)/DV97*100)</f>
        <v>0</v>
      </c>
      <c r="DY97" s="191"/>
      <c r="DZ97" s="191"/>
      <c r="EA97" s="715">
        <f>IF(DY97=0,0,(DZ97-DY97)/DY97*100)</f>
        <v>0</v>
      </c>
      <c r="EB97" s="191"/>
      <c r="EC97" s="191"/>
      <c r="ED97" s="715">
        <f>IF(EB97=0,0,(EC97-EB97)/EB97*100)</f>
        <v>0</v>
      </c>
      <c r="EE97" s="191"/>
      <c r="EF97" s="191"/>
      <c r="EG97" s="715">
        <f>IF(EE97=0,0,(EF97-EE97)/EE97*100)</f>
        <v>0</v>
      </c>
      <c r="EH97" s="191"/>
      <c r="EI97" s="191"/>
      <c r="EJ97" s="715">
        <f>IF(EH97=0,0,(EI97-EH97)/EH97*100)</f>
        <v>0</v>
      </c>
      <c r="EK97" s="191"/>
      <c r="EL97" s="191"/>
      <c r="EM97" s="715">
        <f>IF(EK97=0,0,(EL97-EK97)/EK97*100)</f>
        <v>0</v>
      </c>
      <c r="EN97" s="191"/>
      <c r="EO97" s="191"/>
      <c r="EP97" s="715">
        <f>IF(EN97=0,0,(EO97-EN97)/EN97*100)</f>
        <v>0</v>
      </c>
      <c r="EQ97" s="191"/>
      <c r="ER97" s="191"/>
      <c r="ES97" s="715">
        <f>IF(EQ97=0,0,(ER97-EQ97)/EQ97*100)</f>
        <v>0</v>
      </c>
      <c r="ET97" s="191"/>
      <c r="EU97" s="191"/>
      <c r="EV97" s="715">
        <f>IF(ET97=0,0,(EU97-ET97)/ET97*100)</f>
        <v>0</v>
      </c>
      <c r="EW97" s="191"/>
      <c r="EX97" s="191"/>
      <c r="EY97" s="715">
        <f>IF(EW97=0,0,(EX97-EW97)/EW97*100)</f>
        <v>0</v>
      </c>
      <c r="EZ97" s="191"/>
      <c r="FA97" s="191"/>
      <c r="FB97" s="715">
        <f>IF(EZ97=0,0,(FA97-EZ97)/EZ97*100)</f>
        <v>0</v>
      </c>
      <c r="FC97" s="191"/>
      <c r="FD97" s="191"/>
      <c r="FE97" s="715">
        <f>IF(FC97=0,0,(FD97-FC97)/FC97*100)</f>
        <v>0</v>
      </c>
      <c r="FF97" s="191"/>
      <c r="FG97" s="191"/>
      <c r="FH97" s="715">
        <f>IF(FF97=0,0,(FG97-FF97)/FF97*100)</f>
        <v>0</v>
      </c>
      <c r="FI97" s="191"/>
      <c r="FJ97" s="191"/>
      <c r="FK97" s="715">
        <f>IF(FI97=0,0,(FJ97-FI97)/FI97*100)</f>
        <v>0</v>
      </c>
      <c r="FL97" s="191"/>
      <c r="FM97" s="191"/>
      <c r="FN97" s="715">
        <f>IF(FL97=0,0,(FM97-FL97)/FL97*100)</f>
        <v>0</v>
      </c>
      <c r="FO97" s="191"/>
      <c r="FP97" s="191"/>
      <c r="FQ97" s="715">
        <f>IF(FO97=0,0,(FP97-FO97)/FO97*100)</f>
        <v>0</v>
      </c>
      <c r="FR97" s="191"/>
      <c r="FS97" s="191"/>
      <c r="FT97" s="715">
        <f>IF(FR97=0,0,(FS97-FR97)/FR97*100)</f>
        <v>0</v>
      </c>
      <c r="FU97" s="191"/>
      <c r="FV97" s="191"/>
      <c r="FW97" s="715">
        <f>IF(FU97=0,0,(FV97-FU97)/FU97*100)</f>
        <v>0</v>
      </c>
      <c r="FX97" s="204"/>
      <c r="FZ97" s="691" t="s">
        <v>1668</v>
      </c>
    </row>
    <row r="98" spans="1:186" ht="18" hidden="1" customHeight="1" x14ac:dyDescent="0.15">
      <c r="A98" s="59"/>
      <c r="B98" s="613" t="b" cm="1">
        <f t="array" ref="B98">B97</f>
        <v>1</v>
      </c>
      <c r="C98" s="59"/>
      <c r="D98" s="59"/>
      <c r="E98" s="462">
        <v>18.75</v>
      </c>
      <c r="F98" s="3" t="str" cm="1">
        <f t="array" aca="1" ref="F98" ca="1">OFFSET(E98,-1,1)</f>
        <v>1</v>
      </c>
      <c r="G98" s="59"/>
      <c r="H98" s="59" t="s">
        <v>482</v>
      </c>
      <c r="I98" s="59" cm="1">
        <f t="array" ref="I98">AB98</f>
        <v>0</v>
      </c>
      <c r="J98" s="59"/>
      <c r="K98" s="59"/>
      <c r="L98" s="59"/>
      <c r="M98" s="59"/>
      <c r="N98" s="59"/>
      <c r="O98" s="59"/>
      <c r="P98" s="59"/>
      <c r="Q98" s="594"/>
      <c r="R98" s="59"/>
      <c r="S98" s="59"/>
      <c r="T98" s="353" t="b">
        <f ca="1">AND(F98&gt;0,Y98&gt;0)</f>
        <v>0</v>
      </c>
      <c r="U98" s="59"/>
      <c r="V98" s="59"/>
      <c r="W98" s="59" t="s">
        <v>172</v>
      </c>
      <c r="X98" s="1022"/>
      <c r="Y98" s="1022">
        <v>0</v>
      </c>
      <c r="Z98" s="966"/>
      <c r="AA98" s="913" t="s">
        <v>173</v>
      </c>
      <c r="AB98" s="863"/>
      <c r="AC98" s="12" t="s">
        <v>1644</v>
      </c>
      <c r="AD98" s="820"/>
      <c r="AE98" s="864"/>
      <c r="AF98" s="714">
        <f>IF(AD98=0,0,(AE98-AD98)/AD98*100)</f>
        <v>0</v>
      </c>
      <c r="AG98" s="820"/>
      <c r="AH98" s="864"/>
      <c r="AI98" s="714">
        <f>IF(AG98=0,0,(AH98-AG98)/AG98*100)</f>
        <v>0</v>
      </c>
      <c r="AJ98" s="820"/>
      <c r="AK98" s="864"/>
      <c r="AL98" s="714">
        <f>IF(AJ98=0,0,(AK98-AJ98)/AJ98*100)</f>
        <v>0</v>
      </c>
      <c r="AM98" s="820"/>
      <c r="AN98" s="864"/>
      <c r="AO98" s="714">
        <f>IF(AM98=0,0,(AN98-AM98)/AM98*100)</f>
        <v>0</v>
      </c>
      <c r="AP98" s="820"/>
      <c r="AQ98" s="864"/>
      <c r="AR98" s="714">
        <f>IF(AP98=0,0,(AQ98-AP98)/AP98*100)</f>
        <v>0</v>
      </c>
      <c r="AS98" s="820"/>
      <c r="AT98" s="864"/>
      <c r="AU98" s="714">
        <f>IF(AS98=0,0,(AT98-AS98)/AS98*100)</f>
        <v>0</v>
      </c>
      <c r="AV98" s="820"/>
      <c r="AW98" s="864"/>
      <c r="AX98" s="714">
        <f>IF(AV98=0,0,(AW98-AV98)/AV98*100)</f>
        <v>0</v>
      </c>
      <c r="AY98" s="820"/>
      <c r="AZ98" s="864"/>
      <c r="BA98" s="714">
        <f>IF(AY98=0,0,(AZ98-AY98)/AY98*100)</f>
        <v>0</v>
      </c>
      <c r="BB98" s="820"/>
      <c r="BC98" s="864"/>
      <c r="BD98" s="714">
        <f>IF(BB98=0,0,(BC98-BB98)/BB98*100)</f>
        <v>0</v>
      </c>
      <c r="BE98" s="820"/>
      <c r="BF98" s="864"/>
      <c r="BG98" s="714">
        <f>IF(BE98=0,0,(BF98-BE98)/BE98*100)</f>
        <v>0</v>
      </c>
      <c r="BH98" s="820"/>
      <c r="BI98" s="864"/>
      <c r="BJ98" s="714">
        <f>IF(BH98=0,0,(BI98-BH98)/BH98*100)</f>
        <v>0</v>
      </c>
      <c r="BK98" s="820"/>
      <c r="BL98" s="864"/>
      <c r="BM98" s="714">
        <f>IF(BK98=0,0,(BL98-BK98)/BK98*100)</f>
        <v>0</v>
      </c>
      <c r="BN98" s="820"/>
      <c r="BO98" s="864"/>
      <c r="BP98" s="714">
        <f>IF(BN98=0,0,(BO98-BN98)/BN98*100)</f>
        <v>0</v>
      </c>
      <c r="BQ98" s="820"/>
      <c r="BR98" s="864"/>
      <c r="BS98" s="714">
        <f>IF(BQ98=0,0,(BR98-BQ98)/BQ98*100)</f>
        <v>0</v>
      </c>
      <c r="BT98" s="820"/>
      <c r="BU98" s="864"/>
      <c r="BV98" s="714">
        <f>IF(BT98=0,0,(BU98-BT98)/BT98*100)</f>
        <v>0</v>
      </c>
      <c r="BW98" s="820"/>
      <c r="BX98" s="864"/>
      <c r="BY98" s="714">
        <f>IF(BW98=0,0,(BX98-BW98)/BW98*100)</f>
        <v>0</v>
      </c>
      <c r="BZ98" s="820"/>
      <c r="CA98" s="864"/>
      <c r="CB98" s="714">
        <f>IF(BZ98=0,0,(CA98-BZ98)/BZ98*100)</f>
        <v>0</v>
      </c>
      <c r="CC98" s="820"/>
      <c r="CD98" s="864"/>
      <c r="CE98" s="714">
        <f>IF(CC98=0,0,(CD98-CC98)/CC98*100)</f>
        <v>0</v>
      </c>
      <c r="CF98" s="820"/>
      <c r="CG98" s="864"/>
      <c r="CH98" s="714">
        <f>IF(CF98=0,0,(CG98-CF98)/CF98*100)</f>
        <v>0</v>
      </c>
      <c r="CI98" s="820"/>
      <c r="CJ98" s="864"/>
      <c r="CK98" s="714">
        <f>IF(CI98=0,0,(CJ98-CI98)/CI98*100)</f>
        <v>0</v>
      </c>
      <c r="CL98" s="820"/>
      <c r="CM98" s="864"/>
      <c r="CN98" s="714">
        <f>IF(CL98=0,0,(CM98-CL98)/CL98*100)</f>
        <v>0</v>
      </c>
      <c r="CO98" s="820"/>
      <c r="CP98" s="864"/>
      <c r="CQ98" s="714">
        <f>IF(CO98=0,0,(CP98-CO98)/CO98*100)</f>
        <v>0</v>
      </c>
      <c r="CR98" s="820"/>
      <c r="CS98" s="864"/>
      <c r="CT98" s="714">
        <f>IF(CR98=0,0,(CS98-CR98)/CR98*100)</f>
        <v>0</v>
      </c>
      <c r="CU98" s="820"/>
      <c r="CV98" s="864"/>
      <c r="CW98" s="714">
        <f>IF(CU98=0,0,(CV98-CU98)/CU98*100)</f>
        <v>0</v>
      </c>
      <c r="CX98" s="820"/>
      <c r="CY98" s="864"/>
      <c r="CZ98" s="714">
        <f>IF(CX98=0,0,(CY98-CX98)/CX98*100)</f>
        <v>0</v>
      </c>
      <c r="DA98" s="820"/>
      <c r="DB98" s="864"/>
      <c r="DC98" s="714">
        <f>IF(DA98=0,0,(DB98-DA98)/DA98*100)</f>
        <v>0</v>
      </c>
      <c r="DD98" s="820"/>
      <c r="DE98" s="864"/>
      <c r="DF98" s="714">
        <f>IF(DD98=0,0,(DE98-DD98)/DD98*100)</f>
        <v>0</v>
      </c>
      <c r="DG98" s="820"/>
      <c r="DH98" s="864"/>
      <c r="DI98" s="714">
        <f>IF(DG98=0,0,(DH98-DG98)/DG98*100)</f>
        <v>0</v>
      </c>
      <c r="DJ98" s="820"/>
      <c r="DK98" s="864"/>
      <c r="DL98" s="714">
        <f>IF(DJ98=0,0,(DK98-DJ98)/DJ98*100)</f>
        <v>0</v>
      </c>
      <c r="DM98" s="820"/>
      <c r="DN98" s="864"/>
      <c r="DO98" s="714">
        <f>IF(DM98=0,0,(DN98-DM98)/DM98*100)</f>
        <v>0</v>
      </c>
      <c r="DP98" s="820"/>
      <c r="DQ98" s="864"/>
      <c r="DR98" s="714">
        <f>IF(DP98=0,0,(DQ98-DP98)/DP98*100)</f>
        <v>0</v>
      </c>
      <c r="DS98" s="820"/>
      <c r="DT98" s="864"/>
      <c r="DU98" s="714">
        <f>IF(DS98=0,0,(DT98-DS98)/DS98*100)</f>
        <v>0</v>
      </c>
      <c r="DV98" s="820"/>
      <c r="DW98" s="864"/>
      <c r="DX98" s="714">
        <f>IF(DV98=0,0,(DW98-DV98)/DV98*100)</f>
        <v>0</v>
      </c>
      <c r="DY98" s="820"/>
      <c r="DZ98" s="864"/>
      <c r="EA98" s="714">
        <f>IF(DY98=0,0,(DZ98-DY98)/DY98*100)</f>
        <v>0</v>
      </c>
      <c r="EB98" s="820"/>
      <c r="EC98" s="864"/>
      <c r="ED98" s="714">
        <f>IF(EB98=0,0,(EC98-EB98)/EB98*100)</f>
        <v>0</v>
      </c>
      <c r="EE98" s="820"/>
      <c r="EF98" s="864"/>
      <c r="EG98" s="714">
        <f>IF(EE98=0,0,(EF98-EE98)/EE98*100)</f>
        <v>0</v>
      </c>
      <c r="EH98" s="820"/>
      <c r="EI98" s="864"/>
      <c r="EJ98" s="714">
        <f>IF(EH98=0,0,(EI98-EH98)/EH98*100)</f>
        <v>0</v>
      </c>
      <c r="EK98" s="820"/>
      <c r="EL98" s="864"/>
      <c r="EM98" s="714">
        <f>IF(EK98=0,0,(EL98-EK98)/EK98*100)</f>
        <v>0</v>
      </c>
      <c r="EN98" s="820"/>
      <c r="EO98" s="864"/>
      <c r="EP98" s="714">
        <f>IF(EN98=0,0,(EO98-EN98)/EN98*100)</f>
        <v>0</v>
      </c>
      <c r="EQ98" s="820"/>
      <c r="ER98" s="864"/>
      <c r="ES98" s="714">
        <f>IF(EQ98=0,0,(ER98-EQ98)/EQ98*100)</f>
        <v>0</v>
      </c>
      <c r="ET98" s="820"/>
      <c r="EU98" s="864"/>
      <c r="EV98" s="714">
        <f>IF(ET98=0,0,(EU98-ET98)/ET98*100)</f>
        <v>0</v>
      </c>
      <c r="EW98" s="820"/>
      <c r="EX98" s="864"/>
      <c r="EY98" s="714">
        <f>IF(EW98=0,0,(EX98-EW98)/EW98*100)</f>
        <v>0</v>
      </c>
      <c r="EZ98" s="820"/>
      <c r="FA98" s="864"/>
      <c r="FB98" s="714">
        <f>IF(EZ98=0,0,(FA98-EZ98)/EZ98*100)</f>
        <v>0</v>
      </c>
      <c r="FC98" s="820"/>
      <c r="FD98" s="864"/>
      <c r="FE98" s="714">
        <f>IF(FC98=0,0,(FD98-FC98)/FC98*100)</f>
        <v>0</v>
      </c>
      <c r="FF98" s="820"/>
      <c r="FG98" s="864"/>
      <c r="FH98" s="714">
        <f>IF(FF98=0,0,(FG98-FF98)/FF98*100)</f>
        <v>0</v>
      </c>
      <c r="FI98" s="820"/>
      <c r="FJ98" s="864"/>
      <c r="FK98" s="714">
        <f>IF(FI98=0,0,(FJ98-FI98)/FI98*100)</f>
        <v>0</v>
      </c>
      <c r="FL98" s="820"/>
      <c r="FM98" s="864"/>
      <c r="FN98" s="714">
        <f>IF(FL98=0,0,(FM98-FL98)/FL98*100)</f>
        <v>0</v>
      </c>
      <c r="FO98" s="820"/>
      <c r="FP98" s="864"/>
      <c r="FQ98" s="714">
        <f>IF(FO98=0,0,(FP98-FO98)/FO98*100)</f>
        <v>0</v>
      </c>
      <c r="FR98" s="820"/>
      <c r="FS98" s="864"/>
      <c r="FT98" s="714">
        <f>IF(FR98=0,0,(FS98-FR98)/FR98*100)</f>
        <v>0</v>
      </c>
      <c r="FU98" s="820"/>
      <c r="FV98" s="864"/>
      <c r="FW98" s="714">
        <f>IF(FU98=0,0,(FV98-FU98)/FU98*100)</f>
        <v>0</v>
      </c>
      <c r="FX98" s="204"/>
      <c r="FZ98" s="691" t="s">
        <v>1669</v>
      </c>
      <c r="GA98" s="671" t="s">
        <v>1670</v>
      </c>
      <c r="GB98" s="671" cm="1">
        <f t="array" ref="GB98">AB98</f>
        <v>0</v>
      </c>
      <c r="GD98" s="461" t="b">
        <v>1</v>
      </c>
    </row>
    <row r="99" spans="1:186" ht="14.25" hidden="1" customHeight="1" x14ac:dyDescent="0.15">
      <c r="A99" s="59"/>
      <c r="B99" s="613" t="b" cm="1">
        <f t="array" ref="B99">B98</f>
        <v>1</v>
      </c>
      <c r="C99" s="59"/>
      <c r="D99" s="59"/>
      <c r="E99" s="462">
        <v>15</v>
      </c>
      <c r="F99" s="3" t="str" cm="1">
        <f t="array" aca="1" ref="F99" ca="1">OFFSET(E99,-1,1)</f>
        <v>1</v>
      </c>
      <c r="G99" s="59"/>
      <c r="H99" s="59" t="s">
        <v>489</v>
      </c>
      <c r="I99" s="59" cm="1">
        <f t="array" ref="I99">I98</f>
        <v>0</v>
      </c>
      <c r="J99" s="59"/>
      <c r="K99" s="59"/>
      <c r="L99" s="59"/>
      <c r="M99" s="59"/>
      <c r="N99" s="59"/>
      <c r="O99" s="59"/>
      <c r="P99" s="59"/>
      <c r="Q99" s="594"/>
      <c r="R99" s="59"/>
      <c r="S99" s="59"/>
      <c r="T99" s="353" t="b" cm="1">
        <f t="array" aca="1" ref="T99" ca="1">T98</f>
        <v>0</v>
      </c>
      <c r="U99" s="59"/>
      <c r="V99" s="59"/>
      <c r="W99" s="59"/>
      <c r="X99" s="1022"/>
      <c r="Y99" s="1022"/>
      <c r="Z99" s="966"/>
      <c r="AA99" s="913"/>
      <c r="AB99" s="54" t="s">
        <v>1671</v>
      </c>
      <c r="AC99" s="7" t="s">
        <v>558</v>
      </c>
      <c r="AD99" s="836"/>
      <c r="AE99" s="836"/>
      <c r="AF99" s="715">
        <f>IF(AD99=0,0,(AE99-AD99)/AD99*100)</f>
        <v>0</v>
      </c>
      <c r="AG99" s="836"/>
      <c r="AH99" s="836"/>
      <c r="AI99" s="715">
        <f>IF(AG99=0,0,(AH99-AG99)/AG99*100)</f>
        <v>0</v>
      </c>
      <c r="AJ99" s="836"/>
      <c r="AK99" s="836"/>
      <c r="AL99" s="715">
        <f>IF(AJ99=0,0,(AK99-AJ99)/AJ99*100)</f>
        <v>0</v>
      </c>
      <c r="AM99" s="836"/>
      <c r="AN99" s="836"/>
      <c r="AO99" s="715">
        <f>IF(AM99=0,0,(AN99-AM99)/AM99*100)</f>
        <v>0</v>
      </c>
      <c r="AP99" s="836"/>
      <c r="AQ99" s="836"/>
      <c r="AR99" s="715">
        <f>IF(AP99=0,0,(AQ99-AP99)/AP99*100)</f>
        <v>0</v>
      </c>
      <c r="AS99" s="836"/>
      <c r="AT99" s="836"/>
      <c r="AU99" s="715">
        <f>IF(AS99=0,0,(AT99-AS99)/AS99*100)</f>
        <v>0</v>
      </c>
      <c r="AV99" s="836"/>
      <c r="AW99" s="836"/>
      <c r="AX99" s="715">
        <f>IF(AV99=0,0,(AW99-AV99)/AV99*100)</f>
        <v>0</v>
      </c>
      <c r="AY99" s="836"/>
      <c r="AZ99" s="836"/>
      <c r="BA99" s="715">
        <f>IF(AY99=0,0,(AZ99-AY99)/AY99*100)</f>
        <v>0</v>
      </c>
      <c r="BB99" s="836"/>
      <c r="BC99" s="836"/>
      <c r="BD99" s="715">
        <f>IF(BB99=0,0,(BC99-BB99)/BB99*100)</f>
        <v>0</v>
      </c>
      <c r="BE99" s="836"/>
      <c r="BF99" s="836"/>
      <c r="BG99" s="715">
        <f>IF(BE99=0,0,(BF99-BE99)/BE99*100)</f>
        <v>0</v>
      </c>
      <c r="BH99" s="836"/>
      <c r="BI99" s="836"/>
      <c r="BJ99" s="715">
        <f>IF(BH99=0,0,(BI99-BH99)/BH99*100)</f>
        <v>0</v>
      </c>
      <c r="BK99" s="836"/>
      <c r="BL99" s="836"/>
      <c r="BM99" s="715">
        <f>IF(BK99=0,0,(BL99-BK99)/BK99*100)</f>
        <v>0</v>
      </c>
      <c r="BN99" s="836"/>
      <c r="BO99" s="836"/>
      <c r="BP99" s="715">
        <f>IF(BN99=0,0,(BO99-BN99)/BN99*100)</f>
        <v>0</v>
      </c>
      <c r="BQ99" s="836"/>
      <c r="BR99" s="836"/>
      <c r="BS99" s="715">
        <f>IF(BQ99=0,0,(BR99-BQ99)/BQ99*100)</f>
        <v>0</v>
      </c>
      <c r="BT99" s="836"/>
      <c r="BU99" s="836"/>
      <c r="BV99" s="715">
        <f>IF(BT99=0,0,(BU99-BT99)/BT99*100)</f>
        <v>0</v>
      </c>
      <c r="BW99" s="836"/>
      <c r="BX99" s="836"/>
      <c r="BY99" s="715">
        <f>IF(BW99=0,0,(BX99-BW99)/BW99*100)</f>
        <v>0</v>
      </c>
      <c r="BZ99" s="836"/>
      <c r="CA99" s="836"/>
      <c r="CB99" s="715">
        <f>IF(BZ99=0,0,(CA99-BZ99)/BZ99*100)</f>
        <v>0</v>
      </c>
      <c r="CC99" s="836"/>
      <c r="CD99" s="836"/>
      <c r="CE99" s="715">
        <f>IF(CC99=0,0,(CD99-CC99)/CC99*100)</f>
        <v>0</v>
      </c>
      <c r="CF99" s="836"/>
      <c r="CG99" s="836"/>
      <c r="CH99" s="715">
        <f>IF(CF99=0,0,(CG99-CF99)/CF99*100)</f>
        <v>0</v>
      </c>
      <c r="CI99" s="836"/>
      <c r="CJ99" s="836"/>
      <c r="CK99" s="715">
        <f>IF(CI99=0,0,(CJ99-CI99)/CI99*100)</f>
        <v>0</v>
      </c>
      <c r="CL99" s="836"/>
      <c r="CM99" s="836"/>
      <c r="CN99" s="715">
        <f>IF(CL99=0,0,(CM99-CL99)/CL99*100)</f>
        <v>0</v>
      </c>
      <c r="CO99" s="836"/>
      <c r="CP99" s="836"/>
      <c r="CQ99" s="715">
        <f>IF(CO99=0,0,(CP99-CO99)/CO99*100)</f>
        <v>0</v>
      </c>
      <c r="CR99" s="836"/>
      <c r="CS99" s="836"/>
      <c r="CT99" s="715">
        <f>IF(CR99=0,0,(CS99-CR99)/CR99*100)</f>
        <v>0</v>
      </c>
      <c r="CU99" s="836"/>
      <c r="CV99" s="836"/>
      <c r="CW99" s="715">
        <f>IF(CU99=0,0,(CV99-CU99)/CU99*100)</f>
        <v>0</v>
      </c>
      <c r="CX99" s="836"/>
      <c r="CY99" s="836"/>
      <c r="CZ99" s="715">
        <f>IF(CX99=0,0,(CY99-CX99)/CX99*100)</f>
        <v>0</v>
      </c>
      <c r="DA99" s="836"/>
      <c r="DB99" s="836"/>
      <c r="DC99" s="715">
        <f>IF(DA99=0,0,(DB99-DA99)/DA99*100)</f>
        <v>0</v>
      </c>
      <c r="DD99" s="836"/>
      <c r="DE99" s="836"/>
      <c r="DF99" s="715">
        <f>IF(DD99=0,0,(DE99-DD99)/DD99*100)</f>
        <v>0</v>
      </c>
      <c r="DG99" s="836"/>
      <c r="DH99" s="836"/>
      <c r="DI99" s="715">
        <f>IF(DG99=0,0,(DH99-DG99)/DG99*100)</f>
        <v>0</v>
      </c>
      <c r="DJ99" s="836"/>
      <c r="DK99" s="836"/>
      <c r="DL99" s="715">
        <f>IF(DJ99=0,0,(DK99-DJ99)/DJ99*100)</f>
        <v>0</v>
      </c>
      <c r="DM99" s="836"/>
      <c r="DN99" s="836"/>
      <c r="DO99" s="715">
        <f>IF(DM99=0,0,(DN99-DM99)/DM99*100)</f>
        <v>0</v>
      </c>
      <c r="DP99" s="836"/>
      <c r="DQ99" s="836"/>
      <c r="DR99" s="715">
        <f>IF(DP99=0,0,(DQ99-DP99)/DP99*100)</f>
        <v>0</v>
      </c>
      <c r="DS99" s="836"/>
      <c r="DT99" s="836"/>
      <c r="DU99" s="715">
        <f>IF(DS99=0,0,(DT99-DS99)/DS99*100)</f>
        <v>0</v>
      </c>
      <c r="DV99" s="836"/>
      <c r="DW99" s="836"/>
      <c r="DX99" s="715">
        <f>IF(DV99=0,0,(DW99-DV99)/DV99*100)</f>
        <v>0</v>
      </c>
      <c r="DY99" s="836"/>
      <c r="DZ99" s="836"/>
      <c r="EA99" s="715">
        <f>IF(DY99=0,0,(DZ99-DY99)/DY99*100)</f>
        <v>0</v>
      </c>
      <c r="EB99" s="836"/>
      <c r="EC99" s="836"/>
      <c r="ED99" s="715">
        <f>IF(EB99=0,0,(EC99-EB99)/EB99*100)</f>
        <v>0</v>
      </c>
      <c r="EE99" s="836"/>
      <c r="EF99" s="836"/>
      <c r="EG99" s="715">
        <f>IF(EE99=0,0,(EF99-EE99)/EE99*100)</f>
        <v>0</v>
      </c>
      <c r="EH99" s="836"/>
      <c r="EI99" s="836"/>
      <c r="EJ99" s="715">
        <f>IF(EH99=0,0,(EI99-EH99)/EH99*100)</f>
        <v>0</v>
      </c>
      <c r="EK99" s="836"/>
      <c r="EL99" s="836"/>
      <c r="EM99" s="715">
        <f>IF(EK99=0,0,(EL99-EK99)/EK99*100)</f>
        <v>0</v>
      </c>
      <c r="EN99" s="836"/>
      <c r="EO99" s="836"/>
      <c r="EP99" s="715">
        <f>IF(EN99=0,0,(EO99-EN99)/EN99*100)</f>
        <v>0</v>
      </c>
      <c r="EQ99" s="836"/>
      <c r="ER99" s="836"/>
      <c r="ES99" s="715">
        <f>IF(EQ99=0,0,(ER99-EQ99)/EQ99*100)</f>
        <v>0</v>
      </c>
      <c r="ET99" s="836"/>
      <c r="EU99" s="836"/>
      <c r="EV99" s="715">
        <f>IF(ET99=0,0,(EU99-ET99)/ET99*100)</f>
        <v>0</v>
      </c>
      <c r="EW99" s="836"/>
      <c r="EX99" s="836"/>
      <c r="EY99" s="715">
        <f>IF(EW99=0,0,(EX99-EW99)/EW99*100)</f>
        <v>0</v>
      </c>
      <c r="EZ99" s="836"/>
      <c r="FA99" s="836"/>
      <c r="FB99" s="715">
        <f>IF(EZ99=0,0,(FA99-EZ99)/EZ99*100)</f>
        <v>0</v>
      </c>
      <c r="FC99" s="836"/>
      <c r="FD99" s="836"/>
      <c r="FE99" s="715">
        <f>IF(FC99=0,0,(FD99-FC99)/FC99*100)</f>
        <v>0</v>
      </c>
      <c r="FF99" s="836"/>
      <c r="FG99" s="836"/>
      <c r="FH99" s="715">
        <f>IF(FF99=0,0,(FG99-FF99)/FF99*100)</f>
        <v>0</v>
      </c>
      <c r="FI99" s="836"/>
      <c r="FJ99" s="836"/>
      <c r="FK99" s="715">
        <f>IF(FI99=0,0,(FJ99-FI99)/FI99*100)</f>
        <v>0</v>
      </c>
      <c r="FL99" s="836"/>
      <c r="FM99" s="836"/>
      <c r="FN99" s="715">
        <f>IF(FL99=0,0,(FM99-FL99)/FL99*100)</f>
        <v>0</v>
      </c>
      <c r="FO99" s="836"/>
      <c r="FP99" s="836"/>
      <c r="FQ99" s="715">
        <f>IF(FO99=0,0,(FP99-FO99)/FO99*100)</f>
        <v>0</v>
      </c>
      <c r="FR99" s="836"/>
      <c r="FS99" s="836"/>
      <c r="FT99" s="715">
        <f>IF(FR99=0,0,(FS99-FR99)/FR99*100)</f>
        <v>0</v>
      </c>
      <c r="FU99" s="836"/>
      <c r="FV99" s="836"/>
      <c r="FW99" s="715">
        <f>IF(FU99=0,0,(FV99-FU99)/FU99*100)</f>
        <v>0</v>
      </c>
      <c r="FX99" s="204"/>
      <c r="FZ99" s="691" t="s">
        <v>1672</v>
      </c>
      <c r="GA99" s="671" t="s">
        <v>1670</v>
      </c>
      <c r="GB99" s="671" cm="1">
        <f t="array" ref="GB99">GB98</f>
        <v>0</v>
      </c>
    </row>
    <row r="100" spans="1:186" ht="14.25" customHeight="1" x14ac:dyDescent="0.15">
      <c r="A100" s="59"/>
      <c r="B100" s="613" t="b" cm="1">
        <f t="array" ref="B100">B99</f>
        <v>1</v>
      </c>
      <c r="C100" s="59"/>
      <c r="D100" s="59"/>
      <c r="E100" s="462">
        <v>15</v>
      </c>
      <c r="F100" s="3" t="str" cm="1">
        <f t="array" aca="1" ref="F100" ca="1">OFFSET(E100,-1,1)</f>
        <v>1</v>
      </c>
      <c r="G100" s="59"/>
      <c r="H100" s="59"/>
      <c r="I100" s="17" t="s">
        <v>1673</v>
      </c>
      <c r="J100" s="59"/>
      <c r="K100" s="59"/>
      <c r="L100" s="59"/>
      <c r="M100" s="59"/>
      <c r="N100" s="59"/>
      <c r="O100" s="59"/>
      <c r="P100" s="59"/>
      <c r="Q100" s="59"/>
      <c r="R100" s="4"/>
      <c r="S100" s="59"/>
      <c r="T100" s="353" t="b">
        <f ca="1">F100&gt;0</f>
        <v>1</v>
      </c>
      <c r="U100" s="59"/>
      <c r="W100" s="517" t="s">
        <v>1674</v>
      </c>
      <c r="X100" s="1022"/>
      <c r="Z100" s="966"/>
      <c r="AB100" s="172" t="s">
        <v>176</v>
      </c>
      <c r="AC100" s="176"/>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c r="BZ100" s="716"/>
      <c r="CA100" s="716"/>
      <c r="CB100" s="716"/>
      <c r="CC100" s="716"/>
      <c r="CD100" s="716"/>
      <c r="CE100" s="716"/>
      <c r="CF100" s="716"/>
      <c r="CG100" s="716"/>
      <c r="CH100" s="716"/>
      <c r="CI100" s="716"/>
      <c r="CJ100" s="716"/>
      <c r="CK100" s="716"/>
      <c r="CL100" s="716"/>
      <c r="CM100" s="716"/>
      <c r="CN100" s="716"/>
      <c r="CO100" s="716"/>
      <c r="CP100" s="716"/>
      <c r="CQ100" s="716"/>
      <c r="CR100" s="716"/>
      <c r="CS100" s="716"/>
      <c r="CT100" s="716"/>
      <c r="CU100" s="716"/>
      <c r="CV100" s="716"/>
      <c r="CW100" s="716"/>
      <c r="CX100" s="716"/>
      <c r="CY100" s="716"/>
      <c r="CZ100" s="716"/>
      <c r="DA100" s="716"/>
      <c r="DB100" s="716"/>
      <c r="DC100" s="716"/>
      <c r="DD100" s="716"/>
      <c r="DE100" s="716"/>
      <c r="DF100" s="716"/>
      <c r="DG100" s="716"/>
      <c r="DH100" s="716"/>
      <c r="DI100" s="716"/>
      <c r="DJ100" s="716"/>
      <c r="DK100" s="716"/>
      <c r="DL100" s="716"/>
      <c r="DM100" s="716"/>
      <c r="DN100" s="716"/>
      <c r="DO100" s="716"/>
      <c r="DP100" s="716"/>
      <c r="DQ100" s="716"/>
      <c r="DR100" s="716"/>
      <c r="DS100" s="716"/>
      <c r="DT100" s="716"/>
      <c r="DU100" s="716"/>
      <c r="DV100" s="716"/>
      <c r="DW100" s="716"/>
      <c r="DX100" s="716"/>
      <c r="DY100" s="716"/>
      <c r="DZ100" s="716"/>
      <c r="EA100" s="716"/>
      <c r="EB100" s="716"/>
      <c r="EC100" s="716"/>
      <c r="ED100" s="716"/>
      <c r="EE100" s="716"/>
      <c r="EF100" s="716"/>
      <c r="EG100" s="716"/>
      <c r="EH100" s="716"/>
      <c r="EI100" s="716"/>
      <c r="EJ100" s="716"/>
      <c r="EK100" s="716"/>
      <c r="EL100" s="716"/>
      <c r="EM100" s="716"/>
      <c r="EN100" s="716"/>
      <c r="EO100" s="716"/>
      <c r="EP100" s="716"/>
      <c r="EQ100" s="716"/>
      <c r="ER100" s="716"/>
      <c r="ES100" s="716"/>
      <c r="ET100" s="716"/>
      <c r="EU100" s="716"/>
      <c r="EV100" s="716"/>
      <c r="EW100" s="716"/>
      <c r="EX100" s="716"/>
      <c r="EY100" s="716"/>
      <c r="EZ100" s="716"/>
      <c r="FA100" s="716"/>
      <c r="FB100" s="716"/>
      <c r="FC100" s="716"/>
      <c r="FD100" s="716"/>
      <c r="FE100" s="716"/>
      <c r="FF100" s="716"/>
      <c r="FG100" s="716"/>
      <c r="FH100" s="716"/>
      <c r="FI100" s="716"/>
      <c r="FJ100" s="716"/>
      <c r="FK100" s="716"/>
      <c r="FL100" s="716"/>
      <c r="FM100" s="716"/>
      <c r="FN100" s="716"/>
      <c r="FO100" s="716"/>
      <c r="FP100" s="716"/>
      <c r="FQ100" s="716"/>
      <c r="FR100" s="716"/>
      <c r="FS100" s="716"/>
      <c r="FT100" s="716"/>
      <c r="FU100" s="716"/>
      <c r="FV100" s="716"/>
      <c r="FW100" s="717"/>
      <c r="FZ100" s="691" t="s">
        <v>225</v>
      </c>
      <c r="GC100" s="461" t="s">
        <v>1670</v>
      </c>
    </row>
    <row r="101" spans="1:186" ht="14.25" hidden="1" customHeight="1" x14ac:dyDescent="0.15">
      <c r="A101" s="59"/>
      <c r="B101" s="613" t="b">
        <f>AND(R85="двухставочный",NOT(S85))</f>
        <v>0</v>
      </c>
      <c r="C101" s="59"/>
      <c r="D101" s="59"/>
      <c r="E101" s="462">
        <v>15</v>
      </c>
      <c r="F101" s="3" t="str" cm="1">
        <f t="array" aca="1" ref="F101" ca="1">OFFSET(E101,-1,1)</f>
        <v>1</v>
      </c>
      <c r="G101" s="59"/>
      <c r="H101" s="59"/>
      <c r="I101" s="59"/>
      <c r="J101" s="59"/>
      <c r="K101" s="59"/>
      <c r="L101" s="59"/>
      <c r="M101" s="59"/>
      <c r="N101" s="59"/>
      <c r="O101" s="59"/>
      <c r="P101" s="59"/>
      <c r="Q101" s="59"/>
      <c r="R101" s="4"/>
      <c r="S101" s="59"/>
      <c r="T101" s="353" t="b" cm="1">
        <f t="array" aca="1" ref="T101" ca="1">T100</f>
        <v>1</v>
      </c>
      <c r="U101" s="59"/>
      <c r="V101" s="59"/>
      <c r="W101" s="59"/>
      <c r="X101" s="1022"/>
      <c r="Y101" s="59"/>
      <c r="Z101" s="966"/>
      <c r="AA101" s="59"/>
      <c r="AB101" s="592" t="s">
        <v>1675</v>
      </c>
      <c r="AC101" s="593"/>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1" t="s">
        <v>225</v>
      </c>
    </row>
    <row r="102" spans="1:186" ht="23.25" hidden="1" customHeight="1" x14ac:dyDescent="0.15">
      <c r="A102" s="59"/>
      <c r="B102" s="613" t="b" cm="1">
        <f t="array" ref="B102">B101</f>
        <v>0</v>
      </c>
      <c r="C102" s="59"/>
      <c r="D102" s="59"/>
      <c r="E102" s="462">
        <v>24.5</v>
      </c>
      <c r="F102" s="3" t="str" cm="1">
        <f t="array" aca="1" ref="F102" ca="1">OFFSET(E102,-1,1)</f>
        <v>1</v>
      </c>
      <c r="G102" s="59"/>
      <c r="H102" s="59"/>
      <c r="I102" s="59"/>
      <c r="J102" s="59"/>
      <c r="K102" s="59"/>
      <c r="L102" s="59"/>
      <c r="M102" s="59"/>
      <c r="N102" s="59"/>
      <c r="O102" s="59"/>
      <c r="P102" s="59"/>
      <c r="Q102" s="59"/>
      <c r="R102" s="59"/>
      <c r="S102" s="59"/>
      <c r="T102" s="353" t="b" cm="1">
        <f t="array" aca="1" ref="T102" ca="1">T101</f>
        <v>1</v>
      </c>
      <c r="U102" s="59"/>
      <c r="V102" s="59"/>
      <c r="W102" s="59"/>
      <c r="X102" s="1022"/>
      <c r="Y102" s="59"/>
      <c r="Z102" s="966"/>
      <c r="AA102" s="59"/>
      <c r="AB102" s="205" t="s">
        <v>1676</v>
      </c>
      <c r="AC102" s="597"/>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9"/>
      <c r="FZ102" s="691" t="s">
        <v>225</v>
      </c>
    </row>
    <row r="103" spans="1:186" ht="14.25" hidden="1" customHeight="1" x14ac:dyDescent="0.15">
      <c r="A103" s="59"/>
      <c r="B103" s="613" t="b" cm="1">
        <f t="array" ref="B103">B102</f>
        <v>0</v>
      </c>
      <c r="C103" s="59"/>
      <c r="D103" s="59"/>
      <c r="E103" s="462">
        <v>15</v>
      </c>
      <c r="F103" s="3" t="str" cm="1">
        <f t="array" aca="1" ref="F103" ca="1">OFFSET(E103,-1,1)</f>
        <v>1</v>
      </c>
      <c r="G103" s="59"/>
      <c r="H103" s="59" t="s">
        <v>1570</v>
      </c>
      <c r="I103" s="59" t="s">
        <v>1642</v>
      </c>
      <c r="J103" s="59"/>
      <c r="K103" s="59"/>
      <c r="L103" s="59"/>
      <c r="M103" s="59"/>
      <c r="N103" s="59"/>
      <c r="O103" s="59"/>
      <c r="P103" s="59"/>
      <c r="Q103" s="59"/>
      <c r="R103" s="59"/>
      <c r="S103" s="59"/>
      <c r="T103" s="353" t="b" cm="1">
        <f t="array" aca="1" ref="T103" ca="1">T102</f>
        <v>1</v>
      </c>
      <c r="U103" s="59"/>
      <c r="V103" s="59"/>
      <c r="W103" s="59"/>
      <c r="X103" s="1022"/>
      <c r="Y103" s="59"/>
      <c r="Z103" s="966"/>
      <c r="AA103" s="59"/>
      <c r="AB103" s="105" t="s">
        <v>1677</v>
      </c>
      <c r="AC103" s="12" t="s">
        <v>1644</v>
      </c>
      <c r="AD103" s="820">
        <f ca="1">IF(AD105=0,0,(AD104*AD105+AD106*AD107*IF(god=2026,9,6))/AD105)</f>
        <v>0</v>
      </c>
      <c r="AE103" s="820">
        <f ca="1">IF(AE105=0,0,(AE104*AE105+AE106*AE107*IF(god=2026,9,6))/AE105)</f>
        <v>0</v>
      </c>
      <c r="AF103" s="714">
        <f ca="1">IF(AD103=0,0,(AE103-AD103)/AD103*100)</f>
        <v>0</v>
      </c>
      <c r="AG103" s="820">
        <f ca="1">IF(AG105=0,0,(AG104*AG105+AG106*AG107*IF(god=2025,9,6))/AG105)</f>
        <v>0</v>
      </c>
      <c r="AH103" s="820">
        <f ca="1">IF(AH105=0,0,(AH104*AH105+AH106*AH107*IF(god=2025,9,6))/AH105)</f>
        <v>0</v>
      </c>
      <c r="AI103" s="714">
        <f ca="1">IF(AG103=0,0,(AH103-AG103)/AG103*100)</f>
        <v>0</v>
      </c>
      <c r="AJ103" s="820">
        <f ca="1">IF(AJ105=0,0,(AJ104*AJ105+AJ106*AJ107*6)/AJ105)</f>
        <v>0</v>
      </c>
      <c r="AK103" s="820">
        <f ca="1">IF(AK105=0,0,(AK104*AK105+AK106*AK107*6)/AK105)</f>
        <v>0</v>
      </c>
      <c r="AL103" s="714">
        <f ca="1">IF(AJ103=0,0,(AK103-AJ103)/AJ103*100)</f>
        <v>0</v>
      </c>
      <c r="AM103" s="820">
        <f ca="1">IF(AM105=0,0,(AM104*AM105+AM106*AM107*6)/AM105)</f>
        <v>0</v>
      </c>
      <c r="AN103" s="820">
        <f ca="1">IF(AN105=0,0,(AN104*AN105+AN106*AN107*6)/AN105)</f>
        <v>0</v>
      </c>
      <c r="AO103" s="714">
        <f ca="1">IF(AM103=0,0,(AN103-AM103)/AM103*100)</f>
        <v>0</v>
      </c>
      <c r="AP103" s="820">
        <f ca="1">IF(AP105=0,0,(AP104*AP105+AP106*AP107*6)/AP105)</f>
        <v>0</v>
      </c>
      <c r="AQ103" s="820">
        <f ca="1">IF(AQ105=0,0,(AQ104*AQ105+AQ106*AQ107*6)/AQ105)</f>
        <v>0</v>
      </c>
      <c r="AR103" s="714">
        <f ca="1">IF(AP103=0,0,(AQ103-AP103)/AP103*100)</f>
        <v>0</v>
      </c>
      <c r="AS103" s="820">
        <f ca="1">IF(AS105=0,0,(AS104*AS105+AS106*AS107*6)/AS105)</f>
        <v>0</v>
      </c>
      <c r="AT103" s="820">
        <f ca="1">IF(AT105=0,0,(AT104*AT105+AT106*AT107*6)/AT105)</f>
        <v>0</v>
      </c>
      <c r="AU103" s="714">
        <f ca="1">IF(AS103=0,0,(AT103-AS103)/AS103*100)</f>
        <v>0</v>
      </c>
      <c r="AV103" s="820">
        <f ca="1">IF(AV105=0,0,(AV104*AV105+AV106*AV107*6)/AV105)</f>
        <v>0</v>
      </c>
      <c r="AW103" s="820">
        <f ca="1">IF(AW105=0,0,(AW104*AW105+AW106*AW107*6)/AW105)</f>
        <v>0</v>
      </c>
      <c r="AX103" s="714">
        <f ca="1">IF(AV103=0,0,(AW103-AV103)/AV103*100)</f>
        <v>0</v>
      </c>
      <c r="AY103" s="820">
        <f ca="1">IF(AY105=0,0,(AY104*AY105+AY106*AY107*6)/AY105)</f>
        <v>0</v>
      </c>
      <c r="AZ103" s="820">
        <f ca="1">IF(AZ105=0,0,(AZ104*AZ105+AZ106*AZ107*6)/AZ105)</f>
        <v>0</v>
      </c>
      <c r="BA103" s="714">
        <f ca="1">IF(AY103=0,0,(AZ103-AY103)/AY103*100)</f>
        <v>0</v>
      </c>
      <c r="BB103" s="820">
        <f ca="1">IF(BB105=0,0,(BB104*BB105+BB106*BB107*6)/BB105)</f>
        <v>0</v>
      </c>
      <c r="BC103" s="820">
        <f ca="1">IF(BC105=0,0,(BC104*BC105+BC106*BC107*6)/BC105)</f>
        <v>0</v>
      </c>
      <c r="BD103" s="714">
        <f ca="1">IF(BB103=0,0,(BC103-BB103)/BB103*100)</f>
        <v>0</v>
      </c>
      <c r="BE103" s="820">
        <f ca="1">IF(BE105=0,0,(BE104*BE105+BE106*BE107*6)/BE105)</f>
        <v>0</v>
      </c>
      <c r="BF103" s="820">
        <f ca="1">IF(BF105=0,0,(BF104*BF105+BF106*BF107*6)/BF105)</f>
        <v>0</v>
      </c>
      <c r="BG103" s="714">
        <f ca="1">IF(BE103=0,0,(BF103-BE103)/BE103*100)</f>
        <v>0</v>
      </c>
      <c r="BH103" s="820">
        <f>IF(BH105=0,0,(BH104*BH105+BH106*BH107*6)/BH105)</f>
        <v>0</v>
      </c>
      <c r="BI103" s="820">
        <f>IF(BI105=0,0,(BI104*BI105+BI106*BI107*6)/BI105)</f>
        <v>0</v>
      </c>
      <c r="BJ103" s="714">
        <f>IF(BH103=0,0,(BI103-BH103)/BH103*100)</f>
        <v>0</v>
      </c>
      <c r="BK103" s="820">
        <f>IF(BK105=0,0,(BK104*BK105+BK106*BK107*6)/BK105)</f>
        <v>0</v>
      </c>
      <c r="BL103" s="820">
        <f>IF(BL105=0,0,(BL104*BL105+BL106*BL107*6)/BL105)</f>
        <v>0</v>
      </c>
      <c r="BM103" s="714">
        <f>IF(BK103=0,0,(BL103-BK103)/BK103*100)</f>
        <v>0</v>
      </c>
      <c r="BN103" s="820">
        <f>IF(BN105=0,0,(BN104*BN105+BN106*BN107*6)/BN105)</f>
        <v>0</v>
      </c>
      <c r="BO103" s="820">
        <f>IF(BO105=0,0,(BO104*BO105+BO106*BO107*6)/BO105)</f>
        <v>0</v>
      </c>
      <c r="BP103" s="714">
        <f>IF(BN103=0,0,(BO103-BN103)/BN103*100)</f>
        <v>0</v>
      </c>
      <c r="BQ103" s="820">
        <f>IF(BQ105=0,0,(BQ104*BQ105+BQ106*BQ107*6)/BQ105)</f>
        <v>0</v>
      </c>
      <c r="BR103" s="820">
        <f>IF(BR105=0,0,(BR104*BR105+BR106*BR107*6)/BR105)</f>
        <v>0</v>
      </c>
      <c r="BS103" s="714">
        <f>IF(BQ103=0,0,(BR103-BQ103)/BQ103*100)</f>
        <v>0</v>
      </c>
      <c r="BT103" s="820">
        <f>IF(BT105=0,0,(BT104*BT105+BT106*BT107*6)/BT105)</f>
        <v>0</v>
      </c>
      <c r="BU103" s="820">
        <f>IF(BU105=0,0,(BU104*BU105+BU106*BU107*6)/BU105)</f>
        <v>0</v>
      </c>
      <c r="BV103" s="714">
        <f>IF(BT103=0,0,(BU103-BT103)/BT103*100)</f>
        <v>0</v>
      </c>
      <c r="BW103" s="820">
        <f>IF(BW105=0,0,(BW104*BW105+BW106*BW107*6)/BW105)</f>
        <v>0</v>
      </c>
      <c r="BX103" s="820">
        <f>IF(BX105=0,0,(BX104*BX105+BX106*BX107*6)/BX105)</f>
        <v>0</v>
      </c>
      <c r="BY103" s="714">
        <f>IF(BW103=0,0,(BX103-BW103)/BW103*100)</f>
        <v>0</v>
      </c>
      <c r="BZ103" s="820">
        <f>IF(BZ105=0,0,(BZ104*BZ105+BZ106*BZ107*6)/BZ105)</f>
        <v>0</v>
      </c>
      <c r="CA103" s="820">
        <f>IF(CA105=0,0,(CA104*CA105+CA106*CA107*6)/CA105)</f>
        <v>0</v>
      </c>
      <c r="CB103" s="714">
        <f>IF(BZ103=0,0,(CA103-BZ103)/BZ103*100)</f>
        <v>0</v>
      </c>
      <c r="CC103" s="820">
        <f>IF(CC105=0,0,(CC104*CC105+CC106*CC107*6)/CC105)</f>
        <v>0</v>
      </c>
      <c r="CD103" s="820">
        <f>IF(CD105=0,0,(CD104*CD105+CD106*CD107*6)/CD105)</f>
        <v>0</v>
      </c>
      <c r="CE103" s="714">
        <f>IF(CC103=0,0,(CD103-CC103)/CC103*100)</f>
        <v>0</v>
      </c>
      <c r="CF103" s="820">
        <f>IF(CF105=0,0,(CF104*CF105+CF106*CF107*6)/CF105)</f>
        <v>0</v>
      </c>
      <c r="CG103" s="820">
        <f>IF(CG105=0,0,(CG104*CG105+CG106*CG107*6)/CG105)</f>
        <v>0</v>
      </c>
      <c r="CH103" s="714">
        <f>IF(CF103=0,0,(CG103-CF103)/CF103*100)</f>
        <v>0</v>
      </c>
      <c r="CI103" s="820">
        <f>IF(CI105=0,0,(CI104*CI105+CI106*CI107*6)/CI105)</f>
        <v>0</v>
      </c>
      <c r="CJ103" s="820">
        <f>IF(CJ105=0,0,(CJ104*CJ105+CJ106*CJ107*6)/CJ105)</f>
        <v>0</v>
      </c>
      <c r="CK103" s="714">
        <f>IF(CI103=0,0,(CJ103-CI103)/CI103*100)</f>
        <v>0</v>
      </c>
      <c r="CL103" s="820">
        <f>IF(CL105=0,0,(CL104*CL105+CL106*CL107*6)/CL105)</f>
        <v>0</v>
      </c>
      <c r="CM103" s="820">
        <f>IF(CM105=0,0,(CM104*CM105+CM106*CM107*6)/CM105)</f>
        <v>0</v>
      </c>
      <c r="CN103" s="714">
        <f>IF(CL103=0,0,(CM103-CL103)/CL103*100)</f>
        <v>0</v>
      </c>
      <c r="CO103" s="820">
        <f>IF(CO105=0,0,(CO104*CO105+CO106*CO107*6)/CO105)</f>
        <v>0</v>
      </c>
      <c r="CP103" s="820">
        <f>IF(CP105=0,0,(CP104*CP105+CP106*CP107*6)/CP105)</f>
        <v>0</v>
      </c>
      <c r="CQ103" s="714">
        <f>IF(CO103=0,0,(CP103-CO103)/CO103*100)</f>
        <v>0</v>
      </c>
      <c r="CR103" s="820">
        <f>IF(CR105=0,0,(CR104*CR105+CR106*CR107*6)/CR105)</f>
        <v>0</v>
      </c>
      <c r="CS103" s="820">
        <f>IF(CS105=0,0,(CS104*CS105+CS106*CS107*6)/CS105)</f>
        <v>0</v>
      </c>
      <c r="CT103" s="714">
        <f>IF(CR103=0,0,(CS103-CR103)/CR103*100)</f>
        <v>0</v>
      </c>
      <c r="CU103" s="820">
        <f>IF(CU105=0,0,(CU104*CU105+CU106*CU107*6)/CU105)</f>
        <v>0</v>
      </c>
      <c r="CV103" s="820">
        <f>IF(CV105=0,0,(CV104*CV105+CV106*CV107*6)/CV105)</f>
        <v>0</v>
      </c>
      <c r="CW103" s="714">
        <f>IF(CU103=0,0,(CV103-CU103)/CU103*100)</f>
        <v>0</v>
      </c>
      <c r="CX103" s="820">
        <f>IF(CX105=0,0,(CX104*CX105+CX106*CX107*6)/CX105)</f>
        <v>0</v>
      </c>
      <c r="CY103" s="820">
        <f>IF(CY105=0,0,(CY104*CY105+CY106*CY107*6)/CY105)</f>
        <v>0</v>
      </c>
      <c r="CZ103" s="714">
        <f>IF(CX103=0,0,(CY103-CX103)/CX103*100)</f>
        <v>0</v>
      </c>
      <c r="DA103" s="820">
        <f>IF(DA105=0,0,(DA104*DA105+DA106*DA107*6)/DA105)</f>
        <v>0</v>
      </c>
      <c r="DB103" s="820">
        <f>IF(DB105=0,0,(DB104*DB105+DB106*DB107*6)/DB105)</f>
        <v>0</v>
      </c>
      <c r="DC103" s="714">
        <f>IF(DA103=0,0,(DB103-DA103)/DA103*100)</f>
        <v>0</v>
      </c>
      <c r="DD103" s="820">
        <f>IF(DD105=0,0,(DD104*DD105+DD106*DD107*6)/DD105)</f>
        <v>0</v>
      </c>
      <c r="DE103" s="820">
        <f>IF(DE105=0,0,(DE104*DE105+DE106*DE107*6)/DE105)</f>
        <v>0</v>
      </c>
      <c r="DF103" s="714">
        <f>IF(DD103=0,0,(DE103-DD103)/DD103*100)</f>
        <v>0</v>
      </c>
      <c r="DG103" s="820">
        <f>IF(DG105=0,0,(DG104*DG105+DG106*DG107*6)/DG105)</f>
        <v>0</v>
      </c>
      <c r="DH103" s="820">
        <f>IF(DH105=0,0,(DH104*DH105+DH106*DH107*6)/DH105)</f>
        <v>0</v>
      </c>
      <c r="DI103" s="714">
        <f>IF(DG103=0,0,(DH103-DG103)/DG103*100)</f>
        <v>0</v>
      </c>
      <c r="DJ103" s="820">
        <f>IF(DJ105=0,0,(DJ104*DJ105+DJ106*DJ107*6)/DJ105)</f>
        <v>0</v>
      </c>
      <c r="DK103" s="820">
        <f>IF(DK105=0,0,(DK104*DK105+DK106*DK107*6)/DK105)</f>
        <v>0</v>
      </c>
      <c r="DL103" s="714">
        <f>IF(DJ103=0,0,(DK103-DJ103)/DJ103*100)</f>
        <v>0</v>
      </c>
      <c r="DM103" s="820">
        <f>IF(DM105=0,0,(DM104*DM105+DM106*DM107*6)/DM105)</f>
        <v>0</v>
      </c>
      <c r="DN103" s="820">
        <f>IF(DN105=0,0,(DN104*DN105+DN106*DN107*6)/DN105)</f>
        <v>0</v>
      </c>
      <c r="DO103" s="714">
        <f>IF(DM103=0,0,(DN103-DM103)/DM103*100)</f>
        <v>0</v>
      </c>
      <c r="DP103" s="820">
        <f>IF(DP105=0,0,(DP104*DP105+DP106*DP107*6)/DP105)</f>
        <v>0</v>
      </c>
      <c r="DQ103" s="820">
        <f>IF(DQ105=0,0,(DQ104*DQ105+DQ106*DQ107*6)/DQ105)</f>
        <v>0</v>
      </c>
      <c r="DR103" s="714">
        <f>IF(DP103=0,0,(DQ103-DP103)/DP103*100)</f>
        <v>0</v>
      </c>
      <c r="DS103" s="820">
        <f>IF(DS105=0,0,(DS104*DS105+DS106*DS107*6)/DS105)</f>
        <v>0</v>
      </c>
      <c r="DT103" s="820">
        <f>IF(DT105=0,0,(DT104*DT105+DT106*DT107*6)/DT105)</f>
        <v>0</v>
      </c>
      <c r="DU103" s="714">
        <f>IF(DS103=0,0,(DT103-DS103)/DS103*100)</f>
        <v>0</v>
      </c>
      <c r="DV103" s="820">
        <f>IF(DV105=0,0,(DV104*DV105+DV106*DV107*6)/DV105)</f>
        <v>0</v>
      </c>
      <c r="DW103" s="820">
        <f>IF(DW105=0,0,(DW104*DW105+DW106*DW107*6)/DW105)</f>
        <v>0</v>
      </c>
      <c r="DX103" s="714">
        <f>IF(DV103=0,0,(DW103-DV103)/DV103*100)</f>
        <v>0</v>
      </c>
      <c r="DY103" s="820">
        <f>IF(DY105=0,0,(DY104*DY105+DY106*DY107*6)/DY105)</f>
        <v>0</v>
      </c>
      <c r="DZ103" s="820">
        <f>IF(DZ105=0,0,(DZ104*DZ105+DZ106*DZ107*6)/DZ105)</f>
        <v>0</v>
      </c>
      <c r="EA103" s="714">
        <f>IF(DY103=0,0,(DZ103-DY103)/DY103*100)</f>
        <v>0</v>
      </c>
      <c r="EB103" s="820">
        <f>IF(EB105=0,0,(EB104*EB105+EB106*EB107*6)/EB105)</f>
        <v>0</v>
      </c>
      <c r="EC103" s="820">
        <f>IF(EC105=0,0,(EC104*EC105+EC106*EC107*6)/EC105)</f>
        <v>0</v>
      </c>
      <c r="ED103" s="714">
        <f>IF(EB103=0,0,(EC103-EB103)/EB103*100)</f>
        <v>0</v>
      </c>
      <c r="EE103" s="820">
        <f>IF(EE105=0,0,(EE104*EE105+EE106*EE107*6)/EE105)</f>
        <v>0</v>
      </c>
      <c r="EF103" s="820">
        <f>IF(EF105=0,0,(EF104*EF105+EF106*EF107*6)/EF105)</f>
        <v>0</v>
      </c>
      <c r="EG103" s="714">
        <f>IF(EE103=0,0,(EF103-EE103)/EE103*100)</f>
        <v>0</v>
      </c>
      <c r="EH103" s="820">
        <f>IF(EH105=0,0,(EH104*EH105+EH106*EH107*6)/EH105)</f>
        <v>0</v>
      </c>
      <c r="EI103" s="820">
        <f>IF(EI105=0,0,(EI104*EI105+EI106*EI107*6)/EI105)</f>
        <v>0</v>
      </c>
      <c r="EJ103" s="714">
        <f>IF(EH103=0,0,(EI103-EH103)/EH103*100)</f>
        <v>0</v>
      </c>
      <c r="EK103" s="820">
        <f>IF(EK105=0,0,(EK104*EK105+EK106*EK107*6)/EK105)</f>
        <v>0</v>
      </c>
      <c r="EL103" s="820">
        <f>IF(EL105=0,0,(EL104*EL105+EL106*EL107*6)/EL105)</f>
        <v>0</v>
      </c>
      <c r="EM103" s="714">
        <f>IF(EK103=0,0,(EL103-EK103)/EK103*100)</f>
        <v>0</v>
      </c>
      <c r="EN103" s="820">
        <f>IF(EN105=0,0,(EN104*EN105+EN106*EN107*6)/EN105)</f>
        <v>0</v>
      </c>
      <c r="EO103" s="820">
        <f>IF(EO105=0,0,(EO104*EO105+EO106*EO107*6)/EO105)</f>
        <v>0</v>
      </c>
      <c r="EP103" s="714">
        <f>IF(EN103=0,0,(EO103-EN103)/EN103*100)</f>
        <v>0</v>
      </c>
      <c r="EQ103" s="820">
        <f>IF(EQ105=0,0,(EQ104*EQ105+EQ106*EQ107*6)/EQ105)</f>
        <v>0</v>
      </c>
      <c r="ER103" s="820">
        <f>IF(ER105=0,0,(ER104*ER105+ER106*ER107*6)/ER105)</f>
        <v>0</v>
      </c>
      <c r="ES103" s="714">
        <f>IF(EQ103=0,0,(ER103-EQ103)/EQ103*100)</f>
        <v>0</v>
      </c>
      <c r="ET103" s="820">
        <f>IF(ET105=0,0,(ET104*ET105+ET106*ET107*6)/ET105)</f>
        <v>0</v>
      </c>
      <c r="EU103" s="820">
        <f>IF(EU105=0,0,(EU104*EU105+EU106*EU107*6)/EU105)</f>
        <v>0</v>
      </c>
      <c r="EV103" s="714">
        <f>IF(ET103=0,0,(EU103-ET103)/ET103*100)</f>
        <v>0</v>
      </c>
      <c r="EW103" s="820">
        <f>IF(EW105=0,0,(EW104*EW105+EW106*EW107*6)/EW105)</f>
        <v>0</v>
      </c>
      <c r="EX103" s="820">
        <f>IF(EX105=0,0,(EX104*EX105+EX106*EX107*6)/EX105)</f>
        <v>0</v>
      </c>
      <c r="EY103" s="714">
        <f>IF(EW103=0,0,(EX103-EW103)/EW103*100)</f>
        <v>0</v>
      </c>
      <c r="EZ103" s="820">
        <f>IF(EZ105=0,0,(EZ104*EZ105+EZ106*EZ107*6)/EZ105)</f>
        <v>0</v>
      </c>
      <c r="FA103" s="820">
        <f>IF(FA105=0,0,(FA104*FA105+FA106*FA107*6)/FA105)</f>
        <v>0</v>
      </c>
      <c r="FB103" s="714">
        <f>IF(EZ103=0,0,(FA103-EZ103)/EZ103*100)</f>
        <v>0</v>
      </c>
      <c r="FC103" s="820">
        <f>IF(FC105=0,0,(FC104*FC105+FC106*FC107*6)/FC105)</f>
        <v>0</v>
      </c>
      <c r="FD103" s="820">
        <f>IF(FD105=0,0,(FD104*FD105+FD106*FD107*6)/FD105)</f>
        <v>0</v>
      </c>
      <c r="FE103" s="714">
        <f>IF(FC103=0,0,(FD103-FC103)/FC103*100)</f>
        <v>0</v>
      </c>
      <c r="FF103" s="820">
        <f>IF(FF105=0,0,(FF104*FF105+FF106*FF107*6)/FF105)</f>
        <v>0</v>
      </c>
      <c r="FG103" s="820">
        <f>IF(FG105=0,0,(FG104*FG105+FG106*FG107*6)/FG105)</f>
        <v>0</v>
      </c>
      <c r="FH103" s="714">
        <f>IF(FF103=0,0,(FG103-FF103)/FF103*100)</f>
        <v>0</v>
      </c>
      <c r="FI103" s="820">
        <f>IF(FI105=0,0,(FI104*FI105+FI106*FI107*6)/FI105)</f>
        <v>0</v>
      </c>
      <c r="FJ103" s="820">
        <f>IF(FJ105=0,0,(FJ104*FJ105+FJ106*FJ107*6)/FJ105)</f>
        <v>0</v>
      </c>
      <c r="FK103" s="714">
        <f>IF(FI103=0,0,(FJ103-FI103)/FI103*100)</f>
        <v>0</v>
      </c>
      <c r="FL103" s="820">
        <f>IF(FL105=0,0,(FL104*FL105+FL106*FL107*6)/FL105)</f>
        <v>0</v>
      </c>
      <c r="FM103" s="820">
        <f>IF(FM105=0,0,(FM104*FM105+FM106*FM107*6)/FM105)</f>
        <v>0</v>
      </c>
      <c r="FN103" s="714">
        <f>IF(FL103=0,0,(FM103-FL103)/FL103*100)</f>
        <v>0</v>
      </c>
      <c r="FO103" s="820">
        <f>IF(FO105=0,0,(FO104*FO105+FO106*FO107*6)/FO105)</f>
        <v>0</v>
      </c>
      <c r="FP103" s="820">
        <f>IF(FP105=0,0,(FP104*FP105+FP106*FP107*6)/FP105)</f>
        <v>0</v>
      </c>
      <c r="FQ103" s="714">
        <f>IF(FO103=0,0,(FP103-FO103)/FO103*100)</f>
        <v>0</v>
      </c>
      <c r="FR103" s="820">
        <f>IF(FR105=0,0,(FR104*FR105+FR106*FR107*6)/FR105)</f>
        <v>0</v>
      </c>
      <c r="FS103" s="820">
        <f>IF(FS105=0,0,(FS104*FS105+FS106*FS107*6)/FS105)</f>
        <v>0</v>
      </c>
      <c r="FT103" s="714">
        <f>IF(FR103=0,0,(FS103-FR103)/FR103*100)</f>
        <v>0</v>
      </c>
      <c r="FU103" s="820">
        <f>IF(FU105=0,0,(FU104*FU105+FU106*FU107*6)/FU105)</f>
        <v>0</v>
      </c>
      <c r="FV103" s="820">
        <f>IF(FV105=0,0,(FV104*FV105+FV106*FV107*6)/FV105)</f>
        <v>0</v>
      </c>
      <c r="FW103" s="714">
        <f>IF(FU103=0,0,(FV103-FU103)/FU103*100)</f>
        <v>0</v>
      </c>
      <c r="FZ103" s="691" t="s">
        <v>1678</v>
      </c>
    </row>
    <row r="104" spans="1:186" ht="14.25" hidden="1" customHeight="1" x14ac:dyDescent="0.15">
      <c r="A104" s="59"/>
      <c r="B104" s="613" t="b" cm="1">
        <f t="array" ref="B104">B103</f>
        <v>0</v>
      </c>
      <c r="C104" s="59"/>
      <c r="D104" s="59"/>
      <c r="E104" s="462">
        <v>15</v>
      </c>
      <c r="F104" s="3" t="str" cm="1">
        <f t="array" aca="1" ref="F104" ca="1">OFFSET(E104,-1,1)</f>
        <v>1</v>
      </c>
      <c r="G104" s="59"/>
      <c r="H104" s="59" t="s">
        <v>1574</v>
      </c>
      <c r="I104" s="59" t="s">
        <v>1642</v>
      </c>
      <c r="J104" s="59"/>
      <c r="K104" s="59"/>
      <c r="L104" s="59"/>
      <c r="M104" s="59"/>
      <c r="N104" s="59"/>
      <c r="O104" s="59"/>
      <c r="P104" s="59"/>
      <c r="Q104" s="59"/>
      <c r="R104" s="59"/>
      <c r="S104" s="59"/>
      <c r="T104" s="353" t="b" cm="1">
        <f t="array" aca="1" ref="T104" ca="1">T103</f>
        <v>1</v>
      </c>
      <c r="U104" s="59"/>
      <c r="V104" s="59"/>
      <c r="W104" s="59"/>
      <c r="X104" s="1022"/>
      <c r="Y104" s="59"/>
      <c r="Z104" s="966"/>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1644</v>
      </c>
      <c r="AD104" s="820"/>
      <c r="AE104" s="820"/>
      <c r="AF104" s="714">
        <f>IF(AD104=0,0,(AE104-AD104)/AD104*100)</f>
        <v>0</v>
      </c>
      <c r="AG104" s="820"/>
      <c r="AH104" s="820"/>
      <c r="AI104" s="714">
        <f>IF(AG104=0,0,(AH104-AG104)/AG104*100)</f>
        <v>0</v>
      </c>
      <c r="AJ104" s="820"/>
      <c r="AK104" s="820"/>
      <c r="AL104" s="714">
        <f>IF(AJ104=0,0,(AK104-AJ104)/AJ104*100)</f>
        <v>0</v>
      </c>
      <c r="AM104" s="820"/>
      <c r="AN104" s="820"/>
      <c r="AO104" s="714">
        <f>IF(AM104=0,0,(AN104-AM104)/AM104*100)</f>
        <v>0</v>
      </c>
      <c r="AP104" s="820"/>
      <c r="AQ104" s="820"/>
      <c r="AR104" s="714">
        <f>IF(AP104=0,0,(AQ104-AP104)/AP104*100)</f>
        <v>0</v>
      </c>
      <c r="AS104" s="820"/>
      <c r="AT104" s="820"/>
      <c r="AU104" s="714">
        <f>IF(AS104=0,0,(AT104-AS104)/AS104*100)</f>
        <v>0</v>
      </c>
      <c r="AV104" s="820"/>
      <c r="AW104" s="820"/>
      <c r="AX104" s="714">
        <f>IF(AV104=0,0,(AW104-AV104)/AV104*100)</f>
        <v>0</v>
      </c>
      <c r="AY104" s="820"/>
      <c r="AZ104" s="820"/>
      <c r="BA104" s="714">
        <f>IF(AY104=0,0,(AZ104-AY104)/AY104*100)</f>
        <v>0</v>
      </c>
      <c r="BB104" s="820"/>
      <c r="BC104" s="820"/>
      <c r="BD104" s="714">
        <f>IF(BB104=0,0,(BC104-BB104)/BB104*100)</f>
        <v>0</v>
      </c>
      <c r="BE104" s="820"/>
      <c r="BF104" s="820"/>
      <c r="BG104" s="714">
        <f>IF(BE104=0,0,(BF104-BE104)/BE104*100)</f>
        <v>0</v>
      </c>
      <c r="BH104" s="820"/>
      <c r="BI104" s="820"/>
      <c r="BJ104" s="714">
        <f>IF(BH104=0,0,(BI104-BH104)/BH104*100)</f>
        <v>0</v>
      </c>
      <c r="BK104" s="820"/>
      <c r="BL104" s="820"/>
      <c r="BM104" s="714">
        <f>IF(BK104=0,0,(BL104-BK104)/BK104*100)</f>
        <v>0</v>
      </c>
      <c r="BN104" s="820"/>
      <c r="BO104" s="820"/>
      <c r="BP104" s="714">
        <f>IF(BN104=0,0,(BO104-BN104)/BN104*100)</f>
        <v>0</v>
      </c>
      <c r="BQ104" s="820"/>
      <c r="BR104" s="820"/>
      <c r="BS104" s="714">
        <f>IF(BQ104=0,0,(BR104-BQ104)/BQ104*100)</f>
        <v>0</v>
      </c>
      <c r="BT104" s="820"/>
      <c r="BU104" s="820"/>
      <c r="BV104" s="714">
        <f>IF(BT104=0,0,(BU104-BT104)/BT104*100)</f>
        <v>0</v>
      </c>
      <c r="BW104" s="820"/>
      <c r="BX104" s="820"/>
      <c r="BY104" s="714">
        <f>IF(BW104=0,0,(BX104-BW104)/BW104*100)</f>
        <v>0</v>
      </c>
      <c r="BZ104" s="820"/>
      <c r="CA104" s="820"/>
      <c r="CB104" s="714">
        <f>IF(BZ104=0,0,(CA104-BZ104)/BZ104*100)</f>
        <v>0</v>
      </c>
      <c r="CC104" s="820"/>
      <c r="CD104" s="820"/>
      <c r="CE104" s="714">
        <f>IF(CC104=0,0,(CD104-CC104)/CC104*100)</f>
        <v>0</v>
      </c>
      <c r="CF104" s="820"/>
      <c r="CG104" s="820"/>
      <c r="CH104" s="714">
        <f>IF(CF104=0,0,(CG104-CF104)/CF104*100)</f>
        <v>0</v>
      </c>
      <c r="CI104" s="820"/>
      <c r="CJ104" s="820"/>
      <c r="CK104" s="714">
        <f>IF(CI104=0,0,(CJ104-CI104)/CI104*100)</f>
        <v>0</v>
      </c>
      <c r="CL104" s="820"/>
      <c r="CM104" s="820"/>
      <c r="CN104" s="714">
        <f>IF(CL104=0,0,(CM104-CL104)/CL104*100)</f>
        <v>0</v>
      </c>
      <c r="CO104" s="820"/>
      <c r="CP104" s="820"/>
      <c r="CQ104" s="714">
        <f>IF(CO104=0,0,(CP104-CO104)/CO104*100)</f>
        <v>0</v>
      </c>
      <c r="CR104" s="820"/>
      <c r="CS104" s="820"/>
      <c r="CT104" s="714">
        <f>IF(CR104=0,0,(CS104-CR104)/CR104*100)</f>
        <v>0</v>
      </c>
      <c r="CU104" s="820"/>
      <c r="CV104" s="820"/>
      <c r="CW104" s="714">
        <f>IF(CU104=0,0,(CV104-CU104)/CU104*100)</f>
        <v>0</v>
      </c>
      <c r="CX104" s="820"/>
      <c r="CY104" s="820"/>
      <c r="CZ104" s="714">
        <f>IF(CX104=0,0,(CY104-CX104)/CX104*100)</f>
        <v>0</v>
      </c>
      <c r="DA104" s="820"/>
      <c r="DB104" s="820"/>
      <c r="DC104" s="714">
        <f>IF(DA104=0,0,(DB104-DA104)/DA104*100)</f>
        <v>0</v>
      </c>
      <c r="DD104" s="820"/>
      <c r="DE104" s="820"/>
      <c r="DF104" s="714">
        <f>IF(DD104=0,0,(DE104-DD104)/DD104*100)</f>
        <v>0</v>
      </c>
      <c r="DG104" s="820"/>
      <c r="DH104" s="820"/>
      <c r="DI104" s="714">
        <f>IF(DG104=0,0,(DH104-DG104)/DG104*100)</f>
        <v>0</v>
      </c>
      <c r="DJ104" s="820"/>
      <c r="DK104" s="820"/>
      <c r="DL104" s="714">
        <f>IF(DJ104=0,0,(DK104-DJ104)/DJ104*100)</f>
        <v>0</v>
      </c>
      <c r="DM104" s="820"/>
      <c r="DN104" s="820"/>
      <c r="DO104" s="714">
        <f>IF(DM104=0,0,(DN104-DM104)/DM104*100)</f>
        <v>0</v>
      </c>
      <c r="DP104" s="820"/>
      <c r="DQ104" s="820"/>
      <c r="DR104" s="714">
        <f>IF(DP104=0,0,(DQ104-DP104)/DP104*100)</f>
        <v>0</v>
      </c>
      <c r="DS104" s="820"/>
      <c r="DT104" s="820"/>
      <c r="DU104" s="714">
        <f>IF(DS104=0,0,(DT104-DS104)/DS104*100)</f>
        <v>0</v>
      </c>
      <c r="DV104" s="820"/>
      <c r="DW104" s="820"/>
      <c r="DX104" s="714">
        <f>IF(DV104=0,0,(DW104-DV104)/DV104*100)</f>
        <v>0</v>
      </c>
      <c r="DY104" s="820"/>
      <c r="DZ104" s="820"/>
      <c r="EA104" s="714">
        <f>IF(DY104=0,0,(DZ104-DY104)/DY104*100)</f>
        <v>0</v>
      </c>
      <c r="EB104" s="820"/>
      <c r="EC104" s="820"/>
      <c r="ED104" s="714">
        <f>IF(EB104=0,0,(EC104-EB104)/EB104*100)</f>
        <v>0</v>
      </c>
      <c r="EE104" s="820"/>
      <c r="EF104" s="820"/>
      <c r="EG104" s="714">
        <f>IF(EE104=0,0,(EF104-EE104)/EE104*100)</f>
        <v>0</v>
      </c>
      <c r="EH104" s="820"/>
      <c r="EI104" s="820"/>
      <c r="EJ104" s="714">
        <f>IF(EH104=0,0,(EI104-EH104)/EH104*100)</f>
        <v>0</v>
      </c>
      <c r="EK104" s="820"/>
      <c r="EL104" s="820"/>
      <c r="EM104" s="714">
        <f>IF(EK104=0,0,(EL104-EK104)/EK104*100)</f>
        <v>0</v>
      </c>
      <c r="EN104" s="820"/>
      <c r="EO104" s="820"/>
      <c r="EP104" s="714">
        <f>IF(EN104=0,0,(EO104-EN104)/EN104*100)</f>
        <v>0</v>
      </c>
      <c r="EQ104" s="820"/>
      <c r="ER104" s="820"/>
      <c r="ES104" s="714">
        <f>IF(EQ104=0,0,(ER104-EQ104)/EQ104*100)</f>
        <v>0</v>
      </c>
      <c r="ET104" s="820"/>
      <c r="EU104" s="820"/>
      <c r="EV104" s="714">
        <f>IF(ET104=0,0,(EU104-ET104)/ET104*100)</f>
        <v>0</v>
      </c>
      <c r="EW104" s="820"/>
      <c r="EX104" s="820"/>
      <c r="EY104" s="714">
        <f>IF(EW104=0,0,(EX104-EW104)/EW104*100)</f>
        <v>0</v>
      </c>
      <c r="EZ104" s="820"/>
      <c r="FA104" s="820"/>
      <c r="FB104" s="714">
        <f>IF(EZ104=0,0,(FA104-EZ104)/EZ104*100)</f>
        <v>0</v>
      </c>
      <c r="FC104" s="820"/>
      <c r="FD104" s="820"/>
      <c r="FE104" s="714">
        <f>IF(FC104=0,0,(FD104-FC104)/FC104*100)</f>
        <v>0</v>
      </c>
      <c r="FF104" s="820"/>
      <c r="FG104" s="820"/>
      <c r="FH104" s="714">
        <f>IF(FF104=0,0,(FG104-FF104)/FF104*100)</f>
        <v>0</v>
      </c>
      <c r="FI104" s="820"/>
      <c r="FJ104" s="820"/>
      <c r="FK104" s="714">
        <f>IF(FI104=0,0,(FJ104-FI104)/FI104*100)</f>
        <v>0</v>
      </c>
      <c r="FL104" s="820"/>
      <c r="FM104" s="820"/>
      <c r="FN104" s="714">
        <f>IF(FL104=0,0,(FM104-FL104)/FL104*100)</f>
        <v>0</v>
      </c>
      <c r="FO104" s="820"/>
      <c r="FP104" s="820"/>
      <c r="FQ104" s="714">
        <f>IF(FO104=0,0,(FP104-FO104)/FO104*100)</f>
        <v>0</v>
      </c>
      <c r="FR104" s="820"/>
      <c r="FS104" s="820"/>
      <c r="FT104" s="714">
        <f>IF(FR104=0,0,(FS104-FR104)/FR104*100)</f>
        <v>0</v>
      </c>
      <c r="FU104" s="820"/>
      <c r="FV104" s="820"/>
      <c r="FW104" s="714">
        <f>IF(FU104=0,0,(FV104-FU104)/FU104*100)</f>
        <v>0</v>
      </c>
      <c r="FZ104" s="691" t="s">
        <v>1679</v>
      </c>
    </row>
    <row r="105" spans="1:186" ht="14.25" hidden="1" customHeight="1" x14ac:dyDescent="0.15">
      <c r="A105" s="59"/>
      <c r="B105" s="613" t="b" cm="1">
        <f t="array" ref="B105">B104</f>
        <v>0</v>
      </c>
      <c r="C105" s="59"/>
      <c r="D105" s="59"/>
      <c r="E105" s="462">
        <v>15</v>
      </c>
      <c r="F105" s="3" t="str" cm="1">
        <f t="array" aca="1" ref="F105" ca="1">OFFSET(E105,-1,1)</f>
        <v>1</v>
      </c>
      <c r="G105" s="25" t="s">
        <v>1680</v>
      </c>
      <c r="H105" s="59" t="s">
        <v>1681</v>
      </c>
      <c r="I105" s="59" t="s">
        <v>1642</v>
      </c>
      <c r="J105" s="59"/>
      <c r="K105" s="59"/>
      <c r="L105" s="59"/>
      <c r="M105" s="59"/>
      <c r="N105" s="59"/>
      <c r="O105" s="59"/>
      <c r="P105" s="59"/>
      <c r="Q105" s="59"/>
      <c r="R105" s="59"/>
      <c r="S105" s="59"/>
      <c r="T105" s="353" t="b" cm="1">
        <f t="array" aca="1" ref="T105" ca="1">T104</f>
        <v>1</v>
      </c>
      <c r="U105" s="59"/>
      <c r="V105" s="59"/>
      <c r="W105" s="59"/>
      <c r="X105" s="1022"/>
      <c r="Y105" s="59"/>
      <c r="Z105" s="966"/>
      <c r="AA105" s="59"/>
      <c r="AB105" s="105" t="str">
        <f>"объём "&amp;IF(Q85="Водоснабжение","потребления холодной воды","водоотведения")</f>
        <v>объём потребления холодной воды</v>
      </c>
      <c r="AC105" s="12" t="s">
        <v>558</v>
      </c>
      <c r="AD105" s="836">
        <f ca="1">IF(AND(method_reg="Метод индексации",god&lt;&gt;first_year),SUMIFS(INDEX('Калькуляция (МИ корр)'!$AJ$25:$BC$603,,MATCH(AD$8,'Калькуляция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(МИ)'!$AJ$25:$BC$603,,MATCH(AD$8,'Калькуляция (МИ)'!$AJ$8:$BC$8,0)),'Калькуляция (МИ)'!$F$25:$F$603,$F105,'Калькуляция (МИ)'!$G$25:$G$603,$G105))))</f>
        <v>11002.02</v>
      </c>
      <c r="AE105" s="836">
        <f ca="1">IF(AND(method_reg="Метод индексации",god&lt;&gt;first_year),SUMIFS(INDEX('Калькуляция (МИ корр)'!$AJ$25:$BC$603,,MATCH(AE$8,'Калькуляция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(МИ)'!$AJ$25:$BC$603,,MATCH(AE$8,'Калькуляция (МИ)'!$AJ$8:$BC$8,0)),'Калькуляция (МИ)'!$F$25:$F$603,$F105,'Калькуляция (МИ)'!$G$25:$G$603,$G105))))</f>
        <v>14438.136</v>
      </c>
      <c r="AF105" s="715">
        <f ca="1">IF(AD105=0,0,(AE105-AD105)/AD105*100)</f>
        <v>31.231682909138502</v>
      </c>
      <c r="AG105" s="836">
        <f ca="1">IF(AND(method_reg="Метод индексации",god&lt;&gt;first_year),SUMIFS(INDEX('Калькуляция (МИ корр)'!$AJ$25:$BC$603,,MATCH(AG$8,'Калькуляция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(МИ)'!$AJ$25:$BC$603,,MATCH(AG$8,'Калькуляция (МИ)'!$AJ$8:$BC$8,0)),'Калькуляция (МИ)'!$F$25:$F$603,$F105,'Калькуляция (МИ)'!$G$25:$G$603,$G105))))</f>
        <v>0</v>
      </c>
      <c r="AH105" s="836">
        <f ca="1">IF(AND(method_reg="Метод индексации",god&lt;&gt;first_year),SUMIFS(INDEX('Калькуляция (МИ корр)'!$AJ$25:$BC$603,,MATCH(AH$8,'Калькуляция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(МИ)'!$AJ$25:$BC$603,,MATCH(AH$8,'Калькуляция (МИ)'!$AJ$8:$BC$8,0)),'Калькуляция (МИ)'!$F$25:$F$603,$F105,'Калькуляция (МИ)'!$G$25:$G$603,$G105))))</f>
        <v>0</v>
      </c>
      <c r="AI105" s="715">
        <f ca="1">IF(AG105=0,0,(AH105-AG105)/AG105*100)</f>
        <v>0</v>
      </c>
      <c r="AJ105" s="836">
        <f ca="1">IF(AND(method_reg="Метод индексации",god&lt;&gt;first_year),SUMIFS(INDEX('Калькуляция (МИ корр)'!$AJ$25:$BC$603,,MATCH(AJ$8,'Калькуляция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(МИ)'!$AJ$25:$BC$603,,MATCH(AJ$8,'Калькуляция (МИ)'!$AJ$8:$BC$8,0)),'Калькуляция (МИ)'!$F$25:$F$603,$F105,'Калькуляция (МИ)'!$G$25:$G$603,$G105))))</f>
        <v>0</v>
      </c>
      <c r="AK105" s="836">
        <f ca="1">IF(AND(method_reg="Метод индексации",god&lt;&gt;first_year),SUMIFS(INDEX('Калькуляция (МИ корр)'!$AJ$25:$BC$603,,MATCH(AK$8,'Калькуляция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(МИ)'!$AJ$25:$BC$603,,MATCH(AK$8,'Калькуляция (МИ)'!$AJ$8:$BC$8,0)),'Калькуляция (МИ)'!$F$25:$F$603,$F105,'Калькуляция (МИ)'!$G$25:$G$603,$G105))))</f>
        <v>0</v>
      </c>
      <c r="AL105" s="715">
        <f ca="1">IF(AJ105=0,0,(AK105-AJ105)/AJ105*100)</f>
        <v>0</v>
      </c>
      <c r="AM105" s="836">
        <f ca="1">IF(AND(method_reg="Метод индексации",god&lt;&gt;first_year),SUMIFS(INDEX('Калькуляция (МИ корр)'!$AJ$25:$BC$603,,MATCH(AM$8,'Калькуляция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(МИ)'!$AJ$25:$BC$603,,MATCH(AM$8,'Калькуляция (МИ)'!$AJ$8:$BC$8,0)),'Калькуляция (МИ)'!$F$25:$F$603,$F105,'Калькуляция (МИ)'!$G$25:$G$603,$G105))))</f>
        <v>0</v>
      </c>
      <c r="AN105" s="836">
        <f ca="1">IF(AND(method_reg="Метод индексации",god&lt;&gt;first_year),SUMIFS(INDEX('Калькуляция (МИ корр)'!$AJ$25:$BC$603,,MATCH(AN$8,'Калькуляция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(МИ)'!$AJ$25:$BC$603,,MATCH(AN$8,'Калькуляция (МИ)'!$AJ$8:$BC$8,0)),'Калькуляция (МИ)'!$F$25:$F$603,$F105,'Калькуляция (МИ)'!$G$25:$G$603,$G105))))</f>
        <v>0</v>
      </c>
      <c r="AO105" s="715">
        <f ca="1">IF(AM105=0,0,(AN105-AM105)/AM105*100)</f>
        <v>0</v>
      </c>
      <c r="AP105" s="836">
        <f ca="1">IF(AND(method_reg="Метод индексации",god&lt;&gt;first_year),SUMIFS(INDEX('Калькуляция (МИ корр)'!$AJ$25:$BC$603,,MATCH(AP$8,'Калькуляция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(МИ)'!$AJ$25:$BC$603,,MATCH(AP$8,'Калькуляция (МИ)'!$AJ$8:$BC$8,0)),'Калькуляция (МИ)'!$F$25:$F$603,$F105,'Калькуляция (МИ)'!$G$25:$G$603,$G105))))</f>
        <v>0</v>
      </c>
      <c r="AQ105" s="836">
        <f ca="1">IF(AND(method_reg="Метод индексации",god&lt;&gt;first_year),SUMIFS(INDEX('Калькуляция (МИ корр)'!$AJ$25:$BC$603,,MATCH(AQ$8,'Калькуляция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(МИ)'!$AJ$25:$BC$603,,MATCH(AQ$8,'Калькуляция (МИ)'!$AJ$8:$BC$8,0)),'Калькуляция (МИ)'!$F$25:$F$603,$F105,'Калькуляция (МИ)'!$G$25:$G$603,$G105))))</f>
        <v>0</v>
      </c>
      <c r="AR105" s="715">
        <f ca="1">IF(AP105=0,0,(AQ105-AP105)/AP105*100)</f>
        <v>0</v>
      </c>
      <c r="AS105" s="836">
        <f ca="1">IF(AND(method_reg="Метод индексации",god&lt;&gt;first_year),SUMIFS(INDEX('Калькуляция (МИ корр)'!$AJ$25:$BC$603,,MATCH(AS$8,'Калькуляция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(МИ)'!$AJ$25:$BC$603,,MATCH(AS$8,'Калькуляция (МИ)'!$AJ$8:$BC$8,0)),'Калькуляция (МИ)'!$F$25:$F$603,$F105,'Калькуляция (МИ)'!$G$25:$G$603,$G105))))</f>
        <v>0</v>
      </c>
      <c r="AT105" s="836">
        <f ca="1">IF(AND(method_reg="Метод индексации",god&lt;&gt;first_year),SUMIFS(INDEX('Калькуляция (МИ корр)'!$AJ$25:$BC$603,,MATCH(AT$8,'Калькуляция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(МИ)'!$AJ$25:$BC$603,,MATCH(AT$8,'Калькуляция (МИ)'!$AJ$8:$BC$8,0)),'Калькуляция (МИ)'!$F$25:$F$603,$F105,'Калькуляция (МИ)'!$G$25:$G$603,$G105))))</f>
        <v>0</v>
      </c>
      <c r="AU105" s="715">
        <f ca="1">IF(AS105=0,0,(AT105-AS105)/AS105*100)</f>
        <v>0</v>
      </c>
      <c r="AV105" s="836">
        <f ca="1">IF(AND(method_reg="Метод индексации",god&lt;&gt;first_year),SUMIFS(INDEX('Калькуляция (МИ корр)'!$AJ$25:$BC$603,,MATCH(AV$8,'Калькуляция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(МИ)'!$AJ$25:$BC$603,,MATCH(AV$8,'Калькуляция (МИ)'!$AJ$8:$BC$8,0)),'Калькуляция (МИ)'!$F$25:$F$603,$F105,'Калькуляция (МИ)'!$G$25:$G$603,$G105))))</f>
        <v>0</v>
      </c>
      <c r="AW105" s="836">
        <f ca="1">IF(AND(method_reg="Метод индексации",god&lt;&gt;first_year),SUMIFS(INDEX('Калькуляция (МИ корр)'!$AJ$25:$BC$603,,MATCH(AW$8,'Калькуляция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(МИ)'!$AJ$25:$BC$603,,MATCH(AW$8,'Калькуляция (МИ)'!$AJ$8:$BC$8,0)),'Калькуляция (МИ)'!$F$25:$F$603,$F105,'Калькуляция (МИ)'!$G$25:$G$603,$G105))))</f>
        <v>0</v>
      </c>
      <c r="AX105" s="715">
        <f ca="1">IF(AV105=0,0,(AW105-AV105)/AV105*100)</f>
        <v>0</v>
      </c>
      <c r="AY105" s="836">
        <f ca="1">IF(AND(method_reg="Метод индексации",god&lt;&gt;first_year),SUMIFS(INDEX('Калькуляция (МИ корр)'!$AJ$25:$BC$603,,MATCH(AY$8,'Калькуляция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(МИ)'!$AJ$25:$BC$603,,MATCH(AY$8,'Калькуляция (МИ)'!$AJ$8:$BC$8,0)),'Калькуляция (МИ)'!$F$25:$F$603,$F105,'Калькуляция (МИ)'!$G$25:$G$603,$G105))))</f>
        <v>0</v>
      </c>
      <c r="AZ105" s="836">
        <f ca="1">IF(AND(method_reg="Метод индексации",god&lt;&gt;first_year),SUMIFS(INDEX('Калькуляция (МИ корр)'!$AJ$25:$BC$603,,MATCH(AZ$8,'Калькуляция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(МИ)'!$AJ$25:$BC$603,,MATCH(AZ$8,'Калькуляция (МИ)'!$AJ$8:$BC$8,0)),'Калькуляция (МИ)'!$F$25:$F$603,$F105,'Калькуляция (МИ)'!$G$25:$G$603,$G105))))</f>
        <v>0</v>
      </c>
      <c r="BA105" s="715">
        <f ca="1">IF(AY105=0,0,(AZ105-AY105)/AY105*100)</f>
        <v>0</v>
      </c>
      <c r="BB105" s="836">
        <f ca="1">IF(AND(method_reg="Метод индексации",god&lt;&gt;first_year),SUMIFS(INDEX('Калькуляция (МИ корр)'!$AJ$25:$BC$603,,MATCH(BB$8,'Калькуляция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(МИ)'!$AJ$25:$BC$603,,MATCH(BB$8,'Калькуляция (МИ)'!$AJ$8:$BC$8,0)),'Калькуляция (МИ)'!$F$25:$F$603,$F105,'Калькуляция (МИ)'!$G$25:$G$603,$G105))))</f>
        <v>0</v>
      </c>
      <c r="BC105" s="836">
        <f ca="1">IF(AND(method_reg="Метод индексации",god&lt;&gt;first_year),SUMIFS(INDEX('Калькуляция (МИ корр)'!$AJ$25:$BC$603,,MATCH(BC$8,'Калькуляция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(МИ)'!$AJ$25:$BC$603,,MATCH(BC$8,'Калькуляция (МИ)'!$AJ$8:$BC$8,0)),'Калькуляция (МИ)'!$F$25:$F$603,$F105,'Калькуляция (МИ)'!$G$25:$G$603,$G105))))</f>
        <v>0</v>
      </c>
      <c r="BD105" s="715">
        <f ca="1">IF(BB105=0,0,(BC105-BB105)/BB105*100)</f>
        <v>0</v>
      </c>
      <c r="BE105" s="836">
        <f ca="1">IF(AND(method_reg="Метод индексации",god&lt;&gt;first_year),SUMIFS(INDEX('Калькуляция (МИ корр)'!$AJ$25:$BC$603,,MATCH(BE$8,'Калькуляция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(МИ)'!$AJ$25:$BC$603,,MATCH(BE$8,'Калькуляция (МИ)'!$AJ$8:$BC$8,0)),'Калькуляция (МИ)'!$F$25:$F$603,$F105,'Калькуляция (МИ)'!$G$25:$G$603,$G105))))</f>
        <v>0</v>
      </c>
      <c r="BF105" s="836">
        <f ca="1">IF(AND(method_reg="Метод индексации",god&lt;&gt;first_year),SUMIFS(INDEX('Калькуляция (МИ корр)'!$AJ$25:$BC$603,,MATCH(BF$8,'Калькуляция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(МИ)'!$AJ$25:$BC$603,,MATCH(BF$8,'Калькуляция (МИ)'!$AJ$8:$BC$8,0)),'Калькуляция (МИ)'!$F$25:$F$603,$F105,'Калькуляция (МИ)'!$G$25:$G$603,$G105))))</f>
        <v>0</v>
      </c>
      <c r="BG105" s="715">
        <f ca="1">IF(BE105=0,0,(BF105-BE105)/BE105*100)</f>
        <v>0</v>
      </c>
      <c r="BH105" s="836"/>
      <c r="BI105" s="836"/>
      <c r="BJ105" s="715">
        <f>IF(BH105=0,0,(BI105-BH105)/BH105*100)</f>
        <v>0</v>
      </c>
      <c r="BK105" s="836"/>
      <c r="BL105" s="836"/>
      <c r="BM105" s="715">
        <f>IF(BK105=0,0,(BL105-BK105)/BK105*100)</f>
        <v>0</v>
      </c>
      <c r="BN105" s="836"/>
      <c r="BO105" s="836"/>
      <c r="BP105" s="715">
        <f>IF(BN105=0,0,(BO105-BN105)/BN105*100)</f>
        <v>0</v>
      </c>
      <c r="BQ105" s="836"/>
      <c r="BR105" s="836"/>
      <c r="BS105" s="715">
        <f>IF(BQ105=0,0,(BR105-BQ105)/BQ105*100)</f>
        <v>0</v>
      </c>
      <c r="BT105" s="836"/>
      <c r="BU105" s="836"/>
      <c r="BV105" s="715">
        <f>IF(BT105=0,0,(BU105-BT105)/BT105*100)</f>
        <v>0</v>
      </c>
      <c r="BW105" s="836"/>
      <c r="BX105" s="836"/>
      <c r="BY105" s="715">
        <f>IF(BW105=0,0,(BX105-BW105)/BW105*100)</f>
        <v>0</v>
      </c>
      <c r="BZ105" s="836"/>
      <c r="CA105" s="836"/>
      <c r="CB105" s="715">
        <f>IF(BZ105=0,0,(CA105-BZ105)/BZ105*100)</f>
        <v>0</v>
      </c>
      <c r="CC105" s="836"/>
      <c r="CD105" s="836"/>
      <c r="CE105" s="715">
        <f>IF(CC105=0,0,(CD105-CC105)/CC105*100)</f>
        <v>0</v>
      </c>
      <c r="CF105" s="836"/>
      <c r="CG105" s="836"/>
      <c r="CH105" s="715">
        <f>IF(CF105=0,0,(CG105-CF105)/CF105*100)</f>
        <v>0</v>
      </c>
      <c r="CI105" s="836"/>
      <c r="CJ105" s="836"/>
      <c r="CK105" s="715">
        <f>IF(CI105=0,0,(CJ105-CI105)/CI105*100)</f>
        <v>0</v>
      </c>
      <c r="CL105" s="836"/>
      <c r="CM105" s="836"/>
      <c r="CN105" s="715">
        <f>IF(CL105=0,0,(CM105-CL105)/CL105*100)</f>
        <v>0</v>
      </c>
      <c r="CO105" s="836"/>
      <c r="CP105" s="836"/>
      <c r="CQ105" s="715">
        <f>IF(CO105=0,0,(CP105-CO105)/CO105*100)</f>
        <v>0</v>
      </c>
      <c r="CR105" s="836"/>
      <c r="CS105" s="836"/>
      <c r="CT105" s="715">
        <f>IF(CR105=0,0,(CS105-CR105)/CR105*100)</f>
        <v>0</v>
      </c>
      <c r="CU105" s="836"/>
      <c r="CV105" s="836"/>
      <c r="CW105" s="715">
        <f>IF(CU105=0,0,(CV105-CU105)/CU105*100)</f>
        <v>0</v>
      </c>
      <c r="CX105" s="836"/>
      <c r="CY105" s="836"/>
      <c r="CZ105" s="715">
        <f>IF(CX105=0,0,(CY105-CX105)/CX105*100)</f>
        <v>0</v>
      </c>
      <c r="DA105" s="836"/>
      <c r="DB105" s="836"/>
      <c r="DC105" s="715">
        <f>IF(DA105=0,0,(DB105-DA105)/DA105*100)</f>
        <v>0</v>
      </c>
      <c r="DD105" s="836"/>
      <c r="DE105" s="836"/>
      <c r="DF105" s="715">
        <f>IF(DD105=0,0,(DE105-DD105)/DD105*100)</f>
        <v>0</v>
      </c>
      <c r="DG105" s="836"/>
      <c r="DH105" s="836"/>
      <c r="DI105" s="715">
        <f>IF(DG105=0,0,(DH105-DG105)/DG105*100)</f>
        <v>0</v>
      </c>
      <c r="DJ105" s="836"/>
      <c r="DK105" s="836"/>
      <c r="DL105" s="715">
        <f>IF(DJ105=0,0,(DK105-DJ105)/DJ105*100)</f>
        <v>0</v>
      </c>
      <c r="DM105" s="836"/>
      <c r="DN105" s="836"/>
      <c r="DO105" s="715">
        <f>IF(DM105=0,0,(DN105-DM105)/DM105*100)</f>
        <v>0</v>
      </c>
      <c r="DP105" s="836"/>
      <c r="DQ105" s="836"/>
      <c r="DR105" s="715">
        <f>IF(DP105=0,0,(DQ105-DP105)/DP105*100)</f>
        <v>0</v>
      </c>
      <c r="DS105" s="836"/>
      <c r="DT105" s="836"/>
      <c r="DU105" s="715">
        <f>IF(DS105=0,0,(DT105-DS105)/DS105*100)</f>
        <v>0</v>
      </c>
      <c r="DV105" s="836"/>
      <c r="DW105" s="836"/>
      <c r="DX105" s="715">
        <f>IF(DV105=0,0,(DW105-DV105)/DV105*100)</f>
        <v>0</v>
      </c>
      <c r="DY105" s="836"/>
      <c r="DZ105" s="836"/>
      <c r="EA105" s="715">
        <f>IF(DY105=0,0,(DZ105-DY105)/DY105*100)</f>
        <v>0</v>
      </c>
      <c r="EB105" s="836"/>
      <c r="EC105" s="836"/>
      <c r="ED105" s="715">
        <f>IF(EB105=0,0,(EC105-EB105)/EB105*100)</f>
        <v>0</v>
      </c>
      <c r="EE105" s="836"/>
      <c r="EF105" s="836"/>
      <c r="EG105" s="715">
        <f>IF(EE105=0,0,(EF105-EE105)/EE105*100)</f>
        <v>0</v>
      </c>
      <c r="EH105" s="836"/>
      <c r="EI105" s="836"/>
      <c r="EJ105" s="715">
        <f>IF(EH105=0,0,(EI105-EH105)/EH105*100)</f>
        <v>0</v>
      </c>
      <c r="EK105" s="836"/>
      <c r="EL105" s="836"/>
      <c r="EM105" s="715">
        <f>IF(EK105=0,0,(EL105-EK105)/EK105*100)</f>
        <v>0</v>
      </c>
      <c r="EN105" s="836"/>
      <c r="EO105" s="836"/>
      <c r="EP105" s="715">
        <f>IF(EN105=0,0,(EO105-EN105)/EN105*100)</f>
        <v>0</v>
      </c>
      <c r="EQ105" s="836"/>
      <c r="ER105" s="836"/>
      <c r="ES105" s="715">
        <f>IF(EQ105=0,0,(ER105-EQ105)/EQ105*100)</f>
        <v>0</v>
      </c>
      <c r="ET105" s="836"/>
      <c r="EU105" s="836"/>
      <c r="EV105" s="715">
        <f>IF(ET105=0,0,(EU105-ET105)/ET105*100)</f>
        <v>0</v>
      </c>
      <c r="EW105" s="836"/>
      <c r="EX105" s="836"/>
      <c r="EY105" s="715">
        <f>IF(EW105=0,0,(EX105-EW105)/EW105*100)</f>
        <v>0</v>
      </c>
      <c r="EZ105" s="836"/>
      <c r="FA105" s="836"/>
      <c r="FB105" s="715">
        <f>IF(EZ105=0,0,(FA105-EZ105)/EZ105*100)</f>
        <v>0</v>
      </c>
      <c r="FC105" s="836"/>
      <c r="FD105" s="836"/>
      <c r="FE105" s="715">
        <f>IF(FC105=0,0,(FD105-FC105)/FC105*100)</f>
        <v>0</v>
      </c>
      <c r="FF105" s="836"/>
      <c r="FG105" s="836"/>
      <c r="FH105" s="715">
        <f>IF(FF105=0,0,(FG105-FF105)/FF105*100)</f>
        <v>0</v>
      </c>
      <c r="FI105" s="836"/>
      <c r="FJ105" s="836"/>
      <c r="FK105" s="715">
        <f>IF(FI105=0,0,(FJ105-FI105)/FI105*100)</f>
        <v>0</v>
      </c>
      <c r="FL105" s="836"/>
      <c r="FM105" s="836"/>
      <c r="FN105" s="715">
        <f>IF(FL105=0,0,(FM105-FL105)/FL105*100)</f>
        <v>0</v>
      </c>
      <c r="FO105" s="836"/>
      <c r="FP105" s="836"/>
      <c r="FQ105" s="715">
        <f>IF(FO105=0,0,(FP105-FO105)/FO105*100)</f>
        <v>0</v>
      </c>
      <c r="FR105" s="836"/>
      <c r="FS105" s="836"/>
      <c r="FT105" s="715">
        <f>IF(FR105=0,0,(FS105-FR105)/FR105*100)</f>
        <v>0</v>
      </c>
      <c r="FU105" s="836"/>
      <c r="FV105" s="836"/>
      <c r="FW105" s="715">
        <f>IF(FU105=0,0,(FV105-FU105)/FU105*100)</f>
        <v>0</v>
      </c>
      <c r="FZ105" s="691" t="s">
        <v>1682</v>
      </c>
    </row>
    <row r="106" spans="1:186" ht="24" hidden="1" customHeight="1" x14ac:dyDescent="0.15">
      <c r="A106" s="59"/>
      <c r="B106" s="613" t="b" cm="1">
        <f t="array" ref="B106">B105</f>
        <v>0</v>
      </c>
      <c r="C106" s="59"/>
      <c r="D106" s="59"/>
      <c r="E106" s="462">
        <v>24.75</v>
      </c>
      <c r="F106" s="3" t="str" cm="1">
        <f t="array" aca="1" ref="F106" ca="1">OFFSET(E106,-1,1)</f>
        <v>1</v>
      </c>
      <c r="G106" s="59"/>
      <c r="H106" s="59" t="s">
        <v>1683</v>
      </c>
      <c r="I106" s="59" t="s">
        <v>1642</v>
      </c>
      <c r="J106" s="59"/>
      <c r="K106" s="59"/>
      <c r="L106" s="59"/>
      <c r="M106" s="59"/>
      <c r="N106" s="59"/>
      <c r="O106" s="59"/>
      <c r="P106" s="59"/>
      <c r="Q106" s="59"/>
      <c r="R106" s="59"/>
      <c r="S106" s="59"/>
      <c r="T106" s="353" t="b" cm="1">
        <f t="array" aca="1" ref="T106" ca="1">T105</f>
        <v>1</v>
      </c>
      <c r="U106" s="59"/>
      <c r="V106" s="59"/>
      <c r="W106" s="59"/>
      <c r="X106" s="1022"/>
      <c r="Y106" s="59"/>
      <c r="Z106" s="966"/>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1684</v>
      </c>
      <c r="AD106" s="820"/>
      <c r="AE106" s="820"/>
      <c r="AF106" s="714">
        <f>IF(AD106=0,0,(AE106-AD106)/AD106*100)</f>
        <v>0</v>
      </c>
      <c r="AG106" s="820"/>
      <c r="AH106" s="820"/>
      <c r="AI106" s="714">
        <f>IF(AG106=0,0,(AH106-AG106)/AG106*100)</f>
        <v>0</v>
      </c>
      <c r="AJ106" s="820"/>
      <c r="AK106" s="820"/>
      <c r="AL106" s="714">
        <f>IF(AJ106=0,0,(AK106-AJ106)/AJ106*100)</f>
        <v>0</v>
      </c>
      <c r="AM106" s="820"/>
      <c r="AN106" s="820"/>
      <c r="AO106" s="714">
        <f>IF(AM106=0,0,(AN106-AM106)/AM106*100)</f>
        <v>0</v>
      </c>
      <c r="AP106" s="820"/>
      <c r="AQ106" s="820"/>
      <c r="AR106" s="714">
        <f>IF(AP106=0,0,(AQ106-AP106)/AP106*100)</f>
        <v>0</v>
      </c>
      <c r="AS106" s="820"/>
      <c r="AT106" s="820"/>
      <c r="AU106" s="714">
        <f>IF(AS106=0,0,(AT106-AS106)/AS106*100)</f>
        <v>0</v>
      </c>
      <c r="AV106" s="820"/>
      <c r="AW106" s="820"/>
      <c r="AX106" s="714">
        <f>IF(AV106=0,0,(AW106-AV106)/AV106*100)</f>
        <v>0</v>
      </c>
      <c r="AY106" s="820"/>
      <c r="AZ106" s="820"/>
      <c r="BA106" s="714">
        <f>IF(AY106=0,0,(AZ106-AY106)/AY106*100)</f>
        <v>0</v>
      </c>
      <c r="BB106" s="820"/>
      <c r="BC106" s="820"/>
      <c r="BD106" s="714">
        <f>IF(BB106=0,0,(BC106-BB106)/BB106*100)</f>
        <v>0</v>
      </c>
      <c r="BE106" s="820"/>
      <c r="BF106" s="820"/>
      <c r="BG106" s="714">
        <f>IF(BE106=0,0,(BF106-BE106)/BE106*100)</f>
        <v>0</v>
      </c>
      <c r="BH106" s="820"/>
      <c r="BI106" s="820"/>
      <c r="BJ106" s="714">
        <f>IF(BH106=0,0,(BI106-BH106)/BH106*100)</f>
        <v>0</v>
      </c>
      <c r="BK106" s="820"/>
      <c r="BL106" s="820"/>
      <c r="BM106" s="714">
        <f>IF(BK106=0,0,(BL106-BK106)/BK106*100)</f>
        <v>0</v>
      </c>
      <c r="BN106" s="820"/>
      <c r="BO106" s="820"/>
      <c r="BP106" s="714">
        <f>IF(BN106=0,0,(BO106-BN106)/BN106*100)</f>
        <v>0</v>
      </c>
      <c r="BQ106" s="820"/>
      <c r="BR106" s="820"/>
      <c r="BS106" s="714">
        <f>IF(BQ106=0,0,(BR106-BQ106)/BQ106*100)</f>
        <v>0</v>
      </c>
      <c r="BT106" s="820"/>
      <c r="BU106" s="820"/>
      <c r="BV106" s="714">
        <f>IF(BT106=0,0,(BU106-BT106)/BT106*100)</f>
        <v>0</v>
      </c>
      <c r="BW106" s="820"/>
      <c r="BX106" s="820"/>
      <c r="BY106" s="714">
        <f>IF(BW106=0,0,(BX106-BW106)/BW106*100)</f>
        <v>0</v>
      </c>
      <c r="BZ106" s="820"/>
      <c r="CA106" s="820"/>
      <c r="CB106" s="714">
        <f>IF(BZ106=0,0,(CA106-BZ106)/BZ106*100)</f>
        <v>0</v>
      </c>
      <c r="CC106" s="820"/>
      <c r="CD106" s="820"/>
      <c r="CE106" s="714">
        <f>IF(CC106=0,0,(CD106-CC106)/CC106*100)</f>
        <v>0</v>
      </c>
      <c r="CF106" s="820"/>
      <c r="CG106" s="820"/>
      <c r="CH106" s="714">
        <f>IF(CF106=0,0,(CG106-CF106)/CF106*100)</f>
        <v>0</v>
      </c>
      <c r="CI106" s="820"/>
      <c r="CJ106" s="820"/>
      <c r="CK106" s="714">
        <f>IF(CI106=0,0,(CJ106-CI106)/CI106*100)</f>
        <v>0</v>
      </c>
      <c r="CL106" s="820"/>
      <c r="CM106" s="820"/>
      <c r="CN106" s="714">
        <f>IF(CL106=0,0,(CM106-CL106)/CL106*100)</f>
        <v>0</v>
      </c>
      <c r="CO106" s="820"/>
      <c r="CP106" s="820"/>
      <c r="CQ106" s="714">
        <f>IF(CO106=0,0,(CP106-CO106)/CO106*100)</f>
        <v>0</v>
      </c>
      <c r="CR106" s="820"/>
      <c r="CS106" s="820"/>
      <c r="CT106" s="714">
        <f>IF(CR106=0,0,(CS106-CR106)/CR106*100)</f>
        <v>0</v>
      </c>
      <c r="CU106" s="820"/>
      <c r="CV106" s="820"/>
      <c r="CW106" s="714">
        <f>IF(CU106=0,0,(CV106-CU106)/CU106*100)</f>
        <v>0</v>
      </c>
      <c r="CX106" s="820"/>
      <c r="CY106" s="820"/>
      <c r="CZ106" s="714">
        <f>IF(CX106=0,0,(CY106-CX106)/CX106*100)</f>
        <v>0</v>
      </c>
      <c r="DA106" s="820"/>
      <c r="DB106" s="820"/>
      <c r="DC106" s="714">
        <f>IF(DA106=0,0,(DB106-DA106)/DA106*100)</f>
        <v>0</v>
      </c>
      <c r="DD106" s="820"/>
      <c r="DE106" s="820"/>
      <c r="DF106" s="714">
        <f>IF(DD106=0,0,(DE106-DD106)/DD106*100)</f>
        <v>0</v>
      </c>
      <c r="DG106" s="820"/>
      <c r="DH106" s="820"/>
      <c r="DI106" s="714">
        <f>IF(DG106=0,0,(DH106-DG106)/DG106*100)</f>
        <v>0</v>
      </c>
      <c r="DJ106" s="820"/>
      <c r="DK106" s="820"/>
      <c r="DL106" s="714">
        <f>IF(DJ106=0,0,(DK106-DJ106)/DJ106*100)</f>
        <v>0</v>
      </c>
      <c r="DM106" s="820"/>
      <c r="DN106" s="820"/>
      <c r="DO106" s="714">
        <f>IF(DM106=0,0,(DN106-DM106)/DM106*100)</f>
        <v>0</v>
      </c>
      <c r="DP106" s="820"/>
      <c r="DQ106" s="820"/>
      <c r="DR106" s="714">
        <f>IF(DP106=0,0,(DQ106-DP106)/DP106*100)</f>
        <v>0</v>
      </c>
      <c r="DS106" s="820"/>
      <c r="DT106" s="820"/>
      <c r="DU106" s="714">
        <f>IF(DS106=0,0,(DT106-DS106)/DS106*100)</f>
        <v>0</v>
      </c>
      <c r="DV106" s="820"/>
      <c r="DW106" s="820"/>
      <c r="DX106" s="714">
        <f>IF(DV106=0,0,(DW106-DV106)/DV106*100)</f>
        <v>0</v>
      </c>
      <c r="DY106" s="820"/>
      <c r="DZ106" s="820"/>
      <c r="EA106" s="714">
        <f>IF(DY106=0,0,(DZ106-DY106)/DY106*100)</f>
        <v>0</v>
      </c>
      <c r="EB106" s="820"/>
      <c r="EC106" s="820"/>
      <c r="ED106" s="714">
        <f>IF(EB106=0,0,(EC106-EB106)/EB106*100)</f>
        <v>0</v>
      </c>
      <c r="EE106" s="820"/>
      <c r="EF106" s="820"/>
      <c r="EG106" s="714">
        <f>IF(EE106=0,0,(EF106-EE106)/EE106*100)</f>
        <v>0</v>
      </c>
      <c r="EH106" s="820"/>
      <c r="EI106" s="820"/>
      <c r="EJ106" s="714">
        <f>IF(EH106=0,0,(EI106-EH106)/EH106*100)</f>
        <v>0</v>
      </c>
      <c r="EK106" s="820"/>
      <c r="EL106" s="820"/>
      <c r="EM106" s="714">
        <f>IF(EK106=0,0,(EL106-EK106)/EK106*100)</f>
        <v>0</v>
      </c>
      <c r="EN106" s="820"/>
      <c r="EO106" s="820"/>
      <c r="EP106" s="714">
        <f>IF(EN106=0,0,(EO106-EN106)/EN106*100)</f>
        <v>0</v>
      </c>
      <c r="EQ106" s="820"/>
      <c r="ER106" s="820"/>
      <c r="ES106" s="714">
        <f>IF(EQ106=0,0,(ER106-EQ106)/EQ106*100)</f>
        <v>0</v>
      </c>
      <c r="ET106" s="820"/>
      <c r="EU106" s="820"/>
      <c r="EV106" s="714">
        <f>IF(ET106=0,0,(EU106-ET106)/ET106*100)</f>
        <v>0</v>
      </c>
      <c r="EW106" s="820"/>
      <c r="EX106" s="820"/>
      <c r="EY106" s="714">
        <f>IF(EW106=0,0,(EX106-EW106)/EW106*100)</f>
        <v>0</v>
      </c>
      <c r="EZ106" s="820"/>
      <c r="FA106" s="820"/>
      <c r="FB106" s="714">
        <f>IF(EZ106=0,0,(FA106-EZ106)/EZ106*100)</f>
        <v>0</v>
      </c>
      <c r="FC106" s="820"/>
      <c r="FD106" s="820"/>
      <c r="FE106" s="714">
        <f>IF(FC106=0,0,(FD106-FC106)/FC106*100)</f>
        <v>0</v>
      </c>
      <c r="FF106" s="820"/>
      <c r="FG106" s="820"/>
      <c r="FH106" s="714">
        <f>IF(FF106=0,0,(FG106-FF106)/FF106*100)</f>
        <v>0</v>
      </c>
      <c r="FI106" s="820"/>
      <c r="FJ106" s="820"/>
      <c r="FK106" s="714">
        <f>IF(FI106=0,0,(FJ106-FI106)/FI106*100)</f>
        <v>0</v>
      </c>
      <c r="FL106" s="820"/>
      <c r="FM106" s="820"/>
      <c r="FN106" s="714">
        <f>IF(FL106=0,0,(FM106-FL106)/FL106*100)</f>
        <v>0</v>
      </c>
      <c r="FO106" s="820"/>
      <c r="FP106" s="820"/>
      <c r="FQ106" s="714">
        <f>IF(FO106=0,0,(FP106-FO106)/FO106*100)</f>
        <v>0</v>
      </c>
      <c r="FR106" s="820"/>
      <c r="FS106" s="820"/>
      <c r="FT106" s="714">
        <f>IF(FR106=0,0,(FS106-FR106)/FR106*100)</f>
        <v>0</v>
      </c>
      <c r="FU106" s="820"/>
      <c r="FV106" s="820"/>
      <c r="FW106" s="714">
        <f>IF(FU106=0,0,(FV106-FU106)/FU106*100)</f>
        <v>0</v>
      </c>
      <c r="FZ106" s="691" t="s">
        <v>1685</v>
      </c>
    </row>
    <row r="107" spans="1:186" ht="14.25" hidden="1" customHeight="1" x14ac:dyDescent="0.15">
      <c r="A107" s="59"/>
      <c r="B107" s="613" t="b" cm="1">
        <f t="array" ref="B107">B106</f>
        <v>0</v>
      </c>
      <c r="C107" s="59"/>
      <c r="D107" s="59"/>
      <c r="E107" s="462">
        <v>15</v>
      </c>
      <c r="F107" s="3" t="str" cm="1">
        <f t="array" aca="1" ref="F107" ca="1">OFFSET(E107,-1,1)</f>
        <v>1</v>
      </c>
      <c r="G107" s="59"/>
      <c r="H107" s="59" t="s">
        <v>1686</v>
      </c>
      <c r="I107" s="59" t="s">
        <v>1642</v>
      </c>
      <c r="J107" s="59"/>
      <c r="K107" s="59"/>
      <c r="L107" s="59"/>
      <c r="M107" s="59"/>
      <c r="N107" s="59"/>
      <c r="O107" s="59"/>
      <c r="P107" s="59"/>
      <c r="Q107" s="59"/>
      <c r="R107" s="59"/>
      <c r="S107" s="59"/>
      <c r="T107" s="353" t="b" cm="1">
        <f t="array" aca="1" ref="T107" ca="1">T106</f>
        <v>1</v>
      </c>
      <c r="U107" s="59"/>
      <c r="V107" s="59"/>
      <c r="W107" s="59"/>
      <c r="X107" s="1022"/>
      <c r="Y107" s="59"/>
      <c r="Z107" s="966"/>
      <c r="AA107" s="59"/>
      <c r="AB107" s="105" t="s">
        <v>1687</v>
      </c>
      <c r="AC107" s="12" t="s">
        <v>1688</v>
      </c>
      <c r="AD107" s="820"/>
      <c r="AE107" s="820"/>
      <c r="AF107" s="714">
        <f>IF(AD107=0,0,(AE107-AD107)/AD107*100)</f>
        <v>0</v>
      </c>
      <c r="AG107" s="820"/>
      <c r="AH107" s="820"/>
      <c r="AI107" s="714">
        <f>IF(AG107=0,0,(AH107-AG107)/AG107*100)</f>
        <v>0</v>
      </c>
      <c r="AJ107" s="820"/>
      <c r="AK107" s="820"/>
      <c r="AL107" s="714">
        <f>IF(AJ107=0,0,(AK107-AJ107)/AJ107*100)</f>
        <v>0</v>
      </c>
      <c r="AM107" s="820"/>
      <c r="AN107" s="820"/>
      <c r="AO107" s="714">
        <f>IF(AM107=0,0,(AN107-AM107)/AM107*100)</f>
        <v>0</v>
      </c>
      <c r="AP107" s="820"/>
      <c r="AQ107" s="820"/>
      <c r="AR107" s="714">
        <f>IF(AP107=0,0,(AQ107-AP107)/AP107*100)</f>
        <v>0</v>
      </c>
      <c r="AS107" s="820"/>
      <c r="AT107" s="820"/>
      <c r="AU107" s="714">
        <f>IF(AS107=0,0,(AT107-AS107)/AS107*100)</f>
        <v>0</v>
      </c>
      <c r="AV107" s="820"/>
      <c r="AW107" s="820"/>
      <c r="AX107" s="714">
        <f>IF(AV107=0,0,(AW107-AV107)/AV107*100)</f>
        <v>0</v>
      </c>
      <c r="AY107" s="820"/>
      <c r="AZ107" s="820"/>
      <c r="BA107" s="714">
        <f>IF(AY107=0,0,(AZ107-AY107)/AY107*100)</f>
        <v>0</v>
      </c>
      <c r="BB107" s="820"/>
      <c r="BC107" s="820"/>
      <c r="BD107" s="714">
        <f>IF(BB107=0,0,(BC107-BB107)/BB107*100)</f>
        <v>0</v>
      </c>
      <c r="BE107" s="820"/>
      <c r="BF107" s="820"/>
      <c r="BG107" s="714">
        <f>IF(BE107=0,0,(BF107-BE107)/BE107*100)</f>
        <v>0</v>
      </c>
      <c r="BH107" s="820"/>
      <c r="BI107" s="820"/>
      <c r="BJ107" s="714">
        <f>IF(BH107=0,0,(BI107-BH107)/BH107*100)</f>
        <v>0</v>
      </c>
      <c r="BK107" s="820"/>
      <c r="BL107" s="820"/>
      <c r="BM107" s="714">
        <f>IF(BK107=0,0,(BL107-BK107)/BK107*100)</f>
        <v>0</v>
      </c>
      <c r="BN107" s="820"/>
      <c r="BO107" s="820"/>
      <c r="BP107" s="714">
        <f>IF(BN107=0,0,(BO107-BN107)/BN107*100)</f>
        <v>0</v>
      </c>
      <c r="BQ107" s="820"/>
      <c r="BR107" s="820"/>
      <c r="BS107" s="714">
        <f>IF(BQ107=0,0,(BR107-BQ107)/BQ107*100)</f>
        <v>0</v>
      </c>
      <c r="BT107" s="820"/>
      <c r="BU107" s="820"/>
      <c r="BV107" s="714">
        <f>IF(BT107=0,0,(BU107-BT107)/BT107*100)</f>
        <v>0</v>
      </c>
      <c r="BW107" s="820"/>
      <c r="BX107" s="820"/>
      <c r="BY107" s="714">
        <f>IF(BW107=0,0,(BX107-BW107)/BW107*100)</f>
        <v>0</v>
      </c>
      <c r="BZ107" s="820"/>
      <c r="CA107" s="820"/>
      <c r="CB107" s="714">
        <f>IF(BZ107=0,0,(CA107-BZ107)/BZ107*100)</f>
        <v>0</v>
      </c>
      <c r="CC107" s="820"/>
      <c r="CD107" s="820"/>
      <c r="CE107" s="714">
        <f>IF(CC107=0,0,(CD107-CC107)/CC107*100)</f>
        <v>0</v>
      </c>
      <c r="CF107" s="820"/>
      <c r="CG107" s="820"/>
      <c r="CH107" s="714">
        <f>IF(CF107=0,0,(CG107-CF107)/CF107*100)</f>
        <v>0</v>
      </c>
      <c r="CI107" s="820"/>
      <c r="CJ107" s="820"/>
      <c r="CK107" s="714">
        <f>IF(CI107=0,0,(CJ107-CI107)/CI107*100)</f>
        <v>0</v>
      </c>
      <c r="CL107" s="820"/>
      <c r="CM107" s="820"/>
      <c r="CN107" s="714">
        <f>IF(CL107=0,0,(CM107-CL107)/CL107*100)</f>
        <v>0</v>
      </c>
      <c r="CO107" s="820"/>
      <c r="CP107" s="820"/>
      <c r="CQ107" s="714">
        <f>IF(CO107=0,0,(CP107-CO107)/CO107*100)</f>
        <v>0</v>
      </c>
      <c r="CR107" s="820"/>
      <c r="CS107" s="820"/>
      <c r="CT107" s="714">
        <f>IF(CR107=0,0,(CS107-CR107)/CR107*100)</f>
        <v>0</v>
      </c>
      <c r="CU107" s="820"/>
      <c r="CV107" s="820"/>
      <c r="CW107" s="714">
        <f>IF(CU107=0,0,(CV107-CU107)/CU107*100)</f>
        <v>0</v>
      </c>
      <c r="CX107" s="820"/>
      <c r="CY107" s="820"/>
      <c r="CZ107" s="714">
        <f>IF(CX107=0,0,(CY107-CX107)/CX107*100)</f>
        <v>0</v>
      </c>
      <c r="DA107" s="820"/>
      <c r="DB107" s="820"/>
      <c r="DC107" s="714">
        <f>IF(DA107=0,0,(DB107-DA107)/DA107*100)</f>
        <v>0</v>
      </c>
      <c r="DD107" s="820"/>
      <c r="DE107" s="820"/>
      <c r="DF107" s="714">
        <f>IF(DD107=0,0,(DE107-DD107)/DD107*100)</f>
        <v>0</v>
      </c>
      <c r="DG107" s="820"/>
      <c r="DH107" s="820"/>
      <c r="DI107" s="714">
        <f>IF(DG107=0,0,(DH107-DG107)/DG107*100)</f>
        <v>0</v>
      </c>
      <c r="DJ107" s="820"/>
      <c r="DK107" s="820"/>
      <c r="DL107" s="714">
        <f>IF(DJ107=0,0,(DK107-DJ107)/DJ107*100)</f>
        <v>0</v>
      </c>
      <c r="DM107" s="820"/>
      <c r="DN107" s="820"/>
      <c r="DO107" s="714">
        <f>IF(DM107=0,0,(DN107-DM107)/DM107*100)</f>
        <v>0</v>
      </c>
      <c r="DP107" s="820"/>
      <c r="DQ107" s="820"/>
      <c r="DR107" s="714">
        <f>IF(DP107=0,0,(DQ107-DP107)/DP107*100)</f>
        <v>0</v>
      </c>
      <c r="DS107" s="820"/>
      <c r="DT107" s="820"/>
      <c r="DU107" s="714">
        <f>IF(DS107=0,0,(DT107-DS107)/DS107*100)</f>
        <v>0</v>
      </c>
      <c r="DV107" s="820"/>
      <c r="DW107" s="820"/>
      <c r="DX107" s="714">
        <f>IF(DV107=0,0,(DW107-DV107)/DV107*100)</f>
        <v>0</v>
      </c>
      <c r="DY107" s="820"/>
      <c r="DZ107" s="820"/>
      <c r="EA107" s="714">
        <f>IF(DY107=0,0,(DZ107-DY107)/DY107*100)</f>
        <v>0</v>
      </c>
      <c r="EB107" s="820"/>
      <c r="EC107" s="820"/>
      <c r="ED107" s="714">
        <f>IF(EB107=0,0,(EC107-EB107)/EB107*100)</f>
        <v>0</v>
      </c>
      <c r="EE107" s="820"/>
      <c r="EF107" s="820"/>
      <c r="EG107" s="714">
        <f>IF(EE107=0,0,(EF107-EE107)/EE107*100)</f>
        <v>0</v>
      </c>
      <c r="EH107" s="820"/>
      <c r="EI107" s="820"/>
      <c r="EJ107" s="714">
        <f>IF(EH107=0,0,(EI107-EH107)/EH107*100)</f>
        <v>0</v>
      </c>
      <c r="EK107" s="820"/>
      <c r="EL107" s="820"/>
      <c r="EM107" s="714">
        <f>IF(EK107=0,0,(EL107-EK107)/EK107*100)</f>
        <v>0</v>
      </c>
      <c r="EN107" s="820"/>
      <c r="EO107" s="820"/>
      <c r="EP107" s="714">
        <f>IF(EN107=0,0,(EO107-EN107)/EN107*100)</f>
        <v>0</v>
      </c>
      <c r="EQ107" s="820"/>
      <c r="ER107" s="820"/>
      <c r="ES107" s="714">
        <f>IF(EQ107=0,0,(ER107-EQ107)/EQ107*100)</f>
        <v>0</v>
      </c>
      <c r="ET107" s="820"/>
      <c r="EU107" s="820"/>
      <c r="EV107" s="714">
        <f>IF(ET107=0,0,(EU107-ET107)/ET107*100)</f>
        <v>0</v>
      </c>
      <c r="EW107" s="820"/>
      <c r="EX107" s="820"/>
      <c r="EY107" s="714">
        <f>IF(EW107=0,0,(EX107-EW107)/EW107*100)</f>
        <v>0</v>
      </c>
      <c r="EZ107" s="820"/>
      <c r="FA107" s="820"/>
      <c r="FB107" s="714">
        <f>IF(EZ107=0,0,(FA107-EZ107)/EZ107*100)</f>
        <v>0</v>
      </c>
      <c r="FC107" s="820"/>
      <c r="FD107" s="820"/>
      <c r="FE107" s="714">
        <f>IF(FC107=0,0,(FD107-FC107)/FC107*100)</f>
        <v>0</v>
      </c>
      <c r="FF107" s="820"/>
      <c r="FG107" s="820"/>
      <c r="FH107" s="714">
        <f>IF(FF107=0,0,(FG107-FF107)/FF107*100)</f>
        <v>0</v>
      </c>
      <c r="FI107" s="820"/>
      <c r="FJ107" s="820"/>
      <c r="FK107" s="714">
        <f>IF(FI107=0,0,(FJ107-FI107)/FI107*100)</f>
        <v>0</v>
      </c>
      <c r="FL107" s="820"/>
      <c r="FM107" s="820"/>
      <c r="FN107" s="714">
        <f>IF(FL107=0,0,(FM107-FL107)/FL107*100)</f>
        <v>0</v>
      </c>
      <c r="FO107" s="820"/>
      <c r="FP107" s="820"/>
      <c r="FQ107" s="714">
        <f>IF(FO107=0,0,(FP107-FO107)/FO107*100)</f>
        <v>0</v>
      </c>
      <c r="FR107" s="820"/>
      <c r="FS107" s="820"/>
      <c r="FT107" s="714">
        <f>IF(FR107=0,0,(FS107-FR107)/FR107*100)</f>
        <v>0</v>
      </c>
      <c r="FU107" s="820"/>
      <c r="FV107" s="820"/>
      <c r="FW107" s="714">
        <f>IF(FU107=0,0,(FV107-FU107)/FU107*100)</f>
        <v>0</v>
      </c>
      <c r="FZ107" s="691" t="s">
        <v>1689</v>
      </c>
    </row>
    <row r="108" spans="1:186" ht="23.25" hidden="1" customHeight="1" x14ac:dyDescent="0.15">
      <c r="A108" s="59"/>
      <c r="B108" s="613" t="b" cm="1">
        <f t="array" ref="B108">B107</f>
        <v>0</v>
      </c>
      <c r="C108" s="59"/>
      <c r="D108" s="59"/>
      <c r="E108" s="462">
        <v>24.5</v>
      </c>
      <c r="F108" s="3" t="str" cm="1">
        <f t="array" aca="1" ref="F108" ca="1">OFFSET(E108,-1,1)</f>
        <v>1</v>
      </c>
      <c r="G108" s="59"/>
      <c r="H108" s="59"/>
      <c r="I108" s="59"/>
      <c r="J108" s="59"/>
      <c r="K108" s="59"/>
      <c r="L108" s="59"/>
      <c r="M108" s="59"/>
      <c r="N108" s="59"/>
      <c r="O108" s="59"/>
      <c r="P108" s="59"/>
      <c r="Q108" s="59"/>
      <c r="R108" s="59"/>
      <c r="S108" s="59"/>
      <c r="T108" s="353" t="b" cm="1">
        <f t="array" aca="1" ref="T108" ca="1">T107</f>
        <v>1</v>
      </c>
      <c r="U108" s="59"/>
      <c r="V108" s="59"/>
      <c r="W108" s="59"/>
      <c r="X108" s="1022"/>
      <c r="Y108" s="59"/>
      <c r="Z108" s="966"/>
      <c r="AA108" s="59"/>
      <c r="AB108" s="205" t="s">
        <v>1690</v>
      </c>
      <c r="AC108" s="597"/>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9"/>
      <c r="FZ108" s="691"/>
    </row>
    <row r="109" spans="1:186" ht="14.25" hidden="1" customHeight="1" x14ac:dyDescent="0.15">
      <c r="A109" s="59"/>
      <c r="B109" s="613" t="b" cm="1">
        <f t="array" ref="B109">B108</f>
        <v>0</v>
      </c>
      <c r="C109" s="59"/>
      <c r="D109" s="59"/>
      <c r="E109" s="462">
        <v>15</v>
      </c>
      <c r="F109" s="3" t="str" cm="1">
        <f t="array" aca="1" ref="F109" ca="1">OFFSET(E109,-1,1)</f>
        <v>1</v>
      </c>
      <c r="G109" s="59"/>
      <c r="H109" s="59" t="s">
        <v>1570</v>
      </c>
      <c r="I109" s="59" t="s">
        <v>1647</v>
      </c>
      <c r="J109" s="59"/>
      <c r="K109" s="59"/>
      <c r="L109" s="59"/>
      <c r="M109" s="59"/>
      <c r="N109" s="59"/>
      <c r="O109" s="59"/>
      <c r="P109" s="59"/>
      <c r="Q109" s="59"/>
      <c r="R109" s="59"/>
      <c r="S109" s="59"/>
      <c r="T109" s="353" t="b" cm="1">
        <f t="array" aca="1" ref="T109" ca="1">T108</f>
        <v>1</v>
      </c>
      <c r="U109" s="59"/>
      <c r="V109" s="59"/>
      <c r="W109" s="59"/>
      <c r="X109" s="1022"/>
      <c r="Y109" s="59"/>
      <c r="Z109" s="966"/>
      <c r="AA109" s="59"/>
      <c r="AB109" s="105" t="s">
        <v>1677</v>
      </c>
      <c r="AC109" s="12" t="s">
        <v>1644</v>
      </c>
      <c r="AD109" s="820">
        <f ca="1">IF(AD111=0,0,(AD110*AD111+AD112*AD113*IF(god=2026,3,6))/AD111)</f>
        <v>0</v>
      </c>
      <c r="AE109" s="820">
        <f ca="1">IF(AE111=0,0,(AE110*AE111+AE112*AE113*IF(god=2026,3,6))/AE111)</f>
        <v>0</v>
      </c>
      <c r="AF109" s="714">
        <f ca="1">IF(AD109=0,0,(AE109-AD109)/AD109*100)</f>
        <v>0</v>
      </c>
      <c r="AG109" s="820">
        <f ca="1">IF(AG111=0,0,(AG110*AG111+AG112*AG113*IF(god=2025,3,6))/AG111)</f>
        <v>0</v>
      </c>
      <c r="AH109" s="820">
        <f ca="1">IF(AH111=0,0,(AH110*AH111+AH112*AH113*IF(god=2025,3,6))/AH111)</f>
        <v>0</v>
      </c>
      <c r="AI109" s="714">
        <f ca="1">IF(AG109=0,0,(AH109-AG109)/AG109*100)</f>
        <v>0</v>
      </c>
      <c r="AJ109" s="820">
        <f ca="1">IF(AJ111=0,0,(AJ110*AJ111+AJ112*AJ113*6)/AJ111)</f>
        <v>0</v>
      </c>
      <c r="AK109" s="820">
        <f ca="1">IF(AK111=0,0,(AK110*AK111+AK112*AK113*6)/AK111)</f>
        <v>0</v>
      </c>
      <c r="AL109" s="714">
        <f ca="1">IF(AJ109=0,0,(AK109-AJ109)/AJ109*100)</f>
        <v>0</v>
      </c>
      <c r="AM109" s="820">
        <f ca="1">IF(AM111=0,0,(AM110*AM111+AM112*AM113*6)/AM111)</f>
        <v>0</v>
      </c>
      <c r="AN109" s="820">
        <f ca="1">IF(AN111=0,0,(AN110*AN111+AN112*AN113*6)/AN111)</f>
        <v>0</v>
      </c>
      <c r="AO109" s="714">
        <f ca="1">IF(AM109=0,0,(AN109-AM109)/AM109*100)</f>
        <v>0</v>
      </c>
      <c r="AP109" s="820">
        <f ca="1">IF(AP111=0,0,(AP110*AP111+AP112*AP113*6)/AP111)</f>
        <v>0</v>
      </c>
      <c r="AQ109" s="820">
        <f ca="1">IF(AQ111=0,0,(AQ110*AQ111+AQ112*AQ113*6)/AQ111)</f>
        <v>0</v>
      </c>
      <c r="AR109" s="714">
        <f ca="1">IF(AP109=0,0,(AQ109-AP109)/AP109*100)</f>
        <v>0</v>
      </c>
      <c r="AS109" s="820">
        <f ca="1">IF(AS111=0,0,(AS110*AS111+AS112*AS113*6)/AS111)</f>
        <v>0</v>
      </c>
      <c r="AT109" s="820">
        <f ca="1">IF(AT111=0,0,(AT110*AT111+AT112*AT113*6)/AT111)</f>
        <v>0</v>
      </c>
      <c r="AU109" s="714">
        <f ca="1">IF(AS109=0,0,(AT109-AS109)/AS109*100)</f>
        <v>0</v>
      </c>
      <c r="AV109" s="820">
        <f ca="1">IF(AV111=0,0,(AV110*AV111+AV112*AV113*6)/AV111)</f>
        <v>0</v>
      </c>
      <c r="AW109" s="820">
        <f ca="1">IF(AW111=0,0,(AW110*AW111+AW112*AW113*6)/AW111)</f>
        <v>0</v>
      </c>
      <c r="AX109" s="714">
        <f ca="1">IF(AV109=0,0,(AW109-AV109)/AV109*100)</f>
        <v>0</v>
      </c>
      <c r="AY109" s="820">
        <f ca="1">IF(AY111=0,0,(AY110*AY111+AY112*AY113*6)/AY111)</f>
        <v>0</v>
      </c>
      <c r="AZ109" s="820">
        <f ca="1">IF(AZ111=0,0,(AZ110*AZ111+AZ112*AZ113*6)/AZ111)</f>
        <v>0</v>
      </c>
      <c r="BA109" s="714">
        <f ca="1">IF(AY109=0,0,(AZ109-AY109)/AY109*100)</f>
        <v>0</v>
      </c>
      <c r="BB109" s="820">
        <f ca="1">IF(BB111=0,0,(BB110*BB111+BB112*BB113*6)/BB111)</f>
        <v>0</v>
      </c>
      <c r="BC109" s="820">
        <f ca="1">IF(BC111=0,0,(BC110*BC111+BC112*BC113*6)/BC111)</f>
        <v>0</v>
      </c>
      <c r="BD109" s="714">
        <f ca="1">IF(BB109=0,0,(BC109-BB109)/BB109*100)</f>
        <v>0</v>
      </c>
      <c r="BE109" s="820">
        <f ca="1">IF(BE111=0,0,(BE110*BE111+BE112*BE113*6)/BE111)</f>
        <v>0</v>
      </c>
      <c r="BF109" s="820">
        <f ca="1">IF(BF111=0,0,(BF110*BF111+BF112*BF113*6)/BF111)</f>
        <v>0</v>
      </c>
      <c r="BG109" s="714">
        <f ca="1">IF(BE109=0,0,(BF109-BE109)/BE109*100)</f>
        <v>0</v>
      </c>
      <c r="BH109" s="820">
        <f>IF(BH111=0,0,(BH110*BH111+BH112*BH113*6)/BH111)</f>
        <v>0</v>
      </c>
      <c r="BI109" s="820">
        <f>IF(BI111=0,0,(BI110*BI111+BI112*BI113*6)/BI111)</f>
        <v>0</v>
      </c>
      <c r="BJ109" s="714">
        <f>IF(BH109=0,0,(BI109-BH109)/BH109*100)</f>
        <v>0</v>
      </c>
      <c r="BK109" s="820">
        <f>IF(BK111=0,0,(BK110*BK111+BK112*BK113*6)/BK111)</f>
        <v>0</v>
      </c>
      <c r="BL109" s="820">
        <f>IF(BL111=0,0,(BL110*BL111+BL112*BL113*6)/BL111)</f>
        <v>0</v>
      </c>
      <c r="BM109" s="714">
        <f>IF(BK109=0,0,(BL109-BK109)/BK109*100)</f>
        <v>0</v>
      </c>
      <c r="BN109" s="820">
        <f>IF(BN111=0,0,(BN110*BN111+BN112*BN113*6)/BN111)</f>
        <v>0</v>
      </c>
      <c r="BO109" s="820">
        <f>IF(BO111=0,0,(BO110*BO111+BO112*BO113*6)/BO111)</f>
        <v>0</v>
      </c>
      <c r="BP109" s="714">
        <f>IF(BN109=0,0,(BO109-BN109)/BN109*100)</f>
        <v>0</v>
      </c>
      <c r="BQ109" s="820">
        <f>IF(BQ111=0,0,(BQ110*BQ111+BQ112*BQ113*6)/BQ111)</f>
        <v>0</v>
      </c>
      <c r="BR109" s="820">
        <f>IF(BR111=0,0,(BR110*BR111+BR112*BR113*6)/BR111)</f>
        <v>0</v>
      </c>
      <c r="BS109" s="714">
        <f>IF(BQ109=0,0,(BR109-BQ109)/BQ109*100)</f>
        <v>0</v>
      </c>
      <c r="BT109" s="820">
        <f>IF(BT111=0,0,(BT110*BT111+BT112*BT113*6)/BT111)</f>
        <v>0</v>
      </c>
      <c r="BU109" s="820">
        <f>IF(BU111=0,0,(BU110*BU111+BU112*BU113*6)/BU111)</f>
        <v>0</v>
      </c>
      <c r="BV109" s="714">
        <f>IF(BT109=0,0,(BU109-BT109)/BT109*100)</f>
        <v>0</v>
      </c>
      <c r="BW109" s="820">
        <f>IF(BW111=0,0,(BW110*BW111+BW112*BW113*6)/BW111)</f>
        <v>0</v>
      </c>
      <c r="BX109" s="820">
        <f>IF(BX111=0,0,(BX110*BX111+BX112*BX113*6)/BX111)</f>
        <v>0</v>
      </c>
      <c r="BY109" s="714">
        <f>IF(BW109=0,0,(BX109-BW109)/BW109*100)</f>
        <v>0</v>
      </c>
      <c r="BZ109" s="820">
        <f>IF(BZ111=0,0,(BZ110*BZ111+BZ112*BZ113*6)/BZ111)</f>
        <v>0</v>
      </c>
      <c r="CA109" s="820">
        <f>IF(CA111=0,0,(CA110*CA111+CA112*CA113*6)/CA111)</f>
        <v>0</v>
      </c>
      <c r="CB109" s="714">
        <f>IF(BZ109=0,0,(CA109-BZ109)/BZ109*100)</f>
        <v>0</v>
      </c>
      <c r="CC109" s="820">
        <f>IF(CC111=0,0,(CC110*CC111+CC112*CC113*6)/CC111)</f>
        <v>0</v>
      </c>
      <c r="CD109" s="820">
        <f>IF(CD111=0,0,(CD110*CD111+CD112*CD113*6)/CD111)</f>
        <v>0</v>
      </c>
      <c r="CE109" s="714">
        <f>IF(CC109=0,0,(CD109-CC109)/CC109*100)</f>
        <v>0</v>
      </c>
      <c r="CF109" s="820">
        <f>IF(CF111=0,0,(CF110*CF111+CF112*CF113*6)/CF111)</f>
        <v>0</v>
      </c>
      <c r="CG109" s="820">
        <f>IF(CG111=0,0,(CG110*CG111+CG112*CG113*6)/CG111)</f>
        <v>0</v>
      </c>
      <c r="CH109" s="714">
        <f>IF(CF109=0,0,(CG109-CF109)/CF109*100)</f>
        <v>0</v>
      </c>
      <c r="CI109" s="820">
        <f>IF(CI111=0,0,(CI110*CI111+CI112*CI113*6)/CI111)</f>
        <v>0</v>
      </c>
      <c r="CJ109" s="820">
        <f>IF(CJ111=0,0,(CJ110*CJ111+CJ112*CJ113*6)/CJ111)</f>
        <v>0</v>
      </c>
      <c r="CK109" s="714">
        <f>IF(CI109=0,0,(CJ109-CI109)/CI109*100)</f>
        <v>0</v>
      </c>
      <c r="CL109" s="820">
        <f>IF(CL111=0,0,(CL110*CL111+CL112*CL113*6)/CL111)</f>
        <v>0</v>
      </c>
      <c r="CM109" s="820">
        <f>IF(CM111=0,0,(CM110*CM111+CM112*CM113*6)/CM111)</f>
        <v>0</v>
      </c>
      <c r="CN109" s="714">
        <f>IF(CL109=0,0,(CM109-CL109)/CL109*100)</f>
        <v>0</v>
      </c>
      <c r="CO109" s="820">
        <f>IF(CO111=0,0,(CO110*CO111+CO112*CO113*6)/CO111)</f>
        <v>0</v>
      </c>
      <c r="CP109" s="820">
        <f>IF(CP111=0,0,(CP110*CP111+CP112*CP113*6)/CP111)</f>
        <v>0</v>
      </c>
      <c r="CQ109" s="714">
        <f>IF(CO109=0,0,(CP109-CO109)/CO109*100)</f>
        <v>0</v>
      </c>
      <c r="CR109" s="820">
        <f>IF(CR111=0,0,(CR110*CR111+CR112*CR113*6)/CR111)</f>
        <v>0</v>
      </c>
      <c r="CS109" s="820">
        <f>IF(CS111=0,0,(CS110*CS111+CS112*CS113*6)/CS111)</f>
        <v>0</v>
      </c>
      <c r="CT109" s="714">
        <f>IF(CR109=0,0,(CS109-CR109)/CR109*100)</f>
        <v>0</v>
      </c>
      <c r="CU109" s="820">
        <f>IF(CU111=0,0,(CU110*CU111+CU112*CU113*6)/CU111)</f>
        <v>0</v>
      </c>
      <c r="CV109" s="820">
        <f>IF(CV111=0,0,(CV110*CV111+CV112*CV113*6)/CV111)</f>
        <v>0</v>
      </c>
      <c r="CW109" s="714">
        <f>IF(CU109=0,0,(CV109-CU109)/CU109*100)</f>
        <v>0</v>
      </c>
      <c r="CX109" s="820">
        <f>IF(CX111=0,0,(CX110*CX111+CX112*CX113*6)/CX111)</f>
        <v>0</v>
      </c>
      <c r="CY109" s="820">
        <f>IF(CY111=0,0,(CY110*CY111+CY112*CY113*6)/CY111)</f>
        <v>0</v>
      </c>
      <c r="CZ109" s="714">
        <f>IF(CX109=0,0,(CY109-CX109)/CX109*100)</f>
        <v>0</v>
      </c>
      <c r="DA109" s="820">
        <f>IF(DA111=0,0,(DA110*DA111+DA112*DA113*6)/DA111)</f>
        <v>0</v>
      </c>
      <c r="DB109" s="820">
        <f>IF(DB111=0,0,(DB110*DB111+DB112*DB113*6)/DB111)</f>
        <v>0</v>
      </c>
      <c r="DC109" s="714">
        <f>IF(DA109=0,0,(DB109-DA109)/DA109*100)</f>
        <v>0</v>
      </c>
      <c r="DD109" s="820">
        <f>IF(DD111=0,0,(DD110*DD111+DD112*DD113*6)/DD111)</f>
        <v>0</v>
      </c>
      <c r="DE109" s="820">
        <f>IF(DE111=0,0,(DE110*DE111+DE112*DE113*6)/DE111)</f>
        <v>0</v>
      </c>
      <c r="DF109" s="714">
        <f>IF(DD109=0,0,(DE109-DD109)/DD109*100)</f>
        <v>0</v>
      </c>
      <c r="DG109" s="820">
        <f>IF(DG111=0,0,(DG110*DG111+DG112*DG113*6)/DG111)</f>
        <v>0</v>
      </c>
      <c r="DH109" s="820">
        <f>IF(DH111=0,0,(DH110*DH111+DH112*DH113*6)/DH111)</f>
        <v>0</v>
      </c>
      <c r="DI109" s="714">
        <f>IF(DG109=0,0,(DH109-DG109)/DG109*100)</f>
        <v>0</v>
      </c>
      <c r="DJ109" s="820">
        <f>IF(DJ111=0,0,(DJ110*DJ111+DJ112*DJ113*6)/DJ111)</f>
        <v>0</v>
      </c>
      <c r="DK109" s="820">
        <f>IF(DK111=0,0,(DK110*DK111+DK112*DK113*6)/DK111)</f>
        <v>0</v>
      </c>
      <c r="DL109" s="714">
        <f>IF(DJ109=0,0,(DK109-DJ109)/DJ109*100)</f>
        <v>0</v>
      </c>
      <c r="DM109" s="820">
        <f>IF(DM111=0,0,(DM110*DM111+DM112*DM113*6)/DM111)</f>
        <v>0</v>
      </c>
      <c r="DN109" s="820">
        <f>IF(DN111=0,0,(DN110*DN111+DN112*DN113*6)/DN111)</f>
        <v>0</v>
      </c>
      <c r="DO109" s="714">
        <f>IF(DM109=0,0,(DN109-DM109)/DM109*100)</f>
        <v>0</v>
      </c>
      <c r="DP109" s="820">
        <f>IF(DP111=0,0,(DP110*DP111+DP112*DP113*6)/DP111)</f>
        <v>0</v>
      </c>
      <c r="DQ109" s="820">
        <f>IF(DQ111=0,0,(DQ110*DQ111+DQ112*DQ113*6)/DQ111)</f>
        <v>0</v>
      </c>
      <c r="DR109" s="714">
        <f>IF(DP109=0,0,(DQ109-DP109)/DP109*100)</f>
        <v>0</v>
      </c>
      <c r="DS109" s="820">
        <f>IF(DS111=0,0,(DS110*DS111+DS112*DS113*6)/DS111)</f>
        <v>0</v>
      </c>
      <c r="DT109" s="820">
        <f>IF(DT111=0,0,(DT110*DT111+DT112*DT113*6)/DT111)</f>
        <v>0</v>
      </c>
      <c r="DU109" s="714">
        <f>IF(DS109=0,0,(DT109-DS109)/DS109*100)</f>
        <v>0</v>
      </c>
      <c r="DV109" s="820">
        <f>IF(DV111=0,0,(DV110*DV111+DV112*DV113*6)/DV111)</f>
        <v>0</v>
      </c>
      <c r="DW109" s="820">
        <f>IF(DW111=0,0,(DW110*DW111+DW112*DW113*6)/DW111)</f>
        <v>0</v>
      </c>
      <c r="DX109" s="714">
        <f>IF(DV109=0,0,(DW109-DV109)/DV109*100)</f>
        <v>0</v>
      </c>
      <c r="DY109" s="820">
        <f>IF(DY111=0,0,(DY110*DY111+DY112*DY113*6)/DY111)</f>
        <v>0</v>
      </c>
      <c r="DZ109" s="820">
        <f>IF(DZ111=0,0,(DZ110*DZ111+DZ112*DZ113*6)/DZ111)</f>
        <v>0</v>
      </c>
      <c r="EA109" s="714">
        <f>IF(DY109=0,0,(DZ109-DY109)/DY109*100)</f>
        <v>0</v>
      </c>
      <c r="EB109" s="820">
        <f>IF(EB111=0,0,(EB110*EB111+EB112*EB113*6)/EB111)</f>
        <v>0</v>
      </c>
      <c r="EC109" s="820">
        <f>IF(EC111=0,0,(EC110*EC111+EC112*EC113*6)/EC111)</f>
        <v>0</v>
      </c>
      <c r="ED109" s="714">
        <f>IF(EB109=0,0,(EC109-EB109)/EB109*100)</f>
        <v>0</v>
      </c>
      <c r="EE109" s="820">
        <f>IF(EE111=0,0,(EE110*EE111+EE112*EE113*6)/EE111)</f>
        <v>0</v>
      </c>
      <c r="EF109" s="820">
        <f>IF(EF111=0,0,(EF110*EF111+EF112*EF113*6)/EF111)</f>
        <v>0</v>
      </c>
      <c r="EG109" s="714">
        <f>IF(EE109=0,0,(EF109-EE109)/EE109*100)</f>
        <v>0</v>
      </c>
      <c r="EH109" s="820">
        <f>IF(EH111=0,0,(EH110*EH111+EH112*EH113*6)/EH111)</f>
        <v>0</v>
      </c>
      <c r="EI109" s="820">
        <f>IF(EI111=0,0,(EI110*EI111+EI112*EI113*6)/EI111)</f>
        <v>0</v>
      </c>
      <c r="EJ109" s="714">
        <f>IF(EH109=0,0,(EI109-EH109)/EH109*100)</f>
        <v>0</v>
      </c>
      <c r="EK109" s="820">
        <f>IF(EK111=0,0,(EK110*EK111+EK112*EK113*6)/EK111)</f>
        <v>0</v>
      </c>
      <c r="EL109" s="820">
        <f>IF(EL111=0,0,(EL110*EL111+EL112*EL113*6)/EL111)</f>
        <v>0</v>
      </c>
      <c r="EM109" s="714">
        <f>IF(EK109=0,0,(EL109-EK109)/EK109*100)</f>
        <v>0</v>
      </c>
      <c r="EN109" s="820">
        <f>IF(EN111=0,0,(EN110*EN111+EN112*EN113*6)/EN111)</f>
        <v>0</v>
      </c>
      <c r="EO109" s="820">
        <f>IF(EO111=0,0,(EO110*EO111+EO112*EO113*6)/EO111)</f>
        <v>0</v>
      </c>
      <c r="EP109" s="714">
        <f>IF(EN109=0,0,(EO109-EN109)/EN109*100)</f>
        <v>0</v>
      </c>
      <c r="EQ109" s="820">
        <f>IF(EQ111=0,0,(EQ110*EQ111+EQ112*EQ113*6)/EQ111)</f>
        <v>0</v>
      </c>
      <c r="ER109" s="820">
        <f>IF(ER111=0,0,(ER110*ER111+ER112*ER113*6)/ER111)</f>
        <v>0</v>
      </c>
      <c r="ES109" s="714">
        <f>IF(EQ109=0,0,(ER109-EQ109)/EQ109*100)</f>
        <v>0</v>
      </c>
      <c r="ET109" s="820">
        <f>IF(ET111=0,0,(ET110*ET111+ET112*ET113*6)/ET111)</f>
        <v>0</v>
      </c>
      <c r="EU109" s="820">
        <f>IF(EU111=0,0,(EU110*EU111+EU112*EU113*6)/EU111)</f>
        <v>0</v>
      </c>
      <c r="EV109" s="714">
        <f>IF(ET109=0,0,(EU109-ET109)/ET109*100)</f>
        <v>0</v>
      </c>
      <c r="EW109" s="820">
        <f>IF(EW111=0,0,(EW110*EW111+EW112*EW113*6)/EW111)</f>
        <v>0</v>
      </c>
      <c r="EX109" s="820">
        <f>IF(EX111=0,0,(EX110*EX111+EX112*EX113*6)/EX111)</f>
        <v>0</v>
      </c>
      <c r="EY109" s="714">
        <f>IF(EW109=0,0,(EX109-EW109)/EW109*100)</f>
        <v>0</v>
      </c>
      <c r="EZ109" s="820">
        <f>IF(EZ111=0,0,(EZ110*EZ111+EZ112*EZ113*6)/EZ111)</f>
        <v>0</v>
      </c>
      <c r="FA109" s="820">
        <f>IF(FA111=0,0,(FA110*FA111+FA112*FA113*6)/FA111)</f>
        <v>0</v>
      </c>
      <c r="FB109" s="714">
        <f>IF(EZ109=0,0,(FA109-EZ109)/EZ109*100)</f>
        <v>0</v>
      </c>
      <c r="FC109" s="820">
        <f>IF(FC111=0,0,(FC110*FC111+FC112*FC113*6)/FC111)</f>
        <v>0</v>
      </c>
      <c r="FD109" s="820">
        <f>IF(FD111=0,0,(FD110*FD111+FD112*FD113*6)/FD111)</f>
        <v>0</v>
      </c>
      <c r="FE109" s="714">
        <f>IF(FC109=0,0,(FD109-FC109)/FC109*100)</f>
        <v>0</v>
      </c>
      <c r="FF109" s="820">
        <f>IF(FF111=0,0,(FF110*FF111+FF112*FF113*6)/FF111)</f>
        <v>0</v>
      </c>
      <c r="FG109" s="820">
        <f>IF(FG111=0,0,(FG110*FG111+FG112*FG113*6)/FG111)</f>
        <v>0</v>
      </c>
      <c r="FH109" s="714">
        <f>IF(FF109=0,0,(FG109-FF109)/FF109*100)</f>
        <v>0</v>
      </c>
      <c r="FI109" s="820">
        <f>IF(FI111=0,0,(FI110*FI111+FI112*FI113*6)/FI111)</f>
        <v>0</v>
      </c>
      <c r="FJ109" s="820">
        <f>IF(FJ111=0,0,(FJ110*FJ111+FJ112*FJ113*6)/FJ111)</f>
        <v>0</v>
      </c>
      <c r="FK109" s="714">
        <f>IF(FI109=0,0,(FJ109-FI109)/FI109*100)</f>
        <v>0</v>
      </c>
      <c r="FL109" s="820">
        <f>IF(FL111=0,0,(FL110*FL111+FL112*FL113*6)/FL111)</f>
        <v>0</v>
      </c>
      <c r="FM109" s="820">
        <f>IF(FM111=0,0,(FM110*FM111+FM112*FM113*6)/FM111)</f>
        <v>0</v>
      </c>
      <c r="FN109" s="714">
        <f>IF(FL109=0,0,(FM109-FL109)/FL109*100)</f>
        <v>0</v>
      </c>
      <c r="FO109" s="820">
        <f>IF(FO111=0,0,(FO110*FO111+FO112*FO113*6)/FO111)</f>
        <v>0</v>
      </c>
      <c r="FP109" s="820">
        <f>IF(FP111=0,0,(FP110*FP111+FP112*FP113*6)/FP111)</f>
        <v>0</v>
      </c>
      <c r="FQ109" s="714">
        <f>IF(FO109=0,0,(FP109-FO109)/FO109*100)</f>
        <v>0</v>
      </c>
      <c r="FR109" s="820">
        <f>IF(FR111=0,0,(FR110*FR111+FR112*FR113*6)/FR111)</f>
        <v>0</v>
      </c>
      <c r="FS109" s="820">
        <f>IF(FS111=0,0,(FS110*FS111+FS112*FS113*6)/FS111)</f>
        <v>0</v>
      </c>
      <c r="FT109" s="714">
        <f>IF(FR109=0,0,(FS109-FR109)/FR109*100)</f>
        <v>0</v>
      </c>
      <c r="FU109" s="820">
        <f>IF(FU111=0,0,(FU110*FU111+FU112*FU113*6)/FU111)</f>
        <v>0</v>
      </c>
      <c r="FV109" s="820">
        <f>IF(FV111=0,0,(FV110*FV111+FV112*FV113*6)/FV111)</f>
        <v>0</v>
      </c>
      <c r="FW109" s="714">
        <f>IF(FU109=0,0,(FV109-FU109)/FU109*100)</f>
        <v>0</v>
      </c>
      <c r="FZ109" s="691" t="s">
        <v>1691</v>
      </c>
    </row>
    <row r="110" spans="1:186" ht="14.25" hidden="1" customHeight="1" x14ac:dyDescent="0.15">
      <c r="A110" s="59"/>
      <c r="B110" s="613" t="b" cm="1">
        <f t="array" ref="B110">B109</f>
        <v>0</v>
      </c>
      <c r="C110" s="59"/>
      <c r="D110" s="59"/>
      <c r="E110" s="462">
        <v>15</v>
      </c>
      <c r="F110" s="3" t="str" cm="1">
        <f t="array" aca="1" ref="F110" ca="1">OFFSET(E110,-1,1)</f>
        <v>1</v>
      </c>
      <c r="G110" s="59"/>
      <c r="H110" s="59" t="s">
        <v>1574</v>
      </c>
      <c r="I110" s="59" t="s">
        <v>1647</v>
      </c>
      <c r="J110" s="59"/>
      <c r="K110" s="59"/>
      <c r="L110" s="59"/>
      <c r="M110" s="59"/>
      <c r="N110" s="59"/>
      <c r="O110" s="59"/>
      <c r="P110" s="59"/>
      <c r="Q110" s="59"/>
      <c r="R110" s="59"/>
      <c r="S110" s="59"/>
      <c r="T110" s="353" t="b" cm="1">
        <f t="array" aca="1" ref="T110" ca="1">T109</f>
        <v>1</v>
      </c>
      <c r="U110" s="59"/>
      <c r="V110" s="59"/>
      <c r="W110" s="59"/>
      <c r="X110" s="1022"/>
      <c r="Y110" s="59"/>
      <c r="Z110" s="966"/>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1644</v>
      </c>
      <c r="AD110" s="820"/>
      <c r="AE110" s="820"/>
      <c r="AF110" s="714">
        <f>IF(AD110=0,0,(AE110-AD110)/AD110*100)</f>
        <v>0</v>
      </c>
      <c r="AG110" s="820"/>
      <c r="AH110" s="820"/>
      <c r="AI110" s="714">
        <f>IF(AG110=0,0,(AH110-AG110)/AG110*100)</f>
        <v>0</v>
      </c>
      <c r="AJ110" s="820"/>
      <c r="AK110" s="820"/>
      <c r="AL110" s="714">
        <f>IF(AJ110=0,0,(AK110-AJ110)/AJ110*100)</f>
        <v>0</v>
      </c>
      <c r="AM110" s="820"/>
      <c r="AN110" s="820"/>
      <c r="AO110" s="714">
        <f>IF(AM110=0,0,(AN110-AM110)/AM110*100)</f>
        <v>0</v>
      </c>
      <c r="AP110" s="820"/>
      <c r="AQ110" s="820"/>
      <c r="AR110" s="714">
        <f>IF(AP110=0,0,(AQ110-AP110)/AP110*100)</f>
        <v>0</v>
      </c>
      <c r="AS110" s="820"/>
      <c r="AT110" s="820"/>
      <c r="AU110" s="714">
        <f>IF(AS110=0,0,(AT110-AS110)/AS110*100)</f>
        <v>0</v>
      </c>
      <c r="AV110" s="820"/>
      <c r="AW110" s="820"/>
      <c r="AX110" s="714">
        <f>IF(AV110=0,0,(AW110-AV110)/AV110*100)</f>
        <v>0</v>
      </c>
      <c r="AY110" s="820"/>
      <c r="AZ110" s="820"/>
      <c r="BA110" s="714">
        <f>IF(AY110=0,0,(AZ110-AY110)/AY110*100)</f>
        <v>0</v>
      </c>
      <c r="BB110" s="820"/>
      <c r="BC110" s="820"/>
      <c r="BD110" s="714">
        <f>IF(BB110=0,0,(BC110-BB110)/BB110*100)</f>
        <v>0</v>
      </c>
      <c r="BE110" s="820"/>
      <c r="BF110" s="820"/>
      <c r="BG110" s="714">
        <f>IF(BE110=0,0,(BF110-BE110)/BE110*100)</f>
        <v>0</v>
      </c>
      <c r="BH110" s="820"/>
      <c r="BI110" s="820"/>
      <c r="BJ110" s="714">
        <f>IF(BH110=0,0,(BI110-BH110)/BH110*100)</f>
        <v>0</v>
      </c>
      <c r="BK110" s="820"/>
      <c r="BL110" s="820"/>
      <c r="BM110" s="714">
        <f>IF(BK110=0,0,(BL110-BK110)/BK110*100)</f>
        <v>0</v>
      </c>
      <c r="BN110" s="820"/>
      <c r="BO110" s="820"/>
      <c r="BP110" s="714">
        <f>IF(BN110=0,0,(BO110-BN110)/BN110*100)</f>
        <v>0</v>
      </c>
      <c r="BQ110" s="820"/>
      <c r="BR110" s="820"/>
      <c r="BS110" s="714">
        <f>IF(BQ110=0,0,(BR110-BQ110)/BQ110*100)</f>
        <v>0</v>
      </c>
      <c r="BT110" s="820"/>
      <c r="BU110" s="820"/>
      <c r="BV110" s="714">
        <f>IF(BT110=0,0,(BU110-BT110)/BT110*100)</f>
        <v>0</v>
      </c>
      <c r="BW110" s="820"/>
      <c r="BX110" s="820"/>
      <c r="BY110" s="714">
        <f>IF(BW110=0,0,(BX110-BW110)/BW110*100)</f>
        <v>0</v>
      </c>
      <c r="BZ110" s="820"/>
      <c r="CA110" s="820"/>
      <c r="CB110" s="714">
        <f>IF(BZ110=0,0,(CA110-BZ110)/BZ110*100)</f>
        <v>0</v>
      </c>
      <c r="CC110" s="820"/>
      <c r="CD110" s="820"/>
      <c r="CE110" s="714">
        <f>IF(CC110=0,0,(CD110-CC110)/CC110*100)</f>
        <v>0</v>
      </c>
      <c r="CF110" s="820"/>
      <c r="CG110" s="820"/>
      <c r="CH110" s="714">
        <f>IF(CF110=0,0,(CG110-CF110)/CF110*100)</f>
        <v>0</v>
      </c>
      <c r="CI110" s="820"/>
      <c r="CJ110" s="820"/>
      <c r="CK110" s="714">
        <f>IF(CI110=0,0,(CJ110-CI110)/CI110*100)</f>
        <v>0</v>
      </c>
      <c r="CL110" s="820"/>
      <c r="CM110" s="820"/>
      <c r="CN110" s="714">
        <f>IF(CL110=0,0,(CM110-CL110)/CL110*100)</f>
        <v>0</v>
      </c>
      <c r="CO110" s="820"/>
      <c r="CP110" s="820"/>
      <c r="CQ110" s="714">
        <f>IF(CO110=0,0,(CP110-CO110)/CO110*100)</f>
        <v>0</v>
      </c>
      <c r="CR110" s="820"/>
      <c r="CS110" s="820"/>
      <c r="CT110" s="714">
        <f>IF(CR110=0,0,(CS110-CR110)/CR110*100)</f>
        <v>0</v>
      </c>
      <c r="CU110" s="820"/>
      <c r="CV110" s="820"/>
      <c r="CW110" s="714">
        <f>IF(CU110=0,0,(CV110-CU110)/CU110*100)</f>
        <v>0</v>
      </c>
      <c r="CX110" s="820"/>
      <c r="CY110" s="820"/>
      <c r="CZ110" s="714">
        <f>IF(CX110=0,0,(CY110-CX110)/CX110*100)</f>
        <v>0</v>
      </c>
      <c r="DA110" s="820"/>
      <c r="DB110" s="820"/>
      <c r="DC110" s="714">
        <f>IF(DA110=0,0,(DB110-DA110)/DA110*100)</f>
        <v>0</v>
      </c>
      <c r="DD110" s="820"/>
      <c r="DE110" s="820"/>
      <c r="DF110" s="714">
        <f>IF(DD110=0,0,(DE110-DD110)/DD110*100)</f>
        <v>0</v>
      </c>
      <c r="DG110" s="820"/>
      <c r="DH110" s="820"/>
      <c r="DI110" s="714">
        <f>IF(DG110=0,0,(DH110-DG110)/DG110*100)</f>
        <v>0</v>
      </c>
      <c r="DJ110" s="820"/>
      <c r="DK110" s="820"/>
      <c r="DL110" s="714">
        <f>IF(DJ110=0,0,(DK110-DJ110)/DJ110*100)</f>
        <v>0</v>
      </c>
      <c r="DM110" s="820"/>
      <c r="DN110" s="820"/>
      <c r="DO110" s="714">
        <f>IF(DM110=0,0,(DN110-DM110)/DM110*100)</f>
        <v>0</v>
      </c>
      <c r="DP110" s="820"/>
      <c r="DQ110" s="820"/>
      <c r="DR110" s="714">
        <f>IF(DP110=0,0,(DQ110-DP110)/DP110*100)</f>
        <v>0</v>
      </c>
      <c r="DS110" s="820"/>
      <c r="DT110" s="820"/>
      <c r="DU110" s="714">
        <f>IF(DS110=0,0,(DT110-DS110)/DS110*100)</f>
        <v>0</v>
      </c>
      <c r="DV110" s="820"/>
      <c r="DW110" s="820"/>
      <c r="DX110" s="714">
        <f>IF(DV110=0,0,(DW110-DV110)/DV110*100)</f>
        <v>0</v>
      </c>
      <c r="DY110" s="820"/>
      <c r="DZ110" s="820"/>
      <c r="EA110" s="714">
        <f>IF(DY110=0,0,(DZ110-DY110)/DY110*100)</f>
        <v>0</v>
      </c>
      <c r="EB110" s="820"/>
      <c r="EC110" s="820"/>
      <c r="ED110" s="714">
        <f>IF(EB110=0,0,(EC110-EB110)/EB110*100)</f>
        <v>0</v>
      </c>
      <c r="EE110" s="820"/>
      <c r="EF110" s="820"/>
      <c r="EG110" s="714">
        <f>IF(EE110=0,0,(EF110-EE110)/EE110*100)</f>
        <v>0</v>
      </c>
      <c r="EH110" s="820"/>
      <c r="EI110" s="820"/>
      <c r="EJ110" s="714">
        <f>IF(EH110=0,0,(EI110-EH110)/EH110*100)</f>
        <v>0</v>
      </c>
      <c r="EK110" s="820"/>
      <c r="EL110" s="820"/>
      <c r="EM110" s="714">
        <f>IF(EK110=0,0,(EL110-EK110)/EK110*100)</f>
        <v>0</v>
      </c>
      <c r="EN110" s="820"/>
      <c r="EO110" s="820"/>
      <c r="EP110" s="714">
        <f>IF(EN110=0,0,(EO110-EN110)/EN110*100)</f>
        <v>0</v>
      </c>
      <c r="EQ110" s="820"/>
      <c r="ER110" s="820"/>
      <c r="ES110" s="714">
        <f>IF(EQ110=0,0,(ER110-EQ110)/EQ110*100)</f>
        <v>0</v>
      </c>
      <c r="ET110" s="820"/>
      <c r="EU110" s="820"/>
      <c r="EV110" s="714">
        <f>IF(ET110=0,0,(EU110-ET110)/ET110*100)</f>
        <v>0</v>
      </c>
      <c r="EW110" s="820"/>
      <c r="EX110" s="820"/>
      <c r="EY110" s="714">
        <f>IF(EW110=0,0,(EX110-EW110)/EW110*100)</f>
        <v>0</v>
      </c>
      <c r="EZ110" s="820"/>
      <c r="FA110" s="820"/>
      <c r="FB110" s="714">
        <f>IF(EZ110=0,0,(FA110-EZ110)/EZ110*100)</f>
        <v>0</v>
      </c>
      <c r="FC110" s="820"/>
      <c r="FD110" s="820"/>
      <c r="FE110" s="714">
        <f>IF(FC110=0,0,(FD110-FC110)/FC110*100)</f>
        <v>0</v>
      </c>
      <c r="FF110" s="820"/>
      <c r="FG110" s="820"/>
      <c r="FH110" s="714">
        <f>IF(FF110=0,0,(FG110-FF110)/FF110*100)</f>
        <v>0</v>
      </c>
      <c r="FI110" s="820"/>
      <c r="FJ110" s="820"/>
      <c r="FK110" s="714">
        <f>IF(FI110=0,0,(FJ110-FI110)/FI110*100)</f>
        <v>0</v>
      </c>
      <c r="FL110" s="820"/>
      <c r="FM110" s="820"/>
      <c r="FN110" s="714">
        <f>IF(FL110=0,0,(FM110-FL110)/FL110*100)</f>
        <v>0</v>
      </c>
      <c r="FO110" s="820"/>
      <c r="FP110" s="820"/>
      <c r="FQ110" s="714">
        <f>IF(FO110=0,0,(FP110-FO110)/FO110*100)</f>
        <v>0</v>
      </c>
      <c r="FR110" s="820"/>
      <c r="FS110" s="820"/>
      <c r="FT110" s="714">
        <f>IF(FR110=0,0,(FS110-FR110)/FR110*100)</f>
        <v>0</v>
      </c>
      <c r="FU110" s="820"/>
      <c r="FV110" s="820"/>
      <c r="FW110" s="714">
        <f>IF(FU110=0,0,(FV110-FU110)/FU110*100)</f>
        <v>0</v>
      </c>
      <c r="FZ110" s="691" t="s">
        <v>1692</v>
      </c>
    </row>
    <row r="111" spans="1:186" ht="14.25" hidden="1" customHeight="1" x14ac:dyDescent="0.15">
      <c r="A111" s="59"/>
      <c r="B111" s="613" t="b" cm="1">
        <f t="array" ref="B111">B110</f>
        <v>0</v>
      </c>
      <c r="C111" s="59"/>
      <c r="D111" s="59"/>
      <c r="E111" s="462">
        <v>15</v>
      </c>
      <c r="F111" s="3" t="str" cm="1">
        <f t="array" aca="1" ref="F111" ca="1">OFFSET(E111,-1,1)</f>
        <v>1</v>
      </c>
      <c r="G111" s="25" t="s">
        <v>1693</v>
      </c>
      <c r="H111" s="59" t="s">
        <v>1681</v>
      </c>
      <c r="I111" s="59" t="s">
        <v>1647</v>
      </c>
      <c r="J111" s="59"/>
      <c r="K111" s="59"/>
      <c r="L111" s="59"/>
      <c r="M111" s="59"/>
      <c r="N111" s="59"/>
      <c r="O111" s="59"/>
      <c r="P111" s="59"/>
      <c r="Q111" s="59"/>
      <c r="R111" s="59"/>
      <c r="S111" s="59"/>
      <c r="T111" s="353" t="b" cm="1">
        <f t="array" aca="1" ref="T111" ca="1">T110</f>
        <v>1</v>
      </c>
      <c r="U111" s="59"/>
      <c r="V111" s="59"/>
      <c r="W111" s="59"/>
      <c r="X111" s="1022"/>
      <c r="Y111" s="59"/>
      <c r="Z111" s="966"/>
      <c r="AA111" s="59"/>
      <c r="AB111" s="105" t="str">
        <f>"объём "&amp;IF(Q85="Водоснабжение","потребления холодной воды","водоотведения")</f>
        <v>объём потребления холодной воды</v>
      </c>
      <c r="AC111" s="12" t="s">
        <v>558</v>
      </c>
      <c r="AD111" s="836">
        <f ca="1">IF(AND(method_reg="Метод индексации",god&lt;&gt;first_year),SUMIFS(INDEX('Калькуляция (МИ корр)'!$AJ$25:$BC$603,,MATCH(AD$8,'Калькуляция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(МИ)'!$AJ$25:$BC$603,,MATCH(AD$8,'Калькуляция (МИ)'!$AJ$8:$BC$8,0)),'Калькуляция (МИ)'!$F$25:$F$603,$F111,'Калькуляция (МИ)'!$G$25:$G$603,$G111))))</f>
        <v>11002.02</v>
      </c>
      <c r="AE111" s="836">
        <f ca="1">IF(AND(method_reg="Метод индексации",god&lt;&gt;first_year),SUMIFS(INDEX('Калькуляция (МИ корр)'!$AJ$25:$BC$603,,MATCH(AE$8,'Калькуляция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(МИ)'!$AJ$25:$BC$603,,MATCH(AE$8,'Калькуляция (МИ)'!$AJ$8:$BC$8,0)),'Калькуляция (МИ)'!$F$25:$F$603,$F111,'Калькуляция (МИ)'!$G$25:$G$603,$G111))))</f>
        <v>4812.7120000000014</v>
      </c>
      <c r="AF111" s="715">
        <f ca="1">IF(AD111=0,0,(AE111-AD111)/AD111*100)</f>
        <v>-56.256105696953817</v>
      </c>
      <c r="AG111" s="836">
        <f ca="1">IF(AND(method_reg="Метод индексации",god&lt;&gt;first_year),SUMIFS(INDEX('Калькуляция (МИ корр)'!$AJ$25:$BC$603,,MATCH(AG$8,'Калькуляция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(МИ)'!$AJ$25:$BC$603,,MATCH(AG$8,'Калькуляция (МИ)'!$AJ$8:$BC$8,0)),'Калькуляция (МИ)'!$F$25:$F$603,$F111,'Калькуляция (МИ)'!$G$25:$G$603,$G111))))</f>
        <v>0</v>
      </c>
      <c r="AH111" s="836">
        <f ca="1">IF(AND(method_reg="Метод индексации",god&lt;&gt;first_year),SUMIFS(INDEX('Калькуляция (МИ корр)'!$AJ$25:$BC$603,,MATCH(AH$8,'Калькуляция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(МИ)'!$AJ$25:$BC$603,,MATCH(AH$8,'Калькуляция (МИ)'!$AJ$8:$BC$8,0)),'Калькуляция (МИ)'!$F$25:$F$603,$F111,'Калькуляция (МИ)'!$G$25:$G$603,$G111))))</f>
        <v>0</v>
      </c>
      <c r="AI111" s="715">
        <f ca="1">IF(AG111=0,0,(AH111-AG111)/AG111*100)</f>
        <v>0</v>
      </c>
      <c r="AJ111" s="836">
        <f ca="1">IF(AND(method_reg="Метод индексации",god&lt;&gt;first_year),SUMIFS(INDEX('Калькуляция (МИ корр)'!$AJ$25:$BC$603,,MATCH(AJ$8,'Калькуляция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(МИ)'!$AJ$25:$BC$603,,MATCH(AJ$8,'Калькуляция (МИ)'!$AJ$8:$BC$8,0)),'Калькуляция (МИ)'!$F$25:$F$603,$F111,'Калькуляция (МИ)'!$G$25:$G$603,$G111))))</f>
        <v>0</v>
      </c>
      <c r="AK111" s="836">
        <f ca="1">IF(AND(method_reg="Метод индексации",god&lt;&gt;first_year),SUMIFS(INDEX('Калькуляция (МИ корр)'!$AJ$25:$BC$603,,MATCH(AK$8,'Калькуляция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(МИ)'!$AJ$25:$BC$603,,MATCH(AK$8,'Калькуляция (МИ)'!$AJ$8:$BC$8,0)),'Калькуляция (МИ)'!$F$25:$F$603,$F111,'Калькуляция (МИ)'!$G$25:$G$603,$G111))))</f>
        <v>0</v>
      </c>
      <c r="AL111" s="715">
        <f ca="1">IF(AJ111=0,0,(AK111-AJ111)/AJ111*100)</f>
        <v>0</v>
      </c>
      <c r="AM111" s="836">
        <f ca="1">IF(AND(method_reg="Метод индексации",god&lt;&gt;first_year),SUMIFS(INDEX('Калькуляция (МИ корр)'!$AJ$25:$BC$603,,MATCH(AM$8,'Калькуляция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(МИ)'!$AJ$25:$BC$603,,MATCH(AM$8,'Калькуляция (МИ)'!$AJ$8:$BC$8,0)),'Калькуляция (МИ)'!$F$25:$F$603,$F111,'Калькуляция (МИ)'!$G$25:$G$603,$G111))))</f>
        <v>0</v>
      </c>
      <c r="AN111" s="836">
        <f ca="1">IF(AND(method_reg="Метод индексации",god&lt;&gt;first_year),SUMIFS(INDEX('Калькуляция (МИ корр)'!$AJ$25:$BC$603,,MATCH(AN$8,'Калькуляция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(МИ)'!$AJ$25:$BC$603,,MATCH(AN$8,'Калькуляция (МИ)'!$AJ$8:$BC$8,0)),'Калькуляция (МИ)'!$F$25:$F$603,$F111,'Калькуляция (МИ)'!$G$25:$G$603,$G111))))</f>
        <v>0</v>
      </c>
      <c r="AO111" s="715">
        <f ca="1">IF(AM111=0,0,(AN111-AM111)/AM111*100)</f>
        <v>0</v>
      </c>
      <c r="AP111" s="836">
        <f ca="1">IF(AND(method_reg="Метод индексации",god&lt;&gt;first_year),SUMIFS(INDEX('Калькуляция (МИ корр)'!$AJ$25:$BC$603,,MATCH(AP$8,'Калькуляция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(МИ)'!$AJ$25:$BC$603,,MATCH(AP$8,'Калькуляция (МИ)'!$AJ$8:$BC$8,0)),'Калькуляция (МИ)'!$F$25:$F$603,$F111,'Калькуляция (МИ)'!$G$25:$G$603,$G111))))</f>
        <v>0</v>
      </c>
      <c r="AQ111" s="836">
        <f ca="1">IF(AND(method_reg="Метод индексации",god&lt;&gt;first_year),SUMIFS(INDEX('Калькуляция (МИ корр)'!$AJ$25:$BC$603,,MATCH(AQ$8,'Калькуляция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(МИ)'!$AJ$25:$BC$603,,MATCH(AQ$8,'Калькуляция (МИ)'!$AJ$8:$BC$8,0)),'Калькуляция (МИ)'!$F$25:$F$603,$F111,'Калькуляция (МИ)'!$G$25:$G$603,$G111))))</f>
        <v>0</v>
      </c>
      <c r="AR111" s="715">
        <f ca="1">IF(AP111=0,0,(AQ111-AP111)/AP111*100)</f>
        <v>0</v>
      </c>
      <c r="AS111" s="836">
        <f ca="1">IF(AND(method_reg="Метод индексации",god&lt;&gt;first_year),SUMIFS(INDEX('Калькуляция (МИ корр)'!$AJ$25:$BC$603,,MATCH(AS$8,'Калькуляция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(МИ)'!$AJ$25:$BC$603,,MATCH(AS$8,'Калькуляция (МИ)'!$AJ$8:$BC$8,0)),'Калькуляция (МИ)'!$F$25:$F$603,$F111,'Калькуляция (МИ)'!$G$25:$G$603,$G111))))</f>
        <v>0</v>
      </c>
      <c r="AT111" s="836">
        <f ca="1">IF(AND(method_reg="Метод индексации",god&lt;&gt;first_year),SUMIFS(INDEX('Калькуляция (МИ корр)'!$AJ$25:$BC$603,,MATCH(AT$8,'Калькуляция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(МИ)'!$AJ$25:$BC$603,,MATCH(AT$8,'Калькуляция (МИ)'!$AJ$8:$BC$8,0)),'Калькуляция (МИ)'!$F$25:$F$603,$F111,'Калькуляция (МИ)'!$G$25:$G$603,$G111))))</f>
        <v>0</v>
      </c>
      <c r="AU111" s="715">
        <f ca="1">IF(AS111=0,0,(AT111-AS111)/AS111*100)</f>
        <v>0</v>
      </c>
      <c r="AV111" s="836">
        <f ca="1">IF(AND(method_reg="Метод индексации",god&lt;&gt;first_year),SUMIFS(INDEX('Калькуляция (МИ корр)'!$AJ$25:$BC$603,,MATCH(AV$8,'Калькуляция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(МИ)'!$AJ$25:$BC$603,,MATCH(AV$8,'Калькуляция (МИ)'!$AJ$8:$BC$8,0)),'Калькуляция (МИ)'!$F$25:$F$603,$F111,'Калькуляция (МИ)'!$G$25:$G$603,$G111))))</f>
        <v>0</v>
      </c>
      <c r="AW111" s="836">
        <f ca="1">IF(AND(method_reg="Метод индексации",god&lt;&gt;first_year),SUMIFS(INDEX('Калькуляция (МИ корр)'!$AJ$25:$BC$603,,MATCH(AW$8,'Калькуляция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(МИ)'!$AJ$25:$BC$603,,MATCH(AW$8,'Калькуляция (МИ)'!$AJ$8:$BC$8,0)),'Калькуляция (МИ)'!$F$25:$F$603,$F111,'Калькуляция (МИ)'!$G$25:$G$603,$G111))))</f>
        <v>0</v>
      </c>
      <c r="AX111" s="715">
        <f ca="1">IF(AV111=0,0,(AW111-AV111)/AV111*100)</f>
        <v>0</v>
      </c>
      <c r="AY111" s="836">
        <f ca="1">IF(AND(method_reg="Метод индексации",god&lt;&gt;first_year),SUMIFS(INDEX('Калькуляция (МИ корр)'!$AJ$25:$BC$603,,MATCH(AY$8,'Калькуляция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(МИ)'!$AJ$25:$BC$603,,MATCH(AY$8,'Калькуляция (МИ)'!$AJ$8:$BC$8,0)),'Калькуляция (МИ)'!$F$25:$F$603,$F111,'Калькуляция (МИ)'!$G$25:$G$603,$G111))))</f>
        <v>0</v>
      </c>
      <c r="AZ111" s="836">
        <f ca="1">IF(AND(method_reg="Метод индексации",god&lt;&gt;first_year),SUMIFS(INDEX('Калькуляция (МИ корр)'!$AJ$25:$BC$603,,MATCH(AZ$8,'Калькуляция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(МИ)'!$AJ$25:$BC$603,,MATCH(AZ$8,'Калькуляция (МИ)'!$AJ$8:$BC$8,0)),'Калькуляция (МИ)'!$F$25:$F$603,$F111,'Калькуляция (МИ)'!$G$25:$G$603,$G111))))</f>
        <v>0</v>
      </c>
      <c r="BA111" s="715">
        <f ca="1">IF(AY111=0,0,(AZ111-AY111)/AY111*100)</f>
        <v>0</v>
      </c>
      <c r="BB111" s="836">
        <f ca="1">IF(AND(method_reg="Метод индексации",god&lt;&gt;first_year),SUMIFS(INDEX('Калькуляция (МИ корр)'!$AJ$25:$BC$603,,MATCH(BB$8,'Калькуляция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(МИ)'!$AJ$25:$BC$603,,MATCH(BB$8,'Калькуляция (МИ)'!$AJ$8:$BC$8,0)),'Калькуляция (МИ)'!$F$25:$F$603,$F111,'Калькуляция (МИ)'!$G$25:$G$603,$G111))))</f>
        <v>0</v>
      </c>
      <c r="BC111" s="836">
        <f ca="1">IF(AND(method_reg="Метод индексации",god&lt;&gt;first_year),SUMIFS(INDEX('Калькуляция (МИ корр)'!$AJ$25:$BC$603,,MATCH(BC$8,'Калькуляция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(МИ)'!$AJ$25:$BC$603,,MATCH(BC$8,'Калькуляция (МИ)'!$AJ$8:$BC$8,0)),'Калькуляция (МИ)'!$F$25:$F$603,$F111,'Калькуляция (МИ)'!$G$25:$G$603,$G111))))</f>
        <v>0</v>
      </c>
      <c r="BD111" s="715">
        <f ca="1">IF(BB111=0,0,(BC111-BB111)/BB111*100)</f>
        <v>0</v>
      </c>
      <c r="BE111" s="836">
        <f ca="1">IF(AND(method_reg="Метод индексации",god&lt;&gt;first_year),SUMIFS(INDEX('Калькуляция (МИ корр)'!$AJ$25:$BC$603,,MATCH(BE$8,'Калькуляция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(МИ)'!$AJ$25:$BC$603,,MATCH(BE$8,'Калькуляция (МИ)'!$AJ$8:$BC$8,0)),'Калькуляция (МИ)'!$F$25:$F$603,$F111,'Калькуляция (МИ)'!$G$25:$G$603,$G111))))</f>
        <v>0</v>
      </c>
      <c r="BF111" s="836">
        <f ca="1">IF(AND(method_reg="Метод индексации",god&lt;&gt;first_year),SUMIFS(INDEX('Калькуляция (МИ корр)'!$AJ$25:$BC$603,,MATCH(BF$8,'Калькуляция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(МИ)'!$AJ$25:$BC$603,,MATCH(BF$8,'Калькуляция (МИ)'!$AJ$8:$BC$8,0)),'Калькуляция (МИ)'!$F$25:$F$603,$F111,'Калькуляция (МИ)'!$G$25:$G$603,$G111))))</f>
        <v>0</v>
      </c>
      <c r="BG111" s="715">
        <f ca="1">IF(BE111=0,0,(BF111-BE111)/BE111*100)</f>
        <v>0</v>
      </c>
      <c r="BH111" s="836"/>
      <c r="BI111" s="836"/>
      <c r="BJ111" s="715">
        <f>IF(BH111=0,0,(BI111-BH111)/BH111*100)</f>
        <v>0</v>
      </c>
      <c r="BK111" s="836"/>
      <c r="BL111" s="836"/>
      <c r="BM111" s="715">
        <f>IF(BK111=0,0,(BL111-BK111)/BK111*100)</f>
        <v>0</v>
      </c>
      <c r="BN111" s="836"/>
      <c r="BO111" s="836"/>
      <c r="BP111" s="715">
        <f>IF(BN111=0,0,(BO111-BN111)/BN111*100)</f>
        <v>0</v>
      </c>
      <c r="BQ111" s="836"/>
      <c r="BR111" s="836"/>
      <c r="BS111" s="715">
        <f>IF(BQ111=0,0,(BR111-BQ111)/BQ111*100)</f>
        <v>0</v>
      </c>
      <c r="BT111" s="836"/>
      <c r="BU111" s="836"/>
      <c r="BV111" s="715">
        <f>IF(BT111=0,0,(BU111-BT111)/BT111*100)</f>
        <v>0</v>
      </c>
      <c r="BW111" s="836"/>
      <c r="BX111" s="836"/>
      <c r="BY111" s="715">
        <f>IF(BW111=0,0,(BX111-BW111)/BW111*100)</f>
        <v>0</v>
      </c>
      <c r="BZ111" s="836"/>
      <c r="CA111" s="836"/>
      <c r="CB111" s="715">
        <f>IF(BZ111=0,0,(CA111-BZ111)/BZ111*100)</f>
        <v>0</v>
      </c>
      <c r="CC111" s="836"/>
      <c r="CD111" s="836"/>
      <c r="CE111" s="715">
        <f>IF(CC111=0,0,(CD111-CC111)/CC111*100)</f>
        <v>0</v>
      </c>
      <c r="CF111" s="836"/>
      <c r="CG111" s="836"/>
      <c r="CH111" s="715">
        <f>IF(CF111=0,0,(CG111-CF111)/CF111*100)</f>
        <v>0</v>
      </c>
      <c r="CI111" s="836"/>
      <c r="CJ111" s="836"/>
      <c r="CK111" s="715">
        <f>IF(CI111=0,0,(CJ111-CI111)/CI111*100)</f>
        <v>0</v>
      </c>
      <c r="CL111" s="836"/>
      <c r="CM111" s="836"/>
      <c r="CN111" s="715">
        <f>IF(CL111=0,0,(CM111-CL111)/CL111*100)</f>
        <v>0</v>
      </c>
      <c r="CO111" s="836"/>
      <c r="CP111" s="836"/>
      <c r="CQ111" s="715">
        <f>IF(CO111=0,0,(CP111-CO111)/CO111*100)</f>
        <v>0</v>
      </c>
      <c r="CR111" s="836"/>
      <c r="CS111" s="836"/>
      <c r="CT111" s="715">
        <f>IF(CR111=0,0,(CS111-CR111)/CR111*100)</f>
        <v>0</v>
      </c>
      <c r="CU111" s="836"/>
      <c r="CV111" s="836"/>
      <c r="CW111" s="715">
        <f>IF(CU111=0,0,(CV111-CU111)/CU111*100)</f>
        <v>0</v>
      </c>
      <c r="CX111" s="836"/>
      <c r="CY111" s="836"/>
      <c r="CZ111" s="715">
        <f>IF(CX111=0,0,(CY111-CX111)/CX111*100)</f>
        <v>0</v>
      </c>
      <c r="DA111" s="836"/>
      <c r="DB111" s="836"/>
      <c r="DC111" s="715">
        <f>IF(DA111=0,0,(DB111-DA111)/DA111*100)</f>
        <v>0</v>
      </c>
      <c r="DD111" s="836"/>
      <c r="DE111" s="836"/>
      <c r="DF111" s="715">
        <f>IF(DD111=0,0,(DE111-DD111)/DD111*100)</f>
        <v>0</v>
      </c>
      <c r="DG111" s="836"/>
      <c r="DH111" s="836"/>
      <c r="DI111" s="715">
        <f>IF(DG111=0,0,(DH111-DG111)/DG111*100)</f>
        <v>0</v>
      </c>
      <c r="DJ111" s="836"/>
      <c r="DK111" s="836"/>
      <c r="DL111" s="715">
        <f>IF(DJ111=0,0,(DK111-DJ111)/DJ111*100)</f>
        <v>0</v>
      </c>
      <c r="DM111" s="836"/>
      <c r="DN111" s="836"/>
      <c r="DO111" s="715">
        <f>IF(DM111=0,0,(DN111-DM111)/DM111*100)</f>
        <v>0</v>
      </c>
      <c r="DP111" s="836"/>
      <c r="DQ111" s="836"/>
      <c r="DR111" s="715">
        <f>IF(DP111=0,0,(DQ111-DP111)/DP111*100)</f>
        <v>0</v>
      </c>
      <c r="DS111" s="836"/>
      <c r="DT111" s="836"/>
      <c r="DU111" s="715">
        <f>IF(DS111=0,0,(DT111-DS111)/DS111*100)</f>
        <v>0</v>
      </c>
      <c r="DV111" s="836"/>
      <c r="DW111" s="836"/>
      <c r="DX111" s="715">
        <f>IF(DV111=0,0,(DW111-DV111)/DV111*100)</f>
        <v>0</v>
      </c>
      <c r="DY111" s="836"/>
      <c r="DZ111" s="836"/>
      <c r="EA111" s="715">
        <f>IF(DY111=0,0,(DZ111-DY111)/DY111*100)</f>
        <v>0</v>
      </c>
      <c r="EB111" s="836"/>
      <c r="EC111" s="836"/>
      <c r="ED111" s="715">
        <f>IF(EB111=0,0,(EC111-EB111)/EB111*100)</f>
        <v>0</v>
      </c>
      <c r="EE111" s="836"/>
      <c r="EF111" s="836"/>
      <c r="EG111" s="715">
        <f>IF(EE111=0,0,(EF111-EE111)/EE111*100)</f>
        <v>0</v>
      </c>
      <c r="EH111" s="836"/>
      <c r="EI111" s="836"/>
      <c r="EJ111" s="715">
        <f>IF(EH111=0,0,(EI111-EH111)/EH111*100)</f>
        <v>0</v>
      </c>
      <c r="EK111" s="836"/>
      <c r="EL111" s="836"/>
      <c r="EM111" s="715">
        <f>IF(EK111=0,0,(EL111-EK111)/EK111*100)</f>
        <v>0</v>
      </c>
      <c r="EN111" s="836"/>
      <c r="EO111" s="836"/>
      <c r="EP111" s="715">
        <f>IF(EN111=0,0,(EO111-EN111)/EN111*100)</f>
        <v>0</v>
      </c>
      <c r="EQ111" s="836"/>
      <c r="ER111" s="836"/>
      <c r="ES111" s="715">
        <f>IF(EQ111=0,0,(ER111-EQ111)/EQ111*100)</f>
        <v>0</v>
      </c>
      <c r="ET111" s="836"/>
      <c r="EU111" s="836"/>
      <c r="EV111" s="715">
        <f>IF(ET111=0,0,(EU111-ET111)/ET111*100)</f>
        <v>0</v>
      </c>
      <c r="EW111" s="836"/>
      <c r="EX111" s="836"/>
      <c r="EY111" s="715">
        <f>IF(EW111=0,0,(EX111-EW111)/EW111*100)</f>
        <v>0</v>
      </c>
      <c r="EZ111" s="836"/>
      <c r="FA111" s="836"/>
      <c r="FB111" s="715">
        <f>IF(EZ111=0,0,(FA111-EZ111)/EZ111*100)</f>
        <v>0</v>
      </c>
      <c r="FC111" s="836"/>
      <c r="FD111" s="836"/>
      <c r="FE111" s="715">
        <f>IF(FC111=0,0,(FD111-FC111)/FC111*100)</f>
        <v>0</v>
      </c>
      <c r="FF111" s="836"/>
      <c r="FG111" s="836"/>
      <c r="FH111" s="715">
        <f>IF(FF111=0,0,(FG111-FF111)/FF111*100)</f>
        <v>0</v>
      </c>
      <c r="FI111" s="836"/>
      <c r="FJ111" s="836"/>
      <c r="FK111" s="715">
        <f>IF(FI111=0,0,(FJ111-FI111)/FI111*100)</f>
        <v>0</v>
      </c>
      <c r="FL111" s="836"/>
      <c r="FM111" s="836"/>
      <c r="FN111" s="715">
        <f>IF(FL111=0,0,(FM111-FL111)/FL111*100)</f>
        <v>0</v>
      </c>
      <c r="FO111" s="836"/>
      <c r="FP111" s="836"/>
      <c r="FQ111" s="715">
        <f>IF(FO111=0,0,(FP111-FO111)/FO111*100)</f>
        <v>0</v>
      </c>
      <c r="FR111" s="836"/>
      <c r="FS111" s="836"/>
      <c r="FT111" s="715">
        <f>IF(FR111=0,0,(FS111-FR111)/FR111*100)</f>
        <v>0</v>
      </c>
      <c r="FU111" s="836"/>
      <c r="FV111" s="836"/>
      <c r="FW111" s="715">
        <f>IF(FU111=0,0,(FV111-FU111)/FU111*100)</f>
        <v>0</v>
      </c>
      <c r="FZ111" s="691" t="s">
        <v>1694</v>
      </c>
    </row>
    <row r="112" spans="1:186" ht="21.75" hidden="1" customHeight="1" x14ac:dyDescent="0.15">
      <c r="A112" s="59"/>
      <c r="B112" s="613" t="b" cm="1">
        <f t="array" ref="B112">B111</f>
        <v>0</v>
      </c>
      <c r="C112" s="59"/>
      <c r="D112" s="59"/>
      <c r="E112" s="462">
        <v>22.5</v>
      </c>
      <c r="F112" s="3" t="str" cm="1">
        <f t="array" aca="1" ref="F112" ca="1">OFFSET(E112,-1,1)</f>
        <v>1</v>
      </c>
      <c r="G112" s="59"/>
      <c r="H112" s="59" t="s">
        <v>1683</v>
      </c>
      <c r="I112" s="59" t="s">
        <v>1647</v>
      </c>
      <c r="J112" s="59"/>
      <c r="K112" s="59"/>
      <c r="L112" s="59"/>
      <c r="M112" s="59"/>
      <c r="N112" s="59"/>
      <c r="O112" s="59"/>
      <c r="P112" s="59"/>
      <c r="Q112" s="59"/>
      <c r="R112" s="59"/>
      <c r="S112" s="59"/>
      <c r="T112" s="353" t="b" cm="1">
        <f t="array" aca="1" ref="T112" ca="1">T111</f>
        <v>1</v>
      </c>
      <c r="U112" s="59"/>
      <c r="V112" s="59"/>
      <c r="W112" s="59"/>
      <c r="X112" s="1022"/>
      <c r="Y112" s="59"/>
      <c r="Z112" s="966"/>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1684</v>
      </c>
      <c r="AD112" s="820"/>
      <c r="AE112" s="820"/>
      <c r="AF112" s="714">
        <f>IF(AD112=0,0,(AE112-AD112)/AD112*100)</f>
        <v>0</v>
      </c>
      <c r="AG112" s="820"/>
      <c r="AH112" s="820"/>
      <c r="AI112" s="714">
        <f>IF(AG112=0,0,(AH112-AG112)/AG112*100)</f>
        <v>0</v>
      </c>
      <c r="AJ112" s="820"/>
      <c r="AK112" s="820"/>
      <c r="AL112" s="714">
        <f>IF(AJ112=0,0,(AK112-AJ112)/AJ112*100)</f>
        <v>0</v>
      </c>
      <c r="AM112" s="820"/>
      <c r="AN112" s="820"/>
      <c r="AO112" s="714">
        <f>IF(AM112=0,0,(AN112-AM112)/AM112*100)</f>
        <v>0</v>
      </c>
      <c r="AP112" s="820"/>
      <c r="AQ112" s="820"/>
      <c r="AR112" s="714">
        <f>IF(AP112=0,0,(AQ112-AP112)/AP112*100)</f>
        <v>0</v>
      </c>
      <c r="AS112" s="820"/>
      <c r="AT112" s="820"/>
      <c r="AU112" s="714">
        <f>IF(AS112=0,0,(AT112-AS112)/AS112*100)</f>
        <v>0</v>
      </c>
      <c r="AV112" s="820"/>
      <c r="AW112" s="820"/>
      <c r="AX112" s="714">
        <f>IF(AV112=0,0,(AW112-AV112)/AV112*100)</f>
        <v>0</v>
      </c>
      <c r="AY112" s="820"/>
      <c r="AZ112" s="820"/>
      <c r="BA112" s="714">
        <f>IF(AY112=0,0,(AZ112-AY112)/AY112*100)</f>
        <v>0</v>
      </c>
      <c r="BB112" s="820"/>
      <c r="BC112" s="820"/>
      <c r="BD112" s="714">
        <f>IF(BB112=0,0,(BC112-BB112)/BB112*100)</f>
        <v>0</v>
      </c>
      <c r="BE112" s="820"/>
      <c r="BF112" s="820"/>
      <c r="BG112" s="714">
        <f>IF(BE112=0,0,(BF112-BE112)/BE112*100)</f>
        <v>0</v>
      </c>
      <c r="BH112" s="820"/>
      <c r="BI112" s="820"/>
      <c r="BJ112" s="714">
        <f>IF(BH112=0,0,(BI112-BH112)/BH112*100)</f>
        <v>0</v>
      </c>
      <c r="BK112" s="820"/>
      <c r="BL112" s="820"/>
      <c r="BM112" s="714">
        <f>IF(BK112=0,0,(BL112-BK112)/BK112*100)</f>
        <v>0</v>
      </c>
      <c r="BN112" s="820"/>
      <c r="BO112" s="820"/>
      <c r="BP112" s="714">
        <f>IF(BN112=0,0,(BO112-BN112)/BN112*100)</f>
        <v>0</v>
      </c>
      <c r="BQ112" s="820"/>
      <c r="BR112" s="820"/>
      <c r="BS112" s="714">
        <f>IF(BQ112=0,0,(BR112-BQ112)/BQ112*100)</f>
        <v>0</v>
      </c>
      <c r="BT112" s="820"/>
      <c r="BU112" s="820"/>
      <c r="BV112" s="714">
        <f>IF(BT112=0,0,(BU112-BT112)/BT112*100)</f>
        <v>0</v>
      </c>
      <c r="BW112" s="820"/>
      <c r="BX112" s="820"/>
      <c r="BY112" s="714">
        <f>IF(BW112=0,0,(BX112-BW112)/BW112*100)</f>
        <v>0</v>
      </c>
      <c r="BZ112" s="820"/>
      <c r="CA112" s="820"/>
      <c r="CB112" s="714">
        <f>IF(BZ112=0,0,(CA112-BZ112)/BZ112*100)</f>
        <v>0</v>
      </c>
      <c r="CC112" s="820"/>
      <c r="CD112" s="820"/>
      <c r="CE112" s="714">
        <f>IF(CC112=0,0,(CD112-CC112)/CC112*100)</f>
        <v>0</v>
      </c>
      <c r="CF112" s="820"/>
      <c r="CG112" s="820"/>
      <c r="CH112" s="714">
        <f>IF(CF112=0,0,(CG112-CF112)/CF112*100)</f>
        <v>0</v>
      </c>
      <c r="CI112" s="820"/>
      <c r="CJ112" s="820"/>
      <c r="CK112" s="714">
        <f>IF(CI112=0,0,(CJ112-CI112)/CI112*100)</f>
        <v>0</v>
      </c>
      <c r="CL112" s="820"/>
      <c r="CM112" s="820"/>
      <c r="CN112" s="714">
        <f>IF(CL112=0,0,(CM112-CL112)/CL112*100)</f>
        <v>0</v>
      </c>
      <c r="CO112" s="820"/>
      <c r="CP112" s="820"/>
      <c r="CQ112" s="714">
        <f>IF(CO112=0,0,(CP112-CO112)/CO112*100)</f>
        <v>0</v>
      </c>
      <c r="CR112" s="820"/>
      <c r="CS112" s="820"/>
      <c r="CT112" s="714">
        <f>IF(CR112=0,0,(CS112-CR112)/CR112*100)</f>
        <v>0</v>
      </c>
      <c r="CU112" s="820"/>
      <c r="CV112" s="820"/>
      <c r="CW112" s="714">
        <f>IF(CU112=0,0,(CV112-CU112)/CU112*100)</f>
        <v>0</v>
      </c>
      <c r="CX112" s="820"/>
      <c r="CY112" s="820"/>
      <c r="CZ112" s="714">
        <f>IF(CX112=0,0,(CY112-CX112)/CX112*100)</f>
        <v>0</v>
      </c>
      <c r="DA112" s="820"/>
      <c r="DB112" s="820"/>
      <c r="DC112" s="714">
        <f>IF(DA112=0,0,(DB112-DA112)/DA112*100)</f>
        <v>0</v>
      </c>
      <c r="DD112" s="820"/>
      <c r="DE112" s="820"/>
      <c r="DF112" s="714">
        <f>IF(DD112=0,0,(DE112-DD112)/DD112*100)</f>
        <v>0</v>
      </c>
      <c r="DG112" s="820"/>
      <c r="DH112" s="820"/>
      <c r="DI112" s="714">
        <f>IF(DG112=0,0,(DH112-DG112)/DG112*100)</f>
        <v>0</v>
      </c>
      <c r="DJ112" s="820"/>
      <c r="DK112" s="820"/>
      <c r="DL112" s="714">
        <f>IF(DJ112=0,0,(DK112-DJ112)/DJ112*100)</f>
        <v>0</v>
      </c>
      <c r="DM112" s="820"/>
      <c r="DN112" s="820"/>
      <c r="DO112" s="714">
        <f>IF(DM112=0,0,(DN112-DM112)/DM112*100)</f>
        <v>0</v>
      </c>
      <c r="DP112" s="820"/>
      <c r="DQ112" s="820"/>
      <c r="DR112" s="714">
        <f>IF(DP112=0,0,(DQ112-DP112)/DP112*100)</f>
        <v>0</v>
      </c>
      <c r="DS112" s="820"/>
      <c r="DT112" s="820"/>
      <c r="DU112" s="714">
        <f>IF(DS112=0,0,(DT112-DS112)/DS112*100)</f>
        <v>0</v>
      </c>
      <c r="DV112" s="820"/>
      <c r="DW112" s="820"/>
      <c r="DX112" s="714">
        <f>IF(DV112=0,0,(DW112-DV112)/DV112*100)</f>
        <v>0</v>
      </c>
      <c r="DY112" s="820"/>
      <c r="DZ112" s="820"/>
      <c r="EA112" s="714">
        <f>IF(DY112=0,0,(DZ112-DY112)/DY112*100)</f>
        <v>0</v>
      </c>
      <c r="EB112" s="820"/>
      <c r="EC112" s="820"/>
      <c r="ED112" s="714">
        <f>IF(EB112=0,0,(EC112-EB112)/EB112*100)</f>
        <v>0</v>
      </c>
      <c r="EE112" s="820"/>
      <c r="EF112" s="820"/>
      <c r="EG112" s="714">
        <f>IF(EE112=0,0,(EF112-EE112)/EE112*100)</f>
        <v>0</v>
      </c>
      <c r="EH112" s="820"/>
      <c r="EI112" s="820"/>
      <c r="EJ112" s="714">
        <f>IF(EH112=0,0,(EI112-EH112)/EH112*100)</f>
        <v>0</v>
      </c>
      <c r="EK112" s="820"/>
      <c r="EL112" s="820"/>
      <c r="EM112" s="714">
        <f>IF(EK112=0,0,(EL112-EK112)/EK112*100)</f>
        <v>0</v>
      </c>
      <c r="EN112" s="820"/>
      <c r="EO112" s="820"/>
      <c r="EP112" s="714">
        <f>IF(EN112=0,0,(EO112-EN112)/EN112*100)</f>
        <v>0</v>
      </c>
      <c r="EQ112" s="820"/>
      <c r="ER112" s="820"/>
      <c r="ES112" s="714">
        <f>IF(EQ112=0,0,(ER112-EQ112)/EQ112*100)</f>
        <v>0</v>
      </c>
      <c r="ET112" s="820"/>
      <c r="EU112" s="820"/>
      <c r="EV112" s="714">
        <f>IF(ET112=0,0,(EU112-ET112)/ET112*100)</f>
        <v>0</v>
      </c>
      <c r="EW112" s="820"/>
      <c r="EX112" s="820"/>
      <c r="EY112" s="714">
        <f>IF(EW112=0,0,(EX112-EW112)/EW112*100)</f>
        <v>0</v>
      </c>
      <c r="EZ112" s="820"/>
      <c r="FA112" s="820"/>
      <c r="FB112" s="714">
        <f>IF(EZ112=0,0,(FA112-EZ112)/EZ112*100)</f>
        <v>0</v>
      </c>
      <c r="FC112" s="820"/>
      <c r="FD112" s="820"/>
      <c r="FE112" s="714">
        <f>IF(FC112=0,0,(FD112-FC112)/FC112*100)</f>
        <v>0</v>
      </c>
      <c r="FF112" s="820"/>
      <c r="FG112" s="820"/>
      <c r="FH112" s="714">
        <f>IF(FF112=0,0,(FG112-FF112)/FF112*100)</f>
        <v>0</v>
      </c>
      <c r="FI112" s="820"/>
      <c r="FJ112" s="820"/>
      <c r="FK112" s="714">
        <f>IF(FI112=0,0,(FJ112-FI112)/FI112*100)</f>
        <v>0</v>
      </c>
      <c r="FL112" s="820"/>
      <c r="FM112" s="820"/>
      <c r="FN112" s="714">
        <f>IF(FL112=0,0,(FM112-FL112)/FL112*100)</f>
        <v>0</v>
      </c>
      <c r="FO112" s="820"/>
      <c r="FP112" s="820"/>
      <c r="FQ112" s="714">
        <f>IF(FO112=0,0,(FP112-FO112)/FO112*100)</f>
        <v>0</v>
      </c>
      <c r="FR112" s="820"/>
      <c r="FS112" s="820"/>
      <c r="FT112" s="714">
        <f>IF(FR112=0,0,(FS112-FR112)/FR112*100)</f>
        <v>0</v>
      </c>
      <c r="FU112" s="820"/>
      <c r="FV112" s="820"/>
      <c r="FW112" s="714">
        <f>IF(FU112=0,0,(FV112-FU112)/FU112*100)</f>
        <v>0</v>
      </c>
      <c r="FZ112" s="691" t="s">
        <v>1695</v>
      </c>
    </row>
    <row r="113" spans="1:186" ht="14.25" hidden="1" customHeight="1" x14ac:dyDescent="0.15">
      <c r="A113" s="59"/>
      <c r="B113" s="613" t="b" cm="1">
        <f t="array" ref="B113">B112</f>
        <v>0</v>
      </c>
      <c r="C113" s="59"/>
      <c r="D113" s="59"/>
      <c r="E113" s="462">
        <v>15</v>
      </c>
      <c r="F113" s="3" t="str" cm="1">
        <f t="array" aca="1" ref="F113" ca="1">OFFSET(E113,-1,1)</f>
        <v>1</v>
      </c>
      <c r="G113" s="59"/>
      <c r="H113" s="59" t="s">
        <v>1686</v>
      </c>
      <c r="I113" s="59" t="s">
        <v>1647</v>
      </c>
      <c r="J113" s="59"/>
      <c r="K113" s="59"/>
      <c r="L113" s="59"/>
      <c r="M113" s="59"/>
      <c r="N113" s="59"/>
      <c r="O113" s="59"/>
      <c r="P113" s="59"/>
      <c r="Q113" s="59"/>
      <c r="R113" s="59"/>
      <c r="S113" s="59"/>
      <c r="T113" s="353" t="b" cm="1">
        <f t="array" aca="1" ref="T113" ca="1">T112</f>
        <v>1</v>
      </c>
      <c r="U113" s="59"/>
      <c r="V113" s="59"/>
      <c r="W113" s="59"/>
      <c r="X113" s="1022"/>
      <c r="Y113" s="59"/>
      <c r="Z113" s="966"/>
      <c r="AA113" s="59"/>
      <c r="AB113" s="105" t="s">
        <v>1687</v>
      </c>
      <c r="AC113" s="12" t="s">
        <v>1688</v>
      </c>
      <c r="AD113" s="820"/>
      <c r="AE113" s="820"/>
      <c r="AF113" s="714">
        <f>IF(AD113=0,0,(AE113-AD113)/AD113*100)</f>
        <v>0</v>
      </c>
      <c r="AG113" s="820"/>
      <c r="AH113" s="820"/>
      <c r="AI113" s="714">
        <f>IF(AG113=0,0,(AH113-AG113)/AG113*100)</f>
        <v>0</v>
      </c>
      <c r="AJ113" s="820"/>
      <c r="AK113" s="820"/>
      <c r="AL113" s="714">
        <f>IF(AJ113=0,0,(AK113-AJ113)/AJ113*100)</f>
        <v>0</v>
      </c>
      <c r="AM113" s="820"/>
      <c r="AN113" s="820"/>
      <c r="AO113" s="714">
        <f>IF(AM113=0,0,(AN113-AM113)/AM113*100)</f>
        <v>0</v>
      </c>
      <c r="AP113" s="820"/>
      <c r="AQ113" s="820"/>
      <c r="AR113" s="714">
        <f>IF(AP113=0,0,(AQ113-AP113)/AP113*100)</f>
        <v>0</v>
      </c>
      <c r="AS113" s="820"/>
      <c r="AT113" s="820"/>
      <c r="AU113" s="714">
        <f>IF(AS113=0,0,(AT113-AS113)/AS113*100)</f>
        <v>0</v>
      </c>
      <c r="AV113" s="820"/>
      <c r="AW113" s="820"/>
      <c r="AX113" s="714">
        <f>IF(AV113=0,0,(AW113-AV113)/AV113*100)</f>
        <v>0</v>
      </c>
      <c r="AY113" s="820"/>
      <c r="AZ113" s="820"/>
      <c r="BA113" s="714">
        <f>IF(AY113=0,0,(AZ113-AY113)/AY113*100)</f>
        <v>0</v>
      </c>
      <c r="BB113" s="820"/>
      <c r="BC113" s="820"/>
      <c r="BD113" s="714">
        <f>IF(BB113=0,0,(BC113-BB113)/BB113*100)</f>
        <v>0</v>
      </c>
      <c r="BE113" s="820"/>
      <c r="BF113" s="820"/>
      <c r="BG113" s="714">
        <f>IF(BE113=0,0,(BF113-BE113)/BE113*100)</f>
        <v>0</v>
      </c>
      <c r="BH113" s="820"/>
      <c r="BI113" s="820"/>
      <c r="BJ113" s="714">
        <f>IF(BH113=0,0,(BI113-BH113)/BH113*100)</f>
        <v>0</v>
      </c>
      <c r="BK113" s="820"/>
      <c r="BL113" s="820"/>
      <c r="BM113" s="714">
        <f>IF(BK113=0,0,(BL113-BK113)/BK113*100)</f>
        <v>0</v>
      </c>
      <c r="BN113" s="820"/>
      <c r="BO113" s="820"/>
      <c r="BP113" s="714">
        <f>IF(BN113=0,0,(BO113-BN113)/BN113*100)</f>
        <v>0</v>
      </c>
      <c r="BQ113" s="820"/>
      <c r="BR113" s="820"/>
      <c r="BS113" s="714">
        <f>IF(BQ113=0,0,(BR113-BQ113)/BQ113*100)</f>
        <v>0</v>
      </c>
      <c r="BT113" s="820"/>
      <c r="BU113" s="820"/>
      <c r="BV113" s="714">
        <f>IF(BT113=0,0,(BU113-BT113)/BT113*100)</f>
        <v>0</v>
      </c>
      <c r="BW113" s="820"/>
      <c r="BX113" s="820"/>
      <c r="BY113" s="714">
        <f>IF(BW113=0,0,(BX113-BW113)/BW113*100)</f>
        <v>0</v>
      </c>
      <c r="BZ113" s="820"/>
      <c r="CA113" s="820"/>
      <c r="CB113" s="714">
        <f>IF(BZ113=0,0,(CA113-BZ113)/BZ113*100)</f>
        <v>0</v>
      </c>
      <c r="CC113" s="820"/>
      <c r="CD113" s="820"/>
      <c r="CE113" s="714">
        <f>IF(CC113=0,0,(CD113-CC113)/CC113*100)</f>
        <v>0</v>
      </c>
      <c r="CF113" s="820"/>
      <c r="CG113" s="820"/>
      <c r="CH113" s="714">
        <f>IF(CF113=0,0,(CG113-CF113)/CF113*100)</f>
        <v>0</v>
      </c>
      <c r="CI113" s="820"/>
      <c r="CJ113" s="820"/>
      <c r="CK113" s="714">
        <f>IF(CI113=0,0,(CJ113-CI113)/CI113*100)</f>
        <v>0</v>
      </c>
      <c r="CL113" s="820"/>
      <c r="CM113" s="820"/>
      <c r="CN113" s="714">
        <f>IF(CL113=0,0,(CM113-CL113)/CL113*100)</f>
        <v>0</v>
      </c>
      <c r="CO113" s="820"/>
      <c r="CP113" s="820"/>
      <c r="CQ113" s="714">
        <f>IF(CO113=0,0,(CP113-CO113)/CO113*100)</f>
        <v>0</v>
      </c>
      <c r="CR113" s="820"/>
      <c r="CS113" s="820"/>
      <c r="CT113" s="714">
        <f>IF(CR113=0,0,(CS113-CR113)/CR113*100)</f>
        <v>0</v>
      </c>
      <c r="CU113" s="820"/>
      <c r="CV113" s="820"/>
      <c r="CW113" s="714">
        <f>IF(CU113=0,0,(CV113-CU113)/CU113*100)</f>
        <v>0</v>
      </c>
      <c r="CX113" s="820"/>
      <c r="CY113" s="820"/>
      <c r="CZ113" s="714">
        <f>IF(CX113=0,0,(CY113-CX113)/CX113*100)</f>
        <v>0</v>
      </c>
      <c r="DA113" s="820"/>
      <c r="DB113" s="820"/>
      <c r="DC113" s="714">
        <f>IF(DA113=0,0,(DB113-DA113)/DA113*100)</f>
        <v>0</v>
      </c>
      <c r="DD113" s="820"/>
      <c r="DE113" s="820"/>
      <c r="DF113" s="714">
        <f>IF(DD113=0,0,(DE113-DD113)/DD113*100)</f>
        <v>0</v>
      </c>
      <c r="DG113" s="820"/>
      <c r="DH113" s="820"/>
      <c r="DI113" s="714">
        <f>IF(DG113=0,0,(DH113-DG113)/DG113*100)</f>
        <v>0</v>
      </c>
      <c r="DJ113" s="820"/>
      <c r="DK113" s="820"/>
      <c r="DL113" s="714">
        <f>IF(DJ113=0,0,(DK113-DJ113)/DJ113*100)</f>
        <v>0</v>
      </c>
      <c r="DM113" s="820"/>
      <c r="DN113" s="820"/>
      <c r="DO113" s="714">
        <f>IF(DM113=0,0,(DN113-DM113)/DM113*100)</f>
        <v>0</v>
      </c>
      <c r="DP113" s="820"/>
      <c r="DQ113" s="820"/>
      <c r="DR113" s="714">
        <f>IF(DP113=0,0,(DQ113-DP113)/DP113*100)</f>
        <v>0</v>
      </c>
      <c r="DS113" s="820"/>
      <c r="DT113" s="820"/>
      <c r="DU113" s="714">
        <f>IF(DS113=0,0,(DT113-DS113)/DS113*100)</f>
        <v>0</v>
      </c>
      <c r="DV113" s="820"/>
      <c r="DW113" s="820"/>
      <c r="DX113" s="714">
        <f>IF(DV113=0,0,(DW113-DV113)/DV113*100)</f>
        <v>0</v>
      </c>
      <c r="DY113" s="820"/>
      <c r="DZ113" s="820"/>
      <c r="EA113" s="714">
        <f>IF(DY113=0,0,(DZ113-DY113)/DY113*100)</f>
        <v>0</v>
      </c>
      <c r="EB113" s="820"/>
      <c r="EC113" s="820"/>
      <c r="ED113" s="714">
        <f>IF(EB113=0,0,(EC113-EB113)/EB113*100)</f>
        <v>0</v>
      </c>
      <c r="EE113" s="820"/>
      <c r="EF113" s="820"/>
      <c r="EG113" s="714">
        <f>IF(EE113=0,0,(EF113-EE113)/EE113*100)</f>
        <v>0</v>
      </c>
      <c r="EH113" s="820"/>
      <c r="EI113" s="820"/>
      <c r="EJ113" s="714">
        <f>IF(EH113=0,0,(EI113-EH113)/EH113*100)</f>
        <v>0</v>
      </c>
      <c r="EK113" s="820"/>
      <c r="EL113" s="820"/>
      <c r="EM113" s="714">
        <f>IF(EK113=0,0,(EL113-EK113)/EK113*100)</f>
        <v>0</v>
      </c>
      <c r="EN113" s="820"/>
      <c r="EO113" s="820"/>
      <c r="EP113" s="714">
        <f>IF(EN113=0,0,(EO113-EN113)/EN113*100)</f>
        <v>0</v>
      </c>
      <c r="EQ113" s="820"/>
      <c r="ER113" s="820"/>
      <c r="ES113" s="714">
        <f>IF(EQ113=0,0,(ER113-EQ113)/EQ113*100)</f>
        <v>0</v>
      </c>
      <c r="ET113" s="820"/>
      <c r="EU113" s="820"/>
      <c r="EV113" s="714">
        <f>IF(ET113=0,0,(EU113-ET113)/ET113*100)</f>
        <v>0</v>
      </c>
      <c r="EW113" s="820"/>
      <c r="EX113" s="820"/>
      <c r="EY113" s="714">
        <f>IF(EW113=0,0,(EX113-EW113)/EW113*100)</f>
        <v>0</v>
      </c>
      <c r="EZ113" s="820"/>
      <c r="FA113" s="820"/>
      <c r="FB113" s="714">
        <f>IF(EZ113=0,0,(FA113-EZ113)/EZ113*100)</f>
        <v>0</v>
      </c>
      <c r="FC113" s="820"/>
      <c r="FD113" s="820"/>
      <c r="FE113" s="714">
        <f>IF(FC113=0,0,(FD113-FC113)/FC113*100)</f>
        <v>0</v>
      </c>
      <c r="FF113" s="820"/>
      <c r="FG113" s="820"/>
      <c r="FH113" s="714">
        <f>IF(FF113=0,0,(FG113-FF113)/FF113*100)</f>
        <v>0</v>
      </c>
      <c r="FI113" s="820"/>
      <c r="FJ113" s="820"/>
      <c r="FK113" s="714">
        <f>IF(FI113=0,0,(FJ113-FI113)/FI113*100)</f>
        <v>0</v>
      </c>
      <c r="FL113" s="820"/>
      <c r="FM113" s="820"/>
      <c r="FN113" s="714">
        <f>IF(FL113=0,0,(FM113-FL113)/FL113*100)</f>
        <v>0</v>
      </c>
      <c r="FO113" s="820"/>
      <c r="FP113" s="820"/>
      <c r="FQ113" s="714">
        <f>IF(FO113=0,0,(FP113-FO113)/FO113*100)</f>
        <v>0</v>
      </c>
      <c r="FR113" s="820"/>
      <c r="FS113" s="820"/>
      <c r="FT113" s="714">
        <f>IF(FR113=0,0,(FS113-FR113)/FR113*100)</f>
        <v>0</v>
      </c>
      <c r="FU113" s="820"/>
      <c r="FV113" s="820"/>
      <c r="FW113" s="714">
        <f>IF(FU113=0,0,(FV113-FU113)/FU113*100)</f>
        <v>0</v>
      </c>
      <c r="FZ113" s="691" t="s">
        <v>1696</v>
      </c>
    </row>
    <row r="114" spans="1:186" ht="23.25" hidden="1" customHeight="1" x14ac:dyDescent="0.15">
      <c r="A114" s="59"/>
      <c r="B114" s="613" t="b" cm="1">
        <f t="array" ref="B114">B113</f>
        <v>0</v>
      </c>
      <c r="C114" s="59"/>
      <c r="D114" s="59"/>
      <c r="E114" s="462">
        <v>24.5</v>
      </c>
      <c r="F114" s="3" t="str" cm="1">
        <f t="array" aca="1" ref="F114" ca="1">OFFSET(E114,-1,1)</f>
        <v>1</v>
      </c>
      <c r="G114" s="59"/>
      <c r="H114" s="59"/>
      <c r="I114" s="59"/>
      <c r="J114" s="59"/>
      <c r="K114" s="59"/>
      <c r="L114" s="59"/>
      <c r="M114" s="59"/>
      <c r="N114" s="59"/>
      <c r="O114" s="59"/>
      <c r="P114" s="59"/>
      <c r="Q114" s="59"/>
      <c r="R114" s="59"/>
      <c r="S114" s="59"/>
      <c r="T114" s="353" t="b" cm="1">
        <f t="array" aca="1" ref="T114" ca="1">T113</f>
        <v>1</v>
      </c>
      <c r="U114" s="59"/>
      <c r="V114" s="59"/>
      <c r="W114" s="59"/>
      <c r="X114" s="1022"/>
      <c r="Y114" s="59"/>
      <c r="Z114" s="966"/>
      <c r="AA114" s="59"/>
      <c r="AB114" s="205" t="s">
        <v>1697</v>
      </c>
      <c r="AC114" s="597"/>
      <c r="AD114" s="718"/>
      <c r="AE114" s="718"/>
      <c r="AF114" s="718"/>
      <c r="AG114" s="718"/>
      <c r="AH114" s="718"/>
      <c r="AI114" s="718"/>
      <c r="AJ114" s="718"/>
      <c r="AK114" s="718"/>
      <c r="AL114" s="718"/>
      <c r="AM114" s="718"/>
      <c r="AN114" s="718"/>
      <c r="AO114" s="718"/>
      <c r="AP114" s="718"/>
      <c r="AQ114" s="718"/>
      <c r="AR114" s="718"/>
      <c r="AS114" s="718"/>
      <c r="AT114" s="718"/>
      <c r="AU114" s="718"/>
      <c r="AV114" s="718"/>
      <c r="AW114" s="718"/>
      <c r="AX114" s="718"/>
      <c r="AY114" s="718"/>
      <c r="AZ114" s="718"/>
      <c r="BA114" s="718"/>
      <c r="BB114" s="718"/>
      <c r="BC114" s="718"/>
      <c r="BD114" s="718"/>
      <c r="BE114" s="718"/>
      <c r="BF114" s="718"/>
      <c r="BG114" s="718"/>
      <c r="BH114" s="718"/>
      <c r="BI114" s="718"/>
      <c r="BJ114" s="718"/>
      <c r="BK114" s="718"/>
      <c r="BL114" s="718"/>
      <c r="BM114" s="718"/>
      <c r="BN114" s="718"/>
      <c r="BO114" s="718"/>
      <c r="BP114" s="718"/>
      <c r="BQ114" s="718"/>
      <c r="BR114" s="718"/>
      <c r="BS114" s="718"/>
      <c r="BT114" s="718"/>
      <c r="BU114" s="718"/>
      <c r="BV114" s="718"/>
      <c r="BW114" s="718"/>
      <c r="BX114" s="718"/>
      <c r="BY114" s="718"/>
      <c r="BZ114" s="718"/>
      <c r="CA114" s="718"/>
      <c r="CB114" s="718"/>
      <c r="CC114" s="718"/>
      <c r="CD114" s="718"/>
      <c r="CE114" s="718"/>
      <c r="CF114" s="718"/>
      <c r="CG114" s="718"/>
      <c r="CH114" s="718"/>
      <c r="CI114" s="718"/>
      <c r="CJ114" s="718"/>
      <c r="CK114" s="718"/>
      <c r="CL114" s="718"/>
      <c r="CM114" s="718"/>
      <c r="CN114" s="718"/>
      <c r="CO114" s="718"/>
      <c r="CP114" s="718"/>
      <c r="CQ114" s="718"/>
      <c r="CR114" s="718"/>
      <c r="CS114" s="718"/>
      <c r="CT114" s="718"/>
      <c r="CU114" s="718"/>
      <c r="CV114" s="718"/>
      <c r="CW114" s="718"/>
      <c r="CX114" s="718"/>
      <c r="CY114" s="718"/>
      <c r="CZ114" s="718"/>
      <c r="DA114" s="718"/>
      <c r="DB114" s="718"/>
      <c r="DC114" s="718"/>
      <c r="DD114" s="718"/>
      <c r="DE114" s="718"/>
      <c r="DF114" s="718"/>
      <c r="DG114" s="718"/>
      <c r="DH114" s="718"/>
      <c r="DI114" s="718"/>
      <c r="DJ114" s="718"/>
      <c r="DK114" s="718"/>
      <c r="DL114" s="718"/>
      <c r="DM114" s="718"/>
      <c r="DN114" s="718"/>
      <c r="DO114" s="718"/>
      <c r="DP114" s="718"/>
      <c r="DQ114" s="718"/>
      <c r="DR114" s="718"/>
      <c r="DS114" s="718"/>
      <c r="DT114" s="718"/>
      <c r="DU114" s="718"/>
      <c r="DV114" s="718"/>
      <c r="DW114" s="718"/>
      <c r="DX114" s="718"/>
      <c r="DY114" s="718"/>
      <c r="DZ114" s="718"/>
      <c r="EA114" s="718"/>
      <c r="EB114" s="718"/>
      <c r="EC114" s="718"/>
      <c r="ED114" s="718"/>
      <c r="EE114" s="718"/>
      <c r="EF114" s="718"/>
      <c r="EG114" s="718"/>
      <c r="EH114" s="718"/>
      <c r="EI114" s="718"/>
      <c r="EJ114" s="718"/>
      <c r="EK114" s="718"/>
      <c r="EL114" s="718"/>
      <c r="EM114" s="718"/>
      <c r="EN114" s="718"/>
      <c r="EO114" s="718"/>
      <c r="EP114" s="718"/>
      <c r="EQ114" s="718"/>
      <c r="ER114" s="718"/>
      <c r="ES114" s="718"/>
      <c r="ET114" s="718"/>
      <c r="EU114" s="718"/>
      <c r="EV114" s="718"/>
      <c r="EW114" s="718"/>
      <c r="EX114" s="718"/>
      <c r="EY114" s="718"/>
      <c r="EZ114" s="718"/>
      <c r="FA114" s="718"/>
      <c r="FB114" s="718"/>
      <c r="FC114" s="718"/>
      <c r="FD114" s="718"/>
      <c r="FE114" s="718"/>
      <c r="FF114" s="718"/>
      <c r="FG114" s="718"/>
      <c r="FH114" s="718"/>
      <c r="FI114" s="718"/>
      <c r="FJ114" s="718"/>
      <c r="FK114" s="718"/>
      <c r="FL114" s="718"/>
      <c r="FM114" s="718"/>
      <c r="FN114" s="718"/>
      <c r="FO114" s="718"/>
      <c r="FP114" s="718"/>
      <c r="FQ114" s="718"/>
      <c r="FR114" s="718"/>
      <c r="FS114" s="718"/>
      <c r="FT114" s="718"/>
      <c r="FU114" s="718"/>
      <c r="FV114" s="718"/>
      <c r="FW114" s="719"/>
      <c r="FZ114" s="691"/>
    </row>
    <row r="115" spans="1:186" ht="14.25" hidden="1" customHeight="1" x14ac:dyDescent="0.15">
      <c r="A115" s="59"/>
      <c r="B115" s="613" t="b" cm="1">
        <f t="array" ref="B115">B114</f>
        <v>0</v>
      </c>
      <c r="C115" s="59"/>
      <c r="D115" s="59"/>
      <c r="E115" s="462">
        <v>15</v>
      </c>
      <c r="F115" s="3" t="str" cm="1">
        <f t="array" aca="1" ref="F115" ca="1">OFFSET(E115,-1,1)</f>
        <v>1</v>
      </c>
      <c r="G115" s="59"/>
      <c r="H115" s="59" t="s">
        <v>1570</v>
      </c>
      <c r="I115" s="59" t="s">
        <v>1657</v>
      </c>
      <c r="J115" s="59"/>
      <c r="K115" s="59"/>
      <c r="L115" s="59"/>
      <c r="M115" s="59"/>
      <c r="N115" s="59"/>
      <c r="O115" s="59"/>
      <c r="P115" s="59"/>
      <c r="Q115" s="59"/>
      <c r="R115" s="59"/>
      <c r="S115" s="59"/>
      <c r="T115" s="353" t="b" cm="1">
        <f t="array" aca="1" ref="T115" ca="1">T114</f>
        <v>1</v>
      </c>
      <c r="U115" s="59"/>
      <c r="V115" s="59"/>
      <c r="W115" s="59"/>
      <c r="X115" s="1022"/>
      <c r="Y115" s="59"/>
      <c r="Z115" s="966"/>
      <c r="AA115" s="59"/>
      <c r="AB115" s="105" t="s">
        <v>1677</v>
      </c>
      <c r="AC115" s="12" t="s">
        <v>1644</v>
      </c>
      <c r="AD115" s="820">
        <f ca="1">IF(AD117=0,0,(AD116*AD117+AD118*AD119*IF(god=2026,9,6))/AD117)</f>
        <v>0</v>
      </c>
      <c r="AE115" s="820">
        <f ca="1">IF(AE117=0,0,(AE116*AE117+AE118*AE119*IF(god=2026,9,6))/AE117)</f>
        <v>0</v>
      </c>
      <c r="AF115" s="714">
        <f ca="1">IF(AD115=0,0,(AE115-AD115)/AD115*100)</f>
        <v>0</v>
      </c>
      <c r="AG115" s="820">
        <f ca="1">IF(AG117=0,0,(AG116*AG117+AG118*AG119*IF(god=2025,9,6))/AG117)</f>
        <v>0</v>
      </c>
      <c r="AH115" s="820">
        <f ca="1">IF(AH117=0,0,(AH116*AH117+AH118*AH119*IF(god=2025,9,6))/AH117)</f>
        <v>0</v>
      </c>
      <c r="AI115" s="714">
        <f ca="1">IF(AG115=0,0,(AH115-AG115)/AG115*100)</f>
        <v>0</v>
      </c>
      <c r="AJ115" s="820">
        <f ca="1">IF(AJ117=0,0,(AJ116*AJ117+AJ118*AJ119*6)/AJ117)</f>
        <v>0</v>
      </c>
      <c r="AK115" s="820">
        <f ca="1">IF(AK117=0,0,(AK116*AK117+AK118*AK119*6)/AK117)</f>
        <v>0</v>
      </c>
      <c r="AL115" s="714">
        <f ca="1">IF(AJ115=0,0,(AK115-AJ115)/AJ115*100)</f>
        <v>0</v>
      </c>
      <c r="AM115" s="820">
        <f ca="1">IF(AM117=0,0,(AM116*AM117+AM118*AM119*6)/AM117)</f>
        <v>0</v>
      </c>
      <c r="AN115" s="820">
        <f ca="1">IF(AN117=0,0,(AN116*AN117+AN118*AN119*6)/AN117)</f>
        <v>0</v>
      </c>
      <c r="AO115" s="714">
        <f ca="1">IF(AM115=0,0,(AN115-AM115)/AM115*100)</f>
        <v>0</v>
      </c>
      <c r="AP115" s="820">
        <f ca="1">IF(AP117=0,0,(AP116*AP117+AP118*AP119*6)/AP117)</f>
        <v>0</v>
      </c>
      <c r="AQ115" s="820">
        <f ca="1">IF(AQ117=0,0,(AQ116*AQ117+AQ118*AQ119*6)/AQ117)</f>
        <v>0</v>
      </c>
      <c r="AR115" s="714">
        <f ca="1">IF(AP115=0,0,(AQ115-AP115)/AP115*100)</f>
        <v>0</v>
      </c>
      <c r="AS115" s="820">
        <f ca="1">IF(AS117=0,0,(AS116*AS117+AS118*AS119*6)/AS117)</f>
        <v>0</v>
      </c>
      <c r="AT115" s="820">
        <f ca="1">IF(AT117=0,0,(AT116*AT117+AT118*AT119*6)/AT117)</f>
        <v>0</v>
      </c>
      <c r="AU115" s="714">
        <f ca="1">IF(AS115=0,0,(AT115-AS115)/AS115*100)</f>
        <v>0</v>
      </c>
      <c r="AV115" s="820">
        <f ca="1">IF(AV117=0,0,(AV116*AV117+AV118*AV119*6)/AV117)</f>
        <v>0</v>
      </c>
      <c r="AW115" s="820">
        <f ca="1">IF(AW117=0,0,(AW116*AW117+AW118*AW119*6)/AW117)</f>
        <v>0</v>
      </c>
      <c r="AX115" s="714">
        <f ca="1">IF(AV115=0,0,(AW115-AV115)/AV115*100)</f>
        <v>0</v>
      </c>
      <c r="AY115" s="820">
        <f ca="1">IF(AY117=0,0,(AY116*AY117+AY118*AY119*6)/AY117)</f>
        <v>0</v>
      </c>
      <c r="AZ115" s="820">
        <f ca="1">IF(AZ117=0,0,(AZ116*AZ117+AZ118*AZ119*6)/AZ117)</f>
        <v>0</v>
      </c>
      <c r="BA115" s="714">
        <f ca="1">IF(AY115=0,0,(AZ115-AY115)/AY115*100)</f>
        <v>0</v>
      </c>
      <c r="BB115" s="820">
        <f ca="1">IF(BB117=0,0,(BB116*BB117+BB118*BB119*6)/BB117)</f>
        <v>0</v>
      </c>
      <c r="BC115" s="820">
        <f ca="1">IF(BC117=0,0,(BC116*BC117+BC118*BC119*6)/BC117)</f>
        <v>0</v>
      </c>
      <c r="BD115" s="714">
        <f ca="1">IF(BB115=0,0,(BC115-BB115)/BB115*100)</f>
        <v>0</v>
      </c>
      <c r="BE115" s="820">
        <f ca="1">IF(BE117=0,0,(BE116*BE117+BE118*BE119*6)/BE117)</f>
        <v>0</v>
      </c>
      <c r="BF115" s="820">
        <f ca="1">IF(BF117=0,0,(BF116*BF117+BF118*BF119*6)/BF117)</f>
        <v>0</v>
      </c>
      <c r="BG115" s="714">
        <f ca="1">IF(BE115=0,0,(BF115-BE115)/BE115*100)</f>
        <v>0</v>
      </c>
      <c r="BH115" s="820">
        <f>IF(BH117=0,0,(BH116*BH117+BH118*BH119*6)/BH117)</f>
        <v>0</v>
      </c>
      <c r="BI115" s="820">
        <f>IF(BI117=0,0,(BI116*BI117+BI118*BI119*6)/BI117)</f>
        <v>0</v>
      </c>
      <c r="BJ115" s="714">
        <f>IF(BH115=0,0,(BI115-BH115)/BH115*100)</f>
        <v>0</v>
      </c>
      <c r="BK115" s="820">
        <f>IF(BK117=0,0,(BK116*BK117+BK118*BK119*6)/BK117)</f>
        <v>0</v>
      </c>
      <c r="BL115" s="820">
        <f>IF(BL117=0,0,(BL116*BL117+BL118*BL119*6)/BL117)</f>
        <v>0</v>
      </c>
      <c r="BM115" s="714">
        <f>IF(BK115=0,0,(BL115-BK115)/BK115*100)</f>
        <v>0</v>
      </c>
      <c r="BN115" s="820">
        <f>IF(BN117=0,0,(BN116*BN117+BN118*BN119*6)/BN117)</f>
        <v>0</v>
      </c>
      <c r="BO115" s="820">
        <f>IF(BO117=0,0,(BO116*BO117+BO118*BO119*6)/BO117)</f>
        <v>0</v>
      </c>
      <c r="BP115" s="714">
        <f>IF(BN115=0,0,(BO115-BN115)/BN115*100)</f>
        <v>0</v>
      </c>
      <c r="BQ115" s="820">
        <f>IF(BQ117=0,0,(BQ116*BQ117+BQ118*BQ119*6)/BQ117)</f>
        <v>0</v>
      </c>
      <c r="BR115" s="820">
        <f>IF(BR117=0,0,(BR116*BR117+BR118*BR119*6)/BR117)</f>
        <v>0</v>
      </c>
      <c r="BS115" s="714">
        <f>IF(BQ115=0,0,(BR115-BQ115)/BQ115*100)</f>
        <v>0</v>
      </c>
      <c r="BT115" s="820">
        <f>IF(BT117=0,0,(BT116*BT117+BT118*BT119*6)/BT117)</f>
        <v>0</v>
      </c>
      <c r="BU115" s="820">
        <f>IF(BU117=0,0,(BU116*BU117+BU118*BU119*6)/BU117)</f>
        <v>0</v>
      </c>
      <c r="BV115" s="714">
        <f>IF(BT115=0,0,(BU115-BT115)/BT115*100)</f>
        <v>0</v>
      </c>
      <c r="BW115" s="820">
        <f>IF(BW117=0,0,(BW116*BW117+BW118*BW119*6)/BW117)</f>
        <v>0</v>
      </c>
      <c r="BX115" s="820">
        <f>IF(BX117=0,0,(BX116*BX117+BX118*BX119*6)/BX117)</f>
        <v>0</v>
      </c>
      <c r="BY115" s="714">
        <f>IF(BW115=0,0,(BX115-BW115)/BW115*100)</f>
        <v>0</v>
      </c>
      <c r="BZ115" s="820">
        <f>IF(BZ117=0,0,(BZ116*BZ117+BZ118*BZ119*6)/BZ117)</f>
        <v>0</v>
      </c>
      <c r="CA115" s="820">
        <f>IF(CA117=0,0,(CA116*CA117+CA118*CA119*6)/CA117)</f>
        <v>0</v>
      </c>
      <c r="CB115" s="714">
        <f>IF(BZ115=0,0,(CA115-BZ115)/BZ115*100)</f>
        <v>0</v>
      </c>
      <c r="CC115" s="820">
        <f>IF(CC117=0,0,(CC116*CC117+CC118*CC119*6)/CC117)</f>
        <v>0</v>
      </c>
      <c r="CD115" s="820">
        <f>IF(CD117=0,0,(CD116*CD117+CD118*CD119*6)/CD117)</f>
        <v>0</v>
      </c>
      <c r="CE115" s="714">
        <f>IF(CC115=0,0,(CD115-CC115)/CC115*100)</f>
        <v>0</v>
      </c>
      <c r="CF115" s="820">
        <f>IF(CF117=0,0,(CF116*CF117+CF118*CF119*6)/CF117)</f>
        <v>0</v>
      </c>
      <c r="CG115" s="820">
        <f>IF(CG117=0,0,(CG116*CG117+CG118*CG119*6)/CG117)</f>
        <v>0</v>
      </c>
      <c r="CH115" s="714">
        <f>IF(CF115=0,0,(CG115-CF115)/CF115*100)</f>
        <v>0</v>
      </c>
      <c r="CI115" s="820">
        <f>IF(CI117=0,0,(CI116*CI117+CI118*CI119*6)/CI117)</f>
        <v>0</v>
      </c>
      <c r="CJ115" s="820">
        <f>IF(CJ117=0,0,(CJ116*CJ117+CJ118*CJ119*6)/CJ117)</f>
        <v>0</v>
      </c>
      <c r="CK115" s="714">
        <f>IF(CI115=0,0,(CJ115-CI115)/CI115*100)</f>
        <v>0</v>
      </c>
      <c r="CL115" s="820">
        <f>IF(CL117=0,0,(CL116*CL117+CL118*CL119*6)/CL117)</f>
        <v>0</v>
      </c>
      <c r="CM115" s="820">
        <f>IF(CM117=0,0,(CM116*CM117+CM118*CM119*6)/CM117)</f>
        <v>0</v>
      </c>
      <c r="CN115" s="714">
        <f>IF(CL115=0,0,(CM115-CL115)/CL115*100)</f>
        <v>0</v>
      </c>
      <c r="CO115" s="820">
        <f>IF(CO117=0,0,(CO116*CO117+CO118*CO119*6)/CO117)</f>
        <v>0</v>
      </c>
      <c r="CP115" s="820">
        <f>IF(CP117=0,0,(CP116*CP117+CP118*CP119*6)/CP117)</f>
        <v>0</v>
      </c>
      <c r="CQ115" s="714">
        <f>IF(CO115=0,0,(CP115-CO115)/CO115*100)</f>
        <v>0</v>
      </c>
      <c r="CR115" s="820">
        <f>IF(CR117=0,0,(CR116*CR117+CR118*CR119*6)/CR117)</f>
        <v>0</v>
      </c>
      <c r="CS115" s="820">
        <f>IF(CS117=0,0,(CS116*CS117+CS118*CS119*6)/CS117)</f>
        <v>0</v>
      </c>
      <c r="CT115" s="714">
        <f>IF(CR115=0,0,(CS115-CR115)/CR115*100)</f>
        <v>0</v>
      </c>
      <c r="CU115" s="820">
        <f>IF(CU117=0,0,(CU116*CU117+CU118*CU119*6)/CU117)</f>
        <v>0</v>
      </c>
      <c r="CV115" s="820">
        <f>IF(CV117=0,0,(CV116*CV117+CV118*CV119*6)/CV117)</f>
        <v>0</v>
      </c>
      <c r="CW115" s="714">
        <f>IF(CU115=0,0,(CV115-CU115)/CU115*100)</f>
        <v>0</v>
      </c>
      <c r="CX115" s="820">
        <f>IF(CX117=0,0,(CX116*CX117+CX118*CX119*6)/CX117)</f>
        <v>0</v>
      </c>
      <c r="CY115" s="820">
        <f>IF(CY117=0,0,(CY116*CY117+CY118*CY119*6)/CY117)</f>
        <v>0</v>
      </c>
      <c r="CZ115" s="714">
        <f>IF(CX115=0,0,(CY115-CX115)/CX115*100)</f>
        <v>0</v>
      </c>
      <c r="DA115" s="820">
        <f>IF(DA117=0,0,(DA116*DA117+DA118*DA119*6)/DA117)</f>
        <v>0</v>
      </c>
      <c r="DB115" s="820">
        <f>IF(DB117=0,0,(DB116*DB117+DB118*DB119*6)/DB117)</f>
        <v>0</v>
      </c>
      <c r="DC115" s="714">
        <f>IF(DA115=0,0,(DB115-DA115)/DA115*100)</f>
        <v>0</v>
      </c>
      <c r="DD115" s="820">
        <f>IF(DD117=0,0,(DD116*DD117+DD118*DD119*6)/DD117)</f>
        <v>0</v>
      </c>
      <c r="DE115" s="820">
        <f>IF(DE117=0,0,(DE116*DE117+DE118*DE119*6)/DE117)</f>
        <v>0</v>
      </c>
      <c r="DF115" s="714">
        <f>IF(DD115=0,0,(DE115-DD115)/DD115*100)</f>
        <v>0</v>
      </c>
      <c r="DG115" s="820">
        <f>IF(DG117=0,0,(DG116*DG117+DG118*DG119*6)/DG117)</f>
        <v>0</v>
      </c>
      <c r="DH115" s="820">
        <f>IF(DH117=0,0,(DH116*DH117+DH118*DH119*6)/DH117)</f>
        <v>0</v>
      </c>
      <c r="DI115" s="714">
        <f>IF(DG115=0,0,(DH115-DG115)/DG115*100)</f>
        <v>0</v>
      </c>
      <c r="DJ115" s="820">
        <f>IF(DJ117=0,0,(DJ116*DJ117+DJ118*DJ119*6)/DJ117)</f>
        <v>0</v>
      </c>
      <c r="DK115" s="820">
        <f>IF(DK117=0,0,(DK116*DK117+DK118*DK119*6)/DK117)</f>
        <v>0</v>
      </c>
      <c r="DL115" s="714">
        <f>IF(DJ115=0,0,(DK115-DJ115)/DJ115*100)</f>
        <v>0</v>
      </c>
      <c r="DM115" s="820">
        <f>IF(DM117=0,0,(DM116*DM117+DM118*DM119*6)/DM117)</f>
        <v>0</v>
      </c>
      <c r="DN115" s="820">
        <f>IF(DN117=0,0,(DN116*DN117+DN118*DN119*6)/DN117)</f>
        <v>0</v>
      </c>
      <c r="DO115" s="714">
        <f>IF(DM115=0,0,(DN115-DM115)/DM115*100)</f>
        <v>0</v>
      </c>
      <c r="DP115" s="820">
        <f>IF(DP117=0,0,(DP116*DP117+DP118*DP119*6)/DP117)</f>
        <v>0</v>
      </c>
      <c r="DQ115" s="820">
        <f>IF(DQ117=0,0,(DQ116*DQ117+DQ118*DQ119*6)/DQ117)</f>
        <v>0</v>
      </c>
      <c r="DR115" s="714">
        <f>IF(DP115=0,0,(DQ115-DP115)/DP115*100)</f>
        <v>0</v>
      </c>
      <c r="DS115" s="820">
        <f>IF(DS117=0,0,(DS116*DS117+DS118*DS119*6)/DS117)</f>
        <v>0</v>
      </c>
      <c r="DT115" s="820">
        <f>IF(DT117=0,0,(DT116*DT117+DT118*DT119*6)/DT117)</f>
        <v>0</v>
      </c>
      <c r="DU115" s="714">
        <f>IF(DS115=0,0,(DT115-DS115)/DS115*100)</f>
        <v>0</v>
      </c>
      <c r="DV115" s="820">
        <f>IF(DV117=0,0,(DV116*DV117+DV118*DV119*6)/DV117)</f>
        <v>0</v>
      </c>
      <c r="DW115" s="820">
        <f>IF(DW117=0,0,(DW116*DW117+DW118*DW119*6)/DW117)</f>
        <v>0</v>
      </c>
      <c r="DX115" s="714">
        <f>IF(DV115=0,0,(DW115-DV115)/DV115*100)</f>
        <v>0</v>
      </c>
      <c r="DY115" s="820">
        <f>IF(DY117=0,0,(DY116*DY117+DY118*DY119*6)/DY117)</f>
        <v>0</v>
      </c>
      <c r="DZ115" s="820">
        <f>IF(DZ117=0,0,(DZ116*DZ117+DZ118*DZ119*6)/DZ117)</f>
        <v>0</v>
      </c>
      <c r="EA115" s="714">
        <f>IF(DY115=0,0,(DZ115-DY115)/DY115*100)</f>
        <v>0</v>
      </c>
      <c r="EB115" s="820">
        <f>IF(EB117=0,0,(EB116*EB117+EB118*EB119*6)/EB117)</f>
        <v>0</v>
      </c>
      <c r="EC115" s="820">
        <f>IF(EC117=0,0,(EC116*EC117+EC118*EC119*6)/EC117)</f>
        <v>0</v>
      </c>
      <c r="ED115" s="714">
        <f>IF(EB115=0,0,(EC115-EB115)/EB115*100)</f>
        <v>0</v>
      </c>
      <c r="EE115" s="820">
        <f>IF(EE117=0,0,(EE116*EE117+EE118*EE119*6)/EE117)</f>
        <v>0</v>
      </c>
      <c r="EF115" s="820">
        <f>IF(EF117=0,0,(EF116*EF117+EF118*EF119*6)/EF117)</f>
        <v>0</v>
      </c>
      <c r="EG115" s="714">
        <f>IF(EE115=0,0,(EF115-EE115)/EE115*100)</f>
        <v>0</v>
      </c>
      <c r="EH115" s="820">
        <f>IF(EH117=0,0,(EH116*EH117+EH118*EH119*6)/EH117)</f>
        <v>0</v>
      </c>
      <c r="EI115" s="820">
        <f>IF(EI117=0,0,(EI116*EI117+EI118*EI119*6)/EI117)</f>
        <v>0</v>
      </c>
      <c r="EJ115" s="714">
        <f>IF(EH115=0,0,(EI115-EH115)/EH115*100)</f>
        <v>0</v>
      </c>
      <c r="EK115" s="820">
        <f>IF(EK117=0,0,(EK116*EK117+EK118*EK119*6)/EK117)</f>
        <v>0</v>
      </c>
      <c r="EL115" s="820">
        <f>IF(EL117=0,0,(EL116*EL117+EL118*EL119*6)/EL117)</f>
        <v>0</v>
      </c>
      <c r="EM115" s="714">
        <f>IF(EK115=0,0,(EL115-EK115)/EK115*100)</f>
        <v>0</v>
      </c>
      <c r="EN115" s="820">
        <f>IF(EN117=0,0,(EN116*EN117+EN118*EN119*6)/EN117)</f>
        <v>0</v>
      </c>
      <c r="EO115" s="820">
        <f>IF(EO117=0,0,(EO116*EO117+EO118*EO119*6)/EO117)</f>
        <v>0</v>
      </c>
      <c r="EP115" s="714">
        <f>IF(EN115=0,0,(EO115-EN115)/EN115*100)</f>
        <v>0</v>
      </c>
      <c r="EQ115" s="820">
        <f>IF(EQ117=0,0,(EQ116*EQ117+EQ118*EQ119*6)/EQ117)</f>
        <v>0</v>
      </c>
      <c r="ER115" s="820">
        <f>IF(ER117=0,0,(ER116*ER117+ER118*ER119*6)/ER117)</f>
        <v>0</v>
      </c>
      <c r="ES115" s="714">
        <f>IF(EQ115=0,0,(ER115-EQ115)/EQ115*100)</f>
        <v>0</v>
      </c>
      <c r="ET115" s="820">
        <f>IF(ET117=0,0,(ET116*ET117+ET118*ET119*6)/ET117)</f>
        <v>0</v>
      </c>
      <c r="EU115" s="820">
        <f>IF(EU117=0,0,(EU116*EU117+EU118*EU119*6)/EU117)</f>
        <v>0</v>
      </c>
      <c r="EV115" s="714">
        <f>IF(ET115=0,0,(EU115-ET115)/ET115*100)</f>
        <v>0</v>
      </c>
      <c r="EW115" s="820">
        <f>IF(EW117=0,0,(EW116*EW117+EW118*EW119*6)/EW117)</f>
        <v>0</v>
      </c>
      <c r="EX115" s="820">
        <f>IF(EX117=0,0,(EX116*EX117+EX118*EX119*6)/EX117)</f>
        <v>0</v>
      </c>
      <c r="EY115" s="714">
        <f>IF(EW115=0,0,(EX115-EW115)/EW115*100)</f>
        <v>0</v>
      </c>
      <c r="EZ115" s="820">
        <f>IF(EZ117=0,0,(EZ116*EZ117+EZ118*EZ119*6)/EZ117)</f>
        <v>0</v>
      </c>
      <c r="FA115" s="820">
        <f>IF(FA117=0,0,(FA116*FA117+FA118*FA119*6)/FA117)</f>
        <v>0</v>
      </c>
      <c r="FB115" s="714">
        <f>IF(EZ115=0,0,(FA115-EZ115)/EZ115*100)</f>
        <v>0</v>
      </c>
      <c r="FC115" s="820">
        <f>IF(FC117=0,0,(FC116*FC117+FC118*FC119*6)/FC117)</f>
        <v>0</v>
      </c>
      <c r="FD115" s="820">
        <f>IF(FD117=0,0,(FD116*FD117+FD118*FD119*6)/FD117)</f>
        <v>0</v>
      </c>
      <c r="FE115" s="714">
        <f>IF(FC115=0,0,(FD115-FC115)/FC115*100)</f>
        <v>0</v>
      </c>
      <c r="FF115" s="820">
        <f>IF(FF117=0,0,(FF116*FF117+FF118*FF119*6)/FF117)</f>
        <v>0</v>
      </c>
      <c r="FG115" s="820">
        <f>IF(FG117=0,0,(FG116*FG117+FG118*FG119*6)/FG117)</f>
        <v>0</v>
      </c>
      <c r="FH115" s="714">
        <f>IF(FF115=0,0,(FG115-FF115)/FF115*100)</f>
        <v>0</v>
      </c>
      <c r="FI115" s="820">
        <f>IF(FI117=0,0,(FI116*FI117+FI118*FI119*6)/FI117)</f>
        <v>0</v>
      </c>
      <c r="FJ115" s="820">
        <f>IF(FJ117=0,0,(FJ116*FJ117+FJ118*FJ119*6)/FJ117)</f>
        <v>0</v>
      </c>
      <c r="FK115" s="714">
        <f>IF(FI115=0,0,(FJ115-FI115)/FI115*100)</f>
        <v>0</v>
      </c>
      <c r="FL115" s="820">
        <f>IF(FL117=0,0,(FL116*FL117+FL118*FL119*6)/FL117)</f>
        <v>0</v>
      </c>
      <c r="FM115" s="820">
        <f>IF(FM117=0,0,(FM116*FM117+FM118*FM119*6)/FM117)</f>
        <v>0</v>
      </c>
      <c r="FN115" s="714">
        <f>IF(FL115=0,0,(FM115-FL115)/FL115*100)</f>
        <v>0</v>
      </c>
      <c r="FO115" s="820">
        <f>IF(FO117=0,0,(FO116*FO117+FO118*FO119*6)/FO117)</f>
        <v>0</v>
      </c>
      <c r="FP115" s="820">
        <f>IF(FP117=0,0,(FP116*FP117+FP118*FP119*6)/FP117)</f>
        <v>0</v>
      </c>
      <c r="FQ115" s="714">
        <f>IF(FO115=0,0,(FP115-FO115)/FO115*100)</f>
        <v>0</v>
      </c>
      <c r="FR115" s="820">
        <f>IF(FR117=0,0,(FR116*FR117+FR118*FR119*6)/FR117)</f>
        <v>0</v>
      </c>
      <c r="FS115" s="820">
        <f>IF(FS117=0,0,(FS116*FS117+FS118*FS119*6)/FS117)</f>
        <v>0</v>
      </c>
      <c r="FT115" s="714">
        <f>IF(FR115=0,0,(FS115-FR115)/FR115*100)</f>
        <v>0</v>
      </c>
      <c r="FU115" s="820">
        <f>IF(FU117=0,0,(FU116*FU117+FU118*FU119*6)/FU117)</f>
        <v>0</v>
      </c>
      <c r="FV115" s="820">
        <f>IF(FV117=0,0,(FV116*FV117+FV118*FV119*6)/FV117)</f>
        <v>0</v>
      </c>
      <c r="FW115" s="714">
        <f>IF(FU115=0,0,(FV115-FU115)/FU115*100)</f>
        <v>0</v>
      </c>
      <c r="FZ115" s="691" t="s">
        <v>1698</v>
      </c>
    </row>
    <row r="116" spans="1:186" ht="14.25" hidden="1" customHeight="1" x14ac:dyDescent="0.15">
      <c r="A116" s="59"/>
      <c r="B116" s="613" t="b" cm="1">
        <f t="array" ref="B116">B115</f>
        <v>0</v>
      </c>
      <c r="C116" s="59"/>
      <c r="D116" s="59"/>
      <c r="E116" s="462">
        <v>15</v>
      </c>
      <c r="F116" s="3" t="str" cm="1">
        <f t="array" aca="1" ref="F116" ca="1">OFFSET(E116,-1,1)</f>
        <v>1</v>
      </c>
      <c r="G116" s="59"/>
      <c r="H116" s="59" t="s">
        <v>1574</v>
      </c>
      <c r="I116" s="59" t="s">
        <v>1657</v>
      </c>
      <c r="J116" s="59"/>
      <c r="K116" s="59"/>
      <c r="L116" s="59"/>
      <c r="M116" s="59"/>
      <c r="N116" s="59"/>
      <c r="O116" s="59"/>
      <c r="P116" s="59"/>
      <c r="Q116" s="59"/>
      <c r="R116" s="59"/>
      <c r="S116" s="59"/>
      <c r="T116" s="353" t="b" cm="1">
        <f t="array" aca="1" ref="T116" ca="1">T115</f>
        <v>1</v>
      </c>
      <c r="U116" s="59"/>
      <c r="V116" s="59"/>
      <c r="W116" s="59"/>
      <c r="X116" s="1022"/>
      <c r="Y116" s="59"/>
      <c r="Z116" s="966"/>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1644</v>
      </c>
      <c r="AD116" s="820"/>
      <c r="AE116" s="820"/>
      <c r="AF116" s="714">
        <f>IF(AD116=0,0,(AE116-AD116)/AD116*100)</f>
        <v>0</v>
      </c>
      <c r="AG116" s="820"/>
      <c r="AH116" s="820"/>
      <c r="AI116" s="714">
        <f>IF(AG116=0,0,(AH116-AG116)/AG116*100)</f>
        <v>0</v>
      </c>
      <c r="AJ116" s="820"/>
      <c r="AK116" s="820"/>
      <c r="AL116" s="714">
        <f>IF(AJ116=0,0,(AK116-AJ116)/AJ116*100)</f>
        <v>0</v>
      </c>
      <c r="AM116" s="820"/>
      <c r="AN116" s="820"/>
      <c r="AO116" s="714">
        <f>IF(AM116=0,0,(AN116-AM116)/AM116*100)</f>
        <v>0</v>
      </c>
      <c r="AP116" s="820"/>
      <c r="AQ116" s="820"/>
      <c r="AR116" s="714">
        <f>IF(AP116=0,0,(AQ116-AP116)/AP116*100)</f>
        <v>0</v>
      </c>
      <c r="AS116" s="820"/>
      <c r="AT116" s="820"/>
      <c r="AU116" s="714">
        <f>IF(AS116=0,0,(AT116-AS116)/AS116*100)</f>
        <v>0</v>
      </c>
      <c r="AV116" s="820"/>
      <c r="AW116" s="820"/>
      <c r="AX116" s="714">
        <f>IF(AV116=0,0,(AW116-AV116)/AV116*100)</f>
        <v>0</v>
      </c>
      <c r="AY116" s="820"/>
      <c r="AZ116" s="820"/>
      <c r="BA116" s="714">
        <f>IF(AY116=0,0,(AZ116-AY116)/AY116*100)</f>
        <v>0</v>
      </c>
      <c r="BB116" s="820"/>
      <c r="BC116" s="820"/>
      <c r="BD116" s="714">
        <f>IF(BB116=0,0,(BC116-BB116)/BB116*100)</f>
        <v>0</v>
      </c>
      <c r="BE116" s="820"/>
      <c r="BF116" s="820"/>
      <c r="BG116" s="714">
        <f>IF(BE116=0,0,(BF116-BE116)/BE116*100)</f>
        <v>0</v>
      </c>
      <c r="BH116" s="820"/>
      <c r="BI116" s="820"/>
      <c r="BJ116" s="714">
        <f>IF(BH116=0,0,(BI116-BH116)/BH116*100)</f>
        <v>0</v>
      </c>
      <c r="BK116" s="820"/>
      <c r="BL116" s="820"/>
      <c r="BM116" s="714">
        <f>IF(BK116=0,0,(BL116-BK116)/BK116*100)</f>
        <v>0</v>
      </c>
      <c r="BN116" s="820"/>
      <c r="BO116" s="820"/>
      <c r="BP116" s="714">
        <f>IF(BN116=0,0,(BO116-BN116)/BN116*100)</f>
        <v>0</v>
      </c>
      <c r="BQ116" s="820"/>
      <c r="BR116" s="820"/>
      <c r="BS116" s="714">
        <f>IF(BQ116=0,0,(BR116-BQ116)/BQ116*100)</f>
        <v>0</v>
      </c>
      <c r="BT116" s="820"/>
      <c r="BU116" s="820"/>
      <c r="BV116" s="714">
        <f>IF(BT116=0,0,(BU116-BT116)/BT116*100)</f>
        <v>0</v>
      </c>
      <c r="BW116" s="820"/>
      <c r="BX116" s="820"/>
      <c r="BY116" s="714">
        <f>IF(BW116=0,0,(BX116-BW116)/BW116*100)</f>
        <v>0</v>
      </c>
      <c r="BZ116" s="820"/>
      <c r="CA116" s="820"/>
      <c r="CB116" s="714">
        <f>IF(BZ116=0,0,(CA116-BZ116)/BZ116*100)</f>
        <v>0</v>
      </c>
      <c r="CC116" s="820"/>
      <c r="CD116" s="820"/>
      <c r="CE116" s="714">
        <f>IF(CC116=0,0,(CD116-CC116)/CC116*100)</f>
        <v>0</v>
      </c>
      <c r="CF116" s="820"/>
      <c r="CG116" s="820"/>
      <c r="CH116" s="714">
        <f>IF(CF116=0,0,(CG116-CF116)/CF116*100)</f>
        <v>0</v>
      </c>
      <c r="CI116" s="820"/>
      <c r="CJ116" s="820"/>
      <c r="CK116" s="714">
        <f>IF(CI116=0,0,(CJ116-CI116)/CI116*100)</f>
        <v>0</v>
      </c>
      <c r="CL116" s="820"/>
      <c r="CM116" s="820"/>
      <c r="CN116" s="714">
        <f>IF(CL116=0,0,(CM116-CL116)/CL116*100)</f>
        <v>0</v>
      </c>
      <c r="CO116" s="820"/>
      <c r="CP116" s="820"/>
      <c r="CQ116" s="714">
        <f>IF(CO116=0,0,(CP116-CO116)/CO116*100)</f>
        <v>0</v>
      </c>
      <c r="CR116" s="820"/>
      <c r="CS116" s="820"/>
      <c r="CT116" s="714">
        <f>IF(CR116=0,0,(CS116-CR116)/CR116*100)</f>
        <v>0</v>
      </c>
      <c r="CU116" s="820"/>
      <c r="CV116" s="820"/>
      <c r="CW116" s="714">
        <f>IF(CU116=0,0,(CV116-CU116)/CU116*100)</f>
        <v>0</v>
      </c>
      <c r="CX116" s="820"/>
      <c r="CY116" s="820"/>
      <c r="CZ116" s="714">
        <f>IF(CX116=0,0,(CY116-CX116)/CX116*100)</f>
        <v>0</v>
      </c>
      <c r="DA116" s="820"/>
      <c r="DB116" s="820"/>
      <c r="DC116" s="714">
        <f>IF(DA116=0,0,(DB116-DA116)/DA116*100)</f>
        <v>0</v>
      </c>
      <c r="DD116" s="820"/>
      <c r="DE116" s="820"/>
      <c r="DF116" s="714">
        <f>IF(DD116=0,0,(DE116-DD116)/DD116*100)</f>
        <v>0</v>
      </c>
      <c r="DG116" s="820"/>
      <c r="DH116" s="820"/>
      <c r="DI116" s="714">
        <f>IF(DG116=0,0,(DH116-DG116)/DG116*100)</f>
        <v>0</v>
      </c>
      <c r="DJ116" s="820"/>
      <c r="DK116" s="820"/>
      <c r="DL116" s="714">
        <f>IF(DJ116=0,0,(DK116-DJ116)/DJ116*100)</f>
        <v>0</v>
      </c>
      <c r="DM116" s="820"/>
      <c r="DN116" s="820"/>
      <c r="DO116" s="714">
        <f>IF(DM116=0,0,(DN116-DM116)/DM116*100)</f>
        <v>0</v>
      </c>
      <c r="DP116" s="820"/>
      <c r="DQ116" s="820"/>
      <c r="DR116" s="714">
        <f>IF(DP116=0,0,(DQ116-DP116)/DP116*100)</f>
        <v>0</v>
      </c>
      <c r="DS116" s="820"/>
      <c r="DT116" s="820"/>
      <c r="DU116" s="714">
        <f>IF(DS116=0,0,(DT116-DS116)/DS116*100)</f>
        <v>0</v>
      </c>
      <c r="DV116" s="820"/>
      <c r="DW116" s="820"/>
      <c r="DX116" s="714">
        <f>IF(DV116=0,0,(DW116-DV116)/DV116*100)</f>
        <v>0</v>
      </c>
      <c r="DY116" s="820"/>
      <c r="DZ116" s="820"/>
      <c r="EA116" s="714">
        <f>IF(DY116=0,0,(DZ116-DY116)/DY116*100)</f>
        <v>0</v>
      </c>
      <c r="EB116" s="820"/>
      <c r="EC116" s="820"/>
      <c r="ED116" s="714">
        <f>IF(EB116=0,0,(EC116-EB116)/EB116*100)</f>
        <v>0</v>
      </c>
      <c r="EE116" s="820"/>
      <c r="EF116" s="820"/>
      <c r="EG116" s="714">
        <f>IF(EE116=0,0,(EF116-EE116)/EE116*100)</f>
        <v>0</v>
      </c>
      <c r="EH116" s="820"/>
      <c r="EI116" s="820"/>
      <c r="EJ116" s="714">
        <f>IF(EH116=0,0,(EI116-EH116)/EH116*100)</f>
        <v>0</v>
      </c>
      <c r="EK116" s="820"/>
      <c r="EL116" s="820"/>
      <c r="EM116" s="714">
        <f>IF(EK116=0,0,(EL116-EK116)/EK116*100)</f>
        <v>0</v>
      </c>
      <c r="EN116" s="820"/>
      <c r="EO116" s="820"/>
      <c r="EP116" s="714">
        <f>IF(EN116=0,0,(EO116-EN116)/EN116*100)</f>
        <v>0</v>
      </c>
      <c r="EQ116" s="820"/>
      <c r="ER116" s="820"/>
      <c r="ES116" s="714">
        <f>IF(EQ116=0,0,(ER116-EQ116)/EQ116*100)</f>
        <v>0</v>
      </c>
      <c r="ET116" s="820"/>
      <c r="EU116" s="820"/>
      <c r="EV116" s="714">
        <f>IF(ET116=0,0,(EU116-ET116)/ET116*100)</f>
        <v>0</v>
      </c>
      <c r="EW116" s="820"/>
      <c r="EX116" s="820"/>
      <c r="EY116" s="714">
        <f>IF(EW116=0,0,(EX116-EW116)/EW116*100)</f>
        <v>0</v>
      </c>
      <c r="EZ116" s="820"/>
      <c r="FA116" s="820"/>
      <c r="FB116" s="714">
        <f>IF(EZ116=0,0,(FA116-EZ116)/EZ116*100)</f>
        <v>0</v>
      </c>
      <c r="FC116" s="820"/>
      <c r="FD116" s="820"/>
      <c r="FE116" s="714">
        <f>IF(FC116=0,0,(FD116-FC116)/FC116*100)</f>
        <v>0</v>
      </c>
      <c r="FF116" s="820"/>
      <c r="FG116" s="820"/>
      <c r="FH116" s="714">
        <f>IF(FF116=0,0,(FG116-FF116)/FF116*100)</f>
        <v>0</v>
      </c>
      <c r="FI116" s="820"/>
      <c r="FJ116" s="820"/>
      <c r="FK116" s="714">
        <f>IF(FI116=0,0,(FJ116-FI116)/FI116*100)</f>
        <v>0</v>
      </c>
      <c r="FL116" s="820"/>
      <c r="FM116" s="820"/>
      <c r="FN116" s="714">
        <f>IF(FL116=0,0,(FM116-FL116)/FL116*100)</f>
        <v>0</v>
      </c>
      <c r="FO116" s="820"/>
      <c r="FP116" s="820"/>
      <c r="FQ116" s="714">
        <f>IF(FO116=0,0,(FP116-FO116)/FO116*100)</f>
        <v>0</v>
      </c>
      <c r="FR116" s="820"/>
      <c r="FS116" s="820"/>
      <c r="FT116" s="714">
        <f>IF(FR116=0,0,(FS116-FR116)/FR116*100)</f>
        <v>0</v>
      </c>
      <c r="FU116" s="820"/>
      <c r="FV116" s="820"/>
      <c r="FW116" s="714">
        <f>IF(FU116=0,0,(FV116-FU116)/FU116*100)</f>
        <v>0</v>
      </c>
      <c r="FZ116" s="691" t="s">
        <v>1699</v>
      </c>
    </row>
    <row r="117" spans="1:186" ht="14.25" hidden="1" customHeight="1" x14ac:dyDescent="0.15">
      <c r="A117" s="59"/>
      <c r="B117" s="613" t="b" cm="1">
        <f t="array" ref="B117">B116</f>
        <v>0</v>
      </c>
      <c r="C117" s="59"/>
      <c r="D117" s="59"/>
      <c r="E117" s="462">
        <v>15</v>
      </c>
      <c r="F117" s="3" t="str" cm="1">
        <f t="array" aca="1" ref="F117" ca="1">OFFSET(E117,-1,1)</f>
        <v>1</v>
      </c>
      <c r="G117" s="25" t="s">
        <v>1700</v>
      </c>
      <c r="H117" s="59" t="s">
        <v>1681</v>
      </c>
      <c r="I117" s="59" t="s">
        <v>1657</v>
      </c>
      <c r="J117" s="59"/>
      <c r="K117" s="59"/>
      <c r="L117" s="59"/>
      <c r="M117" s="59"/>
      <c r="N117" s="59"/>
      <c r="O117" s="59"/>
      <c r="P117" s="59"/>
      <c r="Q117" s="59"/>
      <c r="R117" s="59"/>
      <c r="S117" s="59"/>
      <c r="T117" s="353" t="b" cm="1">
        <f t="array" aca="1" ref="T117" ca="1">T116</f>
        <v>1</v>
      </c>
      <c r="U117" s="59"/>
      <c r="V117" s="59"/>
      <c r="W117" s="59"/>
      <c r="X117" s="1022"/>
      <c r="Y117" s="59"/>
      <c r="Z117" s="966"/>
      <c r="AA117" s="59"/>
      <c r="AB117" s="105" t="str">
        <f>"объём "&amp;IF(Q85="Водоснабжение","потребления холодной воды","водоотведения")</f>
        <v>объём потребления холодной воды</v>
      </c>
      <c r="AC117" s="12" t="s">
        <v>558</v>
      </c>
      <c r="AD117" s="836">
        <f ca="1">IF(AND(method_reg="Метод индексации",god&lt;&gt;first_year),SUMIFS(INDEX('Калькуляция (МИ корр)'!$AJ$25:$BC$603,,MATCH(AD$8,'Калькуляция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(МИ)'!$AJ$25:$BC$603,,MATCH(AD$8,'Калькуляция (МИ)'!$AJ$8:$BC$8,0)),'Калькуляция (МИ)'!$F$25:$F$603,$F117,'Калькуляция (МИ)'!$G$25:$G$603,$G117))))</f>
        <v>0</v>
      </c>
      <c r="AE117" s="836">
        <f ca="1">IF(AND(method_reg="Метод индексации",god&lt;&gt;first_year),SUMIFS(INDEX('Калькуляция (МИ корр)'!$AJ$25:$BC$603,,MATCH(AE$8,'Калькуляция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(МИ)'!$AJ$25:$BC$603,,MATCH(AE$8,'Калькуляция (МИ)'!$AJ$8:$BC$8,0)),'Калькуляция (МИ)'!$F$25:$F$603,$F117,'Калькуляция (МИ)'!$G$25:$G$603,$G117))))</f>
        <v>0</v>
      </c>
      <c r="AF117" s="715">
        <f ca="1">IF(AD117=0,0,(AE117-AD117)/AD117*100)</f>
        <v>0</v>
      </c>
      <c r="AG117" s="836">
        <f ca="1">IF(AND(method_reg="Метод индексации",god&lt;&gt;first_year),SUMIFS(INDEX('Калькуляция (МИ корр)'!$AJ$25:$BC$603,,MATCH(AG$8,'Калькуляция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(МИ)'!$AJ$25:$BC$603,,MATCH(AG$8,'Калькуляция (МИ)'!$AJ$8:$BC$8,0)),'Калькуляция (МИ)'!$F$25:$F$603,$F117,'Калькуляция (МИ)'!$G$25:$G$603,$G117))))</f>
        <v>0</v>
      </c>
      <c r="AH117" s="836">
        <f ca="1">IF(AND(method_reg="Метод индексации",god&lt;&gt;first_year),SUMIFS(INDEX('Калькуляция (МИ корр)'!$AJ$25:$BC$603,,MATCH(AH$8,'Калькуляция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(МИ)'!$AJ$25:$BC$603,,MATCH(AH$8,'Калькуляция (МИ)'!$AJ$8:$BC$8,0)),'Калькуляция (МИ)'!$F$25:$F$603,$F117,'Калькуляция (МИ)'!$G$25:$G$603,$G117))))</f>
        <v>0</v>
      </c>
      <c r="AI117" s="715">
        <f ca="1">IF(AG117=0,0,(AH117-AG117)/AG117*100)</f>
        <v>0</v>
      </c>
      <c r="AJ117" s="836">
        <f ca="1">IF(AND(method_reg="Метод индексации",god&lt;&gt;first_year),SUMIFS(INDEX('Калькуляция (МИ корр)'!$AJ$25:$BC$603,,MATCH(AJ$8,'Калькуляция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(МИ)'!$AJ$25:$BC$603,,MATCH(AJ$8,'Калькуляция (МИ)'!$AJ$8:$BC$8,0)),'Калькуляция (МИ)'!$F$25:$F$603,$F117,'Калькуляция (МИ)'!$G$25:$G$603,$G117))))</f>
        <v>0</v>
      </c>
      <c r="AK117" s="836">
        <f ca="1">IF(AND(method_reg="Метод индексации",god&lt;&gt;first_year),SUMIFS(INDEX('Калькуляция (МИ корр)'!$AJ$25:$BC$603,,MATCH(AK$8,'Калькуляция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(МИ)'!$AJ$25:$BC$603,,MATCH(AK$8,'Калькуляция (МИ)'!$AJ$8:$BC$8,0)),'Калькуляция (МИ)'!$F$25:$F$603,$F117,'Калькуляция (МИ)'!$G$25:$G$603,$G117))))</f>
        <v>0</v>
      </c>
      <c r="AL117" s="715">
        <f ca="1">IF(AJ117=0,0,(AK117-AJ117)/AJ117*100)</f>
        <v>0</v>
      </c>
      <c r="AM117" s="836">
        <f ca="1">IF(AND(method_reg="Метод индексации",god&lt;&gt;first_year),SUMIFS(INDEX('Калькуляция (МИ корр)'!$AJ$25:$BC$603,,MATCH(AM$8,'Калькуляция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(МИ)'!$AJ$25:$BC$603,,MATCH(AM$8,'Калькуляция (МИ)'!$AJ$8:$BC$8,0)),'Калькуляция (МИ)'!$F$25:$F$603,$F117,'Калькуляция (МИ)'!$G$25:$G$603,$G117))))</f>
        <v>0</v>
      </c>
      <c r="AN117" s="836">
        <f ca="1">IF(AND(method_reg="Метод индексации",god&lt;&gt;first_year),SUMIFS(INDEX('Калькуляция (МИ корр)'!$AJ$25:$BC$603,,MATCH(AN$8,'Калькуляция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(МИ)'!$AJ$25:$BC$603,,MATCH(AN$8,'Калькуляция (МИ)'!$AJ$8:$BC$8,0)),'Калькуляция (МИ)'!$F$25:$F$603,$F117,'Калькуляция (МИ)'!$G$25:$G$603,$G117))))</f>
        <v>0</v>
      </c>
      <c r="AO117" s="715">
        <f ca="1">IF(AM117=0,0,(AN117-AM117)/AM117*100)</f>
        <v>0</v>
      </c>
      <c r="AP117" s="836">
        <f ca="1">IF(AND(method_reg="Метод индексации",god&lt;&gt;first_year),SUMIFS(INDEX('Калькуляция (МИ корр)'!$AJ$25:$BC$603,,MATCH(AP$8,'Калькуляция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(МИ)'!$AJ$25:$BC$603,,MATCH(AP$8,'Калькуляция (МИ)'!$AJ$8:$BC$8,0)),'Калькуляция (МИ)'!$F$25:$F$603,$F117,'Калькуляция (МИ)'!$G$25:$G$603,$G117))))</f>
        <v>0</v>
      </c>
      <c r="AQ117" s="836">
        <f ca="1">IF(AND(method_reg="Метод индексации",god&lt;&gt;first_year),SUMIFS(INDEX('Калькуляция (МИ корр)'!$AJ$25:$BC$603,,MATCH(AQ$8,'Калькуляция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(МИ)'!$AJ$25:$BC$603,,MATCH(AQ$8,'Калькуляция (МИ)'!$AJ$8:$BC$8,0)),'Калькуляция (МИ)'!$F$25:$F$603,$F117,'Калькуляция (МИ)'!$G$25:$G$603,$G117))))</f>
        <v>0</v>
      </c>
      <c r="AR117" s="715">
        <f ca="1">IF(AP117=0,0,(AQ117-AP117)/AP117*100)</f>
        <v>0</v>
      </c>
      <c r="AS117" s="836">
        <f ca="1">IF(AND(method_reg="Метод индексации",god&lt;&gt;first_year),SUMIFS(INDEX('Калькуляция (МИ корр)'!$AJ$25:$BC$603,,MATCH(AS$8,'Калькуляция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(МИ)'!$AJ$25:$BC$603,,MATCH(AS$8,'Калькуляция (МИ)'!$AJ$8:$BC$8,0)),'Калькуляция (МИ)'!$F$25:$F$603,$F117,'Калькуляция (МИ)'!$G$25:$G$603,$G117))))</f>
        <v>0</v>
      </c>
      <c r="AT117" s="836">
        <f ca="1">IF(AND(method_reg="Метод индексации",god&lt;&gt;first_year),SUMIFS(INDEX('Калькуляция (МИ корр)'!$AJ$25:$BC$603,,MATCH(AT$8,'Калькуляция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(МИ)'!$AJ$25:$BC$603,,MATCH(AT$8,'Калькуляция (МИ)'!$AJ$8:$BC$8,0)),'Калькуляция (МИ)'!$F$25:$F$603,$F117,'Калькуляция (МИ)'!$G$25:$G$603,$G117))))</f>
        <v>0</v>
      </c>
      <c r="AU117" s="715">
        <f ca="1">IF(AS117=0,0,(AT117-AS117)/AS117*100)</f>
        <v>0</v>
      </c>
      <c r="AV117" s="836">
        <f ca="1">IF(AND(method_reg="Метод индексации",god&lt;&gt;first_year),SUMIFS(INDEX('Калькуляция (МИ корр)'!$AJ$25:$BC$603,,MATCH(AV$8,'Калькуляция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(МИ)'!$AJ$25:$BC$603,,MATCH(AV$8,'Калькуляция (МИ)'!$AJ$8:$BC$8,0)),'Калькуляция (МИ)'!$F$25:$F$603,$F117,'Калькуляция (МИ)'!$G$25:$G$603,$G117))))</f>
        <v>0</v>
      </c>
      <c r="AW117" s="836">
        <f ca="1">IF(AND(method_reg="Метод индексации",god&lt;&gt;first_year),SUMIFS(INDEX('Калькуляция (МИ корр)'!$AJ$25:$BC$603,,MATCH(AW$8,'Калькуляция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(МИ)'!$AJ$25:$BC$603,,MATCH(AW$8,'Калькуляция (МИ)'!$AJ$8:$BC$8,0)),'Калькуляция (МИ)'!$F$25:$F$603,$F117,'Калькуляция (МИ)'!$G$25:$G$603,$G117))))</f>
        <v>0</v>
      </c>
      <c r="AX117" s="715">
        <f ca="1">IF(AV117=0,0,(AW117-AV117)/AV117*100)</f>
        <v>0</v>
      </c>
      <c r="AY117" s="836">
        <f ca="1">IF(AND(method_reg="Метод индексации",god&lt;&gt;first_year),SUMIFS(INDEX('Калькуляция (МИ корр)'!$AJ$25:$BC$603,,MATCH(AY$8,'Калькуляция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(МИ)'!$AJ$25:$BC$603,,MATCH(AY$8,'Калькуляция (МИ)'!$AJ$8:$BC$8,0)),'Калькуляция (МИ)'!$F$25:$F$603,$F117,'Калькуляция (МИ)'!$G$25:$G$603,$G117))))</f>
        <v>0</v>
      </c>
      <c r="AZ117" s="836">
        <f ca="1">IF(AND(method_reg="Метод индексации",god&lt;&gt;first_year),SUMIFS(INDEX('Калькуляция (МИ корр)'!$AJ$25:$BC$603,,MATCH(AZ$8,'Калькуляция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(МИ)'!$AJ$25:$BC$603,,MATCH(AZ$8,'Калькуляция (МИ)'!$AJ$8:$BC$8,0)),'Калькуляция (МИ)'!$F$25:$F$603,$F117,'Калькуляция (МИ)'!$G$25:$G$603,$G117))))</f>
        <v>0</v>
      </c>
      <c r="BA117" s="715">
        <f ca="1">IF(AY117=0,0,(AZ117-AY117)/AY117*100)</f>
        <v>0</v>
      </c>
      <c r="BB117" s="836">
        <f ca="1">IF(AND(method_reg="Метод индексации",god&lt;&gt;first_year),SUMIFS(INDEX('Калькуляция (МИ корр)'!$AJ$25:$BC$603,,MATCH(BB$8,'Калькуляция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(МИ)'!$AJ$25:$BC$603,,MATCH(BB$8,'Калькуляция (МИ)'!$AJ$8:$BC$8,0)),'Калькуляция (МИ)'!$F$25:$F$603,$F117,'Калькуляция (МИ)'!$G$25:$G$603,$G117))))</f>
        <v>0</v>
      </c>
      <c r="BC117" s="836">
        <f ca="1">IF(AND(method_reg="Метод индексации",god&lt;&gt;first_year),SUMIFS(INDEX('Калькуляция (МИ корр)'!$AJ$25:$BC$603,,MATCH(BC$8,'Калькуляция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(МИ)'!$AJ$25:$BC$603,,MATCH(BC$8,'Калькуляция (МИ)'!$AJ$8:$BC$8,0)),'Калькуляция (МИ)'!$F$25:$F$603,$F117,'Калькуляция (МИ)'!$G$25:$G$603,$G117))))</f>
        <v>0</v>
      </c>
      <c r="BD117" s="715">
        <f ca="1">IF(BB117=0,0,(BC117-BB117)/BB117*100)</f>
        <v>0</v>
      </c>
      <c r="BE117" s="836">
        <f ca="1">IF(AND(method_reg="Метод индексации",god&lt;&gt;first_year),SUMIFS(INDEX('Калькуляция (МИ корр)'!$AJ$25:$BC$603,,MATCH(BE$8,'Калькуляция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(МИ)'!$AJ$25:$BC$603,,MATCH(BE$8,'Калькуляция (МИ)'!$AJ$8:$BC$8,0)),'Калькуляция (МИ)'!$F$25:$F$603,$F117,'Калькуляция (МИ)'!$G$25:$G$603,$G117))))</f>
        <v>0</v>
      </c>
      <c r="BF117" s="836">
        <f ca="1">IF(AND(method_reg="Метод индексации",god&lt;&gt;first_year),SUMIFS(INDEX('Калькуляция (МИ корр)'!$AJ$25:$BC$603,,MATCH(BF$8,'Калькуляция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(МИ)'!$AJ$25:$BC$603,,MATCH(BF$8,'Калькуляция (МИ)'!$AJ$8:$BC$8,0)),'Калькуляция (МИ)'!$F$25:$F$603,$F117,'Калькуляция (МИ)'!$G$25:$G$603,$G117))))</f>
        <v>0</v>
      </c>
      <c r="BG117" s="715">
        <f ca="1">IF(BE117=0,0,(BF117-BE117)/BE117*100)</f>
        <v>0</v>
      </c>
      <c r="BH117" s="836"/>
      <c r="BI117" s="836"/>
      <c r="BJ117" s="715">
        <f>IF(BH117=0,0,(BI117-BH117)/BH117*100)</f>
        <v>0</v>
      </c>
      <c r="BK117" s="836"/>
      <c r="BL117" s="836"/>
      <c r="BM117" s="715">
        <f>IF(BK117=0,0,(BL117-BK117)/BK117*100)</f>
        <v>0</v>
      </c>
      <c r="BN117" s="836"/>
      <c r="BO117" s="836"/>
      <c r="BP117" s="715">
        <f>IF(BN117=0,0,(BO117-BN117)/BN117*100)</f>
        <v>0</v>
      </c>
      <c r="BQ117" s="836"/>
      <c r="BR117" s="836"/>
      <c r="BS117" s="715">
        <f>IF(BQ117=0,0,(BR117-BQ117)/BQ117*100)</f>
        <v>0</v>
      </c>
      <c r="BT117" s="836"/>
      <c r="BU117" s="836"/>
      <c r="BV117" s="715">
        <f>IF(BT117=0,0,(BU117-BT117)/BT117*100)</f>
        <v>0</v>
      </c>
      <c r="BW117" s="836"/>
      <c r="BX117" s="836"/>
      <c r="BY117" s="715">
        <f>IF(BW117=0,0,(BX117-BW117)/BW117*100)</f>
        <v>0</v>
      </c>
      <c r="BZ117" s="836"/>
      <c r="CA117" s="836"/>
      <c r="CB117" s="715">
        <f>IF(BZ117=0,0,(CA117-BZ117)/BZ117*100)</f>
        <v>0</v>
      </c>
      <c r="CC117" s="836"/>
      <c r="CD117" s="836"/>
      <c r="CE117" s="715">
        <f>IF(CC117=0,0,(CD117-CC117)/CC117*100)</f>
        <v>0</v>
      </c>
      <c r="CF117" s="836"/>
      <c r="CG117" s="836"/>
      <c r="CH117" s="715">
        <f>IF(CF117=0,0,(CG117-CF117)/CF117*100)</f>
        <v>0</v>
      </c>
      <c r="CI117" s="836"/>
      <c r="CJ117" s="836"/>
      <c r="CK117" s="715">
        <f>IF(CI117=0,0,(CJ117-CI117)/CI117*100)</f>
        <v>0</v>
      </c>
      <c r="CL117" s="836"/>
      <c r="CM117" s="836"/>
      <c r="CN117" s="715">
        <f>IF(CL117=0,0,(CM117-CL117)/CL117*100)</f>
        <v>0</v>
      </c>
      <c r="CO117" s="836"/>
      <c r="CP117" s="836"/>
      <c r="CQ117" s="715">
        <f>IF(CO117=0,0,(CP117-CO117)/CO117*100)</f>
        <v>0</v>
      </c>
      <c r="CR117" s="836"/>
      <c r="CS117" s="836"/>
      <c r="CT117" s="715">
        <f>IF(CR117=0,0,(CS117-CR117)/CR117*100)</f>
        <v>0</v>
      </c>
      <c r="CU117" s="836"/>
      <c r="CV117" s="836"/>
      <c r="CW117" s="715">
        <f>IF(CU117=0,0,(CV117-CU117)/CU117*100)</f>
        <v>0</v>
      </c>
      <c r="CX117" s="836"/>
      <c r="CY117" s="836"/>
      <c r="CZ117" s="715">
        <f>IF(CX117=0,0,(CY117-CX117)/CX117*100)</f>
        <v>0</v>
      </c>
      <c r="DA117" s="836"/>
      <c r="DB117" s="836"/>
      <c r="DC117" s="715">
        <f>IF(DA117=0,0,(DB117-DA117)/DA117*100)</f>
        <v>0</v>
      </c>
      <c r="DD117" s="836"/>
      <c r="DE117" s="836"/>
      <c r="DF117" s="715">
        <f>IF(DD117=0,0,(DE117-DD117)/DD117*100)</f>
        <v>0</v>
      </c>
      <c r="DG117" s="836"/>
      <c r="DH117" s="836"/>
      <c r="DI117" s="715">
        <f>IF(DG117=0,0,(DH117-DG117)/DG117*100)</f>
        <v>0</v>
      </c>
      <c r="DJ117" s="836"/>
      <c r="DK117" s="836"/>
      <c r="DL117" s="715">
        <f>IF(DJ117=0,0,(DK117-DJ117)/DJ117*100)</f>
        <v>0</v>
      </c>
      <c r="DM117" s="836"/>
      <c r="DN117" s="836"/>
      <c r="DO117" s="715">
        <f>IF(DM117=0,0,(DN117-DM117)/DM117*100)</f>
        <v>0</v>
      </c>
      <c r="DP117" s="836"/>
      <c r="DQ117" s="836"/>
      <c r="DR117" s="715">
        <f>IF(DP117=0,0,(DQ117-DP117)/DP117*100)</f>
        <v>0</v>
      </c>
      <c r="DS117" s="836"/>
      <c r="DT117" s="836"/>
      <c r="DU117" s="715">
        <f>IF(DS117=0,0,(DT117-DS117)/DS117*100)</f>
        <v>0</v>
      </c>
      <c r="DV117" s="836"/>
      <c r="DW117" s="836"/>
      <c r="DX117" s="715">
        <f>IF(DV117=0,0,(DW117-DV117)/DV117*100)</f>
        <v>0</v>
      </c>
      <c r="DY117" s="836"/>
      <c r="DZ117" s="836"/>
      <c r="EA117" s="715">
        <f>IF(DY117=0,0,(DZ117-DY117)/DY117*100)</f>
        <v>0</v>
      </c>
      <c r="EB117" s="836"/>
      <c r="EC117" s="836"/>
      <c r="ED117" s="715">
        <f>IF(EB117=0,0,(EC117-EB117)/EB117*100)</f>
        <v>0</v>
      </c>
      <c r="EE117" s="836"/>
      <c r="EF117" s="836"/>
      <c r="EG117" s="715">
        <f>IF(EE117=0,0,(EF117-EE117)/EE117*100)</f>
        <v>0</v>
      </c>
      <c r="EH117" s="836"/>
      <c r="EI117" s="836"/>
      <c r="EJ117" s="715">
        <f>IF(EH117=0,0,(EI117-EH117)/EH117*100)</f>
        <v>0</v>
      </c>
      <c r="EK117" s="836"/>
      <c r="EL117" s="836"/>
      <c r="EM117" s="715">
        <f>IF(EK117=0,0,(EL117-EK117)/EK117*100)</f>
        <v>0</v>
      </c>
      <c r="EN117" s="836"/>
      <c r="EO117" s="836"/>
      <c r="EP117" s="715">
        <f>IF(EN117=0,0,(EO117-EN117)/EN117*100)</f>
        <v>0</v>
      </c>
      <c r="EQ117" s="836"/>
      <c r="ER117" s="836"/>
      <c r="ES117" s="715">
        <f>IF(EQ117=0,0,(ER117-EQ117)/EQ117*100)</f>
        <v>0</v>
      </c>
      <c r="ET117" s="836"/>
      <c r="EU117" s="836"/>
      <c r="EV117" s="715">
        <f>IF(ET117=0,0,(EU117-ET117)/ET117*100)</f>
        <v>0</v>
      </c>
      <c r="EW117" s="836"/>
      <c r="EX117" s="836"/>
      <c r="EY117" s="715">
        <f>IF(EW117=0,0,(EX117-EW117)/EW117*100)</f>
        <v>0</v>
      </c>
      <c r="EZ117" s="836"/>
      <c r="FA117" s="836"/>
      <c r="FB117" s="715">
        <f>IF(EZ117=0,0,(FA117-EZ117)/EZ117*100)</f>
        <v>0</v>
      </c>
      <c r="FC117" s="836"/>
      <c r="FD117" s="836"/>
      <c r="FE117" s="715">
        <f>IF(FC117=0,0,(FD117-FC117)/FC117*100)</f>
        <v>0</v>
      </c>
      <c r="FF117" s="836"/>
      <c r="FG117" s="836"/>
      <c r="FH117" s="715">
        <f>IF(FF117=0,0,(FG117-FF117)/FF117*100)</f>
        <v>0</v>
      </c>
      <c r="FI117" s="836"/>
      <c r="FJ117" s="836"/>
      <c r="FK117" s="715">
        <f>IF(FI117=0,0,(FJ117-FI117)/FI117*100)</f>
        <v>0</v>
      </c>
      <c r="FL117" s="836"/>
      <c r="FM117" s="836"/>
      <c r="FN117" s="715">
        <f>IF(FL117=0,0,(FM117-FL117)/FL117*100)</f>
        <v>0</v>
      </c>
      <c r="FO117" s="836"/>
      <c r="FP117" s="836"/>
      <c r="FQ117" s="715">
        <f>IF(FO117=0,0,(FP117-FO117)/FO117*100)</f>
        <v>0</v>
      </c>
      <c r="FR117" s="836"/>
      <c r="FS117" s="836"/>
      <c r="FT117" s="715">
        <f>IF(FR117=0,0,(FS117-FR117)/FR117*100)</f>
        <v>0</v>
      </c>
      <c r="FU117" s="836"/>
      <c r="FV117" s="836"/>
      <c r="FW117" s="715">
        <f>IF(FU117=0,0,(FV117-FU117)/FU117*100)</f>
        <v>0</v>
      </c>
      <c r="FZ117" s="691" t="s">
        <v>1701</v>
      </c>
    </row>
    <row r="118" spans="1:186" ht="21.75" hidden="1" customHeight="1" x14ac:dyDescent="0.15">
      <c r="A118" s="59"/>
      <c r="B118" s="613" t="b" cm="1">
        <f t="array" ref="B118">B117</f>
        <v>0</v>
      </c>
      <c r="C118" s="59"/>
      <c r="D118" s="59"/>
      <c r="E118" s="462">
        <v>22.5</v>
      </c>
      <c r="F118" s="3" t="str" cm="1">
        <f t="array" aca="1" ref="F118" ca="1">OFFSET(E118,-1,1)</f>
        <v>1</v>
      </c>
      <c r="G118" s="59"/>
      <c r="H118" s="59" t="s">
        <v>1683</v>
      </c>
      <c r="I118" s="59" t="s">
        <v>1657</v>
      </c>
      <c r="J118" s="59"/>
      <c r="K118" s="59"/>
      <c r="L118" s="59"/>
      <c r="M118" s="59"/>
      <c r="N118" s="59"/>
      <c r="O118" s="59"/>
      <c r="P118" s="59"/>
      <c r="Q118" s="59"/>
      <c r="R118" s="59"/>
      <c r="S118" s="59"/>
      <c r="T118" s="353" t="b" cm="1">
        <f t="array" aca="1" ref="T118" ca="1">T117</f>
        <v>1</v>
      </c>
      <c r="U118" s="59"/>
      <c r="V118" s="59"/>
      <c r="W118" s="59"/>
      <c r="X118" s="1022"/>
      <c r="Y118" s="59"/>
      <c r="Z118" s="966"/>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1684</v>
      </c>
      <c r="AD118" s="820"/>
      <c r="AE118" s="820"/>
      <c r="AF118" s="714">
        <f>IF(AD118=0,0,(AE118-AD118)/AD118*100)</f>
        <v>0</v>
      </c>
      <c r="AG118" s="820"/>
      <c r="AH118" s="820"/>
      <c r="AI118" s="714">
        <f>IF(AG118=0,0,(AH118-AG118)/AG118*100)</f>
        <v>0</v>
      </c>
      <c r="AJ118" s="820"/>
      <c r="AK118" s="820"/>
      <c r="AL118" s="714">
        <f>IF(AJ118=0,0,(AK118-AJ118)/AJ118*100)</f>
        <v>0</v>
      </c>
      <c r="AM118" s="820"/>
      <c r="AN118" s="820"/>
      <c r="AO118" s="714">
        <f>IF(AM118=0,0,(AN118-AM118)/AM118*100)</f>
        <v>0</v>
      </c>
      <c r="AP118" s="820"/>
      <c r="AQ118" s="820"/>
      <c r="AR118" s="714">
        <f>IF(AP118=0,0,(AQ118-AP118)/AP118*100)</f>
        <v>0</v>
      </c>
      <c r="AS118" s="820"/>
      <c r="AT118" s="820"/>
      <c r="AU118" s="714">
        <f>IF(AS118=0,0,(AT118-AS118)/AS118*100)</f>
        <v>0</v>
      </c>
      <c r="AV118" s="820"/>
      <c r="AW118" s="820"/>
      <c r="AX118" s="714">
        <f>IF(AV118=0,0,(AW118-AV118)/AV118*100)</f>
        <v>0</v>
      </c>
      <c r="AY118" s="820"/>
      <c r="AZ118" s="820"/>
      <c r="BA118" s="714">
        <f>IF(AY118=0,0,(AZ118-AY118)/AY118*100)</f>
        <v>0</v>
      </c>
      <c r="BB118" s="820"/>
      <c r="BC118" s="820"/>
      <c r="BD118" s="714">
        <f>IF(BB118=0,0,(BC118-BB118)/BB118*100)</f>
        <v>0</v>
      </c>
      <c r="BE118" s="820"/>
      <c r="BF118" s="820"/>
      <c r="BG118" s="714">
        <f>IF(BE118=0,0,(BF118-BE118)/BE118*100)</f>
        <v>0</v>
      </c>
      <c r="BH118" s="820"/>
      <c r="BI118" s="820"/>
      <c r="BJ118" s="714">
        <f>IF(BH118=0,0,(BI118-BH118)/BH118*100)</f>
        <v>0</v>
      </c>
      <c r="BK118" s="820"/>
      <c r="BL118" s="820"/>
      <c r="BM118" s="714">
        <f>IF(BK118=0,0,(BL118-BK118)/BK118*100)</f>
        <v>0</v>
      </c>
      <c r="BN118" s="820"/>
      <c r="BO118" s="820"/>
      <c r="BP118" s="714">
        <f>IF(BN118=0,0,(BO118-BN118)/BN118*100)</f>
        <v>0</v>
      </c>
      <c r="BQ118" s="820"/>
      <c r="BR118" s="820"/>
      <c r="BS118" s="714">
        <f>IF(BQ118=0,0,(BR118-BQ118)/BQ118*100)</f>
        <v>0</v>
      </c>
      <c r="BT118" s="820"/>
      <c r="BU118" s="820"/>
      <c r="BV118" s="714">
        <f>IF(BT118=0,0,(BU118-BT118)/BT118*100)</f>
        <v>0</v>
      </c>
      <c r="BW118" s="820"/>
      <c r="BX118" s="820"/>
      <c r="BY118" s="714">
        <f>IF(BW118=0,0,(BX118-BW118)/BW118*100)</f>
        <v>0</v>
      </c>
      <c r="BZ118" s="820"/>
      <c r="CA118" s="820"/>
      <c r="CB118" s="714">
        <f>IF(BZ118=0,0,(CA118-BZ118)/BZ118*100)</f>
        <v>0</v>
      </c>
      <c r="CC118" s="820"/>
      <c r="CD118" s="820"/>
      <c r="CE118" s="714">
        <f>IF(CC118=0,0,(CD118-CC118)/CC118*100)</f>
        <v>0</v>
      </c>
      <c r="CF118" s="820"/>
      <c r="CG118" s="820"/>
      <c r="CH118" s="714">
        <f>IF(CF118=0,0,(CG118-CF118)/CF118*100)</f>
        <v>0</v>
      </c>
      <c r="CI118" s="820"/>
      <c r="CJ118" s="820"/>
      <c r="CK118" s="714">
        <f>IF(CI118=0,0,(CJ118-CI118)/CI118*100)</f>
        <v>0</v>
      </c>
      <c r="CL118" s="820"/>
      <c r="CM118" s="820"/>
      <c r="CN118" s="714">
        <f>IF(CL118=0,0,(CM118-CL118)/CL118*100)</f>
        <v>0</v>
      </c>
      <c r="CO118" s="820"/>
      <c r="CP118" s="820"/>
      <c r="CQ118" s="714">
        <f>IF(CO118=0,0,(CP118-CO118)/CO118*100)</f>
        <v>0</v>
      </c>
      <c r="CR118" s="820"/>
      <c r="CS118" s="820"/>
      <c r="CT118" s="714">
        <f>IF(CR118=0,0,(CS118-CR118)/CR118*100)</f>
        <v>0</v>
      </c>
      <c r="CU118" s="820"/>
      <c r="CV118" s="820"/>
      <c r="CW118" s="714">
        <f>IF(CU118=0,0,(CV118-CU118)/CU118*100)</f>
        <v>0</v>
      </c>
      <c r="CX118" s="820"/>
      <c r="CY118" s="820"/>
      <c r="CZ118" s="714">
        <f>IF(CX118=0,0,(CY118-CX118)/CX118*100)</f>
        <v>0</v>
      </c>
      <c r="DA118" s="820"/>
      <c r="DB118" s="820"/>
      <c r="DC118" s="714">
        <f>IF(DA118=0,0,(DB118-DA118)/DA118*100)</f>
        <v>0</v>
      </c>
      <c r="DD118" s="820"/>
      <c r="DE118" s="820"/>
      <c r="DF118" s="714">
        <f>IF(DD118=0,0,(DE118-DD118)/DD118*100)</f>
        <v>0</v>
      </c>
      <c r="DG118" s="820"/>
      <c r="DH118" s="820"/>
      <c r="DI118" s="714">
        <f>IF(DG118=0,0,(DH118-DG118)/DG118*100)</f>
        <v>0</v>
      </c>
      <c r="DJ118" s="820"/>
      <c r="DK118" s="820"/>
      <c r="DL118" s="714">
        <f>IF(DJ118=0,0,(DK118-DJ118)/DJ118*100)</f>
        <v>0</v>
      </c>
      <c r="DM118" s="820"/>
      <c r="DN118" s="820"/>
      <c r="DO118" s="714">
        <f>IF(DM118=0,0,(DN118-DM118)/DM118*100)</f>
        <v>0</v>
      </c>
      <c r="DP118" s="820"/>
      <c r="DQ118" s="820"/>
      <c r="DR118" s="714">
        <f>IF(DP118=0,0,(DQ118-DP118)/DP118*100)</f>
        <v>0</v>
      </c>
      <c r="DS118" s="820"/>
      <c r="DT118" s="820"/>
      <c r="DU118" s="714">
        <f>IF(DS118=0,0,(DT118-DS118)/DS118*100)</f>
        <v>0</v>
      </c>
      <c r="DV118" s="820"/>
      <c r="DW118" s="820"/>
      <c r="DX118" s="714">
        <f>IF(DV118=0,0,(DW118-DV118)/DV118*100)</f>
        <v>0</v>
      </c>
      <c r="DY118" s="820"/>
      <c r="DZ118" s="820"/>
      <c r="EA118" s="714">
        <f>IF(DY118=0,0,(DZ118-DY118)/DY118*100)</f>
        <v>0</v>
      </c>
      <c r="EB118" s="820"/>
      <c r="EC118" s="820"/>
      <c r="ED118" s="714">
        <f>IF(EB118=0,0,(EC118-EB118)/EB118*100)</f>
        <v>0</v>
      </c>
      <c r="EE118" s="820"/>
      <c r="EF118" s="820"/>
      <c r="EG118" s="714">
        <f>IF(EE118=0,0,(EF118-EE118)/EE118*100)</f>
        <v>0</v>
      </c>
      <c r="EH118" s="820"/>
      <c r="EI118" s="820"/>
      <c r="EJ118" s="714">
        <f>IF(EH118=0,0,(EI118-EH118)/EH118*100)</f>
        <v>0</v>
      </c>
      <c r="EK118" s="820"/>
      <c r="EL118" s="820"/>
      <c r="EM118" s="714">
        <f>IF(EK118=0,0,(EL118-EK118)/EK118*100)</f>
        <v>0</v>
      </c>
      <c r="EN118" s="820"/>
      <c r="EO118" s="820"/>
      <c r="EP118" s="714">
        <f>IF(EN118=0,0,(EO118-EN118)/EN118*100)</f>
        <v>0</v>
      </c>
      <c r="EQ118" s="820"/>
      <c r="ER118" s="820"/>
      <c r="ES118" s="714">
        <f>IF(EQ118=0,0,(ER118-EQ118)/EQ118*100)</f>
        <v>0</v>
      </c>
      <c r="ET118" s="820"/>
      <c r="EU118" s="820"/>
      <c r="EV118" s="714">
        <f>IF(ET118=0,0,(EU118-ET118)/ET118*100)</f>
        <v>0</v>
      </c>
      <c r="EW118" s="820"/>
      <c r="EX118" s="820"/>
      <c r="EY118" s="714">
        <f>IF(EW118=0,0,(EX118-EW118)/EW118*100)</f>
        <v>0</v>
      </c>
      <c r="EZ118" s="820"/>
      <c r="FA118" s="820"/>
      <c r="FB118" s="714">
        <f>IF(EZ118=0,0,(FA118-EZ118)/EZ118*100)</f>
        <v>0</v>
      </c>
      <c r="FC118" s="820"/>
      <c r="FD118" s="820"/>
      <c r="FE118" s="714">
        <f>IF(FC118=0,0,(FD118-FC118)/FC118*100)</f>
        <v>0</v>
      </c>
      <c r="FF118" s="820"/>
      <c r="FG118" s="820"/>
      <c r="FH118" s="714">
        <f>IF(FF118=0,0,(FG118-FF118)/FF118*100)</f>
        <v>0</v>
      </c>
      <c r="FI118" s="820"/>
      <c r="FJ118" s="820"/>
      <c r="FK118" s="714">
        <f>IF(FI118=0,0,(FJ118-FI118)/FI118*100)</f>
        <v>0</v>
      </c>
      <c r="FL118" s="820"/>
      <c r="FM118" s="820"/>
      <c r="FN118" s="714">
        <f>IF(FL118=0,0,(FM118-FL118)/FL118*100)</f>
        <v>0</v>
      </c>
      <c r="FO118" s="820"/>
      <c r="FP118" s="820"/>
      <c r="FQ118" s="714">
        <f>IF(FO118=0,0,(FP118-FO118)/FO118*100)</f>
        <v>0</v>
      </c>
      <c r="FR118" s="820"/>
      <c r="FS118" s="820"/>
      <c r="FT118" s="714">
        <f>IF(FR118=0,0,(FS118-FR118)/FR118*100)</f>
        <v>0</v>
      </c>
      <c r="FU118" s="820"/>
      <c r="FV118" s="820"/>
      <c r="FW118" s="714">
        <f>IF(FU118=0,0,(FV118-FU118)/FU118*100)</f>
        <v>0</v>
      </c>
      <c r="FZ118" s="691" t="s">
        <v>1702</v>
      </c>
    </row>
    <row r="119" spans="1:186" ht="14.25" hidden="1" customHeight="1" x14ac:dyDescent="0.15">
      <c r="A119" s="59"/>
      <c r="B119" s="613" t="b" cm="1">
        <f t="array" ref="B119">B118</f>
        <v>0</v>
      </c>
      <c r="C119" s="59"/>
      <c r="D119" s="59"/>
      <c r="E119" s="462">
        <v>15</v>
      </c>
      <c r="F119" s="3" t="str" cm="1">
        <f t="array" aca="1" ref="F119" ca="1">OFFSET(E119,-1,1)</f>
        <v>1</v>
      </c>
      <c r="G119" s="59"/>
      <c r="H119" s="59" t="s">
        <v>1686</v>
      </c>
      <c r="I119" s="59" t="s">
        <v>1657</v>
      </c>
      <c r="J119" s="59"/>
      <c r="K119" s="59"/>
      <c r="L119" s="59"/>
      <c r="M119" s="59"/>
      <c r="N119" s="59"/>
      <c r="O119" s="59"/>
      <c r="P119" s="59"/>
      <c r="Q119" s="59"/>
      <c r="R119" s="59"/>
      <c r="S119" s="59"/>
      <c r="T119" s="353" t="b" cm="1">
        <f t="array" aca="1" ref="T119" ca="1">T118</f>
        <v>1</v>
      </c>
      <c r="U119" s="59"/>
      <c r="V119" s="59"/>
      <c r="W119" s="59"/>
      <c r="X119" s="1022"/>
      <c r="Y119" s="59"/>
      <c r="Z119" s="966"/>
      <c r="AA119" s="59"/>
      <c r="AB119" s="105" t="s">
        <v>1687</v>
      </c>
      <c r="AC119" s="12" t="s">
        <v>1688</v>
      </c>
      <c r="AD119" s="820"/>
      <c r="AE119" s="820"/>
      <c r="AF119" s="714">
        <f>IF(AD119=0,0,(AE119-AD119)/AD119*100)</f>
        <v>0</v>
      </c>
      <c r="AG119" s="820"/>
      <c r="AH119" s="820"/>
      <c r="AI119" s="714">
        <f>IF(AG119=0,0,(AH119-AG119)/AG119*100)</f>
        <v>0</v>
      </c>
      <c r="AJ119" s="820"/>
      <c r="AK119" s="820"/>
      <c r="AL119" s="714">
        <f>IF(AJ119=0,0,(AK119-AJ119)/AJ119*100)</f>
        <v>0</v>
      </c>
      <c r="AM119" s="820"/>
      <c r="AN119" s="820"/>
      <c r="AO119" s="714">
        <f>IF(AM119=0,0,(AN119-AM119)/AM119*100)</f>
        <v>0</v>
      </c>
      <c r="AP119" s="820"/>
      <c r="AQ119" s="820"/>
      <c r="AR119" s="714">
        <f>IF(AP119=0,0,(AQ119-AP119)/AP119*100)</f>
        <v>0</v>
      </c>
      <c r="AS119" s="820"/>
      <c r="AT119" s="820"/>
      <c r="AU119" s="714">
        <f>IF(AS119=0,0,(AT119-AS119)/AS119*100)</f>
        <v>0</v>
      </c>
      <c r="AV119" s="820"/>
      <c r="AW119" s="820"/>
      <c r="AX119" s="714">
        <f>IF(AV119=0,0,(AW119-AV119)/AV119*100)</f>
        <v>0</v>
      </c>
      <c r="AY119" s="820"/>
      <c r="AZ119" s="820"/>
      <c r="BA119" s="714">
        <f>IF(AY119=0,0,(AZ119-AY119)/AY119*100)</f>
        <v>0</v>
      </c>
      <c r="BB119" s="820"/>
      <c r="BC119" s="820"/>
      <c r="BD119" s="714">
        <f>IF(BB119=0,0,(BC119-BB119)/BB119*100)</f>
        <v>0</v>
      </c>
      <c r="BE119" s="820"/>
      <c r="BF119" s="820"/>
      <c r="BG119" s="714">
        <f>IF(BE119=0,0,(BF119-BE119)/BE119*100)</f>
        <v>0</v>
      </c>
      <c r="BH119" s="820"/>
      <c r="BI119" s="820"/>
      <c r="BJ119" s="714">
        <f>IF(BH119=0,0,(BI119-BH119)/BH119*100)</f>
        <v>0</v>
      </c>
      <c r="BK119" s="820"/>
      <c r="BL119" s="820"/>
      <c r="BM119" s="714">
        <f>IF(BK119=0,0,(BL119-BK119)/BK119*100)</f>
        <v>0</v>
      </c>
      <c r="BN119" s="820"/>
      <c r="BO119" s="820"/>
      <c r="BP119" s="714">
        <f>IF(BN119=0,0,(BO119-BN119)/BN119*100)</f>
        <v>0</v>
      </c>
      <c r="BQ119" s="820"/>
      <c r="BR119" s="820"/>
      <c r="BS119" s="714">
        <f>IF(BQ119=0,0,(BR119-BQ119)/BQ119*100)</f>
        <v>0</v>
      </c>
      <c r="BT119" s="820"/>
      <c r="BU119" s="820"/>
      <c r="BV119" s="714">
        <f>IF(BT119=0,0,(BU119-BT119)/BT119*100)</f>
        <v>0</v>
      </c>
      <c r="BW119" s="820"/>
      <c r="BX119" s="820"/>
      <c r="BY119" s="714">
        <f>IF(BW119=0,0,(BX119-BW119)/BW119*100)</f>
        <v>0</v>
      </c>
      <c r="BZ119" s="820"/>
      <c r="CA119" s="820"/>
      <c r="CB119" s="714">
        <f>IF(BZ119=0,0,(CA119-BZ119)/BZ119*100)</f>
        <v>0</v>
      </c>
      <c r="CC119" s="820"/>
      <c r="CD119" s="820"/>
      <c r="CE119" s="714">
        <f>IF(CC119=0,0,(CD119-CC119)/CC119*100)</f>
        <v>0</v>
      </c>
      <c r="CF119" s="820"/>
      <c r="CG119" s="820"/>
      <c r="CH119" s="714">
        <f>IF(CF119=0,0,(CG119-CF119)/CF119*100)</f>
        <v>0</v>
      </c>
      <c r="CI119" s="820"/>
      <c r="CJ119" s="820"/>
      <c r="CK119" s="714">
        <f>IF(CI119=0,0,(CJ119-CI119)/CI119*100)</f>
        <v>0</v>
      </c>
      <c r="CL119" s="820"/>
      <c r="CM119" s="820"/>
      <c r="CN119" s="714">
        <f>IF(CL119=0,0,(CM119-CL119)/CL119*100)</f>
        <v>0</v>
      </c>
      <c r="CO119" s="820"/>
      <c r="CP119" s="820"/>
      <c r="CQ119" s="714">
        <f>IF(CO119=0,0,(CP119-CO119)/CO119*100)</f>
        <v>0</v>
      </c>
      <c r="CR119" s="820"/>
      <c r="CS119" s="820"/>
      <c r="CT119" s="714">
        <f>IF(CR119=0,0,(CS119-CR119)/CR119*100)</f>
        <v>0</v>
      </c>
      <c r="CU119" s="820"/>
      <c r="CV119" s="820"/>
      <c r="CW119" s="714">
        <f>IF(CU119=0,0,(CV119-CU119)/CU119*100)</f>
        <v>0</v>
      </c>
      <c r="CX119" s="820"/>
      <c r="CY119" s="820"/>
      <c r="CZ119" s="714">
        <f>IF(CX119=0,0,(CY119-CX119)/CX119*100)</f>
        <v>0</v>
      </c>
      <c r="DA119" s="820"/>
      <c r="DB119" s="820"/>
      <c r="DC119" s="714">
        <f>IF(DA119=0,0,(DB119-DA119)/DA119*100)</f>
        <v>0</v>
      </c>
      <c r="DD119" s="820"/>
      <c r="DE119" s="820"/>
      <c r="DF119" s="714">
        <f>IF(DD119=0,0,(DE119-DD119)/DD119*100)</f>
        <v>0</v>
      </c>
      <c r="DG119" s="820"/>
      <c r="DH119" s="820"/>
      <c r="DI119" s="714">
        <f>IF(DG119=0,0,(DH119-DG119)/DG119*100)</f>
        <v>0</v>
      </c>
      <c r="DJ119" s="820"/>
      <c r="DK119" s="820"/>
      <c r="DL119" s="714">
        <f>IF(DJ119=0,0,(DK119-DJ119)/DJ119*100)</f>
        <v>0</v>
      </c>
      <c r="DM119" s="820"/>
      <c r="DN119" s="820"/>
      <c r="DO119" s="714">
        <f>IF(DM119=0,0,(DN119-DM119)/DM119*100)</f>
        <v>0</v>
      </c>
      <c r="DP119" s="820"/>
      <c r="DQ119" s="820"/>
      <c r="DR119" s="714">
        <f>IF(DP119=0,0,(DQ119-DP119)/DP119*100)</f>
        <v>0</v>
      </c>
      <c r="DS119" s="820"/>
      <c r="DT119" s="820"/>
      <c r="DU119" s="714">
        <f>IF(DS119=0,0,(DT119-DS119)/DS119*100)</f>
        <v>0</v>
      </c>
      <c r="DV119" s="820"/>
      <c r="DW119" s="820"/>
      <c r="DX119" s="714">
        <f>IF(DV119=0,0,(DW119-DV119)/DV119*100)</f>
        <v>0</v>
      </c>
      <c r="DY119" s="820"/>
      <c r="DZ119" s="820"/>
      <c r="EA119" s="714">
        <f>IF(DY119=0,0,(DZ119-DY119)/DY119*100)</f>
        <v>0</v>
      </c>
      <c r="EB119" s="820"/>
      <c r="EC119" s="820"/>
      <c r="ED119" s="714">
        <f>IF(EB119=0,0,(EC119-EB119)/EB119*100)</f>
        <v>0</v>
      </c>
      <c r="EE119" s="820"/>
      <c r="EF119" s="820"/>
      <c r="EG119" s="714">
        <f>IF(EE119=0,0,(EF119-EE119)/EE119*100)</f>
        <v>0</v>
      </c>
      <c r="EH119" s="820"/>
      <c r="EI119" s="820"/>
      <c r="EJ119" s="714">
        <f>IF(EH119=0,0,(EI119-EH119)/EH119*100)</f>
        <v>0</v>
      </c>
      <c r="EK119" s="820"/>
      <c r="EL119" s="820"/>
      <c r="EM119" s="714">
        <f>IF(EK119=0,0,(EL119-EK119)/EK119*100)</f>
        <v>0</v>
      </c>
      <c r="EN119" s="820"/>
      <c r="EO119" s="820"/>
      <c r="EP119" s="714">
        <f>IF(EN119=0,0,(EO119-EN119)/EN119*100)</f>
        <v>0</v>
      </c>
      <c r="EQ119" s="820"/>
      <c r="ER119" s="820"/>
      <c r="ES119" s="714">
        <f>IF(EQ119=0,0,(ER119-EQ119)/EQ119*100)</f>
        <v>0</v>
      </c>
      <c r="ET119" s="820"/>
      <c r="EU119" s="820"/>
      <c r="EV119" s="714">
        <f>IF(ET119=0,0,(EU119-ET119)/ET119*100)</f>
        <v>0</v>
      </c>
      <c r="EW119" s="820"/>
      <c r="EX119" s="820"/>
      <c r="EY119" s="714">
        <f>IF(EW119=0,0,(EX119-EW119)/EW119*100)</f>
        <v>0</v>
      </c>
      <c r="EZ119" s="820"/>
      <c r="FA119" s="820"/>
      <c r="FB119" s="714">
        <f>IF(EZ119=0,0,(FA119-EZ119)/EZ119*100)</f>
        <v>0</v>
      </c>
      <c r="FC119" s="820"/>
      <c r="FD119" s="820"/>
      <c r="FE119" s="714">
        <f>IF(FC119=0,0,(FD119-FC119)/FC119*100)</f>
        <v>0</v>
      </c>
      <c r="FF119" s="820"/>
      <c r="FG119" s="820"/>
      <c r="FH119" s="714">
        <f>IF(FF119=0,0,(FG119-FF119)/FF119*100)</f>
        <v>0</v>
      </c>
      <c r="FI119" s="820"/>
      <c r="FJ119" s="820"/>
      <c r="FK119" s="714">
        <f>IF(FI119=0,0,(FJ119-FI119)/FI119*100)</f>
        <v>0</v>
      </c>
      <c r="FL119" s="820"/>
      <c r="FM119" s="820"/>
      <c r="FN119" s="714">
        <f>IF(FL119=0,0,(FM119-FL119)/FL119*100)</f>
        <v>0</v>
      </c>
      <c r="FO119" s="820"/>
      <c r="FP119" s="820"/>
      <c r="FQ119" s="714">
        <f>IF(FO119=0,0,(FP119-FO119)/FO119*100)</f>
        <v>0</v>
      </c>
      <c r="FR119" s="820"/>
      <c r="FS119" s="820"/>
      <c r="FT119" s="714">
        <f>IF(FR119=0,0,(FS119-FR119)/FR119*100)</f>
        <v>0</v>
      </c>
      <c r="FU119" s="820"/>
      <c r="FV119" s="820"/>
      <c r="FW119" s="714">
        <f>IF(FU119=0,0,(FV119-FU119)/FU119*100)</f>
        <v>0</v>
      </c>
      <c r="FZ119" s="691" t="s">
        <v>1703</v>
      </c>
    </row>
    <row r="120" spans="1:186" ht="23.25" hidden="1" customHeight="1" x14ac:dyDescent="0.15">
      <c r="A120" s="59"/>
      <c r="B120" s="613" t="b" cm="1">
        <f t="array" ref="B120">B119</f>
        <v>0</v>
      </c>
      <c r="C120" s="59"/>
      <c r="D120" s="59"/>
      <c r="E120" s="462">
        <v>24.5</v>
      </c>
      <c r="F120" s="3" t="str" cm="1">
        <f t="array" aca="1" ref="F120" ca="1">OFFSET(E120,-1,1)</f>
        <v>1</v>
      </c>
      <c r="G120" s="59"/>
      <c r="H120" s="59"/>
      <c r="I120" s="59"/>
      <c r="J120" s="59"/>
      <c r="K120" s="59"/>
      <c r="L120" s="59"/>
      <c r="M120" s="59"/>
      <c r="N120" s="59"/>
      <c r="O120" s="59"/>
      <c r="P120" s="59"/>
      <c r="Q120" s="59"/>
      <c r="R120" s="59"/>
      <c r="S120" s="59"/>
      <c r="T120" s="353" t="b" cm="1">
        <f t="array" aca="1" ref="T120" ca="1">T119</f>
        <v>1</v>
      </c>
      <c r="U120" s="59"/>
      <c r="V120" s="59"/>
      <c r="W120" s="59"/>
      <c r="X120" s="1022"/>
      <c r="Y120" s="59"/>
      <c r="Z120" s="966"/>
      <c r="AA120" s="59"/>
      <c r="AB120" s="205" t="s">
        <v>1704</v>
      </c>
      <c r="AC120" s="597"/>
      <c r="AD120" s="718"/>
      <c r="AE120" s="718"/>
      <c r="AF120" s="718"/>
      <c r="AG120" s="718"/>
      <c r="AH120" s="718"/>
      <c r="AI120" s="718"/>
      <c r="AJ120" s="718"/>
      <c r="AK120" s="718"/>
      <c r="AL120" s="718"/>
      <c r="AM120" s="718"/>
      <c r="AN120" s="718"/>
      <c r="AO120" s="718"/>
      <c r="AP120" s="718"/>
      <c r="AQ120" s="718"/>
      <c r="AR120" s="718"/>
      <c r="AS120" s="718"/>
      <c r="AT120" s="718"/>
      <c r="AU120" s="718"/>
      <c r="AV120" s="718"/>
      <c r="AW120" s="718"/>
      <c r="AX120" s="718"/>
      <c r="AY120" s="718"/>
      <c r="AZ120" s="718"/>
      <c r="BA120" s="718"/>
      <c r="BB120" s="718"/>
      <c r="BC120" s="718"/>
      <c r="BD120" s="718"/>
      <c r="BE120" s="718"/>
      <c r="BF120" s="718"/>
      <c r="BG120" s="718"/>
      <c r="BH120" s="718"/>
      <c r="BI120" s="718"/>
      <c r="BJ120" s="718"/>
      <c r="BK120" s="718"/>
      <c r="BL120" s="718"/>
      <c r="BM120" s="718"/>
      <c r="BN120" s="718"/>
      <c r="BO120" s="718"/>
      <c r="BP120" s="718"/>
      <c r="BQ120" s="718"/>
      <c r="BR120" s="718"/>
      <c r="BS120" s="718"/>
      <c r="BT120" s="718"/>
      <c r="BU120" s="718"/>
      <c r="BV120" s="718"/>
      <c r="BW120" s="718"/>
      <c r="BX120" s="718"/>
      <c r="BY120" s="718"/>
      <c r="BZ120" s="718"/>
      <c r="CA120" s="718"/>
      <c r="CB120" s="718"/>
      <c r="CC120" s="718"/>
      <c r="CD120" s="718"/>
      <c r="CE120" s="718"/>
      <c r="CF120" s="718"/>
      <c r="CG120" s="718"/>
      <c r="CH120" s="718"/>
      <c r="CI120" s="718"/>
      <c r="CJ120" s="718"/>
      <c r="CK120" s="718"/>
      <c r="CL120" s="718"/>
      <c r="CM120" s="718"/>
      <c r="CN120" s="718"/>
      <c r="CO120" s="718"/>
      <c r="CP120" s="718"/>
      <c r="CQ120" s="718"/>
      <c r="CR120" s="718"/>
      <c r="CS120" s="718"/>
      <c r="CT120" s="718"/>
      <c r="CU120" s="718"/>
      <c r="CV120" s="718"/>
      <c r="CW120" s="718"/>
      <c r="CX120" s="718"/>
      <c r="CY120" s="718"/>
      <c r="CZ120" s="718"/>
      <c r="DA120" s="718"/>
      <c r="DB120" s="718"/>
      <c r="DC120" s="718"/>
      <c r="DD120" s="718"/>
      <c r="DE120" s="718"/>
      <c r="DF120" s="718"/>
      <c r="DG120" s="718"/>
      <c r="DH120" s="718"/>
      <c r="DI120" s="718"/>
      <c r="DJ120" s="718"/>
      <c r="DK120" s="718"/>
      <c r="DL120" s="718"/>
      <c r="DM120" s="718"/>
      <c r="DN120" s="718"/>
      <c r="DO120" s="718"/>
      <c r="DP120" s="718"/>
      <c r="DQ120" s="718"/>
      <c r="DR120" s="718"/>
      <c r="DS120" s="718"/>
      <c r="DT120" s="718"/>
      <c r="DU120" s="718"/>
      <c r="DV120" s="718"/>
      <c r="DW120" s="718"/>
      <c r="DX120" s="718"/>
      <c r="DY120" s="718"/>
      <c r="DZ120" s="718"/>
      <c r="EA120" s="718"/>
      <c r="EB120" s="718"/>
      <c r="EC120" s="718"/>
      <c r="ED120" s="718"/>
      <c r="EE120" s="718"/>
      <c r="EF120" s="718"/>
      <c r="EG120" s="718"/>
      <c r="EH120" s="718"/>
      <c r="EI120" s="718"/>
      <c r="EJ120" s="718"/>
      <c r="EK120" s="718"/>
      <c r="EL120" s="718"/>
      <c r="EM120" s="718"/>
      <c r="EN120" s="718"/>
      <c r="EO120" s="718"/>
      <c r="EP120" s="718"/>
      <c r="EQ120" s="718"/>
      <c r="ER120" s="718"/>
      <c r="ES120" s="718"/>
      <c r="ET120" s="718"/>
      <c r="EU120" s="718"/>
      <c r="EV120" s="718"/>
      <c r="EW120" s="718"/>
      <c r="EX120" s="718"/>
      <c r="EY120" s="718"/>
      <c r="EZ120" s="718"/>
      <c r="FA120" s="718"/>
      <c r="FB120" s="718"/>
      <c r="FC120" s="718"/>
      <c r="FD120" s="718"/>
      <c r="FE120" s="718"/>
      <c r="FF120" s="718"/>
      <c r="FG120" s="718"/>
      <c r="FH120" s="718"/>
      <c r="FI120" s="718"/>
      <c r="FJ120" s="718"/>
      <c r="FK120" s="718"/>
      <c r="FL120" s="718"/>
      <c r="FM120" s="718"/>
      <c r="FN120" s="718"/>
      <c r="FO120" s="718"/>
      <c r="FP120" s="718"/>
      <c r="FQ120" s="718"/>
      <c r="FR120" s="718"/>
      <c r="FS120" s="718"/>
      <c r="FT120" s="718"/>
      <c r="FU120" s="718"/>
      <c r="FV120" s="718"/>
      <c r="FW120" s="719"/>
      <c r="FZ120" s="691"/>
    </row>
    <row r="121" spans="1:186" ht="14.25" hidden="1" customHeight="1" x14ac:dyDescent="0.15">
      <c r="A121" s="59"/>
      <c r="B121" s="613" t="b" cm="1">
        <f t="array" ref="B121">B120</f>
        <v>0</v>
      </c>
      <c r="C121" s="59"/>
      <c r="D121" s="59"/>
      <c r="E121" s="462">
        <v>15</v>
      </c>
      <c r="F121" s="3" t="str" cm="1">
        <f t="array" aca="1" ref="F121" ca="1">OFFSET(E121,-1,1)</f>
        <v>1</v>
      </c>
      <c r="G121" s="59"/>
      <c r="H121" s="59" t="s">
        <v>1570</v>
      </c>
      <c r="I121" s="59" t="s">
        <v>1661</v>
      </c>
      <c r="J121" s="59"/>
      <c r="K121" s="59"/>
      <c r="L121" s="59"/>
      <c r="M121" s="59"/>
      <c r="N121" s="59"/>
      <c r="O121" s="59"/>
      <c r="P121" s="59"/>
      <c r="Q121" s="59"/>
      <c r="R121" s="59"/>
      <c r="S121" s="59"/>
      <c r="T121" s="353" t="b" cm="1">
        <f t="array" aca="1" ref="T121" ca="1">T120</f>
        <v>1</v>
      </c>
      <c r="U121" s="59"/>
      <c r="V121" s="59"/>
      <c r="W121" s="59"/>
      <c r="X121" s="1022"/>
      <c r="Y121" s="59"/>
      <c r="Z121" s="966"/>
      <c r="AA121" s="59"/>
      <c r="AB121" s="105" t="s">
        <v>1677</v>
      </c>
      <c r="AC121" s="12" t="s">
        <v>1644</v>
      </c>
      <c r="AD121" s="820">
        <f ca="1">IF(AD123=0,0,(AD122*AD123+AD124*AD125*IF(god=2026,3,6))/AD123)</f>
        <v>0</v>
      </c>
      <c r="AE121" s="820">
        <f ca="1">IF(AE123=0,0,(AE122*AE123+AE124*AE125*IF(god=2026,3,6))/AE123)</f>
        <v>0</v>
      </c>
      <c r="AF121" s="714">
        <f ca="1">IF(AD121=0,0,(AE121-AD121)/AD121*100)</f>
        <v>0</v>
      </c>
      <c r="AG121" s="820">
        <f ca="1">IF(AG123=0,0,(AG122*AG123+AG124*AG125*IF(god=2025,3,6))/AG123)</f>
        <v>0</v>
      </c>
      <c r="AH121" s="820">
        <f ca="1">IF(AH123=0,0,(AH122*AH123+AH124*AH125*IF(god=2025,3,6))/AH123)</f>
        <v>0</v>
      </c>
      <c r="AI121" s="714">
        <f ca="1">IF(AG121=0,0,(AH121-AG121)/AG121*100)</f>
        <v>0</v>
      </c>
      <c r="AJ121" s="820">
        <f ca="1">IF(AJ123=0,0,(AJ122*AJ123+AJ124*AJ125*6)/AJ123)</f>
        <v>0</v>
      </c>
      <c r="AK121" s="820">
        <f ca="1">IF(AK123=0,0,(AK122*AK123+AK124*AK125*6)/AK123)</f>
        <v>0</v>
      </c>
      <c r="AL121" s="714">
        <f ca="1">IF(AJ121=0,0,(AK121-AJ121)/AJ121*100)</f>
        <v>0</v>
      </c>
      <c r="AM121" s="820">
        <f ca="1">IF(AM123=0,0,(AM122*AM123+AM124*AM125*6)/AM123)</f>
        <v>0</v>
      </c>
      <c r="AN121" s="820">
        <f ca="1">IF(AN123=0,0,(AN122*AN123+AN124*AN125*6)/AN123)</f>
        <v>0</v>
      </c>
      <c r="AO121" s="714">
        <f ca="1">IF(AM121=0,0,(AN121-AM121)/AM121*100)</f>
        <v>0</v>
      </c>
      <c r="AP121" s="820">
        <f ca="1">IF(AP123=0,0,(AP122*AP123+AP124*AP125*6)/AP123)</f>
        <v>0</v>
      </c>
      <c r="AQ121" s="820">
        <f ca="1">IF(AQ123=0,0,(AQ122*AQ123+AQ124*AQ125*6)/AQ123)</f>
        <v>0</v>
      </c>
      <c r="AR121" s="714">
        <f ca="1">IF(AP121=0,0,(AQ121-AP121)/AP121*100)</f>
        <v>0</v>
      </c>
      <c r="AS121" s="820">
        <f ca="1">IF(AS123=0,0,(AS122*AS123+AS124*AS125*6)/AS123)</f>
        <v>0</v>
      </c>
      <c r="AT121" s="820">
        <f ca="1">IF(AT123=0,0,(AT122*AT123+AT124*AT125*6)/AT123)</f>
        <v>0</v>
      </c>
      <c r="AU121" s="714">
        <f ca="1">IF(AS121=0,0,(AT121-AS121)/AS121*100)</f>
        <v>0</v>
      </c>
      <c r="AV121" s="820">
        <f ca="1">IF(AV123=0,0,(AV122*AV123+AV124*AV125*6)/AV123)</f>
        <v>0</v>
      </c>
      <c r="AW121" s="820">
        <f ca="1">IF(AW123=0,0,(AW122*AW123+AW124*AW125*6)/AW123)</f>
        <v>0</v>
      </c>
      <c r="AX121" s="714">
        <f ca="1">IF(AV121=0,0,(AW121-AV121)/AV121*100)</f>
        <v>0</v>
      </c>
      <c r="AY121" s="820">
        <f ca="1">IF(AY123=0,0,(AY122*AY123+AY124*AY125*6)/AY123)</f>
        <v>0</v>
      </c>
      <c r="AZ121" s="820">
        <f ca="1">IF(AZ123=0,0,(AZ122*AZ123+AZ124*AZ125*6)/AZ123)</f>
        <v>0</v>
      </c>
      <c r="BA121" s="714">
        <f ca="1">IF(AY121=0,0,(AZ121-AY121)/AY121*100)</f>
        <v>0</v>
      </c>
      <c r="BB121" s="820">
        <f ca="1">IF(BB123=0,0,(BB122*BB123+BB124*BB125*6)/BB123)</f>
        <v>0</v>
      </c>
      <c r="BC121" s="820">
        <f ca="1">IF(BC123=0,0,(BC122*BC123+BC124*BC125*6)/BC123)</f>
        <v>0</v>
      </c>
      <c r="BD121" s="714">
        <f ca="1">IF(BB121=0,0,(BC121-BB121)/BB121*100)</f>
        <v>0</v>
      </c>
      <c r="BE121" s="820">
        <f ca="1">IF(BE123=0,0,(BE122*BE123+BE124*BE125*6)/BE123)</f>
        <v>0</v>
      </c>
      <c r="BF121" s="820">
        <f ca="1">IF(BF123=0,0,(BF122*BF123+BF124*BF125*6)/BF123)</f>
        <v>0</v>
      </c>
      <c r="BG121" s="714">
        <f ca="1">IF(BE121=0,0,(BF121-BE121)/BE121*100)</f>
        <v>0</v>
      </c>
      <c r="BH121" s="820">
        <f>IF(BH123=0,0,(BH122*BH123+BH124*BH125*6)/BH123)</f>
        <v>0</v>
      </c>
      <c r="BI121" s="820">
        <f>IF(BI123=0,0,(BI122*BI123+BI124*BI125*6)/BI123)</f>
        <v>0</v>
      </c>
      <c r="BJ121" s="714">
        <f>IF(BH121=0,0,(BI121-BH121)/BH121*100)</f>
        <v>0</v>
      </c>
      <c r="BK121" s="820">
        <f>IF(BK123=0,0,(BK122*BK123+BK124*BK125*6)/BK123)</f>
        <v>0</v>
      </c>
      <c r="BL121" s="820">
        <f>IF(BL123=0,0,(BL122*BL123+BL124*BL125*6)/BL123)</f>
        <v>0</v>
      </c>
      <c r="BM121" s="714">
        <f>IF(BK121=0,0,(BL121-BK121)/BK121*100)</f>
        <v>0</v>
      </c>
      <c r="BN121" s="820">
        <f>IF(BN123=0,0,(BN122*BN123+BN124*BN125*6)/BN123)</f>
        <v>0</v>
      </c>
      <c r="BO121" s="820">
        <f>IF(BO123=0,0,(BO122*BO123+BO124*BO125*6)/BO123)</f>
        <v>0</v>
      </c>
      <c r="BP121" s="714">
        <f>IF(BN121=0,0,(BO121-BN121)/BN121*100)</f>
        <v>0</v>
      </c>
      <c r="BQ121" s="820">
        <f>IF(BQ123=0,0,(BQ122*BQ123+BQ124*BQ125*6)/BQ123)</f>
        <v>0</v>
      </c>
      <c r="BR121" s="820">
        <f>IF(BR123=0,0,(BR122*BR123+BR124*BR125*6)/BR123)</f>
        <v>0</v>
      </c>
      <c r="BS121" s="714">
        <f>IF(BQ121=0,0,(BR121-BQ121)/BQ121*100)</f>
        <v>0</v>
      </c>
      <c r="BT121" s="820">
        <f>IF(BT123=0,0,(BT122*BT123+BT124*BT125*6)/BT123)</f>
        <v>0</v>
      </c>
      <c r="BU121" s="820">
        <f>IF(BU123=0,0,(BU122*BU123+BU124*BU125*6)/BU123)</f>
        <v>0</v>
      </c>
      <c r="BV121" s="714">
        <f>IF(BT121=0,0,(BU121-BT121)/BT121*100)</f>
        <v>0</v>
      </c>
      <c r="BW121" s="820">
        <f>IF(BW123=0,0,(BW122*BW123+BW124*BW125*6)/BW123)</f>
        <v>0</v>
      </c>
      <c r="BX121" s="820">
        <f>IF(BX123=0,0,(BX122*BX123+BX124*BX125*6)/BX123)</f>
        <v>0</v>
      </c>
      <c r="BY121" s="714">
        <f>IF(BW121=0,0,(BX121-BW121)/BW121*100)</f>
        <v>0</v>
      </c>
      <c r="BZ121" s="820">
        <f>IF(BZ123=0,0,(BZ122*BZ123+BZ124*BZ125*6)/BZ123)</f>
        <v>0</v>
      </c>
      <c r="CA121" s="820">
        <f>IF(CA123=0,0,(CA122*CA123+CA124*CA125*6)/CA123)</f>
        <v>0</v>
      </c>
      <c r="CB121" s="714">
        <f>IF(BZ121=0,0,(CA121-BZ121)/BZ121*100)</f>
        <v>0</v>
      </c>
      <c r="CC121" s="820">
        <f>IF(CC123=0,0,(CC122*CC123+CC124*CC125*6)/CC123)</f>
        <v>0</v>
      </c>
      <c r="CD121" s="820">
        <f>IF(CD123=0,0,(CD122*CD123+CD124*CD125*6)/CD123)</f>
        <v>0</v>
      </c>
      <c r="CE121" s="714">
        <f>IF(CC121=0,0,(CD121-CC121)/CC121*100)</f>
        <v>0</v>
      </c>
      <c r="CF121" s="820">
        <f>IF(CF123=0,0,(CF122*CF123+CF124*CF125*6)/CF123)</f>
        <v>0</v>
      </c>
      <c r="CG121" s="820">
        <f>IF(CG123=0,0,(CG122*CG123+CG124*CG125*6)/CG123)</f>
        <v>0</v>
      </c>
      <c r="CH121" s="714">
        <f>IF(CF121=0,0,(CG121-CF121)/CF121*100)</f>
        <v>0</v>
      </c>
      <c r="CI121" s="820">
        <f>IF(CI123=0,0,(CI122*CI123+CI124*CI125*6)/CI123)</f>
        <v>0</v>
      </c>
      <c r="CJ121" s="820">
        <f>IF(CJ123=0,0,(CJ122*CJ123+CJ124*CJ125*6)/CJ123)</f>
        <v>0</v>
      </c>
      <c r="CK121" s="714">
        <f>IF(CI121=0,0,(CJ121-CI121)/CI121*100)</f>
        <v>0</v>
      </c>
      <c r="CL121" s="820">
        <f>IF(CL123=0,0,(CL122*CL123+CL124*CL125*6)/CL123)</f>
        <v>0</v>
      </c>
      <c r="CM121" s="820">
        <f>IF(CM123=0,0,(CM122*CM123+CM124*CM125*6)/CM123)</f>
        <v>0</v>
      </c>
      <c r="CN121" s="714">
        <f>IF(CL121=0,0,(CM121-CL121)/CL121*100)</f>
        <v>0</v>
      </c>
      <c r="CO121" s="820">
        <f>IF(CO123=0,0,(CO122*CO123+CO124*CO125*6)/CO123)</f>
        <v>0</v>
      </c>
      <c r="CP121" s="820">
        <f>IF(CP123=0,0,(CP122*CP123+CP124*CP125*6)/CP123)</f>
        <v>0</v>
      </c>
      <c r="CQ121" s="714">
        <f>IF(CO121=0,0,(CP121-CO121)/CO121*100)</f>
        <v>0</v>
      </c>
      <c r="CR121" s="820">
        <f>IF(CR123=0,0,(CR122*CR123+CR124*CR125*6)/CR123)</f>
        <v>0</v>
      </c>
      <c r="CS121" s="820">
        <f>IF(CS123=0,0,(CS122*CS123+CS124*CS125*6)/CS123)</f>
        <v>0</v>
      </c>
      <c r="CT121" s="714">
        <f>IF(CR121=0,0,(CS121-CR121)/CR121*100)</f>
        <v>0</v>
      </c>
      <c r="CU121" s="820">
        <f>IF(CU123=0,0,(CU122*CU123+CU124*CU125*6)/CU123)</f>
        <v>0</v>
      </c>
      <c r="CV121" s="820">
        <f>IF(CV123=0,0,(CV122*CV123+CV124*CV125*6)/CV123)</f>
        <v>0</v>
      </c>
      <c r="CW121" s="714">
        <f>IF(CU121=0,0,(CV121-CU121)/CU121*100)</f>
        <v>0</v>
      </c>
      <c r="CX121" s="820">
        <f>IF(CX123=0,0,(CX122*CX123+CX124*CX125*6)/CX123)</f>
        <v>0</v>
      </c>
      <c r="CY121" s="820">
        <f>IF(CY123=0,0,(CY122*CY123+CY124*CY125*6)/CY123)</f>
        <v>0</v>
      </c>
      <c r="CZ121" s="714">
        <f>IF(CX121=0,0,(CY121-CX121)/CX121*100)</f>
        <v>0</v>
      </c>
      <c r="DA121" s="820">
        <f>IF(DA123=0,0,(DA122*DA123+DA124*DA125*6)/DA123)</f>
        <v>0</v>
      </c>
      <c r="DB121" s="820">
        <f>IF(DB123=0,0,(DB122*DB123+DB124*DB125*6)/DB123)</f>
        <v>0</v>
      </c>
      <c r="DC121" s="714">
        <f>IF(DA121=0,0,(DB121-DA121)/DA121*100)</f>
        <v>0</v>
      </c>
      <c r="DD121" s="820">
        <f>IF(DD123=0,0,(DD122*DD123+DD124*DD125*6)/DD123)</f>
        <v>0</v>
      </c>
      <c r="DE121" s="820">
        <f>IF(DE123=0,0,(DE122*DE123+DE124*DE125*6)/DE123)</f>
        <v>0</v>
      </c>
      <c r="DF121" s="714">
        <f>IF(DD121=0,0,(DE121-DD121)/DD121*100)</f>
        <v>0</v>
      </c>
      <c r="DG121" s="820">
        <f>IF(DG123=0,0,(DG122*DG123+DG124*DG125*6)/DG123)</f>
        <v>0</v>
      </c>
      <c r="DH121" s="820">
        <f>IF(DH123=0,0,(DH122*DH123+DH124*DH125*6)/DH123)</f>
        <v>0</v>
      </c>
      <c r="DI121" s="714">
        <f>IF(DG121=0,0,(DH121-DG121)/DG121*100)</f>
        <v>0</v>
      </c>
      <c r="DJ121" s="820">
        <f>IF(DJ123=0,0,(DJ122*DJ123+DJ124*DJ125*6)/DJ123)</f>
        <v>0</v>
      </c>
      <c r="DK121" s="820">
        <f>IF(DK123=0,0,(DK122*DK123+DK124*DK125*6)/DK123)</f>
        <v>0</v>
      </c>
      <c r="DL121" s="714">
        <f>IF(DJ121=0,0,(DK121-DJ121)/DJ121*100)</f>
        <v>0</v>
      </c>
      <c r="DM121" s="820">
        <f>IF(DM123=0,0,(DM122*DM123+DM124*DM125*6)/DM123)</f>
        <v>0</v>
      </c>
      <c r="DN121" s="820">
        <f>IF(DN123=0,0,(DN122*DN123+DN124*DN125*6)/DN123)</f>
        <v>0</v>
      </c>
      <c r="DO121" s="714">
        <f>IF(DM121=0,0,(DN121-DM121)/DM121*100)</f>
        <v>0</v>
      </c>
      <c r="DP121" s="820">
        <f>IF(DP123=0,0,(DP122*DP123+DP124*DP125*6)/DP123)</f>
        <v>0</v>
      </c>
      <c r="DQ121" s="820">
        <f>IF(DQ123=0,0,(DQ122*DQ123+DQ124*DQ125*6)/DQ123)</f>
        <v>0</v>
      </c>
      <c r="DR121" s="714">
        <f>IF(DP121=0,0,(DQ121-DP121)/DP121*100)</f>
        <v>0</v>
      </c>
      <c r="DS121" s="820">
        <f>IF(DS123=0,0,(DS122*DS123+DS124*DS125*6)/DS123)</f>
        <v>0</v>
      </c>
      <c r="DT121" s="820">
        <f>IF(DT123=0,0,(DT122*DT123+DT124*DT125*6)/DT123)</f>
        <v>0</v>
      </c>
      <c r="DU121" s="714">
        <f>IF(DS121=0,0,(DT121-DS121)/DS121*100)</f>
        <v>0</v>
      </c>
      <c r="DV121" s="820">
        <f>IF(DV123=0,0,(DV122*DV123+DV124*DV125*6)/DV123)</f>
        <v>0</v>
      </c>
      <c r="DW121" s="820">
        <f>IF(DW123=0,0,(DW122*DW123+DW124*DW125*6)/DW123)</f>
        <v>0</v>
      </c>
      <c r="DX121" s="714">
        <f>IF(DV121=0,0,(DW121-DV121)/DV121*100)</f>
        <v>0</v>
      </c>
      <c r="DY121" s="820">
        <f>IF(DY123=0,0,(DY122*DY123+DY124*DY125*6)/DY123)</f>
        <v>0</v>
      </c>
      <c r="DZ121" s="820">
        <f>IF(DZ123=0,0,(DZ122*DZ123+DZ124*DZ125*6)/DZ123)</f>
        <v>0</v>
      </c>
      <c r="EA121" s="714">
        <f>IF(DY121=0,0,(DZ121-DY121)/DY121*100)</f>
        <v>0</v>
      </c>
      <c r="EB121" s="820">
        <f>IF(EB123=0,0,(EB122*EB123+EB124*EB125*6)/EB123)</f>
        <v>0</v>
      </c>
      <c r="EC121" s="820">
        <f>IF(EC123=0,0,(EC122*EC123+EC124*EC125*6)/EC123)</f>
        <v>0</v>
      </c>
      <c r="ED121" s="714">
        <f>IF(EB121=0,0,(EC121-EB121)/EB121*100)</f>
        <v>0</v>
      </c>
      <c r="EE121" s="820">
        <f>IF(EE123=0,0,(EE122*EE123+EE124*EE125*6)/EE123)</f>
        <v>0</v>
      </c>
      <c r="EF121" s="820">
        <f>IF(EF123=0,0,(EF122*EF123+EF124*EF125*6)/EF123)</f>
        <v>0</v>
      </c>
      <c r="EG121" s="714">
        <f>IF(EE121=0,0,(EF121-EE121)/EE121*100)</f>
        <v>0</v>
      </c>
      <c r="EH121" s="820">
        <f>IF(EH123=0,0,(EH122*EH123+EH124*EH125*6)/EH123)</f>
        <v>0</v>
      </c>
      <c r="EI121" s="820">
        <f>IF(EI123=0,0,(EI122*EI123+EI124*EI125*6)/EI123)</f>
        <v>0</v>
      </c>
      <c r="EJ121" s="714">
        <f>IF(EH121=0,0,(EI121-EH121)/EH121*100)</f>
        <v>0</v>
      </c>
      <c r="EK121" s="820">
        <f>IF(EK123=0,0,(EK122*EK123+EK124*EK125*6)/EK123)</f>
        <v>0</v>
      </c>
      <c r="EL121" s="820">
        <f>IF(EL123=0,0,(EL122*EL123+EL124*EL125*6)/EL123)</f>
        <v>0</v>
      </c>
      <c r="EM121" s="714">
        <f>IF(EK121=0,0,(EL121-EK121)/EK121*100)</f>
        <v>0</v>
      </c>
      <c r="EN121" s="820">
        <f>IF(EN123=0,0,(EN122*EN123+EN124*EN125*6)/EN123)</f>
        <v>0</v>
      </c>
      <c r="EO121" s="820">
        <f>IF(EO123=0,0,(EO122*EO123+EO124*EO125*6)/EO123)</f>
        <v>0</v>
      </c>
      <c r="EP121" s="714">
        <f>IF(EN121=0,0,(EO121-EN121)/EN121*100)</f>
        <v>0</v>
      </c>
      <c r="EQ121" s="820">
        <f>IF(EQ123=0,0,(EQ122*EQ123+EQ124*EQ125*6)/EQ123)</f>
        <v>0</v>
      </c>
      <c r="ER121" s="820">
        <f>IF(ER123=0,0,(ER122*ER123+ER124*ER125*6)/ER123)</f>
        <v>0</v>
      </c>
      <c r="ES121" s="714">
        <f>IF(EQ121=0,0,(ER121-EQ121)/EQ121*100)</f>
        <v>0</v>
      </c>
      <c r="ET121" s="820">
        <f>IF(ET123=0,0,(ET122*ET123+ET124*ET125*6)/ET123)</f>
        <v>0</v>
      </c>
      <c r="EU121" s="820">
        <f>IF(EU123=0,0,(EU122*EU123+EU124*EU125*6)/EU123)</f>
        <v>0</v>
      </c>
      <c r="EV121" s="714">
        <f>IF(ET121=0,0,(EU121-ET121)/ET121*100)</f>
        <v>0</v>
      </c>
      <c r="EW121" s="820">
        <f>IF(EW123=0,0,(EW122*EW123+EW124*EW125*6)/EW123)</f>
        <v>0</v>
      </c>
      <c r="EX121" s="820">
        <f>IF(EX123=0,0,(EX122*EX123+EX124*EX125*6)/EX123)</f>
        <v>0</v>
      </c>
      <c r="EY121" s="714">
        <f>IF(EW121=0,0,(EX121-EW121)/EW121*100)</f>
        <v>0</v>
      </c>
      <c r="EZ121" s="820">
        <f>IF(EZ123=0,0,(EZ122*EZ123+EZ124*EZ125*6)/EZ123)</f>
        <v>0</v>
      </c>
      <c r="FA121" s="820">
        <f>IF(FA123=0,0,(FA122*FA123+FA124*FA125*6)/FA123)</f>
        <v>0</v>
      </c>
      <c r="FB121" s="714">
        <f>IF(EZ121=0,0,(FA121-EZ121)/EZ121*100)</f>
        <v>0</v>
      </c>
      <c r="FC121" s="820">
        <f>IF(FC123=0,0,(FC122*FC123+FC124*FC125*6)/FC123)</f>
        <v>0</v>
      </c>
      <c r="FD121" s="820">
        <f>IF(FD123=0,0,(FD122*FD123+FD124*FD125*6)/FD123)</f>
        <v>0</v>
      </c>
      <c r="FE121" s="714">
        <f>IF(FC121=0,0,(FD121-FC121)/FC121*100)</f>
        <v>0</v>
      </c>
      <c r="FF121" s="820">
        <f>IF(FF123=0,0,(FF122*FF123+FF124*FF125*6)/FF123)</f>
        <v>0</v>
      </c>
      <c r="FG121" s="820">
        <f>IF(FG123=0,0,(FG122*FG123+FG124*FG125*6)/FG123)</f>
        <v>0</v>
      </c>
      <c r="FH121" s="714">
        <f>IF(FF121=0,0,(FG121-FF121)/FF121*100)</f>
        <v>0</v>
      </c>
      <c r="FI121" s="820">
        <f>IF(FI123=0,0,(FI122*FI123+FI124*FI125*6)/FI123)</f>
        <v>0</v>
      </c>
      <c r="FJ121" s="820">
        <f>IF(FJ123=0,0,(FJ122*FJ123+FJ124*FJ125*6)/FJ123)</f>
        <v>0</v>
      </c>
      <c r="FK121" s="714">
        <f>IF(FI121=0,0,(FJ121-FI121)/FI121*100)</f>
        <v>0</v>
      </c>
      <c r="FL121" s="820">
        <f>IF(FL123=0,0,(FL122*FL123+FL124*FL125*6)/FL123)</f>
        <v>0</v>
      </c>
      <c r="FM121" s="820">
        <f>IF(FM123=0,0,(FM122*FM123+FM124*FM125*6)/FM123)</f>
        <v>0</v>
      </c>
      <c r="FN121" s="714">
        <f>IF(FL121=0,0,(FM121-FL121)/FL121*100)</f>
        <v>0</v>
      </c>
      <c r="FO121" s="820">
        <f>IF(FO123=0,0,(FO122*FO123+FO124*FO125*6)/FO123)</f>
        <v>0</v>
      </c>
      <c r="FP121" s="820">
        <f>IF(FP123=0,0,(FP122*FP123+FP124*FP125*6)/FP123)</f>
        <v>0</v>
      </c>
      <c r="FQ121" s="714">
        <f>IF(FO121=0,0,(FP121-FO121)/FO121*100)</f>
        <v>0</v>
      </c>
      <c r="FR121" s="820">
        <f>IF(FR123=0,0,(FR122*FR123+FR124*FR125*6)/FR123)</f>
        <v>0</v>
      </c>
      <c r="FS121" s="820">
        <f>IF(FS123=0,0,(FS122*FS123+FS124*FS125*6)/FS123)</f>
        <v>0</v>
      </c>
      <c r="FT121" s="714">
        <f>IF(FR121=0,0,(FS121-FR121)/FR121*100)</f>
        <v>0</v>
      </c>
      <c r="FU121" s="820">
        <f>IF(FU123=0,0,(FU122*FU123+FU124*FU125*6)/FU123)</f>
        <v>0</v>
      </c>
      <c r="FV121" s="820">
        <f>IF(FV123=0,0,(FV122*FV123+FV124*FV125*6)/FV123)</f>
        <v>0</v>
      </c>
      <c r="FW121" s="714">
        <f>IF(FU121=0,0,(FV121-FU121)/FU121*100)</f>
        <v>0</v>
      </c>
      <c r="FZ121" s="691" t="s">
        <v>1705</v>
      </c>
    </row>
    <row r="122" spans="1:186" ht="14.25" hidden="1" customHeight="1" x14ac:dyDescent="0.15">
      <c r="A122" s="59"/>
      <c r="B122" s="613" t="b" cm="1">
        <f t="array" ref="B122">B121</f>
        <v>0</v>
      </c>
      <c r="C122" s="59"/>
      <c r="D122" s="59"/>
      <c r="E122" s="462">
        <v>15</v>
      </c>
      <c r="F122" s="3" t="str" cm="1">
        <f t="array" aca="1" ref="F122" ca="1">OFFSET(E122,-1,1)</f>
        <v>1</v>
      </c>
      <c r="G122" s="59"/>
      <c r="H122" s="59" t="s">
        <v>1574</v>
      </c>
      <c r="I122" s="59" t="s">
        <v>1661</v>
      </c>
      <c r="J122" s="59"/>
      <c r="K122" s="59"/>
      <c r="L122" s="59"/>
      <c r="M122" s="59"/>
      <c r="N122" s="59"/>
      <c r="O122" s="59"/>
      <c r="P122" s="59"/>
      <c r="Q122" s="59"/>
      <c r="R122" s="59"/>
      <c r="S122" s="59"/>
      <c r="T122" s="353" t="b" cm="1">
        <f t="array" aca="1" ref="T122" ca="1">T121</f>
        <v>1</v>
      </c>
      <c r="U122" s="59"/>
      <c r="V122" s="59"/>
      <c r="W122" s="59"/>
      <c r="X122" s="1022"/>
      <c r="Y122" s="59"/>
      <c r="Z122" s="966"/>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1644</v>
      </c>
      <c r="AD122" s="820"/>
      <c r="AE122" s="820"/>
      <c r="AF122" s="714">
        <f>IF(AD122=0,0,(AE122-AD122)/AD122*100)</f>
        <v>0</v>
      </c>
      <c r="AG122" s="820"/>
      <c r="AH122" s="820"/>
      <c r="AI122" s="714">
        <f>IF(AG122=0,0,(AH122-AG122)/AG122*100)</f>
        <v>0</v>
      </c>
      <c r="AJ122" s="820"/>
      <c r="AK122" s="820"/>
      <c r="AL122" s="714">
        <f>IF(AJ122=0,0,(AK122-AJ122)/AJ122*100)</f>
        <v>0</v>
      </c>
      <c r="AM122" s="820"/>
      <c r="AN122" s="820"/>
      <c r="AO122" s="714">
        <f>IF(AM122=0,0,(AN122-AM122)/AM122*100)</f>
        <v>0</v>
      </c>
      <c r="AP122" s="820"/>
      <c r="AQ122" s="820"/>
      <c r="AR122" s="714">
        <f>IF(AP122=0,0,(AQ122-AP122)/AP122*100)</f>
        <v>0</v>
      </c>
      <c r="AS122" s="820"/>
      <c r="AT122" s="820"/>
      <c r="AU122" s="714">
        <f>IF(AS122=0,0,(AT122-AS122)/AS122*100)</f>
        <v>0</v>
      </c>
      <c r="AV122" s="820"/>
      <c r="AW122" s="820"/>
      <c r="AX122" s="714">
        <f>IF(AV122=0,0,(AW122-AV122)/AV122*100)</f>
        <v>0</v>
      </c>
      <c r="AY122" s="820"/>
      <c r="AZ122" s="820"/>
      <c r="BA122" s="714">
        <f>IF(AY122=0,0,(AZ122-AY122)/AY122*100)</f>
        <v>0</v>
      </c>
      <c r="BB122" s="820"/>
      <c r="BC122" s="820"/>
      <c r="BD122" s="714">
        <f>IF(BB122=0,0,(BC122-BB122)/BB122*100)</f>
        <v>0</v>
      </c>
      <c r="BE122" s="820"/>
      <c r="BF122" s="820"/>
      <c r="BG122" s="714">
        <f>IF(BE122=0,0,(BF122-BE122)/BE122*100)</f>
        <v>0</v>
      </c>
      <c r="BH122" s="820"/>
      <c r="BI122" s="820"/>
      <c r="BJ122" s="714">
        <f>IF(BH122=0,0,(BI122-BH122)/BH122*100)</f>
        <v>0</v>
      </c>
      <c r="BK122" s="820"/>
      <c r="BL122" s="820"/>
      <c r="BM122" s="714">
        <f>IF(BK122=0,0,(BL122-BK122)/BK122*100)</f>
        <v>0</v>
      </c>
      <c r="BN122" s="820"/>
      <c r="BO122" s="820"/>
      <c r="BP122" s="714">
        <f>IF(BN122=0,0,(BO122-BN122)/BN122*100)</f>
        <v>0</v>
      </c>
      <c r="BQ122" s="820"/>
      <c r="BR122" s="820"/>
      <c r="BS122" s="714">
        <f>IF(BQ122=0,0,(BR122-BQ122)/BQ122*100)</f>
        <v>0</v>
      </c>
      <c r="BT122" s="820"/>
      <c r="BU122" s="820"/>
      <c r="BV122" s="714">
        <f>IF(BT122=0,0,(BU122-BT122)/BT122*100)</f>
        <v>0</v>
      </c>
      <c r="BW122" s="820"/>
      <c r="BX122" s="820"/>
      <c r="BY122" s="714">
        <f>IF(BW122=0,0,(BX122-BW122)/BW122*100)</f>
        <v>0</v>
      </c>
      <c r="BZ122" s="820"/>
      <c r="CA122" s="820"/>
      <c r="CB122" s="714">
        <f>IF(BZ122=0,0,(CA122-BZ122)/BZ122*100)</f>
        <v>0</v>
      </c>
      <c r="CC122" s="820"/>
      <c r="CD122" s="820"/>
      <c r="CE122" s="714">
        <f>IF(CC122=0,0,(CD122-CC122)/CC122*100)</f>
        <v>0</v>
      </c>
      <c r="CF122" s="820"/>
      <c r="CG122" s="820"/>
      <c r="CH122" s="714">
        <f>IF(CF122=0,0,(CG122-CF122)/CF122*100)</f>
        <v>0</v>
      </c>
      <c r="CI122" s="820"/>
      <c r="CJ122" s="820"/>
      <c r="CK122" s="714">
        <f>IF(CI122=0,0,(CJ122-CI122)/CI122*100)</f>
        <v>0</v>
      </c>
      <c r="CL122" s="820"/>
      <c r="CM122" s="820"/>
      <c r="CN122" s="714">
        <f>IF(CL122=0,0,(CM122-CL122)/CL122*100)</f>
        <v>0</v>
      </c>
      <c r="CO122" s="820"/>
      <c r="CP122" s="820"/>
      <c r="CQ122" s="714">
        <f>IF(CO122=0,0,(CP122-CO122)/CO122*100)</f>
        <v>0</v>
      </c>
      <c r="CR122" s="820"/>
      <c r="CS122" s="820"/>
      <c r="CT122" s="714">
        <f>IF(CR122=0,0,(CS122-CR122)/CR122*100)</f>
        <v>0</v>
      </c>
      <c r="CU122" s="820"/>
      <c r="CV122" s="820"/>
      <c r="CW122" s="714">
        <f>IF(CU122=0,0,(CV122-CU122)/CU122*100)</f>
        <v>0</v>
      </c>
      <c r="CX122" s="820"/>
      <c r="CY122" s="820"/>
      <c r="CZ122" s="714">
        <f>IF(CX122=0,0,(CY122-CX122)/CX122*100)</f>
        <v>0</v>
      </c>
      <c r="DA122" s="820"/>
      <c r="DB122" s="820"/>
      <c r="DC122" s="714">
        <f>IF(DA122=0,0,(DB122-DA122)/DA122*100)</f>
        <v>0</v>
      </c>
      <c r="DD122" s="820"/>
      <c r="DE122" s="820"/>
      <c r="DF122" s="714">
        <f>IF(DD122=0,0,(DE122-DD122)/DD122*100)</f>
        <v>0</v>
      </c>
      <c r="DG122" s="820"/>
      <c r="DH122" s="820"/>
      <c r="DI122" s="714">
        <f>IF(DG122=0,0,(DH122-DG122)/DG122*100)</f>
        <v>0</v>
      </c>
      <c r="DJ122" s="820"/>
      <c r="DK122" s="820"/>
      <c r="DL122" s="714">
        <f>IF(DJ122=0,0,(DK122-DJ122)/DJ122*100)</f>
        <v>0</v>
      </c>
      <c r="DM122" s="820"/>
      <c r="DN122" s="820"/>
      <c r="DO122" s="714">
        <f>IF(DM122=0,0,(DN122-DM122)/DM122*100)</f>
        <v>0</v>
      </c>
      <c r="DP122" s="820"/>
      <c r="DQ122" s="820"/>
      <c r="DR122" s="714">
        <f>IF(DP122=0,0,(DQ122-DP122)/DP122*100)</f>
        <v>0</v>
      </c>
      <c r="DS122" s="820"/>
      <c r="DT122" s="820"/>
      <c r="DU122" s="714">
        <f>IF(DS122=0,0,(DT122-DS122)/DS122*100)</f>
        <v>0</v>
      </c>
      <c r="DV122" s="820"/>
      <c r="DW122" s="820"/>
      <c r="DX122" s="714">
        <f>IF(DV122=0,0,(DW122-DV122)/DV122*100)</f>
        <v>0</v>
      </c>
      <c r="DY122" s="820"/>
      <c r="DZ122" s="820"/>
      <c r="EA122" s="714">
        <f>IF(DY122=0,0,(DZ122-DY122)/DY122*100)</f>
        <v>0</v>
      </c>
      <c r="EB122" s="820"/>
      <c r="EC122" s="820"/>
      <c r="ED122" s="714">
        <f>IF(EB122=0,0,(EC122-EB122)/EB122*100)</f>
        <v>0</v>
      </c>
      <c r="EE122" s="820"/>
      <c r="EF122" s="820"/>
      <c r="EG122" s="714">
        <f>IF(EE122=0,0,(EF122-EE122)/EE122*100)</f>
        <v>0</v>
      </c>
      <c r="EH122" s="820"/>
      <c r="EI122" s="820"/>
      <c r="EJ122" s="714">
        <f>IF(EH122=0,0,(EI122-EH122)/EH122*100)</f>
        <v>0</v>
      </c>
      <c r="EK122" s="820"/>
      <c r="EL122" s="820"/>
      <c r="EM122" s="714">
        <f>IF(EK122=0,0,(EL122-EK122)/EK122*100)</f>
        <v>0</v>
      </c>
      <c r="EN122" s="820"/>
      <c r="EO122" s="820"/>
      <c r="EP122" s="714">
        <f>IF(EN122=0,0,(EO122-EN122)/EN122*100)</f>
        <v>0</v>
      </c>
      <c r="EQ122" s="820"/>
      <c r="ER122" s="820"/>
      <c r="ES122" s="714">
        <f>IF(EQ122=0,0,(ER122-EQ122)/EQ122*100)</f>
        <v>0</v>
      </c>
      <c r="ET122" s="820"/>
      <c r="EU122" s="820"/>
      <c r="EV122" s="714">
        <f>IF(ET122=0,0,(EU122-ET122)/ET122*100)</f>
        <v>0</v>
      </c>
      <c r="EW122" s="820"/>
      <c r="EX122" s="820"/>
      <c r="EY122" s="714">
        <f>IF(EW122=0,0,(EX122-EW122)/EW122*100)</f>
        <v>0</v>
      </c>
      <c r="EZ122" s="820"/>
      <c r="FA122" s="820"/>
      <c r="FB122" s="714">
        <f>IF(EZ122=0,0,(FA122-EZ122)/EZ122*100)</f>
        <v>0</v>
      </c>
      <c r="FC122" s="820"/>
      <c r="FD122" s="820"/>
      <c r="FE122" s="714">
        <f>IF(FC122=0,0,(FD122-FC122)/FC122*100)</f>
        <v>0</v>
      </c>
      <c r="FF122" s="820"/>
      <c r="FG122" s="820"/>
      <c r="FH122" s="714">
        <f>IF(FF122=0,0,(FG122-FF122)/FF122*100)</f>
        <v>0</v>
      </c>
      <c r="FI122" s="820"/>
      <c r="FJ122" s="820"/>
      <c r="FK122" s="714">
        <f>IF(FI122=0,0,(FJ122-FI122)/FI122*100)</f>
        <v>0</v>
      </c>
      <c r="FL122" s="820"/>
      <c r="FM122" s="820"/>
      <c r="FN122" s="714">
        <f>IF(FL122=0,0,(FM122-FL122)/FL122*100)</f>
        <v>0</v>
      </c>
      <c r="FO122" s="820"/>
      <c r="FP122" s="820"/>
      <c r="FQ122" s="714">
        <f>IF(FO122=0,0,(FP122-FO122)/FO122*100)</f>
        <v>0</v>
      </c>
      <c r="FR122" s="820"/>
      <c r="FS122" s="820"/>
      <c r="FT122" s="714">
        <f>IF(FR122=0,0,(FS122-FR122)/FR122*100)</f>
        <v>0</v>
      </c>
      <c r="FU122" s="820"/>
      <c r="FV122" s="820"/>
      <c r="FW122" s="714">
        <f>IF(FU122=0,0,(FV122-FU122)/FU122*100)</f>
        <v>0</v>
      </c>
      <c r="FZ122" s="691" t="s">
        <v>1706</v>
      </c>
    </row>
    <row r="123" spans="1:186" ht="14.25" hidden="1" customHeight="1" x14ac:dyDescent="0.15">
      <c r="A123" s="59"/>
      <c r="B123" s="613" t="b" cm="1">
        <f t="array" ref="B123">B122</f>
        <v>0</v>
      </c>
      <c r="C123" s="59"/>
      <c r="D123" s="59"/>
      <c r="E123" s="462">
        <v>15</v>
      </c>
      <c r="F123" s="3" t="str" cm="1">
        <f t="array" aca="1" ref="F123" ca="1">OFFSET(E123,-1,1)</f>
        <v>1</v>
      </c>
      <c r="G123" s="25" t="s">
        <v>1707</v>
      </c>
      <c r="H123" s="59" t="s">
        <v>1681</v>
      </c>
      <c r="I123" s="59" t="s">
        <v>1661</v>
      </c>
      <c r="J123" s="59"/>
      <c r="K123" s="59"/>
      <c r="L123" s="59"/>
      <c r="M123" s="59"/>
      <c r="N123" s="59"/>
      <c r="O123" s="59"/>
      <c r="P123" s="59"/>
      <c r="Q123" s="59"/>
      <c r="R123" s="59"/>
      <c r="S123" s="59"/>
      <c r="T123" s="353" t="b" cm="1">
        <f t="array" aca="1" ref="T123" ca="1">T122</f>
        <v>1</v>
      </c>
      <c r="U123" s="59"/>
      <c r="V123" s="59"/>
      <c r="W123" s="59"/>
      <c r="X123" s="1022"/>
      <c r="Y123" s="59"/>
      <c r="Z123" s="966"/>
      <c r="AA123" s="59"/>
      <c r="AB123" s="105" t="str">
        <f>"объём "&amp;IF(Q85="Водоснабжение","потребления холодной воды","водоотведения")</f>
        <v>объём потребления холодной воды</v>
      </c>
      <c r="AC123" s="12" t="s">
        <v>558</v>
      </c>
      <c r="AD123" s="836">
        <f ca="1">IF(AND(method_reg="Метод индексации",god&lt;&gt;first_year),SUMIFS(INDEX('Калькуляция (МИ корр)'!$AJ$25:$BC$603,,MATCH(AD$8,'Калькуляция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(МИ)'!$AJ$25:$BC$603,,MATCH(AD$8,'Калькуляция (МИ)'!$AJ$8:$BC$8,0)),'Калькуляция (МИ)'!$F$25:$F$603,$F123,'Калькуляция (МИ)'!$G$25:$G$603,$G123))))</f>
        <v>0</v>
      </c>
      <c r="AE123" s="836">
        <f ca="1">IF(AND(method_reg="Метод индексации",god&lt;&gt;first_year),SUMIFS(INDEX('Калькуляция (МИ корр)'!$AJ$25:$BC$603,,MATCH(AE$8,'Калькуляция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(МИ)'!$AJ$25:$BC$603,,MATCH(AE$8,'Калькуляция (МИ)'!$AJ$8:$BC$8,0)),'Калькуляция (МИ)'!$F$25:$F$603,$F123,'Калькуляция (МИ)'!$G$25:$G$603,$G123))))</f>
        <v>0</v>
      </c>
      <c r="AF123" s="715">
        <f ca="1">IF(AD123=0,0,(AE123-AD123)/AD123*100)</f>
        <v>0</v>
      </c>
      <c r="AG123" s="836">
        <f ca="1">IF(AND(method_reg="Метод индексации",god&lt;&gt;first_year),SUMIFS(INDEX('Калькуляция (МИ корр)'!$AJ$25:$BC$603,,MATCH(AG$8,'Калькуляция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(МИ)'!$AJ$25:$BC$603,,MATCH(AG$8,'Калькуляция (МИ)'!$AJ$8:$BC$8,0)),'Калькуляция (МИ)'!$F$25:$F$603,$F123,'Калькуляция (МИ)'!$G$25:$G$603,$G123))))</f>
        <v>0</v>
      </c>
      <c r="AH123" s="836">
        <f ca="1">IF(AND(method_reg="Метод индексации",god&lt;&gt;first_year),SUMIFS(INDEX('Калькуляция (МИ корр)'!$AJ$25:$BC$603,,MATCH(AH$8,'Калькуляция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(МИ)'!$AJ$25:$BC$603,,MATCH(AH$8,'Калькуляция (МИ)'!$AJ$8:$BC$8,0)),'Калькуляция (МИ)'!$F$25:$F$603,$F123,'Калькуляция (МИ)'!$G$25:$G$603,$G123))))</f>
        <v>0</v>
      </c>
      <c r="AI123" s="715">
        <f ca="1">IF(AG123=0,0,(AH123-AG123)/AG123*100)</f>
        <v>0</v>
      </c>
      <c r="AJ123" s="836">
        <f ca="1">IF(AND(method_reg="Метод индексации",god&lt;&gt;first_year),SUMIFS(INDEX('Калькуляция (МИ корр)'!$AJ$25:$BC$603,,MATCH(AJ$8,'Калькуляция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(МИ)'!$AJ$25:$BC$603,,MATCH(AJ$8,'Калькуляция (МИ)'!$AJ$8:$BC$8,0)),'Калькуляция (МИ)'!$F$25:$F$603,$F123,'Калькуляция (МИ)'!$G$25:$G$603,$G123))))</f>
        <v>0</v>
      </c>
      <c r="AK123" s="836">
        <f ca="1">IF(AND(method_reg="Метод индексации",god&lt;&gt;first_year),SUMIFS(INDEX('Калькуляция (МИ корр)'!$AJ$25:$BC$603,,MATCH(AK$8,'Калькуляция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(МИ)'!$AJ$25:$BC$603,,MATCH(AK$8,'Калькуляция (МИ)'!$AJ$8:$BC$8,0)),'Калькуляция (МИ)'!$F$25:$F$603,$F123,'Калькуляция (МИ)'!$G$25:$G$603,$G123))))</f>
        <v>0</v>
      </c>
      <c r="AL123" s="715">
        <f ca="1">IF(AJ123=0,0,(AK123-AJ123)/AJ123*100)</f>
        <v>0</v>
      </c>
      <c r="AM123" s="836">
        <f ca="1">IF(AND(method_reg="Метод индексации",god&lt;&gt;first_year),SUMIFS(INDEX('Калькуляция (МИ корр)'!$AJ$25:$BC$603,,MATCH(AM$8,'Калькуляция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(МИ)'!$AJ$25:$BC$603,,MATCH(AM$8,'Калькуляция (МИ)'!$AJ$8:$BC$8,0)),'Калькуляция (МИ)'!$F$25:$F$603,$F123,'Калькуляция (МИ)'!$G$25:$G$603,$G123))))</f>
        <v>0</v>
      </c>
      <c r="AN123" s="836">
        <f ca="1">IF(AND(method_reg="Метод индексации",god&lt;&gt;first_year),SUMIFS(INDEX('Калькуляция (МИ корр)'!$AJ$25:$BC$603,,MATCH(AN$8,'Калькуляция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(МИ)'!$AJ$25:$BC$603,,MATCH(AN$8,'Калькуляция (МИ)'!$AJ$8:$BC$8,0)),'Калькуляция (МИ)'!$F$25:$F$603,$F123,'Калькуляция (МИ)'!$G$25:$G$603,$G123))))</f>
        <v>0</v>
      </c>
      <c r="AO123" s="715">
        <f ca="1">IF(AM123=0,0,(AN123-AM123)/AM123*100)</f>
        <v>0</v>
      </c>
      <c r="AP123" s="836">
        <f ca="1">IF(AND(method_reg="Метод индексации",god&lt;&gt;first_year),SUMIFS(INDEX('Калькуляция (МИ корр)'!$AJ$25:$BC$603,,MATCH(AP$8,'Калькуляция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(МИ)'!$AJ$25:$BC$603,,MATCH(AP$8,'Калькуляция (МИ)'!$AJ$8:$BC$8,0)),'Калькуляция (МИ)'!$F$25:$F$603,$F123,'Калькуляция (МИ)'!$G$25:$G$603,$G123))))</f>
        <v>0</v>
      </c>
      <c r="AQ123" s="836">
        <f ca="1">IF(AND(method_reg="Метод индексации",god&lt;&gt;first_year),SUMIFS(INDEX('Калькуляция (МИ корр)'!$AJ$25:$BC$603,,MATCH(AQ$8,'Калькуляция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(МИ)'!$AJ$25:$BC$603,,MATCH(AQ$8,'Калькуляция (МИ)'!$AJ$8:$BC$8,0)),'Калькуляция (МИ)'!$F$25:$F$603,$F123,'Калькуляция (МИ)'!$G$25:$G$603,$G123))))</f>
        <v>0</v>
      </c>
      <c r="AR123" s="715">
        <f ca="1">IF(AP123=0,0,(AQ123-AP123)/AP123*100)</f>
        <v>0</v>
      </c>
      <c r="AS123" s="836">
        <f ca="1">IF(AND(method_reg="Метод индексации",god&lt;&gt;first_year),SUMIFS(INDEX('Калькуляция (МИ корр)'!$AJ$25:$BC$603,,MATCH(AS$8,'Калькуляция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(МИ)'!$AJ$25:$BC$603,,MATCH(AS$8,'Калькуляция (МИ)'!$AJ$8:$BC$8,0)),'Калькуляция (МИ)'!$F$25:$F$603,$F123,'Калькуляция (МИ)'!$G$25:$G$603,$G123))))</f>
        <v>0</v>
      </c>
      <c r="AT123" s="836">
        <f ca="1">IF(AND(method_reg="Метод индексации",god&lt;&gt;first_year),SUMIFS(INDEX('Калькуляция (МИ корр)'!$AJ$25:$BC$603,,MATCH(AT$8,'Калькуляция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(МИ)'!$AJ$25:$BC$603,,MATCH(AT$8,'Калькуляция (МИ)'!$AJ$8:$BC$8,0)),'Калькуляция (МИ)'!$F$25:$F$603,$F123,'Калькуляция (МИ)'!$G$25:$G$603,$G123))))</f>
        <v>0</v>
      </c>
      <c r="AU123" s="715">
        <f ca="1">IF(AS123=0,0,(AT123-AS123)/AS123*100)</f>
        <v>0</v>
      </c>
      <c r="AV123" s="836">
        <f ca="1">IF(AND(method_reg="Метод индексации",god&lt;&gt;first_year),SUMIFS(INDEX('Калькуляция (МИ корр)'!$AJ$25:$BC$603,,MATCH(AV$8,'Калькуляция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(МИ)'!$AJ$25:$BC$603,,MATCH(AV$8,'Калькуляция (МИ)'!$AJ$8:$BC$8,0)),'Калькуляция (МИ)'!$F$25:$F$603,$F123,'Калькуляция (МИ)'!$G$25:$G$603,$G123))))</f>
        <v>0</v>
      </c>
      <c r="AW123" s="836">
        <f ca="1">IF(AND(method_reg="Метод индексации",god&lt;&gt;first_year),SUMIFS(INDEX('Калькуляция (МИ корр)'!$AJ$25:$BC$603,,MATCH(AW$8,'Калькуляция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(МИ)'!$AJ$25:$BC$603,,MATCH(AW$8,'Калькуляция (МИ)'!$AJ$8:$BC$8,0)),'Калькуляция (МИ)'!$F$25:$F$603,$F123,'Калькуляция (МИ)'!$G$25:$G$603,$G123))))</f>
        <v>0</v>
      </c>
      <c r="AX123" s="715">
        <f ca="1">IF(AV123=0,0,(AW123-AV123)/AV123*100)</f>
        <v>0</v>
      </c>
      <c r="AY123" s="836">
        <f ca="1">IF(AND(method_reg="Метод индексации",god&lt;&gt;first_year),SUMIFS(INDEX('Калькуляция (МИ корр)'!$AJ$25:$BC$603,,MATCH(AY$8,'Калькуляция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(МИ)'!$AJ$25:$BC$603,,MATCH(AY$8,'Калькуляция (МИ)'!$AJ$8:$BC$8,0)),'Калькуляция (МИ)'!$F$25:$F$603,$F123,'Калькуляция (МИ)'!$G$25:$G$603,$G123))))</f>
        <v>0</v>
      </c>
      <c r="AZ123" s="836">
        <f ca="1">IF(AND(method_reg="Метод индексации",god&lt;&gt;first_year),SUMIFS(INDEX('Калькуляция (МИ корр)'!$AJ$25:$BC$603,,MATCH(AZ$8,'Калькуляция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(МИ)'!$AJ$25:$BC$603,,MATCH(AZ$8,'Калькуляция (МИ)'!$AJ$8:$BC$8,0)),'Калькуляция (МИ)'!$F$25:$F$603,$F123,'Калькуляция (МИ)'!$G$25:$G$603,$G123))))</f>
        <v>0</v>
      </c>
      <c r="BA123" s="715">
        <f ca="1">IF(AY123=0,0,(AZ123-AY123)/AY123*100)</f>
        <v>0</v>
      </c>
      <c r="BB123" s="836">
        <f ca="1">IF(AND(method_reg="Метод индексации",god&lt;&gt;first_year),SUMIFS(INDEX('Калькуляция (МИ корр)'!$AJ$25:$BC$603,,MATCH(BB$8,'Калькуляция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(МИ)'!$AJ$25:$BC$603,,MATCH(BB$8,'Калькуляция (МИ)'!$AJ$8:$BC$8,0)),'Калькуляция (МИ)'!$F$25:$F$603,$F123,'Калькуляция (МИ)'!$G$25:$G$603,$G123))))</f>
        <v>0</v>
      </c>
      <c r="BC123" s="836">
        <f ca="1">IF(AND(method_reg="Метод индексации",god&lt;&gt;first_year),SUMIFS(INDEX('Калькуляция (МИ корр)'!$AJ$25:$BC$603,,MATCH(BC$8,'Калькуляция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(МИ)'!$AJ$25:$BC$603,,MATCH(BC$8,'Калькуляция (МИ)'!$AJ$8:$BC$8,0)),'Калькуляция (МИ)'!$F$25:$F$603,$F123,'Калькуляция (МИ)'!$G$25:$G$603,$G123))))</f>
        <v>0</v>
      </c>
      <c r="BD123" s="715">
        <f ca="1">IF(BB123=0,0,(BC123-BB123)/BB123*100)</f>
        <v>0</v>
      </c>
      <c r="BE123" s="836">
        <f ca="1">IF(AND(method_reg="Метод индексации",god&lt;&gt;first_year),SUMIFS(INDEX('Калькуляция (МИ корр)'!$AJ$25:$BC$603,,MATCH(BE$8,'Калькуляция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(МИ)'!$AJ$25:$BC$603,,MATCH(BE$8,'Калькуляция (МИ)'!$AJ$8:$BC$8,0)),'Калькуляция (МИ)'!$F$25:$F$603,$F123,'Калькуляция (МИ)'!$G$25:$G$603,$G123))))</f>
        <v>0</v>
      </c>
      <c r="BF123" s="836">
        <f ca="1">IF(AND(method_reg="Метод индексации",god&lt;&gt;first_year),SUMIFS(INDEX('Калькуляция (МИ корр)'!$AJ$25:$BC$603,,MATCH(BF$8,'Калькуляция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(МИ)'!$AJ$25:$BC$603,,MATCH(BF$8,'Калькуляция (МИ)'!$AJ$8:$BC$8,0)),'Калькуляция (МИ)'!$F$25:$F$603,$F123,'Калькуляция (МИ)'!$G$25:$G$603,$G123))))</f>
        <v>0</v>
      </c>
      <c r="BG123" s="715">
        <f ca="1">IF(BE123=0,0,(BF123-BE123)/BE123*100)</f>
        <v>0</v>
      </c>
      <c r="BH123" s="836"/>
      <c r="BI123" s="836"/>
      <c r="BJ123" s="715">
        <f>IF(BH123=0,0,(BI123-BH123)/BH123*100)</f>
        <v>0</v>
      </c>
      <c r="BK123" s="836"/>
      <c r="BL123" s="836"/>
      <c r="BM123" s="715">
        <f>IF(BK123=0,0,(BL123-BK123)/BK123*100)</f>
        <v>0</v>
      </c>
      <c r="BN123" s="836"/>
      <c r="BO123" s="836"/>
      <c r="BP123" s="715">
        <f>IF(BN123=0,0,(BO123-BN123)/BN123*100)</f>
        <v>0</v>
      </c>
      <c r="BQ123" s="836"/>
      <c r="BR123" s="836"/>
      <c r="BS123" s="715">
        <f>IF(BQ123=0,0,(BR123-BQ123)/BQ123*100)</f>
        <v>0</v>
      </c>
      <c r="BT123" s="836"/>
      <c r="BU123" s="836"/>
      <c r="BV123" s="715">
        <f>IF(BT123=0,0,(BU123-BT123)/BT123*100)</f>
        <v>0</v>
      </c>
      <c r="BW123" s="836"/>
      <c r="BX123" s="836"/>
      <c r="BY123" s="715">
        <f>IF(BW123=0,0,(BX123-BW123)/BW123*100)</f>
        <v>0</v>
      </c>
      <c r="BZ123" s="836"/>
      <c r="CA123" s="836"/>
      <c r="CB123" s="715">
        <f>IF(BZ123=0,0,(CA123-BZ123)/BZ123*100)</f>
        <v>0</v>
      </c>
      <c r="CC123" s="836"/>
      <c r="CD123" s="836"/>
      <c r="CE123" s="715">
        <f>IF(CC123=0,0,(CD123-CC123)/CC123*100)</f>
        <v>0</v>
      </c>
      <c r="CF123" s="836"/>
      <c r="CG123" s="836"/>
      <c r="CH123" s="715">
        <f>IF(CF123=0,0,(CG123-CF123)/CF123*100)</f>
        <v>0</v>
      </c>
      <c r="CI123" s="836"/>
      <c r="CJ123" s="836"/>
      <c r="CK123" s="715">
        <f>IF(CI123=0,0,(CJ123-CI123)/CI123*100)</f>
        <v>0</v>
      </c>
      <c r="CL123" s="836"/>
      <c r="CM123" s="836"/>
      <c r="CN123" s="715">
        <f>IF(CL123=0,0,(CM123-CL123)/CL123*100)</f>
        <v>0</v>
      </c>
      <c r="CO123" s="836"/>
      <c r="CP123" s="836"/>
      <c r="CQ123" s="715">
        <f>IF(CO123=0,0,(CP123-CO123)/CO123*100)</f>
        <v>0</v>
      </c>
      <c r="CR123" s="836"/>
      <c r="CS123" s="836"/>
      <c r="CT123" s="715">
        <f>IF(CR123=0,0,(CS123-CR123)/CR123*100)</f>
        <v>0</v>
      </c>
      <c r="CU123" s="836"/>
      <c r="CV123" s="836"/>
      <c r="CW123" s="715">
        <f>IF(CU123=0,0,(CV123-CU123)/CU123*100)</f>
        <v>0</v>
      </c>
      <c r="CX123" s="836"/>
      <c r="CY123" s="836"/>
      <c r="CZ123" s="715">
        <f>IF(CX123=0,0,(CY123-CX123)/CX123*100)</f>
        <v>0</v>
      </c>
      <c r="DA123" s="836"/>
      <c r="DB123" s="836"/>
      <c r="DC123" s="715">
        <f>IF(DA123=0,0,(DB123-DA123)/DA123*100)</f>
        <v>0</v>
      </c>
      <c r="DD123" s="836"/>
      <c r="DE123" s="836"/>
      <c r="DF123" s="715">
        <f>IF(DD123=0,0,(DE123-DD123)/DD123*100)</f>
        <v>0</v>
      </c>
      <c r="DG123" s="836"/>
      <c r="DH123" s="836"/>
      <c r="DI123" s="715">
        <f>IF(DG123=0,0,(DH123-DG123)/DG123*100)</f>
        <v>0</v>
      </c>
      <c r="DJ123" s="836"/>
      <c r="DK123" s="836"/>
      <c r="DL123" s="715">
        <f>IF(DJ123=0,0,(DK123-DJ123)/DJ123*100)</f>
        <v>0</v>
      </c>
      <c r="DM123" s="836"/>
      <c r="DN123" s="836"/>
      <c r="DO123" s="715">
        <f>IF(DM123=0,0,(DN123-DM123)/DM123*100)</f>
        <v>0</v>
      </c>
      <c r="DP123" s="836"/>
      <c r="DQ123" s="836"/>
      <c r="DR123" s="715">
        <f>IF(DP123=0,0,(DQ123-DP123)/DP123*100)</f>
        <v>0</v>
      </c>
      <c r="DS123" s="836"/>
      <c r="DT123" s="836"/>
      <c r="DU123" s="715">
        <f>IF(DS123=0,0,(DT123-DS123)/DS123*100)</f>
        <v>0</v>
      </c>
      <c r="DV123" s="836"/>
      <c r="DW123" s="836"/>
      <c r="DX123" s="715">
        <f>IF(DV123=0,0,(DW123-DV123)/DV123*100)</f>
        <v>0</v>
      </c>
      <c r="DY123" s="836"/>
      <c r="DZ123" s="836"/>
      <c r="EA123" s="715">
        <f>IF(DY123=0,0,(DZ123-DY123)/DY123*100)</f>
        <v>0</v>
      </c>
      <c r="EB123" s="836"/>
      <c r="EC123" s="836"/>
      <c r="ED123" s="715">
        <f>IF(EB123=0,0,(EC123-EB123)/EB123*100)</f>
        <v>0</v>
      </c>
      <c r="EE123" s="836"/>
      <c r="EF123" s="836"/>
      <c r="EG123" s="715">
        <f>IF(EE123=0,0,(EF123-EE123)/EE123*100)</f>
        <v>0</v>
      </c>
      <c r="EH123" s="836"/>
      <c r="EI123" s="836"/>
      <c r="EJ123" s="715">
        <f>IF(EH123=0,0,(EI123-EH123)/EH123*100)</f>
        <v>0</v>
      </c>
      <c r="EK123" s="836"/>
      <c r="EL123" s="836"/>
      <c r="EM123" s="715">
        <f>IF(EK123=0,0,(EL123-EK123)/EK123*100)</f>
        <v>0</v>
      </c>
      <c r="EN123" s="836"/>
      <c r="EO123" s="836"/>
      <c r="EP123" s="715">
        <f>IF(EN123=0,0,(EO123-EN123)/EN123*100)</f>
        <v>0</v>
      </c>
      <c r="EQ123" s="836"/>
      <c r="ER123" s="836"/>
      <c r="ES123" s="715">
        <f>IF(EQ123=0,0,(ER123-EQ123)/EQ123*100)</f>
        <v>0</v>
      </c>
      <c r="ET123" s="836"/>
      <c r="EU123" s="836"/>
      <c r="EV123" s="715">
        <f>IF(ET123=0,0,(EU123-ET123)/ET123*100)</f>
        <v>0</v>
      </c>
      <c r="EW123" s="836"/>
      <c r="EX123" s="836"/>
      <c r="EY123" s="715">
        <f>IF(EW123=0,0,(EX123-EW123)/EW123*100)</f>
        <v>0</v>
      </c>
      <c r="EZ123" s="836"/>
      <c r="FA123" s="836"/>
      <c r="FB123" s="715">
        <f>IF(EZ123=0,0,(FA123-EZ123)/EZ123*100)</f>
        <v>0</v>
      </c>
      <c r="FC123" s="836"/>
      <c r="FD123" s="836"/>
      <c r="FE123" s="715">
        <f>IF(FC123=0,0,(FD123-FC123)/FC123*100)</f>
        <v>0</v>
      </c>
      <c r="FF123" s="836"/>
      <c r="FG123" s="836"/>
      <c r="FH123" s="715">
        <f>IF(FF123=0,0,(FG123-FF123)/FF123*100)</f>
        <v>0</v>
      </c>
      <c r="FI123" s="836"/>
      <c r="FJ123" s="836"/>
      <c r="FK123" s="715">
        <f>IF(FI123=0,0,(FJ123-FI123)/FI123*100)</f>
        <v>0</v>
      </c>
      <c r="FL123" s="836"/>
      <c r="FM123" s="836"/>
      <c r="FN123" s="715">
        <f>IF(FL123=0,0,(FM123-FL123)/FL123*100)</f>
        <v>0</v>
      </c>
      <c r="FO123" s="836"/>
      <c r="FP123" s="836"/>
      <c r="FQ123" s="715">
        <f>IF(FO123=0,0,(FP123-FO123)/FO123*100)</f>
        <v>0</v>
      </c>
      <c r="FR123" s="836"/>
      <c r="FS123" s="836"/>
      <c r="FT123" s="715">
        <f>IF(FR123=0,0,(FS123-FR123)/FR123*100)</f>
        <v>0</v>
      </c>
      <c r="FU123" s="836"/>
      <c r="FV123" s="836"/>
      <c r="FW123" s="715">
        <f>IF(FU123=0,0,(FV123-FU123)/FU123*100)</f>
        <v>0</v>
      </c>
      <c r="FZ123" s="691" t="s">
        <v>1708</v>
      </c>
    </row>
    <row r="124" spans="1:186" ht="21.75" hidden="1" customHeight="1" x14ac:dyDescent="0.15">
      <c r="A124" s="59"/>
      <c r="B124" s="613" t="b" cm="1">
        <f t="array" ref="B124">B123</f>
        <v>0</v>
      </c>
      <c r="C124" s="59"/>
      <c r="D124" s="59"/>
      <c r="E124" s="462">
        <v>22.5</v>
      </c>
      <c r="F124" s="3" t="str" cm="1">
        <f t="array" aca="1" ref="F124" ca="1">OFFSET(E124,-1,1)</f>
        <v>1</v>
      </c>
      <c r="G124" s="59"/>
      <c r="H124" s="59" t="s">
        <v>1683</v>
      </c>
      <c r="I124" s="59" t="s">
        <v>1661</v>
      </c>
      <c r="J124" s="59"/>
      <c r="K124" s="59"/>
      <c r="L124" s="59"/>
      <c r="M124" s="59"/>
      <c r="N124" s="59"/>
      <c r="O124" s="59"/>
      <c r="P124" s="59"/>
      <c r="Q124" s="59"/>
      <c r="R124" s="59"/>
      <c r="S124" s="59"/>
      <c r="T124" s="353" t="b" cm="1">
        <f t="array" aca="1" ref="T124" ca="1">T123</f>
        <v>1</v>
      </c>
      <c r="U124" s="59"/>
      <c r="V124" s="59"/>
      <c r="W124" s="59"/>
      <c r="X124" s="1022"/>
      <c r="Y124" s="59"/>
      <c r="Z124" s="966"/>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1684</v>
      </c>
      <c r="AD124" s="820"/>
      <c r="AE124" s="820"/>
      <c r="AF124" s="714">
        <f>IF(AD124=0,0,(AE124-AD124)/AD124*100)</f>
        <v>0</v>
      </c>
      <c r="AG124" s="820"/>
      <c r="AH124" s="820"/>
      <c r="AI124" s="714">
        <f>IF(AG124=0,0,(AH124-AG124)/AG124*100)</f>
        <v>0</v>
      </c>
      <c r="AJ124" s="820"/>
      <c r="AK124" s="820"/>
      <c r="AL124" s="714">
        <f>IF(AJ124=0,0,(AK124-AJ124)/AJ124*100)</f>
        <v>0</v>
      </c>
      <c r="AM124" s="820"/>
      <c r="AN124" s="820"/>
      <c r="AO124" s="714">
        <f>IF(AM124=0,0,(AN124-AM124)/AM124*100)</f>
        <v>0</v>
      </c>
      <c r="AP124" s="820"/>
      <c r="AQ124" s="820"/>
      <c r="AR124" s="714">
        <f>IF(AP124=0,0,(AQ124-AP124)/AP124*100)</f>
        <v>0</v>
      </c>
      <c r="AS124" s="820"/>
      <c r="AT124" s="820"/>
      <c r="AU124" s="714">
        <f>IF(AS124=0,0,(AT124-AS124)/AS124*100)</f>
        <v>0</v>
      </c>
      <c r="AV124" s="820"/>
      <c r="AW124" s="820"/>
      <c r="AX124" s="714">
        <f>IF(AV124=0,0,(AW124-AV124)/AV124*100)</f>
        <v>0</v>
      </c>
      <c r="AY124" s="820"/>
      <c r="AZ124" s="820"/>
      <c r="BA124" s="714">
        <f>IF(AY124=0,0,(AZ124-AY124)/AY124*100)</f>
        <v>0</v>
      </c>
      <c r="BB124" s="820"/>
      <c r="BC124" s="820"/>
      <c r="BD124" s="714">
        <f>IF(BB124=0,0,(BC124-BB124)/BB124*100)</f>
        <v>0</v>
      </c>
      <c r="BE124" s="820"/>
      <c r="BF124" s="820"/>
      <c r="BG124" s="714">
        <f>IF(BE124=0,0,(BF124-BE124)/BE124*100)</f>
        <v>0</v>
      </c>
      <c r="BH124" s="820"/>
      <c r="BI124" s="820"/>
      <c r="BJ124" s="714">
        <f>IF(BH124=0,0,(BI124-BH124)/BH124*100)</f>
        <v>0</v>
      </c>
      <c r="BK124" s="820"/>
      <c r="BL124" s="820"/>
      <c r="BM124" s="714">
        <f>IF(BK124=0,0,(BL124-BK124)/BK124*100)</f>
        <v>0</v>
      </c>
      <c r="BN124" s="820"/>
      <c r="BO124" s="820"/>
      <c r="BP124" s="714">
        <f>IF(BN124=0,0,(BO124-BN124)/BN124*100)</f>
        <v>0</v>
      </c>
      <c r="BQ124" s="820"/>
      <c r="BR124" s="820"/>
      <c r="BS124" s="714">
        <f>IF(BQ124=0,0,(BR124-BQ124)/BQ124*100)</f>
        <v>0</v>
      </c>
      <c r="BT124" s="820"/>
      <c r="BU124" s="820"/>
      <c r="BV124" s="714">
        <f>IF(BT124=0,0,(BU124-BT124)/BT124*100)</f>
        <v>0</v>
      </c>
      <c r="BW124" s="820"/>
      <c r="BX124" s="820"/>
      <c r="BY124" s="714">
        <f>IF(BW124=0,0,(BX124-BW124)/BW124*100)</f>
        <v>0</v>
      </c>
      <c r="BZ124" s="820"/>
      <c r="CA124" s="820"/>
      <c r="CB124" s="714">
        <f>IF(BZ124=0,0,(CA124-BZ124)/BZ124*100)</f>
        <v>0</v>
      </c>
      <c r="CC124" s="820"/>
      <c r="CD124" s="820"/>
      <c r="CE124" s="714">
        <f>IF(CC124=0,0,(CD124-CC124)/CC124*100)</f>
        <v>0</v>
      </c>
      <c r="CF124" s="820"/>
      <c r="CG124" s="820"/>
      <c r="CH124" s="714">
        <f>IF(CF124=0,0,(CG124-CF124)/CF124*100)</f>
        <v>0</v>
      </c>
      <c r="CI124" s="820"/>
      <c r="CJ124" s="820"/>
      <c r="CK124" s="714">
        <f>IF(CI124=0,0,(CJ124-CI124)/CI124*100)</f>
        <v>0</v>
      </c>
      <c r="CL124" s="820"/>
      <c r="CM124" s="820"/>
      <c r="CN124" s="714">
        <f>IF(CL124=0,0,(CM124-CL124)/CL124*100)</f>
        <v>0</v>
      </c>
      <c r="CO124" s="820"/>
      <c r="CP124" s="820"/>
      <c r="CQ124" s="714">
        <f>IF(CO124=0,0,(CP124-CO124)/CO124*100)</f>
        <v>0</v>
      </c>
      <c r="CR124" s="820"/>
      <c r="CS124" s="820"/>
      <c r="CT124" s="714">
        <f>IF(CR124=0,0,(CS124-CR124)/CR124*100)</f>
        <v>0</v>
      </c>
      <c r="CU124" s="820"/>
      <c r="CV124" s="820"/>
      <c r="CW124" s="714">
        <f>IF(CU124=0,0,(CV124-CU124)/CU124*100)</f>
        <v>0</v>
      </c>
      <c r="CX124" s="820"/>
      <c r="CY124" s="820"/>
      <c r="CZ124" s="714">
        <f>IF(CX124=0,0,(CY124-CX124)/CX124*100)</f>
        <v>0</v>
      </c>
      <c r="DA124" s="820"/>
      <c r="DB124" s="820"/>
      <c r="DC124" s="714">
        <f>IF(DA124=0,0,(DB124-DA124)/DA124*100)</f>
        <v>0</v>
      </c>
      <c r="DD124" s="820"/>
      <c r="DE124" s="820"/>
      <c r="DF124" s="714">
        <f>IF(DD124=0,0,(DE124-DD124)/DD124*100)</f>
        <v>0</v>
      </c>
      <c r="DG124" s="820"/>
      <c r="DH124" s="820"/>
      <c r="DI124" s="714">
        <f>IF(DG124=0,0,(DH124-DG124)/DG124*100)</f>
        <v>0</v>
      </c>
      <c r="DJ124" s="820"/>
      <c r="DK124" s="820"/>
      <c r="DL124" s="714">
        <f>IF(DJ124=0,0,(DK124-DJ124)/DJ124*100)</f>
        <v>0</v>
      </c>
      <c r="DM124" s="820"/>
      <c r="DN124" s="820"/>
      <c r="DO124" s="714">
        <f>IF(DM124=0,0,(DN124-DM124)/DM124*100)</f>
        <v>0</v>
      </c>
      <c r="DP124" s="820"/>
      <c r="DQ124" s="820"/>
      <c r="DR124" s="714">
        <f>IF(DP124=0,0,(DQ124-DP124)/DP124*100)</f>
        <v>0</v>
      </c>
      <c r="DS124" s="820"/>
      <c r="DT124" s="820"/>
      <c r="DU124" s="714">
        <f>IF(DS124=0,0,(DT124-DS124)/DS124*100)</f>
        <v>0</v>
      </c>
      <c r="DV124" s="820"/>
      <c r="DW124" s="820"/>
      <c r="DX124" s="714">
        <f>IF(DV124=0,0,(DW124-DV124)/DV124*100)</f>
        <v>0</v>
      </c>
      <c r="DY124" s="820"/>
      <c r="DZ124" s="820"/>
      <c r="EA124" s="714">
        <f>IF(DY124=0,0,(DZ124-DY124)/DY124*100)</f>
        <v>0</v>
      </c>
      <c r="EB124" s="820"/>
      <c r="EC124" s="820"/>
      <c r="ED124" s="714">
        <f>IF(EB124=0,0,(EC124-EB124)/EB124*100)</f>
        <v>0</v>
      </c>
      <c r="EE124" s="820"/>
      <c r="EF124" s="820"/>
      <c r="EG124" s="714">
        <f>IF(EE124=0,0,(EF124-EE124)/EE124*100)</f>
        <v>0</v>
      </c>
      <c r="EH124" s="820"/>
      <c r="EI124" s="820"/>
      <c r="EJ124" s="714">
        <f>IF(EH124=0,0,(EI124-EH124)/EH124*100)</f>
        <v>0</v>
      </c>
      <c r="EK124" s="820"/>
      <c r="EL124" s="820"/>
      <c r="EM124" s="714">
        <f>IF(EK124=0,0,(EL124-EK124)/EK124*100)</f>
        <v>0</v>
      </c>
      <c r="EN124" s="820"/>
      <c r="EO124" s="820"/>
      <c r="EP124" s="714">
        <f>IF(EN124=0,0,(EO124-EN124)/EN124*100)</f>
        <v>0</v>
      </c>
      <c r="EQ124" s="820"/>
      <c r="ER124" s="820"/>
      <c r="ES124" s="714">
        <f>IF(EQ124=0,0,(ER124-EQ124)/EQ124*100)</f>
        <v>0</v>
      </c>
      <c r="ET124" s="820"/>
      <c r="EU124" s="820"/>
      <c r="EV124" s="714">
        <f>IF(ET124=0,0,(EU124-ET124)/ET124*100)</f>
        <v>0</v>
      </c>
      <c r="EW124" s="820"/>
      <c r="EX124" s="820"/>
      <c r="EY124" s="714">
        <f>IF(EW124=0,0,(EX124-EW124)/EW124*100)</f>
        <v>0</v>
      </c>
      <c r="EZ124" s="820"/>
      <c r="FA124" s="820"/>
      <c r="FB124" s="714">
        <f>IF(EZ124=0,0,(FA124-EZ124)/EZ124*100)</f>
        <v>0</v>
      </c>
      <c r="FC124" s="820"/>
      <c r="FD124" s="820"/>
      <c r="FE124" s="714">
        <f>IF(FC124=0,0,(FD124-FC124)/FC124*100)</f>
        <v>0</v>
      </c>
      <c r="FF124" s="820"/>
      <c r="FG124" s="820"/>
      <c r="FH124" s="714">
        <f>IF(FF124=0,0,(FG124-FF124)/FF124*100)</f>
        <v>0</v>
      </c>
      <c r="FI124" s="820"/>
      <c r="FJ124" s="820"/>
      <c r="FK124" s="714">
        <f>IF(FI124=0,0,(FJ124-FI124)/FI124*100)</f>
        <v>0</v>
      </c>
      <c r="FL124" s="820"/>
      <c r="FM124" s="820"/>
      <c r="FN124" s="714">
        <f>IF(FL124=0,0,(FM124-FL124)/FL124*100)</f>
        <v>0</v>
      </c>
      <c r="FO124" s="820"/>
      <c r="FP124" s="820"/>
      <c r="FQ124" s="714">
        <f>IF(FO124=0,0,(FP124-FO124)/FO124*100)</f>
        <v>0</v>
      </c>
      <c r="FR124" s="820"/>
      <c r="FS124" s="820"/>
      <c r="FT124" s="714">
        <f>IF(FR124=0,0,(FS124-FR124)/FR124*100)</f>
        <v>0</v>
      </c>
      <c r="FU124" s="820"/>
      <c r="FV124" s="820"/>
      <c r="FW124" s="714">
        <f>IF(FU124=0,0,(FV124-FU124)/FU124*100)</f>
        <v>0</v>
      </c>
      <c r="FZ124" s="691" t="s">
        <v>1709</v>
      </c>
    </row>
    <row r="125" spans="1:186" ht="14.25" hidden="1" customHeight="1" x14ac:dyDescent="0.15">
      <c r="A125" s="59"/>
      <c r="B125" s="613" t="b" cm="1">
        <f t="array" ref="B125">B124</f>
        <v>0</v>
      </c>
      <c r="C125" s="59"/>
      <c r="D125" s="59"/>
      <c r="E125" s="462">
        <v>15</v>
      </c>
      <c r="F125" s="3" t="str" cm="1">
        <f t="array" aca="1" ref="F125" ca="1">OFFSET(E125,-1,1)</f>
        <v>1</v>
      </c>
      <c r="G125" s="59"/>
      <c r="H125" s="59" t="s">
        <v>1686</v>
      </c>
      <c r="I125" s="59" t="s">
        <v>1661</v>
      </c>
      <c r="J125" s="59"/>
      <c r="K125" s="59"/>
      <c r="L125" s="59"/>
      <c r="M125" s="59"/>
      <c r="N125" s="59"/>
      <c r="O125" s="59"/>
      <c r="P125" s="59"/>
      <c r="Q125" s="59"/>
      <c r="R125" s="59"/>
      <c r="S125" s="59"/>
      <c r="T125" s="353" t="b" cm="1">
        <f t="array" aca="1" ref="T125" ca="1">T124</f>
        <v>1</v>
      </c>
      <c r="U125" s="59"/>
      <c r="V125" s="59"/>
      <c r="W125" s="59"/>
      <c r="X125" s="1022"/>
      <c r="Y125" s="59"/>
      <c r="Z125" s="966"/>
      <c r="AA125" s="59"/>
      <c r="AB125" s="105" t="s">
        <v>1687</v>
      </c>
      <c r="AC125" s="12" t="s">
        <v>1688</v>
      </c>
      <c r="AD125" s="820"/>
      <c r="AE125" s="820"/>
      <c r="AF125" s="714">
        <f>IF(AD125=0,0,(AE125-AD125)/AD125*100)</f>
        <v>0</v>
      </c>
      <c r="AG125" s="820"/>
      <c r="AH125" s="820"/>
      <c r="AI125" s="714">
        <f>IF(AG125=0,0,(AH125-AG125)/AG125*100)</f>
        <v>0</v>
      </c>
      <c r="AJ125" s="820"/>
      <c r="AK125" s="820"/>
      <c r="AL125" s="714">
        <f>IF(AJ125=0,0,(AK125-AJ125)/AJ125*100)</f>
        <v>0</v>
      </c>
      <c r="AM125" s="820"/>
      <c r="AN125" s="820"/>
      <c r="AO125" s="714">
        <f>IF(AM125=0,0,(AN125-AM125)/AM125*100)</f>
        <v>0</v>
      </c>
      <c r="AP125" s="820"/>
      <c r="AQ125" s="820"/>
      <c r="AR125" s="714">
        <f>IF(AP125=0,0,(AQ125-AP125)/AP125*100)</f>
        <v>0</v>
      </c>
      <c r="AS125" s="820"/>
      <c r="AT125" s="820"/>
      <c r="AU125" s="714">
        <f>IF(AS125=0,0,(AT125-AS125)/AS125*100)</f>
        <v>0</v>
      </c>
      <c r="AV125" s="820"/>
      <c r="AW125" s="820"/>
      <c r="AX125" s="714">
        <f>IF(AV125=0,0,(AW125-AV125)/AV125*100)</f>
        <v>0</v>
      </c>
      <c r="AY125" s="820"/>
      <c r="AZ125" s="820"/>
      <c r="BA125" s="714">
        <f>IF(AY125=0,0,(AZ125-AY125)/AY125*100)</f>
        <v>0</v>
      </c>
      <c r="BB125" s="820"/>
      <c r="BC125" s="820"/>
      <c r="BD125" s="714">
        <f>IF(BB125=0,0,(BC125-BB125)/BB125*100)</f>
        <v>0</v>
      </c>
      <c r="BE125" s="820"/>
      <c r="BF125" s="820"/>
      <c r="BG125" s="714">
        <f>IF(BE125=0,0,(BF125-BE125)/BE125*100)</f>
        <v>0</v>
      </c>
      <c r="BH125" s="820"/>
      <c r="BI125" s="820"/>
      <c r="BJ125" s="714">
        <f>IF(BH125=0,0,(BI125-BH125)/BH125*100)</f>
        <v>0</v>
      </c>
      <c r="BK125" s="820"/>
      <c r="BL125" s="820"/>
      <c r="BM125" s="714">
        <f>IF(BK125=0,0,(BL125-BK125)/BK125*100)</f>
        <v>0</v>
      </c>
      <c r="BN125" s="820"/>
      <c r="BO125" s="820"/>
      <c r="BP125" s="714">
        <f>IF(BN125=0,0,(BO125-BN125)/BN125*100)</f>
        <v>0</v>
      </c>
      <c r="BQ125" s="820"/>
      <c r="BR125" s="820"/>
      <c r="BS125" s="714">
        <f>IF(BQ125=0,0,(BR125-BQ125)/BQ125*100)</f>
        <v>0</v>
      </c>
      <c r="BT125" s="820"/>
      <c r="BU125" s="820"/>
      <c r="BV125" s="714">
        <f>IF(BT125=0,0,(BU125-BT125)/BT125*100)</f>
        <v>0</v>
      </c>
      <c r="BW125" s="820"/>
      <c r="BX125" s="820"/>
      <c r="BY125" s="714">
        <f>IF(BW125=0,0,(BX125-BW125)/BW125*100)</f>
        <v>0</v>
      </c>
      <c r="BZ125" s="820"/>
      <c r="CA125" s="820"/>
      <c r="CB125" s="714">
        <f>IF(BZ125=0,0,(CA125-BZ125)/BZ125*100)</f>
        <v>0</v>
      </c>
      <c r="CC125" s="820"/>
      <c r="CD125" s="820"/>
      <c r="CE125" s="714">
        <f>IF(CC125=0,0,(CD125-CC125)/CC125*100)</f>
        <v>0</v>
      </c>
      <c r="CF125" s="820"/>
      <c r="CG125" s="820"/>
      <c r="CH125" s="714">
        <f>IF(CF125=0,0,(CG125-CF125)/CF125*100)</f>
        <v>0</v>
      </c>
      <c r="CI125" s="820"/>
      <c r="CJ125" s="820"/>
      <c r="CK125" s="714">
        <f>IF(CI125=0,0,(CJ125-CI125)/CI125*100)</f>
        <v>0</v>
      </c>
      <c r="CL125" s="820"/>
      <c r="CM125" s="820"/>
      <c r="CN125" s="714">
        <f>IF(CL125=0,0,(CM125-CL125)/CL125*100)</f>
        <v>0</v>
      </c>
      <c r="CO125" s="820"/>
      <c r="CP125" s="820"/>
      <c r="CQ125" s="714">
        <f>IF(CO125=0,0,(CP125-CO125)/CO125*100)</f>
        <v>0</v>
      </c>
      <c r="CR125" s="820"/>
      <c r="CS125" s="820"/>
      <c r="CT125" s="714">
        <f>IF(CR125=0,0,(CS125-CR125)/CR125*100)</f>
        <v>0</v>
      </c>
      <c r="CU125" s="820"/>
      <c r="CV125" s="820"/>
      <c r="CW125" s="714">
        <f>IF(CU125=0,0,(CV125-CU125)/CU125*100)</f>
        <v>0</v>
      </c>
      <c r="CX125" s="820"/>
      <c r="CY125" s="820"/>
      <c r="CZ125" s="714">
        <f>IF(CX125=0,0,(CY125-CX125)/CX125*100)</f>
        <v>0</v>
      </c>
      <c r="DA125" s="820"/>
      <c r="DB125" s="820"/>
      <c r="DC125" s="714">
        <f>IF(DA125=0,0,(DB125-DA125)/DA125*100)</f>
        <v>0</v>
      </c>
      <c r="DD125" s="820"/>
      <c r="DE125" s="820"/>
      <c r="DF125" s="714">
        <f>IF(DD125=0,0,(DE125-DD125)/DD125*100)</f>
        <v>0</v>
      </c>
      <c r="DG125" s="820"/>
      <c r="DH125" s="820"/>
      <c r="DI125" s="714">
        <f>IF(DG125=0,0,(DH125-DG125)/DG125*100)</f>
        <v>0</v>
      </c>
      <c r="DJ125" s="820"/>
      <c r="DK125" s="820"/>
      <c r="DL125" s="714">
        <f>IF(DJ125=0,0,(DK125-DJ125)/DJ125*100)</f>
        <v>0</v>
      </c>
      <c r="DM125" s="820"/>
      <c r="DN125" s="820"/>
      <c r="DO125" s="714">
        <f>IF(DM125=0,0,(DN125-DM125)/DM125*100)</f>
        <v>0</v>
      </c>
      <c r="DP125" s="820"/>
      <c r="DQ125" s="820"/>
      <c r="DR125" s="714">
        <f>IF(DP125=0,0,(DQ125-DP125)/DP125*100)</f>
        <v>0</v>
      </c>
      <c r="DS125" s="820"/>
      <c r="DT125" s="820"/>
      <c r="DU125" s="714">
        <f>IF(DS125=0,0,(DT125-DS125)/DS125*100)</f>
        <v>0</v>
      </c>
      <c r="DV125" s="820"/>
      <c r="DW125" s="820"/>
      <c r="DX125" s="714">
        <f>IF(DV125=0,0,(DW125-DV125)/DV125*100)</f>
        <v>0</v>
      </c>
      <c r="DY125" s="820"/>
      <c r="DZ125" s="820"/>
      <c r="EA125" s="714">
        <f>IF(DY125=0,0,(DZ125-DY125)/DY125*100)</f>
        <v>0</v>
      </c>
      <c r="EB125" s="820"/>
      <c r="EC125" s="820"/>
      <c r="ED125" s="714">
        <f>IF(EB125=0,0,(EC125-EB125)/EB125*100)</f>
        <v>0</v>
      </c>
      <c r="EE125" s="820"/>
      <c r="EF125" s="820"/>
      <c r="EG125" s="714">
        <f>IF(EE125=0,0,(EF125-EE125)/EE125*100)</f>
        <v>0</v>
      </c>
      <c r="EH125" s="820"/>
      <c r="EI125" s="820"/>
      <c r="EJ125" s="714">
        <f>IF(EH125=0,0,(EI125-EH125)/EH125*100)</f>
        <v>0</v>
      </c>
      <c r="EK125" s="820"/>
      <c r="EL125" s="820"/>
      <c r="EM125" s="714">
        <f>IF(EK125=0,0,(EL125-EK125)/EK125*100)</f>
        <v>0</v>
      </c>
      <c r="EN125" s="820"/>
      <c r="EO125" s="820"/>
      <c r="EP125" s="714">
        <f>IF(EN125=0,0,(EO125-EN125)/EN125*100)</f>
        <v>0</v>
      </c>
      <c r="EQ125" s="820"/>
      <c r="ER125" s="820"/>
      <c r="ES125" s="714">
        <f>IF(EQ125=0,0,(ER125-EQ125)/EQ125*100)</f>
        <v>0</v>
      </c>
      <c r="ET125" s="820"/>
      <c r="EU125" s="820"/>
      <c r="EV125" s="714">
        <f>IF(ET125=0,0,(EU125-ET125)/ET125*100)</f>
        <v>0</v>
      </c>
      <c r="EW125" s="820"/>
      <c r="EX125" s="820"/>
      <c r="EY125" s="714">
        <f>IF(EW125=0,0,(EX125-EW125)/EW125*100)</f>
        <v>0</v>
      </c>
      <c r="EZ125" s="820"/>
      <c r="FA125" s="820"/>
      <c r="FB125" s="714">
        <f>IF(EZ125=0,0,(FA125-EZ125)/EZ125*100)</f>
        <v>0</v>
      </c>
      <c r="FC125" s="820"/>
      <c r="FD125" s="820"/>
      <c r="FE125" s="714">
        <f>IF(FC125=0,0,(FD125-FC125)/FC125*100)</f>
        <v>0</v>
      </c>
      <c r="FF125" s="820"/>
      <c r="FG125" s="820"/>
      <c r="FH125" s="714">
        <f>IF(FF125=0,0,(FG125-FF125)/FF125*100)</f>
        <v>0</v>
      </c>
      <c r="FI125" s="820"/>
      <c r="FJ125" s="820"/>
      <c r="FK125" s="714">
        <f>IF(FI125=0,0,(FJ125-FI125)/FI125*100)</f>
        <v>0</v>
      </c>
      <c r="FL125" s="820"/>
      <c r="FM125" s="820"/>
      <c r="FN125" s="714">
        <f>IF(FL125=0,0,(FM125-FL125)/FL125*100)</f>
        <v>0</v>
      </c>
      <c r="FO125" s="820"/>
      <c r="FP125" s="820"/>
      <c r="FQ125" s="714">
        <f>IF(FO125=0,0,(FP125-FO125)/FO125*100)</f>
        <v>0</v>
      </c>
      <c r="FR125" s="820"/>
      <c r="FS125" s="820"/>
      <c r="FT125" s="714">
        <f>IF(FR125=0,0,(FS125-FR125)/FR125*100)</f>
        <v>0</v>
      </c>
      <c r="FU125" s="820"/>
      <c r="FV125" s="820"/>
      <c r="FW125" s="714">
        <f>IF(FU125=0,0,(FV125-FU125)/FU125*100)</f>
        <v>0</v>
      </c>
      <c r="FZ125" s="691" t="s">
        <v>1710</v>
      </c>
    </row>
    <row r="126" spans="1:186" ht="18" hidden="1" customHeight="1" x14ac:dyDescent="0.15">
      <c r="A126" s="59"/>
      <c r="B126" s="613" t="b" cm="1">
        <f t="array" ref="B126">B125</f>
        <v>0</v>
      </c>
      <c r="C126" s="59"/>
      <c r="D126" s="59"/>
      <c r="E126" s="462">
        <v>18.75</v>
      </c>
      <c r="F126" s="3" t="str" cm="1">
        <f t="array" aca="1" ref="F126" ca="1">OFFSET(E126,-1,1)</f>
        <v>1</v>
      </c>
      <c r="G126" s="59"/>
      <c r="H126" s="59"/>
      <c r="I126" s="59"/>
      <c r="J126" s="59"/>
      <c r="K126" s="59"/>
      <c r="L126" s="59"/>
      <c r="M126" s="59"/>
      <c r="N126" s="59"/>
      <c r="O126" s="59"/>
      <c r="P126" s="59"/>
      <c r="Q126" s="59"/>
      <c r="R126" s="59"/>
      <c r="S126" s="59"/>
      <c r="T126" s="353" t="b">
        <f ca="1">AND(F126&gt;0,Y126&gt;0)</f>
        <v>0</v>
      </c>
      <c r="U126" s="59"/>
      <c r="V126" s="59"/>
      <c r="W126" s="59" t="s">
        <v>172</v>
      </c>
      <c r="X126" s="1022"/>
      <c r="Y126" s="1022">
        <v>0</v>
      </c>
      <c r="Z126" s="966"/>
      <c r="AA126" s="913" t="s">
        <v>173</v>
      </c>
      <c r="AB126" s="863"/>
      <c r="AC126" s="584"/>
      <c r="AD126" s="720"/>
      <c r="AE126" s="721"/>
      <c r="AF126" s="721"/>
      <c r="AG126" s="720"/>
      <c r="AH126" s="721"/>
      <c r="AI126" s="721"/>
      <c r="AJ126" s="720"/>
      <c r="AK126" s="721"/>
      <c r="AL126" s="721"/>
      <c r="AM126" s="720"/>
      <c r="AN126" s="721"/>
      <c r="AO126" s="721"/>
      <c r="AP126" s="720"/>
      <c r="AQ126" s="721"/>
      <c r="AR126" s="721"/>
      <c r="AS126" s="720"/>
      <c r="AT126" s="721"/>
      <c r="AU126" s="721"/>
      <c r="AV126" s="720"/>
      <c r="AW126" s="721"/>
      <c r="AX126" s="721"/>
      <c r="AY126" s="720"/>
      <c r="AZ126" s="721"/>
      <c r="BA126" s="721"/>
      <c r="BB126" s="720"/>
      <c r="BC126" s="721"/>
      <c r="BD126" s="721"/>
      <c r="BE126" s="720"/>
      <c r="BF126" s="721"/>
      <c r="BG126" s="721"/>
      <c r="BH126" s="720"/>
      <c r="BI126" s="721"/>
      <c r="BJ126" s="721"/>
      <c r="BK126" s="720"/>
      <c r="BL126" s="721"/>
      <c r="BM126" s="721"/>
      <c r="BN126" s="720"/>
      <c r="BO126" s="721"/>
      <c r="BP126" s="721"/>
      <c r="BQ126" s="720"/>
      <c r="BR126" s="721"/>
      <c r="BS126" s="721"/>
      <c r="BT126" s="720"/>
      <c r="BU126" s="721"/>
      <c r="BV126" s="721"/>
      <c r="BW126" s="720"/>
      <c r="BX126" s="721"/>
      <c r="BY126" s="721"/>
      <c r="BZ126" s="720"/>
      <c r="CA126" s="721"/>
      <c r="CB126" s="721"/>
      <c r="CC126" s="720"/>
      <c r="CD126" s="721"/>
      <c r="CE126" s="721"/>
      <c r="CF126" s="720"/>
      <c r="CG126" s="721"/>
      <c r="CH126" s="721"/>
      <c r="CI126" s="720"/>
      <c r="CJ126" s="721"/>
      <c r="CK126" s="721"/>
      <c r="CL126" s="720"/>
      <c r="CM126" s="721"/>
      <c r="CN126" s="721"/>
      <c r="CO126" s="720"/>
      <c r="CP126" s="721"/>
      <c r="CQ126" s="721"/>
      <c r="CR126" s="720"/>
      <c r="CS126" s="721"/>
      <c r="CT126" s="721"/>
      <c r="CU126" s="720"/>
      <c r="CV126" s="721"/>
      <c r="CW126" s="721"/>
      <c r="CX126" s="720"/>
      <c r="CY126" s="721"/>
      <c r="CZ126" s="721"/>
      <c r="DA126" s="720"/>
      <c r="DB126" s="721"/>
      <c r="DC126" s="721"/>
      <c r="DD126" s="720"/>
      <c r="DE126" s="721"/>
      <c r="DF126" s="721"/>
      <c r="DG126" s="720"/>
      <c r="DH126" s="721"/>
      <c r="DI126" s="721"/>
      <c r="DJ126" s="720"/>
      <c r="DK126" s="721"/>
      <c r="DL126" s="721"/>
      <c r="DM126" s="720"/>
      <c r="DN126" s="721"/>
      <c r="DO126" s="721"/>
      <c r="DP126" s="720"/>
      <c r="DQ126" s="721"/>
      <c r="DR126" s="721"/>
      <c r="DS126" s="720"/>
      <c r="DT126" s="721"/>
      <c r="DU126" s="721"/>
      <c r="DV126" s="720"/>
      <c r="DW126" s="721"/>
      <c r="DX126" s="721"/>
      <c r="DY126" s="720"/>
      <c r="DZ126" s="721"/>
      <c r="EA126" s="721"/>
      <c r="EB126" s="720"/>
      <c r="EC126" s="721"/>
      <c r="ED126" s="721"/>
      <c r="EE126" s="720"/>
      <c r="EF126" s="721"/>
      <c r="EG126" s="721"/>
      <c r="EH126" s="720"/>
      <c r="EI126" s="721"/>
      <c r="EJ126" s="721"/>
      <c r="EK126" s="720"/>
      <c r="EL126" s="721"/>
      <c r="EM126" s="721"/>
      <c r="EN126" s="720"/>
      <c r="EO126" s="721"/>
      <c r="EP126" s="721"/>
      <c r="EQ126" s="720"/>
      <c r="ER126" s="721"/>
      <c r="ES126" s="721"/>
      <c r="ET126" s="720"/>
      <c r="EU126" s="721"/>
      <c r="EV126" s="721"/>
      <c r="EW126" s="720"/>
      <c r="EX126" s="721"/>
      <c r="EY126" s="721"/>
      <c r="EZ126" s="720"/>
      <c r="FA126" s="721"/>
      <c r="FB126" s="721"/>
      <c r="FC126" s="720"/>
      <c r="FD126" s="721"/>
      <c r="FE126" s="721"/>
      <c r="FF126" s="720"/>
      <c r="FG126" s="721"/>
      <c r="FH126" s="721"/>
      <c r="FI126" s="720"/>
      <c r="FJ126" s="721"/>
      <c r="FK126" s="721"/>
      <c r="FL126" s="720"/>
      <c r="FM126" s="721"/>
      <c r="FN126" s="721"/>
      <c r="FO126" s="720"/>
      <c r="FP126" s="721"/>
      <c r="FQ126" s="721"/>
      <c r="FR126" s="720"/>
      <c r="FS126" s="721"/>
      <c r="FT126" s="721"/>
      <c r="FU126" s="720"/>
      <c r="FV126" s="721"/>
      <c r="FW126" s="722"/>
      <c r="FZ126" s="691"/>
      <c r="GD126" s="461" t="b">
        <v>1</v>
      </c>
    </row>
    <row r="127" spans="1:186" ht="14.25" hidden="1" customHeight="1" x14ac:dyDescent="0.15">
      <c r="A127" s="59"/>
      <c r="B127" s="613" t="b" cm="1">
        <f t="array" ref="B127">B126</f>
        <v>0</v>
      </c>
      <c r="C127" s="59"/>
      <c r="D127" s="59"/>
      <c r="E127" s="462">
        <v>15</v>
      </c>
      <c r="F127" s="3" t="str" cm="1">
        <f t="array" aca="1" ref="F127" ca="1">OFFSET(E127,-1,1)</f>
        <v>1</v>
      </c>
      <c r="G127" s="59"/>
      <c r="H127" s="59" t="s">
        <v>1570</v>
      </c>
      <c r="I127" s="59" cm="1">
        <f t="array" ref="I127">AB126</f>
        <v>0</v>
      </c>
      <c r="J127" s="59"/>
      <c r="K127" s="59"/>
      <c r="L127" s="59"/>
      <c r="M127" s="59"/>
      <c r="N127" s="59"/>
      <c r="O127" s="59"/>
      <c r="P127" s="59"/>
      <c r="Q127" s="59"/>
      <c r="R127" s="59"/>
      <c r="S127" s="59"/>
      <c r="T127" s="353" t="b" cm="1">
        <f t="array" aca="1" ref="T127" ca="1">T126</f>
        <v>0</v>
      </c>
      <c r="U127" s="59"/>
      <c r="V127" s="59"/>
      <c r="W127" s="59"/>
      <c r="X127" s="1022"/>
      <c r="Y127" s="1022"/>
      <c r="Z127" s="966"/>
      <c r="AA127" s="913"/>
      <c r="AB127" s="105" t="s">
        <v>1677</v>
      </c>
      <c r="AC127" s="12" t="s">
        <v>1644</v>
      </c>
      <c r="AD127" s="820">
        <f>IF(AD129=0,0,(AD128*AD129+AD130*AD131*IF(god=2026,3,6))/AD129)</f>
        <v>0</v>
      </c>
      <c r="AE127" s="820">
        <f>IF(AE129=0,0,(AE128*AE129+AE130*AE131*IF(god=2026,3,6))/AE129)</f>
        <v>0</v>
      </c>
      <c r="AF127" s="714">
        <f>IF(AD127=0,0,(AE127-AD127)/AD127*100)</f>
        <v>0</v>
      </c>
      <c r="AG127" s="820">
        <f>IF(AG129=0,0,(AG128*AG129+AG130*AG131*IF(god=2025,3,6))/AG129)</f>
        <v>0</v>
      </c>
      <c r="AH127" s="820">
        <f>IF(AH129=0,0,(AH128*AH129+AH130*AH131*IF(god=2025,3,6))/AH129)</f>
        <v>0</v>
      </c>
      <c r="AI127" s="714">
        <f>IF(AG127=0,0,(AH127-AG127)/AG127*100)</f>
        <v>0</v>
      </c>
      <c r="AJ127" s="820">
        <f>IF(AJ129=0,0,(AJ128*AJ129+AJ130*AJ131*6)/AJ129)</f>
        <v>0</v>
      </c>
      <c r="AK127" s="820">
        <f>IF(AK129=0,0,(AK128*AK129+AK130*AK131*6)/AK129)</f>
        <v>0</v>
      </c>
      <c r="AL127" s="714">
        <f>IF(AJ127=0,0,(AK127-AJ127)/AJ127*100)</f>
        <v>0</v>
      </c>
      <c r="AM127" s="820">
        <f>IF(AM129=0,0,(AM128*AM129+AM130*AM131*6)/AM129)</f>
        <v>0</v>
      </c>
      <c r="AN127" s="820">
        <f>IF(AN129=0,0,(AN128*AN129+AN130*AN131*6)/AN129)</f>
        <v>0</v>
      </c>
      <c r="AO127" s="714">
        <f>IF(AM127=0,0,(AN127-AM127)/AM127*100)</f>
        <v>0</v>
      </c>
      <c r="AP127" s="820">
        <f>IF(AP129=0,0,(AP128*AP129+AP130*AP131*6)/AP129)</f>
        <v>0</v>
      </c>
      <c r="AQ127" s="820">
        <f>IF(AQ129=0,0,(AQ128*AQ129+AQ130*AQ131*6)/AQ129)</f>
        <v>0</v>
      </c>
      <c r="AR127" s="714">
        <f>IF(AP127=0,0,(AQ127-AP127)/AP127*100)</f>
        <v>0</v>
      </c>
      <c r="AS127" s="820">
        <f>IF(AS129=0,0,(AS128*AS129+AS130*AS131*6)/AS129)</f>
        <v>0</v>
      </c>
      <c r="AT127" s="820">
        <f>IF(AT129=0,0,(AT128*AT129+AT130*AT131*6)/AT129)</f>
        <v>0</v>
      </c>
      <c r="AU127" s="714">
        <f>IF(AS127=0,0,(AT127-AS127)/AS127*100)</f>
        <v>0</v>
      </c>
      <c r="AV127" s="820">
        <f>IF(AV129=0,0,(AV128*AV129+AV130*AV131*6)/AV129)</f>
        <v>0</v>
      </c>
      <c r="AW127" s="820">
        <f>IF(AW129=0,0,(AW128*AW129+AW130*AW131*6)/AW129)</f>
        <v>0</v>
      </c>
      <c r="AX127" s="714">
        <f>IF(AV127=0,0,(AW127-AV127)/AV127*100)</f>
        <v>0</v>
      </c>
      <c r="AY127" s="820">
        <f>IF(AY129=0,0,(AY128*AY129+AY130*AY131*6)/AY129)</f>
        <v>0</v>
      </c>
      <c r="AZ127" s="820">
        <f>IF(AZ129=0,0,(AZ128*AZ129+AZ130*AZ131*6)/AZ129)</f>
        <v>0</v>
      </c>
      <c r="BA127" s="714">
        <f>IF(AY127=0,0,(AZ127-AY127)/AY127*100)</f>
        <v>0</v>
      </c>
      <c r="BB127" s="820">
        <f>IF(BB129=0,0,(BB128*BB129+BB130*BB131*6)/BB129)</f>
        <v>0</v>
      </c>
      <c r="BC127" s="820">
        <f>IF(BC129=0,0,(BC128*BC129+BC130*BC131*6)/BC129)</f>
        <v>0</v>
      </c>
      <c r="BD127" s="714">
        <f>IF(BB127=0,0,(BC127-BB127)/BB127*100)</f>
        <v>0</v>
      </c>
      <c r="BE127" s="820">
        <f>IF(BE129=0,0,(BE128*BE129+BE130*BE131*6)/BE129)</f>
        <v>0</v>
      </c>
      <c r="BF127" s="820">
        <f>IF(BF129=0,0,(BF128*BF129+BF130*BF131*6)/BF129)</f>
        <v>0</v>
      </c>
      <c r="BG127" s="714">
        <f>IF(BE127=0,0,(BF127-BE127)/BE127*100)</f>
        <v>0</v>
      </c>
      <c r="BH127" s="820">
        <f>IF(BH129=0,0,(BH128*BH129+BH130*BH131*6)/BH129)</f>
        <v>0</v>
      </c>
      <c r="BI127" s="820">
        <f>IF(BI129=0,0,(BI128*BI129+BI130*BI131*6)/BI129)</f>
        <v>0</v>
      </c>
      <c r="BJ127" s="714">
        <f>IF(BH127=0,0,(BI127-BH127)/BH127*100)</f>
        <v>0</v>
      </c>
      <c r="BK127" s="820">
        <f>IF(BK129=0,0,(BK128*BK129+BK130*BK131*6)/BK129)</f>
        <v>0</v>
      </c>
      <c r="BL127" s="820">
        <f>IF(BL129=0,0,(BL128*BL129+BL130*BL131*6)/BL129)</f>
        <v>0</v>
      </c>
      <c r="BM127" s="714">
        <f>IF(BK127=0,0,(BL127-BK127)/BK127*100)</f>
        <v>0</v>
      </c>
      <c r="BN127" s="820">
        <f>IF(BN129=0,0,(BN128*BN129+BN130*BN131*6)/BN129)</f>
        <v>0</v>
      </c>
      <c r="BO127" s="820">
        <f>IF(BO129=0,0,(BO128*BO129+BO130*BO131*6)/BO129)</f>
        <v>0</v>
      </c>
      <c r="BP127" s="714">
        <f>IF(BN127=0,0,(BO127-BN127)/BN127*100)</f>
        <v>0</v>
      </c>
      <c r="BQ127" s="820">
        <f>IF(BQ129=0,0,(BQ128*BQ129+BQ130*BQ131*6)/BQ129)</f>
        <v>0</v>
      </c>
      <c r="BR127" s="820">
        <f>IF(BR129=0,0,(BR128*BR129+BR130*BR131*6)/BR129)</f>
        <v>0</v>
      </c>
      <c r="BS127" s="714">
        <f>IF(BQ127=0,0,(BR127-BQ127)/BQ127*100)</f>
        <v>0</v>
      </c>
      <c r="BT127" s="820">
        <f>IF(BT129=0,0,(BT128*BT129+BT130*BT131*6)/BT129)</f>
        <v>0</v>
      </c>
      <c r="BU127" s="820">
        <f>IF(BU129=0,0,(BU128*BU129+BU130*BU131*6)/BU129)</f>
        <v>0</v>
      </c>
      <c r="BV127" s="714">
        <f>IF(BT127=0,0,(BU127-BT127)/BT127*100)</f>
        <v>0</v>
      </c>
      <c r="BW127" s="820">
        <f>IF(BW129=0,0,(BW128*BW129+BW130*BW131*6)/BW129)</f>
        <v>0</v>
      </c>
      <c r="BX127" s="820">
        <f>IF(BX129=0,0,(BX128*BX129+BX130*BX131*6)/BX129)</f>
        <v>0</v>
      </c>
      <c r="BY127" s="714">
        <f>IF(BW127=0,0,(BX127-BW127)/BW127*100)</f>
        <v>0</v>
      </c>
      <c r="BZ127" s="820">
        <f>IF(BZ129=0,0,(BZ128*BZ129+BZ130*BZ131*6)/BZ129)</f>
        <v>0</v>
      </c>
      <c r="CA127" s="820">
        <f>IF(CA129=0,0,(CA128*CA129+CA130*CA131*6)/CA129)</f>
        <v>0</v>
      </c>
      <c r="CB127" s="714">
        <f>IF(BZ127=0,0,(CA127-BZ127)/BZ127*100)</f>
        <v>0</v>
      </c>
      <c r="CC127" s="820">
        <f>IF(CC129=0,0,(CC128*CC129+CC130*CC131*6)/CC129)</f>
        <v>0</v>
      </c>
      <c r="CD127" s="820">
        <f>IF(CD129=0,0,(CD128*CD129+CD130*CD131*6)/CD129)</f>
        <v>0</v>
      </c>
      <c r="CE127" s="714">
        <f>IF(CC127=0,0,(CD127-CC127)/CC127*100)</f>
        <v>0</v>
      </c>
      <c r="CF127" s="820">
        <f>IF(CF129=0,0,(CF128*CF129+CF130*CF131*6)/CF129)</f>
        <v>0</v>
      </c>
      <c r="CG127" s="820">
        <f>IF(CG129=0,0,(CG128*CG129+CG130*CG131*6)/CG129)</f>
        <v>0</v>
      </c>
      <c r="CH127" s="714">
        <f>IF(CF127=0,0,(CG127-CF127)/CF127*100)</f>
        <v>0</v>
      </c>
      <c r="CI127" s="820">
        <f>IF(CI129=0,0,(CI128*CI129+CI130*CI131*6)/CI129)</f>
        <v>0</v>
      </c>
      <c r="CJ127" s="820">
        <f>IF(CJ129=0,0,(CJ128*CJ129+CJ130*CJ131*6)/CJ129)</f>
        <v>0</v>
      </c>
      <c r="CK127" s="714">
        <f>IF(CI127=0,0,(CJ127-CI127)/CI127*100)</f>
        <v>0</v>
      </c>
      <c r="CL127" s="820">
        <f>IF(CL129=0,0,(CL128*CL129+CL130*CL131*6)/CL129)</f>
        <v>0</v>
      </c>
      <c r="CM127" s="820">
        <f>IF(CM129=0,0,(CM128*CM129+CM130*CM131*6)/CM129)</f>
        <v>0</v>
      </c>
      <c r="CN127" s="714">
        <f>IF(CL127=0,0,(CM127-CL127)/CL127*100)</f>
        <v>0</v>
      </c>
      <c r="CO127" s="820">
        <f>IF(CO129=0,0,(CO128*CO129+CO130*CO131*6)/CO129)</f>
        <v>0</v>
      </c>
      <c r="CP127" s="820">
        <f>IF(CP129=0,0,(CP128*CP129+CP130*CP131*6)/CP129)</f>
        <v>0</v>
      </c>
      <c r="CQ127" s="714">
        <f>IF(CO127=0,0,(CP127-CO127)/CO127*100)</f>
        <v>0</v>
      </c>
      <c r="CR127" s="820">
        <f>IF(CR129=0,0,(CR128*CR129+CR130*CR131*6)/CR129)</f>
        <v>0</v>
      </c>
      <c r="CS127" s="820">
        <f>IF(CS129=0,0,(CS128*CS129+CS130*CS131*6)/CS129)</f>
        <v>0</v>
      </c>
      <c r="CT127" s="714">
        <f>IF(CR127=0,0,(CS127-CR127)/CR127*100)</f>
        <v>0</v>
      </c>
      <c r="CU127" s="820">
        <f>IF(CU129=0,0,(CU128*CU129+CU130*CU131*6)/CU129)</f>
        <v>0</v>
      </c>
      <c r="CV127" s="820">
        <f>IF(CV129=0,0,(CV128*CV129+CV130*CV131*6)/CV129)</f>
        <v>0</v>
      </c>
      <c r="CW127" s="714">
        <f>IF(CU127=0,0,(CV127-CU127)/CU127*100)</f>
        <v>0</v>
      </c>
      <c r="CX127" s="820">
        <f>IF(CX129=0,0,(CX128*CX129+CX130*CX131*6)/CX129)</f>
        <v>0</v>
      </c>
      <c r="CY127" s="820">
        <f>IF(CY129=0,0,(CY128*CY129+CY130*CY131*6)/CY129)</f>
        <v>0</v>
      </c>
      <c r="CZ127" s="714">
        <f>IF(CX127=0,0,(CY127-CX127)/CX127*100)</f>
        <v>0</v>
      </c>
      <c r="DA127" s="820">
        <f>IF(DA129=0,0,(DA128*DA129+DA130*DA131*6)/DA129)</f>
        <v>0</v>
      </c>
      <c r="DB127" s="820">
        <f>IF(DB129=0,0,(DB128*DB129+DB130*DB131*6)/DB129)</f>
        <v>0</v>
      </c>
      <c r="DC127" s="714">
        <f>IF(DA127=0,0,(DB127-DA127)/DA127*100)</f>
        <v>0</v>
      </c>
      <c r="DD127" s="820">
        <f>IF(DD129=0,0,(DD128*DD129+DD130*DD131*6)/DD129)</f>
        <v>0</v>
      </c>
      <c r="DE127" s="820">
        <f>IF(DE129=0,0,(DE128*DE129+DE130*DE131*6)/DE129)</f>
        <v>0</v>
      </c>
      <c r="DF127" s="714">
        <f>IF(DD127=0,0,(DE127-DD127)/DD127*100)</f>
        <v>0</v>
      </c>
      <c r="DG127" s="820">
        <f>IF(DG129=0,0,(DG128*DG129+DG130*DG131*6)/DG129)</f>
        <v>0</v>
      </c>
      <c r="DH127" s="820">
        <f>IF(DH129=0,0,(DH128*DH129+DH130*DH131*6)/DH129)</f>
        <v>0</v>
      </c>
      <c r="DI127" s="714">
        <f>IF(DG127=0,0,(DH127-DG127)/DG127*100)</f>
        <v>0</v>
      </c>
      <c r="DJ127" s="820">
        <f>IF(DJ129=0,0,(DJ128*DJ129+DJ130*DJ131*6)/DJ129)</f>
        <v>0</v>
      </c>
      <c r="DK127" s="820">
        <f>IF(DK129=0,0,(DK128*DK129+DK130*DK131*6)/DK129)</f>
        <v>0</v>
      </c>
      <c r="DL127" s="714">
        <f>IF(DJ127=0,0,(DK127-DJ127)/DJ127*100)</f>
        <v>0</v>
      </c>
      <c r="DM127" s="820">
        <f>IF(DM129=0,0,(DM128*DM129+DM130*DM131*6)/DM129)</f>
        <v>0</v>
      </c>
      <c r="DN127" s="820">
        <f>IF(DN129=0,0,(DN128*DN129+DN130*DN131*6)/DN129)</f>
        <v>0</v>
      </c>
      <c r="DO127" s="714">
        <f>IF(DM127=0,0,(DN127-DM127)/DM127*100)</f>
        <v>0</v>
      </c>
      <c r="DP127" s="820">
        <f>IF(DP129=0,0,(DP128*DP129+DP130*DP131*6)/DP129)</f>
        <v>0</v>
      </c>
      <c r="DQ127" s="820">
        <f>IF(DQ129=0,0,(DQ128*DQ129+DQ130*DQ131*6)/DQ129)</f>
        <v>0</v>
      </c>
      <c r="DR127" s="714">
        <f>IF(DP127=0,0,(DQ127-DP127)/DP127*100)</f>
        <v>0</v>
      </c>
      <c r="DS127" s="820">
        <f>IF(DS129=0,0,(DS128*DS129+DS130*DS131*6)/DS129)</f>
        <v>0</v>
      </c>
      <c r="DT127" s="820">
        <f>IF(DT129=0,0,(DT128*DT129+DT130*DT131*6)/DT129)</f>
        <v>0</v>
      </c>
      <c r="DU127" s="714">
        <f>IF(DS127=0,0,(DT127-DS127)/DS127*100)</f>
        <v>0</v>
      </c>
      <c r="DV127" s="820">
        <f>IF(DV129=0,0,(DV128*DV129+DV130*DV131*6)/DV129)</f>
        <v>0</v>
      </c>
      <c r="DW127" s="820">
        <f>IF(DW129=0,0,(DW128*DW129+DW130*DW131*6)/DW129)</f>
        <v>0</v>
      </c>
      <c r="DX127" s="714">
        <f>IF(DV127=0,0,(DW127-DV127)/DV127*100)</f>
        <v>0</v>
      </c>
      <c r="DY127" s="820">
        <f>IF(DY129=0,0,(DY128*DY129+DY130*DY131*6)/DY129)</f>
        <v>0</v>
      </c>
      <c r="DZ127" s="820">
        <f>IF(DZ129=0,0,(DZ128*DZ129+DZ130*DZ131*6)/DZ129)</f>
        <v>0</v>
      </c>
      <c r="EA127" s="714">
        <f>IF(DY127=0,0,(DZ127-DY127)/DY127*100)</f>
        <v>0</v>
      </c>
      <c r="EB127" s="820">
        <f>IF(EB129=0,0,(EB128*EB129+EB130*EB131*6)/EB129)</f>
        <v>0</v>
      </c>
      <c r="EC127" s="820">
        <f>IF(EC129=0,0,(EC128*EC129+EC130*EC131*6)/EC129)</f>
        <v>0</v>
      </c>
      <c r="ED127" s="714">
        <f>IF(EB127=0,0,(EC127-EB127)/EB127*100)</f>
        <v>0</v>
      </c>
      <c r="EE127" s="820">
        <f>IF(EE129=0,0,(EE128*EE129+EE130*EE131*6)/EE129)</f>
        <v>0</v>
      </c>
      <c r="EF127" s="820">
        <f>IF(EF129=0,0,(EF128*EF129+EF130*EF131*6)/EF129)</f>
        <v>0</v>
      </c>
      <c r="EG127" s="714">
        <f>IF(EE127=0,0,(EF127-EE127)/EE127*100)</f>
        <v>0</v>
      </c>
      <c r="EH127" s="820">
        <f>IF(EH129=0,0,(EH128*EH129+EH130*EH131*6)/EH129)</f>
        <v>0</v>
      </c>
      <c r="EI127" s="820">
        <f>IF(EI129=0,0,(EI128*EI129+EI130*EI131*6)/EI129)</f>
        <v>0</v>
      </c>
      <c r="EJ127" s="714">
        <f>IF(EH127=0,0,(EI127-EH127)/EH127*100)</f>
        <v>0</v>
      </c>
      <c r="EK127" s="820">
        <f>IF(EK129=0,0,(EK128*EK129+EK130*EK131*6)/EK129)</f>
        <v>0</v>
      </c>
      <c r="EL127" s="820">
        <f>IF(EL129=0,0,(EL128*EL129+EL130*EL131*6)/EL129)</f>
        <v>0</v>
      </c>
      <c r="EM127" s="714">
        <f>IF(EK127=0,0,(EL127-EK127)/EK127*100)</f>
        <v>0</v>
      </c>
      <c r="EN127" s="820">
        <f>IF(EN129=0,0,(EN128*EN129+EN130*EN131*6)/EN129)</f>
        <v>0</v>
      </c>
      <c r="EO127" s="820">
        <f>IF(EO129=0,0,(EO128*EO129+EO130*EO131*6)/EO129)</f>
        <v>0</v>
      </c>
      <c r="EP127" s="714">
        <f>IF(EN127=0,0,(EO127-EN127)/EN127*100)</f>
        <v>0</v>
      </c>
      <c r="EQ127" s="820">
        <f>IF(EQ129=0,0,(EQ128*EQ129+EQ130*EQ131*6)/EQ129)</f>
        <v>0</v>
      </c>
      <c r="ER127" s="820">
        <f>IF(ER129=0,0,(ER128*ER129+ER130*ER131*6)/ER129)</f>
        <v>0</v>
      </c>
      <c r="ES127" s="714">
        <f>IF(EQ127=0,0,(ER127-EQ127)/EQ127*100)</f>
        <v>0</v>
      </c>
      <c r="ET127" s="820">
        <f>IF(ET129=0,0,(ET128*ET129+ET130*ET131*6)/ET129)</f>
        <v>0</v>
      </c>
      <c r="EU127" s="820">
        <f>IF(EU129=0,0,(EU128*EU129+EU130*EU131*6)/EU129)</f>
        <v>0</v>
      </c>
      <c r="EV127" s="714">
        <f>IF(ET127=0,0,(EU127-ET127)/ET127*100)</f>
        <v>0</v>
      </c>
      <c r="EW127" s="820">
        <f>IF(EW129=0,0,(EW128*EW129+EW130*EW131*6)/EW129)</f>
        <v>0</v>
      </c>
      <c r="EX127" s="820">
        <f>IF(EX129=0,0,(EX128*EX129+EX130*EX131*6)/EX129)</f>
        <v>0</v>
      </c>
      <c r="EY127" s="714">
        <f>IF(EW127=0,0,(EX127-EW127)/EW127*100)</f>
        <v>0</v>
      </c>
      <c r="EZ127" s="820">
        <f>IF(EZ129=0,0,(EZ128*EZ129+EZ130*EZ131*6)/EZ129)</f>
        <v>0</v>
      </c>
      <c r="FA127" s="820">
        <f>IF(FA129=0,0,(FA128*FA129+FA130*FA131*6)/FA129)</f>
        <v>0</v>
      </c>
      <c r="FB127" s="714">
        <f>IF(EZ127=0,0,(FA127-EZ127)/EZ127*100)</f>
        <v>0</v>
      </c>
      <c r="FC127" s="820">
        <f>IF(FC129=0,0,(FC128*FC129+FC130*FC131*6)/FC129)</f>
        <v>0</v>
      </c>
      <c r="FD127" s="820">
        <f>IF(FD129=0,0,(FD128*FD129+FD130*FD131*6)/FD129)</f>
        <v>0</v>
      </c>
      <c r="FE127" s="714">
        <f>IF(FC127=0,0,(FD127-FC127)/FC127*100)</f>
        <v>0</v>
      </c>
      <c r="FF127" s="820">
        <f>IF(FF129=0,0,(FF128*FF129+FF130*FF131*6)/FF129)</f>
        <v>0</v>
      </c>
      <c r="FG127" s="820">
        <f>IF(FG129=0,0,(FG128*FG129+FG130*FG131*6)/FG129)</f>
        <v>0</v>
      </c>
      <c r="FH127" s="714">
        <f>IF(FF127=0,0,(FG127-FF127)/FF127*100)</f>
        <v>0</v>
      </c>
      <c r="FI127" s="820">
        <f>IF(FI129=0,0,(FI128*FI129+FI130*FI131*6)/FI129)</f>
        <v>0</v>
      </c>
      <c r="FJ127" s="820">
        <f>IF(FJ129=0,0,(FJ128*FJ129+FJ130*FJ131*6)/FJ129)</f>
        <v>0</v>
      </c>
      <c r="FK127" s="714">
        <f>IF(FI127=0,0,(FJ127-FI127)/FI127*100)</f>
        <v>0</v>
      </c>
      <c r="FL127" s="820">
        <f>IF(FL129=0,0,(FL128*FL129+FL130*FL131*6)/FL129)</f>
        <v>0</v>
      </c>
      <c r="FM127" s="820">
        <f>IF(FM129=0,0,(FM128*FM129+FM130*FM131*6)/FM129)</f>
        <v>0</v>
      </c>
      <c r="FN127" s="714">
        <f>IF(FL127=0,0,(FM127-FL127)/FL127*100)</f>
        <v>0</v>
      </c>
      <c r="FO127" s="820">
        <f>IF(FO129=0,0,(FO128*FO129+FO130*FO131*6)/FO129)</f>
        <v>0</v>
      </c>
      <c r="FP127" s="820">
        <f>IF(FP129=0,0,(FP128*FP129+FP130*FP131*6)/FP129)</f>
        <v>0</v>
      </c>
      <c r="FQ127" s="714">
        <f>IF(FO127=0,0,(FP127-FO127)/FO127*100)</f>
        <v>0</v>
      </c>
      <c r="FR127" s="820">
        <f>IF(FR129=0,0,(FR128*FR129+FR130*FR131*6)/FR129)</f>
        <v>0</v>
      </c>
      <c r="FS127" s="820">
        <f>IF(FS129=0,0,(FS128*FS129+FS130*FS131*6)/FS129)</f>
        <v>0</v>
      </c>
      <c r="FT127" s="714">
        <f>IF(FR127=0,0,(FS127-FR127)/FR127*100)</f>
        <v>0</v>
      </c>
      <c r="FU127" s="820">
        <f>IF(FU129=0,0,(FU128*FU129+FU130*FU131*6)/FU129)</f>
        <v>0</v>
      </c>
      <c r="FV127" s="820">
        <f>IF(FV129=0,0,(FV128*FV129+FV130*FV131*6)/FV129)</f>
        <v>0</v>
      </c>
      <c r="FW127" s="714">
        <f>IF(FU127=0,0,(FV127-FU127)/FU127*100)</f>
        <v>0</v>
      </c>
      <c r="FZ127" s="691" t="s">
        <v>1711</v>
      </c>
      <c r="GA127" s="671" t="s">
        <v>900</v>
      </c>
      <c r="GB127" s="693" cm="1">
        <f t="array" ref="GB127">AB126</f>
        <v>0</v>
      </c>
    </row>
    <row r="128" spans="1:186" ht="14.25" hidden="1" customHeight="1" x14ac:dyDescent="0.15">
      <c r="A128" s="59"/>
      <c r="B128" s="613" t="b" cm="1">
        <f t="array" ref="B128">B127</f>
        <v>0</v>
      </c>
      <c r="C128" s="59"/>
      <c r="D128" s="59"/>
      <c r="E128" s="462">
        <v>15</v>
      </c>
      <c r="F128" s="3" t="str" cm="1">
        <f t="array" aca="1" ref="F128" ca="1">OFFSET(E128,-1,1)</f>
        <v>1</v>
      </c>
      <c r="G128" s="59"/>
      <c r="H128" s="59" t="s">
        <v>1574</v>
      </c>
      <c r="I128" s="59" cm="1">
        <f t="array" ref="I128">I127</f>
        <v>0</v>
      </c>
      <c r="J128" s="59"/>
      <c r="K128" s="59"/>
      <c r="L128" s="59"/>
      <c r="M128" s="59"/>
      <c r="N128" s="59"/>
      <c r="O128" s="59"/>
      <c r="P128" s="59"/>
      <c r="Q128" s="59"/>
      <c r="R128" s="59"/>
      <c r="S128" s="59"/>
      <c r="T128" s="353" t="b" cm="1">
        <f t="array" aca="1" ref="T128" ca="1">T127</f>
        <v>0</v>
      </c>
      <c r="U128" s="59"/>
      <c r="V128" s="59"/>
      <c r="W128" s="59"/>
      <c r="X128" s="1022"/>
      <c r="Y128" s="1022"/>
      <c r="Z128" s="966"/>
      <c r="AA128" s="913"/>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1644</v>
      </c>
      <c r="AD128" s="820"/>
      <c r="AE128" s="820"/>
      <c r="AF128" s="714">
        <f>IF(AD128=0,0,(AE128-AD128)/AD128*100)</f>
        <v>0</v>
      </c>
      <c r="AG128" s="820"/>
      <c r="AH128" s="820"/>
      <c r="AI128" s="714">
        <f>IF(AG128=0,0,(AH128-AG128)/AG128*100)</f>
        <v>0</v>
      </c>
      <c r="AJ128" s="820"/>
      <c r="AK128" s="820"/>
      <c r="AL128" s="714">
        <f>IF(AJ128=0,0,(AK128-AJ128)/AJ128*100)</f>
        <v>0</v>
      </c>
      <c r="AM128" s="820"/>
      <c r="AN128" s="820"/>
      <c r="AO128" s="714">
        <f>IF(AM128=0,0,(AN128-AM128)/AM128*100)</f>
        <v>0</v>
      </c>
      <c r="AP128" s="820"/>
      <c r="AQ128" s="820"/>
      <c r="AR128" s="714">
        <f>IF(AP128=0,0,(AQ128-AP128)/AP128*100)</f>
        <v>0</v>
      </c>
      <c r="AS128" s="820"/>
      <c r="AT128" s="820"/>
      <c r="AU128" s="714">
        <f>IF(AS128=0,0,(AT128-AS128)/AS128*100)</f>
        <v>0</v>
      </c>
      <c r="AV128" s="820"/>
      <c r="AW128" s="820"/>
      <c r="AX128" s="714">
        <f>IF(AV128=0,0,(AW128-AV128)/AV128*100)</f>
        <v>0</v>
      </c>
      <c r="AY128" s="820"/>
      <c r="AZ128" s="820"/>
      <c r="BA128" s="714">
        <f>IF(AY128=0,0,(AZ128-AY128)/AY128*100)</f>
        <v>0</v>
      </c>
      <c r="BB128" s="820"/>
      <c r="BC128" s="820"/>
      <c r="BD128" s="714">
        <f>IF(BB128=0,0,(BC128-BB128)/BB128*100)</f>
        <v>0</v>
      </c>
      <c r="BE128" s="820"/>
      <c r="BF128" s="820"/>
      <c r="BG128" s="714">
        <f>IF(BE128=0,0,(BF128-BE128)/BE128*100)</f>
        <v>0</v>
      </c>
      <c r="BH128" s="820"/>
      <c r="BI128" s="820"/>
      <c r="BJ128" s="714">
        <f>IF(BH128=0,0,(BI128-BH128)/BH128*100)</f>
        <v>0</v>
      </c>
      <c r="BK128" s="820"/>
      <c r="BL128" s="820"/>
      <c r="BM128" s="714">
        <f>IF(BK128=0,0,(BL128-BK128)/BK128*100)</f>
        <v>0</v>
      </c>
      <c r="BN128" s="820"/>
      <c r="BO128" s="820"/>
      <c r="BP128" s="714">
        <f>IF(BN128=0,0,(BO128-BN128)/BN128*100)</f>
        <v>0</v>
      </c>
      <c r="BQ128" s="820"/>
      <c r="BR128" s="820"/>
      <c r="BS128" s="714">
        <f>IF(BQ128=0,0,(BR128-BQ128)/BQ128*100)</f>
        <v>0</v>
      </c>
      <c r="BT128" s="820"/>
      <c r="BU128" s="820"/>
      <c r="BV128" s="714">
        <f>IF(BT128=0,0,(BU128-BT128)/BT128*100)</f>
        <v>0</v>
      </c>
      <c r="BW128" s="820"/>
      <c r="BX128" s="820"/>
      <c r="BY128" s="714">
        <f>IF(BW128=0,0,(BX128-BW128)/BW128*100)</f>
        <v>0</v>
      </c>
      <c r="BZ128" s="820"/>
      <c r="CA128" s="820"/>
      <c r="CB128" s="714">
        <f>IF(BZ128=0,0,(CA128-BZ128)/BZ128*100)</f>
        <v>0</v>
      </c>
      <c r="CC128" s="820"/>
      <c r="CD128" s="820"/>
      <c r="CE128" s="714">
        <f>IF(CC128=0,0,(CD128-CC128)/CC128*100)</f>
        <v>0</v>
      </c>
      <c r="CF128" s="820"/>
      <c r="CG128" s="820"/>
      <c r="CH128" s="714">
        <f>IF(CF128=0,0,(CG128-CF128)/CF128*100)</f>
        <v>0</v>
      </c>
      <c r="CI128" s="820"/>
      <c r="CJ128" s="820"/>
      <c r="CK128" s="714">
        <f>IF(CI128=0,0,(CJ128-CI128)/CI128*100)</f>
        <v>0</v>
      </c>
      <c r="CL128" s="820"/>
      <c r="CM128" s="820"/>
      <c r="CN128" s="714">
        <f>IF(CL128=0,0,(CM128-CL128)/CL128*100)</f>
        <v>0</v>
      </c>
      <c r="CO128" s="820"/>
      <c r="CP128" s="820"/>
      <c r="CQ128" s="714">
        <f>IF(CO128=0,0,(CP128-CO128)/CO128*100)</f>
        <v>0</v>
      </c>
      <c r="CR128" s="820"/>
      <c r="CS128" s="820"/>
      <c r="CT128" s="714">
        <f>IF(CR128=0,0,(CS128-CR128)/CR128*100)</f>
        <v>0</v>
      </c>
      <c r="CU128" s="820"/>
      <c r="CV128" s="820"/>
      <c r="CW128" s="714">
        <f>IF(CU128=0,0,(CV128-CU128)/CU128*100)</f>
        <v>0</v>
      </c>
      <c r="CX128" s="820"/>
      <c r="CY128" s="820"/>
      <c r="CZ128" s="714">
        <f>IF(CX128=0,0,(CY128-CX128)/CX128*100)</f>
        <v>0</v>
      </c>
      <c r="DA128" s="820"/>
      <c r="DB128" s="820"/>
      <c r="DC128" s="714">
        <f>IF(DA128=0,0,(DB128-DA128)/DA128*100)</f>
        <v>0</v>
      </c>
      <c r="DD128" s="820"/>
      <c r="DE128" s="820"/>
      <c r="DF128" s="714">
        <f>IF(DD128=0,0,(DE128-DD128)/DD128*100)</f>
        <v>0</v>
      </c>
      <c r="DG128" s="820"/>
      <c r="DH128" s="820"/>
      <c r="DI128" s="714">
        <f>IF(DG128=0,0,(DH128-DG128)/DG128*100)</f>
        <v>0</v>
      </c>
      <c r="DJ128" s="820"/>
      <c r="DK128" s="820"/>
      <c r="DL128" s="714">
        <f>IF(DJ128=0,0,(DK128-DJ128)/DJ128*100)</f>
        <v>0</v>
      </c>
      <c r="DM128" s="820"/>
      <c r="DN128" s="820"/>
      <c r="DO128" s="714">
        <f>IF(DM128=0,0,(DN128-DM128)/DM128*100)</f>
        <v>0</v>
      </c>
      <c r="DP128" s="820"/>
      <c r="DQ128" s="820"/>
      <c r="DR128" s="714">
        <f>IF(DP128=0,0,(DQ128-DP128)/DP128*100)</f>
        <v>0</v>
      </c>
      <c r="DS128" s="820"/>
      <c r="DT128" s="820"/>
      <c r="DU128" s="714">
        <f>IF(DS128=0,0,(DT128-DS128)/DS128*100)</f>
        <v>0</v>
      </c>
      <c r="DV128" s="820"/>
      <c r="DW128" s="820"/>
      <c r="DX128" s="714">
        <f>IF(DV128=0,0,(DW128-DV128)/DV128*100)</f>
        <v>0</v>
      </c>
      <c r="DY128" s="820"/>
      <c r="DZ128" s="820"/>
      <c r="EA128" s="714">
        <f>IF(DY128=0,0,(DZ128-DY128)/DY128*100)</f>
        <v>0</v>
      </c>
      <c r="EB128" s="820"/>
      <c r="EC128" s="820"/>
      <c r="ED128" s="714">
        <f>IF(EB128=0,0,(EC128-EB128)/EB128*100)</f>
        <v>0</v>
      </c>
      <c r="EE128" s="820"/>
      <c r="EF128" s="820"/>
      <c r="EG128" s="714">
        <f>IF(EE128=0,0,(EF128-EE128)/EE128*100)</f>
        <v>0</v>
      </c>
      <c r="EH128" s="820"/>
      <c r="EI128" s="820"/>
      <c r="EJ128" s="714">
        <f>IF(EH128=0,0,(EI128-EH128)/EH128*100)</f>
        <v>0</v>
      </c>
      <c r="EK128" s="820"/>
      <c r="EL128" s="820"/>
      <c r="EM128" s="714">
        <f>IF(EK128=0,0,(EL128-EK128)/EK128*100)</f>
        <v>0</v>
      </c>
      <c r="EN128" s="820"/>
      <c r="EO128" s="820"/>
      <c r="EP128" s="714">
        <f>IF(EN128=0,0,(EO128-EN128)/EN128*100)</f>
        <v>0</v>
      </c>
      <c r="EQ128" s="820"/>
      <c r="ER128" s="820"/>
      <c r="ES128" s="714">
        <f>IF(EQ128=0,0,(ER128-EQ128)/EQ128*100)</f>
        <v>0</v>
      </c>
      <c r="ET128" s="820"/>
      <c r="EU128" s="820"/>
      <c r="EV128" s="714">
        <f>IF(ET128=0,0,(EU128-ET128)/ET128*100)</f>
        <v>0</v>
      </c>
      <c r="EW128" s="820"/>
      <c r="EX128" s="820"/>
      <c r="EY128" s="714">
        <f>IF(EW128=0,0,(EX128-EW128)/EW128*100)</f>
        <v>0</v>
      </c>
      <c r="EZ128" s="820"/>
      <c r="FA128" s="820"/>
      <c r="FB128" s="714">
        <f>IF(EZ128=0,0,(FA128-EZ128)/EZ128*100)</f>
        <v>0</v>
      </c>
      <c r="FC128" s="820"/>
      <c r="FD128" s="820"/>
      <c r="FE128" s="714">
        <f>IF(FC128=0,0,(FD128-FC128)/FC128*100)</f>
        <v>0</v>
      </c>
      <c r="FF128" s="820"/>
      <c r="FG128" s="820"/>
      <c r="FH128" s="714">
        <f>IF(FF128=0,0,(FG128-FF128)/FF128*100)</f>
        <v>0</v>
      </c>
      <c r="FI128" s="820"/>
      <c r="FJ128" s="820"/>
      <c r="FK128" s="714">
        <f>IF(FI128=0,0,(FJ128-FI128)/FI128*100)</f>
        <v>0</v>
      </c>
      <c r="FL128" s="820"/>
      <c r="FM128" s="820"/>
      <c r="FN128" s="714">
        <f>IF(FL128=0,0,(FM128-FL128)/FL128*100)</f>
        <v>0</v>
      </c>
      <c r="FO128" s="820"/>
      <c r="FP128" s="820"/>
      <c r="FQ128" s="714">
        <f>IF(FO128=0,0,(FP128-FO128)/FO128*100)</f>
        <v>0</v>
      </c>
      <c r="FR128" s="820"/>
      <c r="FS128" s="820"/>
      <c r="FT128" s="714">
        <f>IF(FR128=0,0,(FS128-FR128)/FR128*100)</f>
        <v>0</v>
      </c>
      <c r="FU128" s="820"/>
      <c r="FV128" s="820"/>
      <c r="FW128" s="714">
        <f>IF(FU128=0,0,(FV128-FU128)/FU128*100)</f>
        <v>0</v>
      </c>
      <c r="FZ128" s="691" t="s">
        <v>1712</v>
      </c>
      <c r="GA128" s="671" t="s">
        <v>900</v>
      </c>
      <c r="GB128" s="671" cm="1">
        <f t="array" ref="GB128">GB127</f>
        <v>0</v>
      </c>
    </row>
    <row r="129" spans="1:186" ht="14.25" hidden="1" customHeight="1" x14ac:dyDescent="0.15">
      <c r="A129" s="59"/>
      <c r="B129" s="613" t="b" cm="1">
        <f t="array" ref="B129">B128</f>
        <v>0</v>
      </c>
      <c r="C129" s="59"/>
      <c r="D129" s="59"/>
      <c r="E129" s="462">
        <v>15</v>
      </c>
      <c r="F129" s="3" t="str" cm="1">
        <f t="array" aca="1" ref="F129" ca="1">OFFSET(E129,-1,1)</f>
        <v>1</v>
      </c>
      <c r="G129" s="59"/>
      <c r="H129" s="59" t="s">
        <v>1681</v>
      </c>
      <c r="I129" s="59" cm="1">
        <f t="array" ref="I129">I128</f>
        <v>0</v>
      </c>
      <c r="J129" s="59"/>
      <c r="K129" s="59"/>
      <c r="L129" s="59"/>
      <c r="M129" s="59"/>
      <c r="N129" s="59"/>
      <c r="O129" s="59"/>
      <c r="P129" s="59"/>
      <c r="Q129" s="59"/>
      <c r="R129" s="59"/>
      <c r="S129" s="59"/>
      <c r="T129" s="353" t="b" cm="1">
        <f t="array" aca="1" ref="T129" ca="1">T128</f>
        <v>0</v>
      </c>
      <c r="U129" s="59"/>
      <c r="V129" s="59"/>
      <c r="W129" s="59"/>
      <c r="X129" s="1022"/>
      <c r="Y129" s="1022"/>
      <c r="Z129" s="966"/>
      <c r="AA129" s="913"/>
      <c r="AB129" s="105" t="str">
        <f>"объём "&amp;IF(Q85="Водоснабжение","потребления холодной воды","водоотведения")</f>
        <v>объём потребления холодной воды</v>
      </c>
      <c r="AC129" s="12" t="s">
        <v>558</v>
      </c>
      <c r="AD129" s="836"/>
      <c r="AE129" s="836"/>
      <c r="AF129" s="715">
        <f>IF(AD129=0,0,(AE129-AD129)/AD129*100)</f>
        <v>0</v>
      </c>
      <c r="AG129" s="836"/>
      <c r="AH129" s="836"/>
      <c r="AI129" s="715">
        <f>IF(AG129=0,0,(AH129-AG129)/AG129*100)</f>
        <v>0</v>
      </c>
      <c r="AJ129" s="836"/>
      <c r="AK129" s="836"/>
      <c r="AL129" s="715">
        <f>IF(AJ129=0,0,(AK129-AJ129)/AJ129*100)</f>
        <v>0</v>
      </c>
      <c r="AM129" s="836"/>
      <c r="AN129" s="836"/>
      <c r="AO129" s="715">
        <f>IF(AM129=0,0,(AN129-AM129)/AM129*100)</f>
        <v>0</v>
      </c>
      <c r="AP129" s="836"/>
      <c r="AQ129" s="836"/>
      <c r="AR129" s="715">
        <f>IF(AP129=0,0,(AQ129-AP129)/AP129*100)</f>
        <v>0</v>
      </c>
      <c r="AS129" s="836"/>
      <c r="AT129" s="836"/>
      <c r="AU129" s="715">
        <f>IF(AS129=0,0,(AT129-AS129)/AS129*100)</f>
        <v>0</v>
      </c>
      <c r="AV129" s="836"/>
      <c r="AW129" s="836"/>
      <c r="AX129" s="715">
        <f>IF(AV129=0,0,(AW129-AV129)/AV129*100)</f>
        <v>0</v>
      </c>
      <c r="AY129" s="836"/>
      <c r="AZ129" s="836"/>
      <c r="BA129" s="715">
        <f>IF(AY129=0,0,(AZ129-AY129)/AY129*100)</f>
        <v>0</v>
      </c>
      <c r="BB129" s="836"/>
      <c r="BC129" s="836"/>
      <c r="BD129" s="715">
        <f>IF(BB129=0,0,(BC129-BB129)/BB129*100)</f>
        <v>0</v>
      </c>
      <c r="BE129" s="836"/>
      <c r="BF129" s="836"/>
      <c r="BG129" s="715">
        <f>IF(BE129=0,0,(BF129-BE129)/BE129*100)</f>
        <v>0</v>
      </c>
      <c r="BH129" s="836"/>
      <c r="BI129" s="836"/>
      <c r="BJ129" s="715">
        <f>IF(BH129=0,0,(BI129-BH129)/BH129*100)</f>
        <v>0</v>
      </c>
      <c r="BK129" s="836"/>
      <c r="BL129" s="836"/>
      <c r="BM129" s="715">
        <f>IF(BK129=0,0,(BL129-BK129)/BK129*100)</f>
        <v>0</v>
      </c>
      <c r="BN129" s="836"/>
      <c r="BO129" s="836"/>
      <c r="BP129" s="715">
        <f>IF(BN129=0,0,(BO129-BN129)/BN129*100)</f>
        <v>0</v>
      </c>
      <c r="BQ129" s="836"/>
      <c r="BR129" s="836"/>
      <c r="BS129" s="715">
        <f>IF(BQ129=0,0,(BR129-BQ129)/BQ129*100)</f>
        <v>0</v>
      </c>
      <c r="BT129" s="836"/>
      <c r="BU129" s="836"/>
      <c r="BV129" s="715">
        <f>IF(BT129=0,0,(BU129-BT129)/BT129*100)</f>
        <v>0</v>
      </c>
      <c r="BW129" s="836"/>
      <c r="BX129" s="836"/>
      <c r="BY129" s="715">
        <f>IF(BW129=0,0,(BX129-BW129)/BW129*100)</f>
        <v>0</v>
      </c>
      <c r="BZ129" s="836"/>
      <c r="CA129" s="836"/>
      <c r="CB129" s="715">
        <f>IF(BZ129=0,0,(CA129-BZ129)/BZ129*100)</f>
        <v>0</v>
      </c>
      <c r="CC129" s="836"/>
      <c r="CD129" s="836"/>
      <c r="CE129" s="715">
        <f>IF(CC129=0,0,(CD129-CC129)/CC129*100)</f>
        <v>0</v>
      </c>
      <c r="CF129" s="836"/>
      <c r="CG129" s="836"/>
      <c r="CH129" s="715">
        <f>IF(CF129=0,0,(CG129-CF129)/CF129*100)</f>
        <v>0</v>
      </c>
      <c r="CI129" s="836"/>
      <c r="CJ129" s="836"/>
      <c r="CK129" s="715">
        <f>IF(CI129=0,0,(CJ129-CI129)/CI129*100)</f>
        <v>0</v>
      </c>
      <c r="CL129" s="836"/>
      <c r="CM129" s="836"/>
      <c r="CN129" s="715">
        <f>IF(CL129=0,0,(CM129-CL129)/CL129*100)</f>
        <v>0</v>
      </c>
      <c r="CO129" s="836"/>
      <c r="CP129" s="836"/>
      <c r="CQ129" s="715">
        <f>IF(CO129=0,0,(CP129-CO129)/CO129*100)</f>
        <v>0</v>
      </c>
      <c r="CR129" s="836"/>
      <c r="CS129" s="836"/>
      <c r="CT129" s="715">
        <f>IF(CR129=0,0,(CS129-CR129)/CR129*100)</f>
        <v>0</v>
      </c>
      <c r="CU129" s="836"/>
      <c r="CV129" s="836"/>
      <c r="CW129" s="715">
        <f>IF(CU129=0,0,(CV129-CU129)/CU129*100)</f>
        <v>0</v>
      </c>
      <c r="CX129" s="836"/>
      <c r="CY129" s="836"/>
      <c r="CZ129" s="715">
        <f>IF(CX129=0,0,(CY129-CX129)/CX129*100)</f>
        <v>0</v>
      </c>
      <c r="DA129" s="836"/>
      <c r="DB129" s="836"/>
      <c r="DC129" s="715">
        <f>IF(DA129=0,0,(DB129-DA129)/DA129*100)</f>
        <v>0</v>
      </c>
      <c r="DD129" s="836"/>
      <c r="DE129" s="836"/>
      <c r="DF129" s="715">
        <f>IF(DD129=0,0,(DE129-DD129)/DD129*100)</f>
        <v>0</v>
      </c>
      <c r="DG129" s="836"/>
      <c r="DH129" s="836"/>
      <c r="DI129" s="715">
        <f>IF(DG129=0,0,(DH129-DG129)/DG129*100)</f>
        <v>0</v>
      </c>
      <c r="DJ129" s="836"/>
      <c r="DK129" s="836"/>
      <c r="DL129" s="715">
        <f>IF(DJ129=0,0,(DK129-DJ129)/DJ129*100)</f>
        <v>0</v>
      </c>
      <c r="DM129" s="836"/>
      <c r="DN129" s="836"/>
      <c r="DO129" s="715">
        <f>IF(DM129=0,0,(DN129-DM129)/DM129*100)</f>
        <v>0</v>
      </c>
      <c r="DP129" s="836"/>
      <c r="DQ129" s="836"/>
      <c r="DR129" s="715">
        <f>IF(DP129=0,0,(DQ129-DP129)/DP129*100)</f>
        <v>0</v>
      </c>
      <c r="DS129" s="836"/>
      <c r="DT129" s="836"/>
      <c r="DU129" s="715">
        <f>IF(DS129=0,0,(DT129-DS129)/DS129*100)</f>
        <v>0</v>
      </c>
      <c r="DV129" s="836"/>
      <c r="DW129" s="836"/>
      <c r="DX129" s="715">
        <f>IF(DV129=0,0,(DW129-DV129)/DV129*100)</f>
        <v>0</v>
      </c>
      <c r="DY129" s="836"/>
      <c r="DZ129" s="836"/>
      <c r="EA129" s="715">
        <f>IF(DY129=0,0,(DZ129-DY129)/DY129*100)</f>
        <v>0</v>
      </c>
      <c r="EB129" s="836"/>
      <c r="EC129" s="836"/>
      <c r="ED129" s="715">
        <f>IF(EB129=0,0,(EC129-EB129)/EB129*100)</f>
        <v>0</v>
      </c>
      <c r="EE129" s="836"/>
      <c r="EF129" s="836"/>
      <c r="EG129" s="715">
        <f>IF(EE129=0,0,(EF129-EE129)/EE129*100)</f>
        <v>0</v>
      </c>
      <c r="EH129" s="836"/>
      <c r="EI129" s="836"/>
      <c r="EJ129" s="715">
        <f>IF(EH129=0,0,(EI129-EH129)/EH129*100)</f>
        <v>0</v>
      </c>
      <c r="EK129" s="836"/>
      <c r="EL129" s="836"/>
      <c r="EM129" s="715">
        <f>IF(EK129=0,0,(EL129-EK129)/EK129*100)</f>
        <v>0</v>
      </c>
      <c r="EN129" s="836"/>
      <c r="EO129" s="836"/>
      <c r="EP129" s="715">
        <f>IF(EN129=0,0,(EO129-EN129)/EN129*100)</f>
        <v>0</v>
      </c>
      <c r="EQ129" s="836"/>
      <c r="ER129" s="836"/>
      <c r="ES129" s="715">
        <f>IF(EQ129=0,0,(ER129-EQ129)/EQ129*100)</f>
        <v>0</v>
      </c>
      <c r="ET129" s="836"/>
      <c r="EU129" s="836"/>
      <c r="EV129" s="715">
        <f>IF(ET129=0,0,(EU129-ET129)/ET129*100)</f>
        <v>0</v>
      </c>
      <c r="EW129" s="836"/>
      <c r="EX129" s="836"/>
      <c r="EY129" s="715">
        <f>IF(EW129=0,0,(EX129-EW129)/EW129*100)</f>
        <v>0</v>
      </c>
      <c r="EZ129" s="836"/>
      <c r="FA129" s="836"/>
      <c r="FB129" s="715">
        <f>IF(EZ129=0,0,(FA129-EZ129)/EZ129*100)</f>
        <v>0</v>
      </c>
      <c r="FC129" s="836"/>
      <c r="FD129" s="836"/>
      <c r="FE129" s="715">
        <f>IF(FC129=0,0,(FD129-FC129)/FC129*100)</f>
        <v>0</v>
      </c>
      <c r="FF129" s="836"/>
      <c r="FG129" s="836"/>
      <c r="FH129" s="715">
        <f>IF(FF129=0,0,(FG129-FF129)/FF129*100)</f>
        <v>0</v>
      </c>
      <c r="FI129" s="836"/>
      <c r="FJ129" s="836"/>
      <c r="FK129" s="715">
        <f>IF(FI129=0,0,(FJ129-FI129)/FI129*100)</f>
        <v>0</v>
      </c>
      <c r="FL129" s="836"/>
      <c r="FM129" s="836"/>
      <c r="FN129" s="715">
        <f>IF(FL129=0,0,(FM129-FL129)/FL129*100)</f>
        <v>0</v>
      </c>
      <c r="FO129" s="836"/>
      <c r="FP129" s="836"/>
      <c r="FQ129" s="715">
        <f>IF(FO129=0,0,(FP129-FO129)/FO129*100)</f>
        <v>0</v>
      </c>
      <c r="FR129" s="836"/>
      <c r="FS129" s="836"/>
      <c r="FT129" s="715">
        <f>IF(FR129=0,0,(FS129-FR129)/FR129*100)</f>
        <v>0</v>
      </c>
      <c r="FU129" s="836"/>
      <c r="FV129" s="836"/>
      <c r="FW129" s="715">
        <f>IF(FU129=0,0,(FV129-FU129)/FU129*100)</f>
        <v>0</v>
      </c>
      <c r="FZ129" s="691" t="s">
        <v>1713</v>
      </c>
      <c r="GA129" s="671" t="s">
        <v>900</v>
      </c>
      <c r="GB129" s="671" cm="1">
        <f t="array" ref="GB129">GB128</f>
        <v>0</v>
      </c>
    </row>
    <row r="130" spans="1:186" ht="21.75" hidden="1" customHeight="1" x14ac:dyDescent="0.15">
      <c r="A130" s="59"/>
      <c r="B130" s="613" t="b" cm="1">
        <f t="array" ref="B130">B129</f>
        <v>0</v>
      </c>
      <c r="C130" s="59"/>
      <c r="D130" s="59"/>
      <c r="E130" s="462">
        <v>22.5</v>
      </c>
      <c r="F130" s="3" t="str" cm="1">
        <f t="array" aca="1" ref="F130" ca="1">OFFSET(E130,-1,1)</f>
        <v>1</v>
      </c>
      <c r="G130" s="59"/>
      <c r="H130" s="59" t="s">
        <v>1683</v>
      </c>
      <c r="I130" s="59" cm="1">
        <f t="array" ref="I130">I129</f>
        <v>0</v>
      </c>
      <c r="J130" s="59"/>
      <c r="K130" s="59"/>
      <c r="L130" s="59"/>
      <c r="M130" s="59"/>
      <c r="N130" s="59"/>
      <c r="O130" s="59"/>
      <c r="P130" s="59"/>
      <c r="Q130" s="59"/>
      <c r="R130" s="59"/>
      <c r="S130" s="59"/>
      <c r="T130" s="353" t="b" cm="1">
        <f t="array" aca="1" ref="T130" ca="1">T129</f>
        <v>0</v>
      </c>
      <c r="U130" s="59"/>
      <c r="V130" s="59"/>
      <c r="W130" s="59"/>
      <c r="X130" s="1022"/>
      <c r="Y130" s="1022"/>
      <c r="Z130" s="966"/>
      <c r="AA130" s="913"/>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1684</v>
      </c>
      <c r="AD130" s="820"/>
      <c r="AE130" s="820"/>
      <c r="AF130" s="714">
        <f>IF(AD130=0,0,(AE130-AD130)/AD130*100)</f>
        <v>0</v>
      </c>
      <c r="AG130" s="820"/>
      <c r="AH130" s="820"/>
      <c r="AI130" s="714">
        <f>IF(AG130=0,0,(AH130-AG130)/AG130*100)</f>
        <v>0</v>
      </c>
      <c r="AJ130" s="820"/>
      <c r="AK130" s="820"/>
      <c r="AL130" s="714">
        <f>IF(AJ130=0,0,(AK130-AJ130)/AJ130*100)</f>
        <v>0</v>
      </c>
      <c r="AM130" s="820"/>
      <c r="AN130" s="820"/>
      <c r="AO130" s="714">
        <f>IF(AM130=0,0,(AN130-AM130)/AM130*100)</f>
        <v>0</v>
      </c>
      <c r="AP130" s="820"/>
      <c r="AQ130" s="820"/>
      <c r="AR130" s="714">
        <f>IF(AP130=0,0,(AQ130-AP130)/AP130*100)</f>
        <v>0</v>
      </c>
      <c r="AS130" s="820"/>
      <c r="AT130" s="820"/>
      <c r="AU130" s="714">
        <f>IF(AS130=0,0,(AT130-AS130)/AS130*100)</f>
        <v>0</v>
      </c>
      <c r="AV130" s="820"/>
      <c r="AW130" s="820"/>
      <c r="AX130" s="714">
        <f>IF(AV130=0,0,(AW130-AV130)/AV130*100)</f>
        <v>0</v>
      </c>
      <c r="AY130" s="820"/>
      <c r="AZ130" s="820"/>
      <c r="BA130" s="714">
        <f>IF(AY130=0,0,(AZ130-AY130)/AY130*100)</f>
        <v>0</v>
      </c>
      <c r="BB130" s="820"/>
      <c r="BC130" s="820"/>
      <c r="BD130" s="714">
        <f>IF(BB130=0,0,(BC130-BB130)/BB130*100)</f>
        <v>0</v>
      </c>
      <c r="BE130" s="820"/>
      <c r="BF130" s="820"/>
      <c r="BG130" s="714">
        <f>IF(BE130=0,0,(BF130-BE130)/BE130*100)</f>
        <v>0</v>
      </c>
      <c r="BH130" s="820"/>
      <c r="BI130" s="820"/>
      <c r="BJ130" s="714">
        <f>IF(BH130=0,0,(BI130-BH130)/BH130*100)</f>
        <v>0</v>
      </c>
      <c r="BK130" s="820"/>
      <c r="BL130" s="820"/>
      <c r="BM130" s="714">
        <f>IF(BK130=0,0,(BL130-BK130)/BK130*100)</f>
        <v>0</v>
      </c>
      <c r="BN130" s="820"/>
      <c r="BO130" s="820"/>
      <c r="BP130" s="714">
        <f>IF(BN130=0,0,(BO130-BN130)/BN130*100)</f>
        <v>0</v>
      </c>
      <c r="BQ130" s="820"/>
      <c r="BR130" s="820"/>
      <c r="BS130" s="714">
        <f>IF(BQ130=0,0,(BR130-BQ130)/BQ130*100)</f>
        <v>0</v>
      </c>
      <c r="BT130" s="820"/>
      <c r="BU130" s="820"/>
      <c r="BV130" s="714">
        <f>IF(BT130=0,0,(BU130-BT130)/BT130*100)</f>
        <v>0</v>
      </c>
      <c r="BW130" s="820"/>
      <c r="BX130" s="820"/>
      <c r="BY130" s="714">
        <f>IF(BW130=0,0,(BX130-BW130)/BW130*100)</f>
        <v>0</v>
      </c>
      <c r="BZ130" s="820"/>
      <c r="CA130" s="820"/>
      <c r="CB130" s="714">
        <f>IF(BZ130=0,0,(CA130-BZ130)/BZ130*100)</f>
        <v>0</v>
      </c>
      <c r="CC130" s="820"/>
      <c r="CD130" s="820"/>
      <c r="CE130" s="714">
        <f>IF(CC130=0,0,(CD130-CC130)/CC130*100)</f>
        <v>0</v>
      </c>
      <c r="CF130" s="820"/>
      <c r="CG130" s="820"/>
      <c r="CH130" s="714">
        <f>IF(CF130=0,0,(CG130-CF130)/CF130*100)</f>
        <v>0</v>
      </c>
      <c r="CI130" s="820"/>
      <c r="CJ130" s="820"/>
      <c r="CK130" s="714">
        <f>IF(CI130=0,0,(CJ130-CI130)/CI130*100)</f>
        <v>0</v>
      </c>
      <c r="CL130" s="820"/>
      <c r="CM130" s="820"/>
      <c r="CN130" s="714">
        <f>IF(CL130=0,0,(CM130-CL130)/CL130*100)</f>
        <v>0</v>
      </c>
      <c r="CO130" s="820"/>
      <c r="CP130" s="820"/>
      <c r="CQ130" s="714">
        <f>IF(CO130=0,0,(CP130-CO130)/CO130*100)</f>
        <v>0</v>
      </c>
      <c r="CR130" s="820"/>
      <c r="CS130" s="820"/>
      <c r="CT130" s="714">
        <f>IF(CR130=0,0,(CS130-CR130)/CR130*100)</f>
        <v>0</v>
      </c>
      <c r="CU130" s="820"/>
      <c r="CV130" s="820"/>
      <c r="CW130" s="714">
        <f>IF(CU130=0,0,(CV130-CU130)/CU130*100)</f>
        <v>0</v>
      </c>
      <c r="CX130" s="820"/>
      <c r="CY130" s="820"/>
      <c r="CZ130" s="714">
        <f>IF(CX130=0,0,(CY130-CX130)/CX130*100)</f>
        <v>0</v>
      </c>
      <c r="DA130" s="820"/>
      <c r="DB130" s="820"/>
      <c r="DC130" s="714">
        <f>IF(DA130=0,0,(DB130-DA130)/DA130*100)</f>
        <v>0</v>
      </c>
      <c r="DD130" s="820"/>
      <c r="DE130" s="820"/>
      <c r="DF130" s="714">
        <f>IF(DD130=0,0,(DE130-DD130)/DD130*100)</f>
        <v>0</v>
      </c>
      <c r="DG130" s="820"/>
      <c r="DH130" s="820"/>
      <c r="DI130" s="714">
        <f>IF(DG130=0,0,(DH130-DG130)/DG130*100)</f>
        <v>0</v>
      </c>
      <c r="DJ130" s="820"/>
      <c r="DK130" s="820"/>
      <c r="DL130" s="714">
        <f>IF(DJ130=0,0,(DK130-DJ130)/DJ130*100)</f>
        <v>0</v>
      </c>
      <c r="DM130" s="820"/>
      <c r="DN130" s="820"/>
      <c r="DO130" s="714">
        <f>IF(DM130=0,0,(DN130-DM130)/DM130*100)</f>
        <v>0</v>
      </c>
      <c r="DP130" s="820"/>
      <c r="DQ130" s="820"/>
      <c r="DR130" s="714">
        <f>IF(DP130=0,0,(DQ130-DP130)/DP130*100)</f>
        <v>0</v>
      </c>
      <c r="DS130" s="820"/>
      <c r="DT130" s="820"/>
      <c r="DU130" s="714">
        <f>IF(DS130=0,0,(DT130-DS130)/DS130*100)</f>
        <v>0</v>
      </c>
      <c r="DV130" s="820"/>
      <c r="DW130" s="820"/>
      <c r="DX130" s="714">
        <f>IF(DV130=0,0,(DW130-DV130)/DV130*100)</f>
        <v>0</v>
      </c>
      <c r="DY130" s="820"/>
      <c r="DZ130" s="820"/>
      <c r="EA130" s="714">
        <f>IF(DY130=0,0,(DZ130-DY130)/DY130*100)</f>
        <v>0</v>
      </c>
      <c r="EB130" s="820"/>
      <c r="EC130" s="820"/>
      <c r="ED130" s="714">
        <f>IF(EB130=0,0,(EC130-EB130)/EB130*100)</f>
        <v>0</v>
      </c>
      <c r="EE130" s="820"/>
      <c r="EF130" s="820"/>
      <c r="EG130" s="714">
        <f>IF(EE130=0,0,(EF130-EE130)/EE130*100)</f>
        <v>0</v>
      </c>
      <c r="EH130" s="820"/>
      <c r="EI130" s="820"/>
      <c r="EJ130" s="714">
        <f>IF(EH130=0,0,(EI130-EH130)/EH130*100)</f>
        <v>0</v>
      </c>
      <c r="EK130" s="820"/>
      <c r="EL130" s="820"/>
      <c r="EM130" s="714">
        <f>IF(EK130=0,0,(EL130-EK130)/EK130*100)</f>
        <v>0</v>
      </c>
      <c r="EN130" s="820"/>
      <c r="EO130" s="820"/>
      <c r="EP130" s="714">
        <f>IF(EN130=0,0,(EO130-EN130)/EN130*100)</f>
        <v>0</v>
      </c>
      <c r="EQ130" s="820"/>
      <c r="ER130" s="820"/>
      <c r="ES130" s="714">
        <f>IF(EQ130=0,0,(ER130-EQ130)/EQ130*100)</f>
        <v>0</v>
      </c>
      <c r="ET130" s="820"/>
      <c r="EU130" s="820"/>
      <c r="EV130" s="714">
        <f>IF(ET130=0,0,(EU130-ET130)/ET130*100)</f>
        <v>0</v>
      </c>
      <c r="EW130" s="820"/>
      <c r="EX130" s="820"/>
      <c r="EY130" s="714">
        <f>IF(EW130=0,0,(EX130-EW130)/EW130*100)</f>
        <v>0</v>
      </c>
      <c r="EZ130" s="820"/>
      <c r="FA130" s="820"/>
      <c r="FB130" s="714">
        <f>IF(EZ130=0,0,(FA130-EZ130)/EZ130*100)</f>
        <v>0</v>
      </c>
      <c r="FC130" s="820"/>
      <c r="FD130" s="820"/>
      <c r="FE130" s="714">
        <f>IF(FC130=0,0,(FD130-FC130)/FC130*100)</f>
        <v>0</v>
      </c>
      <c r="FF130" s="820"/>
      <c r="FG130" s="820"/>
      <c r="FH130" s="714">
        <f>IF(FF130=0,0,(FG130-FF130)/FF130*100)</f>
        <v>0</v>
      </c>
      <c r="FI130" s="820"/>
      <c r="FJ130" s="820"/>
      <c r="FK130" s="714">
        <f>IF(FI130=0,0,(FJ130-FI130)/FI130*100)</f>
        <v>0</v>
      </c>
      <c r="FL130" s="820"/>
      <c r="FM130" s="820"/>
      <c r="FN130" s="714">
        <f>IF(FL130=0,0,(FM130-FL130)/FL130*100)</f>
        <v>0</v>
      </c>
      <c r="FO130" s="820"/>
      <c r="FP130" s="820"/>
      <c r="FQ130" s="714">
        <f>IF(FO130=0,0,(FP130-FO130)/FO130*100)</f>
        <v>0</v>
      </c>
      <c r="FR130" s="820"/>
      <c r="FS130" s="820"/>
      <c r="FT130" s="714">
        <f>IF(FR130=0,0,(FS130-FR130)/FR130*100)</f>
        <v>0</v>
      </c>
      <c r="FU130" s="820"/>
      <c r="FV130" s="820"/>
      <c r="FW130" s="714">
        <f>IF(FU130=0,0,(FV130-FU130)/FU130*100)</f>
        <v>0</v>
      </c>
      <c r="FZ130" s="691" t="s">
        <v>1714</v>
      </c>
      <c r="GA130" s="671" t="s">
        <v>900</v>
      </c>
      <c r="GB130" s="671" cm="1">
        <f t="array" ref="GB130">GB129</f>
        <v>0</v>
      </c>
    </row>
    <row r="131" spans="1:186" ht="14.25" hidden="1" customHeight="1" x14ac:dyDescent="0.15">
      <c r="A131" s="59"/>
      <c r="B131" s="613" t="b" cm="1">
        <f t="array" ref="B131">B130</f>
        <v>0</v>
      </c>
      <c r="C131" s="59"/>
      <c r="D131" s="59"/>
      <c r="E131" s="462">
        <v>15</v>
      </c>
      <c r="F131" s="3" t="str" cm="1">
        <f t="array" aca="1" ref="F131" ca="1">OFFSET(E131,-1,1)</f>
        <v>1</v>
      </c>
      <c r="G131" s="59"/>
      <c r="H131" s="59" t="s">
        <v>1686</v>
      </c>
      <c r="I131" s="59" cm="1">
        <f t="array" ref="I131">I130</f>
        <v>0</v>
      </c>
      <c r="J131" s="59"/>
      <c r="K131" s="59"/>
      <c r="L131" s="59"/>
      <c r="M131" s="59"/>
      <c r="N131" s="59"/>
      <c r="O131" s="59"/>
      <c r="P131" s="59"/>
      <c r="Q131" s="59"/>
      <c r="R131" s="59"/>
      <c r="S131" s="59"/>
      <c r="T131" s="353" t="b" cm="1">
        <f t="array" aca="1" ref="T131" ca="1">T130</f>
        <v>0</v>
      </c>
      <c r="U131" s="59"/>
      <c r="V131" s="59"/>
      <c r="W131" s="59"/>
      <c r="X131" s="1022"/>
      <c r="Y131" s="1022"/>
      <c r="Z131" s="966"/>
      <c r="AA131" s="913"/>
      <c r="AB131" s="105" t="s">
        <v>1687</v>
      </c>
      <c r="AC131" s="12" t="s">
        <v>1688</v>
      </c>
      <c r="AD131" s="820"/>
      <c r="AE131" s="820"/>
      <c r="AF131" s="714">
        <f>IF(AD131=0,0,(AE131-AD131)/AD131*100)</f>
        <v>0</v>
      </c>
      <c r="AG131" s="820"/>
      <c r="AH131" s="820"/>
      <c r="AI131" s="714">
        <f>IF(AG131=0,0,(AH131-AG131)/AG131*100)</f>
        <v>0</v>
      </c>
      <c r="AJ131" s="820"/>
      <c r="AK131" s="820"/>
      <c r="AL131" s="714">
        <f>IF(AJ131=0,0,(AK131-AJ131)/AJ131*100)</f>
        <v>0</v>
      </c>
      <c r="AM131" s="820"/>
      <c r="AN131" s="820"/>
      <c r="AO131" s="714">
        <f>IF(AM131=0,0,(AN131-AM131)/AM131*100)</f>
        <v>0</v>
      </c>
      <c r="AP131" s="820"/>
      <c r="AQ131" s="820"/>
      <c r="AR131" s="714">
        <f>IF(AP131=0,0,(AQ131-AP131)/AP131*100)</f>
        <v>0</v>
      </c>
      <c r="AS131" s="820"/>
      <c r="AT131" s="820"/>
      <c r="AU131" s="714">
        <f>IF(AS131=0,0,(AT131-AS131)/AS131*100)</f>
        <v>0</v>
      </c>
      <c r="AV131" s="820"/>
      <c r="AW131" s="820"/>
      <c r="AX131" s="714">
        <f>IF(AV131=0,0,(AW131-AV131)/AV131*100)</f>
        <v>0</v>
      </c>
      <c r="AY131" s="820"/>
      <c r="AZ131" s="820"/>
      <c r="BA131" s="714">
        <f>IF(AY131=0,0,(AZ131-AY131)/AY131*100)</f>
        <v>0</v>
      </c>
      <c r="BB131" s="820"/>
      <c r="BC131" s="820"/>
      <c r="BD131" s="714">
        <f>IF(BB131=0,0,(BC131-BB131)/BB131*100)</f>
        <v>0</v>
      </c>
      <c r="BE131" s="820"/>
      <c r="BF131" s="820"/>
      <c r="BG131" s="714">
        <f>IF(BE131=0,0,(BF131-BE131)/BE131*100)</f>
        <v>0</v>
      </c>
      <c r="BH131" s="820"/>
      <c r="BI131" s="820"/>
      <c r="BJ131" s="714">
        <f>IF(BH131=0,0,(BI131-BH131)/BH131*100)</f>
        <v>0</v>
      </c>
      <c r="BK131" s="820"/>
      <c r="BL131" s="820"/>
      <c r="BM131" s="714">
        <f>IF(BK131=0,0,(BL131-BK131)/BK131*100)</f>
        <v>0</v>
      </c>
      <c r="BN131" s="820"/>
      <c r="BO131" s="820"/>
      <c r="BP131" s="714">
        <f>IF(BN131=0,0,(BO131-BN131)/BN131*100)</f>
        <v>0</v>
      </c>
      <c r="BQ131" s="820"/>
      <c r="BR131" s="820"/>
      <c r="BS131" s="714">
        <f>IF(BQ131=0,0,(BR131-BQ131)/BQ131*100)</f>
        <v>0</v>
      </c>
      <c r="BT131" s="820"/>
      <c r="BU131" s="820"/>
      <c r="BV131" s="714">
        <f>IF(BT131=0,0,(BU131-BT131)/BT131*100)</f>
        <v>0</v>
      </c>
      <c r="BW131" s="820"/>
      <c r="BX131" s="820"/>
      <c r="BY131" s="714">
        <f>IF(BW131=0,0,(BX131-BW131)/BW131*100)</f>
        <v>0</v>
      </c>
      <c r="BZ131" s="820"/>
      <c r="CA131" s="820"/>
      <c r="CB131" s="714">
        <f>IF(BZ131=0,0,(CA131-BZ131)/BZ131*100)</f>
        <v>0</v>
      </c>
      <c r="CC131" s="820"/>
      <c r="CD131" s="820"/>
      <c r="CE131" s="714">
        <f>IF(CC131=0,0,(CD131-CC131)/CC131*100)</f>
        <v>0</v>
      </c>
      <c r="CF131" s="820"/>
      <c r="CG131" s="820"/>
      <c r="CH131" s="714">
        <f>IF(CF131=0,0,(CG131-CF131)/CF131*100)</f>
        <v>0</v>
      </c>
      <c r="CI131" s="820"/>
      <c r="CJ131" s="820"/>
      <c r="CK131" s="714">
        <f>IF(CI131=0,0,(CJ131-CI131)/CI131*100)</f>
        <v>0</v>
      </c>
      <c r="CL131" s="820"/>
      <c r="CM131" s="820"/>
      <c r="CN131" s="714">
        <f>IF(CL131=0,0,(CM131-CL131)/CL131*100)</f>
        <v>0</v>
      </c>
      <c r="CO131" s="820"/>
      <c r="CP131" s="820"/>
      <c r="CQ131" s="714">
        <f>IF(CO131=0,0,(CP131-CO131)/CO131*100)</f>
        <v>0</v>
      </c>
      <c r="CR131" s="820"/>
      <c r="CS131" s="820"/>
      <c r="CT131" s="714">
        <f>IF(CR131=0,0,(CS131-CR131)/CR131*100)</f>
        <v>0</v>
      </c>
      <c r="CU131" s="820"/>
      <c r="CV131" s="820"/>
      <c r="CW131" s="714">
        <f>IF(CU131=0,0,(CV131-CU131)/CU131*100)</f>
        <v>0</v>
      </c>
      <c r="CX131" s="820"/>
      <c r="CY131" s="820"/>
      <c r="CZ131" s="714">
        <f>IF(CX131=0,0,(CY131-CX131)/CX131*100)</f>
        <v>0</v>
      </c>
      <c r="DA131" s="820"/>
      <c r="DB131" s="820"/>
      <c r="DC131" s="714">
        <f>IF(DA131=0,0,(DB131-DA131)/DA131*100)</f>
        <v>0</v>
      </c>
      <c r="DD131" s="820"/>
      <c r="DE131" s="820"/>
      <c r="DF131" s="714">
        <f>IF(DD131=0,0,(DE131-DD131)/DD131*100)</f>
        <v>0</v>
      </c>
      <c r="DG131" s="820"/>
      <c r="DH131" s="820"/>
      <c r="DI131" s="714">
        <f>IF(DG131=0,0,(DH131-DG131)/DG131*100)</f>
        <v>0</v>
      </c>
      <c r="DJ131" s="820"/>
      <c r="DK131" s="820"/>
      <c r="DL131" s="714">
        <f>IF(DJ131=0,0,(DK131-DJ131)/DJ131*100)</f>
        <v>0</v>
      </c>
      <c r="DM131" s="820"/>
      <c r="DN131" s="820"/>
      <c r="DO131" s="714">
        <f>IF(DM131=0,0,(DN131-DM131)/DM131*100)</f>
        <v>0</v>
      </c>
      <c r="DP131" s="820"/>
      <c r="DQ131" s="820"/>
      <c r="DR131" s="714">
        <f>IF(DP131=0,0,(DQ131-DP131)/DP131*100)</f>
        <v>0</v>
      </c>
      <c r="DS131" s="820"/>
      <c r="DT131" s="820"/>
      <c r="DU131" s="714">
        <f>IF(DS131=0,0,(DT131-DS131)/DS131*100)</f>
        <v>0</v>
      </c>
      <c r="DV131" s="820"/>
      <c r="DW131" s="820"/>
      <c r="DX131" s="714">
        <f>IF(DV131=0,0,(DW131-DV131)/DV131*100)</f>
        <v>0</v>
      </c>
      <c r="DY131" s="820"/>
      <c r="DZ131" s="820"/>
      <c r="EA131" s="714">
        <f>IF(DY131=0,0,(DZ131-DY131)/DY131*100)</f>
        <v>0</v>
      </c>
      <c r="EB131" s="820"/>
      <c r="EC131" s="820"/>
      <c r="ED131" s="714">
        <f>IF(EB131=0,0,(EC131-EB131)/EB131*100)</f>
        <v>0</v>
      </c>
      <c r="EE131" s="820"/>
      <c r="EF131" s="820"/>
      <c r="EG131" s="714">
        <f>IF(EE131=0,0,(EF131-EE131)/EE131*100)</f>
        <v>0</v>
      </c>
      <c r="EH131" s="820"/>
      <c r="EI131" s="820"/>
      <c r="EJ131" s="714">
        <f>IF(EH131=0,0,(EI131-EH131)/EH131*100)</f>
        <v>0</v>
      </c>
      <c r="EK131" s="820"/>
      <c r="EL131" s="820"/>
      <c r="EM131" s="714">
        <f>IF(EK131=0,0,(EL131-EK131)/EK131*100)</f>
        <v>0</v>
      </c>
      <c r="EN131" s="820"/>
      <c r="EO131" s="820"/>
      <c r="EP131" s="714">
        <f>IF(EN131=0,0,(EO131-EN131)/EN131*100)</f>
        <v>0</v>
      </c>
      <c r="EQ131" s="820"/>
      <c r="ER131" s="820"/>
      <c r="ES131" s="714">
        <f>IF(EQ131=0,0,(ER131-EQ131)/EQ131*100)</f>
        <v>0</v>
      </c>
      <c r="ET131" s="820"/>
      <c r="EU131" s="820"/>
      <c r="EV131" s="714">
        <f>IF(ET131=0,0,(EU131-ET131)/ET131*100)</f>
        <v>0</v>
      </c>
      <c r="EW131" s="820"/>
      <c r="EX131" s="820"/>
      <c r="EY131" s="714">
        <f>IF(EW131=0,0,(EX131-EW131)/EW131*100)</f>
        <v>0</v>
      </c>
      <c r="EZ131" s="820"/>
      <c r="FA131" s="820"/>
      <c r="FB131" s="714">
        <f>IF(EZ131=0,0,(FA131-EZ131)/EZ131*100)</f>
        <v>0</v>
      </c>
      <c r="FC131" s="820"/>
      <c r="FD131" s="820"/>
      <c r="FE131" s="714">
        <f>IF(FC131=0,0,(FD131-FC131)/FC131*100)</f>
        <v>0</v>
      </c>
      <c r="FF131" s="820"/>
      <c r="FG131" s="820"/>
      <c r="FH131" s="714">
        <f>IF(FF131=0,0,(FG131-FF131)/FF131*100)</f>
        <v>0</v>
      </c>
      <c r="FI131" s="820"/>
      <c r="FJ131" s="820"/>
      <c r="FK131" s="714">
        <f>IF(FI131=0,0,(FJ131-FI131)/FI131*100)</f>
        <v>0</v>
      </c>
      <c r="FL131" s="820"/>
      <c r="FM131" s="820"/>
      <c r="FN131" s="714">
        <f>IF(FL131=0,0,(FM131-FL131)/FL131*100)</f>
        <v>0</v>
      </c>
      <c r="FO131" s="820"/>
      <c r="FP131" s="820"/>
      <c r="FQ131" s="714">
        <f>IF(FO131=0,0,(FP131-FO131)/FO131*100)</f>
        <v>0</v>
      </c>
      <c r="FR131" s="820"/>
      <c r="FS131" s="820"/>
      <c r="FT131" s="714">
        <f>IF(FR131=0,0,(FS131-FR131)/FR131*100)</f>
        <v>0</v>
      </c>
      <c r="FU131" s="820"/>
      <c r="FV131" s="820"/>
      <c r="FW131" s="714">
        <f>IF(FU131=0,0,(FV131-FU131)/FU131*100)</f>
        <v>0</v>
      </c>
      <c r="FZ131" s="691" t="s">
        <v>1715</v>
      </c>
      <c r="GA131" s="671" t="s">
        <v>900</v>
      </c>
      <c r="GB131" s="671" cm="1">
        <f t="array" ref="GB131">GB130</f>
        <v>0</v>
      </c>
    </row>
    <row r="132" spans="1:186" ht="14.25" hidden="1" customHeight="1" x14ac:dyDescent="0.15">
      <c r="A132" s="59"/>
      <c r="B132" s="613" t="b" cm="1">
        <f t="array" ref="B132">B131</f>
        <v>0</v>
      </c>
      <c r="C132" s="59"/>
      <c r="D132" s="59"/>
      <c r="E132" s="462">
        <v>15</v>
      </c>
      <c r="F132" s="3" t="str" cm="1">
        <f t="array" aca="1" ref="F132" ca="1">OFFSET(E132,-1,1)</f>
        <v>1</v>
      </c>
      <c r="G132" s="59"/>
      <c r="H132" s="59"/>
      <c r="I132" s="17" t="s">
        <v>1716</v>
      </c>
      <c r="J132" s="59"/>
      <c r="K132" s="59"/>
      <c r="L132" s="59"/>
      <c r="M132" s="59"/>
      <c r="N132" s="59"/>
      <c r="O132" s="59"/>
      <c r="P132" s="59"/>
      <c r="Q132" s="59"/>
      <c r="R132" s="59"/>
      <c r="S132" s="59"/>
      <c r="T132" s="353" t="b">
        <f ca="1">F132&gt;0</f>
        <v>1</v>
      </c>
      <c r="U132" s="59"/>
      <c r="W132" s="517" t="s">
        <v>1674</v>
      </c>
      <c r="X132" s="1022"/>
      <c r="Z132" s="966"/>
      <c r="AB132" s="172" t="s">
        <v>176</v>
      </c>
      <c r="AC132" s="176"/>
      <c r="AD132" s="716"/>
      <c r="AE132" s="716"/>
      <c r="AF132" s="716"/>
      <c r="AG132" s="716"/>
      <c r="AH132" s="716"/>
      <c r="AI132" s="716"/>
      <c r="AJ132" s="716"/>
      <c r="AK132" s="716"/>
      <c r="AL132" s="716"/>
      <c r="AM132" s="716"/>
      <c r="AN132" s="716"/>
      <c r="AO132" s="716"/>
      <c r="AP132" s="716"/>
      <c r="AQ132" s="716"/>
      <c r="AR132" s="716"/>
      <c r="AS132" s="716"/>
      <c r="AT132" s="716"/>
      <c r="AU132" s="716"/>
      <c r="AV132" s="716"/>
      <c r="AW132" s="716"/>
      <c r="AX132" s="716"/>
      <c r="AY132" s="716"/>
      <c r="AZ132" s="716"/>
      <c r="BA132" s="716"/>
      <c r="BB132" s="716"/>
      <c r="BC132" s="716"/>
      <c r="BD132" s="716"/>
      <c r="BE132" s="716"/>
      <c r="BF132" s="716"/>
      <c r="BG132" s="716"/>
      <c r="BH132" s="716"/>
      <c r="BI132" s="716"/>
      <c r="BJ132" s="716"/>
      <c r="BK132" s="716"/>
      <c r="BL132" s="716"/>
      <c r="BM132" s="716"/>
      <c r="BN132" s="716"/>
      <c r="BO132" s="716"/>
      <c r="BP132" s="716"/>
      <c r="BQ132" s="716"/>
      <c r="BR132" s="716"/>
      <c r="BS132" s="716"/>
      <c r="BT132" s="716"/>
      <c r="BU132" s="716"/>
      <c r="BV132" s="716"/>
      <c r="BW132" s="716"/>
      <c r="BX132" s="716"/>
      <c r="BY132" s="716"/>
      <c r="BZ132" s="716"/>
      <c r="CA132" s="716"/>
      <c r="CB132" s="716"/>
      <c r="CC132" s="716"/>
      <c r="CD132" s="716"/>
      <c r="CE132" s="716"/>
      <c r="CF132" s="716"/>
      <c r="CG132" s="716"/>
      <c r="CH132" s="716"/>
      <c r="CI132" s="716"/>
      <c r="CJ132" s="716"/>
      <c r="CK132" s="716"/>
      <c r="CL132" s="716"/>
      <c r="CM132" s="716"/>
      <c r="CN132" s="716"/>
      <c r="CO132" s="716"/>
      <c r="CP132" s="716"/>
      <c r="CQ132" s="716"/>
      <c r="CR132" s="716"/>
      <c r="CS132" s="716"/>
      <c r="CT132" s="716"/>
      <c r="CU132" s="716"/>
      <c r="CV132" s="716"/>
      <c r="CW132" s="716"/>
      <c r="CX132" s="716"/>
      <c r="CY132" s="716"/>
      <c r="CZ132" s="716"/>
      <c r="DA132" s="716"/>
      <c r="DB132" s="716"/>
      <c r="DC132" s="716"/>
      <c r="DD132" s="716"/>
      <c r="DE132" s="716"/>
      <c r="DF132" s="716"/>
      <c r="DG132" s="716"/>
      <c r="DH132" s="716"/>
      <c r="DI132" s="716"/>
      <c r="DJ132" s="716"/>
      <c r="DK132" s="716"/>
      <c r="DL132" s="716"/>
      <c r="DM132" s="716"/>
      <c r="DN132" s="716"/>
      <c r="DO132" s="716"/>
      <c r="DP132" s="716"/>
      <c r="DQ132" s="716"/>
      <c r="DR132" s="716"/>
      <c r="DS132" s="716"/>
      <c r="DT132" s="716"/>
      <c r="DU132" s="716"/>
      <c r="DV132" s="716"/>
      <c r="DW132" s="716"/>
      <c r="DX132" s="716"/>
      <c r="DY132" s="716"/>
      <c r="DZ132" s="716"/>
      <c r="EA132" s="716"/>
      <c r="EB132" s="716"/>
      <c r="EC132" s="716"/>
      <c r="ED132" s="716"/>
      <c r="EE132" s="716"/>
      <c r="EF132" s="716"/>
      <c r="EG132" s="716"/>
      <c r="EH132" s="716"/>
      <c r="EI132" s="716"/>
      <c r="EJ132" s="716"/>
      <c r="EK132" s="716"/>
      <c r="EL132" s="716"/>
      <c r="EM132" s="716"/>
      <c r="EN132" s="716"/>
      <c r="EO132" s="716"/>
      <c r="EP132" s="716"/>
      <c r="EQ132" s="716"/>
      <c r="ER132" s="716"/>
      <c r="ES132" s="716"/>
      <c r="ET132" s="716"/>
      <c r="EU132" s="716"/>
      <c r="EV132" s="716"/>
      <c r="EW132" s="716"/>
      <c r="EX132" s="716"/>
      <c r="EY132" s="716"/>
      <c r="EZ132" s="716"/>
      <c r="FA132" s="716"/>
      <c r="FB132" s="716"/>
      <c r="FC132" s="716"/>
      <c r="FD132" s="716"/>
      <c r="FE132" s="716"/>
      <c r="FF132" s="716"/>
      <c r="FG132" s="716"/>
      <c r="FH132" s="716"/>
      <c r="FI132" s="716"/>
      <c r="FJ132" s="716"/>
      <c r="FK132" s="716"/>
      <c r="FL132" s="716"/>
      <c r="FM132" s="716"/>
      <c r="FN132" s="716"/>
      <c r="FO132" s="716"/>
      <c r="FP132" s="716"/>
      <c r="FQ132" s="716"/>
      <c r="FR132" s="716"/>
      <c r="FS132" s="716"/>
      <c r="FT132" s="716"/>
      <c r="FU132" s="716"/>
      <c r="FV132" s="716"/>
      <c r="FW132" s="717"/>
      <c r="FZ132" s="691" t="s">
        <v>225</v>
      </c>
      <c r="GC132" s="461" t="s">
        <v>900</v>
      </c>
    </row>
    <row r="133" spans="1:186" ht="11.25" hidden="1" customHeight="1" x14ac:dyDescent="0.15">
      <c r="A133" s="315"/>
      <c r="B133" s="613"/>
      <c r="C133" s="315"/>
      <c r="D133" s="315"/>
      <c r="E133" s="480">
        <v>0</v>
      </c>
      <c r="F133" s="765" t="str" cm="1">
        <f t="array" aca="1" ref="F133" ca="1">OFFSET(E133,-1,1)</f>
        <v>1</v>
      </c>
      <c r="G133" s="315"/>
      <c r="H133" s="315"/>
      <c r="I133" s="315"/>
      <c r="J133" s="315"/>
      <c r="K133" s="315"/>
      <c r="L133" s="315"/>
      <c r="M133" s="315"/>
      <c r="N133" s="315"/>
      <c r="O133" s="315"/>
      <c r="P133" s="315"/>
      <c r="Q133" s="315"/>
      <c r="R133" s="315"/>
      <c r="S133" s="315"/>
      <c r="T133" s="353" t="b">
        <v>0</v>
      </c>
      <c r="U133" s="315"/>
      <c r="V133" s="315"/>
      <c r="W133" s="315"/>
      <c r="X133" s="1022"/>
      <c r="Y133" s="315"/>
      <c r="Z133" s="966"/>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1" t="s">
        <v>225</v>
      </c>
      <c r="GA133" s="661"/>
      <c r="GB133" s="655"/>
      <c r="GC133" s="454"/>
      <c r="GD133" s="454"/>
    </row>
    <row r="134" spans="1:186" s="866" customFormat="1" ht="23.25" hidden="1" customHeight="1" x14ac:dyDescent="0.15">
      <c r="A134" s="594"/>
      <c r="B134" s="613" t="b" cm="1">
        <f t="array" ref="B134">S85</f>
        <v>0</v>
      </c>
      <c r="C134" s="594"/>
      <c r="D134" s="594"/>
      <c r="E134" s="462">
        <v>24.5</v>
      </c>
      <c r="F134" s="3" t="str" cm="1">
        <f t="array" aca="1" ref="F134" ca="1">OFFSET(E134,-1,1)</f>
        <v>1</v>
      </c>
      <c r="G134" s="25" t="s">
        <v>1641</v>
      </c>
      <c r="H134" s="59" t="s">
        <v>482</v>
      </c>
      <c r="I134" s="59" t="s">
        <v>1717</v>
      </c>
      <c r="J134" s="594"/>
      <c r="K134" s="594"/>
      <c r="L134" s="594"/>
      <c r="M134" s="594"/>
      <c r="N134" s="594"/>
      <c r="O134" s="594"/>
      <c r="P134" s="594"/>
      <c r="Q134" s="594"/>
      <c r="R134" s="594"/>
      <c r="S134" s="59"/>
      <c r="T134" s="353" t="b" cm="1">
        <f t="array" aca="1" ref="T134" ca="1">T132</f>
        <v>1</v>
      </c>
      <c r="U134" s="594"/>
      <c r="V134" s="594"/>
      <c r="W134" s="594"/>
      <c r="X134" s="1022"/>
      <c r="Y134" s="594"/>
      <c r="Z134" s="966"/>
      <c r="AA134" s="594"/>
      <c r="AB134" s="132" t="s">
        <v>1718</v>
      </c>
      <c r="AC134" s="147" t="s">
        <v>1644</v>
      </c>
      <c r="AD134" s="865">
        <f ca="1">IF(AND(method_reg="Метод индексации",god&lt;&gt;first_year),SUMIFS(INDEX('Калькуляция (МИ корр)'!$AJ$25:$BC$603,,MATCH(AD$8,'Калькуляция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(МИ)'!$AJ$25:$BC$603,,MATCH(AD$8,'Калькуляция (МИ)'!$AJ$8:$BC$8,0)),'Калькуляция (МИ)'!$F$25:$F$603,$F134,'Калькуляция (МИ)'!$G$25:$G$603,$G134))))</f>
        <v>5.9193670646000003</v>
      </c>
      <c r="AE134" s="865">
        <f ca="1">IF(AND(method_reg="Метод индексации",god&lt;&gt;first_year),SUMIFS(INDEX('Калькуляция (МИ корр)'!$AJ$25:$BC$603,,MATCH(AE$8,'Калькуляция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(МИ)'!$AJ$25:$BC$603,,MATCH(AE$8,'Калькуляция (МИ)'!$AJ$8:$BC$8,0)),'Калькуляция (МИ)'!$F$25:$F$603,$F134,'Калькуляция (МИ)'!$G$25:$G$603,$G134))))</f>
        <v>3.77</v>
      </c>
      <c r="AF134" s="208">
        <f ca="1">IF(AD134=0,0,(AE134-AD134)/AD134*100)</f>
        <v>-36.310758247347231</v>
      </c>
      <c r="AG134" s="865">
        <f ca="1">IF(AND(method_reg="Метод индексации",god&lt;&gt;first_year),SUMIFS(INDEX('Калькуляция (МИ корр)'!$AJ$25:$BC$603,,MATCH(AG$8,'Калькуляция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(МИ)'!$AJ$25:$BC$603,,MATCH(AG$8,'Калькуляция (МИ)'!$AJ$8:$BC$8,0)),'Калькуляция (МИ)'!$F$25:$F$603,$F134,'Калькуляция (МИ)'!$G$25:$G$603,$G134))))</f>
        <v>0</v>
      </c>
      <c r="AH134" s="865">
        <f ca="1">IF(AND(method_reg="Метод индексации",god&lt;&gt;first_year),SUMIFS(INDEX('Калькуляция (МИ корр)'!$AJ$25:$BC$603,,MATCH(AH$8,'Калькуляция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(МИ)'!$AJ$25:$BC$603,,MATCH(AH$8,'Калькуляция (МИ)'!$AJ$8:$BC$8,0)),'Калькуляция (МИ)'!$F$25:$F$603,$F134,'Калькуляция (МИ)'!$G$25:$G$603,$G134))))</f>
        <v>4.3659999999999997</v>
      </c>
      <c r="AI134" s="208">
        <f ca="1">IF(AG134=0,0,(AH134-AG134)/AG134*100)</f>
        <v>0</v>
      </c>
      <c r="AJ134" s="865">
        <f ca="1">IF(AND(method_reg="Метод индексации",god&lt;&gt;first_year),SUMIFS(INDEX('Калькуляция (МИ корр)'!$AJ$25:$BC$603,,MATCH(AJ$8,'Калькуляция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(МИ)'!$AJ$25:$BC$603,,MATCH(AJ$8,'Калькуляция (МИ)'!$AJ$8:$BC$8,0)),'Калькуляция (МИ)'!$F$25:$F$603,$F134,'Калькуляция (МИ)'!$G$25:$G$603,$G134))))</f>
        <v>0</v>
      </c>
      <c r="AK134" s="865">
        <f ca="1">IF(AND(method_reg="Метод индексации",god&lt;&gt;first_year),SUMIFS(INDEX('Калькуляция (МИ корр)'!$AJ$25:$BC$603,,MATCH(AK$8,'Калькуляция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(МИ)'!$AJ$25:$BC$603,,MATCH(AK$8,'Калькуляция (МИ)'!$AJ$8:$BC$8,0)),'Калькуляция (МИ)'!$F$25:$F$603,$F134,'Калькуляция (МИ)'!$G$25:$G$603,$G134))))</f>
        <v>0</v>
      </c>
      <c r="AL134" s="208">
        <f ca="1">IF(AJ134=0,0,(AK134-AJ134)/AJ134*100)</f>
        <v>0</v>
      </c>
      <c r="AM134" s="865">
        <f ca="1">IF(AND(method_reg="Метод индексации",god&lt;&gt;first_year),SUMIFS(INDEX('Калькуляция (МИ корр)'!$AJ$25:$BC$603,,MATCH(AM$8,'Калькуляция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(МИ)'!$AJ$25:$BC$603,,MATCH(AM$8,'Калькуляция (МИ)'!$AJ$8:$BC$8,0)),'Калькуляция (МИ)'!$F$25:$F$603,$F134,'Калькуляция (МИ)'!$G$25:$G$603,$G134))))</f>
        <v>0</v>
      </c>
      <c r="AN134" s="865">
        <f ca="1">IF(AND(method_reg="Метод индексации",god&lt;&gt;first_year),SUMIFS(INDEX('Калькуляция (МИ корр)'!$AJ$25:$BC$603,,MATCH(AN$8,'Калькуляция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(МИ)'!$AJ$25:$BC$603,,MATCH(AN$8,'Калькуляция (МИ)'!$AJ$8:$BC$8,0)),'Калькуляция (МИ)'!$F$25:$F$603,$F134,'Калькуляция (МИ)'!$G$25:$G$603,$G134))))</f>
        <v>0</v>
      </c>
      <c r="AO134" s="208">
        <f ca="1">IF(AM134=0,0,(AN134-AM134)/AM134*100)</f>
        <v>0</v>
      </c>
      <c r="AP134" s="865">
        <f ca="1">IF(AND(method_reg="Метод индексации",god&lt;&gt;first_year),SUMIFS(INDEX('Калькуляция (МИ корр)'!$AJ$25:$BC$603,,MATCH(AP$8,'Калькуляция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(МИ)'!$AJ$25:$BC$603,,MATCH(AP$8,'Калькуляция (МИ)'!$AJ$8:$BC$8,0)),'Калькуляция (МИ)'!$F$25:$F$603,$F134,'Калькуляция (МИ)'!$G$25:$G$603,$G134))))</f>
        <v>0</v>
      </c>
      <c r="AQ134" s="865">
        <f ca="1">IF(AND(method_reg="Метод индексации",god&lt;&gt;first_year),SUMIFS(INDEX('Калькуляция (МИ корр)'!$AJ$25:$BC$603,,MATCH(AQ$8,'Калькуляция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(МИ)'!$AJ$25:$BC$603,,MATCH(AQ$8,'Калькуляция (МИ)'!$AJ$8:$BC$8,0)),'Калькуляция (МИ)'!$F$25:$F$603,$F134,'Калькуляция (МИ)'!$G$25:$G$603,$G134))))</f>
        <v>0</v>
      </c>
      <c r="AR134" s="208">
        <f ca="1">IF(AP134=0,0,(AQ134-AP134)/AP134*100)</f>
        <v>0</v>
      </c>
      <c r="AS134" s="865">
        <f ca="1">IF(AND(method_reg="Метод индексации",god&lt;&gt;first_year),SUMIFS(INDEX('Калькуляция (МИ корр)'!$AJ$25:$BC$603,,MATCH(AS$8,'Калькуляция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(МИ)'!$AJ$25:$BC$603,,MATCH(AS$8,'Калькуляция (МИ)'!$AJ$8:$BC$8,0)),'Калькуляция (МИ)'!$F$25:$F$603,$F134,'Калькуляция (МИ)'!$G$25:$G$603,$G134))))</f>
        <v>0</v>
      </c>
      <c r="AT134" s="865">
        <f ca="1">IF(AND(method_reg="Метод индексации",god&lt;&gt;first_year),SUMIFS(INDEX('Калькуляция (МИ корр)'!$AJ$25:$BC$603,,MATCH(AT$8,'Калькуляция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(МИ)'!$AJ$25:$BC$603,,MATCH(AT$8,'Калькуляция (МИ)'!$AJ$8:$BC$8,0)),'Калькуляция (МИ)'!$F$25:$F$603,$F134,'Калькуляция (МИ)'!$G$25:$G$603,$G134))))</f>
        <v>0</v>
      </c>
      <c r="AU134" s="208">
        <f ca="1">IF(AS134=0,0,(AT134-AS134)/AS134*100)</f>
        <v>0</v>
      </c>
      <c r="AV134" s="865">
        <f ca="1">IF(AND(method_reg="Метод индексации",god&lt;&gt;first_year),SUMIFS(INDEX('Калькуляция (МИ корр)'!$AJ$25:$BC$603,,MATCH(AV$8,'Калькуляция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(МИ)'!$AJ$25:$BC$603,,MATCH(AV$8,'Калькуляция (МИ)'!$AJ$8:$BC$8,0)),'Калькуляция (МИ)'!$F$25:$F$603,$F134,'Калькуляция (МИ)'!$G$25:$G$603,$G134))))</f>
        <v>0</v>
      </c>
      <c r="AW134" s="865">
        <f ca="1">IF(AND(method_reg="Метод индексации",god&lt;&gt;first_year),SUMIFS(INDEX('Калькуляция (МИ корр)'!$AJ$25:$BC$603,,MATCH(AW$8,'Калькуляция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(МИ)'!$AJ$25:$BC$603,,MATCH(AW$8,'Калькуляция (МИ)'!$AJ$8:$BC$8,0)),'Калькуляция (МИ)'!$F$25:$F$603,$F134,'Калькуляция (МИ)'!$G$25:$G$603,$G134))))</f>
        <v>0</v>
      </c>
      <c r="AX134" s="208">
        <f ca="1">IF(AV134=0,0,(AW134-AV134)/AV134*100)</f>
        <v>0</v>
      </c>
      <c r="AY134" s="865">
        <f ca="1">IF(AND(method_reg="Метод индексации",god&lt;&gt;first_year),SUMIFS(INDEX('Калькуляция (МИ корр)'!$AJ$25:$BC$603,,MATCH(AY$8,'Калькуляция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(МИ)'!$AJ$25:$BC$603,,MATCH(AY$8,'Калькуляция (МИ)'!$AJ$8:$BC$8,0)),'Калькуляция (МИ)'!$F$25:$F$603,$F134,'Калькуляция (МИ)'!$G$25:$G$603,$G134))))</f>
        <v>0</v>
      </c>
      <c r="AZ134" s="865">
        <f ca="1">IF(AND(method_reg="Метод индексации",god&lt;&gt;first_year),SUMIFS(INDEX('Калькуляция (МИ корр)'!$AJ$25:$BC$603,,MATCH(AZ$8,'Калькуляция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(МИ)'!$AJ$25:$BC$603,,MATCH(AZ$8,'Калькуляция (МИ)'!$AJ$8:$BC$8,0)),'Калькуляция (МИ)'!$F$25:$F$603,$F134,'Калькуляция (МИ)'!$G$25:$G$603,$G134))))</f>
        <v>0</v>
      </c>
      <c r="BA134" s="208">
        <f ca="1">IF(AY134=0,0,(AZ134-AY134)/AY134*100)</f>
        <v>0</v>
      </c>
      <c r="BB134" s="865">
        <f ca="1">IF(AND(method_reg="Метод индексации",god&lt;&gt;first_year),SUMIFS(INDEX('Калькуляция (МИ корр)'!$AJ$25:$BC$603,,MATCH(BB$8,'Калькуляция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(МИ)'!$AJ$25:$BC$603,,MATCH(BB$8,'Калькуляция (МИ)'!$AJ$8:$BC$8,0)),'Калькуляция (МИ)'!$F$25:$F$603,$F134,'Калькуляция (МИ)'!$G$25:$G$603,$G134))))</f>
        <v>0</v>
      </c>
      <c r="BC134" s="865">
        <f ca="1">IF(AND(method_reg="Метод индексации",god&lt;&gt;first_year),SUMIFS(INDEX('Калькуляция (МИ корр)'!$AJ$25:$BC$603,,MATCH(BC$8,'Калькуляция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(МИ)'!$AJ$25:$BC$603,,MATCH(BC$8,'Калькуляция (МИ)'!$AJ$8:$BC$8,0)),'Калькуляция (МИ)'!$F$25:$F$603,$F134,'Калькуляция (МИ)'!$G$25:$G$603,$G134))))</f>
        <v>0</v>
      </c>
      <c r="BD134" s="208">
        <f ca="1">IF(BB134=0,0,(BC134-BB134)/BB134*100)</f>
        <v>0</v>
      </c>
      <c r="BE134" s="865">
        <f ca="1">IF(AND(method_reg="Метод индексации",god&lt;&gt;first_year),SUMIFS(INDEX('Калькуляция (МИ корр)'!$AJ$25:$BC$603,,MATCH(BE$8,'Калькуляция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(МИ)'!$AJ$25:$BC$603,,MATCH(BE$8,'Калькуляция (МИ)'!$AJ$8:$BC$8,0)),'Калькуляция (МИ)'!$F$25:$F$603,$F134,'Калькуляция (МИ)'!$G$25:$G$603,$G134))))</f>
        <v>0</v>
      </c>
      <c r="BF134" s="865">
        <f ca="1">IF(AND(method_reg="Метод индексации",god&lt;&gt;first_year),SUMIFS(INDEX('Калькуляция (МИ корр)'!$AJ$25:$BC$603,,MATCH(BF$8,'Калькуляция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(МИ)'!$AJ$25:$BC$603,,MATCH(BF$8,'Калькуляция (МИ)'!$AJ$8:$BC$8,0)),'Калькуляция (МИ)'!$F$25:$F$603,$F134,'Калькуляция (МИ)'!$G$25:$G$603,$G134))))</f>
        <v>0</v>
      </c>
      <c r="BG134" s="208">
        <f ca="1">IF(BE134=0,0,(BF134-BE134)/BE134*100)</f>
        <v>0</v>
      </c>
      <c r="BH134" s="865"/>
      <c r="BI134" s="865"/>
      <c r="BJ134" s="208">
        <f>IF(BH134=0,0,(BI134-BH134)/BH134*100)</f>
        <v>0</v>
      </c>
      <c r="BK134" s="865"/>
      <c r="BL134" s="865"/>
      <c r="BM134" s="208">
        <f>IF(BK134=0,0,(BL134-BK134)/BK134*100)</f>
        <v>0</v>
      </c>
      <c r="BN134" s="865"/>
      <c r="BO134" s="865"/>
      <c r="BP134" s="208">
        <f>IF(BN134=0,0,(BO134-BN134)/BN134*100)</f>
        <v>0</v>
      </c>
      <c r="BQ134" s="865"/>
      <c r="BR134" s="865"/>
      <c r="BS134" s="208">
        <f>IF(BQ134=0,0,(BR134-BQ134)/BQ134*100)</f>
        <v>0</v>
      </c>
      <c r="BT134" s="865"/>
      <c r="BU134" s="865"/>
      <c r="BV134" s="208">
        <f>IF(BT134=0,0,(BU134-BT134)/BT134*100)</f>
        <v>0</v>
      </c>
      <c r="BW134" s="865"/>
      <c r="BX134" s="865"/>
      <c r="BY134" s="208">
        <f>IF(BW134=0,0,(BX134-BW134)/BW134*100)</f>
        <v>0</v>
      </c>
      <c r="BZ134" s="865"/>
      <c r="CA134" s="865"/>
      <c r="CB134" s="208">
        <f>IF(BZ134=0,0,(CA134-BZ134)/BZ134*100)</f>
        <v>0</v>
      </c>
      <c r="CC134" s="865"/>
      <c r="CD134" s="865"/>
      <c r="CE134" s="208">
        <f>IF(CC134=0,0,(CD134-CC134)/CC134*100)</f>
        <v>0</v>
      </c>
      <c r="CF134" s="865"/>
      <c r="CG134" s="865"/>
      <c r="CH134" s="208">
        <f>IF(CF134=0,0,(CG134-CF134)/CF134*100)</f>
        <v>0</v>
      </c>
      <c r="CI134" s="865"/>
      <c r="CJ134" s="865"/>
      <c r="CK134" s="208">
        <f>IF(CI134=0,0,(CJ134-CI134)/CI134*100)</f>
        <v>0</v>
      </c>
      <c r="CL134" s="865"/>
      <c r="CM134" s="865"/>
      <c r="CN134" s="208">
        <f>IF(CL134=0,0,(CM134-CL134)/CL134*100)</f>
        <v>0</v>
      </c>
      <c r="CO134" s="865"/>
      <c r="CP134" s="865"/>
      <c r="CQ134" s="208">
        <f>IF(CO134=0,0,(CP134-CO134)/CO134*100)</f>
        <v>0</v>
      </c>
      <c r="CR134" s="865"/>
      <c r="CS134" s="865"/>
      <c r="CT134" s="208">
        <f>IF(CR134=0,0,(CS134-CR134)/CR134*100)</f>
        <v>0</v>
      </c>
      <c r="CU134" s="865"/>
      <c r="CV134" s="865"/>
      <c r="CW134" s="208">
        <f>IF(CU134=0,0,(CV134-CU134)/CU134*100)</f>
        <v>0</v>
      </c>
      <c r="CX134" s="865"/>
      <c r="CY134" s="865"/>
      <c r="CZ134" s="208">
        <f>IF(CX134=0,0,(CY134-CX134)/CX134*100)</f>
        <v>0</v>
      </c>
      <c r="DA134" s="865"/>
      <c r="DB134" s="865"/>
      <c r="DC134" s="208">
        <f>IF(DA134=0,0,(DB134-DA134)/DA134*100)</f>
        <v>0</v>
      </c>
      <c r="DD134" s="865"/>
      <c r="DE134" s="865"/>
      <c r="DF134" s="208">
        <f>IF(DD134=0,0,(DE134-DD134)/DD134*100)</f>
        <v>0</v>
      </c>
      <c r="DG134" s="865"/>
      <c r="DH134" s="865"/>
      <c r="DI134" s="208">
        <f>IF(DG134=0,0,(DH134-DG134)/DG134*100)</f>
        <v>0</v>
      </c>
      <c r="DJ134" s="865"/>
      <c r="DK134" s="865"/>
      <c r="DL134" s="208">
        <f>IF(DJ134=0,0,(DK134-DJ134)/DJ134*100)</f>
        <v>0</v>
      </c>
      <c r="DM134" s="865"/>
      <c r="DN134" s="865"/>
      <c r="DO134" s="208">
        <f>IF(DM134=0,0,(DN134-DM134)/DM134*100)</f>
        <v>0</v>
      </c>
      <c r="DP134" s="865"/>
      <c r="DQ134" s="865"/>
      <c r="DR134" s="208">
        <f>IF(DP134=0,0,(DQ134-DP134)/DP134*100)</f>
        <v>0</v>
      </c>
      <c r="DS134" s="865"/>
      <c r="DT134" s="865"/>
      <c r="DU134" s="208">
        <f>IF(DS134=0,0,(DT134-DS134)/DS134*100)</f>
        <v>0</v>
      </c>
      <c r="DV134" s="865"/>
      <c r="DW134" s="865"/>
      <c r="DX134" s="208">
        <f>IF(DV134=0,0,(DW134-DV134)/DV134*100)</f>
        <v>0</v>
      </c>
      <c r="DY134" s="865"/>
      <c r="DZ134" s="865"/>
      <c r="EA134" s="208">
        <f>IF(DY134=0,0,(DZ134-DY134)/DY134*100)</f>
        <v>0</v>
      </c>
      <c r="EB134" s="865"/>
      <c r="EC134" s="865"/>
      <c r="ED134" s="208">
        <f>IF(EB134=0,0,(EC134-EB134)/EB134*100)</f>
        <v>0</v>
      </c>
      <c r="EE134" s="865"/>
      <c r="EF134" s="865"/>
      <c r="EG134" s="208">
        <f>IF(EE134=0,0,(EF134-EE134)/EE134*100)</f>
        <v>0</v>
      </c>
      <c r="EH134" s="865"/>
      <c r="EI134" s="865"/>
      <c r="EJ134" s="208">
        <f>IF(EH134=0,0,(EI134-EH134)/EH134*100)</f>
        <v>0</v>
      </c>
      <c r="EK134" s="865"/>
      <c r="EL134" s="865"/>
      <c r="EM134" s="208">
        <f>IF(EK134=0,0,(EL134-EK134)/EK134*100)</f>
        <v>0</v>
      </c>
      <c r="EN134" s="865"/>
      <c r="EO134" s="865"/>
      <c r="EP134" s="208">
        <f>IF(EN134=0,0,(EO134-EN134)/EN134*100)</f>
        <v>0</v>
      </c>
      <c r="EQ134" s="865"/>
      <c r="ER134" s="865"/>
      <c r="ES134" s="208">
        <f>IF(EQ134=0,0,(ER134-EQ134)/EQ134*100)</f>
        <v>0</v>
      </c>
      <c r="ET134" s="865"/>
      <c r="EU134" s="865"/>
      <c r="EV134" s="208">
        <f>IF(ET134=0,0,(EU134-ET134)/ET134*100)</f>
        <v>0</v>
      </c>
      <c r="EW134" s="865"/>
      <c r="EX134" s="865"/>
      <c r="EY134" s="208">
        <f>IF(EW134=0,0,(EX134-EW134)/EW134*100)</f>
        <v>0</v>
      </c>
      <c r="EZ134" s="865"/>
      <c r="FA134" s="865"/>
      <c r="FB134" s="208">
        <f>IF(EZ134=0,0,(FA134-EZ134)/EZ134*100)</f>
        <v>0</v>
      </c>
      <c r="FC134" s="865"/>
      <c r="FD134" s="865"/>
      <c r="FE134" s="208">
        <f>IF(FC134=0,0,(FD134-FC134)/FC134*100)</f>
        <v>0</v>
      </c>
      <c r="FF134" s="865"/>
      <c r="FG134" s="865"/>
      <c r="FH134" s="208">
        <f>IF(FF134=0,0,(FG134-FF134)/FF134*100)</f>
        <v>0</v>
      </c>
      <c r="FI134" s="865"/>
      <c r="FJ134" s="865"/>
      <c r="FK134" s="208">
        <f>IF(FI134=0,0,(FJ134-FI134)/FI134*100)</f>
        <v>0</v>
      </c>
      <c r="FL134" s="865"/>
      <c r="FM134" s="865"/>
      <c r="FN134" s="208">
        <f>IF(FL134=0,0,(FM134-FL134)/FL134*100)</f>
        <v>0</v>
      </c>
      <c r="FO134" s="865"/>
      <c r="FP134" s="865"/>
      <c r="FQ134" s="208">
        <f>IF(FO134=0,0,(FP134-FO134)/FO134*100)</f>
        <v>0</v>
      </c>
      <c r="FR134" s="865"/>
      <c r="FS134" s="865"/>
      <c r="FT134" s="208">
        <f>IF(FR134=0,0,(FS134-FR134)/FR134*100)</f>
        <v>0</v>
      </c>
      <c r="FU134" s="865"/>
      <c r="FV134" s="865"/>
      <c r="FW134" s="208">
        <f>IF(FU134=0,0,(FV134-FU134)/FU134*100)</f>
        <v>0</v>
      </c>
      <c r="FX134" s="204"/>
      <c r="FY134" s="204"/>
      <c r="FZ134" s="691" t="s">
        <v>1719</v>
      </c>
      <c r="GA134" s="691"/>
      <c r="GB134" s="691"/>
      <c r="GC134" s="692"/>
      <c r="GD134" s="692"/>
    </row>
    <row r="135" spans="1:186" s="866" customFormat="1" ht="23.25" hidden="1" customHeight="1" x14ac:dyDescent="0.15">
      <c r="A135" s="594"/>
      <c r="B135" s="613" t="b" cm="1">
        <f t="array" ref="B135">B134</f>
        <v>0</v>
      </c>
      <c r="C135" s="594"/>
      <c r="D135" s="594"/>
      <c r="E135" s="462">
        <v>24.5</v>
      </c>
      <c r="F135" s="3" t="str" cm="1">
        <f t="array" aca="1" ref="F135" ca="1">OFFSET(E135,-1,1)</f>
        <v>1</v>
      </c>
      <c r="G135" s="25" t="s">
        <v>1646</v>
      </c>
      <c r="H135" s="59" t="s">
        <v>482</v>
      </c>
      <c r="I135" s="59" t="s">
        <v>1720</v>
      </c>
      <c r="J135" s="594"/>
      <c r="K135" s="594"/>
      <c r="L135" s="594"/>
      <c r="M135" s="594"/>
      <c r="N135" s="594"/>
      <c r="O135" s="594"/>
      <c r="P135" s="594"/>
      <c r="Q135" s="594"/>
      <c r="R135" s="594"/>
      <c r="S135" s="59"/>
      <c r="T135" s="353" t="b" cm="1">
        <f t="array" aca="1" ref="T135" ca="1">T134</f>
        <v>1</v>
      </c>
      <c r="U135" s="594"/>
      <c r="V135" s="594"/>
      <c r="W135" s="594"/>
      <c r="X135" s="1022"/>
      <c r="Y135" s="594"/>
      <c r="Z135" s="966"/>
      <c r="AA135" s="594"/>
      <c r="AB135" s="132" t="s">
        <v>1721</v>
      </c>
      <c r="AC135" s="147" t="s">
        <v>1644</v>
      </c>
      <c r="AD135" s="865">
        <f ca="1">IF(AND(method_reg="Метод индексации",god&lt;&gt;first_year),SUMIFS(INDEX('Калькуляция (МИ корр)'!$AJ$25:$BC$603,,MATCH(AD$8,'Калькуляция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(МИ)'!$AJ$25:$BC$603,,MATCH(AD$8,'Калькуляция (МИ)'!$AJ$8:$BC$8,0)),'Калькуляция (МИ)'!$F$25:$F$603,$F135,'Калькуляция (МИ)'!$G$25:$G$603,$G135))))</f>
        <v>5.9193670646000003</v>
      </c>
      <c r="AE135" s="865">
        <f ca="1">IF(AND(method_reg="Метод индексации",god&lt;&gt;first_year),SUMIFS(INDEX('Калькуляция (МИ корр)'!$AJ$25:$BC$603,,MATCH(AE$8,'Калькуляция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(МИ)'!$AJ$25:$BC$603,,MATCH(AE$8,'Калькуляция (МИ)'!$AJ$8:$BC$8,0)),'Калькуляция (МИ)'!$F$25:$F$603,$F135,'Калькуляция (МИ)'!$G$25:$G$603,$G135))))</f>
        <v>4.3659999999999997</v>
      </c>
      <c r="AF135" s="208">
        <f ca="1">IF(AD135=0,0,(AE135-AD135)/AD135*100)</f>
        <v>-26.242114193081704</v>
      </c>
      <c r="AG135" s="865">
        <f ca="1">IF(AND(method_reg="Метод индексации",god&lt;&gt;first_year),SUMIFS(INDEX('Калькуляция (МИ корр)'!$AJ$25:$BC$603,,MATCH(AG$8,'Калькуляция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(МИ)'!$AJ$25:$BC$603,,MATCH(AG$8,'Калькуляция (МИ)'!$AJ$8:$BC$8,0)),'Калькуляция (МИ)'!$F$25:$F$603,$F135,'Калькуляция (МИ)'!$G$25:$G$603,$G135))))</f>
        <v>0</v>
      </c>
      <c r="AH135" s="865">
        <f ca="1">IF(AND(method_reg="Метод индексации",god&lt;&gt;first_year),SUMIFS(INDEX('Калькуляция (МИ корр)'!$AJ$25:$BC$603,,MATCH(AH$8,'Калькуляция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(МИ)'!$AJ$25:$BC$603,,MATCH(AH$8,'Калькуляция (МИ)'!$AJ$8:$BC$8,0)),'Калькуляция (МИ)'!$F$25:$F$603,$F135,'Калькуляция (МИ)'!$G$25:$G$603,$G135))))</f>
        <v>0</v>
      </c>
      <c r="AI135" s="208">
        <f ca="1">IF(AG135=0,0,(AH135-AG135)/AG135*100)</f>
        <v>0</v>
      </c>
      <c r="AJ135" s="865">
        <f ca="1">IF(AND(method_reg="Метод индексации",god&lt;&gt;first_year),SUMIFS(INDEX('Калькуляция (МИ корр)'!$AJ$25:$BC$603,,MATCH(AJ$8,'Калькуляция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(МИ)'!$AJ$25:$BC$603,,MATCH(AJ$8,'Калькуляция (МИ)'!$AJ$8:$BC$8,0)),'Калькуляция (МИ)'!$F$25:$F$603,$F135,'Калькуляция (МИ)'!$G$25:$G$603,$G135))))</f>
        <v>0</v>
      </c>
      <c r="AK135" s="865">
        <f ca="1">IF(AND(method_reg="Метод индексации",god&lt;&gt;first_year),SUMIFS(INDEX('Калькуляция (МИ корр)'!$AJ$25:$BC$603,,MATCH(AK$8,'Калькуляция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(МИ)'!$AJ$25:$BC$603,,MATCH(AK$8,'Калькуляция (МИ)'!$AJ$8:$BC$8,0)),'Калькуляция (МИ)'!$F$25:$F$603,$F135,'Калькуляция (МИ)'!$G$25:$G$603,$G135))))</f>
        <v>0</v>
      </c>
      <c r="AL135" s="208">
        <f ca="1">IF(AJ135=0,0,(AK135-AJ135)/AJ135*100)</f>
        <v>0</v>
      </c>
      <c r="AM135" s="865">
        <f ca="1">IF(AND(method_reg="Метод индексации",god&lt;&gt;first_year),SUMIFS(INDEX('Калькуляция (МИ корр)'!$AJ$25:$BC$603,,MATCH(AM$8,'Калькуляция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(МИ)'!$AJ$25:$BC$603,,MATCH(AM$8,'Калькуляция (МИ)'!$AJ$8:$BC$8,0)),'Калькуляция (МИ)'!$F$25:$F$603,$F135,'Калькуляция (МИ)'!$G$25:$G$603,$G135))))</f>
        <v>0</v>
      </c>
      <c r="AN135" s="865">
        <f ca="1">IF(AND(method_reg="Метод индексации",god&lt;&gt;first_year),SUMIFS(INDEX('Калькуляция (МИ корр)'!$AJ$25:$BC$603,,MATCH(AN$8,'Калькуляция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(МИ)'!$AJ$25:$BC$603,,MATCH(AN$8,'Калькуляция (МИ)'!$AJ$8:$BC$8,0)),'Калькуляция (МИ)'!$F$25:$F$603,$F135,'Калькуляция (МИ)'!$G$25:$G$603,$G135))))</f>
        <v>0</v>
      </c>
      <c r="AO135" s="208">
        <f ca="1">IF(AM135=0,0,(AN135-AM135)/AM135*100)</f>
        <v>0</v>
      </c>
      <c r="AP135" s="865">
        <f ca="1">IF(AND(method_reg="Метод индексации",god&lt;&gt;first_year),SUMIFS(INDEX('Калькуляция (МИ корр)'!$AJ$25:$BC$603,,MATCH(AP$8,'Калькуляция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(МИ)'!$AJ$25:$BC$603,,MATCH(AP$8,'Калькуляция (МИ)'!$AJ$8:$BC$8,0)),'Калькуляция (МИ)'!$F$25:$F$603,$F135,'Калькуляция (МИ)'!$G$25:$G$603,$G135))))</f>
        <v>0</v>
      </c>
      <c r="AQ135" s="865">
        <f ca="1">IF(AND(method_reg="Метод индексации",god&lt;&gt;first_year),SUMIFS(INDEX('Калькуляция (МИ корр)'!$AJ$25:$BC$603,,MATCH(AQ$8,'Калькуляция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(МИ)'!$AJ$25:$BC$603,,MATCH(AQ$8,'Калькуляция (МИ)'!$AJ$8:$BC$8,0)),'Калькуляция (МИ)'!$F$25:$F$603,$F135,'Калькуляция (МИ)'!$G$25:$G$603,$G135))))</f>
        <v>0</v>
      </c>
      <c r="AR135" s="208">
        <f ca="1">IF(AP135=0,0,(AQ135-AP135)/AP135*100)</f>
        <v>0</v>
      </c>
      <c r="AS135" s="865">
        <f ca="1">IF(AND(method_reg="Метод индексации",god&lt;&gt;first_year),SUMIFS(INDEX('Калькуляция (МИ корр)'!$AJ$25:$BC$603,,MATCH(AS$8,'Калькуляция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(МИ)'!$AJ$25:$BC$603,,MATCH(AS$8,'Калькуляция (МИ)'!$AJ$8:$BC$8,0)),'Калькуляция (МИ)'!$F$25:$F$603,$F135,'Калькуляция (МИ)'!$G$25:$G$603,$G135))))</f>
        <v>0</v>
      </c>
      <c r="AT135" s="865">
        <f ca="1">IF(AND(method_reg="Метод индексации",god&lt;&gt;first_year),SUMIFS(INDEX('Калькуляция (МИ корр)'!$AJ$25:$BC$603,,MATCH(AT$8,'Калькуляция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(МИ)'!$AJ$25:$BC$603,,MATCH(AT$8,'Калькуляция (МИ)'!$AJ$8:$BC$8,0)),'Калькуляция (МИ)'!$F$25:$F$603,$F135,'Калькуляция (МИ)'!$G$25:$G$603,$G135))))</f>
        <v>0</v>
      </c>
      <c r="AU135" s="208">
        <f ca="1">IF(AS135=0,0,(AT135-AS135)/AS135*100)</f>
        <v>0</v>
      </c>
      <c r="AV135" s="865">
        <f ca="1">IF(AND(method_reg="Метод индексации",god&lt;&gt;first_year),SUMIFS(INDEX('Калькуляция (МИ корр)'!$AJ$25:$BC$603,,MATCH(AV$8,'Калькуляция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(МИ)'!$AJ$25:$BC$603,,MATCH(AV$8,'Калькуляция (МИ)'!$AJ$8:$BC$8,0)),'Калькуляция (МИ)'!$F$25:$F$603,$F135,'Калькуляция (МИ)'!$G$25:$G$603,$G135))))</f>
        <v>0</v>
      </c>
      <c r="AW135" s="865">
        <f ca="1">IF(AND(method_reg="Метод индексации",god&lt;&gt;first_year),SUMIFS(INDEX('Калькуляция (МИ корр)'!$AJ$25:$BC$603,,MATCH(AW$8,'Калькуляция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(МИ)'!$AJ$25:$BC$603,,MATCH(AW$8,'Калькуляция (МИ)'!$AJ$8:$BC$8,0)),'Калькуляция (МИ)'!$F$25:$F$603,$F135,'Калькуляция (МИ)'!$G$25:$G$603,$G135))))</f>
        <v>0</v>
      </c>
      <c r="AX135" s="208">
        <f ca="1">IF(AV135=0,0,(AW135-AV135)/AV135*100)</f>
        <v>0</v>
      </c>
      <c r="AY135" s="865">
        <f ca="1">IF(AND(method_reg="Метод индексации",god&lt;&gt;first_year),SUMIFS(INDEX('Калькуляция (МИ корр)'!$AJ$25:$BC$603,,MATCH(AY$8,'Калькуляция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(МИ)'!$AJ$25:$BC$603,,MATCH(AY$8,'Калькуляция (МИ)'!$AJ$8:$BC$8,0)),'Калькуляция (МИ)'!$F$25:$F$603,$F135,'Калькуляция (МИ)'!$G$25:$G$603,$G135))))</f>
        <v>0</v>
      </c>
      <c r="AZ135" s="865">
        <f ca="1">IF(AND(method_reg="Метод индексации",god&lt;&gt;first_year),SUMIFS(INDEX('Калькуляция (МИ корр)'!$AJ$25:$BC$603,,MATCH(AZ$8,'Калькуляция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(МИ)'!$AJ$25:$BC$603,,MATCH(AZ$8,'Калькуляция (МИ)'!$AJ$8:$BC$8,0)),'Калькуляция (МИ)'!$F$25:$F$603,$F135,'Калькуляция (МИ)'!$G$25:$G$603,$G135))))</f>
        <v>0</v>
      </c>
      <c r="BA135" s="208">
        <f ca="1">IF(AY135=0,0,(AZ135-AY135)/AY135*100)</f>
        <v>0</v>
      </c>
      <c r="BB135" s="865">
        <f ca="1">IF(AND(method_reg="Метод индексации",god&lt;&gt;first_year),SUMIFS(INDEX('Калькуляция (МИ корр)'!$AJ$25:$BC$603,,MATCH(BB$8,'Калькуляция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(МИ)'!$AJ$25:$BC$603,,MATCH(BB$8,'Калькуляция (МИ)'!$AJ$8:$BC$8,0)),'Калькуляция (МИ)'!$F$25:$F$603,$F135,'Калькуляция (МИ)'!$G$25:$G$603,$G135))))</f>
        <v>0</v>
      </c>
      <c r="BC135" s="865">
        <f ca="1">IF(AND(method_reg="Метод индексации",god&lt;&gt;first_year),SUMIFS(INDEX('Калькуляция (МИ корр)'!$AJ$25:$BC$603,,MATCH(BC$8,'Калькуляция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(МИ)'!$AJ$25:$BC$603,,MATCH(BC$8,'Калькуляция (МИ)'!$AJ$8:$BC$8,0)),'Калькуляция (МИ)'!$F$25:$F$603,$F135,'Калькуляция (МИ)'!$G$25:$G$603,$G135))))</f>
        <v>0</v>
      </c>
      <c r="BD135" s="208">
        <f ca="1">IF(BB135=0,0,(BC135-BB135)/BB135*100)</f>
        <v>0</v>
      </c>
      <c r="BE135" s="865">
        <f ca="1">IF(AND(method_reg="Метод индексации",god&lt;&gt;first_year),SUMIFS(INDEX('Калькуляция (МИ корр)'!$AJ$25:$BC$603,,MATCH(BE$8,'Калькуляция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(МИ)'!$AJ$25:$BC$603,,MATCH(BE$8,'Калькуляция (МИ)'!$AJ$8:$BC$8,0)),'Калькуляция (МИ)'!$F$25:$F$603,$F135,'Калькуляция (МИ)'!$G$25:$G$603,$G135))))</f>
        <v>0</v>
      </c>
      <c r="BF135" s="865">
        <f ca="1">IF(AND(method_reg="Метод индексации",god&lt;&gt;first_year),SUMIFS(INDEX('Калькуляция (МИ корр)'!$AJ$25:$BC$603,,MATCH(BF$8,'Калькуляция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(МИ)'!$AJ$25:$BC$603,,MATCH(BF$8,'Калькуляция (МИ)'!$AJ$8:$BC$8,0)),'Калькуляция (МИ)'!$F$25:$F$603,$F135,'Калькуляция (МИ)'!$G$25:$G$603,$G135))))</f>
        <v>0</v>
      </c>
      <c r="BG135" s="208">
        <f ca="1">IF(BE135=0,0,(BF135-BE135)/BE135*100)</f>
        <v>0</v>
      </c>
      <c r="BH135" s="865"/>
      <c r="BI135" s="865"/>
      <c r="BJ135" s="208">
        <f>IF(BH135=0,0,(BI135-BH135)/BH135*100)</f>
        <v>0</v>
      </c>
      <c r="BK135" s="865"/>
      <c r="BL135" s="865"/>
      <c r="BM135" s="208">
        <f>IF(BK135=0,0,(BL135-BK135)/BK135*100)</f>
        <v>0</v>
      </c>
      <c r="BN135" s="865"/>
      <c r="BO135" s="865"/>
      <c r="BP135" s="208">
        <f>IF(BN135=0,0,(BO135-BN135)/BN135*100)</f>
        <v>0</v>
      </c>
      <c r="BQ135" s="865"/>
      <c r="BR135" s="865"/>
      <c r="BS135" s="208">
        <f>IF(BQ135=0,0,(BR135-BQ135)/BQ135*100)</f>
        <v>0</v>
      </c>
      <c r="BT135" s="865"/>
      <c r="BU135" s="865"/>
      <c r="BV135" s="208">
        <f>IF(BT135=0,0,(BU135-BT135)/BT135*100)</f>
        <v>0</v>
      </c>
      <c r="BW135" s="865"/>
      <c r="BX135" s="865"/>
      <c r="BY135" s="208">
        <f>IF(BW135=0,0,(BX135-BW135)/BW135*100)</f>
        <v>0</v>
      </c>
      <c r="BZ135" s="865"/>
      <c r="CA135" s="865"/>
      <c r="CB135" s="208">
        <f>IF(BZ135=0,0,(CA135-BZ135)/BZ135*100)</f>
        <v>0</v>
      </c>
      <c r="CC135" s="865"/>
      <c r="CD135" s="865"/>
      <c r="CE135" s="208">
        <f>IF(CC135=0,0,(CD135-CC135)/CC135*100)</f>
        <v>0</v>
      </c>
      <c r="CF135" s="865"/>
      <c r="CG135" s="865"/>
      <c r="CH135" s="208">
        <f>IF(CF135=0,0,(CG135-CF135)/CF135*100)</f>
        <v>0</v>
      </c>
      <c r="CI135" s="865"/>
      <c r="CJ135" s="865"/>
      <c r="CK135" s="208">
        <f>IF(CI135=0,0,(CJ135-CI135)/CI135*100)</f>
        <v>0</v>
      </c>
      <c r="CL135" s="865"/>
      <c r="CM135" s="865"/>
      <c r="CN135" s="208">
        <f>IF(CL135=0,0,(CM135-CL135)/CL135*100)</f>
        <v>0</v>
      </c>
      <c r="CO135" s="865"/>
      <c r="CP135" s="865"/>
      <c r="CQ135" s="208">
        <f>IF(CO135=0,0,(CP135-CO135)/CO135*100)</f>
        <v>0</v>
      </c>
      <c r="CR135" s="865"/>
      <c r="CS135" s="865"/>
      <c r="CT135" s="208">
        <f>IF(CR135=0,0,(CS135-CR135)/CR135*100)</f>
        <v>0</v>
      </c>
      <c r="CU135" s="865"/>
      <c r="CV135" s="865"/>
      <c r="CW135" s="208">
        <f>IF(CU135=0,0,(CV135-CU135)/CU135*100)</f>
        <v>0</v>
      </c>
      <c r="CX135" s="865"/>
      <c r="CY135" s="865"/>
      <c r="CZ135" s="208">
        <f>IF(CX135=0,0,(CY135-CX135)/CX135*100)</f>
        <v>0</v>
      </c>
      <c r="DA135" s="865"/>
      <c r="DB135" s="865"/>
      <c r="DC135" s="208">
        <f>IF(DA135=0,0,(DB135-DA135)/DA135*100)</f>
        <v>0</v>
      </c>
      <c r="DD135" s="865"/>
      <c r="DE135" s="865"/>
      <c r="DF135" s="208">
        <f>IF(DD135=0,0,(DE135-DD135)/DD135*100)</f>
        <v>0</v>
      </c>
      <c r="DG135" s="865"/>
      <c r="DH135" s="865"/>
      <c r="DI135" s="208">
        <f>IF(DG135=0,0,(DH135-DG135)/DG135*100)</f>
        <v>0</v>
      </c>
      <c r="DJ135" s="865"/>
      <c r="DK135" s="865"/>
      <c r="DL135" s="208">
        <f>IF(DJ135=0,0,(DK135-DJ135)/DJ135*100)</f>
        <v>0</v>
      </c>
      <c r="DM135" s="865"/>
      <c r="DN135" s="865"/>
      <c r="DO135" s="208">
        <f>IF(DM135=0,0,(DN135-DM135)/DM135*100)</f>
        <v>0</v>
      </c>
      <c r="DP135" s="865"/>
      <c r="DQ135" s="865"/>
      <c r="DR135" s="208">
        <f>IF(DP135=0,0,(DQ135-DP135)/DP135*100)</f>
        <v>0</v>
      </c>
      <c r="DS135" s="865"/>
      <c r="DT135" s="865"/>
      <c r="DU135" s="208">
        <f>IF(DS135=0,0,(DT135-DS135)/DS135*100)</f>
        <v>0</v>
      </c>
      <c r="DV135" s="865"/>
      <c r="DW135" s="865"/>
      <c r="DX135" s="208">
        <f>IF(DV135=0,0,(DW135-DV135)/DV135*100)</f>
        <v>0</v>
      </c>
      <c r="DY135" s="865"/>
      <c r="DZ135" s="865"/>
      <c r="EA135" s="208">
        <f>IF(DY135=0,0,(DZ135-DY135)/DY135*100)</f>
        <v>0</v>
      </c>
      <c r="EB135" s="865"/>
      <c r="EC135" s="865"/>
      <c r="ED135" s="208">
        <f>IF(EB135=0,0,(EC135-EB135)/EB135*100)</f>
        <v>0</v>
      </c>
      <c r="EE135" s="865"/>
      <c r="EF135" s="865"/>
      <c r="EG135" s="208">
        <f>IF(EE135=0,0,(EF135-EE135)/EE135*100)</f>
        <v>0</v>
      </c>
      <c r="EH135" s="865"/>
      <c r="EI135" s="865"/>
      <c r="EJ135" s="208">
        <f>IF(EH135=0,0,(EI135-EH135)/EH135*100)</f>
        <v>0</v>
      </c>
      <c r="EK135" s="865"/>
      <c r="EL135" s="865"/>
      <c r="EM135" s="208">
        <f>IF(EK135=0,0,(EL135-EK135)/EK135*100)</f>
        <v>0</v>
      </c>
      <c r="EN135" s="865"/>
      <c r="EO135" s="865"/>
      <c r="EP135" s="208">
        <f>IF(EN135=0,0,(EO135-EN135)/EN135*100)</f>
        <v>0</v>
      </c>
      <c r="EQ135" s="865"/>
      <c r="ER135" s="865"/>
      <c r="ES135" s="208">
        <f>IF(EQ135=0,0,(ER135-EQ135)/EQ135*100)</f>
        <v>0</v>
      </c>
      <c r="ET135" s="865"/>
      <c r="EU135" s="865"/>
      <c r="EV135" s="208">
        <f>IF(ET135=0,0,(EU135-ET135)/ET135*100)</f>
        <v>0</v>
      </c>
      <c r="EW135" s="865"/>
      <c r="EX135" s="865"/>
      <c r="EY135" s="208">
        <f>IF(EW135=0,0,(EX135-EW135)/EW135*100)</f>
        <v>0</v>
      </c>
      <c r="EZ135" s="865"/>
      <c r="FA135" s="865"/>
      <c r="FB135" s="208">
        <f>IF(EZ135=0,0,(FA135-EZ135)/EZ135*100)</f>
        <v>0</v>
      </c>
      <c r="FC135" s="865"/>
      <c r="FD135" s="865"/>
      <c r="FE135" s="208">
        <f>IF(FC135=0,0,(FD135-FC135)/FC135*100)</f>
        <v>0</v>
      </c>
      <c r="FF135" s="865"/>
      <c r="FG135" s="865"/>
      <c r="FH135" s="208">
        <f>IF(FF135=0,0,(FG135-FF135)/FF135*100)</f>
        <v>0</v>
      </c>
      <c r="FI135" s="865"/>
      <c r="FJ135" s="865"/>
      <c r="FK135" s="208">
        <f>IF(FI135=0,0,(FJ135-FI135)/FI135*100)</f>
        <v>0</v>
      </c>
      <c r="FL135" s="865"/>
      <c r="FM135" s="865"/>
      <c r="FN135" s="208">
        <f>IF(FL135=0,0,(FM135-FL135)/FL135*100)</f>
        <v>0</v>
      </c>
      <c r="FO135" s="865"/>
      <c r="FP135" s="865"/>
      <c r="FQ135" s="208">
        <f>IF(FO135=0,0,(FP135-FO135)/FO135*100)</f>
        <v>0</v>
      </c>
      <c r="FR135" s="865"/>
      <c r="FS135" s="865"/>
      <c r="FT135" s="208">
        <f>IF(FR135=0,0,(FS135-FR135)/FR135*100)</f>
        <v>0</v>
      </c>
      <c r="FU135" s="865"/>
      <c r="FV135" s="865"/>
      <c r="FW135" s="208">
        <f>IF(FU135=0,0,(FV135-FU135)/FU135*100)</f>
        <v>0</v>
      </c>
      <c r="FX135" s="204"/>
      <c r="FY135" s="204"/>
      <c r="FZ135" s="691" t="s">
        <v>1722</v>
      </c>
      <c r="GA135" s="691"/>
      <c r="GB135" s="691"/>
      <c r="GC135" s="692"/>
      <c r="GD135" s="692"/>
    </row>
    <row r="136" spans="1:186" ht="14.25" hidden="1" customHeight="1" x14ac:dyDescent="0.15">
      <c r="A136" s="59"/>
      <c r="B136" s="613" t="b" cm="1">
        <f t="array" ref="B136">B135</f>
        <v>0</v>
      </c>
      <c r="C136" s="59"/>
      <c r="D136" s="59"/>
      <c r="E136" s="462">
        <v>15</v>
      </c>
      <c r="F136" s="3" t="str" cm="1">
        <f t="array" aca="1" ref="F136" ca="1">OFFSET(E136,-1,1)</f>
        <v>1</v>
      </c>
      <c r="G136" s="59"/>
      <c r="H136" s="59" t="s">
        <v>486</v>
      </c>
      <c r="I136" s="59"/>
      <c r="J136" s="59"/>
      <c r="K136" s="59"/>
      <c r="L136" s="59"/>
      <c r="M136" s="59"/>
      <c r="N136" s="59"/>
      <c r="O136" s="59"/>
      <c r="P136" s="59"/>
      <c r="Q136" s="59"/>
      <c r="R136" s="59"/>
      <c r="S136" s="59"/>
      <c r="T136" s="353" t="b" cm="1">
        <f t="array" aca="1" ref="T136" ca="1">T135</f>
        <v>1</v>
      </c>
      <c r="U136" s="59"/>
      <c r="V136" s="59"/>
      <c r="W136" s="59"/>
      <c r="X136" s="1022"/>
      <c r="Y136" s="59"/>
      <c r="Z136" s="966"/>
      <c r="AA136" s="59"/>
      <c r="AB136" s="346" t="s">
        <v>1723</v>
      </c>
      <c r="AC136" s="9" t="s">
        <v>476</v>
      </c>
      <c r="AD136" s="620">
        <f ca="1">IF(AD134=0,0,AD135/AD134)*100</f>
        <v>100</v>
      </c>
      <c r="AE136" s="620">
        <f ca="1">IF(AE134=0,0,AE135/AE134)*100</f>
        <v>115.80901856763926</v>
      </c>
      <c r="AF136" s="723"/>
      <c r="AG136" s="620">
        <f ca="1">IF(AG134=0,0,AG135/AG134)*100</f>
        <v>0</v>
      </c>
      <c r="AH136" s="620">
        <f ca="1">IF(AH134=0,0,AH135/AH134)*100</f>
        <v>0</v>
      </c>
      <c r="AI136" s="723"/>
      <c r="AJ136" s="620">
        <f ca="1">IF(AJ134=0,0,AJ135/AJ134)*100</f>
        <v>0</v>
      </c>
      <c r="AK136" s="620">
        <f ca="1">IF(AK134=0,0,AK135/AK134)*100</f>
        <v>0</v>
      </c>
      <c r="AL136" s="723"/>
      <c r="AM136" s="620">
        <f ca="1">IF(AM134=0,0,AM135/AM134)*100</f>
        <v>0</v>
      </c>
      <c r="AN136" s="620">
        <f ca="1">IF(AN134=0,0,AN135/AN134)*100</f>
        <v>0</v>
      </c>
      <c r="AO136" s="723"/>
      <c r="AP136" s="620">
        <f ca="1">IF(AP134=0,0,AP135/AP134)*100</f>
        <v>0</v>
      </c>
      <c r="AQ136" s="620">
        <f ca="1">IF(AQ134=0,0,AQ135/AQ134)*100</f>
        <v>0</v>
      </c>
      <c r="AR136" s="723"/>
      <c r="AS136" s="620">
        <f ca="1">IF(AS134=0,0,AS135/AS134)*100</f>
        <v>0</v>
      </c>
      <c r="AT136" s="620">
        <f ca="1">IF(AT134=0,0,AT135/AT134)*100</f>
        <v>0</v>
      </c>
      <c r="AU136" s="723"/>
      <c r="AV136" s="620">
        <f ca="1">IF(AV134=0,0,AV135/AV134)*100</f>
        <v>0</v>
      </c>
      <c r="AW136" s="620">
        <f ca="1">IF(AW134=0,0,AW135/AW134)*100</f>
        <v>0</v>
      </c>
      <c r="AX136" s="723"/>
      <c r="AY136" s="620">
        <f ca="1">IF(AY134=0,0,AY135/AY134)*100</f>
        <v>0</v>
      </c>
      <c r="AZ136" s="620">
        <f ca="1">IF(AZ134=0,0,AZ135/AZ134)*100</f>
        <v>0</v>
      </c>
      <c r="BA136" s="723"/>
      <c r="BB136" s="620">
        <f ca="1">IF(BB134=0,0,BB135/BB134)*100</f>
        <v>0</v>
      </c>
      <c r="BC136" s="620">
        <f ca="1">IF(BC134=0,0,BC135/BC134)*100</f>
        <v>0</v>
      </c>
      <c r="BD136" s="723"/>
      <c r="BE136" s="620">
        <f ca="1">IF(BE134=0,0,BE135/BE134)*100</f>
        <v>0</v>
      </c>
      <c r="BF136" s="620">
        <f ca="1">IF(BF134=0,0,BF135/BF134)*100</f>
        <v>0</v>
      </c>
      <c r="BG136" s="723"/>
      <c r="BH136" s="620">
        <f>IF(BH134=0,0,BH135/BH134)*100</f>
        <v>0</v>
      </c>
      <c r="BI136" s="620">
        <f>IF(BI134=0,0,BI135/BI134)*100</f>
        <v>0</v>
      </c>
      <c r="BJ136" s="723"/>
      <c r="BK136" s="620">
        <f>IF(BK134=0,0,BK135/BK134)*100</f>
        <v>0</v>
      </c>
      <c r="BL136" s="620">
        <f>IF(BL134=0,0,BL135/BL134)*100</f>
        <v>0</v>
      </c>
      <c r="BM136" s="723"/>
      <c r="BN136" s="620">
        <f>IF(BN134=0,0,BN135/BN134)*100</f>
        <v>0</v>
      </c>
      <c r="BO136" s="620">
        <f>IF(BO134=0,0,BO135/BO134)*100</f>
        <v>0</v>
      </c>
      <c r="BP136" s="723"/>
      <c r="BQ136" s="620">
        <f>IF(BQ134=0,0,BQ135/BQ134)*100</f>
        <v>0</v>
      </c>
      <c r="BR136" s="620">
        <f>IF(BR134=0,0,BR135/BR134)*100</f>
        <v>0</v>
      </c>
      <c r="BS136" s="723"/>
      <c r="BT136" s="620">
        <f>IF(BT134=0,0,BT135/BT134)*100</f>
        <v>0</v>
      </c>
      <c r="BU136" s="620">
        <f>IF(BU134=0,0,BU135/BU134)*100</f>
        <v>0</v>
      </c>
      <c r="BV136" s="723"/>
      <c r="BW136" s="620">
        <f>IF(BW134=0,0,BW135/BW134)*100</f>
        <v>0</v>
      </c>
      <c r="BX136" s="620">
        <f>IF(BX134=0,0,BX135/BX134)*100</f>
        <v>0</v>
      </c>
      <c r="BY136" s="723"/>
      <c r="BZ136" s="620">
        <f>IF(BZ134=0,0,BZ135/BZ134)*100</f>
        <v>0</v>
      </c>
      <c r="CA136" s="620">
        <f>IF(CA134=0,0,CA135/CA134)*100</f>
        <v>0</v>
      </c>
      <c r="CB136" s="723"/>
      <c r="CC136" s="620">
        <f>IF(CC134=0,0,CC135/CC134)*100</f>
        <v>0</v>
      </c>
      <c r="CD136" s="620">
        <f>IF(CD134=0,0,CD135/CD134)*100</f>
        <v>0</v>
      </c>
      <c r="CE136" s="723"/>
      <c r="CF136" s="620">
        <f>IF(CF134=0,0,CF135/CF134)*100</f>
        <v>0</v>
      </c>
      <c r="CG136" s="620">
        <f>IF(CG134=0,0,CG135/CG134)*100</f>
        <v>0</v>
      </c>
      <c r="CH136" s="723"/>
      <c r="CI136" s="620">
        <f>IF(CI134=0,0,CI135/CI134)*100</f>
        <v>0</v>
      </c>
      <c r="CJ136" s="620">
        <f>IF(CJ134=0,0,CJ135/CJ134)*100</f>
        <v>0</v>
      </c>
      <c r="CK136" s="723"/>
      <c r="CL136" s="620">
        <f>IF(CL134=0,0,CL135/CL134)*100</f>
        <v>0</v>
      </c>
      <c r="CM136" s="620">
        <f>IF(CM134=0,0,CM135/CM134)*100</f>
        <v>0</v>
      </c>
      <c r="CN136" s="723"/>
      <c r="CO136" s="620">
        <f>IF(CO134=0,0,CO135/CO134)*100</f>
        <v>0</v>
      </c>
      <c r="CP136" s="620">
        <f>IF(CP134=0,0,CP135/CP134)*100</f>
        <v>0</v>
      </c>
      <c r="CQ136" s="723"/>
      <c r="CR136" s="620">
        <f>IF(CR134=0,0,CR135/CR134)*100</f>
        <v>0</v>
      </c>
      <c r="CS136" s="620">
        <f>IF(CS134=0,0,CS135/CS134)*100</f>
        <v>0</v>
      </c>
      <c r="CT136" s="723"/>
      <c r="CU136" s="620">
        <f>IF(CU134=0,0,CU135/CU134)*100</f>
        <v>0</v>
      </c>
      <c r="CV136" s="620">
        <f>IF(CV134=0,0,CV135/CV134)*100</f>
        <v>0</v>
      </c>
      <c r="CW136" s="723"/>
      <c r="CX136" s="620">
        <f>IF(CX134=0,0,CX135/CX134)*100</f>
        <v>0</v>
      </c>
      <c r="CY136" s="620">
        <f>IF(CY134=0,0,CY135/CY134)*100</f>
        <v>0</v>
      </c>
      <c r="CZ136" s="723"/>
      <c r="DA136" s="620">
        <f>IF(DA134=0,0,DA135/DA134)*100</f>
        <v>0</v>
      </c>
      <c r="DB136" s="620">
        <f>IF(DB134=0,0,DB135/DB134)*100</f>
        <v>0</v>
      </c>
      <c r="DC136" s="723"/>
      <c r="DD136" s="620">
        <f>IF(DD134=0,0,DD135/DD134)*100</f>
        <v>0</v>
      </c>
      <c r="DE136" s="620">
        <f>IF(DE134=0,0,DE135/DE134)*100</f>
        <v>0</v>
      </c>
      <c r="DF136" s="723"/>
      <c r="DG136" s="620">
        <f>IF(DG134=0,0,DG135/DG134)*100</f>
        <v>0</v>
      </c>
      <c r="DH136" s="620">
        <f>IF(DH134=0,0,DH135/DH134)*100</f>
        <v>0</v>
      </c>
      <c r="DI136" s="723"/>
      <c r="DJ136" s="620">
        <f>IF(DJ134=0,0,DJ135/DJ134)*100</f>
        <v>0</v>
      </c>
      <c r="DK136" s="620">
        <f>IF(DK134=0,0,DK135/DK134)*100</f>
        <v>0</v>
      </c>
      <c r="DL136" s="723"/>
      <c r="DM136" s="620">
        <f>IF(DM134=0,0,DM135/DM134)*100</f>
        <v>0</v>
      </c>
      <c r="DN136" s="620">
        <f>IF(DN134=0,0,DN135/DN134)*100</f>
        <v>0</v>
      </c>
      <c r="DO136" s="723"/>
      <c r="DP136" s="620">
        <f>IF(DP134=0,0,DP135/DP134)*100</f>
        <v>0</v>
      </c>
      <c r="DQ136" s="620">
        <f>IF(DQ134=0,0,DQ135/DQ134)*100</f>
        <v>0</v>
      </c>
      <c r="DR136" s="723"/>
      <c r="DS136" s="620">
        <f>IF(DS134=0,0,DS135/DS134)*100</f>
        <v>0</v>
      </c>
      <c r="DT136" s="620">
        <f>IF(DT134=0,0,DT135/DT134)*100</f>
        <v>0</v>
      </c>
      <c r="DU136" s="723"/>
      <c r="DV136" s="620">
        <f>IF(DV134=0,0,DV135/DV134)*100</f>
        <v>0</v>
      </c>
      <c r="DW136" s="620">
        <f>IF(DW134=0,0,DW135/DW134)*100</f>
        <v>0</v>
      </c>
      <c r="DX136" s="723"/>
      <c r="DY136" s="620">
        <f>IF(DY134=0,0,DY135/DY134)*100</f>
        <v>0</v>
      </c>
      <c r="DZ136" s="620">
        <f>IF(DZ134=0,0,DZ135/DZ134)*100</f>
        <v>0</v>
      </c>
      <c r="EA136" s="723"/>
      <c r="EB136" s="620">
        <f>IF(EB134=0,0,EB135/EB134)*100</f>
        <v>0</v>
      </c>
      <c r="EC136" s="620">
        <f>IF(EC134=0,0,EC135/EC134)*100</f>
        <v>0</v>
      </c>
      <c r="ED136" s="723"/>
      <c r="EE136" s="620">
        <f>IF(EE134=0,0,EE135/EE134)*100</f>
        <v>0</v>
      </c>
      <c r="EF136" s="620">
        <f>IF(EF134=0,0,EF135/EF134)*100</f>
        <v>0</v>
      </c>
      <c r="EG136" s="723"/>
      <c r="EH136" s="620">
        <f>IF(EH134=0,0,EH135/EH134)*100</f>
        <v>0</v>
      </c>
      <c r="EI136" s="620">
        <f>IF(EI134=0,0,EI135/EI134)*100</f>
        <v>0</v>
      </c>
      <c r="EJ136" s="723"/>
      <c r="EK136" s="620">
        <f>IF(EK134=0,0,EK135/EK134)*100</f>
        <v>0</v>
      </c>
      <c r="EL136" s="620">
        <f>IF(EL134=0,0,EL135/EL134)*100</f>
        <v>0</v>
      </c>
      <c r="EM136" s="723"/>
      <c r="EN136" s="620">
        <f>IF(EN134=0,0,EN135/EN134)*100</f>
        <v>0</v>
      </c>
      <c r="EO136" s="620">
        <f>IF(EO134=0,0,EO135/EO134)*100</f>
        <v>0</v>
      </c>
      <c r="EP136" s="723"/>
      <c r="EQ136" s="620">
        <f>IF(EQ134=0,0,EQ135/EQ134)*100</f>
        <v>0</v>
      </c>
      <c r="ER136" s="620">
        <f>IF(ER134=0,0,ER135/ER134)*100</f>
        <v>0</v>
      </c>
      <c r="ES136" s="723"/>
      <c r="ET136" s="620">
        <f>IF(ET134=0,0,ET135/ET134)*100</f>
        <v>0</v>
      </c>
      <c r="EU136" s="620">
        <f>IF(EU134=0,0,EU135/EU134)*100</f>
        <v>0</v>
      </c>
      <c r="EV136" s="723"/>
      <c r="EW136" s="620">
        <f>IF(EW134=0,0,EW135/EW134)*100</f>
        <v>0</v>
      </c>
      <c r="EX136" s="620">
        <f>IF(EX134=0,0,EX135/EX134)*100</f>
        <v>0</v>
      </c>
      <c r="EY136" s="723"/>
      <c r="EZ136" s="620">
        <f>IF(EZ134=0,0,EZ135/EZ134)*100</f>
        <v>0</v>
      </c>
      <c r="FA136" s="620">
        <f>IF(FA134=0,0,FA135/FA134)*100</f>
        <v>0</v>
      </c>
      <c r="FB136" s="723"/>
      <c r="FC136" s="620">
        <f>IF(FC134=0,0,FC135/FC134)*100</f>
        <v>0</v>
      </c>
      <c r="FD136" s="620">
        <f>IF(FD134=0,0,FD135/FD134)*100</f>
        <v>0</v>
      </c>
      <c r="FE136" s="723"/>
      <c r="FF136" s="620">
        <f>IF(FF134=0,0,FF135/FF134)*100</f>
        <v>0</v>
      </c>
      <c r="FG136" s="620">
        <f>IF(FG134=0,0,FG135/FG134)*100</f>
        <v>0</v>
      </c>
      <c r="FH136" s="723"/>
      <c r="FI136" s="620">
        <f>IF(FI134=0,0,FI135/FI134)*100</f>
        <v>0</v>
      </c>
      <c r="FJ136" s="620">
        <f>IF(FJ134=0,0,FJ135/FJ134)*100</f>
        <v>0</v>
      </c>
      <c r="FK136" s="723"/>
      <c r="FL136" s="620">
        <f>IF(FL134=0,0,FL135/FL134)*100</f>
        <v>0</v>
      </c>
      <c r="FM136" s="620">
        <f>IF(FM134=0,0,FM135/FM134)*100</f>
        <v>0</v>
      </c>
      <c r="FN136" s="723"/>
      <c r="FO136" s="620">
        <f>IF(FO134=0,0,FO135/FO134)*100</f>
        <v>0</v>
      </c>
      <c r="FP136" s="620">
        <f>IF(FP134=0,0,FP135/FP134)*100</f>
        <v>0</v>
      </c>
      <c r="FQ136" s="723"/>
      <c r="FR136" s="620">
        <f>IF(FR134=0,0,FR135/FR134)*100</f>
        <v>0</v>
      </c>
      <c r="FS136" s="620">
        <f>IF(FS134=0,0,FS135/FS134)*100</f>
        <v>0</v>
      </c>
      <c r="FT136" s="723"/>
      <c r="FU136" s="620">
        <f>IF(FU134=0,0,FU135/FU134)*100</f>
        <v>0</v>
      </c>
      <c r="FV136" s="620">
        <f>IF(FV134=0,0,FV135/FV134)*100</f>
        <v>0</v>
      </c>
      <c r="FW136" s="724"/>
      <c r="FX136" s="204"/>
      <c r="FZ136" s="691" t="s">
        <v>1724</v>
      </c>
    </row>
    <row r="137" spans="1:186" ht="14.25" hidden="1" customHeight="1" x14ac:dyDescent="0.15">
      <c r="A137" s="59"/>
      <c r="B137" s="613" t="b" cm="1">
        <f t="array" ref="B137">B136</f>
        <v>0</v>
      </c>
      <c r="C137" s="59"/>
      <c r="D137" s="59"/>
      <c r="E137" s="462">
        <v>15</v>
      </c>
      <c r="F137" s="3" t="str" cm="1">
        <f t="array" aca="1" ref="F137" ca="1">OFFSET(E137,-1,1)</f>
        <v>1</v>
      </c>
      <c r="G137" s="25" t="s">
        <v>1653</v>
      </c>
      <c r="H137" s="59"/>
      <c r="I137" s="59"/>
      <c r="J137" s="59"/>
      <c r="K137" s="59"/>
      <c r="L137" s="59"/>
      <c r="M137" s="59"/>
      <c r="N137" s="59"/>
      <c r="O137" s="59"/>
      <c r="P137" s="59"/>
      <c r="Q137" s="59"/>
      <c r="R137" s="59"/>
      <c r="S137" s="59"/>
      <c r="T137" s="353" t="b" cm="1">
        <f t="array" aca="1" ref="T137" ca="1">T136</f>
        <v>1</v>
      </c>
      <c r="U137" s="59"/>
      <c r="V137" s="59"/>
      <c r="W137" s="59"/>
      <c r="X137" s="1022"/>
      <c r="Y137" s="59"/>
      <c r="Z137" s="966"/>
      <c r="AA137" s="59"/>
      <c r="AB137" s="54" t="s">
        <v>1654</v>
      </c>
      <c r="AC137" s="12" t="s">
        <v>558</v>
      </c>
      <c r="AD137" s="836">
        <f ca="1">IF(AND(method_reg="Метод индексации",god&lt;&gt;first_year),SUMIFS(INDEX('Калькуляция (МИ корр)'!$AJ$25:$BC$603,,MATCH(AD$8,'Калькуляция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(МИ)'!$AJ$25:$BC$603,,MATCH(AD$8,'Калькуляция (МИ)'!$AJ$8:$BC$8,0)),'Калькуляция (МИ)'!$F$25:$F$603,$F137,'Калькуляция (МИ)'!$G$25:$G$603,$G137))))</f>
        <v>22004.04</v>
      </c>
      <c r="AE137" s="836">
        <f ca="1">IF(AND(method_reg="Метод индексации",god&lt;&gt;first_year),SUMIFS(INDEX('Калькуляция (МИ корр)'!$AJ$25:$BC$603,,MATCH(AE$8,'Калькуляция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(МИ)'!$AJ$25:$BC$603,,MATCH(AE$8,'Калькуляция (МИ)'!$AJ$8:$BC$8,0)),'Калькуляция (МИ)'!$F$25:$F$603,$F137,'Калькуляция (МИ)'!$G$25:$G$603,$G137))))</f>
        <v>19250.848000000002</v>
      </c>
      <c r="AF137" s="715">
        <f ca="1">IF(AD137=0,0,(AE137-AD137)/AD137*100)</f>
        <v>-12.512211393907661</v>
      </c>
      <c r="AG137" s="836">
        <f ca="1">IF(AND(method_reg="Метод индексации",god&lt;&gt;first_year),SUMIFS(INDEX('Калькуляция (МИ корр)'!$AJ$25:$BC$603,,MATCH(AG$8,'Калькуляция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(МИ)'!$AJ$25:$BC$603,,MATCH(AG$8,'Калькуляция (МИ)'!$AJ$8:$BC$8,0)),'Калькуляция (МИ)'!$F$25:$F$603,$F137,'Калькуляция (МИ)'!$G$25:$G$603,$G137))))</f>
        <v>0</v>
      </c>
      <c r="AH137" s="836">
        <f ca="1">IF(AND(method_reg="Метод индексации",god&lt;&gt;first_year),SUMIFS(INDEX('Калькуляция (МИ корр)'!$AJ$25:$BC$603,,MATCH(AH$8,'Калькуляция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(МИ)'!$AJ$25:$BC$603,,MATCH(AH$8,'Калькуляция (МИ)'!$AJ$8:$BC$8,0)),'Калькуляция (МИ)'!$F$25:$F$603,$F137,'Калькуляция (МИ)'!$G$25:$G$603,$G137))))</f>
        <v>0</v>
      </c>
      <c r="AI137" s="715">
        <f ca="1">IF(AG137=0,0,(AH137-AG137)/AG137*100)</f>
        <v>0</v>
      </c>
      <c r="AJ137" s="836">
        <f ca="1">IF(AND(method_reg="Метод индексации",god&lt;&gt;first_year),SUMIFS(INDEX('Калькуляция (МИ корр)'!$AJ$25:$BC$603,,MATCH(AJ$8,'Калькуляция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(МИ)'!$AJ$25:$BC$603,,MATCH(AJ$8,'Калькуляция (МИ)'!$AJ$8:$BC$8,0)),'Калькуляция (МИ)'!$F$25:$F$603,$F137,'Калькуляция (МИ)'!$G$25:$G$603,$G137))))</f>
        <v>0</v>
      </c>
      <c r="AK137" s="836">
        <f ca="1">IF(AND(method_reg="Метод индексации",god&lt;&gt;first_year),SUMIFS(INDEX('Калькуляция (МИ корр)'!$AJ$25:$BC$603,,MATCH(AK$8,'Калькуляция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(МИ)'!$AJ$25:$BC$603,,MATCH(AK$8,'Калькуляция (МИ)'!$AJ$8:$BC$8,0)),'Калькуляция (МИ)'!$F$25:$F$603,$F137,'Калькуляция (МИ)'!$G$25:$G$603,$G137))))</f>
        <v>0</v>
      </c>
      <c r="AL137" s="715">
        <f ca="1">IF(AJ137=0,0,(AK137-AJ137)/AJ137*100)</f>
        <v>0</v>
      </c>
      <c r="AM137" s="836">
        <f ca="1">IF(AND(method_reg="Метод индексации",god&lt;&gt;first_year),SUMIFS(INDEX('Калькуляция (МИ корр)'!$AJ$25:$BC$603,,MATCH(AM$8,'Калькуляция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(МИ)'!$AJ$25:$BC$603,,MATCH(AM$8,'Калькуляция (МИ)'!$AJ$8:$BC$8,0)),'Калькуляция (МИ)'!$F$25:$F$603,$F137,'Калькуляция (МИ)'!$G$25:$G$603,$G137))))</f>
        <v>0</v>
      </c>
      <c r="AN137" s="836">
        <f ca="1">IF(AND(method_reg="Метод индексации",god&lt;&gt;first_year),SUMIFS(INDEX('Калькуляция (МИ корр)'!$AJ$25:$BC$603,,MATCH(AN$8,'Калькуляция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(МИ)'!$AJ$25:$BC$603,,MATCH(AN$8,'Калькуляция (МИ)'!$AJ$8:$BC$8,0)),'Калькуляция (МИ)'!$F$25:$F$603,$F137,'Калькуляция (МИ)'!$G$25:$G$603,$G137))))</f>
        <v>0</v>
      </c>
      <c r="AO137" s="715">
        <f ca="1">IF(AM137=0,0,(AN137-AM137)/AM137*100)</f>
        <v>0</v>
      </c>
      <c r="AP137" s="836">
        <f ca="1">IF(AND(method_reg="Метод индексации",god&lt;&gt;first_year),SUMIFS(INDEX('Калькуляция (МИ корр)'!$AJ$25:$BC$603,,MATCH(AP$8,'Калькуляция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(МИ)'!$AJ$25:$BC$603,,MATCH(AP$8,'Калькуляция (МИ)'!$AJ$8:$BC$8,0)),'Калькуляция (МИ)'!$F$25:$F$603,$F137,'Калькуляция (МИ)'!$G$25:$G$603,$G137))))</f>
        <v>0</v>
      </c>
      <c r="AQ137" s="836">
        <f ca="1">IF(AND(method_reg="Метод индексации",god&lt;&gt;first_year),SUMIFS(INDEX('Калькуляция (МИ корр)'!$AJ$25:$BC$603,,MATCH(AQ$8,'Калькуляция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(МИ)'!$AJ$25:$BC$603,,MATCH(AQ$8,'Калькуляция (МИ)'!$AJ$8:$BC$8,0)),'Калькуляция (МИ)'!$F$25:$F$603,$F137,'Калькуляция (МИ)'!$G$25:$G$603,$G137))))</f>
        <v>0</v>
      </c>
      <c r="AR137" s="715">
        <f ca="1">IF(AP137=0,0,(AQ137-AP137)/AP137*100)</f>
        <v>0</v>
      </c>
      <c r="AS137" s="836">
        <f ca="1">IF(AND(method_reg="Метод индексации",god&lt;&gt;first_year),SUMIFS(INDEX('Калькуляция (МИ корр)'!$AJ$25:$BC$603,,MATCH(AS$8,'Калькуляция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(МИ)'!$AJ$25:$BC$603,,MATCH(AS$8,'Калькуляция (МИ)'!$AJ$8:$BC$8,0)),'Калькуляция (МИ)'!$F$25:$F$603,$F137,'Калькуляция (МИ)'!$G$25:$G$603,$G137))))</f>
        <v>0</v>
      </c>
      <c r="AT137" s="836">
        <f ca="1">IF(AND(method_reg="Метод индексации",god&lt;&gt;first_year),SUMIFS(INDEX('Калькуляция (МИ корр)'!$AJ$25:$BC$603,,MATCH(AT$8,'Калькуляция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(МИ)'!$AJ$25:$BC$603,,MATCH(AT$8,'Калькуляция (МИ)'!$AJ$8:$BC$8,0)),'Калькуляция (МИ)'!$F$25:$F$603,$F137,'Калькуляция (МИ)'!$G$25:$G$603,$G137))))</f>
        <v>0</v>
      </c>
      <c r="AU137" s="715">
        <f ca="1">IF(AS137=0,0,(AT137-AS137)/AS137*100)</f>
        <v>0</v>
      </c>
      <c r="AV137" s="836">
        <f ca="1">IF(AND(method_reg="Метод индексации",god&lt;&gt;first_year),SUMIFS(INDEX('Калькуляция (МИ корр)'!$AJ$25:$BC$603,,MATCH(AV$8,'Калькуляция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(МИ)'!$AJ$25:$BC$603,,MATCH(AV$8,'Калькуляция (МИ)'!$AJ$8:$BC$8,0)),'Калькуляция (МИ)'!$F$25:$F$603,$F137,'Калькуляция (МИ)'!$G$25:$G$603,$G137))))</f>
        <v>0</v>
      </c>
      <c r="AW137" s="836">
        <f ca="1">IF(AND(method_reg="Метод индексации",god&lt;&gt;first_year),SUMIFS(INDEX('Калькуляция (МИ корр)'!$AJ$25:$BC$603,,MATCH(AW$8,'Калькуляция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(МИ)'!$AJ$25:$BC$603,,MATCH(AW$8,'Калькуляция (МИ)'!$AJ$8:$BC$8,0)),'Калькуляция (МИ)'!$F$25:$F$603,$F137,'Калькуляция (МИ)'!$G$25:$G$603,$G137))))</f>
        <v>0</v>
      </c>
      <c r="AX137" s="715">
        <f ca="1">IF(AV137=0,0,(AW137-AV137)/AV137*100)</f>
        <v>0</v>
      </c>
      <c r="AY137" s="836">
        <f ca="1">IF(AND(method_reg="Метод индексации",god&lt;&gt;first_year),SUMIFS(INDEX('Калькуляция (МИ корр)'!$AJ$25:$BC$603,,MATCH(AY$8,'Калькуляция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(МИ)'!$AJ$25:$BC$603,,MATCH(AY$8,'Калькуляция (МИ)'!$AJ$8:$BC$8,0)),'Калькуляция (МИ)'!$F$25:$F$603,$F137,'Калькуляция (МИ)'!$G$25:$G$603,$G137))))</f>
        <v>0</v>
      </c>
      <c r="AZ137" s="836">
        <f ca="1">IF(AND(method_reg="Метод индексации",god&lt;&gt;first_year),SUMIFS(INDEX('Калькуляция (МИ корр)'!$AJ$25:$BC$603,,MATCH(AZ$8,'Калькуляция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(МИ)'!$AJ$25:$BC$603,,MATCH(AZ$8,'Калькуляция (МИ)'!$AJ$8:$BC$8,0)),'Калькуляция (МИ)'!$F$25:$F$603,$F137,'Калькуляция (МИ)'!$G$25:$G$603,$G137))))</f>
        <v>0</v>
      </c>
      <c r="BA137" s="715">
        <f ca="1">IF(AY137=0,0,(AZ137-AY137)/AY137*100)</f>
        <v>0</v>
      </c>
      <c r="BB137" s="836">
        <f ca="1">IF(AND(method_reg="Метод индексации",god&lt;&gt;first_year),SUMIFS(INDEX('Калькуляция (МИ корр)'!$AJ$25:$BC$603,,MATCH(BB$8,'Калькуляция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(МИ)'!$AJ$25:$BC$603,,MATCH(BB$8,'Калькуляция (МИ)'!$AJ$8:$BC$8,0)),'Калькуляция (МИ)'!$F$25:$F$603,$F137,'Калькуляция (МИ)'!$G$25:$G$603,$G137))))</f>
        <v>0</v>
      </c>
      <c r="BC137" s="836">
        <f ca="1">IF(AND(method_reg="Метод индексации",god&lt;&gt;first_year),SUMIFS(INDEX('Калькуляция (МИ корр)'!$AJ$25:$BC$603,,MATCH(BC$8,'Калькуляция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(МИ)'!$AJ$25:$BC$603,,MATCH(BC$8,'Калькуляция (МИ)'!$AJ$8:$BC$8,0)),'Калькуляция (МИ)'!$F$25:$F$603,$F137,'Калькуляция (МИ)'!$G$25:$G$603,$G137))))</f>
        <v>0</v>
      </c>
      <c r="BD137" s="715">
        <f ca="1">IF(BB137=0,0,(BC137-BB137)/BB137*100)</f>
        <v>0</v>
      </c>
      <c r="BE137" s="836">
        <f ca="1">IF(AND(method_reg="Метод индексации",god&lt;&gt;first_year),SUMIFS(INDEX('Калькуляция (МИ корр)'!$AJ$25:$BC$603,,MATCH(BE$8,'Калькуляция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(МИ)'!$AJ$25:$BC$603,,MATCH(BE$8,'Калькуляция (МИ)'!$AJ$8:$BC$8,0)),'Калькуляция (МИ)'!$F$25:$F$603,$F137,'Калькуляция (МИ)'!$G$25:$G$603,$G137))))</f>
        <v>0</v>
      </c>
      <c r="BF137" s="836">
        <f ca="1">IF(AND(method_reg="Метод индексации",god&lt;&gt;first_year),SUMIFS(INDEX('Калькуляция (МИ корр)'!$AJ$25:$BC$603,,MATCH(BF$8,'Калькуляция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(МИ)'!$AJ$25:$BC$603,,MATCH(BF$8,'Калькуляция (МИ)'!$AJ$8:$BC$8,0)),'Калькуляция (МИ)'!$F$25:$F$603,$F137,'Калькуляция (МИ)'!$G$25:$G$603,$G137))))</f>
        <v>0</v>
      </c>
      <c r="BG137" s="715">
        <f ca="1">IF(BE137=0,0,(BF137-BE137)/BE137*100)</f>
        <v>0</v>
      </c>
      <c r="BH137" s="836"/>
      <c r="BI137" s="836"/>
      <c r="BJ137" s="715">
        <f>IF(BH137=0,0,(BI137-BH137)/BH137*100)</f>
        <v>0</v>
      </c>
      <c r="BK137" s="836"/>
      <c r="BL137" s="836"/>
      <c r="BM137" s="715">
        <f>IF(BK137=0,0,(BL137-BK137)/BK137*100)</f>
        <v>0</v>
      </c>
      <c r="BN137" s="836"/>
      <c r="BO137" s="836"/>
      <c r="BP137" s="715">
        <f>IF(BN137=0,0,(BO137-BN137)/BN137*100)</f>
        <v>0</v>
      </c>
      <c r="BQ137" s="836"/>
      <c r="BR137" s="836"/>
      <c r="BS137" s="715">
        <f>IF(BQ137=0,0,(BR137-BQ137)/BQ137*100)</f>
        <v>0</v>
      </c>
      <c r="BT137" s="836"/>
      <c r="BU137" s="836"/>
      <c r="BV137" s="715">
        <f>IF(BT137=0,0,(BU137-BT137)/BT137*100)</f>
        <v>0</v>
      </c>
      <c r="BW137" s="836"/>
      <c r="BX137" s="836"/>
      <c r="BY137" s="715">
        <f>IF(BW137=0,0,(BX137-BW137)/BW137*100)</f>
        <v>0</v>
      </c>
      <c r="BZ137" s="836"/>
      <c r="CA137" s="836"/>
      <c r="CB137" s="715">
        <f>IF(BZ137=0,0,(CA137-BZ137)/BZ137*100)</f>
        <v>0</v>
      </c>
      <c r="CC137" s="836"/>
      <c r="CD137" s="836"/>
      <c r="CE137" s="715">
        <f>IF(CC137=0,0,(CD137-CC137)/CC137*100)</f>
        <v>0</v>
      </c>
      <c r="CF137" s="836"/>
      <c r="CG137" s="836"/>
      <c r="CH137" s="715">
        <f>IF(CF137=0,0,(CG137-CF137)/CF137*100)</f>
        <v>0</v>
      </c>
      <c r="CI137" s="836"/>
      <c r="CJ137" s="836"/>
      <c r="CK137" s="715">
        <f>IF(CI137=0,0,(CJ137-CI137)/CI137*100)</f>
        <v>0</v>
      </c>
      <c r="CL137" s="836"/>
      <c r="CM137" s="836"/>
      <c r="CN137" s="715">
        <f>IF(CL137=0,0,(CM137-CL137)/CL137*100)</f>
        <v>0</v>
      </c>
      <c r="CO137" s="836"/>
      <c r="CP137" s="836"/>
      <c r="CQ137" s="715">
        <f>IF(CO137=0,0,(CP137-CO137)/CO137*100)</f>
        <v>0</v>
      </c>
      <c r="CR137" s="836"/>
      <c r="CS137" s="836"/>
      <c r="CT137" s="715">
        <f>IF(CR137=0,0,(CS137-CR137)/CR137*100)</f>
        <v>0</v>
      </c>
      <c r="CU137" s="836"/>
      <c r="CV137" s="836"/>
      <c r="CW137" s="715">
        <f>IF(CU137=0,0,(CV137-CU137)/CU137*100)</f>
        <v>0</v>
      </c>
      <c r="CX137" s="836"/>
      <c r="CY137" s="836"/>
      <c r="CZ137" s="715">
        <f>IF(CX137=0,0,(CY137-CX137)/CX137*100)</f>
        <v>0</v>
      </c>
      <c r="DA137" s="836"/>
      <c r="DB137" s="836"/>
      <c r="DC137" s="715">
        <f>IF(DA137=0,0,(DB137-DA137)/DA137*100)</f>
        <v>0</v>
      </c>
      <c r="DD137" s="836"/>
      <c r="DE137" s="836"/>
      <c r="DF137" s="715">
        <f>IF(DD137=0,0,(DE137-DD137)/DD137*100)</f>
        <v>0</v>
      </c>
      <c r="DG137" s="836"/>
      <c r="DH137" s="836"/>
      <c r="DI137" s="715">
        <f>IF(DG137=0,0,(DH137-DG137)/DG137*100)</f>
        <v>0</v>
      </c>
      <c r="DJ137" s="836"/>
      <c r="DK137" s="836"/>
      <c r="DL137" s="715">
        <f>IF(DJ137=0,0,(DK137-DJ137)/DJ137*100)</f>
        <v>0</v>
      </c>
      <c r="DM137" s="836"/>
      <c r="DN137" s="836"/>
      <c r="DO137" s="715">
        <f>IF(DM137=0,0,(DN137-DM137)/DM137*100)</f>
        <v>0</v>
      </c>
      <c r="DP137" s="836"/>
      <c r="DQ137" s="836"/>
      <c r="DR137" s="715">
        <f>IF(DP137=0,0,(DQ137-DP137)/DP137*100)</f>
        <v>0</v>
      </c>
      <c r="DS137" s="836"/>
      <c r="DT137" s="836"/>
      <c r="DU137" s="715">
        <f>IF(DS137=0,0,(DT137-DS137)/DS137*100)</f>
        <v>0</v>
      </c>
      <c r="DV137" s="836"/>
      <c r="DW137" s="836"/>
      <c r="DX137" s="715">
        <f>IF(DV137=0,0,(DW137-DV137)/DV137*100)</f>
        <v>0</v>
      </c>
      <c r="DY137" s="836"/>
      <c r="DZ137" s="836"/>
      <c r="EA137" s="715">
        <f>IF(DY137=0,0,(DZ137-DY137)/DY137*100)</f>
        <v>0</v>
      </c>
      <c r="EB137" s="836"/>
      <c r="EC137" s="836"/>
      <c r="ED137" s="715">
        <f>IF(EB137=0,0,(EC137-EB137)/EB137*100)</f>
        <v>0</v>
      </c>
      <c r="EE137" s="836"/>
      <c r="EF137" s="836"/>
      <c r="EG137" s="715">
        <f>IF(EE137=0,0,(EF137-EE137)/EE137*100)</f>
        <v>0</v>
      </c>
      <c r="EH137" s="836"/>
      <c r="EI137" s="836"/>
      <c r="EJ137" s="715">
        <f>IF(EH137=0,0,(EI137-EH137)/EH137*100)</f>
        <v>0</v>
      </c>
      <c r="EK137" s="836"/>
      <c r="EL137" s="836"/>
      <c r="EM137" s="715">
        <f>IF(EK137=0,0,(EL137-EK137)/EK137*100)</f>
        <v>0</v>
      </c>
      <c r="EN137" s="836"/>
      <c r="EO137" s="836"/>
      <c r="EP137" s="715">
        <f>IF(EN137=0,0,(EO137-EN137)/EN137*100)</f>
        <v>0</v>
      </c>
      <c r="EQ137" s="836"/>
      <c r="ER137" s="836"/>
      <c r="ES137" s="715">
        <f>IF(EQ137=0,0,(ER137-EQ137)/EQ137*100)</f>
        <v>0</v>
      </c>
      <c r="ET137" s="836"/>
      <c r="EU137" s="836"/>
      <c r="EV137" s="715">
        <f>IF(ET137=0,0,(EU137-ET137)/ET137*100)</f>
        <v>0</v>
      </c>
      <c r="EW137" s="836"/>
      <c r="EX137" s="836"/>
      <c r="EY137" s="715">
        <f>IF(EW137=0,0,(EX137-EW137)/EW137*100)</f>
        <v>0</v>
      </c>
      <c r="EZ137" s="836"/>
      <c r="FA137" s="836"/>
      <c r="FB137" s="715">
        <f>IF(EZ137=0,0,(FA137-EZ137)/EZ137*100)</f>
        <v>0</v>
      </c>
      <c r="FC137" s="836"/>
      <c r="FD137" s="836"/>
      <c r="FE137" s="715">
        <f>IF(FC137=0,0,(FD137-FC137)/FC137*100)</f>
        <v>0</v>
      </c>
      <c r="FF137" s="836"/>
      <c r="FG137" s="836"/>
      <c r="FH137" s="715">
        <f>IF(FF137=0,0,(FG137-FF137)/FF137*100)</f>
        <v>0</v>
      </c>
      <c r="FI137" s="836"/>
      <c r="FJ137" s="836"/>
      <c r="FK137" s="715">
        <f>IF(FI137=0,0,(FJ137-FI137)/FI137*100)</f>
        <v>0</v>
      </c>
      <c r="FL137" s="836"/>
      <c r="FM137" s="836"/>
      <c r="FN137" s="715">
        <f>IF(FL137=0,0,(FM137-FL137)/FL137*100)</f>
        <v>0</v>
      </c>
      <c r="FO137" s="836"/>
      <c r="FP137" s="836"/>
      <c r="FQ137" s="715">
        <f>IF(FO137=0,0,(FP137-FO137)/FO137*100)</f>
        <v>0</v>
      </c>
      <c r="FR137" s="836"/>
      <c r="FS137" s="836"/>
      <c r="FT137" s="715">
        <f>IF(FR137=0,0,(FS137-FR137)/FR137*100)</f>
        <v>0</v>
      </c>
      <c r="FU137" s="836"/>
      <c r="FV137" s="836"/>
      <c r="FW137" s="715">
        <f>IF(FU137=0,0,(FV137-FU137)/FU137*100)</f>
        <v>0</v>
      </c>
      <c r="FX137" s="204"/>
      <c r="FZ137" s="691" t="s">
        <v>1725</v>
      </c>
    </row>
    <row r="138" spans="1:186" ht="18" hidden="1" customHeight="1" x14ac:dyDescent="0.15">
      <c r="A138" s="59"/>
      <c r="B138" s="613" t="b" cm="1">
        <f t="array" ref="B138">B137</f>
        <v>0</v>
      </c>
      <c r="C138" s="59"/>
      <c r="D138" s="59"/>
      <c r="E138" s="462">
        <v>18.75</v>
      </c>
      <c r="F138" s="3" t="str" cm="1">
        <f t="array" aca="1" ref="F138" ca="1">OFFSET(E138,-1,1)</f>
        <v>1</v>
      </c>
      <c r="G138" s="59"/>
      <c r="H138" s="59" t="s">
        <v>482</v>
      </c>
      <c r="I138" s="59" cm="1">
        <f t="array" ref="I138">AB138</f>
        <v>0</v>
      </c>
      <c r="J138" s="59"/>
      <c r="K138" s="59"/>
      <c r="L138" s="59"/>
      <c r="M138" s="59"/>
      <c r="N138" s="59"/>
      <c r="O138" s="59"/>
      <c r="P138" s="59"/>
      <c r="Q138" s="59"/>
      <c r="R138" s="59"/>
      <c r="S138" s="59"/>
      <c r="T138" s="353" t="b">
        <f ca="1">AND(F138&gt;0,Y138&gt;0)</f>
        <v>0</v>
      </c>
      <c r="U138" s="59"/>
      <c r="V138" s="59"/>
      <c r="W138" s="59" t="s">
        <v>172</v>
      </c>
      <c r="X138" s="1022"/>
      <c r="Y138" s="59">
        <v>0</v>
      </c>
      <c r="Z138" s="966"/>
      <c r="AA138" s="482" t="s">
        <v>173</v>
      </c>
      <c r="AB138" s="851"/>
      <c r="AC138" s="12" t="s">
        <v>1644</v>
      </c>
      <c r="AD138" s="820"/>
      <c r="AE138" s="864"/>
      <c r="AF138" s="714">
        <f>IF(AD138=0,0,(AE138-AD138)/AD138*100)</f>
        <v>0</v>
      </c>
      <c r="AG138" s="864"/>
      <c r="AH138" s="864"/>
      <c r="AI138" s="714">
        <f>IF(AG138=0,0,(AH138-AG138)/AG138*100)</f>
        <v>0</v>
      </c>
      <c r="AJ138" s="864"/>
      <c r="AK138" s="864"/>
      <c r="AL138" s="714">
        <f>IF(AJ138=0,0,(AK138-AJ138)/AJ138*100)</f>
        <v>0</v>
      </c>
      <c r="AM138" s="864"/>
      <c r="AN138" s="864"/>
      <c r="AO138" s="714">
        <f>IF(AM138=0,0,(AN138-AM138)/AM138*100)</f>
        <v>0</v>
      </c>
      <c r="AP138" s="864"/>
      <c r="AQ138" s="864"/>
      <c r="AR138" s="714">
        <f>IF(AP138=0,0,(AQ138-AP138)/AP138*100)</f>
        <v>0</v>
      </c>
      <c r="AS138" s="864"/>
      <c r="AT138" s="864"/>
      <c r="AU138" s="714">
        <f>IF(AS138=0,0,(AT138-AS138)/AS138*100)</f>
        <v>0</v>
      </c>
      <c r="AV138" s="864"/>
      <c r="AW138" s="864"/>
      <c r="AX138" s="714">
        <f>IF(AV138=0,0,(AW138-AV138)/AV138*100)</f>
        <v>0</v>
      </c>
      <c r="AY138" s="864"/>
      <c r="AZ138" s="864"/>
      <c r="BA138" s="714">
        <f>IF(AY138=0,0,(AZ138-AY138)/AY138*100)</f>
        <v>0</v>
      </c>
      <c r="BB138" s="864"/>
      <c r="BC138" s="864"/>
      <c r="BD138" s="714">
        <f>IF(BB138=0,0,(BC138-BB138)/BB138*100)</f>
        <v>0</v>
      </c>
      <c r="BE138" s="864"/>
      <c r="BF138" s="864"/>
      <c r="BG138" s="714">
        <f>IF(BE138=0,0,(BF138-BE138)/BE138*100)</f>
        <v>0</v>
      </c>
      <c r="BH138" s="864"/>
      <c r="BI138" s="864"/>
      <c r="BJ138" s="714">
        <f>IF(BH138=0,0,(BI138-BH138)/BH138*100)</f>
        <v>0</v>
      </c>
      <c r="BK138" s="864"/>
      <c r="BL138" s="864"/>
      <c r="BM138" s="714">
        <f>IF(BK138=0,0,(BL138-BK138)/BK138*100)</f>
        <v>0</v>
      </c>
      <c r="BN138" s="864"/>
      <c r="BO138" s="864"/>
      <c r="BP138" s="714">
        <f>IF(BN138=0,0,(BO138-BN138)/BN138*100)</f>
        <v>0</v>
      </c>
      <c r="BQ138" s="864"/>
      <c r="BR138" s="864"/>
      <c r="BS138" s="714">
        <f>IF(BQ138=0,0,(BR138-BQ138)/BQ138*100)</f>
        <v>0</v>
      </c>
      <c r="BT138" s="864"/>
      <c r="BU138" s="864"/>
      <c r="BV138" s="714">
        <f>IF(BT138=0,0,(BU138-BT138)/BT138*100)</f>
        <v>0</v>
      </c>
      <c r="BW138" s="864"/>
      <c r="BX138" s="864"/>
      <c r="BY138" s="714">
        <f>IF(BW138=0,0,(BX138-BW138)/BW138*100)</f>
        <v>0</v>
      </c>
      <c r="BZ138" s="864"/>
      <c r="CA138" s="864"/>
      <c r="CB138" s="714">
        <f>IF(BZ138=0,0,(CA138-BZ138)/BZ138*100)</f>
        <v>0</v>
      </c>
      <c r="CC138" s="864"/>
      <c r="CD138" s="864"/>
      <c r="CE138" s="714">
        <f>IF(CC138=0,0,(CD138-CC138)/CC138*100)</f>
        <v>0</v>
      </c>
      <c r="CF138" s="864"/>
      <c r="CG138" s="864"/>
      <c r="CH138" s="714">
        <f>IF(CF138=0,0,(CG138-CF138)/CF138*100)</f>
        <v>0</v>
      </c>
      <c r="CI138" s="864"/>
      <c r="CJ138" s="864"/>
      <c r="CK138" s="714">
        <f>IF(CI138=0,0,(CJ138-CI138)/CI138*100)</f>
        <v>0</v>
      </c>
      <c r="CL138" s="864"/>
      <c r="CM138" s="864"/>
      <c r="CN138" s="714">
        <f>IF(CL138=0,0,(CM138-CL138)/CL138*100)</f>
        <v>0</v>
      </c>
      <c r="CO138" s="864"/>
      <c r="CP138" s="864"/>
      <c r="CQ138" s="714">
        <f>IF(CO138=0,0,(CP138-CO138)/CO138*100)</f>
        <v>0</v>
      </c>
      <c r="CR138" s="864"/>
      <c r="CS138" s="864"/>
      <c r="CT138" s="714">
        <f>IF(CR138=0,0,(CS138-CR138)/CR138*100)</f>
        <v>0</v>
      </c>
      <c r="CU138" s="864"/>
      <c r="CV138" s="864"/>
      <c r="CW138" s="714">
        <f>IF(CU138=0,0,(CV138-CU138)/CU138*100)</f>
        <v>0</v>
      </c>
      <c r="CX138" s="864"/>
      <c r="CY138" s="864"/>
      <c r="CZ138" s="714">
        <f>IF(CX138=0,0,(CY138-CX138)/CX138*100)</f>
        <v>0</v>
      </c>
      <c r="DA138" s="864"/>
      <c r="DB138" s="864"/>
      <c r="DC138" s="714">
        <f>IF(DA138=0,0,(DB138-DA138)/DA138*100)</f>
        <v>0</v>
      </c>
      <c r="DD138" s="864"/>
      <c r="DE138" s="864"/>
      <c r="DF138" s="714">
        <f>IF(DD138=0,0,(DE138-DD138)/DD138*100)</f>
        <v>0</v>
      </c>
      <c r="DG138" s="864"/>
      <c r="DH138" s="864"/>
      <c r="DI138" s="714">
        <f>IF(DG138=0,0,(DH138-DG138)/DG138*100)</f>
        <v>0</v>
      </c>
      <c r="DJ138" s="864"/>
      <c r="DK138" s="864"/>
      <c r="DL138" s="714">
        <f>IF(DJ138=0,0,(DK138-DJ138)/DJ138*100)</f>
        <v>0</v>
      </c>
      <c r="DM138" s="864"/>
      <c r="DN138" s="864"/>
      <c r="DO138" s="714">
        <f>IF(DM138=0,0,(DN138-DM138)/DM138*100)</f>
        <v>0</v>
      </c>
      <c r="DP138" s="864"/>
      <c r="DQ138" s="864"/>
      <c r="DR138" s="714">
        <f>IF(DP138=0,0,(DQ138-DP138)/DP138*100)</f>
        <v>0</v>
      </c>
      <c r="DS138" s="864"/>
      <c r="DT138" s="864"/>
      <c r="DU138" s="714">
        <f>IF(DS138=0,0,(DT138-DS138)/DS138*100)</f>
        <v>0</v>
      </c>
      <c r="DV138" s="864"/>
      <c r="DW138" s="864"/>
      <c r="DX138" s="714">
        <f>IF(DV138=0,0,(DW138-DV138)/DV138*100)</f>
        <v>0</v>
      </c>
      <c r="DY138" s="864"/>
      <c r="DZ138" s="864"/>
      <c r="EA138" s="714">
        <f>IF(DY138=0,0,(DZ138-DY138)/DY138*100)</f>
        <v>0</v>
      </c>
      <c r="EB138" s="864"/>
      <c r="EC138" s="864"/>
      <c r="ED138" s="714">
        <f>IF(EB138=0,0,(EC138-EB138)/EB138*100)</f>
        <v>0</v>
      </c>
      <c r="EE138" s="864"/>
      <c r="EF138" s="864"/>
      <c r="EG138" s="714">
        <f>IF(EE138=0,0,(EF138-EE138)/EE138*100)</f>
        <v>0</v>
      </c>
      <c r="EH138" s="864"/>
      <c r="EI138" s="864"/>
      <c r="EJ138" s="714">
        <f>IF(EH138=0,0,(EI138-EH138)/EH138*100)</f>
        <v>0</v>
      </c>
      <c r="EK138" s="864"/>
      <c r="EL138" s="864"/>
      <c r="EM138" s="714">
        <f>IF(EK138=0,0,(EL138-EK138)/EK138*100)</f>
        <v>0</v>
      </c>
      <c r="EN138" s="864"/>
      <c r="EO138" s="864"/>
      <c r="EP138" s="714">
        <f>IF(EN138=0,0,(EO138-EN138)/EN138*100)</f>
        <v>0</v>
      </c>
      <c r="EQ138" s="864"/>
      <c r="ER138" s="864"/>
      <c r="ES138" s="714">
        <f>IF(EQ138=0,0,(ER138-EQ138)/EQ138*100)</f>
        <v>0</v>
      </c>
      <c r="ET138" s="864"/>
      <c r="EU138" s="864"/>
      <c r="EV138" s="714">
        <f>IF(ET138=0,0,(EU138-ET138)/ET138*100)</f>
        <v>0</v>
      </c>
      <c r="EW138" s="864"/>
      <c r="EX138" s="864"/>
      <c r="EY138" s="714">
        <f>IF(EW138=0,0,(EX138-EW138)/EW138*100)</f>
        <v>0</v>
      </c>
      <c r="EZ138" s="864"/>
      <c r="FA138" s="864"/>
      <c r="FB138" s="714">
        <f>IF(EZ138=0,0,(FA138-EZ138)/EZ138*100)</f>
        <v>0</v>
      </c>
      <c r="FC138" s="864"/>
      <c r="FD138" s="864"/>
      <c r="FE138" s="714">
        <f>IF(FC138=0,0,(FD138-FC138)/FC138*100)</f>
        <v>0</v>
      </c>
      <c r="FF138" s="864"/>
      <c r="FG138" s="864"/>
      <c r="FH138" s="714">
        <f>IF(FF138=0,0,(FG138-FF138)/FF138*100)</f>
        <v>0</v>
      </c>
      <c r="FI138" s="864"/>
      <c r="FJ138" s="864"/>
      <c r="FK138" s="714">
        <f>IF(FI138=0,0,(FJ138-FI138)/FI138*100)</f>
        <v>0</v>
      </c>
      <c r="FL138" s="864"/>
      <c r="FM138" s="864"/>
      <c r="FN138" s="714">
        <f>IF(FL138=0,0,(FM138-FL138)/FL138*100)</f>
        <v>0</v>
      </c>
      <c r="FO138" s="864"/>
      <c r="FP138" s="864"/>
      <c r="FQ138" s="714">
        <f>IF(FO138=0,0,(FP138-FO138)/FO138*100)</f>
        <v>0</v>
      </c>
      <c r="FR138" s="864"/>
      <c r="FS138" s="864"/>
      <c r="FT138" s="714">
        <f>IF(FR138=0,0,(FS138-FR138)/FR138*100)</f>
        <v>0</v>
      </c>
      <c r="FU138" s="864"/>
      <c r="FV138" s="864"/>
      <c r="FW138" s="714">
        <f>IF(FU138=0,0,(FV138-FU138)/FU138*100)</f>
        <v>0</v>
      </c>
      <c r="FX138" s="204"/>
      <c r="FZ138" s="691" t="s">
        <v>1726</v>
      </c>
      <c r="GA138" s="671" t="s">
        <v>1727</v>
      </c>
      <c r="GB138" s="671" cm="1">
        <f t="array" ref="GB138">AB138</f>
        <v>0</v>
      </c>
      <c r="GD138" s="461" t="b">
        <v>1</v>
      </c>
    </row>
    <row r="139" spans="1:186" ht="14.25" hidden="1" customHeight="1" x14ac:dyDescent="0.15">
      <c r="B139" s="613" t="b" cm="1">
        <f t="array" ref="B139">B138</f>
        <v>0</v>
      </c>
      <c r="D139" s="59"/>
      <c r="E139" s="462">
        <v>15</v>
      </c>
      <c r="F139" s="3" t="str" cm="1">
        <f t="array" aca="1" ref="F139" ca="1">OFFSET(E139,-1,1)</f>
        <v>1</v>
      </c>
      <c r="G139" s="59"/>
      <c r="I139" s="17" t="s">
        <v>1728</v>
      </c>
      <c r="T139" s="353" t="b">
        <f ca="1">F139&gt;0</f>
        <v>1</v>
      </c>
      <c r="W139" s="517" t="s">
        <v>1674</v>
      </c>
      <c r="X139" s="1022"/>
      <c r="Z139" s="966"/>
      <c r="AB139" s="172" t="s">
        <v>176</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1" t="s">
        <v>1727</v>
      </c>
    </row>
    <row r="140" spans="1:186" ht="10.5" customHeight="1" x14ac:dyDescent="0.15">
      <c r="B140" s="598"/>
      <c r="D140" s="59"/>
      <c r="E140" s="462">
        <v>11.5</v>
      </c>
      <c r="G140" s="59"/>
      <c r="T140" s="353" t="b" cm="1">
        <f t="array" aca="1" ref="T140" ca="1">T139</f>
        <v>1</v>
      </c>
      <c r="W140" s="517"/>
      <c r="X140" s="1022"/>
      <c r="Z140" s="966"/>
      <c r="FZ140" s="661"/>
      <c r="GA140" s="661"/>
      <c r="GB140" s="655"/>
      <c r="GC140" s="454"/>
      <c r="GD140" s="454"/>
    </row>
    <row r="141" spans="1:186" ht="26.1" customHeight="1" x14ac:dyDescent="0.15">
      <c r="A141" s="59"/>
      <c r="C141" s="59"/>
      <c r="D141" s="59"/>
      <c r="E141" s="462">
        <v>15</v>
      </c>
      <c r="F141" s="372" t="str" cm="1">
        <f t="array" ref="F141">X141</f>
        <v>2</v>
      </c>
      <c r="G141" s="59" t="str" cm="1">
        <f t="array" ref="G141">INDEX('Общие сведения'!$AK$179:$AK$236,MATCH($X141,'Общие сведения'!$Z$179:$Z$236,0))</f>
        <v>одноставочный</v>
      </c>
      <c r="H141" s="59"/>
      <c r="I141" s="59"/>
      <c r="J141" s="59"/>
      <c r="K141" s="59"/>
      <c r="L141" s="59"/>
      <c r="M141" s="59"/>
      <c r="N141" s="59"/>
      <c r="O141" s="59"/>
      <c r="P141" s="59"/>
      <c r="Q141" s="59" t="str" cm="1">
        <f t="array" ref="Q141">INDEX('Общие сведения'!$AE$179:$AE$236,MATCH($X141,'Общие сведения'!$Z$179:$Z$236,0))</f>
        <v>Водоотведение</v>
      </c>
      <c r="R141" s="365" t="str" cm="1">
        <f t="array" ref="R141">INDEX('Общие сведения'!$AK$179:$AK$236,MATCH($X141,'Общие сведения'!$Z$179:$Z$236,0))</f>
        <v>одноставочный</v>
      </c>
      <c r="S141" s="59" t="b" cm="1">
        <f t="array" ref="S141">INDEX('Общие сведения'!$AN$179:$AN$236,MATCH($X141,'Общие сведения'!$Z$179:$Z$236,0))</f>
        <v>0</v>
      </c>
      <c r="T141" s="353" t="b">
        <f>X141&gt;0</f>
        <v>1</v>
      </c>
      <c r="U141" s="59"/>
      <c r="V141" s="59" t="str" cm="1">
        <f t="array" ref="V141">'Корректировка НВВ'!$AB$129</f>
        <v>Тариф 2 (Водоотведение) - тариф на водоотведение</v>
      </c>
      <c r="W141" s="59"/>
      <c r="X141" s="1022" t="s">
        <v>285</v>
      </c>
      <c r="Y141" s="59"/>
      <c r="Z141" s="966"/>
      <c r="AA141" s="59"/>
      <c r="AB141" s="1070" t="s">
        <v>21</v>
      </c>
      <c r="AC141" s="1071"/>
      <c r="AD141" s="591"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23.45" customHeight="1" x14ac:dyDescent="0.15">
      <c r="A142" s="59"/>
      <c r="C142" s="59"/>
      <c r="D142" s="59"/>
      <c r="E142" s="462">
        <v>15</v>
      </c>
      <c r="F142" s="3" t="str" cm="1">
        <f t="array" aca="1" ref="F142" ca="1">OFFSET(E142,-1,1)</f>
        <v>2</v>
      </c>
      <c r="G142" s="59"/>
      <c r="H142" s="59"/>
      <c r="I142" s="59"/>
      <c r="J142" s="59"/>
      <c r="K142" s="59"/>
      <c r="L142" s="59"/>
      <c r="M142" s="59"/>
      <c r="N142" s="59"/>
      <c r="O142" s="59"/>
      <c r="P142" s="59"/>
      <c r="Q142" s="59"/>
      <c r="R142" s="365"/>
      <c r="S142" s="365"/>
      <c r="T142" s="353" t="b" cm="1">
        <f t="array" ref="T142">T141</f>
        <v>1</v>
      </c>
      <c r="U142" s="59"/>
      <c r="V142" s="59"/>
      <c r="W142" s="59"/>
      <c r="X142" s="1022"/>
      <c r="Y142" s="59"/>
      <c r="Z142" s="966"/>
      <c r="AA142" s="59"/>
      <c r="AB142" s="922" t="str">
        <f>"Вид "&amp;IF(ISERROR(SEARCH("Водоснабжение",AD141)),"сточных вод","воды")</f>
        <v>Вид сточных вод</v>
      </c>
      <c r="AC142" s="924"/>
      <c r="AD142" s="591" t="str" cm="1">
        <f t="array" ref="AD142">INDEX('Общие сведения'!$AH$179:$AH$236,MATCH($X141,'Общие сведения'!$Z$179:$Z$236,0))</f>
        <v>хозяйственно-бытовые сточные воды</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21" customHeight="1" x14ac:dyDescent="0.15">
      <c r="A143" s="59"/>
      <c r="C143" s="59"/>
      <c r="D143" s="59"/>
      <c r="E143" s="462">
        <v>15</v>
      </c>
      <c r="F143" s="3" t="str" cm="1">
        <f t="array" aca="1" ref="F143" ca="1">OFFSET(E143,-1,1)</f>
        <v>2</v>
      </c>
      <c r="G143" s="59"/>
      <c r="H143" s="59"/>
      <c r="I143" s="59"/>
      <c r="J143" s="59"/>
      <c r="K143" s="59"/>
      <c r="L143" s="59"/>
      <c r="M143" s="59"/>
      <c r="N143" s="59"/>
      <c r="O143" s="59"/>
      <c r="P143" s="59"/>
      <c r="Q143" s="59"/>
      <c r="R143" s="365"/>
      <c r="S143" s="365"/>
      <c r="T143" s="353" t="b" cm="1">
        <f t="array" ref="T143">T142</f>
        <v>1</v>
      </c>
      <c r="U143" s="59"/>
      <c r="V143" s="59"/>
      <c r="W143" s="59"/>
      <c r="X143" s="1022"/>
      <c r="Y143" s="59"/>
      <c r="Z143" s="966"/>
      <c r="AA143" s="59"/>
      <c r="AB143" s="922" t="s">
        <v>1638</v>
      </c>
      <c r="AC143" s="924"/>
      <c r="AD143" s="591" t="str" cm="1">
        <f t="array" ref="AD143">INDEX('Общие сведения'!$AI$179:$AI$236,MATCH($X141,'Общие сведения'!$Z$179:$Z$236,0))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18.600000000000001" customHeight="1" x14ac:dyDescent="0.15">
      <c r="A144" s="59"/>
      <c r="C144" s="59"/>
      <c r="D144" s="59"/>
      <c r="E144" s="462">
        <v>15</v>
      </c>
      <c r="F144" s="3" t="str" cm="1">
        <f t="array" aca="1" ref="F144" ca="1">OFFSET(E144,-1,1)</f>
        <v>2</v>
      </c>
      <c r="G144" s="59"/>
      <c r="H144" s="59"/>
      <c r="I144" s="59"/>
      <c r="J144" s="59"/>
      <c r="K144" s="59"/>
      <c r="L144" s="59"/>
      <c r="M144" s="59"/>
      <c r="N144" s="59"/>
      <c r="O144" s="59"/>
      <c r="P144" s="59"/>
      <c r="Q144" s="59"/>
      <c r="R144" s="59"/>
      <c r="S144" s="365"/>
      <c r="T144" s="353" t="b" cm="1">
        <f t="array" ref="T144">T143</f>
        <v>1</v>
      </c>
      <c r="U144" s="59"/>
      <c r="V144" s="59"/>
      <c r="W144" s="59"/>
      <c r="X144" s="1022"/>
      <c r="Y144" s="59"/>
      <c r="Z144" s="966"/>
      <c r="AA144" s="59"/>
      <c r="AB144" s="922" t="s">
        <v>1639</v>
      </c>
      <c r="AC144" s="924"/>
      <c r="AD144" s="591" cm="1">
        <f t="array" ref="AD144">INDEX('Общие сведения'!$AJ$179:$AJ$236,MATCH($X141,'Общие сведения'!$Z$179:$Z$236,0))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21.6" customHeight="1" x14ac:dyDescent="0.15">
      <c r="A145" s="59"/>
      <c r="B145" s="613" t="b">
        <f>AND(R141="одноставочный",NOT(S141))</f>
        <v>1</v>
      </c>
      <c r="C145" s="59"/>
      <c r="D145" s="59"/>
      <c r="E145" s="462">
        <v>15</v>
      </c>
      <c r="F145" s="3" t="str" cm="1">
        <f t="array" aca="1" ref="F145" ca="1">OFFSET(E145,-1,1)</f>
        <v>2</v>
      </c>
      <c r="G145" s="59"/>
      <c r="H145" s="59"/>
      <c r="I145" s="59"/>
      <c r="J145" s="59"/>
      <c r="K145" s="59"/>
      <c r="L145" s="59"/>
      <c r="M145" s="59"/>
      <c r="N145" s="59"/>
      <c r="O145" s="59"/>
      <c r="P145" s="59"/>
      <c r="Q145" s="59"/>
      <c r="R145" s="59"/>
      <c r="S145" s="59"/>
      <c r="T145" s="353" t="b" cm="1">
        <f t="array" ref="T145">T144</f>
        <v>1</v>
      </c>
      <c r="U145" s="59"/>
      <c r="V145" s="59"/>
      <c r="W145" s="59"/>
      <c r="X145" s="1022"/>
      <c r="Y145" s="59"/>
      <c r="Z145" s="966"/>
      <c r="AA145" s="59"/>
      <c r="AB145" s="592" t="s">
        <v>1640</v>
      </c>
      <c r="AC145" s="593"/>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866" customFormat="1" ht="29.85" customHeight="1" x14ac:dyDescent="0.15">
      <c r="A146" s="594"/>
      <c r="B146" s="613" t="b" cm="1">
        <f t="array" ref="B146">B145</f>
        <v>1</v>
      </c>
      <c r="C146" s="594"/>
      <c r="D146" s="594"/>
      <c r="E146" s="595">
        <v>24.5</v>
      </c>
      <c r="F146" s="3" t="str" cm="1">
        <f t="array" aca="1" ref="F146" ca="1">OFFSET(E146,-1,1)</f>
        <v>2</v>
      </c>
      <c r="G146" s="59" t="s">
        <v>1641</v>
      </c>
      <c r="H146" s="59" t="s">
        <v>482</v>
      </c>
      <c r="I146" s="59" t="s">
        <v>1642</v>
      </c>
      <c r="J146" s="594"/>
      <c r="K146" s="594"/>
      <c r="L146" s="59"/>
      <c r="M146" s="594"/>
      <c r="N146" s="594"/>
      <c r="O146" s="594"/>
      <c r="P146" s="594"/>
      <c r="Q146" s="594"/>
      <c r="R146" s="594"/>
      <c r="S146" s="59"/>
      <c r="T146" s="353" t="b" cm="1">
        <f t="array" ref="T146">T145</f>
        <v>1</v>
      </c>
      <c r="U146" s="594"/>
      <c r="V146" s="594"/>
      <c r="W146" s="594"/>
      <c r="X146" s="1022"/>
      <c r="Y146" s="594"/>
      <c r="Z146" s="966"/>
      <c r="AA146" s="594"/>
      <c r="AB146" s="205" t="s">
        <v>1643</v>
      </c>
      <c r="AC146" s="206" t="s">
        <v>1644</v>
      </c>
      <c r="AD146" s="596">
        <f ca="1">IF(AND(method_reg="Метод индексации",god&lt;&gt;first_year),SUMIFS(INDEX('Калькуляция (МИ корр)'!$AJ$25:$BC$603,,MATCH(AD$8,'Калькуляция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(МИ)'!$AJ$25:$BC$603,,MATCH(AD$8,'Калькуляция (МИ)'!$AJ$8:$BC$8,0)),'Калькуляция (МИ)'!$F$25:$F$603,$F146,'Калькуляция (МИ)'!$G$25:$G$603,$G146))))</f>
        <v>231.7124131402</v>
      </c>
      <c r="AE146" s="596">
        <f ca="1">IF(AND(method_reg="Метод индексации",god&lt;&gt;first_year),SUMIFS(INDEX('Калькуляция (МИ корр)'!$AJ$25:$BC$603,,MATCH(AE$8,'Калькуляция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(МИ)'!$AJ$25:$BC$603,,MATCH(AE$8,'Калькуляция (МИ)'!$AJ$8:$BC$8,0)),'Калькуляция (МИ)'!$F$25:$F$603,$F146,'Калькуляция (МИ)'!$G$25:$G$603,$G146))))</f>
        <v>49.66</v>
      </c>
      <c r="AF146" s="208">
        <f ca="1">IF(AD146=0,0,(AE146-AD146)/AD146*100)</f>
        <v>-78.568260833763489</v>
      </c>
      <c r="AG146" s="861">
        <f ca="1">IF(AND(method_reg="Метод индексации",god&lt;&gt;first_year),SUMIFS(INDEX('Калькуляция (МИ корр)'!$AJ$25:$BC$603,,MATCH(AG$8,'Калькуляция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(МИ)'!$AJ$25:$BC$603,,MATCH(AG$8,'Калькуляция (МИ)'!$AJ$8:$BC$8,0)),'Калькуляция (МИ)'!$F$25:$F$603,$F146,'Калькуляция (МИ)'!$G$25:$G$603,$G146))))</f>
        <v>0</v>
      </c>
      <c r="AH146" s="861">
        <f ca="1">IF(AND(method_reg="Метод индексации",god&lt;&gt;first_year),SUMIFS(INDEX('Калькуляция (МИ корр)'!$AJ$25:$BC$603,,MATCH(AH$8,'Калькуляция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(МИ)'!$AJ$25:$BC$603,,MATCH(AH$8,'Калькуляция (МИ)'!$AJ$8:$BC$8,0)),'Калькуляция (МИ)'!$F$25:$F$603,$F146,'Калькуляция (МИ)'!$G$25:$G$603,$G146))))</f>
        <v>54.63</v>
      </c>
      <c r="AI146" s="208">
        <f ca="1">IF(AG146=0,0,(AH146-AG146)/AG146*100)</f>
        <v>0</v>
      </c>
      <c r="AJ146" s="861">
        <f ca="1">IF(AND(method_reg="Метод индексации",god&lt;&gt;first_year),SUMIFS(INDEX('Калькуляция (МИ корр)'!$AJ$25:$BC$603,,MATCH(AJ$8,'Калькуляция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(МИ)'!$AJ$25:$BC$603,,MATCH(AJ$8,'Калькуляция (МИ)'!$AJ$8:$BC$8,0)),'Калькуляция (МИ)'!$F$25:$F$603,$F146,'Калькуляция (МИ)'!$G$25:$G$603,$G146))))</f>
        <v>0</v>
      </c>
      <c r="AK146" s="861">
        <f ca="1">IF(AND(method_reg="Метод индексации",god&lt;&gt;first_year),SUMIFS(INDEX('Калькуляция (МИ корр)'!$AJ$25:$BC$603,,MATCH(AK$8,'Калькуляция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(МИ)'!$AJ$25:$BC$603,,MATCH(AK$8,'Калькуляция (МИ)'!$AJ$8:$BC$8,0)),'Калькуляция (МИ)'!$F$25:$F$603,$F146,'Калькуляция (МИ)'!$G$25:$G$603,$G146))))</f>
        <v>0</v>
      </c>
      <c r="AL146" s="208">
        <f ca="1">IF(AJ146=0,0,(AK146-AJ146)/AJ146*100)</f>
        <v>0</v>
      </c>
      <c r="AM146" s="596">
        <f ca="1">IF(AND(method_reg="Метод индексации",god&lt;&gt;first_year),SUMIFS(INDEX('Калькуляция (МИ корр)'!$AJ$25:$BC$603,,MATCH(AM$8,'Калькуляция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(МИ)'!$AJ$25:$BC$603,,MATCH(AM$8,'Калькуляция (МИ)'!$AJ$8:$BC$8,0)),'Калькуляция (МИ)'!$F$25:$F$603,$F146,'Калькуляция (МИ)'!$G$25:$G$603,$G146))))</f>
        <v>0</v>
      </c>
      <c r="AN146" s="596">
        <f ca="1">IF(AND(method_reg="Метод индексации",god&lt;&gt;first_year),SUMIFS(INDEX('Калькуляция (МИ корр)'!$AJ$25:$BC$603,,MATCH(AN$8,'Калькуляция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(МИ)'!$AJ$25:$BC$603,,MATCH(AN$8,'Калькуляция (МИ)'!$AJ$8:$BC$8,0)),'Калькуляция (МИ)'!$F$25:$F$603,$F146,'Калькуляция (МИ)'!$G$25:$G$603,$G146))))</f>
        <v>0</v>
      </c>
      <c r="AO146" s="208">
        <f ca="1">IF(AM146=0,0,(AN146-AM146)/AM146*100)</f>
        <v>0</v>
      </c>
      <c r="AP146" s="596">
        <f ca="1">IF(AND(method_reg="Метод индексации",god&lt;&gt;first_year),SUMIFS(INDEX('Калькуляция (МИ корр)'!$AJ$25:$BC$603,,MATCH(AP$8,'Калькуляция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(МИ)'!$AJ$25:$BC$603,,MATCH(AP$8,'Калькуляция (МИ)'!$AJ$8:$BC$8,0)),'Калькуляция (МИ)'!$F$25:$F$603,$F146,'Калькуляция (МИ)'!$G$25:$G$603,$G146))))</f>
        <v>0</v>
      </c>
      <c r="AQ146" s="596">
        <f ca="1">IF(AND(method_reg="Метод индексации",god&lt;&gt;first_year),SUMIFS(INDEX('Калькуляция (МИ корр)'!$AJ$25:$BC$603,,MATCH(AQ$8,'Калькуляция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(МИ)'!$AJ$25:$BC$603,,MATCH(AQ$8,'Калькуляция (МИ)'!$AJ$8:$BC$8,0)),'Калькуляция (МИ)'!$F$25:$F$603,$F146,'Калькуляция (МИ)'!$G$25:$G$603,$G146))))</f>
        <v>0</v>
      </c>
      <c r="AR146" s="208">
        <f ca="1">IF(AP146=0,0,(AQ146-AP146)/AP146*100)</f>
        <v>0</v>
      </c>
      <c r="AS146" s="596">
        <f ca="1">IF(AND(method_reg="Метод индексации",god&lt;&gt;first_year),SUMIFS(INDEX('Калькуляция (МИ корр)'!$AJ$25:$BC$603,,MATCH(AS$8,'Калькуляция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(МИ)'!$AJ$25:$BC$603,,MATCH(AS$8,'Калькуляция (МИ)'!$AJ$8:$BC$8,0)),'Калькуляция (МИ)'!$F$25:$F$603,$F146,'Калькуляция (МИ)'!$G$25:$G$603,$G146))))</f>
        <v>0</v>
      </c>
      <c r="AT146" s="596">
        <f ca="1">IF(AND(method_reg="Метод индексации",god&lt;&gt;first_year),SUMIFS(INDEX('Калькуляция (МИ корр)'!$AJ$25:$BC$603,,MATCH(AT$8,'Калькуляция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(МИ)'!$AJ$25:$BC$603,,MATCH(AT$8,'Калькуляция (МИ)'!$AJ$8:$BC$8,0)),'Калькуляция (МИ)'!$F$25:$F$603,$F146,'Калькуляция (МИ)'!$G$25:$G$603,$G146))))</f>
        <v>0</v>
      </c>
      <c r="AU146" s="208">
        <f ca="1">IF(AS146=0,0,(AT146-AS146)/AS146*100)</f>
        <v>0</v>
      </c>
      <c r="AV146" s="596">
        <f ca="1">IF(AND(method_reg="Метод индексации",god&lt;&gt;first_year),SUMIFS(INDEX('Калькуляция (МИ корр)'!$AJ$25:$BC$603,,MATCH(AV$8,'Калькуляция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(МИ)'!$AJ$25:$BC$603,,MATCH(AV$8,'Калькуляция (МИ)'!$AJ$8:$BC$8,0)),'Калькуляция (МИ)'!$F$25:$F$603,$F146,'Калькуляция (МИ)'!$G$25:$G$603,$G146))))</f>
        <v>0</v>
      </c>
      <c r="AW146" s="596">
        <f ca="1">IF(AND(method_reg="Метод индексации",god&lt;&gt;first_year),SUMIFS(INDEX('Калькуляция (МИ корр)'!$AJ$25:$BC$603,,MATCH(AW$8,'Калькуляция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(МИ)'!$AJ$25:$BC$603,,MATCH(AW$8,'Калькуляция (МИ)'!$AJ$8:$BC$8,0)),'Калькуляция (МИ)'!$F$25:$F$603,$F146,'Калькуляция (МИ)'!$G$25:$G$603,$G146))))</f>
        <v>0</v>
      </c>
      <c r="AX146" s="208">
        <f ca="1">IF(AV146=0,0,(AW146-AV146)/AV146*100)</f>
        <v>0</v>
      </c>
      <c r="AY146" s="596">
        <f ca="1">IF(AND(method_reg="Метод индексации",god&lt;&gt;first_year),SUMIFS(INDEX('Калькуляция (МИ корр)'!$AJ$25:$BC$603,,MATCH(AY$8,'Калькуляция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(МИ)'!$AJ$25:$BC$603,,MATCH(AY$8,'Калькуляция (МИ)'!$AJ$8:$BC$8,0)),'Калькуляция (МИ)'!$F$25:$F$603,$F146,'Калькуляция (МИ)'!$G$25:$G$603,$G146))))</f>
        <v>0</v>
      </c>
      <c r="AZ146" s="596">
        <f ca="1">IF(AND(method_reg="Метод индексации",god&lt;&gt;first_year),SUMIFS(INDEX('Калькуляция (МИ корр)'!$AJ$25:$BC$603,,MATCH(AZ$8,'Калькуляция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(МИ)'!$AJ$25:$BC$603,,MATCH(AZ$8,'Калькуляция (МИ)'!$AJ$8:$BC$8,0)),'Калькуляция (МИ)'!$F$25:$F$603,$F146,'Калькуляция (МИ)'!$G$25:$G$603,$G146))))</f>
        <v>0</v>
      </c>
      <c r="BA146" s="208">
        <f ca="1">IF(AY146=0,0,(AZ146-AY146)/AY146*100)</f>
        <v>0</v>
      </c>
      <c r="BB146" s="596">
        <f ca="1">IF(AND(method_reg="Метод индексации",god&lt;&gt;first_year),SUMIFS(INDEX('Калькуляция (МИ корр)'!$AJ$25:$BC$603,,MATCH(BB$8,'Калькуляция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(МИ)'!$AJ$25:$BC$603,,MATCH(BB$8,'Калькуляция (МИ)'!$AJ$8:$BC$8,0)),'Калькуляция (МИ)'!$F$25:$F$603,$F146,'Калькуляция (МИ)'!$G$25:$G$603,$G146))))</f>
        <v>0</v>
      </c>
      <c r="BC146" s="596">
        <f ca="1">IF(AND(method_reg="Метод индексации",god&lt;&gt;first_year),SUMIFS(INDEX('Калькуляция (МИ корр)'!$AJ$25:$BC$603,,MATCH(BC$8,'Калькуляция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(МИ)'!$AJ$25:$BC$603,,MATCH(BC$8,'Калькуляция (МИ)'!$AJ$8:$BC$8,0)),'Калькуляция (МИ)'!$F$25:$F$603,$F146,'Калькуляция (МИ)'!$G$25:$G$603,$G146))))</f>
        <v>0</v>
      </c>
      <c r="BD146" s="208">
        <f ca="1">IF(BB146=0,0,(BC146-BB146)/BB146*100)</f>
        <v>0</v>
      </c>
      <c r="BE146" s="596">
        <f ca="1">IF(AND(method_reg="Метод индексации",god&lt;&gt;first_year),SUMIFS(INDEX('Калькуляция (МИ корр)'!$AJ$25:$BC$603,,MATCH(BE$8,'Калькуляция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(МИ)'!$AJ$25:$BC$603,,MATCH(BE$8,'Калькуляция (МИ)'!$AJ$8:$BC$8,0)),'Калькуляция (МИ)'!$F$25:$F$603,$F146,'Калькуляция (МИ)'!$G$25:$G$603,$G146))))</f>
        <v>0</v>
      </c>
      <c r="BF146" s="596">
        <f ca="1">IF(AND(method_reg="Метод индексации",god&lt;&gt;first_year),SUMIFS(INDEX('Калькуляция (МИ корр)'!$AJ$25:$BC$603,,MATCH(BF$8,'Калькуляция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(МИ)'!$AJ$25:$BC$603,,MATCH(BF$8,'Калькуляция (МИ)'!$AJ$8:$BC$8,0)),'Калькуляция (МИ)'!$F$25:$F$603,$F146,'Калькуляция (МИ)'!$G$25:$G$603,$G146))))</f>
        <v>0</v>
      </c>
      <c r="BG146" s="208">
        <f ca="1">IF(BE146=0,0,(BF146-BE146)/BE146*100)</f>
        <v>0</v>
      </c>
      <c r="BH146" s="596"/>
      <c r="BI146" s="596"/>
      <c r="BJ146" s="208">
        <f>IF(BH146=0,0,(BI146-BH146)/BH146*100)</f>
        <v>0</v>
      </c>
      <c r="BK146" s="596"/>
      <c r="BL146" s="596"/>
      <c r="BM146" s="208">
        <f>IF(BK146=0,0,(BL146-BK146)/BK146*100)</f>
        <v>0</v>
      </c>
      <c r="BN146" s="596"/>
      <c r="BO146" s="596"/>
      <c r="BP146" s="208">
        <f>IF(BN146=0,0,(BO146-BN146)/BN146*100)</f>
        <v>0</v>
      </c>
      <c r="BQ146" s="596"/>
      <c r="BR146" s="596"/>
      <c r="BS146" s="208">
        <f>IF(BQ146=0,0,(BR146-BQ146)/BQ146*100)</f>
        <v>0</v>
      </c>
      <c r="BT146" s="596"/>
      <c r="BU146" s="596"/>
      <c r="BV146" s="208">
        <f>IF(BT146=0,0,(BU146-BT146)/BT146*100)</f>
        <v>0</v>
      </c>
      <c r="BW146" s="596"/>
      <c r="BX146" s="596"/>
      <c r="BY146" s="208">
        <f>IF(BW146=0,0,(BX146-BW146)/BW146*100)</f>
        <v>0</v>
      </c>
      <c r="BZ146" s="596"/>
      <c r="CA146" s="596"/>
      <c r="CB146" s="208">
        <f>IF(BZ146=0,0,(CA146-BZ146)/BZ146*100)</f>
        <v>0</v>
      </c>
      <c r="CC146" s="596"/>
      <c r="CD146" s="596"/>
      <c r="CE146" s="208">
        <f>IF(CC146=0,0,(CD146-CC146)/CC146*100)</f>
        <v>0</v>
      </c>
      <c r="CF146" s="596"/>
      <c r="CG146" s="596"/>
      <c r="CH146" s="208">
        <f>IF(CF146=0,0,(CG146-CF146)/CF146*100)</f>
        <v>0</v>
      </c>
      <c r="CI146" s="596"/>
      <c r="CJ146" s="596"/>
      <c r="CK146" s="208">
        <f>IF(CI146=0,0,(CJ146-CI146)/CI146*100)</f>
        <v>0</v>
      </c>
      <c r="CL146" s="596"/>
      <c r="CM146" s="596"/>
      <c r="CN146" s="208">
        <f>IF(CL146=0,0,(CM146-CL146)/CL146*100)</f>
        <v>0</v>
      </c>
      <c r="CO146" s="596"/>
      <c r="CP146" s="596"/>
      <c r="CQ146" s="208">
        <f>IF(CO146=0,0,(CP146-CO146)/CO146*100)</f>
        <v>0</v>
      </c>
      <c r="CR146" s="596"/>
      <c r="CS146" s="596"/>
      <c r="CT146" s="208">
        <f>IF(CR146=0,0,(CS146-CR146)/CR146*100)</f>
        <v>0</v>
      </c>
      <c r="CU146" s="596"/>
      <c r="CV146" s="596"/>
      <c r="CW146" s="208">
        <f>IF(CU146=0,0,(CV146-CU146)/CU146*100)</f>
        <v>0</v>
      </c>
      <c r="CX146" s="596"/>
      <c r="CY146" s="596"/>
      <c r="CZ146" s="208">
        <f>IF(CX146=0,0,(CY146-CX146)/CX146*100)</f>
        <v>0</v>
      </c>
      <c r="DA146" s="596"/>
      <c r="DB146" s="596"/>
      <c r="DC146" s="208">
        <f>IF(DA146=0,0,(DB146-DA146)/DA146*100)</f>
        <v>0</v>
      </c>
      <c r="DD146" s="596"/>
      <c r="DE146" s="596"/>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91" t="s">
        <v>1645</v>
      </c>
      <c r="GA146" s="691"/>
      <c r="GB146" s="691"/>
      <c r="GC146" s="692"/>
      <c r="GD146" s="692"/>
    </row>
    <row r="147" spans="1:186" s="866" customFormat="1" ht="27.2" customHeight="1" x14ac:dyDescent="0.15">
      <c r="A147" s="594"/>
      <c r="B147" s="613" t="b" cm="1">
        <f t="array" ref="B147">B146</f>
        <v>1</v>
      </c>
      <c r="C147" s="594"/>
      <c r="D147" s="594"/>
      <c r="E147" s="595">
        <v>24.5</v>
      </c>
      <c r="F147" s="3" t="str" cm="1">
        <f t="array" aca="1" ref="F147" ca="1">OFFSET(E147,-1,1)</f>
        <v>2</v>
      </c>
      <c r="G147" s="59" t="s">
        <v>1646</v>
      </c>
      <c r="H147" s="59" t="s">
        <v>482</v>
      </c>
      <c r="I147" s="59" t="s">
        <v>1647</v>
      </c>
      <c r="J147" s="594"/>
      <c r="K147" s="594"/>
      <c r="L147" s="59"/>
      <c r="M147" s="594"/>
      <c r="N147" s="594"/>
      <c r="O147" s="594"/>
      <c r="P147" s="594"/>
      <c r="Q147" s="594"/>
      <c r="R147" s="594"/>
      <c r="S147" s="59"/>
      <c r="T147" s="353" t="b" cm="1">
        <f t="array" ref="T147">T146</f>
        <v>1</v>
      </c>
      <c r="U147" s="594"/>
      <c r="V147" s="594"/>
      <c r="W147" s="594"/>
      <c r="X147" s="1022"/>
      <c r="Y147" s="594"/>
      <c r="Z147" s="966"/>
      <c r="AA147" s="594"/>
      <c r="AB147" s="205" t="s">
        <v>1648</v>
      </c>
      <c r="AC147" s="206" t="s">
        <v>1644</v>
      </c>
      <c r="AD147" s="596">
        <f ca="1">IF(AND(method_reg="Метод индексации",god&lt;&gt;first_year),SUMIFS(INDEX('Калькуляция (МИ корр)'!$AJ$25:$BC$603,,MATCH(AD$8,'Калькуляция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(МИ)'!$AJ$25:$BC$603,,MATCH(AD$8,'Калькуляция (МИ)'!$AJ$8:$BC$8,0)),'Калькуляция (МИ)'!$F$25:$F$603,$F147,'Калькуляция (МИ)'!$G$25:$G$603,$G147))))</f>
        <v>231.7124131402</v>
      </c>
      <c r="AE147" s="596">
        <f ca="1">IF(AND(method_reg="Метод индексации",god&lt;&gt;first_year),SUMIFS(INDEX('Калькуляция (МИ корр)'!$AJ$25:$BC$603,,MATCH(AE$8,'Калькуляция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(МИ)'!$AJ$25:$BC$603,,MATCH(AE$8,'Калькуляция (МИ)'!$AJ$8:$BC$8,0)),'Калькуляция (МИ)'!$F$25:$F$603,$F147,'Калькуляция (МИ)'!$G$25:$G$603,$G147))))</f>
        <v>54.63</v>
      </c>
      <c r="AF147" s="208">
        <f ca="1">IF(AD147=0,0,(AE147-AD147)/AD147*100)</f>
        <v>-76.423360639317352</v>
      </c>
      <c r="AG147" s="861">
        <f ca="1">IF(AND(method_reg="Метод индексации",god&lt;&gt;first_year),SUMIFS(INDEX('Калькуляция (МИ корр)'!$AJ$25:$BC$603,,MATCH(AG$8,'Калькуляция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(МИ)'!$AJ$25:$BC$603,,MATCH(AG$8,'Калькуляция (МИ)'!$AJ$8:$BC$8,0)),'Калькуляция (МИ)'!$F$25:$F$603,$F147,'Калькуляция (МИ)'!$G$25:$G$603,$G147))))</f>
        <v>0</v>
      </c>
      <c r="AH147" s="861">
        <f ca="1">IF(AND(method_reg="Метод индексации",god&lt;&gt;first_year),SUMIFS(INDEX('Калькуляция (МИ корр)'!$AJ$25:$BC$603,,MATCH(AH$8,'Калькуляция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(МИ)'!$AJ$25:$BC$603,,MATCH(AH$8,'Калькуляция (МИ)'!$AJ$8:$BC$8,0)),'Калькуляция (МИ)'!$F$25:$F$603,$F147,'Калькуляция (МИ)'!$G$25:$G$603,$G147))))</f>
        <v>0</v>
      </c>
      <c r="AI147" s="208">
        <f ca="1">IF(AG147=0,0,(AH147-AG147)/AG147*100)</f>
        <v>0</v>
      </c>
      <c r="AJ147" s="861">
        <f ca="1">IF(AND(method_reg="Метод индексации",god&lt;&gt;first_year),SUMIFS(INDEX('Калькуляция (МИ корр)'!$AJ$25:$BC$603,,MATCH(AJ$8,'Калькуляция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(МИ)'!$AJ$25:$BC$603,,MATCH(AJ$8,'Калькуляция (МИ)'!$AJ$8:$BC$8,0)),'Калькуляция (МИ)'!$F$25:$F$603,$F147,'Калькуляция (МИ)'!$G$25:$G$603,$G147))))</f>
        <v>0</v>
      </c>
      <c r="AK147" s="861">
        <f ca="1">IF(AND(method_reg="Метод индексации",god&lt;&gt;first_year),SUMIFS(INDEX('Калькуляция (МИ корр)'!$AJ$25:$BC$603,,MATCH(AK$8,'Калькуляция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(МИ)'!$AJ$25:$BC$603,,MATCH(AK$8,'Калькуляция (МИ)'!$AJ$8:$BC$8,0)),'Калькуляция (МИ)'!$F$25:$F$603,$F147,'Калькуляция (МИ)'!$G$25:$G$603,$G147))))</f>
        <v>0</v>
      </c>
      <c r="AL147" s="208">
        <f ca="1">IF(AJ147=0,0,(AK147-AJ147)/AJ147*100)</f>
        <v>0</v>
      </c>
      <c r="AM147" s="596">
        <f ca="1">IF(AND(method_reg="Метод индексации",god&lt;&gt;first_year),SUMIFS(INDEX('Калькуляция (МИ корр)'!$AJ$25:$BC$603,,MATCH(AM$8,'Калькуляция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(МИ)'!$AJ$25:$BC$603,,MATCH(AM$8,'Калькуляция (МИ)'!$AJ$8:$BC$8,0)),'Калькуляция (МИ)'!$F$25:$F$603,$F147,'Калькуляция (МИ)'!$G$25:$G$603,$G147))))</f>
        <v>0</v>
      </c>
      <c r="AN147" s="596">
        <f ca="1">IF(AND(method_reg="Метод индексации",god&lt;&gt;first_year),SUMIFS(INDEX('Калькуляция (МИ корр)'!$AJ$25:$BC$603,,MATCH(AN$8,'Калькуляция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(МИ)'!$AJ$25:$BC$603,,MATCH(AN$8,'Калькуляция (МИ)'!$AJ$8:$BC$8,0)),'Калькуляция (МИ)'!$F$25:$F$603,$F147,'Калькуляция (МИ)'!$G$25:$G$603,$G147))))</f>
        <v>0</v>
      </c>
      <c r="AO147" s="208">
        <f ca="1">IF(AM147=0,0,(AN147-AM147)/AM147*100)</f>
        <v>0</v>
      </c>
      <c r="AP147" s="596">
        <f ca="1">IF(AND(method_reg="Метод индексации",god&lt;&gt;first_year),SUMIFS(INDEX('Калькуляция (МИ корр)'!$AJ$25:$BC$603,,MATCH(AP$8,'Калькуляция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(МИ)'!$AJ$25:$BC$603,,MATCH(AP$8,'Калькуляция (МИ)'!$AJ$8:$BC$8,0)),'Калькуляция (МИ)'!$F$25:$F$603,$F147,'Калькуляция (МИ)'!$G$25:$G$603,$G147))))</f>
        <v>0</v>
      </c>
      <c r="AQ147" s="596">
        <f ca="1">IF(AND(method_reg="Метод индексации",god&lt;&gt;first_year),SUMIFS(INDEX('Калькуляция (МИ корр)'!$AJ$25:$BC$603,,MATCH(AQ$8,'Калькуляция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(МИ)'!$AJ$25:$BC$603,,MATCH(AQ$8,'Калькуляция (МИ)'!$AJ$8:$BC$8,0)),'Калькуляция (МИ)'!$F$25:$F$603,$F147,'Калькуляция (МИ)'!$G$25:$G$603,$G147))))</f>
        <v>0</v>
      </c>
      <c r="AR147" s="208">
        <f ca="1">IF(AP147=0,0,(AQ147-AP147)/AP147*100)</f>
        <v>0</v>
      </c>
      <c r="AS147" s="596">
        <f ca="1">IF(AND(method_reg="Метод индексации",god&lt;&gt;first_year),SUMIFS(INDEX('Калькуляция (МИ корр)'!$AJ$25:$BC$603,,MATCH(AS$8,'Калькуляция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(МИ)'!$AJ$25:$BC$603,,MATCH(AS$8,'Калькуляция (МИ)'!$AJ$8:$BC$8,0)),'Калькуляция (МИ)'!$F$25:$F$603,$F147,'Калькуляция (МИ)'!$G$25:$G$603,$G147))))</f>
        <v>0</v>
      </c>
      <c r="AT147" s="596">
        <f ca="1">IF(AND(method_reg="Метод индексации",god&lt;&gt;first_year),SUMIFS(INDEX('Калькуляция (МИ корр)'!$AJ$25:$BC$603,,MATCH(AT$8,'Калькуляция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(МИ)'!$AJ$25:$BC$603,,MATCH(AT$8,'Калькуляция (МИ)'!$AJ$8:$BC$8,0)),'Калькуляция (МИ)'!$F$25:$F$603,$F147,'Калькуляция (МИ)'!$G$25:$G$603,$G147))))</f>
        <v>0</v>
      </c>
      <c r="AU147" s="208">
        <f ca="1">IF(AS147=0,0,(AT147-AS147)/AS147*100)</f>
        <v>0</v>
      </c>
      <c r="AV147" s="596">
        <f ca="1">IF(AND(method_reg="Метод индексации",god&lt;&gt;first_year),SUMIFS(INDEX('Калькуляция (МИ корр)'!$AJ$25:$BC$603,,MATCH(AV$8,'Калькуляция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(МИ)'!$AJ$25:$BC$603,,MATCH(AV$8,'Калькуляция (МИ)'!$AJ$8:$BC$8,0)),'Калькуляция (МИ)'!$F$25:$F$603,$F147,'Калькуляция (МИ)'!$G$25:$G$603,$G147))))</f>
        <v>0</v>
      </c>
      <c r="AW147" s="596">
        <f ca="1">IF(AND(method_reg="Метод индексации",god&lt;&gt;first_year),SUMIFS(INDEX('Калькуляция (МИ корр)'!$AJ$25:$BC$603,,MATCH(AW$8,'Калькуляция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(МИ)'!$AJ$25:$BC$603,,MATCH(AW$8,'Калькуляция (МИ)'!$AJ$8:$BC$8,0)),'Калькуляция (МИ)'!$F$25:$F$603,$F147,'Калькуляция (МИ)'!$G$25:$G$603,$G147))))</f>
        <v>0</v>
      </c>
      <c r="AX147" s="208">
        <f ca="1">IF(AV147=0,0,(AW147-AV147)/AV147*100)</f>
        <v>0</v>
      </c>
      <c r="AY147" s="596">
        <f ca="1">IF(AND(method_reg="Метод индексации",god&lt;&gt;first_year),SUMIFS(INDEX('Калькуляция (МИ корр)'!$AJ$25:$BC$603,,MATCH(AY$8,'Калькуляция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(МИ)'!$AJ$25:$BC$603,,MATCH(AY$8,'Калькуляция (МИ)'!$AJ$8:$BC$8,0)),'Калькуляция (МИ)'!$F$25:$F$603,$F147,'Калькуляция (МИ)'!$G$25:$G$603,$G147))))</f>
        <v>0</v>
      </c>
      <c r="AZ147" s="596">
        <f ca="1">IF(AND(method_reg="Метод индексации",god&lt;&gt;first_year),SUMIFS(INDEX('Калькуляция (МИ корр)'!$AJ$25:$BC$603,,MATCH(AZ$8,'Калькуляция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(МИ)'!$AJ$25:$BC$603,,MATCH(AZ$8,'Калькуляция (МИ)'!$AJ$8:$BC$8,0)),'Калькуляция (МИ)'!$F$25:$F$603,$F147,'Калькуляция (МИ)'!$G$25:$G$603,$G147))))</f>
        <v>0</v>
      </c>
      <c r="BA147" s="208">
        <f ca="1">IF(AY147=0,0,(AZ147-AY147)/AY147*100)</f>
        <v>0</v>
      </c>
      <c r="BB147" s="596">
        <f ca="1">IF(AND(method_reg="Метод индексации",god&lt;&gt;first_year),SUMIFS(INDEX('Калькуляция (МИ корр)'!$AJ$25:$BC$603,,MATCH(BB$8,'Калькуляция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(МИ)'!$AJ$25:$BC$603,,MATCH(BB$8,'Калькуляция (МИ)'!$AJ$8:$BC$8,0)),'Калькуляция (МИ)'!$F$25:$F$603,$F147,'Калькуляция (МИ)'!$G$25:$G$603,$G147))))</f>
        <v>0</v>
      </c>
      <c r="BC147" s="596">
        <f ca="1">IF(AND(method_reg="Метод индексации",god&lt;&gt;first_year),SUMIFS(INDEX('Калькуляция (МИ корр)'!$AJ$25:$BC$603,,MATCH(BC$8,'Калькуляция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(МИ)'!$AJ$25:$BC$603,,MATCH(BC$8,'Калькуляция (МИ)'!$AJ$8:$BC$8,0)),'Калькуляция (МИ)'!$F$25:$F$603,$F147,'Калькуляция (МИ)'!$G$25:$G$603,$G147))))</f>
        <v>0</v>
      </c>
      <c r="BD147" s="208">
        <f ca="1">IF(BB147=0,0,(BC147-BB147)/BB147*100)</f>
        <v>0</v>
      </c>
      <c r="BE147" s="596">
        <f ca="1">IF(AND(method_reg="Метод индексации",god&lt;&gt;first_year),SUMIFS(INDEX('Калькуляция (МИ корр)'!$AJ$25:$BC$603,,MATCH(BE$8,'Калькуляция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(МИ)'!$AJ$25:$BC$603,,MATCH(BE$8,'Калькуляция (МИ)'!$AJ$8:$BC$8,0)),'Калькуляция (МИ)'!$F$25:$F$603,$F147,'Калькуляция (МИ)'!$G$25:$G$603,$G147))))</f>
        <v>0</v>
      </c>
      <c r="BF147" s="596">
        <f ca="1">IF(AND(method_reg="Метод индексации",god&lt;&gt;first_year),SUMIFS(INDEX('Калькуляция (МИ корр)'!$AJ$25:$BC$603,,MATCH(BF$8,'Калькуляция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(МИ)'!$AJ$25:$BC$603,,MATCH(BF$8,'Калькуляция (МИ)'!$AJ$8:$BC$8,0)),'Калькуляция (МИ)'!$F$25:$F$603,$F147,'Калькуляция (МИ)'!$G$25:$G$603,$G147))))</f>
        <v>0</v>
      </c>
      <c r="BG147" s="208">
        <f ca="1">IF(BE147=0,0,(BF147-BE147)/BE147*100)</f>
        <v>0</v>
      </c>
      <c r="BH147" s="596"/>
      <c r="BI147" s="596"/>
      <c r="BJ147" s="208">
        <f>IF(BH147=0,0,(BI147-BH147)/BH147*100)</f>
        <v>0</v>
      </c>
      <c r="BK147" s="596"/>
      <c r="BL147" s="596"/>
      <c r="BM147" s="208">
        <f>IF(BK147=0,0,(BL147-BK147)/BK147*100)</f>
        <v>0</v>
      </c>
      <c r="BN147" s="596"/>
      <c r="BO147" s="596"/>
      <c r="BP147" s="208">
        <f>IF(BN147=0,0,(BO147-BN147)/BN147*100)</f>
        <v>0</v>
      </c>
      <c r="BQ147" s="596"/>
      <c r="BR147" s="596"/>
      <c r="BS147" s="208">
        <f>IF(BQ147=0,0,(BR147-BQ147)/BQ147*100)</f>
        <v>0</v>
      </c>
      <c r="BT147" s="596"/>
      <c r="BU147" s="596"/>
      <c r="BV147" s="208">
        <f>IF(BT147=0,0,(BU147-BT147)/BT147*100)</f>
        <v>0</v>
      </c>
      <c r="BW147" s="596"/>
      <c r="BX147" s="596"/>
      <c r="BY147" s="208">
        <f>IF(BW147=0,0,(BX147-BW147)/BW147*100)</f>
        <v>0</v>
      </c>
      <c r="BZ147" s="596"/>
      <c r="CA147" s="596"/>
      <c r="CB147" s="208">
        <f>IF(BZ147=0,0,(CA147-BZ147)/BZ147*100)</f>
        <v>0</v>
      </c>
      <c r="CC147" s="596"/>
      <c r="CD147" s="596"/>
      <c r="CE147" s="208">
        <f>IF(CC147=0,0,(CD147-CC147)/CC147*100)</f>
        <v>0</v>
      </c>
      <c r="CF147" s="596"/>
      <c r="CG147" s="596"/>
      <c r="CH147" s="208">
        <f>IF(CF147=0,0,(CG147-CF147)/CF147*100)</f>
        <v>0</v>
      </c>
      <c r="CI147" s="596"/>
      <c r="CJ147" s="596"/>
      <c r="CK147" s="208">
        <f>IF(CI147=0,0,(CJ147-CI147)/CI147*100)</f>
        <v>0</v>
      </c>
      <c r="CL147" s="596"/>
      <c r="CM147" s="596"/>
      <c r="CN147" s="208">
        <f>IF(CL147=0,0,(CM147-CL147)/CL147*100)</f>
        <v>0</v>
      </c>
      <c r="CO147" s="596"/>
      <c r="CP147" s="596"/>
      <c r="CQ147" s="208">
        <f>IF(CO147=0,0,(CP147-CO147)/CO147*100)</f>
        <v>0</v>
      </c>
      <c r="CR147" s="596"/>
      <c r="CS147" s="596"/>
      <c r="CT147" s="208">
        <f>IF(CR147=0,0,(CS147-CR147)/CR147*100)</f>
        <v>0</v>
      </c>
      <c r="CU147" s="596"/>
      <c r="CV147" s="596"/>
      <c r="CW147" s="208">
        <f>IF(CU147=0,0,(CV147-CU147)/CU147*100)</f>
        <v>0</v>
      </c>
      <c r="CX147" s="596"/>
      <c r="CY147" s="596"/>
      <c r="CZ147" s="208">
        <f>IF(CX147=0,0,(CY147-CX147)/CX147*100)</f>
        <v>0</v>
      </c>
      <c r="DA147" s="596"/>
      <c r="DB147" s="596"/>
      <c r="DC147" s="208">
        <f>IF(DA147=0,0,(DB147-DA147)/DA147*100)</f>
        <v>0</v>
      </c>
      <c r="DD147" s="596"/>
      <c r="DE147" s="596"/>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91" t="s">
        <v>1649</v>
      </c>
      <c r="GA147" s="691"/>
      <c r="GB147" s="691"/>
      <c r="GC147" s="692"/>
      <c r="GD147" s="692"/>
    </row>
    <row r="148" spans="1:186" ht="23.45" customHeight="1" x14ac:dyDescent="0.15">
      <c r="A148" s="59"/>
      <c r="B148" s="613" t="b" cm="1">
        <f t="array" ref="B148">B147</f>
        <v>1</v>
      </c>
      <c r="C148" s="59"/>
      <c r="D148" s="59"/>
      <c r="E148" s="462">
        <v>15</v>
      </c>
      <c r="F148" s="3" t="str" cm="1">
        <f t="array" aca="1" ref="F148" ca="1">OFFSET(E148,-1,1)</f>
        <v>2</v>
      </c>
      <c r="G148" s="59"/>
      <c r="H148" s="59" t="s">
        <v>486</v>
      </c>
      <c r="I148" s="59" t="s">
        <v>1650</v>
      </c>
      <c r="J148" s="59"/>
      <c r="K148" s="59"/>
      <c r="L148" s="59"/>
      <c r="M148" s="59"/>
      <c r="N148" s="59"/>
      <c r="O148" s="59"/>
      <c r="P148" s="59"/>
      <c r="Q148" s="59"/>
      <c r="R148" s="59"/>
      <c r="S148" s="59"/>
      <c r="T148" s="353" t="b" cm="1">
        <f t="array" ref="T148">T147</f>
        <v>1</v>
      </c>
      <c r="U148" s="59"/>
      <c r="V148" s="59"/>
      <c r="W148" s="59"/>
      <c r="X148" s="1022"/>
      <c r="Y148" s="59"/>
      <c r="Z148" s="966"/>
      <c r="AA148" s="59"/>
      <c r="AB148" s="54" t="s">
        <v>1651</v>
      </c>
      <c r="AC148" s="12" t="s">
        <v>476</v>
      </c>
      <c r="AD148" s="620">
        <f ca="1">IF(AD146=0,0,AD147/AD146)*100</f>
        <v>100</v>
      </c>
      <c r="AE148" s="620">
        <f ca="1">IF(AE146=0,0,AE147/AE146)*100</f>
        <v>110.0080547724527</v>
      </c>
      <c r="AF148" s="714"/>
      <c r="AG148" s="620">
        <f ca="1">IF(AG146=0,0,AG147/AG146)*100</f>
        <v>0</v>
      </c>
      <c r="AH148" s="620">
        <f ca="1">IF(AH146=0,0,AH147/AH146)*100</f>
        <v>0</v>
      </c>
      <c r="AI148" s="714"/>
      <c r="AJ148" s="620">
        <f ca="1">IF(AJ146=0,0,AJ147/AJ146)*100</f>
        <v>0</v>
      </c>
      <c r="AK148" s="620">
        <f ca="1">IF(AK146=0,0,AK147/AK146)*100</f>
        <v>0</v>
      </c>
      <c r="AL148" s="714"/>
      <c r="AM148" s="620">
        <f ca="1">IF(AM146=0,0,AM147/AM146)*100</f>
        <v>0</v>
      </c>
      <c r="AN148" s="620">
        <f ca="1">IF(AN146=0,0,AN147/AN146)*100</f>
        <v>0</v>
      </c>
      <c r="AO148" s="714"/>
      <c r="AP148" s="620">
        <f ca="1">IF(AP146=0,0,AP147/AP146)*100</f>
        <v>0</v>
      </c>
      <c r="AQ148" s="620">
        <f ca="1">IF(AQ146=0,0,AQ147/AQ146)*100</f>
        <v>0</v>
      </c>
      <c r="AR148" s="714"/>
      <c r="AS148" s="620">
        <f ca="1">IF(AS146=0,0,AS147/AS146)*100</f>
        <v>0</v>
      </c>
      <c r="AT148" s="620">
        <f ca="1">IF(AT146=0,0,AT147/AT146)*100</f>
        <v>0</v>
      </c>
      <c r="AU148" s="714"/>
      <c r="AV148" s="620">
        <f ca="1">IF(AV146=0,0,AV147/AV146)*100</f>
        <v>0</v>
      </c>
      <c r="AW148" s="620">
        <f ca="1">IF(AW146=0,0,AW147/AW146)*100</f>
        <v>0</v>
      </c>
      <c r="AX148" s="714"/>
      <c r="AY148" s="620">
        <f ca="1">IF(AY146=0,0,AY147/AY146)*100</f>
        <v>0</v>
      </c>
      <c r="AZ148" s="620">
        <f ca="1">IF(AZ146=0,0,AZ147/AZ146)*100</f>
        <v>0</v>
      </c>
      <c r="BA148" s="714"/>
      <c r="BB148" s="620">
        <f ca="1">IF(BB146=0,0,BB147/BB146)*100</f>
        <v>0</v>
      </c>
      <c r="BC148" s="620">
        <f ca="1">IF(BC146=0,0,BC147/BC146)*100</f>
        <v>0</v>
      </c>
      <c r="BD148" s="714"/>
      <c r="BE148" s="620">
        <f ca="1">IF(BE146=0,0,BE147/BE146)*100</f>
        <v>0</v>
      </c>
      <c r="BF148" s="620">
        <f ca="1">IF(BF146=0,0,BF147/BF146)*100</f>
        <v>0</v>
      </c>
      <c r="BG148" s="714"/>
      <c r="BH148" s="620">
        <f>IF(BH146=0,0,BH147/BH146)*100</f>
        <v>0</v>
      </c>
      <c r="BI148" s="620">
        <f>IF(BI146=0,0,BI147/BI146)*100</f>
        <v>0</v>
      </c>
      <c r="BJ148" s="714"/>
      <c r="BK148" s="620">
        <f>IF(BK146=0,0,BK147/BK146)*100</f>
        <v>0</v>
      </c>
      <c r="BL148" s="620">
        <f>IF(BL146=0,0,BL147/BL146)*100</f>
        <v>0</v>
      </c>
      <c r="BM148" s="714"/>
      <c r="BN148" s="620">
        <f>IF(BN146=0,0,BN147/BN146)*100</f>
        <v>0</v>
      </c>
      <c r="BO148" s="620">
        <f>IF(BO146=0,0,BO147/BO146)*100</f>
        <v>0</v>
      </c>
      <c r="BP148" s="714"/>
      <c r="BQ148" s="620">
        <f>IF(BQ146=0,0,BQ147/BQ146)*100</f>
        <v>0</v>
      </c>
      <c r="BR148" s="620">
        <f>IF(BR146=0,0,BR147/BR146)*100</f>
        <v>0</v>
      </c>
      <c r="BS148" s="714"/>
      <c r="BT148" s="620">
        <f>IF(BT146=0,0,BT147/BT146)*100</f>
        <v>0</v>
      </c>
      <c r="BU148" s="620">
        <f>IF(BU146=0,0,BU147/BU146)*100</f>
        <v>0</v>
      </c>
      <c r="BV148" s="714"/>
      <c r="BW148" s="620">
        <f>IF(BW146=0,0,BW147/BW146)*100</f>
        <v>0</v>
      </c>
      <c r="BX148" s="620">
        <f>IF(BX146=0,0,BX147/BX146)*100</f>
        <v>0</v>
      </c>
      <c r="BY148" s="714"/>
      <c r="BZ148" s="620">
        <f>IF(BZ146=0,0,BZ147/BZ146)*100</f>
        <v>0</v>
      </c>
      <c r="CA148" s="620">
        <f>IF(CA146=0,0,CA147/CA146)*100</f>
        <v>0</v>
      </c>
      <c r="CB148" s="714"/>
      <c r="CC148" s="620">
        <f>IF(CC146=0,0,CC147/CC146)*100</f>
        <v>0</v>
      </c>
      <c r="CD148" s="620">
        <f>IF(CD146=0,0,CD147/CD146)*100</f>
        <v>0</v>
      </c>
      <c r="CE148" s="714"/>
      <c r="CF148" s="620">
        <f>IF(CF146=0,0,CF147/CF146)*100</f>
        <v>0</v>
      </c>
      <c r="CG148" s="620">
        <f>IF(CG146=0,0,CG147/CG146)*100</f>
        <v>0</v>
      </c>
      <c r="CH148" s="714"/>
      <c r="CI148" s="620">
        <f>IF(CI146=0,0,CI147/CI146)*100</f>
        <v>0</v>
      </c>
      <c r="CJ148" s="620">
        <f>IF(CJ146=0,0,CJ147/CJ146)*100</f>
        <v>0</v>
      </c>
      <c r="CK148" s="714"/>
      <c r="CL148" s="620">
        <f>IF(CL146=0,0,CL147/CL146)*100</f>
        <v>0</v>
      </c>
      <c r="CM148" s="620">
        <f>IF(CM146=0,0,CM147/CM146)*100</f>
        <v>0</v>
      </c>
      <c r="CN148" s="714"/>
      <c r="CO148" s="620">
        <f>IF(CO146=0,0,CO147/CO146)*100</f>
        <v>0</v>
      </c>
      <c r="CP148" s="620">
        <f>IF(CP146=0,0,CP147/CP146)*100</f>
        <v>0</v>
      </c>
      <c r="CQ148" s="714"/>
      <c r="CR148" s="620">
        <f>IF(CR146=0,0,CR147/CR146)*100</f>
        <v>0</v>
      </c>
      <c r="CS148" s="620">
        <f>IF(CS146=0,0,CS147/CS146)*100</f>
        <v>0</v>
      </c>
      <c r="CT148" s="714"/>
      <c r="CU148" s="620">
        <f>IF(CU146=0,0,CU147/CU146)*100</f>
        <v>0</v>
      </c>
      <c r="CV148" s="620">
        <f>IF(CV146=0,0,CV147/CV146)*100</f>
        <v>0</v>
      </c>
      <c r="CW148" s="714"/>
      <c r="CX148" s="620">
        <f>IF(CX146=0,0,CX147/CX146)*100</f>
        <v>0</v>
      </c>
      <c r="CY148" s="620">
        <f>IF(CY146=0,0,CY147/CY146)*100</f>
        <v>0</v>
      </c>
      <c r="CZ148" s="714"/>
      <c r="DA148" s="620">
        <f>IF(DA146=0,0,DA147/DA146)*100</f>
        <v>0</v>
      </c>
      <c r="DB148" s="620">
        <f>IF(DB146=0,0,DB147/DB146)*100</f>
        <v>0</v>
      </c>
      <c r="DC148" s="714"/>
      <c r="DD148" s="620">
        <f>IF(DD146=0,0,DD147/DD146)*100</f>
        <v>0</v>
      </c>
      <c r="DE148" s="620">
        <f>IF(DE146=0,0,DE147/DE146)*100</f>
        <v>0</v>
      </c>
      <c r="DF148" s="714"/>
      <c r="DG148" s="620">
        <f>IF(DG146=0,0,DG147/DG146)*100</f>
        <v>0</v>
      </c>
      <c r="DH148" s="620">
        <f>IF(DH146=0,0,DH147/DH146)*100</f>
        <v>0</v>
      </c>
      <c r="DI148" s="714"/>
      <c r="DJ148" s="620">
        <f>IF(DJ146=0,0,DJ147/DJ146)*100</f>
        <v>0</v>
      </c>
      <c r="DK148" s="620">
        <f>IF(DK146=0,0,DK147/DK146)*100</f>
        <v>0</v>
      </c>
      <c r="DL148" s="714"/>
      <c r="DM148" s="620">
        <f>IF(DM146=0,0,DM147/DM146)*100</f>
        <v>0</v>
      </c>
      <c r="DN148" s="620">
        <f>IF(DN146=0,0,DN147/DN146)*100</f>
        <v>0</v>
      </c>
      <c r="DO148" s="714"/>
      <c r="DP148" s="620">
        <f>IF(DP146=0,0,DP147/DP146)*100</f>
        <v>0</v>
      </c>
      <c r="DQ148" s="620">
        <f>IF(DQ146=0,0,DQ147/DQ146)*100</f>
        <v>0</v>
      </c>
      <c r="DR148" s="714"/>
      <c r="DS148" s="620">
        <f>IF(DS146=0,0,DS147/DS146)*100</f>
        <v>0</v>
      </c>
      <c r="DT148" s="620">
        <f>IF(DT146=0,0,DT147/DT146)*100</f>
        <v>0</v>
      </c>
      <c r="DU148" s="714"/>
      <c r="DV148" s="620">
        <f>IF(DV146=0,0,DV147/DV146)*100</f>
        <v>0</v>
      </c>
      <c r="DW148" s="620">
        <f>IF(DW146=0,0,DW147/DW146)*100</f>
        <v>0</v>
      </c>
      <c r="DX148" s="714"/>
      <c r="DY148" s="620">
        <f>IF(DY146=0,0,DY147/DY146)*100</f>
        <v>0</v>
      </c>
      <c r="DZ148" s="620">
        <f>IF(DZ146=0,0,DZ147/DZ146)*100</f>
        <v>0</v>
      </c>
      <c r="EA148" s="714"/>
      <c r="EB148" s="620">
        <f>IF(EB146=0,0,EB147/EB146)*100</f>
        <v>0</v>
      </c>
      <c r="EC148" s="620">
        <f>IF(EC146=0,0,EC147/EC146)*100</f>
        <v>0</v>
      </c>
      <c r="ED148" s="714"/>
      <c r="EE148" s="620">
        <f>IF(EE146=0,0,EE147/EE146)*100</f>
        <v>0</v>
      </c>
      <c r="EF148" s="620">
        <f>IF(EF146=0,0,EF147/EF146)*100</f>
        <v>0</v>
      </c>
      <c r="EG148" s="714"/>
      <c r="EH148" s="620">
        <f>IF(EH146=0,0,EH147/EH146)*100</f>
        <v>0</v>
      </c>
      <c r="EI148" s="620">
        <f>IF(EI146=0,0,EI147/EI146)*100</f>
        <v>0</v>
      </c>
      <c r="EJ148" s="714"/>
      <c r="EK148" s="620">
        <f>IF(EK146=0,0,EK147/EK146)*100</f>
        <v>0</v>
      </c>
      <c r="EL148" s="620">
        <f>IF(EL146=0,0,EL147/EL146)*100</f>
        <v>0</v>
      </c>
      <c r="EM148" s="714"/>
      <c r="EN148" s="620">
        <f>IF(EN146=0,0,EN147/EN146)*100</f>
        <v>0</v>
      </c>
      <c r="EO148" s="620">
        <f>IF(EO146=0,0,EO147/EO146)*100</f>
        <v>0</v>
      </c>
      <c r="EP148" s="714"/>
      <c r="EQ148" s="620">
        <f>IF(EQ146=0,0,EQ147/EQ146)*100</f>
        <v>0</v>
      </c>
      <c r="ER148" s="620">
        <f>IF(ER146=0,0,ER147/ER146)*100</f>
        <v>0</v>
      </c>
      <c r="ES148" s="714"/>
      <c r="ET148" s="620">
        <f>IF(ET146=0,0,ET147/ET146)*100</f>
        <v>0</v>
      </c>
      <c r="EU148" s="620">
        <f>IF(EU146=0,0,EU147/EU146)*100</f>
        <v>0</v>
      </c>
      <c r="EV148" s="714"/>
      <c r="EW148" s="620">
        <f>IF(EW146=0,0,EW147/EW146)*100</f>
        <v>0</v>
      </c>
      <c r="EX148" s="620">
        <f>IF(EX146=0,0,EX147/EX146)*100</f>
        <v>0</v>
      </c>
      <c r="EY148" s="714"/>
      <c r="EZ148" s="620">
        <f>IF(EZ146=0,0,EZ147/EZ146)*100</f>
        <v>0</v>
      </c>
      <c r="FA148" s="620">
        <f>IF(FA146=0,0,FA147/FA146)*100</f>
        <v>0</v>
      </c>
      <c r="FB148" s="714"/>
      <c r="FC148" s="620">
        <f>IF(FC146=0,0,FC147/FC146)*100</f>
        <v>0</v>
      </c>
      <c r="FD148" s="620">
        <f>IF(FD146=0,0,FD147/FD146)*100</f>
        <v>0</v>
      </c>
      <c r="FE148" s="714"/>
      <c r="FF148" s="620">
        <f>IF(FF146=0,0,FF147/FF146)*100</f>
        <v>0</v>
      </c>
      <c r="FG148" s="620">
        <f>IF(FG146=0,0,FG147/FG146)*100</f>
        <v>0</v>
      </c>
      <c r="FH148" s="714"/>
      <c r="FI148" s="620">
        <f>IF(FI146=0,0,FI147/FI146)*100</f>
        <v>0</v>
      </c>
      <c r="FJ148" s="620">
        <f>IF(FJ146=0,0,FJ147/FJ146)*100</f>
        <v>0</v>
      </c>
      <c r="FK148" s="714"/>
      <c r="FL148" s="620">
        <f>IF(FL146=0,0,FL147/FL146)*100</f>
        <v>0</v>
      </c>
      <c r="FM148" s="620">
        <f>IF(FM146=0,0,FM147/FM146)*100</f>
        <v>0</v>
      </c>
      <c r="FN148" s="714"/>
      <c r="FO148" s="620">
        <f>IF(FO146=0,0,FO147/FO146)*100</f>
        <v>0</v>
      </c>
      <c r="FP148" s="620">
        <f>IF(FP146=0,0,FP147/FP146)*100</f>
        <v>0</v>
      </c>
      <c r="FQ148" s="714"/>
      <c r="FR148" s="620">
        <f>IF(FR146=0,0,FR147/FR146)*100</f>
        <v>0</v>
      </c>
      <c r="FS148" s="620">
        <f>IF(FS146=0,0,FS147/FS146)*100</f>
        <v>0</v>
      </c>
      <c r="FT148" s="714"/>
      <c r="FU148" s="620">
        <f>IF(FU146=0,0,FU147/FU146)*100</f>
        <v>0</v>
      </c>
      <c r="FV148" s="620">
        <f>IF(FV146=0,0,FV147/FV146)*100</f>
        <v>0</v>
      </c>
      <c r="FW148" s="714"/>
      <c r="FX148" s="204"/>
      <c r="FZ148" s="691" t="s">
        <v>1652</v>
      </c>
    </row>
    <row r="149" spans="1:186" ht="26.1" customHeight="1" x14ac:dyDescent="0.15">
      <c r="A149" s="59"/>
      <c r="B149" s="613" t="b" cm="1">
        <f t="array" ref="B149">B148</f>
        <v>1</v>
      </c>
      <c r="C149" s="59"/>
      <c r="D149" s="59"/>
      <c r="E149" s="462">
        <v>15</v>
      </c>
      <c r="F149" s="3" t="str" cm="1">
        <f t="array" aca="1" ref="F149" ca="1">OFFSET(E149,-1,1)</f>
        <v>2</v>
      </c>
      <c r="G149" s="25" t="s">
        <v>1653</v>
      </c>
      <c r="H149" s="59" t="s">
        <v>489</v>
      </c>
      <c r="I149" s="59" t="s">
        <v>1650</v>
      </c>
      <c r="J149" s="59"/>
      <c r="K149" s="59"/>
      <c r="L149" s="59"/>
      <c r="M149" s="59"/>
      <c r="N149" s="59"/>
      <c r="O149" s="59"/>
      <c r="P149" s="59"/>
      <c r="Q149" s="59"/>
      <c r="R149" s="59"/>
      <c r="S149" s="59"/>
      <c r="T149" s="353" t="b" cm="1">
        <f t="array" ref="T149">T148</f>
        <v>1</v>
      </c>
      <c r="U149" s="59"/>
      <c r="V149" s="59"/>
      <c r="W149" s="59"/>
      <c r="X149" s="1022"/>
      <c r="Y149" s="59"/>
      <c r="Z149" s="966"/>
      <c r="AA149" s="59"/>
      <c r="AB149" s="54" t="s">
        <v>1654</v>
      </c>
      <c r="AC149" s="12" t="s">
        <v>558</v>
      </c>
      <c r="AD149" s="191">
        <f ca="1">IF(AND(method_reg="Метод индексации",god&lt;&gt;first_year),SUMIFS(INDEX('Калькуляция (МИ корр)'!$AJ$25:$BC$603,,MATCH(AD$8,'Калькуляция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(МИ)'!$AJ$25:$BC$603,,MATCH(AD$8,'Калькуляция (МИ)'!$AJ$8:$BC$8,0)),'Калькуляция (МИ)'!$F$25:$F$603,$F149,'Калькуляция (МИ)'!$G$25:$G$603,$G149))))</f>
        <v>422.57499999999999</v>
      </c>
      <c r="AE149" s="191">
        <f ca="1">IF(AND(method_reg="Метод индексации",god&lt;&gt;first_year),SUMIFS(INDEX('Калькуляция (МИ корр)'!$AJ$25:$BC$603,,MATCH(AE$8,'Калькуляция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(МИ)'!$AJ$25:$BC$603,,MATCH(AE$8,'Калькуляция (МИ)'!$AJ$8:$BC$8,0)),'Калькуляция (МИ)'!$F$25:$F$603,$F149,'Калькуляция (МИ)'!$G$25:$G$603,$G149))))</f>
        <v>348.84325000000001</v>
      </c>
      <c r="AF149" s="715">
        <f ca="1">IF(AD149=0,0,(AE149-AD149)/AD149*100)</f>
        <v>-17.448204460746609</v>
      </c>
      <c r="AG149" s="836">
        <f ca="1">IF(AND(method_reg="Метод индексации",god&lt;&gt;first_year),SUMIFS(INDEX('Калькуляция (МИ корр)'!$AJ$25:$BC$603,,MATCH(AG$8,'Калькуляция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(МИ)'!$AJ$25:$BC$603,,MATCH(AG$8,'Калькуляция (МИ)'!$AJ$8:$BC$8,0)),'Калькуляция (МИ)'!$F$25:$F$603,$F149,'Калькуляция (МИ)'!$G$25:$G$603,$G149))))</f>
        <v>0</v>
      </c>
      <c r="AH149" s="836">
        <f ca="1">IF(AND(method_reg="Метод индексации",god&lt;&gt;first_year),SUMIFS(INDEX('Калькуляция (МИ корр)'!$AJ$25:$BC$603,,MATCH(AH$8,'Калькуляция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(МИ)'!$AJ$25:$BC$603,,MATCH(AH$8,'Калькуляция (МИ)'!$AJ$8:$BC$8,0)),'Калькуляция (МИ)'!$F$25:$F$603,$F149,'Калькуляция (МИ)'!$G$25:$G$603,$G149))))</f>
        <v>0</v>
      </c>
      <c r="AI149" s="715">
        <f ca="1">IF(AG149=0,0,(AH149-AG149)/AG149*100)</f>
        <v>0</v>
      </c>
      <c r="AJ149" s="836">
        <f ca="1">IF(AND(method_reg="Метод индексации",god&lt;&gt;first_year),SUMIFS(INDEX('Калькуляция (МИ корр)'!$AJ$25:$BC$603,,MATCH(AJ$8,'Калькуляция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(МИ)'!$AJ$25:$BC$603,,MATCH(AJ$8,'Калькуляция (МИ)'!$AJ$8:$BC$8,0)),'Калькуляция (МИ)'!$F$25:$F$603,$F149,'Калькуляция (МИ)'!$G$25:$G$603,$G149))))</f>
        <v>0</v>
      </c>
      <c r="AK149" s="836">
        <f ca="1">IF(AND(method_reg="Метод индексации",god&lt;&gt;first_year),SUMIFS(INDEX('Калькуляция (МИ корр)'!$AJ$25:$BC$603,,MATCH(AK$8,'Калькуляция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(МИ)'!$AJ$25:$BC$603,,MATCH(AK$8,'Калькуляция (МИ)'!$AJ$8:$BC$8,0)),'Калькуляция (МИ)'!$F$25:$F$603,$F149,'Калькуляция (МИ)'!$G$25:$G$603,$G149))))</f>
        <v>0</v>
      </c>
      <c r="AL149" s="715">
        <f ca="1">IF(AJ149=0,0,(AK149-AJ149)/AJ149*100)</f>
        <v>0</v>
      </c>
      <c r="AM149" s="191">
        <f ca="1">IF(AND(method_reg="Метод индексации",god&lt;&gt;first_year),SUMIFS(INDEX('Калькуляция (МИ корр)'!$AJ$25:$BC$603,,MATCH(AM$8,'Калькуляция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(МИ)'!$AJ$25:$BC$603,,MATCH(AM$8,'Калькуляция (МИ)'!$AJ$8:$BC$8,0)),'Калькуляция (МИ)'!$F$25:$F$603,$F149,'Калькуляция (МИ)'!$G$25:$G$603,$G149))))</f>
        <v>0</v>
      </c>
      <c r="AN149" s="191">
        <f ca="1">IF(AND(method_reg="Метод индексации",god&lt;&gt;first_year),SUMIFS(INDEX('Калькуляция (МИ корр)'!$AJ$25:$BC$603,,MATCH(AN$8,'Калькуляция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(МИ)'!$AJ$25:$BC$603,,MATCH(AN$8,'Калькуляция (МИ)'!$AJ$8:$BC$8,0)),'Калькуляция (МИ)'!$F$25:$F$603,$F149,'Калькуляция (МИ)'!$G$25:$G$603,$G149))))</f>
        <v>0</v>
      </c>
      <c r="AO149" s="715">
        <f ca="1">IF(AM149=0,0,(AN149-AM149)/AM149*100)</f>
        <v>0</v>
      </c>
      <c r="AP149" s="191">
        <f ca="1">IF(AND(method_reg="Метод индексации",god&lt;&gt;first_year),SUMIFS(INDEX('Калькуляция (МИ корр)'!$AJ$25:$BC$603,,MATCH(AP$8,'Калькуляция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(МИ)'!$AJ$25:$BC$603,,MATCH(AP$8,'Калькуляция (МИ)'!$AJ$8:$BC$8,0)),'Калькуляция (МИ)'!$F$25:$F$603,$F149,'Калькуляция (МИ)'!$G$25:$G$603,$G149))))</f>
        <v>0</v>
      </c>
      <c r="AQ149" s="191">
        <f ca="1">IF(AND(method_reg="Метод индексации",god&lt;&gt;first_year),SUMIFS(INDEX('Калькуляция (МИ корр)'!$AJ$25:$BC$603,,MATCH(AQ$8,'Калькуляция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(МИ)'!$AJ$25:$BC$603,,MATCH(AQ$8,'Калькуляция (МИ)'!$AJ$8:$BC$8,0)),'Калькуляция (МИ)'!$F$25:$F$603,$F149,'Калькуляция (МИ)'!$G$25:$G$603,$G149))))</f>
        <v>0</v>
      </c>
      <c r="AR149" s="715">
        <f ca="1">IF(AP149=0,0,(AQ149-AP149)/AP149*100)</f>
        <v>0</v>
      </c>
      <c r="AS149" s="191">
        <f ca="1">IF(AND(method_reg="Метод индексации",god&lt;&gt;first_year),SUMIFS(INDEX('Калькуляция (МИ корр)'!$AJ$25:$BC$603,,MATCH(AS$8,'Калькуляция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(МИ)'!$AJ$25:$BC$603,,MATCH(AS$8,'Калькуляция (МИ)'!$AJ$8:$BC$8,0)),'Калькуляция (МИ)'!$F$25:$F$603,$F149,'Калькуляция (МИ)'!$G$25:$G$603,$G149))))</f>
        <v>0</v>
      </c>
      <c r="AT149" s="191">
        <f ca="1">IF(AND(method_reg="Метод индексации",god&lt;&gt;first_year),SUMIFS(INDEX('Калькуляция (МИ корр)'!$AJ$25:$BC$603,,MATCH(AT$8,'Калькуляция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(МИ)'!$AJ$25:$BC$603,,MATCH(AT$8,'Калькуляция (МИ)'!$AJ$8:$BC$8,0)),'Калькуляция (МИ)'!$F$25:$F$603,$F149,'Калькуляция (МИ)'!$G$25:$G$603,$G149))))</f>
        <v>0</v>
      </c>
      <c r="AU149" s="715">
        <f ca="1">IF(AS149=0,0,(AT149-AS149)/AS149*100)</f>
        <v>0</v>
      </c>
      <c r="AV149" s="191">
        <f ca="1">IF(AND(method_reg="Метод индексации",god&lt;&gt;first_year),SUMIFS(INDEX('Калькуляция (МИ корр)'!$AJ$25:$BC$603,,MATCH(AV$8,'Калькуляция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(МИ)'!$AJ$25:$BC$603,,MATCH(AV$8,'Калькуляция (МИ)'!$AJ$8:$BC$8,0)),'Калькуляция (МИ)'!$F$25:$F$603,$F149,'Калькуляция (МИ)'!$G$25:$G$603,$G149))))</f>
        <v>0</v>
      </c>
      <c r="AW149" s="191">
        <f ca="1">IF(AND(method_reg="Метод индексации",god&lt;&gt;first_year),SUMIFS(INDEX('Калькуляция (МИ корр)'!$AJ$25:$BC$603,,MATCH(AW$8,'Калькуляция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(МИ)'!$AJ$25:$BC$603,,MATCH(AW$8,'Калькуляция (МИ)'!$AJ$8:$BC$8,0)),'Калькуляция (МИ)'!$F$25:$F$603,$F149,'Калькуляция (МИ)'!$G$25:$G$603,$G149))))</f>
        <v>0</v>
      </c>
      <c r="AX149" s="715">
        <f ca="1">IF(AV149=0,0,(AW149-AV149)/AV149*100)</f>
        <v>0</v>
      </c>
      <c r="AY149" s="191">
        <f ca="1">IF(AND(method_reg="Метод индексации",god&lt;&gt;first_year),SUMIFS(INDEX('Калькуляция (МИ корр)'!$AJ$25:$BC$603,,MATCH(AY$8,'Калькуляция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(МИ)'!$AJ$25:$BC$603,,MATCH(AY$8,'Калькуляция (МИ)'!$AJ$8:$BC$8,0)),'Калькуляция (МИ)'!$F$25:$F$603,$F149,'Калькуляция (МИ)'!$G$25:$G$603,$G149))))</f>
        <v>0</v>
      </c>
      <c r="AZ149" s="191">
        <f ca="1">IF(AND(method_reg="Метод индексации",god&lt;&gt;first_year),SUMIFS(INDEX('Калькуляция (МИ корр)'!$AJ$25:$BC$603,,MATCH(AZ$8,'Калькуляция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(МИ)'!$AJ$25:$BC$603,,MATCH(AZ$8,'Калькуляция (МИ)'!$AJ$8:$BC$8,0)),'Калькуляция (МИ)'!$F$25:$F$603,$F149,'Калькуляция (МИ)'!$G$25:$G$603,$G149))))</f>
        <v>0</v>
      </c>
      <c r="BA149" s="715">
        <f ca="1">IF(AY149=0,0,(AZ149-AY149)/AY149*100)</f>
        <v>0</v>
      </c>
      <c r="BB149" s="191">
        <f ca="1">IF(AND(method_reg="Метод индексации",god&lt;&gt;first_year),SUMIFS(INDEX('Калькуляция (МИ корр)'!$AJ$25:$BC$603,,MATCH(BB$8,'Калькуляция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(МИ)'!$AJ$25:$BC$603,,MATCH(BB$8,'Калькуляция (МИ)'!$AJ$8:$BC$8,0)),'Калькуляция (МИ)'!$F$25:$F$603,$F149,'Калькуляция (МИ)'!$G$25:$G$603,$G149))))</f>
        <v>0</v>
      </c>
      <c r="BC149" s="191">
        <f ca="1">IF(AND(method_reg="Метод индексации",god&lt;&gt;first_year),SUMIFS(INDEX('Калькуляция (МИ корр)'!$AJ$25:$BC$603,,MATCH(BC$8,'Калькуляция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(МИ)'!$AJ$25:$BC$603,,MATCH(BC$8,'Калькуляция (МИ)'!$AJ$8:$BC$8,0)),'Калькуляция (МИ)'!$F$25:$F$603,$F149,'Калькуляция (МИ)'!$G$25:$G$603,$G149))))</f>
        <v>0</v>
      </c>
      <c r="BD149" s="715">
        <f ca="1">IF(BB149=0,0,(BC149-BB149)/BB149*100)</f>
        <v>0</v>
      </c>
      <c r="BE149" s="191">
        <f ca="1">IF(AND(method_reg="Метод индексации",god&lt;&gt;first_year),SUMIFS(INDEX('Калькуляция (МИ корр)'!$AJ$25:$BC$603,,MATCH(BE$8,'Калькуляция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(МИ)'!$AJ$25:$BC$603,,MATCH(BE$8,'Калькуляция (МИ)'!$AJ$8:$BC$8,0)),'Калькуляция (МИ)'!$F$25:$F$603,$F149,'Калькуляция (МИ)'!$G$25:$G$603,$G149))))</f>
        <v>0</v>
      </c>
      <c r="BF149" s="191">
        <f ca="1">IF(AND(method_reg="Метод индексации",god&lt;&gt;first_year),SUMIFS(INDEX('Калькуляция (МИ корр)'!$AJ$25:$BC$603,,MATCH(BF$8,'Калькуляция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(МИ)'!$AJ$25:$BC$603,,MATCH(BF$8,'Калькуляция (МИ)'!$AJ$8:$BC$8,0)),'Калькуляция (МИ)'!$F$25:$F$603,$F149,'Калькуляция (МИ)'!$G$25:$G$603,$G149))))</f>
        <v>0</v>
      </c>
      <c r="BG149" s="715">
        <f ca="1">IF(BE149=0,0,(BF149-BE149)/BE149*100)</f>
        <v>0</v>
      </c>
      <c r="BH149" s="191"/>
      <c r="BI149" s="191"/>
      <c r="BJ149" s="715">
        <f>IF(BH149=0,0,(BI149-BH149)/BH149*100)</f>
        <v>0</v>
      </c>
      <c r="BK149" s="191"/>
      <c r="BL149" s="191"/>
      <c r="BM149" s="715">
        <f>IF(BK149=0,0,(BL149-BK149)/BK149*100)</f>
        <v>0</v>
      </c>
      <c r="BN149" s="191"/>
      <c r="BO149" s="191"/>
      <c r="BP149" s="715">
        <f>IF(BN149=0,0,(BO149-BN149)/BN149*100)</f>
        <v>0</v>
      </c>
      <c r="BQ149" s="191"/>
      <c r="BR149" s="191"/>
      <c r="BS149" s="715">
        <f>IF(BQ149=0,0,(BR149-BQ149)/BQ149*100)</f>
        <v>0</v>
      </c>
      <c r="BT149" s="191"/>
      <c r="BU149" s="191"/>
      <c r="BV149" s="715">
        <f>IF(BT149=0,0,(BU149-BT149)/BT149*100)</f>
        <v>0</v>
      </c>
      <c r="BW149" s="191"/>
      <c r="BX149" s="191"/>
      <c r="BY149" s="715">
        <f>IF(BW149=0,0,(BX149-BW149)/BW149*100)</f>
        <v>0</v>
      </c>
      <c r="BZ149" s="191"/>
      <c r="CA149" s="191"/>
      <c r="CB149" s="715">
        <f>IF(BZ149=0,0,(CA149-BZ149)/BZ149*100)</f>
        <v>0</v>
      </c>
      <c r="CC149" s="191"/>
      <c r="CD149" s="191"/>
      <c r="CE149" s="715">
        <f>IF(CC149=0,0,(CD149-CC149)/CC149*100)</f>
        <v>0</v>
      </c>
      <c r="CF149" s="191"/>
      <c r="CG149" s="191"/>
      <c r="CH149" s="715">
        <f>IF(CF149=0,0,(CG149-CF149)/CF149*100)</f>
        <v>0</v>
      </c>
      <c r="CI149" s="191"/>
      <c r="CJ149" s="191"/>
      <c r="CK149" s="715">
        <f>IF(CI149=0,0,(CJ149-CI149)/CI149*100)</f>
        <v>0</v>
      </c>
      <c r="CL149" s="191"/>
      <c r="CM149" s="191"/>
      <c r="CN149" s="715">
        <f>IF(CL149=0,0,(CM149-CL149)/CL149*100)</f>
        <v>0</v>
      </c>
      <c r="CO149" s="191"/>
      <c r="CP149" s="191"/>
      <c r="CQ149" s="715">
        <f>IF(CO149=0,0,(CP149-CO149)/CO149*100)</f>
        <v>0</v>
      </c>
      <c r="CR149" s="191"/>
      <c r="CS149" s="191"/>
      <c r="CT149" s="715">
        <f>IF(CR149=0,0,(CS149-CR149)/CR149*100)</f>
        <v>0</v>
      </c>
      <c r="CU149" s="191"/>
      <c r="CV149" s="191"/>
      <c r="CW149" s="715">
        <f>IF(CU149=0,0,(CV149-CU149)/CU149*100)</f>
        <v>0</v>
      </c>
      <c r="CX149" s="191"/>
      <c r="CY149" s="191"/>
      <c r="CZ149" s="715">
        <f>IF(CX149=0,0,(CY149-CX149)/CX149*100)</f>
        <v>0</v>
      </c>
      <c r="DA149" s="191"/>
      <c r="DB149" s="191"/>
      <c r="DC149" s="715">
        <f>IF(DA149=0,0,(DB149-DA149)/DA149*100)</f>
        <v>0</v>
      </c>
      <c r="DD149" s="191"/>
      <c r="DE149" s="191"/>
      <c r="DF149" s="715">
        <f>IF(DD149=0,0,(DE149-DD149)/DD149*100)</f>
        <v>0</v>
      </c>
      <c r="DG149" s="191"/>
      <c r="DH149" s="191"/>
      <c r="DI149" s="715">
        <f>IF(DG149=0,0,(DH149-DG149)/DG149*100)</f>
        <v>0</v>
      </c>
      <c r="DJ149" s="191"/>
      <c r="DK149" s="191"/>
      <c r="DL149" s="715">
        <f>IF(DJ149=0,0,(DK149-DJ149)/DJ149*100)</f>
        <v>0</v>
      </c>
      <c r="DM149" s="191"/>
      <c r="DN149" s="191"/>
      <c r="DO149" s="715">
        <f>IF(DM149=0,0,(DN149-DM149)/DM149*100)</f>
        <v>0</v>
      </c>
      <c r="DP149" s="191"/>
      <c r="DQ149" s="191"/>
      <c r="DR149" s="715">
        <f>IF(DP149=0,0,(DQ149-DP149)/DP149*100)</f>
        <v>0</v>
      </c>
      <c r="DS149" s="191"/>
      <c r="DT149" s="191"/>
      <c r="DU149" s="715">
        <f>IF(DS149=0,0,(DT149-DS149)/DS149*100)</f>
        <v>0</v>
      </c>
      <c r="DV149" s="191"/>
      <c r="DW149" s="191"/>
      <c r="DX149" s="715">
        <f>IF(DV149=0,0,(DW149-DV149)/DV149*100)</f>
        <v>0</v>
      </c>
      <c r="DY149" s="191"/>
      <c r="DZ149" s="191"/>
      <c r="EA149" s="715">
        <f>IF(DY149=0,0,(DZ149-DY149)/DY149*100)</f>
        <v>0</v>
      </c>
      <c r="EB149" s="191"/>
      <c r="EC149" s="191"/>
      <c r="ED149" s="715">
        <f>IF(EB149=0,0,(EC149-EB149)/EB149*100)</f>
        <v>0</v>
      </c>
      <c r="EE149" s="191"/>
      <c r="EF149" s="191"/>
      <c r="EG149" s="715">
        <f>IF(EE149=0,0,(EF149-EE149)/EE149*100)</f>
        <v>0</v>
      </c>
      <c r="EH149" s="191"/>
      <c r="EI149" s="191"/>
      <c r="EJ149" s="715">
        <f>IF(EH149=0,0,(EI149-EH149)/EH149*100)</f>
        <v>0</v>
      </c>
      <c r="EK149" s="191"/>
      <c r="EL149" s="191"/>
      <c r="EM149" s="715">
        <f>IF(EK149=0,0,(EL149-EK149)/EK149*100)</f>
        <v>0</v>
      </c>
      <c r="EN149" s="191"/>
      <c r="EO149" s="191"/>
      <c r="EP149" s="715">
        <f>IF(EN149=0,0,(EO149-EN149)/EN149*100)</f>
        <v>0</v>
      </c>
      <c r="EQ149" s="191"/>
      <c r="ER149" s="191"/>
      <c r="ES149" s="715">
        <f>IF(EQ149=0,0,(ER149-EQ149)/EQ149*100)</f>
        <v>0</v>
      </c>
      <c r="ET149" s="191"/>
      <c r="EU149" s="191"/>
      <c r="EV149" s="715">
        <f>IF(ET149=0,0,(EU149-ET149)/ET149*100)</f>
        <v>0</v>
      </c>
      <c r="EW149" s="191"/>
      <c r="EX149" s="191"/>
      <c r="EY149" s="715">
        <f>IF(EW149=0,0,(EX149-EW149)/EW149*100)</f>
        <v>0</v>
      </c>
      <c r="EZ149" s="191"/>
      <c r="FA149" s="191"/>
      <c r="FB149" s="715">
        <f>IF(EZ149=0,0,(FA149-EZ149)/EZ149*100)</f>
        <v>0</v>
      </c>
      <c r="FC149" s="191"/>
      <c r="FD149" s="191"/>
      <c r="FE149" s="715">
        <f>IF(FC149=0,0,(FD149-FC149)/FC149*100)</f>
        <v>0</v>
      </c>
      <c r="FF149" s="191"/>
      <c r="FG149" s="191"/>
      <c r="FH149" s="715">
        <f>IF(FF149=0,0,(FG149-FF149)/FF149*100)</f>
        <v>0</v>
      </c>
      <c r="FI149" s="191"/>
      <c r="FJ149" s="191"/>
      <c r="FK149" s="715">
        <f>IF(FI149=0,0,(FJ149-FI149)/FI149*100)</f>
        <v>0</v>
      </c>
      <c r="FL149" s="191"/>
      <c r="FM149" s="191"/>
      <c r="FN149" s="715">
        <f>IF(FL149=0,0,(FM149-FL149)/FL149*100)</f>
        <v>0</v>
      </c>
      <c r="FO149" s="191"/>
      <c r="FP149" s="191"/>
      <c r="FQ149" s="715">
        <f>IF(FO149=0,0,(FP149-FO149)/FO149*100)</f>
        <v>0</v>
      </c>
      <c r="FR149" s="191"/>
      <c r="FS149" s="191"/>
      <c r="FT149" s="715">
        <f>IF(FR149=0,0,(FS149-FR149)/FR149*100)</f>
        <v>0</v>
      </c>
      <c r="FU149" s="191"/>
      <c r="FV149" s="191"/>
      <c r="FW149" s="715">
        <f>IF(FU149=0,0,(FV149-FU149)/FU149*100)</f>
        <v>0</v>
      </c>
      <c r="FX149" s="204"/>
      <c r="FZ149" s="691" t="s">
        <v>1655</v>
      </c>
    </row>
    <row r="150" spans="1:186" s="866" customFormat="1" ht="27.2" customHeight="1" x14ac:dyDescent="0.15">
      <c r="A150" s="594"/>
      <c r="B150" s="613" t="b" cm="1">
        <f t="array" ref="B150">B149</f>
        <v>1</v>
      </c>
      <c r="C150" s="594"/>
      <c r="D150" s="594"/>
      <c r="E150" s="595">
        <v>24.5</v>
      </c>
      <c r="F150" s="3" t="str" cm="1">
        <f t="array" aca="1" ref="F150" ca="1">OFFSET(E150,-1,1)</f>
        <v>2</v>
      </c>
      <c r="G150" s="25" t="s">
        <v>1656</v>
      </c>
      <c r="H150" s="59" t="s">
        <v>482</v>
      </c>
      <c r="I150" s="59" t="s">
        <v>1657</v>
      </c>
      <c r="J150" s="594"/>
      <c r="K150" s="594"/>
      <c r="L150" s="59"/>
      <c r="M150" s="594"/>
      <c r="N150" s="594"/>
      <c r="O150" s="594"/>
      <c r="P150" s="594"/>
      <c r="Q150" s="594"/>
      <c r="R150" s="59"/>
      <c r="S150" s="59"/>
      <c r="T150" s="353" t="b" cm="1">
        <f t="array" ref="T150">T149</f>
        <v>1</v>
      </c>
      <c r="U150" s="594"/>
      <c r="V150" s="594"/>
      <c r="W150" s="594"/>
      <c r="X150" s="1022"/>
      <c r="Y150" s="594"/>
      <c r="Z150" s="966"/>
      <c r="AA150" s="594"/>
      <c r="AB150" s="205" t="s">
        <v>1658</v>
      </c>
      <c r="AC150" s="206" t="s">
        <v>1644</v>
      </c>
      <c r="AD150" s="596">
        <f ca="1">IF(AND(method_reg="Метод индексации",god&lt;&gt;first_year),SUMIFS(INDEX('Калькуляция (МИ корр)'!$AJ$25:$BC$603,,MATCH(AD$8,'Калькуляция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(МИ)'!$AJ$25:$BC$603,,MATCH(AD$8,'Калькуляция (МИ)'!$AJ$8:$BC$8,0)),'Калькуляция (МИ)'!$F$25:$F$603,$F150,'Калькуляция (МИ)'!$G$25:$G$603,$G150))))</f>
        <v>0</v>
      </c>
      <c r="AE150" s="596">
        <f ca="1">IF(AND(method_reg="Метод индексации",god&lt;&gt;first_year),SUMIFS(INDEX('Калькуляция (МИ корр)'!$AJ$25:$BC$603,,MATCH(AE$8,'Калькуляция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(МИ)'!$AJ$25:$BC$603,,MATCH(AE$8,'Калькуляция (МИ)'!$AJ$8:$BC$8,0)),'Калькуляция (МИ)'!$F$25:$F$603,$F150,'Калькуляция (МИ)'!$G$25:$G$603,$G150))))</f>
        <v>0</v>
      </c>
      <c r="AF150" s="208">
        <f ca="1">IF(AD150=0,0,(AE150-AD150)/AD150*100)</f>
        <v>0</v>
      </c>
      <c r="AG150" s="861">
        <f ca="1">IF(AND(method_reg="Метод индексации",god&lt;&gt;first_year),SUMIFS(INDEX('Калькуляция (МИ корр)'!$AJ$25:$BC$603,,MATCH(AG$8,'Калькуляция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(МИ)'!$AJ$25:$BC$603,,MATCH(AG$8,'Калькуляция (МИ)'!$AJ$8:$BC$8,0)),'Калькуляция (МИ)'!$F$25:$F$603,$F150,'Калькуляция (МИ)'!$G$25:$G$603,$G150))))</f>
        <v>0</v>
      </c>
      <c r="AH150" s="861">
        <f ca="1">IF(AND(method_reg="Метод индексации",god&lt;&gt;first_year),SUMIFS(INDEX('Калькуляция (МИ корр)'!$AJ$25:$BC$603,,MATCH(AH$8,'Калькуляция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(МИ)'!$AJ$25:$BC$603,,MATCH(AH$8,'Калькуляция (МИ)'!$AJ$8:$BC$8,0)),'Калькуляция (МИ)'!$F$25:$F$603,$F150,'Калькуляция (МИ)'!$G$25:$G$603,$G150))))</f>
        <v>0</v>
      </c>
      <c r="AI150" s="208">
        <f ca="1">IF(AG150=0,0,(AH150-AG150)/AG150*100)</f>
        <v>0</v>
      </c>
      <c r="AJ150" s="861">
        <f ca="1">IF(AND(method_reg="Метод индексации",god&lt;&gt;first_year),SUMIFS(INDEX('Калькуляция (МИ корр)'!$AJ$25:$BC$603,,MATCH(AJ$8,'Калькуляция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(МИ)'!$AJ$25:$BC$603,,MATCH(AJ$8,'Калькуляция (МИ)'!$AJ$8:$BC$8,0)),'Калькуляция (МИ)'!$F$25:$F$603,$F150,'Калькуляция (МИ)'!$G$25:$G$603,$G150))))</f>
        <v>0</v>
      </c>
      <c r="AK150" s="861">
        <f ca="1">IF(AND(method_reg="Метод индексации",god&lt;&gt;first_year),SUMIFS(INDEX('Калькуляция (МИ корр)'!$AJ$25:$BC$603,,MATCH(AK$8,'Калькуляция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(МИ)'!$AJ$25:$BC$603,,MATCH(AK$8,'Калькуляция (МИ)'!$AJ$8:$BC$8,0)),'Калькуляция (МИ)'!$F$25:$F$603,$F150,'Калькуляция (МИ)'!$G$25:$G$603,$G150))))</f>
        <v>0</v>
      </c>
      <c r="AL150" s="208">
        <f ca="1">IF(AJ150=0,0,(AK150-AJ150)/AJ150*100)</f>
        <v>0</v>
      </c>
      <c r="AM150" s="596">
        <f ca="1">IF(AND(method_reg="Метод индексации",god&lt;&gt;first_year),SUMIFS(INDEX('Калькуляция (МИ корр)'!$AJ$25:$BC$603,,MATCH(AM$8,'Калькуляция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(МИ)'!$AJ$25:$BC$603,,MATCH(AM$8,'Калькуляция (МИ)'!$AJ$8:$BC$8,0)),'Калькуляция (МИ)'!$F$25:$F$603,$F150,'Калькуляция (МИ)'!$G$25:$G$603,$G150))))</f>
        <v>0</v>
      </c>
      <c r="AN150" s="596">
        <f ca="1">IF(AND(method_reg="Метод индексации",god&lt;&gt;first_year),SUMIFS(INDEX('Калькуляция (МИ корр)'!$AJ$25:$BC$603,,MATCH(AN$8,'Калькуляция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(МИ)'!$AJ$25:$BC$603,,MATCH(AN$8,'Калькуляция (МИ)'!$AJ$8:$BC$8,0)),'Калькуляция (МИ)'!$F$25:$F$603,$F150,'Калькуляция (МИ)'!$G$25:$G$603,$G150))))</f>
        <v>0</v>
      </c>
      <c r="AO150" s="208">
        <f ca="1">IF(AM150=0,0,(AN150-AM150)/AM150*100)</f>
        <v>0</v>
      </c>
      <c r="AP150" s="596">
        <f ca="1">IF(AND(method_reg="Метод индексации",god&lt;&gt;first_year),SUMIFS(INDEX('Калькуляция (МИ корр)'!$AJ$25:$BC$603,,MATCH(AP$8,'Калькуляция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(МИ)'!$AJ$25:$BC$603,,MATCH(AP$8,'Калькуляция (МИ)'!$AJ$8:$BC$8,0)),'Калькуляция (МИ)'!$F$25:$F$603,$F150,'Калькуляция (МИ)'!$G$25:$G$603,$G150))))</f>
        <v>0</v>
      </c>
      <c r="AQ150" s="596">
        <f ca="1">IF(AND(method_reg="Метод индексации",god&lt;&gt;first_year),SUMIFS(INDEX('Калькуляция (МИ корр)'!$AJ$25:$BC$603,,MATCH(AQ$8,'Калькуляция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(МИ)'!$AJ$25:$BC$603,,MATCH(AQ$8,'Калькуляция (МИ)'!$AJ$8:$BC$8,0)),'Калькуляция (МИ)'!$F$25:$F$603,$F150,'Калькуляция (МИ)'!$G$25:$G$603,$G150))))</f>
        <v>0</v>
      </c>
      <c r="AR150" s="208">
        <f ca="1">IF(AP150=0,0,(AQ150-AP150)/AP150*100)</f>
        <v>0</v>
      </c>
      <c r="AS150" s="596">
        <f ca="1">IF(AND(method_reg="Метод индексации",god&lt;&gt;first_year),SUMIFS(INDEX('Калькуляция (МИ корр)'!$AJ$25:$BC$603,,MATCH(AS$8,'Калькуляция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(МИ)'!$AJ$25:$BC$603,,MATCH(AS$8,'Калькуляция (МИ)'!$AJ$8:$BC$8,0)),'Калькуляция (МИ)'!$F$25:$F$603,$F150,'Калькуляция (МИ)'!$G$25:$G$603,$G150))))</f>
        <v>0</v>
      </c>
      <c r="AT150" s="596">
        <f ca="1">IF(AND(method_reg="Метод индексации",god&lt;&gt;first_year),SUMIFS(INDEX('Калькуляция (МИ корр)'!$AJ$25:$BC$603,,MATCH(AT$8,'Калькуляция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(МИ)'!$AJ$25:$BC$603,,MATCH(AT$8,'Калькуляция (МИ)'!$AJ$8:$BC$8,0)),'Калькуляция (МИ)'!$F$25:$F$603,$F150,'Калькуляция (МИ)'!$G$25:$G$603,$G150))))</f>
        <v>0</v>
      </c>
      <c r="AU150" s="208">
        <f ca="1">IF(AS150=0,0,(AT150-AS150)/AS150*100)</f>
        <v>0</v>
      </c>
      <c r="AV150" s="596">
        <f ca="1">IF(AND(method_reg="Метод индексации",god&lt;&gt;first_year),SUMIFS(INDEX('Калькуляция (МИ корр)'!$AJ$25:$BC$603,,MATCH(AV$8,'Калькуляция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(МИ)'!$AJ$25:$BC$603,,MATCH(AV$8,'Калькуляция (МИ)'!$AJ$8:$BC$8,0)),'Калькуляция (МИ)'!$F$25:$F$603,$F150,'Калькуляция (МИ)'!$G$25:$G$603,$G150))))</f>
        <v>0</v>
      </c>
      <c r="AW150" s="596">
        <f ca="1">IF(AND(method_reg="Метод индексации",god&lt;&gt;first_year),SUMIFS(INDEX('Калькуляция (МИ корр)'!$AJ$25:$BC$603,,MATCH(AW$8,'Калькуляция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(МИ)'!$AJ$25:$BC$603,,MATCH(AW$8,'Калькуляция (МИ)'!$AJ$8:$BC$8,0)),'Калькуляция (МИ)'!$F$25:$F$603,$F150,'Калькуляция (МИ)'!$G$25:$G$603,$G150))))</f>
        <v>0</v>
      </c>
      <c r="AX150" s="208">
        <f ca="1">IF(AV150=0,0,(AW150-AV150)/AV150*100)</f>
        <v>0</v>
      </c>
      <c r="AY150" s="596">
        <f ca="1">IF(AND(method_reg="Метод индексации",god&lt;&gt;first_year),SUMIFS(INDEX('Калькуляция (МИ корр)'!$AJ$25:$BC$603,,MATCH(AY$8,'Калькуляция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(МИ)'!$AJ$25:$BC$603,,MATCH(AY$8,'Калькуляция (МИ)'!$AJ$8:$BC$8,0)),'Калькуляция (МИ)'!$F$25:$F$603,$F150,'Калькуляция (МИ)'!$G$25:$G$603,$G150))))</f>
        <v>0</v>
      </c>
      <c r="AZ150" s="596">
        <f ca="1">IF(AND(method_reg="Метод индексации",god&lt;&gt;first_year),SUMIFS(INDEX('Калькуляция (МИ корр)'!$AJ$25:$BC$603,,MATCH(AZ$8,'Калькуляция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(МИ)'!$AJ$25:$BC$603,,MATCH(AZ$8,'Калькуляция (МИ)'!$AJ$8:$BC$8,0)),'Калькуляция (МИ)'!$F$25:$F$603,$F150,'Калькуляция (МИ)'!$G$25:$G$603,$G150))))</f>
        <v>0</v>
      </c>
      <c r="BA150" s="208">
        <f ca="1">IF(AY150=0,0,(AZ150-AY150)/AY150*100)</f>
        <v>0</v>
      </c>
      <c r="BB150" s="596">
        <f ca="1">IF(AND(method_reg="Метод индексации",god&lt;&gt;first_year),SUMIFS(INDEX('Калькуляция (МИ корр)'!$AJ$25:$BC$603,,MATCH(BB$8,'Калькуляция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(МИ)'!$AJ$25:$BC$603,,MATCH(BB$8,'Калькуляция (МИ)'!$AJ$8:$BC$8,0)),'Калькуляция (МИ)'!$F$25:$F$603,$F150,'Калькуляция (МИ)'!$G$25:$G$603,$G150))))</f>
        <v>0</v>
      </c>
      <c r="BC150" s="596">
        <f ca="1">IF(AND(method_reg="Метод индексации",god&lt;&gt;first_year),SUMIFS(INDEX('Калькуляция (МИ корр)'!$AJ$25:$BC$603,,MATCH(BC$8,'Калькуляция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(МИ)'!$AJ$25:$BC$603,,MATCH(BC$8,'Калькуляция (МИ)'!$AJ$8:$BC$8,0)),'Калькуляция (МИ)'!$F$25:$F$603,$F150,'Калькуляция (МИ)'!$G$25:$G$603,$G150))))</f>
        <v>0</v>
      </c>
      <c r="BD150" s="208">
        <f ca="1">IF(BB150=0,0,(BC150-BB150)/BB150*100)</f>
        <v>0</v>
      </c>
      <c r="BE150" s="596">
        <f ca="1">IF(AND(method_reg="Метод индексации",god&lt;&gt;first_year),SUMIFS(INDEX('Калькуляция (МИ корр)'!$AJ$25:$BC$603,,MATCH(BE$8,'Калькуляция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(МИ)'!$AJ$25:$BC$603,,MATCH(BE$8,'Калькуляция (МИ)'!$AJ$8:$BC$8,0)),'Калькуляция (МИ)'!$F$25:$F$603,$F150,'Калькуляция (МИ)'!$G$25:$G$603,$G150))))</f>
        <v>0</v>
      </c>
      <c r="BF150" s="596">
        <f ca="1">IF(AND(method_reg="Метод индексации",god&lt;&gt;first_year),SUMIFS(INDEX('Калькуляция (МИ корр)'!$AJ$25:$BC$603,,MATCH(BF$8,'Калькуляция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(МИ)'!$AJ$25:$BC$603,,MATCH(BF$8,'Калькуляция (МИ)'!$AJ$8:$BC$8,0)),'Калькуляция (МИ)'!$F$25:$F$603,$F150,'Калькуляция (МИ)'!$G$25:$G$603,$G150))))</f>
        <v>0</v>
      </c>
      <c r="BG150" s="208">
        <f ca="1">IF(BE150=0,0,(BF150-BE150)/BE150*100)</f>
        <v>0</v>
      </c>
      <c r="BH150" s="596"/>
      <c r="BI150" s="596"/>
      <c r="BJ150" s="208">
        <f>IF(BH150=0,0,(BI150-BH150)/BH150*100)</f>
        <v>0</v>
      </c>
      <c r="BK150" s="596"/>
      <c r="BL150" s="596"/>
      <c r="BM150" s="208">
        <f>IF(BK150=0,0,(BL150-BK150)/BK150*100)</f>
        <v>0</v>
      </c>
      <c r="BN150" s="596"/>
      <c r="BO150" s="596"/>
      <c r="BP150" s="208">
        <f>IF(BN150=0,0,(BO150-BN150)/BN150*100)</f>
        <v>0</v>
      </c>
      <c r="BQ150" s="596"/>
      <c r="BR150" s="596"/>
      <c r="BS150" s="208">
        <f>IF(BQ150=0,0,(BR150-BQ150)/BQ150*100)</f>
        <v>0</v>
      </c>
      <c r="BT150" s="596"/>
      <c r="BU150" s="596"/>
      <c r="BV150" s="208">
        <f>IF(BT150=0,0,(BU150-BT150)/BT150*100)</f>
        <v>0</v>
      </c>
      <c r="BW150" s="596"/>
      <c r="BX150" s="596"/>
      <c r="BY150" s="208">
        <f>IF(BW150=0,0,(BX150-BW150)/BW150*100)</f>
        <v>0</v>
      </c>
      <c r="BZ150" s="596"/>
      <c r="CA150" s="596"/>
      <c r="CB150" s="208">
        <f>IF(BZ150=0,0,(CA150-BZ150)/BZ150*100)</f>
        <v>0</v>
      </c>
      <c r="CC150" s="596"/>
      <c r="CD150" s="596"/>
      <c r="CE150" s="208">
        <f>IF(CC150=0,0,(CD150-CC150)/CC150*100)</f>
        <v>0</v>
      </c>
      <c r="CF150" s="596"/>
      <c r="CG150" s="596"/>
      <c r="CH150" s="208">
        <f>IF(CF150=0,0,(CG150-CF150)/CF150*100)</f>
        <v>0</v>
      </c>
      <c r="CI150" s="596"/>
      <c r="CJ150" s="596"/>
      <c r="CK150" s="208">
        <f>IF(CI150=0,0,(CJ150-CI150)/CI150*100)</f>
        <v>0</v>
      </c>
      <c r="CL150" s="596"/>
      <c r="CM150" s="596"/>
      <c r="CN150" s="208">
        <f>IF(CL150=0,0,(CM150-CL150)/CL150*100)</f>
        <v>0</v>
      </c>
      <c r="CO150" s="596"/>
      <c r="CP150" s="596"/>
      <c r="CQ150" s="208">
        <f>IF(CO150=0,0,(CP150-CO150)/CO150*100)</f>
        <v>0</v>
      </c>
      <c r="CR150" s="596"/>
      <c r="CS150" s="596"/>
      <c r="CT150" s="208">
        <f>IF(CR150=0,0,(CS150-CR150)/CR150*100)</f>
        <v>0</v>
      </c>
      <c r="CU150" s="596"/>
      <c r="CV150" s="596"/>
      <c r="CW150" s="208">
        <f>IF(CU150=0,0,(CV150-CU150)/CU150*100)</f>
        <v>0</v>
      </c>
      <c r="CX150" s="596"/>
      <c r="CY150" s="596"/>
      <c r="CZ150" s="208">
        <f>IF(CX150=0,0,(CY150-CX150)/CX150*100)</f>
        <v>0</v>
      </c>
      <c r="DA150" s="596"/>
      <c r="DB150" s="596"/>
      <c r="DC150" s="208">
        <f>IF(DA150=0,0,(DB150-DA150)/DA150*100)</f>
        <v>0</v>
      </c>
      <c r="DD150" s="596"/>
      <c r="DE150" s="596"/>
      <c r="DF150" s="208">
        <f>IF(DD150=0,0,(DE150-DD150)/DD150*100)</f>
        <v>0</v>
      </c>
      <c r="DG150" s="596"/>
      <c r="DH150" s="596"/>
      <c r="DI150" s="208">
        <f>IF(DG150=0,0,(DH150-DG150)/DG150*100)</f>
        <v>0</v>
      </c>
      <c r="DJ150" s="596"/>
      <c r="DK150" s="596"/>
      <c r="DL150" s="208">
        <f>IF(DJ150=0,0,(DK150-DJ150)/DJ150*100)</f>
        <v>0</v>
      </c>
      <c r="DM150" s="596"/>
      <c r="DN150" s="596"/>
      <c r="DO150" s="208">
        <f>IF(DM150=0,0,(DN150-DM150)/DM150*100)</f>
        <v>0</v>
      </c>
      <c r="DP150" s="596"/>
      <c r="DQ150" s="596"/>
      <c r="DR150" s="208">
        <f>IF(DP150=0,0,(DQ150-DP150)/DP150*100)</f>
        <v>0</v>
      </c>
      <c r="DS150" s="596"/>
      <c r="DT150" s="596"/>
      <c r="DU150" s="208">
        <f>IF(DS150=0,0,(DT150-DS150)/DS150*100)</f>
        <v>0</v>
      </c>
      <c r="DV150" s="596"/>
      <c r="DW150" s="596"/>
      <c r="DX150" s="208">
        <f>IF(DV150=0,0,(DW150-DV150)/DV150*100)</f>
        <v>0</v>
      </c>
      <c r="DY150" s="596"/>
      <c r="DZ150" s="596"/>
      <c r="EA150" s="208">
        <f>IF(DY150=0,0,(DZ150-DY150)/DY150*100)</f>
        <v>0</v>
      </c>
      <c r="EB150" s="596"/>
      <c r="EC150" s="596"/>
      <c r="ED150" s="208">
        <f>IF(EB150=0,0,(EC150-EB150)/EB150*100)</f>
        <v>0</v>
      </c>
      <c r="EE150" s="596"/>
      <c r="EF150" s="596"/>
      <c r="EG150" s="208">
        <f>IF(EE150=0,0,(EF150-EE150)/EE150*100)</f>
        <v>0</v>
      </c>
      <c r="EH150" s="596"/>
      <c r="EI150" s="596"/>
      <c r="EJ150" s="208">
        <f>IF(EH150=0,0,(EI150-EH150)/EH150*100)</f>
        <v>0</v>
      </c>
      <c r="EK150" s="596"/>
      <c r="EL150" s="596"/>
      <c r="EM150" s="208">
        <f>IF(EK150=0,0,(EL150-EK150)/EK150*100)</f>
        <v>0</v>
      </c>
      <c r="EN150" s="596"/>
      <c r="EO150" s="596"/>
      <c r="EP150" s="208">
        <f>IF(EN150=0,0,(EO150-EN150)/EN150*100)</f>
        <v>0</v>
      </c>
      <c r="EQ150" s="596"/>
      <c r="ER150" s="596"/>
      <c r="ES150" s="208">
        <f>IF(EQ150=0,0,(ER150-EQ150)/EQ150*100)</f>
        <v>0</v>
      </c>
      <c r="ET150" s="596"/>
      <c r="EU150" s="596"/>
      <c r="EV150" s="208">
        <f>IF(ET150=0,0,(EU150-ET150)/ET150*100)</f>
        <v>0</v>
      </c>
      <c r="EW150" s="596"/>
      <c r="EX150" s="596"/>
      <c r="EY150" s="208">
        <f>IF(EW150=0,0,(EX150-EW150)/EW150*100)</f>
        <v>0</v>
      </c>
      <c r="EZ150" s="596"/>
      <c r="FA150" s="596"/>
      <c r="FB150" s="208">
        <f>IF(EZ150=0,0,(FA150-EZ150)/EZ150*100)</f>
        <v>0</v>
      </c>
      <c r="FC150" s="596"/>
      <c r="FD150" s="596"/>
      <c r="FE150" s="208">
        <f>IF(FC150=0,0,(FD150-FC150)/FC150*100)</f>
        <v>0</v>
      </c>
      <c r="FF150" s="596"/>
      <c r="FG150" s="596"/>
      <c r="FH150" s="208">
        <f>IF(FF150=0,0,(FG150-FF150)/FF150*100)</f>
        <v>0</v>
      </c>
      <c r="FI150" s="596"/>
      <c r="FJ150" s="596"/>
      <c r="FK150" s="208">
        <f>IF(FI150=0,0,(FJ150-FI150)/FI150*100)</f>
        <v>0</v>
      </c>
      <c r="FL150" s="596"/>
      <c r="FM150" s="596"/>
      <c r="FN150" s="208">
        <f>IF(FL150=0,0,(FM150-FL150)/FL150*100)</f>
        <v>0</v>
      </c>
      <c r="FO150" s="596"/>
      <c r="FP150" s="596"/>
      <c r="FQ150" s="208">
        <f>IF(FO150=0,0,(FP150-FO150)/FO150*100)</f>
        <v>0</v>
      </c>
      <c r="FR150" s="596"/>
      <c r="FS150" s="596"/>
      <c r="FT150" s="208">
        <f>IF(FR150=0,0,(FS150-FR150)/FR150*100)</f>
        <v>0</v>
      </c>
      <c r="FU150" s="596"/>
      <c r="FV150" s="596"/>
      <c r="FW150" s="208">
        <f>IF(FU150=0,0,(FV150-FU150)/FU150*100)</f>
        <v>0</v>
      </c>
      <c r="FX150" s="204"/>
      <c r="FY150" s="204"/>
      <c r="FZ150" s="691" t="s">
        <v>1659</v>
      </c>
      <c r="GA150" s="691"/>
      <c r="GB150" s="691"/>
      <c r="GC150" s="692"/>
      <c r="GD150" s="692"/>
    </row>
    <row r="151" spans="1:186" s="866" customFormat="1" ht="25.35" customHeight="1" x14ac:dyDescent="0.15">
      <c r="A151" s="594"/>
      <c r="B151" s="613" t="b" cm="1">
        <f t="array" ref="B151">B150</f>
        <v>1</v>
      </c>
      <c r="C151" s="594"/>
      <c r="D151" s="594"/>
      <c r="E151" s="595">
        <v>24.5</v>
      </c>
      <c r="F151" s="3" t="str" cm="1">
        <f t="array" aca="1" ref="F151" ca="1">OFFSET(E151,-1,1)</f>
        <v>2</v>
      </c>
      <c r="G151" s="25" t="s">
        <v>1660</v>
      </c>
      <c r="H151" s="59" t="s">
        <v>482</v>
      </c>
      <c r="I151" s="59" t="s">
        <v>1661</v>
      </c>
      <c r="J151" s="594"/>
      <c r="K151" s="594"/>
      <c r="L151" s="59"/>
      <c r="M151" s="594"/>
      <c r="N151" s="594"/>
      <c r="O151" s="594"/>
      <c r="P151" s="594"/>
      <c r="Q151" s="594"/>
      <c r="R151" s="59"/>
      <c r="S151" s="59"/>
      <c r="T151" s="353" t="b" cm="1">
        <f t="array" ref="T151">T150</f>
        <v>1</v>
      </c>
      <c r="U151" s="594"/>
      <c r="V151" s="594"/>
      <c r="W151" s="594"/>
      <c r="X151" s="1022"/>
      <c r="Y151" s="594"/>
      <c r="Z151" s="966"/>
      <c r="AA151" s="594"/>
      <c r="AB151" s="713" t="s">
        <v>1662</v>
      </c>
      <c r="AC151" s="206" t="s">
        <v>1644</v>
      </c>
      <c r="AD151" s="596">
        <f ca="1">IF(AND(method_reg="Метод индексации",god&lt;&gt;first_year),SUMIFS(INDEX('Калькуляция (МИ корр)'!$AJ$25:$BC$603,,MATCH(AD$8,'Калькуляция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(МИ)'!$AJ$25:$BC$603,,MATCH(AD$8,'Калькуляция (МИ)'!$AJ$8:$BC$8,0)),'Калькуляция (МИ)'!$F$25:$F$603,$F151,'Калькуляция (МИ)'!$G$25:$G$603,$G151))))</f>
        <v>0</v>
      </c>
      <c r="AE151" s="596">
        <f ca="1">IF(AND(method_reg="Метод индексации",god&lt;&gt;first_year),SUMIFS(INDEX('Калькуляция (МИ корр)'!$AJ$25:$BC$603,,MATCH(AE$8,'Калькуляция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(МИ)'!$AJ$25:$BC$603,,MATCH(AE$8,'Калькуляция (МИ)'!$AJ$8:$BC$8,0)),'Калькуляция (МИ)'!$F$25:$F$603,$F151,'Калькуляция (МИ)'!$G$25:$G$603,$G151))))</f>
        <v>0</v>
      </c>
      <c r="AF151" s="208">
        <f ca="1">IF(AD151=0,0,(AE151-AD151)/AD151*100)</f>
        <v>0</v>
      </c>
      <c r="AG151" s="861">
        <f ca="1">IF(AND(method_reg="Метод индексации",god&lt;&gt;first_year),SUMIFS(INDEX('Калькуляция (МИ корр)'!$AJ$25:$BC$603,,MATCH(AG$8,'Калькуляция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(МИ)'!$AJ$25:$BC$603,,MATCH(AG$8,'Калькуляция (МИ)'!$AJ$8:$BC$8,0)),'Калькуляция (МИ)'!$F$25:$F$603,$F151,'Калькуляция (МИ)'!$G$25:$G$603,$G151))))</f>
        <v>0</v>
      </c>
      <c r="AH151" s="861">
        <f ca="1">IF(AND(method_reg="Метод индексации",god&lt;&gt;first_year),SUMIFS(INDEX('Калькуляция (МИ корр)'!$AJ$25:$BC$603,,MATCH(AH$8,'Калькуляция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(МИ)'!$AJ$25:$BC$603,,MATCH(AH$8,'Калькуляция (МИ)'!$AJ$8:$BC$8,0)),'Калькуляция (МИ)'!$F$25:$F$603,$F151,'Калькуляция (МИ)'!$G$25:$G$603,$G151))))</f>
        <v>0</v>
      </c>
      <c r="AI151" s="208">
        <f ca="1">IF(AG151=0,0,(AH151-AG151)/AG151*100)</f>
        <v>0</v>
      </c>
      <c r="AJ151" s="861">
        <f ca="1">IF(AND(method_reg="Метод индексации",god&lt;&gt;first_year),SUMIFS(INDEX('Калькуляция (МИ корр)'!$AJ$25:$BC$603,,MATCH(AJ$8,'Калькуляция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(МИ)'!$AJ$25:$BC$603,,MATCH(AJ$8,'Калькуляция (МИ)'!$AJ$8:$BC$8,0)),'Калькуляция (МИ)'!$F$25:$F$603,$F151,'Калькуляция (МИ)'!$G$25:$G$603,$G151))))</f>
        <v>0</v>
      </c>
      <c r="AK151" s="861">
        <f ca="1">IF(AND(method_reg="Метод индексации",god&lt;&gt;first_year),SUMIFS(INDEX('Калькуляция (МИ корр)'!$AJ$25:$BC$603,,MATCH(AK$8,'Калькуляция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(МИ)'!$AJ$25:$BC$603,,MATCH(AK$8,'Калькуляция (МИ)'!$AJ$8:$BC$8,0)),'Калькуляция (МИ)'!$F$25:$F$603,$F151,'Калькуляция (МИ)'!$G$25:$G$603,$G151))))</f>
        <v>0</v>
      </c>
      <c r="AL151" s="208">
        <f ca="1">IF(AJ151=0,0,(AK151-AJ151)/AJ151*100)</f>
        <v>0</v>
      </c>
      <c r="AM151" s="596">
        <f ca="1">IF(AND(method_reg="Метод индексации",god&lt;&gt;first_year),SUMIFS(INDEX('Калькуляция (МИ корр)'!$AJ$25:$BC$603,,MATCH(AM$8,'Калькуляция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(МИ)'!$AJ$25:$BC$603,,MATCH(AM$8,'Калькуляция (МИ)'!$AJ$8:$BC$8,0)),'Калькуляция (МИ)'!$F$25:$F$603,$F151,'Калькуляция (МИ)'!$G$25:$G$603,$G151))))</f>
        <v>0</v>
      </c>
      <c r="AN151" s="596">
        <f ca="1">IF(AND(method_reg="Метод индексации",god&lt;&gt;first_year),SUMIFS(INDEX('Калькуляция (МИ корр)'!$AJ$25:$BC$603,,MATCH(AN$8,'Калькуляция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(МИ)'!$AJ$25:$BC$603,,MATCH(AN$8,'Калькуляция (МИ)'!$AJ$8:$BC$8,0)),'Калькуляция (МИ)'!$F$25:$F$603,$F151,'Калькуляция (МИ)'!$G$25:$G$603,$G151))))</f>
        <v>0</v>
      </c>
      <c r="AO151" s="208">
        <f ca="1">IF(AM151=0,0,(AN151-AM151)/AM151*100)</f>
        <v>0</v>
      </c>
      <c r="AP151" s="596">
        <f ca="1">IF(AND(method_reg="Метод индексации",god&lt;&gt;first_year),SUMIFS(INDEX('Калькуляция (МИ корр)'!$AJ$25:$BC$603,,MATCH(AP$8,'Калькуляция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(МИ)'!$AJ$25:$BC$603,,MATCH(AP$8,'Калькуляция (МИ)'!$AJ$8:$BC$8,0)),'Калькуляция (МИ)'!$F$25:$F$603,$F151,'Калькуляция (МИ)'!$G$25:$G$603,$G151))))</f>
        <v>0</v>
      </c>
      <c r="AQ151" s="596">
        <f ca="1">IF(AND(method_reg="Метод индексации",god&lt;&gt;first_year),SUMIFS(INDEX('Калькуляция (МИ корр)'!$AJ$25:$BC$603,,MATCH(AQ$8,'Калькуляция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(МИ)'!$AJ$25:$BC$603,,MATCH(AQ$8,'Калькуляция (МИ)'!$AJ$8:$BC$8,0)),'Калькуляция (МИ)'!$F$25:$F$603,$F151,'Калькуляция (МИ)'!$G$25:$G$603,$G151))))</f>
        <v>0</v>
      </c>
      <c r="AR151" s="208">
        <f ca="1">IF(AP151=0,0,(AQ151-AP151)/AP151*100)</f>
        <v>0</v>
      </c>
      <c r="AS151" s="596">
        <f ca="1">IF(AND(method_reg="Метод индексации",god&lt;&gt;first_year),SUMIFS(INDEX('Калькуляция (МИ корр)'!$AJ$25:$BC$603,,MATCH(AS$8,'Калькуляция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(МИ)'!$AJ$25:$BC$603,,MATCH(AS$8,'Калькуляция (МИ)'!$AJ$8:$BC$8,0)),'Калькуляция (МИ)'!$F$25:$F$603,$F151,'Калькуляция (МИ)'!$G$25:$G$603,$G151))))</f>
        <v>0</v>
      </c>
      <c r="AT151" s="596">
        <f ca="1">IF(AND(method_reg="Метод индексации",god&lt;&gt;first_year),SUMIFS(INDEX('Калькуляция (МИ корр)'!$AJ$25:$BC$603,,MATCH(AT$8,'Калькуляция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(МИ)'!$AJ$25:$BC$603,,MATCH(AT$8,'Калькуляция (МИ)'!$AJ$8:$BC$8,0)),'Калькуляция (МИ)'!$F$25:$F$603,$F151,'Калькуляция (МИ)'!$G$25:$G$603,$G151))))</f>
        <v>0</v>
      </c>
      <c r="AU151" s="208">
        <f ca="1">IF(AS151=0,0,(AT151-AS151)/AS151*100)</f>
        <v>0</v>
      </c>
      <c r="AV151" s="596">
        <f ca="1">IF(AND(method_reg="Метод индексации",god&lt;&gt;first_year),SUMIFS(INDEX('Калькуляция (МИ корр)'!$AJ$25:$BC$603,,MATCH(AV$8,'Калькуляция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(МИ)'!$AJ$25:$BC$603,,MATCH(AV$8,'Калькуляция (МИ)'!$AJ$8:$BC$8,0)),'Калькуляция (МИ)'!$F$25:$F$603,$F151,'Калькуляция (МИ)'!$G$25:$G$603,$G151))))</f>
        <v>0</v>
      </c>
      <c r="AW151" s="596">
        <f ca="1">IF(AND(method_reg="Метод индексации",god&lt;&gt;first_year),SUMIFS(INDEX('Калькуляция (МИ корр)'!$AJ$25:$BC$603,,MATCH(AW$8,'Калькуляция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(МИ)'!$AJ$25:$BC$603,,MATCH(AW$8,'Калькуляция (МИ)'!$AJ$8:$BC$8,0)),'Калькуляция (МИ)'!$F$25:$F$603,$F151,'Калькуляция (МИ)'!$G$25:$G$603,$G151))))</f>
        <v>0</v>
      </c>
      <c r="AX151" s="208">
        <f ca="1">IF(AV151=0,0,(AW151-AV151)/AV151*100)</f>
        <v>0</v>
      </c>
      <c r="AY151" s="596">
        <f ca="1">IF(AND(method_reg="Метод индексации",god&lt;&gt;first_year),SUMIFS(INDEX('Калькуляция (МИ корр)'!$AJ$25:$BC$603,,MATCH(AY$8,'Калькуляция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(МИ)'!$AJ$25:$BC$603,,MATCH(AY$8,'Калькуляция (МИ)'!$AJ$8:$BC$8,0)),'Калькуляция (МИ)'!$F$25:$F$603,$F151,'Калькуляция (МИ)'!$G$25:$G$603,$G151))))</f>
        <v>0</v>
      </c>
      <c r="AZ151" s="596">
        <f ca="1">IF(AND(method_reg="Метод индексации",god&lt;&gt;first_year),SUMIFS(INDEX('Калькуляция (МИ корр)'!$AJ$25:$BC$603,,MATCH(AZ$8,'Калькуляция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(МИ)'!$AJ$25:$BC$603,,MATCH(AZ$8,'Калькуляция (МИ)'!$AJ$8:$BC$8,0)),'Калькуляция (МИ)'!$F$25:$F$603,$F151,'Калькуляция (МИ)'!$G$25:$G$603,$G151))))</f>
        <v>0</v>
      </c>
      <c r="BA151" s="208">
        <f ca="1">IF(AY151=0,0,(AZ151-AY151)/AY151*100)</f>
        <v>0</v>
      </c>
      <c r="BB151" s="596">
        <f ca="1">IF(AND(method_reg="Метод индексации",god&lt;&gt;first_year),SUMIFS(INDEX('Калькуляция (МИ корр)'!$AJ$25:$BC$603,,MATCH(BB$8,'Калькуляция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(МИ)'!$AJ$25:$BC$603,,MATCH(BB$8,'Калькуляция (МИ)'!$AJ$8:$BC$8,0)),'Калькуляция (МИ)'!$F$25:$F$603,$F151,'Калькуляция (МИ)'!$G$25:$G$603,$G151))))</f>
        <v>0</v>
      </c>
      <c r="BC151" s="596">
        <f ca="1">IF(AND(method_reg="Метод индексации",god&lt;&gt;first_year),SUMIFS(INDEX('Калькуляция (МИ корр)'!$AJ$25:$BC$603,,MATCH(BC$8,'Калькуляция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(МИ)'!$AJ$25:$BC$603,,MATCH(BC$8,'Калькуляция (МИ)'!$AJ$8:$BC$8,0)),'Калькуляция (МИ)'!$F$25:$F$603,$F151,'Калькуляция (МИ)'!$G$25:$G$603,$G151))))</f>
        <v>0</v>
      </c>
      <c r="BD151" s="208">
        <f ca="1">IF(BB151=0,0,(BC151-BB151)/BB151*100)</f>
        <v>0</v>
      </c>
      <c r="BE151" s="596">
        <f ca="1">IF(AND(method_reg="Метод индексации",god&lt;&gt;first_year),SUMIFS(INDEX('Калькуляция (МИ корр)'!$AJ$25:$BC$603,,MATCH(BE$8,'Калькуляция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(МИ)'!$AJ$25:$BC$603,,MATCH(BE$8,'Калькуляция (МИ)'!$AJ$8:$BC$8,0)),'Калькуляция (МИ)'!$F$25:$F$603,$F151,'Калькуляция (МИ)'!$G$25:$G$603,$G151))))</f>
        <v>0</v>
      </c>
      <c r="BF151" s="596">
        <f ca="1">IF(AND(method_reg="Метод индексации",god&lt;&gt;first_year),SUMIFS(INDEX('Калькуляция (МИ корр)'!$AJ$25:$BC$603,,MATCH(BF$8,'Калькуляция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(МИ)'!$AJ$25:$BC$603,,MATCH(BF$8,'Калькуляция (МИ)'!$AJ$8:$BC$8,0)),'Калькуляция (МИ)'!$F$25:$F$603,$F151,'Калькуляция (МИ)'!$G$25:$G$603,$G151))))</f>
        <v>0</v>
      </c>
      <c r="BG151" s="208">
        <f ca="1">IF(BE151=0,0,(BF151-BE151)/BE151*100)</f>
        <v>0</v>
      </c>
      <c r="BH151" s="596"/>
      <c r="BI151" s="596"/>
      <c r="BJ151" s="208">
        <f>IF(BH151=0,0,(BI151-BH151)/BH151*100)</f>
        <v>0</v>
      </c>
      <c r="BK151" s="596"/>
      <c r="BL151" s="596"/>
      <c r="BM151" s="208">
        <f>IF(BK151=0,0,(BL151-BK151)/BK151*100)</f>
        <v>0</v>
      </c>
      <c r="BN151" s="596"/>
      <c r="BO151" s="596"/>
      <c r="BP151" s="208">
        <f>IF(BN151=0,0,(BO151-BN151)/BN151*100)</f>
        <v>0</v>
      </c>
      <c r="BQ151" s="596"/>
      <c r="BR151" s="596"/>
      <c r="BS151" s="208">
        <f>IF(BQ151=0,0,(BR151-BQ151)/BQ151*100)</f>
        <v>0</v>
      </c>
      <c r="BT151" s="596"/>
      <c r="BU151" s="596"/>
      <c r="BV151" s="208">
        <f>IF(BT151=0,0,(BU151-BT151)/BT151*100)</f>
        <v>0</v>
      </c>
      <c r="BW151" s="596"/>
      <c r="BX151" s="596"/>
      <c r="BY151" s="208">
        <f>IF(BW151=0,0,(BX151-BW151)/BW151*100)</f>
        <v>0</v>
      </c>
      <c r="BZ151" s="596"/>
      <c r="CA151" s="596"/>
      <c r="CB151" s="208">
        <f>IF(BZ151=0,0,(CA151-BZ151)/BZ151*100)</f>
        <v>0</v>
      </c>
      <c r="CC151" s="596"/>
      <c r="CD151" s="596"/>
      <c r="CE151" s="208">
        <f>IF(CC151=0,0,(CD151-CC151)/CC151*100)</f>
        <v>0</v>
      </c>
      <c r="CF151" s="596"/>
      <c r="CG151" s="596"/>
      <c r="CH151" s="208">
        <f>IF(CF151=0,0,(CG151-CF151)/CF151*100)</f>
        <v>0</v>
      </c>
      <c r="CI151" s="596"/>
      <c r="CJ151" s="596"/>
      <c r="CK151" s="208">
        <f>IF(CI151=0,0,(CJ151-CI151)/CI151*100)</f>
        <v>0</v>
      </c>
      <c r="CL151" s="596"/>
      <c r="CM151" s="596"/>
      <c r="CN151" s="208">
        <f>IF(CL151=0,0,(CM151-CL151)/CL151*100)</f>
        <v>0</v>
      </c>
      <c r="CO151" s="596"/>
      <c r="CP151" s="596"/>
      <c r="CQ151" s="208">
        <f>IF(CO151=0,0,(CP151-CO151)/CO151*100)</f>
        <v>0</v>
      </c>
      <c r="CR151" s="596"/>
      <c r="CS151" s="596"/>
      <c r="CT151" s="208">
        <f>IF(CR151=0,0,(CS151-CR151)/CR151*100)</f>
        <v>0</v>
      </c>
      <c r="CU151" s="596"/>
      <c r="CV151" s="596"/>
      <c r="CW151" s="208">
        <f>IF(CU151=0,0,(CV151-CU151)/CU151*100)</f>
        <v>0</v>
      </c>
      <c r="CX151" s="596"/>
      <c r="CY151" s="596"/>
      <c r="CZ151" s="208">
        <f>IF(CX151=0,0,(CY151-CX151)/CX151*100)</f>
        <v>0</v>
      </c>
      <c r="DA151" s="596"/>
      <c r="DB151" s="596"/>
      <c r="DC151" s="208">
        <f>IF(DA151=0,0,(DB151-DA151)/DA151*100)</f>
        <v>0</v>
      </c>
      <c r="DD151" s="596"/>
      <c r="DE151" s="596"/>
      <c r="DF151" s="208">
        <f>IF(DD151=0,0,(DE151-DD151)/DD151*100)</f>
        <v>0</v>
      </c>
      <c r="DG151" s="596"/>
      <c r="DH151" s="596"/>
      <c r="DI151" s="208">
        <f>IF(DG151=0,0,(DH151-DG151)/DG151*100)</f>
        <v>0</v>
      </c>
      <c r="DJ151" s="596"/>
      <c r="DK151" s="596"/>
      <c r="DL151" s="208">
        <f>IF(DJ151=0,0,(DK151-DJ151)/DJ151*100)</f>
        <v>0</v>
      </c>
      <c r="DM151" s="596"/>
      <c r="DN151" s="596"/>
      <c r="DO151" s="208">
        <f>IF(DM151=0,0,(DN151-DM151)/DM151*100)</f>
        <v>0</v>
      </c>
      <c r="DP151" s="596"/>
      <c r="DQ151" s="596"/>
      <c r="DR151" s="208">
        <f>IF(DP151=0,0,(DQ151-DP151)/DP151*100)</f>
        <v>0</v>
      </c>
      <c r="DS151" s="596"/>
      <c r="DT151" s="596"/>
      <c r="DU151" s="208">
        <f>IF(DS151=0,0,(DT151-DS151)/DS151*100)</f>
        <v>0</v>
      </c>
      <c r="DV151" s="596"/>
      <c r="DW151" s="596"/>
      <c r="DX151" s="208">
        <f>IF(DV151=0,0,(DW151-DV151)/DV151*100)</f>
        <v>0</v>
      </c>
      <c r="DY151" s="596"/>
      <c r="DZ151" s="596"/>
      <c r="EA151" s="208">
        <f>IF(DY151=0,0,(DZ151-DY151)/DY151*100)</f>
        <v>0</v>
      </c>
      <c r="EB151" s="596"/>
      <c r="EC151" s="596"/>
      <c r="ED151" s="208">
        <f>IF(EB151=0,0,(EC151-EB151)/EB151*100)</f>
        <v>0</v>
      </c>
      <c r="EE151" s="596"/>
      <c r="EF151" s="596"/>
      <c r="EG151" s="208">
        <f>IF(EE151=0,0,(EF151-EE151)/EE151*100)</f>
        <v>0</v>
      </c>
      <c r="EH151" s="596"/>
      <c r="EI151" s="596"/>
      <c r="EJ151" s="208">
        <f>IF(EH151=0,0,(EI151-EH151)/EH151*100)</f>
        <v>0</v>
      </c>
      <c r="EK151" s="596"/>
      <c r="EL151" s="596"/>
      <c r="EM151" s="208">
        <f>IF(EK151=0,0,(EL151-EK151)/EK151*100)</f>
        <v>0</v>
      </c>
      <c r="EN151" s="596"/>
      <c r="EO151" s="596"/>
      <c r="EP151" s="208">
        <f>IF(EN151=0,0,(EO151-EN151)/EN151*100)</f>
        <v>0</v>
      </c>
      <c r="EQ151" s="596"/>
      <c r="ER151" s="596"/>
      <c r="ES151" s="208">
        <f>IF(EQ151=0,0,(ER151-EQ151)/EQ151*100)</f>
        <v>0</v>
      </c>
      <c r="ET151" s="596"/>
      <c r="EU151" s="596"/>
      <c r="EV151" s="208">
        <f>IF(ET151=0,0,(EU151-ET151)/ET151*100)</f>
        <v>0</v>
      </c>
      <c r="EW151" s="596"/>
      <c r="EX151" s="596"/>
      <c r="EY151" s="208">
        <f>IF(EW151=0,0,(EX151-EW151)/EW151*100)</f>
        <v>0</v>
      </c>
      <c r="EZ151" s="596"/>
      <c r="FA151" s="596"/>
      <c r="FB151" s="208">
        <f>IF(EZ151=0,0,(FA151-EZ151)/EZ151*100)</f>
        <v>0</v>
      </c>
      <c r="FC151" s="596"/>
      <c r="FD151" s="596"/>
      <c r="FE151" s="208">
        <f>IF(FC151=0,0,(FD151-FC151)/FC151*100)</f>
        <v>0</v>
      </c>
      <c r="FF151" s="596"/>
      <c r="FG151" s="596"/>
      <c r="FH151" s="208">
        <f>IF(FF151=0,0,(FG151-FF151)/FF151*100)</f>
        <v>0</v>
      </c>
      <c r="FI151" s="596"/>
      <c r="FJ151" s="596"/>
      <c r="FK151" s="208">
        <f>IF(FI151=0,0,(FJ151-FI151)/FI151*100)</f>
        <v>0</v>
      </c>
      <c r="FL151" s="596"/>
      <c r="FM151" s="596"/>
      <c r="FN151" s="208">
        <f>IF(FL151=0,0,(FM151-FL151)/FL151*100)</f>
        <v>0</v>
      </c>
      <c r="FO151" s="596"/>
      <c r="FP151" s="596"/>
      <c r="FQ151" s="208">
        <f>IF(FO151=0,0,(FP151-FO151)/FO151*100)</f>
        <v>0</v>
      </c>
      <c r="FR151" s="596"/>
      <c r="FS151" s="596"/>
      <c r="FT151" s="208">
        <f>IF(FR151=0,0,(FS151-FR151)/FR151*100)</f>
        <v>0</v>
      </c>
      <c r="FU151" s="596"/>
      <c r="FV151" s="596"/>
      <c r="FW151" s="208">
        <f>IF(FU151=0,0,(FV151-FU151)/FU151*100)</f>
        <v>0</v>
      </c>
      <c r="FX151" s="204"/>
      <c r="FY151" s="204"/>
      <c r="FZ151" s="691" t="s">
        <v>1663</v>
      </c>
      <c r="GA151" s="691"/>
      <c r="GB151" s="691"/>
      <c r="GC151" s="692"/>
      <c r="GD151" s="692"/>
    </row>
    <row r="152" spans="1:186" ht="21.6" customHeight="1" x14ac:dyDescent="0.15">
      <c r="A152" s="59"/>
      <c r="B152" s="613" t="b" cm="1">
        <f t="array" ref="B152">B151</f>
        <v>1</v>
      </c>
      <c r="C152" s="59"/>
      <c r="D152" s="59"/>
      <c r="E152" s="462">
        <v>15</v>
      </c>
      <c r="F152" s="3" t="str" cm="1">
        <f t="array" aca="1" ref="F152" ca="1">OFFSET(E152,-1,1)</f>
        <v>2</v>
      </c>
      <c r="G152" s="25"/>
      <c r="H152" s="59" t="s">
        <v>486</v>
      </c>
      <c r="I152" s="59" t="s">
        <v>1664</v>
      </c>
      <c r="J152" s="59"/>
      <c r="K152" s="59"/>
      <c r="L152" s="59"/>
      <c r="M152" s="59"/>
      <c r="N152" s="59"/>
      <c r="O152" s="59"/>
      <c r="P152" s="59"/>
      <c r="Q152" s="594"/>
      <c r="R152" s="59"/>
      <c r="S152" s="59"/>
      <c r="T152" s="353" t="b" cm="1">
        <f t="array" ref="T152">T151</f>
        <v>1</v>
      </c>
      <c r="U152" s="59"/>
      <c r="V152" s="59"/>
      <c r="W152" s="59"/>
      <c r="X152" s="1022"/>
      <c r="Y152" s="59"/>
      <c r="Z152" s="966"/>
      <c r="AA152" s="59"/>
      <c r="AB152" s="54" t="s">
        <v>1651</v>
      </c>
      <c r="AC152" s="12" t="s">
        <v>476</v>
      </c>
      <c r="AD152" s="620">
        <f ca="1">IF(AD150=0,0,AD151/AD150)*100</f>
        <v>0</v>
      </c>
      <c r="AE152" s="620">
        <f ca="1">IF(AE150=0,0,AE151/AE150)*100</f>
        <v>0</v>
      </c>
      <c r="AF152" s="714"/>
      <c r="AG152" s="620">
        <f ca="1">IF(AG150=0,0,AG151/AG150)*100</f>
        <v>0</v>
      </c>
      <c r="AH152" s="620">
        <f ca="1">IF(AH150=0,0,AH151/AH150)*100</f>
        <v>0</v>
      </c>
      <c r="AI152" s="714"/>
      <c r="AJ152" s="620">
        <f ca="1">IF(AJ150=0,0,AJ151/AJ150)*100</f>
        <v>0</v>
      </c>
      <c r="AK152" s="620">
        <f ca="1">IF(AK150=0,0,AK151/AK150)*100</f>
        <v>0</v>
      </c>
      <c r="AL152" s="714"/>
      <c r="AM152" s="620">
        <f ca="1">IF(AM150=0,0,AM151/AM150)*100</f>
        <v>0</v>
      </c>
      <c r="AN152" s="620">
        <f ca="1">IF(AN150=0,0,AN151/AN150)*100</f>
        <v>0</v>
      </c>
      <c r="AO152" s="714"/>
      <c r="AP152" s="620">
        <f ca="1">IF(AP150=0,0,AP151/AP150)*100</f>
        <v>0</v>
      </c>
      <c r="AQ152" s="620">
        <f ca="1">IF(AQ150=0,0,AQ151/AQ150)*100</f>
        <v>0</v>
      </c>
      <c r="AR152" s="714"/>
      <c r="AS152" s="620">
        <f ca="1">IF(AS150=0,0,AS151/AS150)*100</f>
        <v>0</v>
      </c>
      <c r="AT152" s="620">
        <f ca="1">IF(AT150=0,0,AT151/AT150)*100</f>
        <v>0</v>
      </c>
      <c r="AU152" s="714"/>
      <c r="AV152" s="620">
        <f ca="1">IF(AV150=0,0,AV151/AV150)*100</f>
        <v>0</v>
      </c>
      <c r="AW152" s="620">
        <f ca="1">IF(AW150=0,0,AW151/AW150)*100</f>
        <v>0</v>
      </c>
      <c r="AX152" s="714"/>
      <c r="AY152" s="620">
        <f ca="1">IF(AY150=0,0,AY151/AY150)*100</f>
        <v>0</v>
      </c>
      <c r="AZ152" s="620">
        <f ca="1">IF(AZ150=0,0,AZ151/AZ150)*100</f>
        <v>0</v>
      </c>
      <c r="BA152" s="714"/>
      <c r="BB152" s="620">
        <f ca="1">IF(BB150=0,0,BB151/BB150)*100</f>
        <v>0</v>
      </c>
      <c r="BC152" s="620">
        <f ca="1">IF(BC150=0,0,BC151/BC150)*100</f>
        <v>0</v>
      </c>
      <c r="BD152" s="714"/>
      <c r="BE152" s="620">
        <f ca="1">IF(BE150=0,0,BE151/BE150)*100</f>
        <v>0</v>
      </c>
      <c r="BF152" s="620">
        <f ca="1">IF(BF150=0,0,BF151/BF150)*100</f>
        <v>0</v>
      </c>
      <c r="BG152" s="714"/>
      <c r="BH152" s="620">
        <f>IF(BH150=0,0,BH151/BH150)*100</f>
        <v>0</v>
      </c>
      <c r="BI152" s="620">
        <f>IF(BI150=0,0,BI151/BI150)*100</f>
        <v>0</v>
      </c>
      <c r="BJ152" s="714"/>
      <c r="BK152" s="620">
        <f>IF(BK150=0,0,BK151/BK150)*100</f>
        <v>0</v>
      </c>
      <c r="BL152" s="620">
        <f>IF(BL150=0,0,BL151/BL150)*100</f>
        <v>0</v>
      </c>
      <c r="BM152" s="714"/>
      <c r="BN152" s="620">
        <f>IF(BN150=0,0,BN151/BN150)*100</f>
        <v>0</v>
      </c>
      <c r="BO152" s="620">
        <f>IF(BO150=0,0,BO151/BO150)*100</f>
        <v>0</v>
      </c>
      <c r="BP152" s="714"/>
      <c r="BQ152" s="620">
        <f>IF(BQ150=0,0,BQ151/BQ150)*100</f>
        <v>0</v>
      </c>
      <c r="BR152" s="620">
        <f>IF(BR150=0,0,BR151/BR150)*100</f>
        <v>0</v>
      </c>
      <c r="BS152" s="714"/>
      <c r="BT152" s="620">
        <f>IF(BT150=0,0,BT151/BT150)*100</f>
        <v>0</v>
      </c>
      <c r="BU152" s="620">
        <f>IF(BU150=0,0,BU151/BU150)*100</f>
        <v>0</v>
      </c>
      <c r="BV152" s="714"/>
      <c r="BW152" s="620">
        <f>IF(BW150=0,0,BW151/BW150)*100</f>
        <v>0</v>
      </c>
      <c r="BX152" s="620">
        <f>IF(BX150=0,0,BX151/BX150)*100</f>
        <v>0</v>
      </c>
      <c r="BY152" s="714"/>
      <c r="BZ152" s="620">
        <f>IF(BZ150=0,0,BZ151/BZ150)*100</f>
        <v>0</v>
      </c>
      <c r="CA152" s="620">
        <f>IF(CA150=0,0,CA151/CA150)*100</f>
        <v>0</v>
      </c>
      <c r="CB152" s="714"/>
      <c r="CC152" s="620">
        <f>IF(CC150=0,0,CC151/CC150)*100</f>
        <v>0</v>
      </c>
      <c r="CD152" s="620">
        <f>IF(CD150=0,0,CD151/CD150)*100</f>
        <v>0</v>
      </c>
      <c r="CE152" s="714"/>
      <c r="CF152" s="620">
        <f>IF(CF150=0,0,CF151/CF150)*100</f>
        <v>0</v>
      </c>
      <c r="CG152" s="620">
        <f>IF(CG150=0,0,CG151/CG150)*100</f>
        <v>0</v>
      </c>
      <c r="CH152" s="714"/>
      <c r="CI152" s="620">
        <f>IF(CI150=0,0,CI151/CI150)*100</f>
        <v>0</v>
      </c>
      <c r="CJ152" s="620">
        <f>IF(CJ150=0,0,CJ151/CJ150)*100</f>
        <v>0</v>
      </c>
      <c r="CK152" s="714"/>
      <c r="CL152" s="620">
        <f>IF(CL150=0,0,CL151/CL150)*100</f>
        <v>0</v>
      </c>
      <c r="CM152" s="620">
        <f>IF(CM150=0,0,CM151/CM150)*100</f>
        <v>0</v>
      </c>
      <c r="CN152" s="714"/>
      <c r="CO152" s="620">
        <f>IF(CO150=0,0,CO151/CO150)*100</f>
        <v>0</v>
      </c>
      <c r="CP152" s="620">
        <f>IF(CP150=0,0,CP151/CP150)*100</f>
        <v>0</v>
      </c>
      <c r="CQ152" s="714"/>
      <c r="CR152" s="620">
        <f>IF(CR150=0,0,CR151/CR150)*100</f>
        <v>0</v>
      </c>
      <c r="CS152" s="620">
        <f>IF(CS150=0,0,CS151/CS150)*100</f>
        <v>0</v>
      </c>
      <c r="CT152" s="714"/>
      <c r="CU152" s="620">
        <f>IF(CU150=0,0,CU151/CU150)*100</f>
        <v>0</v>
      </c>
      <c r="CV152" s="620">
        <f>IF(CV150=0,0,CV151/CV150)*100</f>
        <v>0</v>
      </c>
      <c r="CW152" s="714"/>
      <c r="CX152" s="620">
        <f>IF(CX150=0,0,CX151/CX150)*100</f>
        <v>0</v>
      </c>
      <c r="CY152" s="620">
        <f>IF(CY150=0,0,CY151/CY150)*100</f>
        <v>0</v>
      </c>
      <c r="CZ152" s="714"/>
      <c r="DA152" s="620">
        <f>IF(DA150=0,0,DA151/DA150)*100</f>
        <v>0</v>
      </c>
      <c r="DB152" s="620">
        <f>IF(DB150=0,0,DB151/DB150)*100</f>
        <v>0</v>
      </c>
      <c r="DC152" s="714"/>
      <c r="DD152" s="620">
        <f>IF(DD150=0,0,DD151/DD150)*100</f>
        <v>0</v>
      </c>
      <c r="DE152" s="620">
        <f>IF(DE150=0,0,DE151/DE150)*100</f>
        <v>0</v>
      </c>
      <c r="DF152" s="714"/>
      <c r="DG152" s="620">
        <f>IF(DG150=0,0,DG151/DG150)*100</f>
        <v>0</v>
      </c>
      <c r="DH152" s="620">
        <f>IF(DH150=0,0,DH151/DH150)*100</f>
        <v>0</v>
      </c>
      <c r="DI152" s="714"/>
      <c r="DJ152" s="620">
        <f>IF(DJ150=0,0,DJ151/DJ150)*100</f>
        <v>0</v>
      </c>
      <c r="DK152" s="620">
        <f>IF(DK150=0,0,DK151/DK150)*100</f>
        <v>0</v>
      </c>
      <c r="DL152" s="714"/>
      <c r="DM152" s="620">
        <f>IF(DM150=0,0,DM151/DM150)*100</f>
        <v>0</v>
      </c>
      <c r="DN152" s="620">
        <f>IF(DN150=0,0,DN151/DN150)*100</f>
        <v>0</v>
      </c>
      <c r="DO152" s="714"/>
      <c r="DP152" s="620">
        <f>IF(DP150=0,0,DP151/DP150)*100</f>
        <v>0</v>
      </c>
      <c r="DQ152" s="620">
        <f>IF(DQ150=0,0,DQ151/DQ150)*100</f>
        <v>0</v>
      </c>
      <c r="DR152" s="714"/>
      <c r="DS152" s="620">
        <f>IF(DS150=0,0,DS151/DS150)*100</f>
        <v>0</v>
      </c>
      <c r="DT152" s="620">
        <f>IF(DT150=0,0,DT151/DT150)*100</f>
        <v>0</v>
      </c>
      <c r="DU152" s="714"/>
      <c r="DV152" s="620">
        <f>IF(DV150=0,0,DV151/DV150)*100</f>
        <v>0</v>
      </c>
      <c r="DW152" s="620">
        <f>IF(DW150=0,0,DW151/DW150)*100</f>
        <v>0</v>
      </c>
      <c r="DX152" s="714"/>
      <c r="DY152" s="620">
        <f>IF(DY150=0,0,DY151/DY150)*100</f>
        <v>0</v>
      </c>
      <c r="DZ152" s="620">
        <f>IF(DZ150=0,0,DZ151/DZ150)*100</f>
        <v>0</v>
      </c>
      <c r="EA152" s="714"/>
      <c r="EB152" s="620">
        <f>IF(EB150=0,0,EB151/EB150)*100</f>
        <v>0</v>
      </c>
      <c r="EC152" s="620">
        <f>IF(EC150=0,0,EC151/EC150)*100</f>
        <v>0</v>
      </c>
      <c r="ED152" s="714"/>
      <c r="EE152" s="620">
        <f>IF(EE150=0,0,EE151/EE150)*100</f>
        <v>0</v>
      </c>
      <c r="EF152" s="620">
        <f>IF(EF150=0,0,EF151/EF150)*100</f>
        <v>0</v>
      </c>
      <c r="EG152" s="714"/>
      <c r="EH152" s="620">
        <f>IF(EH150=0,0,EH151/EH150)*100</f>
        <v>0</v>
      </c>
      <c r="EI152" s="620">
        <f>IF(EI150=0,0,EI151/EI150)*100</f>
        <v>0</v>
      </c>
      <c r="EJ152" s="714"/>
      <c r="EK152" s="620">
        <f>IF(EK150=0,0,EK151/EK150)*100</f>
        <v>0</v>
      </c>
      <c r="EL152" s="620">
        <f>IF(EL150=0,0,EL151/EL150)*100</f>
        <v>0</v>
      </c>
      <c r="EM152" s="714"/>
      <c r="EN152" s="620">
        <f>IF(EN150=0,0,EN151/EN150)*100</f>
        <v>0</v>
      </c>
      <c r="EO152" s="620">
        <f>IF(EO150=0,0,EO151/EO150)*100</f>
        <v>0</v>
      </c>
      <c r="EP152" s="714"/>
      <c r="EQ152" s="620">
        <f>IF(EQ150=0,0,EQ151/EQ150)*100</f>
        <v>0</v>
      </c>
      <c r="ER152" s="620">
        <f>IF(ER150=0,0,ER151/ER150)*100</f>
        <v>0</v>
      </c>
      <c r="ES152" s="714"/>
      <c r="ET152" s="620">
        <f>IF(ET150=0,0,ET151/ET150)*100</f>
        <v>0</v>
      </c>
      <c r="EU152" s="620">
        <f>IF(EU150=0,0,EU151/EU150)*100</f>
        <v>0</v>
      </c>
      <c r="EV152" s="714"/>
      <c r="EW152" s="620">
        <f>IF(EW150=0,0,EW151/EW150)*100</f>
        <v>0</v>
      </c>
      <c r="EX152" s="620">
        <f>IF(EX150=0,0,EX151/EX150)*100</f>
        <v>0</v>
      </c>
      <c r="EY152" s="714"/>
      <c r="EZ152" s="620">
        <f>IF(EZ150=0,0,EZ151/EZ150)*100</f>
        <v>0</v>
      </c>
      <c r="FA152" s="620">
        <f>IF(FA150=0,0,FA151/FA150)*100</f>
        <v>0</v>
      </c>
      <c r="FB152" s="714"/>
      <c r="FC152" s="620">
        <f>IF(FC150=0,0,FC151/FC150)*100</f>
        <v>0</v>
      </c>
      <c r="FD152" s="620">
        <f>IF(FD150=0,0,FD151/FD150)*100</f>
        <v>0</v>
      </c>
      <c r="FE152" s="714"/>
      <c r="FF152" s="620">
        <f>IF(FF150=0,0,FF151/FF150)*100</f>
        <v>0</v>
      </c>
      <c r="FG152" s="620">
        <f>IF(FG150=0,0,FG151/FG150)*100</f>
        <v>0</v>
      </c>
      <c r="FH152" s="714"/>
      <c r="FI152" s="620">
        <f>IF(FI150=0,0,FI151/FI150)*100</f>
        <v>0</v>
      </c>
      <c r="FJ152" s="620">
        <f>IF(FJ150=0,0,FJ151/FJ150)*100</f>
        <v>0</v>
      </c>
      <c r="FK152" s="714"/>
      <c r="FL152" s="620">
        <f>IF(FL150=0,0,FL151/FL150)*100</f>
        <v>0</v>
      </c>
      <c r="FM152" s="620">
        <f>IF(FM150=0,0,FM151/FM150)*100</f>
        <v>0</v>
      </c>
      <c r="FN152" s="714"/>
      <c r="FO152" s="620">
        <f>IF(FO150=0,0,FO151/FO150)*100</f>
        <v>0</v>
      </c>
      <c r="FP152" s="620">
        <f>IF(FP150=0,0,FP151/FP150)*100</f>
        <v>0</v>
      </c>
      <c r="FQ152" s="714"/>
      <c r="FR152" s="620">
        <f>IF(FR150=0,0,FR151/FR150)*100</f>
        <v>0</v>
      </c>
      <c r="FS152" s="620">
        <f>IF(FS150=0,0,FS151/FS150)*100</f>
        <v>0</v>
      </c>
      <c r="FT152" s="714"/>
      <c r="FU152" s="620">
        <f>IF(FU150=0,0,FU151/FU150)*100</f>
        <v>0</v>
      </c>
      <c r="FV152" s="620">
        <f>IF(FV150=0,0,FV151/FV150)*100</f>
        <v>0</v>
      </c>
      <c r="FW152" s="714"/>
      <c r="FX152" s="204"/>
      <c r="FZ152" s="691" t="s">
        <v>1665</v>
      </c>
    </row>
    <row r="153" spans="1:186" ht="20.45" customHeight="1" x14ac:dyDescent="0.15">
      <c r="A153" s="59"/>
      <c r="B153" s="613" t="b" cm="1">
        <f t="array" ref="B153">B152</f>
        <v>1</v>
      </c>
      <c r="C153" s="59"/>
      <c r="D153" s="59"/>
      <c r="E153" s="462">
        <v>15</v>
      </c>
      <c r="F153" s="3" t="str" cm="1">
        <f t="array" aca="1" ref="F153" ca="1">OFFSET(E153,-1,1)</f>
        <v>2</v>
      </c>
      <c r="G153" s="25" t="s">
        <v>1666</v>
      </c>
      <c r="H153" s="59" t="s">
        <v>489</v>
      </c>
      <c r="I153" s="59" t="s">
        <v>1664</v>
      </c>
      <c r="J153" s="59"/>
      <c r="K153" s="59"/>
      <c r="L153" s="59"/>
      <c r="M153" s="59"/>
      <c r="N153" s="59"/>
      <c r="O153" s="59"/>
      <c r="P153" s="59"/>
      <c r="Q153" s="594"/>
      <c r="R153" s="59"/>
      <c r="S153" s="59"/>
      <c r="T153" s="353" t="b" cm="1">
        <f t="array" ref="T153">T152</f>
        <v>1</v>
      </c>
      <c r="U153" s="59"/>
      <c r="V153" s="59"/>
      <c r="W153" s="59"/>
      <c r="X153" s="1022"/>
      <c r="Y153" s="59"/>
      <c r="Z153" s="966"/>
      <c r="AA153" s="59"/>
      <c r="AB153" s="54" t="s">
        <v>1667</v>
      </c>
      <c r="AC153" s="12" t="s">
        <v>558</v>
      </c>
      <c r="AD153" s="191">
        <f ca="1">IF(AND(method_reg="Метод индексации",god&lt;&gt;first_year),SUMIFS(INDEX('Калькуляция (МИ корр)'!$AJ$25:$BC$603,,MATCH(AD$8,'Калькуляция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(МИ)'!$AJ$25:$BC$603,,MATCH(AD$8,'Калькуляция (МИ)'!$AJ$8:$BC$8,0)),'Калькуляция (МИ)'!$F$25:$F$603,$F153,'Калькуляция (МИ)'!$G$25:$G$603,$G153))))</f>
        <v>0</v>
      </c>
      <c r="AE153" s="191">
        <f ca="1">IF(AND(method_reg="Метод индексации",god&lt;&gt;first_year),SUMIFS(INDEX('Калькуляция (МИ корр)'!$AJ$25:$BC$603,,MATCH(AE$8,'Калькуляция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(МИ)'!$AJ$25:$BC$603,,MATCH(AE$8,'Калькуляция (МИ)'!$AJ$8:$BC$8,0)),'Калькуляция (МИ)'!$F$25:$F$603,$F153,'Калькуляция (МИ)'!$G$25:$G$603,$G153))))</f>
        <v>0</v>
      </c>
      <c r="AF153" s="715">
        <f ca="1">IF(AD153=0,0,(AE153-AD153)/AD153*100)</f>
        <v>0</v>
      </c>
      <c r="AG153" s="836">
        <f ca="1">IF(AND(method_reg="Метод индексации",god&lt;&gt;first_year),SUMIFS(INDEX('Калькуляция (МИ корр)'!$AJ$25:$BC$603,,MATCH(AG$8,'Калькуляция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(МИ)'!$AJ$25:$BC$603,,MATCH(AG$8,'Калькуляция (МИ)'!$AJ$8:$BC$8,0)),'Калькуляция (МИ)'!$F$25:$F$603,$F153,'Калькуляция (МИ)'!$G$25:$G$603,$G153))))</f>
        <v>0</v>
      </c>
      <c r="AH153" s="836">
        <f ca="1">IF(AND(method_reg="Метод индексации",god&lt;&gt;first_year),SUMIFS(INDEX('Калькуляция (МИ корр)'!$AJ$25:$BC$603,,MATCH(AH$8,'Калькуляция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(МИ)'!$AJ$25:$BC$603,,MATCH(AH$8,'Калькуляция (МИ)'!$AJ$8:$BC$8,0)),'Калькуляция (МИ)'!$F$25:$F$603,$F153,'Калькуляция (МИ)'!$G$25:$G$603,$G153))))</f>
        <v>0</v>
      </c>
      <c r="AI153" s="715">
        <f ca="1">IF(AG153=0,0,(AH153-AG153)/AG153*100)</f>
        <v>0</v>
      </c>
      <c r="AJ153" s="836">
        <f ca="1">IF(AND(method_reg="Метод индексации",god&lt;&gt;first_year),SUMIFS(INDEX('Калькуляция (МИ корр)'!$AJ$25:$BC$603,,MATCH(AJ$8,'Калькуляция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(МИ)'!$AJ$25:$BC$603,,MATCH(AJ$8,'Калькуляция (МИ)'!$AJ$8:$BC$8,0)),'Калькуляция (МИ)'!$F$25:$F$603,$F153,'Калькуляция (МИ)'!$G$25:$G$603,$G153))))</f>
        <v>0</v>
      </c>
      <c r="AK153" s="836">
        <f ca="1">IF(AND(method_reg="Метод индексации",god&lt;&gt;first_year),SUMIFS(INDEX('Калькуляция (МИ корр)'!$AJ$25:$BC$603,,MATCH(AK$8,'Калькуляция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(МИ)'!$AJ$25:$BC$603,,MATCH(AK$8,'Калькуляция (МИ)'!$AJ$8:$BC$8,0)),'Калькуляция (МИ)'!$F$25:$F$603,$F153,'Калькуляция (МИ)'!$G$25:$G$603,$G153))))</f>
        <v>0</v>
      </c>
      <c r="AL153" s="715">
        <f ca="1">IF(AJ153=0,0,(AK153-AJ153)/AJ153*100)</f>
        <v>0</v>
      </c>
      <c r="AM153" s="191">
        <f ca="1">IF(AND(method_reg="Метод индексации",god&lt;&gt;first_year),SUMIFS(INDEX('Калькуляция (МИ корр)'!$AJ$25:$BC$603,,MATCH(AM$8,'Калькуляция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(МИ)'!$AJ$25:$BC$603,,MATCH(AM$8,'Калькуляция (МИ)'!$AJ$8:$BC$8,0)),'Калькуляция (МИ)'!$F$25:$F$603,$F153,'Калькуляция (МИ)'!$G$25:$G$603,$G153))))</f>
        <v>0</v>
      </c>
      <c r="AN153" s="191">
        <f ca="1">IF(AND(method_reg="Метод индексации",god&lt;&gt;first_year),SUMIFS(INDEX('Калькуляция (МИ корр)'!$AJ$25:$BC$603,,MATCH(AN$8,'Калькуляция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(МИ)'!$AJ$25:$BC$603,,MATCH(AN$8,'Калькуляция (МИ)'!$AJ$8:$BC$8,0)),'Калькуляция (МИ)'!$F$25:$F$603,$F153,'Калькуляция (МИ)'!$G$25:$G$603,$G153))))</f>
        <v>0</v>
      </c>
      <c r="AO153" s="715">
        <f ca="1">IF(AM153=0,0,(AN153-AM153)/AM153*100)</f>
        <v>0</v>
      </c>
      <c r="AP153" s="191">
        <f ca="1">IF(AND(method_reg="Метод индексации",god&lt;&gt;first_year),SUMIFS(INDEX('Калькуляция (МИ корр)'!$AJ$25:$BC$603,,MATCH(AP$8,'Калькуляция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(МИ)'!$AJ$25:$BC$603,,MATCH(AP$8,'Калькуляция (МИ)'!$AJ$8:$BC$8,0)),'Калькуляция (МИ)'!$F$25:$F$603,$F153,'Калькуляция (МИ)'!$G$25:$G$603,$G153))))</f>
        <v>0</v>
      </c>
      <c r="AQ153" s="191">
        <f ca="1">IF(AND(method_reg="Метод индексации",god&lt;&gt;first_year),SUMIFS(INDEX('Калькуляция (МИ корр)'!$AJ$25:$BC$603,,MATCH(AQ$8,'Калькуляция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(МИ)'!$AJ$25:$BC$603,,MATCH(AQ$8,'Калькуляция (МИ)'!$AJ$8:$BC$8,0)),'Калькуляция (МИ)'!$F$25:$F$603,$F153,'Калькуляция (МИ)'!$G$25:$G$603,$G153))))</f>
        <v>0</v>
      </c>
      <c r="AR153" s="715">
        <f ca="1">IF(AP153=0,0,(AQ153-AP153)/AP153*100)</f>
        <v>0</v>
      </c>
      <c r="AS153" s="191">
        <f ca="1">IF(AND(method_reg="Метод индексации",god&lt;&gt;first_year),SUMIFS(INDEX('Калькуляция (МИ корр)'!$AJ$25:$BC$603,,MATCH(AS$8,'Калькуляция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(МИ)'!$AJ$25:$BC$603,,MATCH(AS$8,'Калькуляция (МИ)'!$AJ$8:$BC$8,0)),'Калькуляция (МИ)'!$F$25:$F$603,$F153,'Калькуляция (МИ)'!$G$25:$G$603,$G153))))</f>
        <v>0</v>
      </c>
      <c r="AT153" s="191">
        <f ca="1">IF(AND(method_reg="Метод индексации",god&lt;&gt;first_year),SUMIFS(INDEX('Калькуляция (МИ корр)'!$AJ$25:$BC$603,,MATCH(AT$8,'Калькуляция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(МИ)'!$AJ$25:$BC$603,,MATCH(AT$8,'Калькуляция (МИ)'!$AJ$8:$BC$8,0)),'Калькуляция (МИ)'!$F$25:$F$603,$F153,'Калькуляция (МИ)'!$G$25:$G$603,$G153))))</f>
        <v>0</v>
      </c>
      <c r="AU153" s="715">
        <f ca="1">IF(AS153=0,0,(AT153-AS153)/AS153*100)</f>
        <v>0</v>
      </c>
      <c r="AV153" s="191">
        <f ca="1">IF(AND(method_reg="Метод индексации",god&lt;&gt;first_year),SUMIFS(INDEX('Калькуляция (МИ корр)'!$AJ$25:$BC$603,,MATCH(AV$8,'Калькуляция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(МИ)'!$AJ$25:$BC$603,,MATCH(AV$8,'Калькуляция (МИ)'!$AJ$8:$BC$8,0)),'Калькуляция (МИ)'!$F$25:$F$603,$F153,'Калькуляция (МИ)'!$G$25:$G$603,$G153))))</f>
        <v>0</v>
      </c>
      <c r="AW153" s="191">
        <f ca="1">IF(AND(method_reg="Метод индексации",god&lt;&gt;first_year),SUMIFS(INDEX('Калькуляция (МИ корр)'!$AJ$25:$BC$603,,MATCH(AW$8,'Калькуляция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(МИ)'!$AJ$25:$BC$603,,MATCH(AW$8,'Калькуляция (МИ)'!$AJ$8:$BC$8,0)),'Калькуляция (МИ)'!$F$25:$F$603,$F153,'Калькуляция (МИ)'!$G$25:$G$603,$G153))))</f>
        <v>0</v>
      </c>
      <c r="AX153" s="715">
        <f ca="1">IF(AV153=0,0,(AW153-AV153)/AV153*100)</f>
        <v>0</v>
      </c>
      <c r="AY153" s="191">
        <f ca="1">IF(AND(method_reg="Метод индексации",god&lt;&gt;first_year),SUMIFS(INDEX('Калькуляция (МИ корр)'!$AJ$25:$BC$603,,MATCH(AY$8,'Калькуляция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(МИ)'!$AJ$25:$BC$603,,MATCH(AY$8,'Калькуляция (МИ)'!$AJ$8:$BC$8,0)),'Калькуляция (МИ)'!$F$25:$F$603,$F153,'Калькуляция (МИ)'!$G$25:$G$603,$G153))))</f>
        <v>0</v>
      </c>
      <c r="AZ153" s="191">
        <f ca="1">IF(AND(method_reg="Метод индексации",god&lt;&gt;first_year),SUMIFS(INDEX('Калькуляция (МИ корр)'!$AJ$25:$BC$603,,MATCH(AZ$8,'Калькуляция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(МИ)'!$AJ$25:$BC$603,,MATCH(AZ$8,'Калькуляция (МИ)'!$AJ$8:$BC$8,0)),'Калькуляция (МИ)'!$F$25:$F$603,$F153,'Калькуляция (МИ)'!$G$25:$G$603,$G153))))</f>
        <v>0</v>
      </c>
      <c r="BA153" s="715">
        <f ca="1">IF(AY153=0,0,(AZ153-AY153)/AY153*100)</f>
        <v>0</v>
      </c>
      <c r="BB153" s="191">
        <f ca="1">IF(AND(method_reg="Метод индексации",god&lt;&gt;first_year),SUMIFS(INDEX('Калькуляция (МИ корр)'!$AJ$25:$BC$603,,MATCH(BB$8,'Калькуляция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(МИ)'!$AJ$25:$BC$603,,MATCH(BB$8,'Калькуляция (МИ)'!$AJ$8:$BC$8,0)),'Калькуляция (МИ)'!$F$25:$F$603,$F153,'Калькуляция (МИ)'!$G$25:$G$603,$G153))))</f>
        <v>0</v>
      </c>
      <c r="BC153" s="191">
        <f ca="1">IF(AND(method_reg="Метод индексации",god&lt;&gt;first_year),SUMIFS(INDEX('Калькуляция (МИ корр)'!$AJ$25:$BC$603,,MATCH(BC$8,'Калькуляция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(МИ)'!$AJ$25:$BC$603,,MATCH(BC$8,'Калькуляция (МИ)'!$AJ$8:$BC$8,0)),'Калькуляция (МИ)'!$F$25:$F$603,$F153,'Калькуляция (МИ)'!$G$25:$G$603,$G153))))</f>
        <v>0</v>
      </c>
      <c r="BD153" s="715">
        <f ca="1">IF(BB153=0,0,(BC153-BB153)/BB153*100)</f>
        <v>0</v>
      </c>
      <c r="BE153" s="191">
        <f ca="1">IF(AND(method_reg="Метод индексации",god&lt;&gt;first_year),SUMIFS(INDEX('Калькуляция (МИ корр)'!$AJ$25:$BC$603,,MATCH(BE$8,'Калькуляция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(МИ)'!$AJ$25:$BC$603,,MATCH(BE$8,'Калькуляция (МИ)'!$AJ$8:$BC$8,0)),'Калькуляция (МИ)'!$F$25:$F$603,$F153,'Калькуляция (МИ)'!$G$25:$G$603,$G153))))</f>
        <v>0</v>
      </c>
      <c r="BF153" s="191">
        <f ca="1">IF(AND(method_reg="Метод индексации",god&lt;&gt;first_year),SUMIFS(INDEX('Калькуляция (МИ корр)'!$AJ$25:$BC$603,,MATCH(BF$8,'Калькуляция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(МИ)'!$AJ$25:$BC$603,,MATCH(BF$8,'Калькуляция (МИ)'!$AJ$8:$BC$8,0)),'Калькуляция (МИ)'!$F$25:$F$603,$F153,'Калькуляция (МИ)'!$G$25:$G$603,$G153))))</f>
        <v>0</v>
      </c>
      <c r="BG153" s="715">
        <f ca="1">IF(BE153=0,0,(BF153-BE153)/BE153*100)</f>
        <v>0</v>
      </c>
      <c r="BH153" s="191"/>
      <c r="BI153" s="191"/>
      <c r="BJ153" s="715">
        <f>IF(BH153=0,0,(BI153-BH153)/BH153*100)</f>
        <v>0</v>
      </c>
      <c r="BK153" s="191"/>
      <c r="BL153" s="191"/>
      <c r="BM153" s="715">
        <f>IF(BK153=0,0,(BL153-BK153)/BK153*100)</f>
        <v>0</v>
      </c>
      <c r="BN153" s="191"/>
      <c r="BO153" s="191"/>
      <c r="BP153" s="715">
        <f>IF(BN153=0,0,(BO153-BN153)/BN153*100)</f>
        <v>0</v>
      </c>
      <c r="BQ153" s="191"/>
      <c r="BR153" s="191"/>
      <c r="BS153" s="715">
        <f>IF(BQ153=0,0,(BR153-BQ153)/BQ153*100)</f>
        <v>0</v>
      </c>
      <c r="BT153" s="191"/>
      <c r="BU153" s="191"/>
      <c r="BV153" s="715">
        <f>IF(BT153=0,0,(BU153-BT153)/BT153*100)</f>
        <v>0</v>
      </c>
      <c r="BW153" s="191"/>
      <c r="BX153" s="191"/>
      <c r="BY153" s="715">
        <f>IF(BW153=0,0,(BX153-BW153)/BW153*100)</f>
        <v>0</v>
      </c>
      <c r="BZ153" s="191"/>
      <c r="CA153" s="191"/>
      <c r="CB153" s="715">
        <f>IF(BZ153=0,0,(CA153-BZ153)/BZ153*100)</f>
        <v>0</v>
      </c>
      <c r="CC153" s="191"/>
      <c r="CD153" s="191"/>
      <c r="CE153" s="715">
        <f>IF(CC153=0,0,(CD153-CC153)/CC153*100)</f>
        <v>0</v>
      </c>
      <c r="CF153" s="191"/>
      <c r="CG153" s="191"/>
      <c r="CH153" s="715">
        <f>IF(CF153=0,0,(CG153-CF153)/CF153*100)</f>
        <v>0</v>
      </c>
      <c r="CI153" s="191"/>
      <c r="CJ153" s="191"/>
      <c r="CK153" s="715">
        <f>IF(CI153=0,0,(CJ153-CI153)/CI153*100)</f>
        <v>0</v>
      </c>
      <c r="CL153" s="191"/>
      <c r="CM153" s="191"/>
      <c r="CN153" s="715">
        <f>IF(CL153=0,0,(CM153-CL153)/CL153*100)</f>
        <v>0</v>
      </c>
      <c r="CO153" s="191"/>
      <c r="CP153" s="191"/>
      <c r="CQ153" s="715">
        <f>IF(CO153=0,0,(CP153-CO153)/CO153*100)</f>
        <v>0</v>
      </c>
      <c r="CR153" s="191"/>
      <c r="CS153" s="191"/>
      <c r="CT153" s="715">
        <f>IF(CR153=0,0,(CS153-CR153)/CR153*100)</f>
        <v>0</v>
      </c>
      <c r="CU153" s="191"/>
      <c r="CV153" s="191"/>
      <c r="CW153" s="715">
        <f>IF(CU153=0,0,(CV153-CU153)/CU153*100)</f>
        <v>0</v>
      </c>
      <c r="CX153" s="191"/>
      <c r="CY153" s="191"/>
      <c r="CZ153" s="715">
        <f>IF(CX153=0,0,(CY153-CX153)/CX153*100)</f>
        <v>0</v>
      </c>
      <c r="DA153" s="191"/>
      <c r="DB153" s="191"/>
      <c r="DC153" s="715">
        <f>IF(DA153=0,0,(DB153-DA153)/DA153*100)</f>
        <v>0</v>
      </c>
      <c r="DD153" s="191"/>
      <c r="DE153" s="191"/>
      <c r="DF153" s="715">
        <f>IF(DD153=0,0,(DE153-DD153)/DD153*100)</f>
        <v>0</v>
      </c>
      <c r="DG153" s="191"/>
      <c r="DH153" s="191"/>
      <c r="DI153" s="715">
        <f>IF(DG153=0,0,(DH153-DG153)/DG153*100)</f>
        <v>0</v>
      </c>
      <c r="DJ153" s="191"/>
      <c r="DK153" s="191"/>
      <c r="DL153" s="715">
        <f>IF(DJ153=0,0,(DK153-DJ153)/DJ153*100)</f>
        <v>0</v>
      </c>
      <c r="DM153" s="191"/>
      <c r="DN153" s="191"/>
      <c r="DO153" s="715">
        <f>IF(DM153=0,0,(DN153-DM153)/DM153*100)</f>
        <v>0</v>
      </c>
      <c r="DP153" s="191"/>
      <c r="DQ153" s="191"/>
      <c r="DR153" s="715">
        <f>IF(DP153=0,0,(DQ153-DP153)/DP153*100)</f>
        <v>0</v>
      </c>
      <c r="DS153" s="191"/>
      <c r="DT153" s="191"/>
      <c r="DU153" s="715">
        <f>IF(DS153=0,0,(DT153-DS153)/DS153*100)</f>
        <v>0</v>
      </c>
      <c r="DV153" s="191"/>
      <c r="DW153" s="191"/>
      <c r="DX153" s="715">
        <f>IF(DV153=0,0,(DW153-DV153)/DV153*100)</f>
        <v>0</v>
      </c>
      <c r="DY153" s="191"/>
      <c r="DZ153" s="191"/>
      <c r="EA153" s="715">
        <f>IF(DY153=0,0,(DZ153-DY153)/DY153*100)</f>
        <v>0</v>
      </c>
      <c r="EB153" s="191"/>
      <c r="EC153" s="191"/>
      <c r="ED153" s="715">
        <f>IF(EB153=0,0,(EC153-EB153)/EB153*100)</f>
        <v>0</v>
      </c>
      <c r="EE153" s="191"/>
      <c r="EF153" s="191"/>
      <c r="EG153" s="715">
        <f>IF(EE153=0,0,(EF153-EE153)/EE153*100)</f>
        <v>0</v>
      </c>
      <c r="EH153" s="191"/>
      <c r="EI153" s="191"/>
      <c r="EJ153" s="715">
        <f>IF(EH153=0,0,(EI153-EH153)/EH153*100)</f>
        <v>0</v>
      </c>
      <c r="EK153" s="191"/>
      <c r="EL153" s="191"/>
      <c r="EM153" s="715">
        <f>IF(EK153=0,0,(EL153-EK153)/EK153*100)</f>
        <v>0</v>
      </c>
      <c r="EN153" s="191"/>
      <c r="EO153" s="191"/>
      <c r="EP153" s="715">
        <f>IF(EN153=0,0,(EO153-EN153)/EN153*100)</f>
        <v>0</v>
      </c>
      <c r="EQ153" s="191"/>
      <c r="ER153" s="191"/>
      <c r="ES153" s="715">
        <f>IF(EQ153=0,0,(ER153-EQ153)/EQ153*100)</f>
        <v>0</v>
      </c>
      <c r="ET153" s="191"/>
      <c r="EU153" s="191"/>
      <c r="EV153" s="715">
        <f>IF(ET153=0,0,(EU153-ET153)/ET153*100)</f>
        <v>0</v>
      </c>
      <c r="EW153" s="191"/>
      <c r="EX153" s="191"/>
      <c r="EY153" s="715">
        <f>IF(EW153=0,0,(EX153-EW153)/EW153*100)</f>
        <v>0</v>
      </c>
      <c r="EZ153" s="191"/>
      <c r="FA153" s="191"/>
      <c r="FB153" s="715">
        <f>IF(EZ153=0,0,(FA153-EZ153)/EZ153*100)</f>
        <v>0</v>
      </c>
      <c r="FC153" s="191"/>
      <c r="FD153" s="191"/>
      <c r="FE153" s="715">
        <f>IF(FC153=0,0,(FD153-FC153)/FC153*100)</f>
        <v>0</v>
      </c>
      <c r="FF153" s="191"/>
      <c r="FG153" s="191"/>
      <c r="FH153" s="715">
        <f>IF(FF153=0,0,(FG153-FF153)/FF153*100)</f>
        <v>0</v>
      </c>
      <c r="FI153" s="191"/>
      <c r="FJ153" s="191"/>
      <c r="FK153" s="715">
        <f>IF(FI153=0,0,(FJ153-FI153)/FI153*100)</f>
        <v>0</v>
      </c>
      <c r="FL153" s="191"/>
      <c r="FM153" s="191"/>
      <c r="FN153" s="715">
        <f>IF(FL153=0,0,(FM153-FL153)/FL153*100)</f>
        <v>0</v>
      </c>
      <c r="FO153" s="191"/>
      <c r="FP153" s="191"/>
      <c r="FQ153" s="715">
        <f>IF(FO153=0,0,(FP153-FO153)/FO153*100)</f>
        <v>0</v>
      </c>
      <c r="FR153" s="191"/>
      <c r="FS153" s="191"/>
      <c r="FT153" s="715">
        <f>IF(FR153=0,0,(FS153-FR153)/FR153*100)</f>
        <v>0</v>
      </c>
      <c r="FU153" s="191"/>
      <c r="FV153" s="191"/>
      <c r="FW153" s="715">
        <f>IF(FU153=0,0,(FV153-FU153)/FU153*100)</f>
        <v>0</v>
      </c>
      <c r="FX153" s="204"/>
      <c r="FZ153" s="691" t="s">
        <v>1668</v>
      </c>
    </row>
    <row r="154" spans="1:186" ht="18" hidden="1" customHeight="1" x14ac:dyDescent="0.15">
      <c r="A154" s="59"/>
      <c r="B154" s="613" t="b" cm="1">
        <f t="array" ref="B154">B153</f>
        <v>1</v>
      </c>
      <c r="C154" s="59"/>
      <c r="D154" s="59"/>
      <c r="E154" s="462">
        <v>18.75</v>
      </c>
      <c r="F154" s="3" t="str" cm="1">
        <f t="array" aca="1" ref="F154" ca="1">OFFSET(E154,-1,1)</f>
        <v>2</v>
      </c>
      <c r="G154" s="59"/>
      <c r="H154" s="59" t="s">
        <v>482</v>
      </c>
      <c r="I154" s="59" cm="1">
        <f t="array" ref="I154">AB154</f>
        <v>0</v>
      </c>
      <c r="J154" s="59"/>
      <c r="K154" s="59"/>
      <c r="L154" s="59"/>
      <c r="M154" s="59"/>
      <c r="N154" s="59"/>
      <c r="O154" s="59"/>
      <c r="P154" s="59"/>
      <c r="Q154" s="594"/>
      <c r="R154" s="59"/>
      <c r="S154" s="59"/>
      <c r="T154" s="353" t="b">
        <f ca="1">AND(F154&gt;0,Y154&gt;0)</f>
        <v>0</v>
      </c>
      <c r="U154" s="59"/>
      <c r="V154" s="59"/>
      <c r="W154" s="59" t="s">
        <v>172</v>
      </c>
      <c r="X154" s="1022"/>
      <c r="Y154" s="1022">
        <v>0</v>
      </c>
      <c r="Z154" s="966"/>
      <c r="AA154" s="913" t="s">
        <v>173</v>
      </c>
      <c r="AB154" s="863"/>
      <c r="AC154" s="12" t="s">
        <v>1644</v>
      </c>
      <c r="AD154" s="820"/>
      <c r="AE154" s="864"/>
      <c r="AF154" s="714">
        <f>IF(AD154=0,0,(AE154-AD154)/AD154*100)</f>
        <v>0</v>
      </c>
      <c r="AG154" s="820"/>
      <c r="AH154" s="864"/>
      <c r="AI154" s="714">
        <f>IF(AG154=0,0,(AH154-AG154)/AG154*100)</f>
        <v>0</v>
      </c>
      <c r="AJ154" s="820"/>
      <c r="AK154" s="864"/>
      <c r="AL154" s="714">
        <f>IF(AJ154=0,0,(AK154-AJ154)/AJ154*100)</f>
        <v>0</v>
      </c>
      <c r="AM154" s="820"/>
      <c r="AN154" s="864"/>
      <c r="AO154" s="714">
        <f>IF(AM154=0,0,(AN154-AM154)/AM154*100)</f>
        <v>0</v>
      </c>
      <c r="AP154" s="820"/>
      <c r="AQ154" s="864"/>
      <c r="AR154" s="714">
        <f>IF(AP154=0,0,(AQ154-AP154)/AP154*100)</f>
        <v>0</v>
      </c>
      <c r="AS154" s="820"/>
      <c r="AT154" s="864"/>
      <c r="AU154" s="714">
        <f>IF(AS154=0,0,(AT154-AS154)/AS154*100)</f>
        <v>0</v>
      </c>
      <c r="AV154" s="820"/>
      <c r="AW154" s="864"/>
      <c r="AX154" s="714">
        <f>IF(AV154=0,0,(AW154-AV154)/AV154*100)</f>
        <v>0</v>
      </c>
      <c r="AY154" s="820"/>
      <c r="AZ154" s="864"/>
      <c r="BA154" s="714">
        <f>IF(AY154=0,0,(AZ154-AY154)/AY154*100)</f>
        <v>0</v>
      </c>
      <c r="BB154" s="820"/>
      <c r="BC154" s="864"/>
      <c r="BD154" s="714">
        <f>IF(BB154=0,0,(BC154-BB154)/BB154*100)</f>
        <v>0</v>
      </c>
      <c r="BE154" s="820"/>
      <c r="BF154" s="864"/>
      <c r="BG154" s="714">
        <f>IF(BE154=0,0,(BF154-BE154)/BE154*100)</f>
        <v>0</v>
      </c>
      <c r="BH154" s="820"/>
      <c r="BI154" s="864"/>
      <c r="BJ154" s="714">
        <f>IF(BH154=0,0,(BI154-BH154)/BH154*100)</f>
        <v>0</v>
      </c>
      <c r="BK154" s="820"/>
      <c r="BL154" s="864"/>
      <c r="BM154" s="714">
        <f>IF(BK154=0,0,(BL154-BK154)/BK154*100)</f>
        <v>0</v>
      </c>
      <c r="BN154" s="820"/>
      <c r="BO154" s="864"/>
      <c r="BP154" s="714">
        <f>IF(BN154=0,0,(BO154-BN154)/BN154*100)</f>
        <v>0</v>
      </c>
      <c r="BQ154" s="820"/>
      <c r="BR154" s="864"/>
      <c r="BS154" s="714">
        <f>IF(BQ154=0,0,(BR154-BQ154)/BQ154*100)</f>
        <v>0</v>
      </c>
      <c r="BT154" s="820"/>
      <c r="BU154" s="864"/>
      <c r="BV154" s="714">
        <f>IF(BT154=0,0,(BU154-BT154)/BT154*100)</f>
        <v>0</v>
      </c>
      <c r="BW154" s="820"/>
      <c r="BX154" s="864"/>
      <c r="BY154" s="714">
        <f>IF(BW154=0,0,(BX154-BW154)/BW154*100)</f>
        <v>0</v>
      </c>
      <c r="BZ154" s="820"/>
      <c r="CA154" s="864"/>
      <c r="CB154" s="714">
        <f>IF(BZ154=0,0,(CA154-BZ154)/BZ154*100)</f>
        <v>0</v>
      </c>
      <c r="CC154" s="820"/>
      <c r="CD154" s="864"/>
      <c r="CE154" s="714">
        <f>IF(CC154=0,0,(CD154-CC154)/CC154*100)</f>
        <v>0</v>
      </c>
      <c r="CF154" s="820"/>
      <c r="CG154" s="864"/>
      <c r="CH154" s="714">
        <f>IF(CF154=0,0,(CG154-CF154)/CF154*100)</f>
        <v>0</v>
      </c>
      <c r="CI154" s="820"/>
      <c r="CJ154" s="864"/>
      <c r="CK154" s="714">
        <f>IF(CI154=0,0,(CJ154-CI154)/CI154*100)</f>
        <v>0</v>
      </c>
      <c r="CL154" s="820"/>
      <c r="CM154" s="864"/>
      <c r="CN154" s="714">
        <f>IF(CL154=0,0,(CM154-CL154)/CL154*100)</f>
        <v>0</v>
      </c>
      <c r="CO154" s="820"/>
      <c r="CP154" s="864"/>
      <c r="CQ154" s="714">
        <f>IF(CO154=0,0,(CP154-CO154)/CO154*100)</f>
        <v>0</v>
      </c>
      <c r="CR154" s="820"/>
      <c r="CS154" s="864"/>
      <c r="CT154" s="714">
        <f>IF(CR154=0,0,(CS154-CR154)/CR154*100)</f>
        <v>0</v>
      </c>
      <c r="CU154" s="820"/>
      <c r="CV154" s="864"/>
      <c r="CW154" s="714">
        <f>IF(CU154=0,0,(CV154-CU154)/CU154*100)</f>
        <v>0</v>
      </c>
      <c r="CX154" s="820"/>
      <c r="CY154" s="864"/>
      <c r="CZ154" s="714">
        <f>IF(CX154=0,0,(CY154-CX154)/CX154*100)</f>
        <v>0</v>
      </c>
      <c r="DA154" s="820"/>
      <c r="DB154" s="864"/>
      <c r="DC154" s="714">
        <f>IF(DA154=0,0,(DB154-DA154)/DA154*100)</f>
        <v>0</v>
      </c>
      <c r="DD154" s="820"/>
      <c r="DE154" s="864"/>
      <c r="DF154" s="714">
        <f>IF(DD154=0,0,(DE154-DD154)/DD154*100)</f>
        <v>0</v>
      </c>
      <c r="DG154" s="820"/>
      <c r="DH154" s="864"/>
      <c r="DI154" s="714">
        <f>IF(DG154=0,0,(DH154-DG154)/DG154*100)</f>
        <v>0</v>
      </c>
      <c r="DJ154" s="820"/>
      <c r="DK154" s="864"/>
      <c r="DL154" s="714">
        <f>IF(DJ154=0,0,(DK154-DJ154)/DJ154*100)</f>
        <v>0</v>
      </c>
      <c r="DM154" s="820"/>
      <c r="DN154" s="864"/>
      <c r="DO154" s="714">
        <f>IF(DM154=0,0,(DN154-DM154)/DM154*100)</f>
        <v>0</v>
      </c>
      <c r="DP154" s="820"/>
      <c r="DQ154" s="864"/>
      <c r="DR154" s="714">
        <f>IF(DP154=0,0,(DQ154-DP154)/DP154*100)</f>
        <v>0</v>
      </c>
      <c r="DS154" s="820"/>
      <c r="DT154" s="864"/>
      <c r="DU154" s="714">
        <f>IF(DS154=0,0,(DT154-DS154)/DS154*100)</f>
        <v>0</v>
      </c>
      <c r="DV154" s="820"/>
      <c r="DW154" s="864"/>
      <c r="DX154" s="714">
        <f>IF(DV154=0,0,(DW154-DV154)/DV154*100)</f>
        <v>0</v>
      </c>
      <c r="DY154" s="820"/>
      <c r="DZ154" s="864"/>
      <c r="EA154" s="714">
        <f>IF(DY154=0,0,(DZ154-DY154)/DY154*100)</f>
        <v>0</v>
      </c>
      <c r="EB154" s="820"/>
      <c r="EC154" s="864"/>
      <c r="ED154" s="714">
        <f>IF(EB154=0,0,(EC154-EB154)/EB154*100)</f>
        <v>0</v>
      </c>
      <c r="EE154" s="820"/>
      <c r="EF154" s="864"/>
      <c r="EG154" s="714">
        <f>IF(EE154=0,0,(EF154-EE154)/EE154*100)</f>
        <v>0</v>
      </c>
      <c r="EH154" s="820"/>
      <c r="EI154" s="864"/>
      <c r="EJ154" s="714">
        <f>IF(EH154=0,0,(EI154-EH154)/EH154*100)</f>
        <v>0</v>
      </c>
      <c r="EK154" s="820"/>
      <c r="EL154" s="864"/>
      <c r="EM154" s="714">
        <f>IF(EK154=0,0,(EL154-EK154)/EK154*100)</f>
        <v>0</v>
      </c>
      <c r="EN154" s="820"/>
      <c r="EO154" s="864"/>
      <c r="EP154" s="714">
        <f>IF(EN154=0,0,(EO154-EN154)/EN154*100)</f>
        <v>0</v>
      </c>
      <c r="EQ154" s="820"/>
      <c r="ER154" s="864"/>
      <c r="ES154" s="714">
        <f>IF(EQ154=0,0,(ER154-EQ154)/EQ154*100)</f>
        <v>0</v>
      </c>
      <c r="ET154" s="820"/>
      <c r="EU154" s="864"/>
      <c r="EV154" s="714">
        <f>IF(ET154=0,0,(EU154-ET154)/ET154*100)</f>
        <v>0</v>
      </c>
      <c r="EW154" s="820"/>
      <c r="EX154" s="864"/>
      <c r="EY154" s="714">
        <f>IF(EW154=0,0,(EX154-EW154)/EW154*100)</f>
        <v>0</v>
      </c>
      <c r="EZ154" s="820"/>
      <c r="FA154" s="864"/>
      <c r="FB154" s="714">
        <f>IF(EZ154=0,0,(FA154-EZ154)/EZ154*100)</f>
        <v>0</v>
      </c>
      <c r="FC154" s="820"/>
      <c r="FD154" s="864"/>
      <c r="FE154" s="714">
        <f>IF(FC154=0,0,(FD154-FC154)/FC154*100)</f>
        <v>0</v>
      </c>
      <c r="FF154" s="820"/>
      <c r="FG154" s="864"/>
      <c r="FH154" s="714">
        <f>IF(FF154=0,0,(FG154-FF154)/FF154*100)</f>
        <v>0</v>
      </c>
      <c r="FI154" s="820"/>
      <c r="FJ154" s="864"/>
      <c r="FK154" s="714">
        <f>IF(FI154=0,0,(FJ154-FI154)/FI154*100)</f>
        <v>0</v>
      </c>
      <c r="FL154" s="820"/>
      <c r="FM154" s="864"/>
      <c r="FN154" s="714">
        <f>IF(FL154=0,0,(FM154-FL154)/FL154*100)</f>
        <v>0</v>
      </c>
      <c r="FO154" s="820"/>
      <c r="FP154" s="864"/>
      <c r="FQ154" s="714">
        <f>IF(FO154=0,0,(FP154-FO154)/FO154*100)</f>
        <v>0</v>
      </c>
      <c r="FR154" s="820"/>
      <c r="FS154" s="864"/>
      <c r="FT154" s="714">
        <f>IF(FR154=0,0,(FS154-FR154)/FR154*100)</f>
        <v>0</v>
      </c>
      <c r="FU154" s="820"/>
      <c r="FV154" s="864"/>
      <c r="FW154" s="714">
        <f>IF(FU154=0,0,(FV154-FU154)/FU154*100)</f>
        <v>0</v>
      </c>
      <c r="FX154" s="204"/>
      <c r="FZ154" s="691" t="s">
        <v>1669</v>
      </c>
      <c r="GA154" s="671" t="s">
        <v>1670</v>
      </c>
      <c r="GB154" s="671" cm="1">
        <f t="array" ref="GB154">AB154</f>
        <v>0</v>
      </c>
      <c r="GD154" s="461" t="b">
        <v>1</v>
      </c>
    </row>
    <row r="155" spans="1:186" ht="14.25" hidden="1" customHeight="1" x14ac:dyDescent="0.15">
      <c r="A155" s="59"/>
      <c r="B155" s="613" t="b" cm="1">
        <f t="array" ref="B155">B154</f>
        <v>1</v>
      </c>
      <c r="C155" s="59"/>
      <c r="D155" s="59"/>
      <c r="E155" s="462">
        <v>15</v>
      </c>
      <c r="F155" s="3" t="str" cm="1">
        <f t="array" aca="1" ref="F155" ca="1">OFFSET(E155,-1,1)</f>
        <v>2</v>
      </c>
      <c r="G155" s="59"/>
      <c r="H155" s="59" t="s">
        <v>489</v>
      </c>
      <c r="I155" s="59" cm="1">
        <f t="array" ref="I155">I154</f>
        <v>0</v>
      </c>
      <c r="J155" s="59"/>
      <c r="K155" s="59"/>
      <c r="L155" s="59"/>
      <c r="M155" s="59"/>
      <c r="N155" s="59"/>
      <c r="O155" s="59"/>
      <c r="P155" s="59"/>
      <c r="Q155" s="594"/>
      <c r="R155" s="59"/>
      <c r="S155" s="59"/>
      <c r="T155" s="353" t="b" cm="1">
        <f t="array" aca="1" ref="T155" ca="1">T154</f>
        <v>0</v>
      </c>
      <c r="U155" s="59"/>
      <c r="V155" s="59"/>
      <c r="W155" s="59"/>
      <c r="X155" s="1022"/>
      <c r="Y155" s="1022"/>
      <c r="Z155" s="966"/>
      <c r="AA155" s="913"/>
      <c r="AB155" s="54" t="s">
        <v>1671</v>
      </c>
      <c r="AC155" s="7" t="s">
        <v>558</v>
      </c>
      <c r="AD155" s="836"/>
      <c r="AE155" s="836"/>
      <c r="AF155" s="715">
        <f>IF(AD155=0,0,(AE155-AD155)/AD155*100)</f>
        <v>0</v>
      </c>
      <c r="AG155" s="836"/>
      <c r="AH155" s="836"/>
      <c r="AI155" s="715">
        <f>IF(AG155=0,0,(AH155-AG155)/AG155*100)</f>
        <v>0</v>
      </c>
      <c r="AJ155" s="836"/>
      <c r="AK155" s="836"/>
      <c r="AL155" s="715">
        <f>IF(AJ155=0,0,(AK155-AJ155)/AJ155*100)</f>
        <v>0</v>
      </c>
      <c r="AM155" s="836"/>
      <c r="AN155" s="836"/>
      <c r="AO155" s="715">
        <f>IF(AM155=0,0,(AN155-AM155)/AM155*100)</f>
        <v>0</v>
      </c>
      <c r="AP155" s="836"/>
      <c r="AQ155" s="836"/>
      <c r="AR155" s="715">
        <f>IF(AP155=0,0,(AQ155-AP155)/AP155*100)</f>
        <v>0</v>
      </c>
      <c r="AS155" s="836"/>
      <c r="AT155" s="836"/>
      <c r="AU155" s="715">
        <f>IF(AS155=0,0,(AT155-AS155)/AS155*100)</f>
        <v>0</v>
      </c>
      <c r="AV155" s="836"/>
      <c r="AW155" s="836"/>
      <c r="AX155" s="715">
        <f>IF(AV155=0,0,(AW155-AV155)/AV155*100)</f>
        <v>0</v>
      </c>
      <c r="AY155" s="836"/>
      <c r="AZ155" s="836"/>
      <c r="BA155" s="715">
        <f>IF(AY155=0,0,(AZ155-AY155)/AY155*100)</f>
        <v>0</v>
      </c>
      <c r="BB155" s="836"/>
      <c r="BC155" s="836"/>
      <c r="BD155" s="715">
        <f>IF(BB155=0,0,(BC155-BB155)/BB155*100)</f>
        <v>0</v>
      </c>
      <c r="BE155" s="836"/>
      <c r="BF155" s="836"/>
      <c r="BG155" s="715">
        <f>IF(BE155=0,0,(BF155-BE155)/BE155*100)</f>
        <v>0</v>
      </c>
      <c r="BH155" s="836"/>
      <c r="BI155" s="836"/>
      <c r="BJ155" s="715">
        <f>IF(BH155=0,0,(BI155-BH155)/BH155*100)</f>
        <v>0</v>
      </c>
      <c r="BK155" s="836"/>
      <c r="BL155" s="836"/>
      <c r="BM155" s="715">
        <f>IF(BK155=0,0,(BL155-BK155)/BK155*100)</f>
        <v>0</v>
      </c>
      <c r="BN155" s="836"/>
      <c r="BO155" s="836"/>
      <c r="BP155" s="715">
        <f>IF(BN155=0,0,(BO155-BN155)/BN155*100)</f>
        <v>0</v>
      </c>
      <c r="BQ155" s="836"/>
      <c r="BR155" s="836"/>
      <c r="BS155" s="715">
        <f>IF(BQ155=0,0,(BR155-BQ155)/BQ155*100)</f>
        <v>0</v>
      </c>
      <c r="BT155" s="836"/>
      <c r="BU155" s="836"/>
      <c r="BV155" s="715">
        <f>IF(BT155=0,0,(BU155-BT155)/BT155*100)</f>
        <v>0</v>
      </c>
      <c r="BW155" s="836"/>
      <c r="BX155" s="836"/>
      <c r="BY155" s="715">
        <f>IF(BW155=0,0,(BX155-BW155)/BW155*100)</f>
        <v>0</v>
      </c>
      <c r="BZ155" s="836"/>
      <c r="CA155" s="836"/>
      <c r="CB155" s="715">
        <f>IF(BZ155=0,0,(CA155-BZ155)/BZ155*100)</f>
        <v>0</v>
      </c>
      <c r="CC155" s="836"/>
      <c r="CD155" s="836"/>
      <c r="CE155" s="715">
        <f>IF(CC155=0,0,(CD155-CC155)/CC155*100)</f>
        <v>0</v>
      </c>
      <c r="CF155" s="836"/>
      <c r="CG155" s="836"/>
      <c r="CH155" s="715">
        <f>IF(CF155=0,0,(CG155-CF155)/CF155*100)</f>
        <v>0</v>
      </c>
      <c r="CI155" s="836"/>
      <c r="CJ155" s="836"/>
      <c r="CK155" s="715">
        <f>IF(CI155=0,0,(CJ155-CI155)/CI155*100)</f>
        <v>0</v>
      </c>
      <c r="CL155" s="836"/>
      <c r="CM155" s="836"/>
      <c r="CN155" s="715">
        <f>IF(CL155=0,0,(CM155-CL155)/CL155*100)</f>
        <v>0</v>
      </c>
      <c r="CO155" s="836"/>
      <c r="CP155" s="836"/>
      <c r="CQ155" s="715">
        <f>IF(CO155=0,0,(CP155-CO155)/CO155*100)</f>
        <v>0</v>
      </c>
      <c r="CR155" s="836"/>
      <c r="CS155" s="836"/>
      <c r="CT155" s="715">
        <f>IF(CR155=0,0,(CS155-CR155)/CR155*100)</f>
        <v>0</v>
      </c>
      <c r="CU155" s="836"/>
      <c r="CV155" s="836"/>
      <c r="CW155" s="715">
        <f>IF(CU155=0,0,(CV155-CU155)/CU155*100)</f>
        <v>0</v>
      </c>
      <c r="CX155" s="836"/>
      <c r="CY155" s="836"/>
      <c r="CZ155" s="715">
        <f>IF(CX155=0,0,(CY155-CX155)/CX155*100)</f>
        <v>0</v>
      </c>
      <c r="DA155" s="836"/>
      <c r="DB155" s="836"/>
      <c r="DC155" s="715">
        <f>IF(DA155=0,0,(DB155-DA155)/DA155*100)</f>
        <v>0</v>
      </c>
      <c r="DD155" s="836"/>
      <c r="DE155" s="836"/>
      <c r="DF155" s="715">
        <f>IF(DD155=0,0,(DE155-DD155)/DD155*100)</f>
        <v>0</v>
      </c>
      <c r="DG155" s="836"/>
      <c r="DH155" s="836"/>
      <c r="DI155" s="715">
        <f>IF(DG155=0,0,(DH155-DG155)/DG155*100)</f>
        <v>0</v>
      </c>
      <c r="DJ155" s="836"/>
      <c r="DK155" s="836"/>
      <c r="DL155" s="715">
        <f>IF(DJ155=0,0,(DK155-DJ155)/DJ155*100)</f>
        <v>0</v>
      </c>
      <c r="DM155" s="836"/>
      <c r="DN155" s="836"/>
      <c r="DO155" s="715">
        <f>IF(DM155=0,0,(DN155-DM155)/DM155*100)</f>
        <v>0</v>
      </c>
      <c r="DP155" s="836"/>
      <c r="DQ155" s="836"/>
      <c r="DR155" s="715">
        <f>IF(DP155=0,0,(DQ155-DP155)/DP155*100)</f>
        <v>0</v>
      </c>
      <c r="DS155" s="836"/>
      <c r="DT155" s="836"/>
      <c r="DU155" s="715">
        <f>IF(DS155=0,0,(DT155-DS155)/DS155*100)</f>
        <v>0</v>
      </c>
      <c r="DV155" s="836"/>
      <c r="DW155" s="836"/>
      <c r="DX155" s="715">
        <f>IF(DV155=0,0,(DW155-DV155)/DV155*100)</f>
        <v>0</v>
      </c>
      <c r="DY155" s="836"/>
      <c r="DZ155" s="836"/>
      <c r="EA155" s="715">
        <f>IF(DY155=0,0,(DZ155-DY155)/DY155*100)</f>
        <v>0</v>
      </c>
      <c r="EB155" s="836"/>
      <c r="EC155" s="836"/>
      <c r="ED155" s="715">
        <f>IF(EB155=0,0,(EC155-EB155)/EB155*100)</f>
        <v>0</v>
      </c>
      <c r="EE155" s="836"/>
      <c r="EF155" s="836"/>
      <c r="EG155" s="715">
        <f>IF(EE155=0,0,(EF155-EE155)/EE155*100)</f>
        <v>0</v>
      </c>
      <c r="EH155" s="836"/>
      <c r="EI155" s="836"/>
      <c r="EJ155" s="715">
        <f>IF(EH155=0,0,(EI155-EH155)/EH155*100)</f>
        <v>0</v>
      </c>
      <c r="EK155" s="836"/>
      <c r="EL155" s="836"/>
      <c r="EM155" s="715">
        <f>IF(EK155=0,0,(EL155-EK155)/EK155*100)</f>
        <v>0</v>
      </c>
      <c r="EN155" s="836"/>
      <c r="EO155" s="836"/>
      <c r="EP155" s="715">
        <f>IF(EN155=0,0,(EO155-EN155)/EN155*100)</f>
        <v>0</v>
      </c>
      <c r="EQ155" s="836"/>
      <c r="ER155" s="836"/>
      <c r="ES155" s="715">
        <f>IF(EQ155=0,0,(ER155-EQ155)/EQ155*100)</f>
        <v>0</v>
      </c>
      <c r="ET155" s="836"/>
      <c r="EU155" s="836"/>
      <c r="EV155" s="715">
        <f>IF(ET155=0,0,(EU155-ET155)/ET155*100)</f>
        <v>0</v>
      </c>
      <c r="EW155" s="836"/>
      <c r="EX155" s="836"/>
      <c r="EY155" s="715">
        <f>IF(EW155=0,0,(EX155-EW155)/EW155*100)</f>
        <v>0</v>
      </c>
      <c r="EZ155" s="836"/>
      <c r="FA155" s="836"/>
      <c r="FB155" s="715">
        <f>IF(EZ155=0,0,(FA155-EZ155)/EZ155*100)</f>
        <v>0</v>
      </c>
      <c r="FC155" s="836"/>
      <c r="FD155" s="836"/>
      <c r="FE155" s="715">
        <f>IF(FC155=0,0,(FD155-FC155)/FC155*100)</f>
        <v>0</v>
      </c>
      <c r="FF155" s="836"/>
      <c r="FG155" s="836"/>
      <c r="FH155" s="715">
        <f>IF(FF155=0,0,(FG155-FF155)/FF155*100)</f>
        <v>0</v>
      </c>
      <c r="FI155" s="836"/>
      <c r="FJ155" s="836"/>
      <c r="FK155" s="715">
        <f>IF(FI155=0,0,(FJ155-FI155)/FI155*100)</f>
        <v>0</v>
      </c>
      <c r="FL155" s="836"/>
      <c r="FM155" s="836"/>
      <c r="FN155" s="715">
        <f>IF(FL155=0,0,(FM155-FL155)/FL155*100)</f>
        <v>0</v>
      </c>
      <c r="FO155" s="836"/>
      <c r="FP155" s="836"/>
      <c r="FQ155" s="715">
        <f>IF(FO155=0,0,(FP155-FO155)/FO155*100)</f>
        <v>0</v>
      </c>
      <c r="FR155" s="836"/>
      <c r="FS155" s="836"/>
      <c r="FT155" s="715">
        <f>IF(FR155=0,0,(FS155-FR155)/FR155*100)</f>
        <v>0</v>
      </c>
      <c r="FU155" s="836"/>
      <c r="FV155" s="836"/>
      <c r="FW155" s="715">
        <f>IF(FU155=0,0,(FV155-FU155)/FU155*100)</f>
        <v>0</v>
      </c>
      <c r="FX155" s="204"/>
      <c r="FZ155" s="691" t="s">
        <v>1672</v>
      </c>
      <c r="GA155" s="671" t="s">
        <v>1670</v>
      </c>
      <c r="GB155" s="671" cm="1">
        <f t="array" ref="GB155">GB154</f>
        <v>0</v>
      </c>
    </row>
    <row r="156" spans="1:186" ht="14.25" customHeight="1" x14ac:dyDescent="0.15">
      <c r="A156" s="59"/>
      <c r="B156" s="613" t="b" cm="1">
        <f t="array" ref="B156">B155</f>
        <v>1</v>
      </c>
      <c r="C156" s="59"/>
      <c r="D156" s="59"/>
      <c r="E156" s="462">
        <v>15</v>
      </c>
      <c r="F156" s="3" t="str" cm="1">
        <f t="array" aca="1" ref="F156" ca="1">OFFSET(E156,-1,1)</f>
        <v>2</v>
      </c>
      <c r="G156" s="59"/>
      <c r="H156" s="59"/>
      <c r="I156" s="17" t="s">
        <v>1673</v>
      </c>
      <c r="J156" s="59"/>
      <c r="K156" s="59"/>
      <c r="L156" s="59"/>
      <c r="M156" s="59"/>
      <c r="N156" s="59"/>
      <c r="O156" s="59"/>
      <c r="P156" s="59"/>
      <c r="Q156" s="59"/>
      <c r="R156" s="4"/>
      <c r="S156" s="59"/>
      <c r="T156" s="353" t="b">
        <f ca="1">F156&gt;0</f>
        <v>1</v>
      </c>
      <c r="U156" s="59"/>
      <c r="W156" s="517" t="s">
        <v>1674</v>
      </c>
      <c r="X156" s="1022"/>
      <c r="Z156" s="966"/>
      <c r="AB156" s="172" t="s">
        <v>176</v>
      </c>
      <c r="AC156" s="176"/>
      <c r="AD156" s="716"/>
      <c r="AE156" s="716"/>
      <c r="AF156" s="716"/>
      <c r="AG156" s="716"/>
      <c r="AH156" s="716"/>
      <c r="AI156" s="716"/>
      <c r="AJ156" s="716"/>
      <c r="AK156" s="716"/>
      <c r="AL156" s="716"/>
      <c r="AM156" s="716"/>
      <c r="AN156" s="716"/>
      <c r="AO156" s="716"/>
      <c r="AP156" s="716"/>
      <c r="AQ156" s="716"/>
      <c r="AR156" s="716"/>
      <c r="AS156" s="716"/>
      <c r="AT156" s="716"/>
      <c r="AU156" s="716"/>
      <c r="AV156" s="716"/>
      <c r="AW156" s="716"/>
      <c r="AX156" s="716"/>
      <c r="AY156" s="716"/>
      <c r="AZ156" s="716"/>
      <c r="BA156" s="716"/>
      <c r="BB156" s="716"/>
      <c r="BC156" s="716"/>
      <c r="BD156" s="716"/>
      <c r="BE156" s="716"/>
      <c r="BF156" s="716"/>
      <c r="BG156" s="716"/>
      <c r="BH156" s="716"/>
      <c r="BI156" s="716"/>
      <c r="BJ156" s="716"/>
      <c r="BK156" s="716"/>
      <c r="BL156" s="716"/>
      <c r="BM156" s="716"/>
      <c r="BN156" s="716"/>
      <c r="BO156" s="716"/>
      <c r="BP156" s="716"/>
      <c r="BQ156" s="716"/>
      <c r="BR156" s="716"/>
      <c r="BS156" s="716"/>
      <c r="BT156" s="716"/>
      <c r="BU156" s="716"/>
      <c r="BV156" s="716"/>
      <c r="BW156" s="716"/>
      <c r="BX156" s="716"/>
      <c r="BY156" s="716"/>
      <c r="BZ156" s="716"/>
      <c r="CA156" s="716"/>
      <c r="CB156" s="716"/>
      <c r="CC156" s="716"/>
      <c r="CD156" s="716"/>
      <c r="CE156" s="716"/>
      <c r="CF156" s="716"/>
      <c r="CG156" s="716"/>
      <c r="CH156" s="716"/>
      <c r="CI156" s="716"/>
      <c r="CJ156" s="716"/>
      <c r="CK156" s="716"/>
      <c r="CL156" s="716"/>
      <c r="CM156" s="716"/>
      <c r="CN156" s="716"/>
      <c r="CO156" s="716"/>
      <c r="CP156" s="716"/>
      <c r="CQ156" s="716"/>
      <c r="CR156" s="716"/>
      <c r="CS156" s="716"/>
      <c r="CT156" s="716"/>
      <c r="CU156" s="716"/>
      <c r="CV156" s="716"/>
      <c r="CW156" s="716"/>
      <c r="CX156" s="716"/>
      <c r="CY156" s="716"/>
      <c r="CZ156" s="716"/>
      <c r="DA156" s="716"/>
      <c r="DB156" s="716"/>
      <c r="DC156" s="716"/>
      <c r="DD156" s="716"/>
      <c r="DE156" s="716"/>
      <c r="DF156" s="716"/>
      <c r="DG156" s="716"/>
      <c r="DH156" s="716"/>
      <c r="DI156" s="716"/>
      <c r="DJ156" s="716"/>
      <c r="DK156" s="716"/>
      <c r="DL156" s="716"/>
      <c r="DM156" s="716"/>
      <c r="DN156" s="716"/>
      <c r="DO156" s="716"/>
      <c r="DP156" s="716"/>
      <c r="DQ156" s="716"/>
      <c r="DR156" s="716"/>
      <c r="DS156" s="716"/>
      <c r="DT156" s="716"/>
      <c r="DU156" s="716"/>
      <c r="DV156" s="716"/>
      <c r="DW156" s="716"/>
      <c r="DX156" s="716"/>
      <c r="DY156" s="716"/>
      <c r="DZ156" s="716"/>
      <c r="EA156" s="716"/>
      <c r="EB156" s="716"/>
      <c r="EC156" s="716"/>
      <c r="ED156" s="716"/>
      <c r="EE156" s="716"/>
      <c r="EF156" s="716"/>
      <c r="EG156" s="716"/>
      <c r="EH156" s="716"/>
      <c r="EI156" s="716"/>
      <c r="EJ156" s="716"/>
      <c r="EK156" s="716"/>
      <c r="EL156" s="716"/>
      <c r="EM156" s="716"/>
      <c r="EN156" s="716"/>
      <c r="EO156" s="716"/>
      <c r="EP156" s="716"/>
      <c r="EQ156" s="716"/>
      <c r="ER156" s="716"/>
      <c r="ES156" s="716"/>
      <c r="ET156" s="716"/>
      <c r="EU156" s="716"/>
      <c r="EV156" s="716"/>
      <c r="EW156" s="716"/>
      <c r="EX156" s="716"/>
      <c r="EY156" s="716"/>
      <c r="EZ156" s="716"/>
      <c r="FA156" s="716"/>
      <c r="FB156" s="716"/>
      <c r="FC156" s="716"/>
      <c r="FD156" s="716"/>
      <c r="FE156" s="716"/>
      <c r="FF156" s="716"/>
      <c r="FG156" s="716"/>
      <c r="FH156" s="716"/>
      <c r="FI156" s="716"/>
      <c r="FJ156" s="716"/>
      <c r="FK156" s="716"/>
      <c r="FL156" s="716"/>
      <c r="FM156" s="716"/>
      <c r="FN156" s="716"/>
      <c r="FO156" s="716"/>
      <c r="FP156" s="716"/>
      <c r="FQ156" s="716"/>
      <c r="FR156" s="716"/>
      <c r="FS156" s="716"/>
      <c r="FT156" s="716"/>
      <c r="FU156" s="716"/>
      <c r="FV156" s="716"/>
      <c r="FW156" s="717"/>
      <c r="FZ156" s="691" t="s">
        <v>225</v>
      </c>
      <c r="GC156" s="461" t="s">
        <v>1670</v>
      </c>
    </row>
    <row r="157" spans="1:186" ht="14.25" hidden="1" customHeight="1" x14ac:dyDescent="0.15">
      <c r="A157" s="59"/>
      <c r="B157" s="613" t="b">
        <f>AND(R141="двухставочный",NOT(S141))</f>
        <v>0</v>
      </c>
      <c r="C157" s="59"/>
      <c r="D157" s="59"/>
      <c r="E157" s="462">
        <v>15</v>
      </c>
      <c r="F157" s="3" t="str" cm="1">
        <f t="array" aca="1" ref="F157" ca="1">OFFSET(E157,-1,1)</f>
        <v>2</v>
      </c>
      <c r="G157" s="59"/>
      <c r="H157" s="59"/>
      <c r="I157" s="59"/>
      <c r="J157" s="59"/>
      <c r="K157" s="59"/>
      <c r="L157" s="59"/>
      <c r="M157" s="59"/>
      <c r="N157" s="59"/>
      <c r="O157" s="59"/>
      <c r="P157" s="59"/>
      <c r="Q157" s="59"/>
      <c r="R157" s="4"/>
      <c r="S157" s="59"/>
      <c r="T157" s="353" t="b" cm="1">
        <f t="array" aca="1" ref="T157" ca="1">T156</f>
        <v>1</v>
      </c>
      <c r="U157" s="59"/>
      <c r="V157" s="59"/>
      <c r="W157" s="59"/>
      <c r="X157" s="1022"/>
      <c r="Y157" s="59"/>
      <c r="Z157" s="966"/>
      <c r="AA157" s="59"/>
      <c r="AB157" s="592" t="s">
        <v>1675</v>
      </c>
      <c r="AC157" s="593"/>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91" t="s">
        <v>225</v>
      </c>
    </row>
    <row r="158" spans="1:186" ht="23.25" hidden="1" customHeight="1" x14ac:dyDescent="0.15">
      <c r="A158" s="59"/>
      <c r="B158" s="613" t="b" cm="1">
        <f t="array" ref="B158">B157</f>
        <v>0</v>
      </c>
      <c r="C158" s="59"/>
      <c r="D158" s="59"/>
      <c r="E158" s="462">
        <v>24.5</v>
      </c>
      <c r="F158" s="3" t="str" cm="1">
        <f t="array" aca="1" ref="F158" ca="1">OFFSET(E158,-1,1)</f>
        <v>2</v>
      </c>
      <c r="G158" s="59"/>
      <c r="H158" s="59"/>
      <c r="I158" s="59"/>
      <c r="J158" s="59"/>
      <c r="K158" s="59"/>
      <c r="L158" s="59"/>
      <c r="M158" s="59"/>
      <c r="N158" s="59"/>
      <c r="O158" s="59"/>
      <c r="P158" s="59"/>
      <c r="Q158" s="59"/>
      <c r="R158" s="59"/>
      <c r="S158" s="59"/>
      <c r="T158" s="353" t="b" cm="1">
        <f t="array" aca="1" ref="T158" ca="1">T157</f>
        <v>1</v>
      </c>
      <c r="U158" s="59"/>
      <c r="V158" s="59"/>
      <c r="W158" s="59"/>
      <c r="X158" s="1022"/>
      <c r="Y158" s="59"/>
      <c r="Z158" s="966"/>
      <c r="AA158" s="59"/>
      <c r="AB158" s="205" t="s">
        <v>1676</v>
      </c>
      <c r="AC158" s="597"/>
      <c r="AD158" s="718"/>
      <c r="AE158" s="718"/>
      <c r="AF158" s="718"/>
      <c r="AG158" s="718"/>
      <c r="AH158" s="718"/>
      <c r="AI158" s="718"/>
      <c r="AJ158" s="718"/>
      <c r="AK158" s="718"/>
      <c r="AL158" s="718"/>
      <c r="AM158" s="718"/>
      <c r="AN158" s="718"/>
      <c r="AO158" s="718"/>
      <c r="AP158" s="718"/>
      <c r="AQ158" s="718"/>
      <c r="AR158" s="718"/>
      <c r="AS158" s="718"/>
      <c r="AT158" s="718"/>
      <c r="AU158" s="718"/>
      <c r="AV158" s="718"/>
      <c r="AW158" s="718"/>
      <c r="AX158" s="718"/>
      <c r="AY158" s="718"/>
      <c r="AZ158" s="718"/>
      <c r="BA158" s="718"/>
      <c r="BB158" s="718"/>
      <c r="BC158" s="718"/>
      <c r="BD158" s="718"/>
      <c r="BE158" s="718"/>
      <c r="BF158" s="718"/>
      <c r="BG158" s="718"/>
      <c r="BH158" s="718"/>
      <c r="BI158" s="718"/>
      <c r="BJ158" s="718"/>
      <c r="BK158" s="718"/>
      <c r="BL158" s="718"/>
      <c r="BM158" s="718"/>
      <c r="BN158" s="718"/>
      <c r="BO158" s="718"/>
      <c r="BP158" s="718"/>
      <c r="BQ158" s="718"/>
      <c r="BR158" s="718"/>
      <c r="BS158" s="718"/>
      <c r="BT158" s="718"/>
      <c r="BU158" s="718"/>
      <c r="BV158" s="718"/>
      <c r="BW158" s="718"/>
      <c r="BX158" s="718"/>
      <c r="BY158" s="718"/>
      <c r="BZ158" s="718"/>
      <c r="CA158" s="718"/>
      <c r="CB158" s="718"/>
      <c r="CC158" s="718"/>
      <c r="CD158" s="718"/>
      <c r="CE158" s="718"/>
      <c r="CF158" s="718"/>
      <c r="CG158" s="718"/>
      <c r="CH158" s="718"/>
      <c r="CI158" s="718"/>
      <c r="CJ158" s="718"/>
      <c r="CK158" s="718"/>
      <c r="CL158" s="718"/>
      <c r="CM158" s="718"/>
      <c r="CN158" s="718"/>
      <c r="CO158" s="718"/>
      <c r="CP158" s="718"/>
      <c r="CQ158" s="718"/>
      <c r="CR158" s="718"/>
      <c r="CS158" s="718"/>
      <c r="CT158" s="718"/>
      <c r="CU158" s="718"/>
      <c r="CV158" s="718"/>
      <c r="CW158" s="718"/>
      <c r="CX158" s="718"/>
      <c r="CY158" s="718"/>
      <c r="CZ158" s="718"/>
      <c r="DA158" s="718"/>
      <c r="DB158" s="718"/>
      <c r="DC158" s="718"/>
      <c r="DD158" s="718"/>
      <c r="DE158" s="718"/>
      <c r="DF158" s="718"/>
      <c r="DG158" s="718"/>
      <c r="DH158" s="718"/>
      <c r="DI158" s="718"/>
      <c r="DJ158" s="718"/>
      <c r="DK158" s="718"/>
      <c r="DL158" s="718"/>
      <c r="DM158" s="718"/>
      <c r="DN158" s="718"/>
      <c r="DO158" s="718"/>
      <c r="DP158" s="718"/>
      <c r="DQ158" s="718"/>
      <c r="DR158" s="718"/>
      <c r="DS158" s="718"/>
      <c r="DT158" s="718"/>
      <c r="DU158" s="718"/>
      <c r="DV158" s="718"/>
      <c r="DW158" s="718"/>
      <c r="DX158" s="718"/>
      <c r="DY158" s="718"/>
      <c r="DZ158" s="718"/>
      <c r="EA158" s="718"/>
      <c r="EB158" s="718"/>
      <c r="EC158" s="718"/>
      <c r="ED158" s="718"/>
      <c r="EE158" s="718"/>
      <c r="EF158" s="718"/>
      <c r="EG158" s="718"/>
      <c r="EH158" s="718"/>
      <c r="EI158" s="718"/>
      <c r="EJ158" s="718"/>
      <c r="EK158" s="718"/>
      <c r="EL158" s="718"/>
      <c r="EM158" s="718"/>
      <c r="EN158" s="718"/>
      <c r="EO158" s="718"/>
      <c r="EP158" s="718"/>
      <c r="EQ158" s="718"/>
      <c r="ER158" s="718"/>
      <c r="ES158" s="718"/>
      <c r="ET158" s="718"/>
      <c r="EU158" s="718"/>
      <c r="EV158" s="718"/>
      <c r="EW158" s="718"/>
      <c r="EX158" s="718"/>
      <c r="EY158" s="718"/>
      <c r="EZ158" s="718"/>
      <c r="FA158" s="718"/>
      <c r="FB158" s="718"/>
      <c r="FC158" s="718"/>
      <c r="FD158" s="718"/>
      <c r="FE158" s="718"/>
      <c r="FF158" s="718"/>
      <c r="FG158" s="718"/>
      <c r="FH158" s="718"/>
      <c r="FI158" s="718"/>
      <c r="FJ158" s="718"/>
      <c r="FK158" s="718"/>
      <c r="FL158" s="718"/>
      <c r="FM158" s="718"/>
      <c r="FN158" s="718"/>
      <c r="FO158" s="718"/>
      <c r="FP158" s="718"/>
      <c r="FQ158" s="718"/>
      <c r="FR158" s="718"/>
      <c r="FS158" s="718"/>
      <c r="FT158" s="718"/>
      <c r="FU158" s="718"/>
      <c r="FV158" s="718"/>
      <c r="FW158" s="719"/>
      <c r="FZ158" s="691" t="s">
        <v>225</v>
      </c>
    </row>
    <row r="159" spans="1:186" ht="14.25" hidden="1" customHeight="1" x14ac:dyDescent="0.15">
      <c r="A159" s="59"/>
      <c r="B159" s="613" t="b" cm="1">
        <f t="array" ref="B159">B158</f>
        <v>0</v>
      </c>
      <c r="C159" s="59"/>
      <c r="D159" s="59"/>
      <c r="E159" s="462">
        <v>15</v>
      </c>
      <c r="F159" s="3" t="str" cm="1">
        <f t="array" aca="1" ref="F159" ca="1">OFFSET(E159,-1,1)</f>
        <v>2</v>
      </c>
      <c r="G159" s="59"/>
      <c r="H159" s="59" t="s">
        <v>1570</v>
      </c>
      <c r="I159" s="59" t="s">
        <v>1642</v>
      </c>
      <c r="J159" s="59"/>
      <c r="K159" s="59"/>
      <c r="L159" s="59"/>
      <c r="M159" s="59"/>
      <c r="N159" s="59"/>
      <c r="O159" s="59"/>
      <c r="P159" s="59"/>
      <c r="Q159" s="59"/>
      <c r="R159" s="59"/>
      <c r="S159" s="59"/>
      <c r="T159" s="353" t="b" cm="1">
        <f t="array" aca="1" ref="T159" ca="1">T158</f>
        <v>1</v>
      </c>
      <c r="U159" s="59"/>
      <c r="V159" s="59"/>
      <c r="W159" s="59"/>
      <c r="X159" s="1022"/>
      <c r="Y159" s="59"/>
      <c r="Z159" s="966"/>
      <c r="AA159" s="59"/>
      <c r="AB159" s="105" t="s">
        <v>1677</v>
      </c>
      <c r="AC159" s="12" t="s">
        <v>1644</v>
      </c>
      <c r="AD159" s="820">
        <f ca="1">IF(AD161=0,0,(AD160*AD161+AD162*AD163*IF(god=2026,9,6))/AD161)</f>
        <v>0</v>
      </c>
      <c r="AE159" s="820">
        <f ca="1">IF(AE161=0,0,(AE160*AE161+AE162*AE163*IF(god=2026,9,6))/AE161)</f>
        <v>0</v>
      </c>
      <c r="AF159" s="714">
        <f ca="1">IF(AD159=0,0,(AE159-AD159)/AD159*100)</f>
        <v>0</v>
      </c>
      <c r="AG159" s="820">
        <f ca="1">IF(AG161=0,0,(AG160*AG161+AG162*AG163*IF(god=2025,9,6))/AG161)</f>
        <v>0</v>
      </c>
      <c r="AH159" s="820">
        <f ca="1">IF(AH161=0,0,(AH160*AH161+AH162*AH163*IF(god=2025,9,6))/AH161)</f>
        <v>0</v>
      </c>
      <c r="AI159" s="714">
        <f ca="1">IF(AG159=0,0,(AH159-AG159)/AG159*100)</f>
        <v>0</v>
      </c>
      <c r="AJ159" s="820">
        <f ca="1">IF(AJ161=0,0,(AJ160*AJ161+AJ162*AJ163*6)/AJ161)</f>
        <v>0</v>
      </c>
      <c r="AK159" s="820">
        <f ca="1">IF(AK161=0,0,(AK160*AK161+AK162*AK163*6)/AK161)</f>
        <v>0</v>
      </c>
      <c r="AL159" s="714">
        <f ca="1">IF(AJ159=0,0,(AK159-AJ159)/AJ159*100)</f>
        <v>0</v>
      </c>
      <c r="AM159" s="820">
        <f ca="1">IF(AM161=0,0,(AM160*AM161+AM162*AM163*6)/AM161)</f>
        <v>0</v>
      </c>
      <c r="AN159" s="820">
        <f ca="1">IF(AN161=0,0,(AN160*AN161+AN162*AN163*6)/AN161)</f>
        <v>0</v>
      </c>
      <c r="AO159" s="714">
        <f ca="1">IF(AM159=0,0,(AN159-AM159)/AM159*100)</f>
        <v>0</v>
      </c>
      <c r="AP159" s="820">
        <f ca="1">IF(AP161=0,0,(AP160*AP161+AP162*AP163*6)/AP161)</f>
        <v>0</v>
      </c>
      <c r="AQ159" s="820">
        <f ca="1">IF(AQ161=0,0,(AQ160*AQ161+AQ162*AQ163*6)/AQ161)</f>
        <v>0</v>
      </c>
      <c r="AR159" s="714">
        <f ca="1">IF(AP159=0,0,(AQ159-AP159)/AP159*100)</f>
        <v>0</v>
      </c>
      <c r="AS159" s="820">
        <f ca="1">IF(AS161=0,0,(AS160*AS161+AS162*AS163*6)/AS161)</f>
        <v>0</v>
      </c>
      <c r="AT159" s="820">
        <f ca="1">IF(AT161=0,0,(AT160*AT161+AT162*AT163*6)/AT161)</f>
        <v>0</v>
      </c>
      <c r="AU159" s="714">
        <f ca="1">IF(AS159=0,0,(AT159-AS159)/AS159*100)</f>
        <v>0</v>
      </c>
      <c r="AV159" s="820">
        <f ca="1">IF(AV161=0,0,(AV160*AV161+AV162*AV163*6)/AV161)</f>
        <v>0</v>
      </c>
      <c r="AW159" s="820">
        <f ca="1">IF(AW161=0,0,(AW160*AW161+AW162*AW163*6)/AW161)</f>
        <v>0</v>
      </c>
      <c r="AX159" s="714">
        <f ca="1">IF(AV159=0,0,(AW159-AV159)/AV159*100)</f>
        <v>0</v>
      </c>
      <c r="AY159" s="820">
        <f ca="1">IF(AY161=0,0,(AY160*AY161+AY162*AY163*6)/AY161)</f>
        <v>0</v>
      </c>
      <c r="AZ159" s="820">
        <f ca="1">IF(AZ161=0,0,(AZ160*AZ161+AZ162*AZ163*6)/AZ161)</f>
        <v>0</v>
      </c>
      <c r="BA159" s="714">
        <f ca="1">IF(AY159=0,0,(AZ159-AY159)/AY159*100)</f>
        <v>0</v>
      </c>
      <c r="BB159" s="820">
        <f ca="1">IF(BB161=0,0,(BB160*BB161+BB162*BB163*6)/BB161)</f>
        <v>0</v>
      </c>
      <c r="BC159" s="820">
        <f ca="1">IF(BC161=0,0,(BC160*BC161+BC162*BC163*6)/BC161)</f>
        <v>0</v>
      </c>
      <c r="BD159" s="714">
        <f ca="1">IF(BB159=0,0,(BC159-BB159)/BB159*100)</f>
        <v>0</v>
      </c>
      <c r="BE159" s="820">
        <f ca="1">IF(BE161=0,0,(BE160*BE161+BE162*BE163*6)/BE161)</f>
        <v>0</v>
      </c>
      <c r="BF159" s="820">
        <f ca="1">IF(BF161=0,0,(BF160*BF161+BF162*BF163*6)/BF161)</f>
        <v>0</v>
      </c>
      <c r="BG159" s="714">
        <f ca="1">IF(BE159=0,0,(BF159-BE159)/BE159*100)</f>
        <v>0</v>
      </c>
      <c r="BH159" s="820">
        <f>IF(BH161=0,0,(BH160*BH161+BH162*BH163*6)/BH161)</f>
        <v>0</v>
      </c>
      <c r="BI159" s="820">
        <f>IF(BI161=0,0,(BI160*BI161+BI162*BI163*6)/BI161)</f>
        <v>0</v>
      </c>
      <c r="BJ159" s="714">
        <f>IF(BH159=0,0,(BI159-BH159)/BH159*100)</f>
        <v>0</v>
      </c>
      <c r="BK159" s="820">
        <f>IF(BK161=0,0,(BK160*BK161+BK162*BK163*6)/BK161)</f>
        <v>0</v>
      </c>
      <c r="BL159" s="820">
        <f>IF(BL161=0,0,(BL160*BL161+BL162*BL163*6)/BL161)</f>
        <v>0</v>
      </c>
      <c r="BM159" s="714">
        <f>IF(BK159=0,0,(BL159-BK159)/BK159*100)</f>
        <v>0</v>
      </c>
      <c r="BN159" s="820">
        <f>IF(BN161=0,0,(BN160*BN161+BN162*BN163*6)/BN161)</f>
        <v>0</v>
      </c>
      <c r="BO159" s="820">
        <f>IF(BO161=0,0,(BO160*BO161+BO162*BO163*6)/BO161)</f>
        <v>0</v>
      </c>
      <c r="BP159" s="714">
        <f>IF(BN159=0,0,(BO159-BN159)/BN159*100)</f>
        <v>0</v>
      </c>
      <c r="BQ159" s="820">
        <f>IF(BQ161=0,0,(BQ160*BQ161+BQ162*BQ163*6)/BQ161)</f>
        <v>0</v>
      </c>
      <c r="BR159" s="820">
        <f>IF(BR161=0,0,(BR160*BR161+BR162*BR163*6)/BR161)</f>
        <v>0</v>
      </c>
      <c r="BS159" s="714">
        <f>IF(BQ159=0,0,(BR159-BQ159)/BQ159*100)</f>
        <v>0</v>
      </c>
      <c r="BT159" s="820">
        <f>IF(BT161=0,0,(BT160*BT161+BT162*BT163*6)/BT161)</f>
        <v>0</v>
      </c>
      <c r="BU159" s="820">
        <f>IF(BU161=0,0,(BU160*BU161+BU162*BU163*6)/BU161)</f>
        <v>0</v>
      </c>
      <c r="BV159" s="714">
        <f>IF(BT159=0,0,(BU159-BT159)/BT159*100)</f>
        <v>0</v>
      </c>
      <c r="BW159" s="820">
        <f>IF(BW161=0,0,(BW160*BW161+BW162*BW163*6)/BW161)</f>
        <v>0</v>
      </c>
      <c r="BX159" s="820">
        <f>IF(BX161=0,0,(BX160*BX161+BX162*BX163*6)/BX161)</f>
        <v>0</v>
      </c>
      <c r="BY159" s="714">
        <f>IF(BW159=0,0,(BX159-BW159)/BW159*100)</f>
        <v>0</v>
      </c>
      <c r="BZ159" s="820">
        <f>IF(BZ161=0,0,(BZ160*BZ161+BZ162*BZ163*6)/BZ161)</f>
        <v>0</v>
      </c>
      <c r="CA159" s="820">
        <f>IF(CA161=0,0,(CA160*CA161+CA162*CA163*6)/CA161)</f>
        <v>0</v>
      </c>
      <c r="CB159" s="714">
        <f>IF(BZ159=0,0,(CA159-BZ159)/BZ159*100)</f>
        <v>0</v>
      </c>
      <c r="CC159" s="820">
        <f>IF(CC161=0,0,(CC160*CC161+CC162*CC163*6)/CC161)</f>
        <v>0</v>
      </c>
      <c r="CD159" s="820">
        <f>IF(CD161=0,0,(CD160*CD161+CD162*CD163*6)/CD161)</f>
        <v>0</v>
      </c>
      <c r="CE159" s="714">
        <f>IF(CC159=0,0,(CD159-CC159)/CC159*100)</f>
        <v>0</v>
      </c>
      <c r="CF159" s="820">
        <f>IF(CF161=0,0,(CF160*CF161+CF162*CF163*6)/CF161)</f>
        <v>0</v>
      </c>
      <c r="CG159" s="820">
        <f>IF(CG161=0,0,(CG160*CG161+CG162*CG163*6)/CG161)</f>
        <v>0</v>
      </c>
      <c r="CH159" s="714">
        <f>IF(CF159=0,0,(CG159-CF159)/CF159*100)</f>
        <v>0</v>
      </c>
      <c r="CI159" s="820">
        <f>IF(CI161=0,0,(CI160*CI161+CI162*CI163*6)/CI161)</f>
        <v>0</v>
      </c>
      <c r="CJ159" s="820">
        <f>IF(CJ161=0,0,(CJ160*CJ161+CJ162*CJ163*6)/CJ161)</f>
        <v>0</v>
      </c>
      <c r="CK159" s="714">
        <f>IF(CI159=0,0,(CJ159-CI159)/CI159*100)</f>
        <v>0</v>
      </c>
      <c r="CL159" s="820">
        <f>IF(CL161=0,0,(CL160*CL161+CL162*CL163*6)/CL161)</f>
        <v>0</v>
      </c>
      <c r="CM159" s="820">
        <f>IF(CM161=0,0,(CM160*CM161+CM162*CM163*6)/CM161)</f>
        <v>0</v>
      </c>
      <c r="CN159" s="714">
        <f>IF(CL159=0,0,(CM159-CL159)/CL159*100)</f>
        <v>0</v>
      </c>
      <c r="CO159" s="820">
        <f>IF(CO161=0,0,(CO160*CO161+CO162*CO163*6)/CO161)</f>
        <v>0</v>
      </c>
      <c r="CP159" s="820">
        <f>IF(CP161=0,0,(CP160*CP161+CP162*CP163*6)/CP161)</f>
        <v>0</v>
      </c>
      <c r="CQ159" s="714">
        <f>IF(CO159=0,0,(CP159-CO159)/CO159*100)</f>
        <v>0</v>
      </c>
      <c r="CR159" s="820">
        <f>IF(CR161=0,0,(CR160*CR161+CR162*CR163*6)/CR161)</f>
        <v>0</v>
      </c>
      <c r="CS159" s="820">
        <f>IF(CS161=0,0,(CS160*CS161+CS162*CS163*6)/CS161)</f>
        <v>0</v>
      </c>
      <c r="CT159" s="714">
        <f>IF(CR159=0,0,(CS159-CR159)/CR159*100)</f>
        <v>0</v>
      </c>
      <c r="CU159" s="820">
        <f>IF(CU161=0,0,(CU160*CU161+CU162*CU163*6)/CU161)</f>
        <v>0</v>
      </c>
      <c r="CV159" s="820">
        <f>IF(CV161=0,0,(CV160*CV161+CV162*CV163*6)/CV161)</f>
        <v>0</v>
      </c>
      <c r="CW159" s="714">
        <f>IF(CU159=0,0,(CV159-CU159)/CU159*100)</f>
        <v>0</v>
      </c>
      <c r="CX159" s="820">
        <f>IF(CX161=0,0,(CX160*CX161+CX162*CX163*6)/CX161)</f>
        <v>0</v>
      </c>
      <c r="CY159" s="820">
        <f>IF(CY161=0,0,(CY160*CY161+CY162*CY163*6)/CY161)</f>
        <v>0</v>
      </c>
      <c r="CZ159" s="714">
        <f>IF(CX159=0,0,(CY159-CX159)/CX159*100)</f>
        <v>0</v>
      </c>
      <c r="DA159" s="820">
        <f>IF(DA161=0,0,(DA160*DA161+DA162*DA163*6)/DA161)</f>
        <v>0</v>
      </c>
      <c r="DB159" s="820">
        <f>IF(DB161=0,0,(DB160*DB161+DB162*DB163*6)/DB161)</f>
        <v>0</v>
      </c>
      <c r="DC159" s="714">
        <f>IF(DA159=0,0,(DB159-DA159)/DA159*100)</f>
        <v>0</v>
      </c>
      <c r="DD159" s="820">
        <f>IF(DD161=0,0,(DD160*DD161+DD162*DD163*6)/DD161)</f>
        <v>0</v>
      </c>
      <c r="DE159" s="820">
        <f>IF(DE161=0,0,(DE160*DE161+DE162*DE163*6)/DE161)</f>
        <v>0</v>
      </c>
      <c r="DF159" s="714">
        <f>IF(DD159=0,0,(DE159-DD159)/DD159*100)</f>
        <v>0</v>
      </c>
      <c r="DG159" s="820">
        <f>IF(DG161=0,0,(DG160*DG161+DG162*DG163*6)/DG161)</f>
        <v>0</v>
      </c>
      <c r="DH159" s="820">
        <f>IF(DH161=0,0,(DH160*DH161+DH162*DH163*6)/DH161)</f>
        <v>0</v>
      </c>
      <c r="DI159" s="714">
        <f>IF(DG159=0,0,(DH159-DG159)/DG159*100)</f>
        <v>0</v>
      </c>
      <c r="DJ159" s="820">
        <f>IF(DJ161=0,0,(DJ160*DJ161+DJ162*DJ163*6)/DJ161)</f>
        <v>0</v>
      </c>
      <c r="DK159" s="820">
        <f>IF(DK161=0,0,(DK160*DK161+DK162*DK163*6)/DK161)</f>
        <v>0</v>
      </c>
      <c r="DL159" s="714">
        <f>IF(DJ159=0,0,(DK159-DJ159)/DJ159*100)</f>
        <v>0</v>
      </c>
      <c r="DM159" s="820">
        <f>IF(DM161=0,0,(DM160*DM161+DM162*DM163*6)/DM161)</f>
        <v>0</v>
      </c>
      <c r="DN159" s="820">
        <f>IF(DN161=0,0,(DN160*DN161+DN162*DN163*6)/DN161)</f>
        <v>0</v>
      </c>
      <c r="DO159" s="714">
        <f>IF(DM159=0,0,(DN159-DM159)/DM159*100)</f>
        <v>0</v>
      </c>
      <c r="DP159" s="820">
        <f>IF(DP161=0,0,(DP160*DP161+DP162*DP163*6)/DP161)</f>
        <v>0</v>
      </c>
      <c r="DQ159" s="820">
        <f>IF(DQ161=0,0,(DQ160*DQ161+DQ162*DQ163*6)/DQ161)</f>
        <v>0</v>
      </c>
      <c r="DR159" s="714">
        <f>IF(DP159=0,0,(DQ159-DP159)/DP159*100)</f>
        <v>0</v>
      </c>
      <c r="DS159" s="820">
        <f>IF(DS161=0,0,(DS160*DS161+DS162*DS163*6)/DS161)</f>
        <v>0</v>
      </c>
      <c r="DT159" s="820">
        <f>IF(DT161=0,0,(DT160*DT161+DT162*DT163*6)/DT161)</f>
        <v>0</v>
      </c>
      <c r="DU159" s="714">
        <f>IF(DS159=0,0,(DT159-DS159)/DS159*100)</f>
        <v>0</v>
      </c>
      <c r="DV159" s="820">
        <f>IF(DV161=0,0,(DV160*DV161+DV162*DV163*6)/DV161)</f>
        <v>0</v>
      </c>
      <c r="DW159" s="820">
        <f>IF(DW161=0,0,(DW160*DW161+DW162*DW163*6)/DW161)</f>
        <v>0</v>
      </c>
      <c r="DX159" s="714">
        <f>IF(DV159=0,0,(DW159-DV159)/DV159*100)</f>
        <v>0</v>
      </c>
      <c r="DY159" s="820">
        <f>IF(DY161=0,0,(DY160*DY161+DY162*DY163*6)/DY161)</f>
        <v>0</v>
      </c>
      <c r="DZ159" s="820">
        <f>IF(DZ161=0,0,(DZ160*DZ161+DZ162*DZ163*6)/DZ161)</f>
        <v>0</v>
      </c>
      <c r="EA159" s="714">
        <f>IF(DY159=0,0,(DZ159-DY159)/DY159*100)</f>
        <v>0</v>
      </c>
      <c r="EB159" s="820">
        <f>IF(EB161=0,0,(EB160*EB161+EB162*EB163*6)/EB161)</f>
        <v>0</v>
      </c>
      <c r="EC159" s="820">
        <f>IF(EC161=0,0,(EC160*EC161+EC162*EC163*6)/EC161)</f>
        <v>0</v>
      </c>
      <c r="ED159" s="714">
        <f>IF(EB159=0,0,(EC159-EB159)/EB159*100)</f>
        <v>0</v>
      </c>
      <c r="EE159" s="820">
        <f>IF(EE161=0,0,(EE160*EE161+EE162*EE163*6)/EE161)</f>
        <v>0</v>
      </c>
      <c r="EF159" s="820">
        <f>IF(EF161=0,0,(EF160*EF161+EF162*EF163*6)/EF161)</f>
        <v>0</v>
      </c>
      <c r="EG159" s="714">
        <f>IF(EE159=0,0,(EF159-EE159)/EE159*100)</f>
        <v>0</v>
      </c>
      <c r="EH159" s="820">
        <f>IF(EH161=0,0,(EH160*EH161+EH162*EH163*6)/EH161)</f>
        <v>0</v>
      </c>
      <c r="EI159" s="820">
        <f>IF(EI161=0,0,(EI160*EI161+EI162*EI163*6)/EI161)</f>
        <v>0</v>
      </c>
      <c r="EJ159" s="714">
        <f>IF(EH159=0,0,(EI159-EH159)/EH159*100)</f>
        <v>0</v>
      </c>
      <c r="EK159" s="820">
        <f>IF(EK161=0,0,(EK160*EK161+EK162*EK163*6)/EK161)</f>
        <v>0</v>
      </c>
      <c r="EL159" s="820">
        <f>IF(EL161=0,0,(EL160*EL161+EL162*EL163*6)/EL161)</f>
        <v>0</v>
      </c>
      <c r="EM159" s="714">
        <f>IF(EK159=0,0,(EL159-EK159)/EK159*100)</f>
        <v>0</v>
      </c>
      <c r="EN159" s="820">
        <f>IF(EN161=0,0,(EN160*EN161+EN162*EN163*6)/EN161)</f>
        <v>0</v>
      </c>
      <c r="EO159" s="820">
        <f>IF(EO161=0,0,(EO160*EO161+EO162*EO163*6)/EO161)</f>
        <v>0</v>
      </c>
      <c r="EP159" s="714">
        <f>IF(EN159=0,0,(EO159-EN159)/EN159*100)</f>
        <v>0</v>
      </c>
      <c r="EQ159" s="820">
        <f>IF(EQ161=0,0,(EQ160*EQ161+EQ162*EQ163*6)/EQ161)</f>
        <v>0</v>
      </c>
      <c r="ER159" s="820">
        <f>IF(ER161=0,0,(ER160*ER161+ER162*ER163*6)/ER161)</f>
        <v>0</v>
      </c>
      <c r="ES159" s="714">
        <f>IF(EQ159=0,0,(ER159-EQ159)/EQ159*100)</f>
        <v>0</v>
      </c>
      <c r="ET159" s="820">
        <f>IF(ET161=0,0,(ET160*ET161+ET162*ET163*6)/ET161)</f>
        <v>0</v>
      </c>
      <c r="EU159" s="820">
        <f>IF(EU161=0,0,(EU160*EU161+EU162*EU163*6)/EU161)</f>
        <v>0</v>
      </c>
      <c r="EV159" s="714">
        <f>IF(ET159=0,0,(EU159-ET159)/ET159*100)</f>
        <v>0</v>
      </c>
      <c r="EW159" s="820">
        <f>IF(EW161=0,0,(EW160*EW161+EW162*EW163*6)/EW161)</f>
        <v>0</v>
      </c>
      <c r="EX159" s="820">
        <f>IF(EX161=0,0,(EX160*EX161+EX162*EX163*6)/EX161)</f>
        <v>0</v>
      </c>
      <c r="EY159" s="714">
        <f>IF(EW159=0,0,(EX159-EW159)/EW159*100)</f>
        <v>0</v>
      </c>
      <c r="EZ159" s="820">
        <f>IF(EZ161=0,0,(EZ160*EZ161+EZ162*EZ163*6)/EZ161)</f>
        <v>0</v>
      </c>
      <c r="FA159" s="820">
        <f>IF(FA161=0,0,(FA160*FA161+FA162*FA163*6)/FA161)</f>
        <v>0</v>
      </c>
      <c r="FB159" s="714">
        <f>IF(EZ159=0,0,(FA159-EZ159)/EZ159*100)</f>
        <v>0</v>
      </c>
      <c r="FC159" s="820">
        <f>IF(FC161=0,0,(FC160*FC161+FC162*FC163*6)/FC161)</f>
        <v>0</v>
      </c>
      <c r="FD159" s="820">
        <f>IF(FD161=0,0,(FD160*FD161+FD162*FD163*6)/FD161)</f>
        <v>0</v>
      </c>
      <c r="FE159" s="714">
        <f>IF(FC159=0,0,(FD159-FC159)/FC159*100)</f>
        <v>0</v>
      </c>
      <c r="FF159" s="820">
        <f>IF(FF161=0,0,(FF160*FF161+FF162*FF163*6)/FF161)</f>
        <v>0</v>
      </c>
      <c r="FG159" s="820">
        <f>IF(FG161=0,0,(FG160*FG161+FG162*FG163*6)/FG161)</f>
        <v>0</v>
      </c>
      <c r="FH159" s="714">
        <f>IF(FF159=0,0,(FG159-FF159)/FF159*100)</f>
        <v>0</v>
      </c>
      <c r="FI159" s="820">
        <f>IF(FI161=0,0,(FI160*FI161+FI162*FI163*6)/FI161)</f>
        <v>0</v>
      </c>
      <c r="FJ159" s="820">
        <f>IF(FJ161=0,0,(FJ160*FJ161+FJ162*FJ163*6)/FJ161)</f>
        <v>0</v>
      </c>
      <c r="FK159" s="714">
        <f>IF(FI159=0,0,(FJ159-FI159)/FI159*100)</f>
        <v>0</v>
      </c>
      <c r="FL159" s="820">
        <f>IF(FL161=0,0,(FL160*FL161+FL162*FL163*6)/FL161)</f>
        <v>0</v>
      </c>
      <c r="FM159" s="820">
        <f>IF(FM161=0,0,(FM160*FM161+FM162*FM163*6)/FM161)</f>
        <v>0</v>
      </c>
      <c r="FN159" s="714">
        <f>IF(FL159=0,0,(FM159-FL159)/FL159*100)</f>
        <v>0</v>
      </c>
      <c r="FO159" s="820">
        <f>IF(FO161=0,0,(FO160*FO161+FO162*FO163*6)/FO161)</f>
        <v>0</v>
      </c>
      <c r="FP159" s="820">
        <f>IF(FP161=0,0,(FP160*FP161+FP162*FP163*6)/FP161)</f>
        <v>0</v>
      </c>
      <c r="FQ159" s="714">
        <f>IF(FO159=0,0,(FP159-FO159)/FO159*100)</f>
        <v>0</v>
      </c>
      <c r="FR159" s="820">
        <f>IF(FR161=0,0,(FR160*FR161+FR162*FR163*6)/FR161)</f>
        <v>0</v>
      </c>
      <c r="FS159" s="820">
        <f>IF(FS161=0,0,(FS160*FS161+FS162*FS163*6)/FS161)</f>
        <v>0</v>
      </c>
      <c r="FT159" s="714">
        <f>IF(FR159=0,0,(FS159-FR159)/FR159*100)</f>
        <v>0</v>
      </c>
      <c r="FU159" s="820">
        <f>IF(FU161=0,0,(FU160*FU161+FU162*FU163*6)/FU161)</f>
        <v>0</v>
      </c>
      <c r="FV159" s="820">
        <f>IF(FV161=0,0,(FV160*FV161+FV162*FV163*6)/FV161)</f>
        <v>0</v>
      </c>
      <c r="FW159" s="714">
        <f>IF(FU159=0,0,(FV159-FU159)/FU159*100)</f>
        <v>0</v>
      </c>
      <c r="FZ159" s="691" t="s">
        <v>1678</v>
      </c>
    </row>
    <row r="160" spans="1:186" ht="14.25" hidden="1" customHeight="1" x14ac:dyDescent="0.15">
      <c r="A160" s="59"/>
      <c r="B160" s="613" t="b" cm="1">
        <f t="array" ref="B160">B159</f>
        <v>0</v>
      </c>
      <c r="C160" s="59"/>
      <c r="D160" s="59"/>
      <c r="E160" s="462">
        <v>15</v>
      </c>
      <c r="F160" s="3" t="str" cm="1">
        <f t="array" aca="1" ref="F160" ca="1">OFFSET(E160,-1,1)</f>
        <v>2</v>
      </c>
      <c r="G160" s="59"/>
      <c r="H160" s="59" t="s">
        <v>1574</v>
      </c>
      <c r="I160" s="59" t="s">
        <v>1642</v>
      </c>
      <c r="J160" s="59"/>
      <c r="K160" s="59"/>
      <c r="L160" s="59"/>
      <c r="M160" s="59"/>
      <c r="N160" s="59"/>
      <c r="O160" s="59"/>
      <c r="P160" s="59"/>
      <c r="Q160" s="59"/>
      <c r="R160" s="59"/>
      <c r="S160" s="59"/>
      <c r="T160" s="353" t="b" cm="1">
        <f t="array" aca="1" ref="T160" ca="1">T159</f>
        <v>1</v>
      </c>
      <c r="U160" s="59"/>
      <c r="V160" s="59"/>
      <c r="W160" s="59"/>
      <c r="X160" s="1022"/>
      <c r="Y160" s="59"/>
      <c r="Z160" s="966"/>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1644</v>
      </c>
      <c r="AD160" s="820"/>
      <c r="AE160" s="820"/>
      <c r="AF160" s="714">
        <f>IF(AD160=0,0,(AE160-AD160)/AD160*100)</f>
        <v>0</v>
      </c>
      <c r="AG160" s="820"/>
      <c r="AH160" s="820"/>
      <c r="AI160" s="714">
        <f>IF(AG160=0,0,(AH160-AG160)/AG160*100)</f>
        <v>0</v>
      </c>
      <c r="AJ160" s="820"/>
      <c r="AK160" s="820"/>
      <c r="AL160" s="714">
        <f>IF(AJ160=0,0,(AK160-AJ160)/AJ160*100)</f>
        <v>0</v>
      </c>
      <c r="AM160" s="820"/>
      <c r="AN160" s="820"/>
      <c r="AO160" s="714">
        <f>IF(AM160=0,0,(AN160-AM160)/AM160*100)</f>
        <v>0</v>
      </c>
      <c r="AP160" s="820"/>
      <c r="AQ160" s="820"/>
      <c r="AR160" s="714">
        <f>IF(AP160=0,0,(AQ160-AP160)/AP160*100)</f>
        <v>0</v>
      </c>
      <c r="AS160" s="820"/>
      <c r="AT160" s="820"/>
      <c r="AU160" s="714">
        <f>IF(AS160=0,0,(AT160-AS160)/AS160*100)</f>
        <v>0</v>
      </c>
      <c r="AV160" s="820"/>
      <c r="AW160" s="820"/>
      <c r="AX160" s="714">
        <f>IF(AV160=0,0,(AW160-AV160)/AV160*100)</f>
        <v>0</v>
      </c>
      <c r="AY160" s="820"/>
      <c r="AZ160" s="820"/>
      <c r="BA160" s="714">
        <f>IF(AY160=0,0,(AZ160-AY160)/AY160*100)</f>
        <v>0</v>
      </c>
      <c r="BB160" s="820"/>
      <c r="BC160" s="820"/>
      <c r="BD160" s="714">
        <f>IF(BB160=0,0,(BC160-BB160)/BB160*100)</f>
        <v>0</v>
      </c>
      <c r="BE160" s="820"/>
      <c r="BF160" s="820"/>
      <c r="BG160" s="714">
        <f>IF(BE160=0,0,(BF160-BE160)/BE160*100)</f>
        <v>0</v>
      </c>
      <c r="BH160" s="820"/>
      <c r="BI160" s="820"/>
      <c r="BJ160" s="714">
        <f>IF(BH160=0,0,(BI160-BH160)/BH160*100)</f>
        <v>0</v>
      </c>
      <c r="BK160" s="820"/>
      <c r="BL160" s="820"/>
      <c r="BM160" s="714">
        <f>IF(BK160=0,0,(BL160-BK160)/BK160*100)</f>
        <v>0</v>
      </c>
      <c r="BN160" s="820"/>
      <c r="BO160" s="820"/>
      <c r="BP160" s="714">
        <f>IF(BN160=0,0,(BO160-BN160)/BN160*100)</f>
        <v>0</v>
      </c>
      <c r="BQ160" s="820"/>
      <c r="BR160" s="820"/>
      <c r="BS160" s="714">
        <f>IF(BQ160=0,0,(BR160-BQ160)/BQ160*100)</f>
        <v>0</v>
      </c>
      <c r="BT160" s="820"/>
      <c r="BU160" s="820"/>
      <c r="BV160" s="714">
        <f>IF(BT160=0,0,(BU160-BT160)/BT160*100)</f>
        <v>0</v>
      </c>
      <c r="BW160" s="820"/>
      <c r="BX160" s="820"/>
      <c r="BY160" s="714">
        <f>IF(BW160=0,0,(BX160-BW160)/BW160*100)</f>
        <v>0</v>
      </c>
      <c r="BZ160" s="820"/>
      <c r="CA160" s="820"/>
      <c r="CB160" s="714">
        <f>IF(BZ160=0,0,(CA160-BZ160)/BZ160*100)</f>
        <v>0</v>
      </c>
      <c r="CC160" s="820"/>
      <c r="CD160" s="820"/>
      <c r="CE160" s="714">
        <f>IF(CC160=0,0,(CD160-CC160)/CC160*100)</f>
        <v>0</v>
      </c>
      <c r="CF160" s="820"/>
      <c r="CG160" s="820"/>
      <c r="CH160" s="714">
        <f>IF(CF160=0,0,(CG160-CF160)/CF160*100)</f>
        <v>0</v>
      </c>
      <c r="CI160" s="820"/>
      <c r="CJ160" s="820"/>
      <c r="CK160" s="714">
        <f>IF(CI160=0,0,(CJ160-CI160)/CI160*100)</f>
        <v>0</v>
      </c>
      <c r="CL160" s="820"/>
      <c r="CM160" s="820"/>
      <c r="CN160" s="714">
        <f>IF(CL160=0,0,(CM160-CL160)/CL160*100)</f>
        <v>0</v>
      </c>
      <c r="CO160" s="820"/>
      <c r="CP160" s="820"/>
      <c r="CQ160" s="714">
        <f>IF(CO160=0,0,(CP160-CO160)/CO160*100)</f>
        <v>0</v>
      </c>
      <c r="CR160" s="820"/>
      <c r="CS160" s="820"/>
      <c r="CT160" s="714">
        <f>IF(CR160=0,0,(CS160-CR160)/CR160*100)</f>
        <v>0</v>
      </c>
      <c r="CU160" s="820"/>
      <c r="CV160" s="820"/>
      <c r="CW160" s="714">
        <f>IF(CU160=0,0,(CV160-CU160)/CU160*100)</f>
        <v>0</v>
      </c>
      <c r="CX160" s="820"/>
      <c r="CY160" s="820"/>
      <c r="CZ160" s="714">
        <f>IF(CX160=0,0,(CY160-CX160)/CX160*100)</f>
        <v>0</v>
      </c>
      <c r="DA160" s="820"/>
      <c r="DB160" s="820"/>
      <c r="DC160" s="714">
        <f>IF(DA160=0,0,(DB160-DA160)/DA160*100)</f>
        <v>0</v>
      </c>
      <c r="DD160" s="820"/>
      <c r="DE160" s="820"/>
      <c r="DF160" s="714">
        <f>IF(DD160=0,0,(DE160-DD160)/DD160*100)</f>
        <v>0</v>
      </c>
      <c r="DG160" s="820"/>
      <c r="DH160" s="820"/>
      <c r="DI160" s="714">
        <f>IF(DG160=0,0,(DH160-DG160)/DG160*100)</f>
        <v>0</v>
      </c>
      <c r="DJ160" s="820"/>
      <c r="DK160" s="820"/>
      <c r="DL160" s="714">
        <f>IF(DJ160=0,0,(DK160-DJ160)/DJ160*100)</f>
        <v>0</v>
      </c>
      <c r="DM160" s="820"/>
      <c r="DN160" s="820"/>
      <c r="DO160" s="714">
        <f>IF(DM160=0,0,(DN160-DM160)/DM160*100)</f>
        <v>0</v>
      </c>
      <c r="DP160" s="820"/>
      <c r="DQ160" s="820"/>
      <c r="DR160" s="714">
        <f>IF(DP160=0,0,(DQ160-DP160)/DP160*100)</f>
        <v>0</v>
      </c>
      <c r="DS160" s="820"/>
      <c r="DT160" s="820"/>
      <c r="DU160" s="714">
        <f>IF(DS160=0,0,(DT160-DS160)/DS160*100)</f>
        <v>0</v>
      </c>
      <c r="DV160" s="820"/>
      <c r="DW160" s="820"/>
      <c r="DX160" s="714">
        <f>IF(DV160=0,0,(DW160-DV160)/DV160*100)</f>
        <v>0</v>
      </c>
      <c r="DY160" s="820"/>
      <c r="DZ160" s="820"/>
      <c r="EA160" s="714">
        <f>IF(DY160=0,0,(DZ160-DY160)/DY160*100)</f>
        <v>0</v>
      </c>
      <c r="EB160" s="820"/>
      <c r="EC160" s="820"/>
      <c r="ED160" s="714">
        <f>IF(EB160=0,0,(EC160-EB160)/EB160*100)</f>
        <v>0</v>
      </c>
      <c r="EE160" s="820"/>
      <c r="EF160" s="820"/>
      <c r="EG160" s="714">
        <f>IF(EE160=0,0,(EF160-EE160)/EE160*100)</f>
        <v>0</v>
      </c>
      <c r="EH160" s="820"/>
      <c r="EI160" s="820"/>
      <c r="EJ160" s="714">
        <f>IF(EH160=0,0,(EI160-EH160)/EH160*100)</f>
        <v>0</v>
      </c>
      <c r="EK160" s="820"/>
      <c r="EL160" s="820"/>
      <c r="EM160" s="714">
        <f>IF(EK160=0,0,(EL160-EK160)/EK160*100)</f>
        <v>0</v>
      </c>
      <c r="EN160" s="820"/>
      <c r="EO160" s="820"/>
      <c r="EP160" s="714">
        <f>IF(EN160=0,0,(EO160-EN160)/EN160*100)</f>
        <v>0</v>
      </c>
      <c r="EQ160" s="820"/>
      <c r="ER160" s="820"/>
      <c r="ES160" s="714">
        <f>IF(EQ160=0,0,(ER160-EQ160)/EQ160*100)</f>
        <v>0</v>
      </c>
      <c r="ET160" s="820"/>
      <c r="EU160" s="820"/>
      <c r="EV160" s="714">
        <f>IF(ET160=0,0,(EU160-ET160)/ET160*100)</f>
        <v>0</v>
      </c>
      <c r="EW160" s="820"/>
      <c r="EX160" s="820"/>
      <c r="EY160" s="714">
        <f>IF(EW160=0,0,(EX160-EW160)/EW160*100)</f>
        <v>0</v>
      </c>
      <c r="EZ160" s="820"/>
      <c r="FA160" s="820"/>
      <c r="FB160" s="714">
        <f>IF(EZ160=0,0,(FA160-EZ160)/EZ160*100)</f>
        <v>0</v>
      </c>
      <c r="FC160" s="820"/>
      <c r="FD160" s="820"/>
      <c r="FE160" s="714">
        <f>IF(FC160=0,0,(FD160-FC160)/FC160*100)</f>
        <v>0</v>
      </c>
      <c r="FF160" s="820"/>
      <c r="FG160" s="820"/>
      <c r="FH160" s="714">
        <f>IF(FF160=0,0,(FG160-FF160)/FF160*100)</f>
        <v>0</v>
      </c>
      <c r="FI160" s="820"/>
      <c r="FJ160" s="820"/>
      <c r="FK160" s="714">
        <f>IF(FI160=0,0,(FJ160-FI160)/FI160*100)</f>
        <v>0</v>
      </c>
      <c r="FL160" s="820"/>
      <c r="FM160" s="820"/>
      <c r="FN160" s="714">
        <f>IF(FL160=0,0,(FM160-FL160)/FL160*100)</f>
        <v>0</v>
      </c>
      <c r="FO160" s="820"/>
      <c r="FP160" s="820"/>
      <c r="FQ160" s="714">
        <f>IF(FO160=0,0,(FP160-FO160)/FO160*100)</f>
        <v>0</v>
      </c>
      <c r="FR160" s="820"/>
      <c r="FS160" s="820"/>
      <c r="FT160" s="714">
        <f>IF(FR160=0,0,(FS160-FR160)/FR160*100)</f>
        <v>0</v>
      </c>
      <c r="FU160" s="820"/>
      <c r="FV160" s="820"/>
      <c r="FW160" s="714">
        <f>IF(FU160=0,0,(FV160-FU160)/FU160*100)</f>
        <v>0</v>
      </c>
      <c r="FZ160" s="691" t="s">
        <v>1679</v>
      </c>
    </row>
    <row r="161" spans="1:182" ht="14.25" hidden="1" customHeight="1" x14ac:dyDescent="0.15">
      <c r="A161" s="59"/>
      <c r="B161" s="613" t="b" cm="1">
        <f t="array" ref="B161">B160</f>
        <v>0</v>
      </c>
      <c r="C161" s="59"/>
      <c r="D161" s="59"/>
      <c r="E161" s="462">
        <v>15</v>
      </c>
      <c r="F161" s="3" t="str" cm="1">
        <f t="array" aca="1" ref="F161" ca="1">OFFSET(E161,-1,1)</f>
        <v>2</v>
      </c>
      <c r="G161" s="25" t="s">
        <v>1680</v>
      </c>
      <c r="H161" s="59" t="s">
        <v>1681</v>
      </c>
      <c r="I161" s="59" t="s">
        <v>1642</v>
      </c>
      <c r="J161" s="59"/>
      <c r="K161" s="59"/>
      <c r="L161" s="59"/>
      <c r="M161" s="59"/>
      <c r="N161" s="59"/>
      <c r="O161" s="59"/>
      <c r="P161" s="59"/>
      <c r="Q161" s="59"/>
      <c r="R161" s="59"/>
      <c r="S161" s="59"/>
      <c r="T161" s="353" t="b" cm="1">
        <f t="array" aca="1" ref="T161" ca="1">T160</f>
        <v>1</v>
      </c>
      <c r="U161" s="59"/>
      <c r="V161" s="59"/>
      <c r="W161" s="59"/>
      <c r="X161" s="1022"/>
      <c r="Y161" s="59"/>
      <c r="Z161" s="966"/>
      <c r="AA161" s="59"/>
      <c r="AB161" s="105" t="str">
        <f>"объём "&amp;IF(Q141="Водоснабжение","потребления холодной воды","водоотведения")</f>
        <v>объём водоотведения</v>
      </c>
      <c r="AC161" s="12" t="s">
        <v>558</v>
      </c>
      <c r="AD161" s="836">
        <f ca="1">IF(AND(method_reg="Метод индексации",god&lt;&gt;first_year),SUMIFS(INDEX('Калькуляция (МИ корр)'!$AJ$25:$BC$603,,MATCH(AD$8,'Калькуляция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(МИ)'!$AJ$25:$BC$603,,MATCH(AD$8,'Калькуляция (МИ)'!$AJ$8:$BC$8,0)),'Калькуляция (МИ)'!$F$25:$F$603,$F161,'Калькуляция (МИ)'!$G$25:$G$603,$G161))))</f>
        <v>211.28749999999999</v>
      </c>
      <c r="AE161" s="836">
        <f ca="1">IF(AND(method_reg="Метод индексации",god&lt;&gt;first_year),SUMIFS(INDEX('Калькуляция (МИ корр)'!$AJ$25:$BC$603,,MATCH(AE$8,'Калькуляция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(МИ)'!$AJ$25:$BC$603,,MATCH(AE$8,'Калькуляция (МИ)'!$AJ$8:$BC$8,0)),'Калькуляция (МИ)'!$F$25:$F$603,$F161,'Калькуляция (МИ)'!$G$25:$G$603,$G161))))</f>
        <v>261.63243999999997</v>
      </c>
      <c r="AF161" s="715">
        <f ca="1">IF(AD161=0,0,(AE161-AD161)/AD161*100)</f>
        <v>23.827694492101987</v>
      </c>
      <c r="AG161" s="836">
        <f ca="1">IF(AND(method_reg="Метод индексации",god&lt;&gt;first_year),SUMIFS(INDEX('Калькуляция (МИ корр)'!$AJ$25:$BC$603,,MATCH(AG$8,'Калькуляция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(МИ)'!$AJ$25:$BC$603,,MATCH(AG$8,'Калькуляция (МИ)'!$AJ$8:$BC$8,0)),'Калькуляция (МИ)'!$F$25:$F$603,$F161,'Калькуляция (МИ)'!$G$25:$G$603,$G161))))</f>
        <v>0</v>
      </c>
      <c r="AH161" s="836">
        <f ca="1">IF(AND(method_reg="Метод индексации",god&lt;&gt;first_year),SUMIFS(INDEX('Калькуляция (МИ корр)'!$AJ$25:$BC$603,,MATCH(AH$8,'Калькуляция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(МИ)'!$AJ$25:$BC$603,,MATCH(AH$8,'Калькуляция (МИ)'!$AJ$8:$BC$8,0)),'Калькуляция (МИ)'!$F$25:$F$603,$F161,'Калькуляция (МИ)'!$G$25:$G$603,$G161))))</f>
        <v>0</v>
      </c>
      <c r="AI161" s="715">
        <f ca="1">IF(AG161=0,0,(AH161-AG161)/AG161*100)</f>
        <v>0</v>
      </c>
      <c r="AJ161" s="836">
        <f ca="1">IF(AND(method_reg="Метод индексации",god&lt;&gt;first_year),SUMIFS(INDEX('Калькуляция (МИ корр)'!$AJ$25:$BC$603,,MATCH(AJ$8,'Калькуляция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(МИ)'!$AJ$25:$BC$603,,MATCH(AJ$8,'Калькуляция (МИ)'!$AJ$8:$BC$8,0)),'Калькуляция (МИ)'!$F$25:$F$603,$F161,'Калькуляция (МИ)'!$G$25:$G$603,$G161))))</f>
        <v>0</v>
      </c>
      <c r="AK161" s="836">
        <f ca="1">IF(AND(method_reg="Метод индексации",god&lt;&gt;first_year),SUMIFS(INDEX('Калькуляция (МИ корр)'!$AJ$25:$BC$603,,MATCH(AK$8,'Калькуляция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(МИ)'!$AJ$25:$BC$603,,MATCH(AK$8,'Калькуляция (МИ)'!$AJ$8:$BC$8,0)),'Калькуляция (МИ)'!$F$25:$F$603,$F161,'Калькуляция (МИ)'!$G$25:$G$603,$G161))))</f>
        <v>0</v>
      </c>
      <c r="AL161" s="715">
        <f ca="1">IF(AJ161=0,0,(AK161-AJ161)/AJ161*100)</f>
        <v>0</v>
      </c>
      <c r="AM161" s="836">
        <f ca="1">IF(AND(method_reg="Метод индексации",god&lt;&gt;first_year),SUMIFS(INDEX('Калькуляция (МИ корр)'!$AJ$25:$BC$603,,MATCH(AM$8,'Калькуляция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(МИ)'!$AJ$25:$BC$603,,MATCH(AM$8,'Калькуляция (МИ)'!$AJ$8:$BC$8,0)),'Калькуляция (МИ)'!$F$25:$F$603,$F161,'Калькуляция (МИ)'!$G$25:$G$603,$G161))))</f>
        <v>0</v>
      </c>
      <c r="AN161" s="836">
        <f ca="1">IF(AND(method_reg="Метод индексации",god&lt;&gt;first_year),SUMIFS(INDEX('Калькуляция (МИ корр)'!$AJ$25:$BC$603,,MATCH(AN$8,'Калькуляция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(МИ)'!$AJ$25:$BC$603,,MATCH(AN$8,'Калькуляция (МИ)'!$AJ$8:$BC$8,0)),'Калькуляция (МИ)'!$F$25:$F$603,$F161,'Калькуляция (МИ)'!$G$25:$G$603,$G161))))</f>
        <v>0</v>
      </c>
      <c r="AO161" s="715">
        <f ca="1">IF(AM161=0,0,(AN161-AM161)/AM161*100)</f>
        <v>0</v>
      </c>
      <c r="AP161" s="836">
        <f ca="1">IF(AND(method_reg="Метод индексации",god&lt;&gt;first_year),SUMIFS(INDEX('Калькуляция (МИ корр)'!$AJ$25:$BC$603,,MATCH(AP$8,'Калькуляция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(МИ)'!$AJ$25:$BC$603,,MATCH(AP$8,'Калькуляция (МИ)'!$AJ$8:$BC$8,0)),'Калькуляция (МИ)'!$F$25:$F$603,$F161,'Калькуляция (МИ)'!$G$25:$G$603,$G161))))</f>
        <v>0</v>
      </c>
      <c r="AQ161" s="836">
        <f ca="1">IF(AND(method_reg="Метод индексации",god&lt;&gt;first_year),SUMIFS(INDEX('Калькуляция (МИ корр)'!$AJ$25:$BC$603,,MATCH(AQ$8,'Калькуляция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(МИ)'!$AJ$25:$BC$603,,MATCH(AQ$8,'Калькуляция (МИ)'!$AJ$8:$BC$8,0)),'Калькуляция (МИ)'!$F$25:$F$603,$F161,'Калькуляция (МИ)'!$G$25:$G$603,$G161))))</f>
        <v>0</v>
      </c>
      <c r="AR161" s="715">
        <f ca="1">IF(AP161=0,0,(AQ161-AP161)/AP161*100)</f>
        <v>0</v>
      </c>
      <c r="AS161" s="836">
        <f ca="1">IF(AND(method_reg="Метод индексации",god&lt;&gt;first_year),SUMIFS(INDEX('Калькуляция (МИ корр)'!$AJ$25:$BC$603,,MATCH(AS$8,'Калькуляция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(МИ)'!$AJ$25:$BC$603,,MATCH(AS$8,'Калькуляция (МИ)'!$AJ$8:$BC$8,0)),'Калькуляция (МИ)'!$F$25:$F$603,$F161,'Калькуляция (МИ)'!$G$25:$G$603,$G161))))</f>
        <v>0</v>
      </c>
      <c r="AT161" s="836">
        <f ca="1">IF(AND(method_reg="Метод индексации",god&lt;&gt;first_year),SUMIFS(INDEX('Калькуляция (МИ корр)'!$AJ$25:$BC$603,,MATCH(AT$8,'Калькуляция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(МИ)'!$AJ$25:$BC$603,,MATCH(AT$8,'Калькуляция (МИ)'!$AJ$8:$BC$8,0)),'Калькуляция (МИ)'!$F$25:$F$603,$F161,'Калькуляция (МИ)'!$G$25:$G$603,$G161))))</f>
        <v>0</v>
      </c>
      <c r="AU161" s="715">
        <f ca="1">IF(AS161=0,0,(AT161-AS161)/AS161*100)</f>
        <v>0</v>
      </c>
      <c r="AV161" s="836">
        <f ca="1">IF(AND(method_reg="Метод индексации",god&lt;&gt;first_year),SUMIFS(INDEX('Калькуляция (МИ корр)'!$AJ$25:$BC$603,,MATCH(AV$8,'Калькуляция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(МИ)'!$AJ$25:$BC$603,,MATCH(AV$8,'Калькуляция (МИ)'!$AJ$8:$BC$8,0)),'Калькуляция (МИ)'!$F$25:$F$603,$F161,'Калькуляция (МИ)'!$G$25:$G$603,$G161))))</f>
        <v>0</v>
      </c>
      <c r="AW161" s="836">
        <f ca="1">IF(AND(method_reg="Метод индексации",god&lt;&gt;first_year),SUMIFS(INDEX('Калькуляция (МИ корр)'!$AJ$25:$BC$603,,MATCH(AW$8,'Калькуляция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(МИ)'!$AJ$25:$BC$603,,MATCH(AW$8,'Калькуляция (МИ)'!$AJ$8:$BC$8,0)),'Калькуляция (МИ)'!$F$25:$F$603,$F161,'Калькуляция (МИ)'!$G$25:$G$603,$G161))))</f>
        <v>0</v>
      </c>
      <c r="AX161" s="715">
        <f ca="1">IF(AV161=0,0,(AW161-AV161)/AV161*100)</f>
        <v>0</v>
      </c>
      <c r="AY161" s="836">
        <f ca="1">IF(AND(method_reg="Метод индексации",god&lt;&gt;first_year),SUMIFS(INDEX('Калькуляция (МИ корр)'!$AJ$25:$BC$603,,MATCH(AY$8,'Калькуляция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(МИ)'!$AJ$25:$BC$603,,MATCH(AY$8,'Калькуляция (МИ)'!$AJ$8:$BC$8,0)),'Калькуляция (МИ)'!$F$25:$F$603,$F161,'Калькуляция (МИ)'!$G$25:$G$603,$G161))))</f>
        <v>0</v>
      </c>
      <c r="AZ161" s="836">
        <f ca="1">IF(AND(method_reg="Метод индексации",god&lt;&gt;first_year),SUMIFS(INDEX('Калькуляция (МИ корр)'!$AJ$25:$BC$603,,MATCH(AZ$8,'Калькуляция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(МИ)'!$AJ$25:$BC$603,,MATCH(AZ$8,'Калькуляция (МИ)'!$AJ$8:$BC$8,0)),'Калькуляция (МИ)'!$F$25:$F$603,$F161,'Калькуляция (МИ)'!$G$25:$G$603,$G161))))</f>
        <v>0</v>
      </c>
      <c r="BA161" s="715">
        <f ca="1">IF(AY161=0,0,(AZ161-AY161)/AY161*100)</f>
        <v>0</v>
      </c>
      <c r="BB161" s="836">
        <f ca="1">IF(AND(method_reg="Метод индексации",god&lt;&gt;first_year),SUMIFS(INDEX('Калькуляция (МИ корр)'!$AJ$25:$BC$603,,MATCH(BB$8,'Калькуляция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(МИ)'!$AJ$25:$BC$603,,MATCH(BB$8,'Калькуляция (МИ)'!$AJ$8:$BC$8,0)),'Калькуляция (МИ)'!$F$25:$F$603,$F161,'Калькуляция (МИ)'!$G$25:$G$603,$G161))))</f>
        <v>0</v>
      </c>
      <c r="BC161" s="836">
        <f ca="1">IF(AND(method_reg="Метод индексации",god&lt;&gt;first_year),SUMIFS(INDEX('Калькуляция (МИ корр)'!$AJ$25:$BC$603,,MATCH(BC$8,'Калькуляция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(МИ)'!$AJ$25:$BC$603,,MATCH(BC$8,'Калькуляция (МИ)'!$AJ$8:$BC$8,0)),'Калькуляция (МИ)'!$F$25:$F$603,$F161,'Калькуляция (МИ)'!$G$25:$G$603,$G161))))</f>
        <v>0</v>
      </c>
      <c r="BD161" s="715">
        <f ca="1">IF(BB161=0,0,(BC161-BB161)/BB161*100)</f>
        <v>0</v>
      </c>
      <c r="BE161" s="836">
        <f ca="1">IF(AND(method_reg="Метод индексации",god&lt;&gt;first_year),SUMIFS(INDEX('Калькуляция (МИ корр)'!$AJ$25:$BC$603,,MATCH(BE$8,'Калькуляция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(МИ)'!$AJ$25:$BC$603,,MATCH(BE$8,'Калькуляция (МИ)'!$AJ$8:$BC$8,0)),'Калькуляция (МИ)'!$F$25:$F$603,$F161,'Калькуляция (МИ)'!$G$25:$G$603,$G161))))</f>
        <v>0</v>
      </c>
      <c r="BF161" s="836">
        <f ca="1">IF(AND(method_reg="Метод индексации",god&lt;&gt;first_year),SUMIFS(INDEX('Калькуляция (МИ корр)'!$AJ$25:$BC$603,,MATCH(BF$8,'Калькуляция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(МИ)'!$AJ$25:$BC$603,,MATCH(BF$8,'Калькуляция (МИ)'!$AJ$8:$BC$8,0)),'Калькуляция (МИ)'!$F$25:$F$603,$F161,'Калькуляция (МИ)'!$G$25:$G$603,$G161))))</f>
        <v>0</v>
      </c>
      <c r="BG161" s="715">
        <f ca="1">IF(BE161=0,0,(BF161-BE161)/BE161*100)</f>
        <v>0</v>
      </c>
      <c r="BH161" s="836"/>
      <c r="BI161" s="836"/>
      <c r="BJ161" s="715">
        <f>IF(BH161=0,0,(BI161-BH161)/BH161*100)</f>
        <v>0</v>
      </c>
      <c r="BK161" s="836"/>
      <c r="BL161" s="836"/>
      <c r="BM161" s="715">
        <f>IF(BK161=0,0,(BL161-BK161)/BK161*100)</f>
        <v>0</v>
      </c>
      <c r="BN161" s="836"/>
      <c r="BO161" s="836"/>
      <c r="BP161" s="715">
        <f>IF(BN161=0,0,(BO161-BN161)/BN161*100)</f>
        <v>0</v>
      </c>
      <c r="BQ161" s="836"/>
      <c r="BR161" s="836"/>
      <c r="BS161" s="715">
        <f>IF(BQ161=0,0,(BR161-BQ161)/BQ161*100)</f>
        <v>0</v>
      </c>
      <c r="BT161" s="836"/>
      <c r="BU161" s="836"/>
      <c r="BV161" s="715">
        <f>IF(BT161=0,0,(BU161-BT161)/BT161*100)</f>
        <v>0</v>
      </c>
      <c r="BW161" s="836"/>
      <c r="BX161" s="836"/>
      <c r="BY161" s="715">
        <f>IF(BW161=0,0,(BX161-BW161)/BW161*100)</f>
        <v>0</v>
      </c>
      <c r="BZ161" s="836"/>
      <c r="CA161" s="836"/>
      <c r="CB161" s="715">
        <f>IF(BZ161=0,0,(CA161-BZ161)/BZ161*100)</f>
        <v>0</v>
      </c>
      <c r="CC161" s="836"/>
      <c r="CD161" s="836"/>
      <c r="CE161" s="715">
        <f>IF(CC161=0,0,(CD161-CC161)/CC161*100)</f>
        <v>0</v>
      </c>
      <c r="CF161" s="836"/>
      <c r="CG161" s="836"/>
      <c r="CH161" s="715">
        <f>IF(CF161=0,0,(CG161-CF161)/CF161*100)</f>
        <v>0</v>
      </c>
      <c r="CI161" s="836"/>
      <c r="CJ161" s="836"/>
      <c r="CK161" s="715">
        <f>IF(CI161=0,0,(CJ161-CI161)/CI161*100)</f>
        <v>0</v>
      </c>
      <c r="CL161" s="836"/>
      <c r="CM161" s="836"/>
      <c r="CN161" s="715">
        <f>IF(CL161=0,0,(CM161-CL161)/CL161*100)</f>
        <v>0</v>
      </c>
      <c r="CO161" s="836"/>
      <c r="CP161" s="836"/>
      <c r="CQ161" s="715">
        <f>IF(CO161=0,0,(CP161-CO161)/CO161*100)</f>
        <v>0</v>
      </c>
      <c r="CR161" s="836"/>
      <c r="CS161" s="836"/>
      <c r="CT161" s="715">
        <f>IF(CR161=0,0,(CS161-CR161)/CR161*100)</f>
        <v>0</v>
      </c>
      <c r="CU161" s="836"/>
      <c r="CV161" s="836"/>
      <c r="CW161" s="715">
        <f>IF(CU161=0,0,(CV161-CU161)/CU161*100)</f>
        <v>0</v>
      </c>
      <c r="CX161" s="836"/>
      <c r="CY161" s="836"/>
      <c r="CZ161" s="715">
        <f>IF(CX161=0,0,(CY161-CX161)/CX161*100)</f>
        <v>0</v>
      </c>
      <c r="DA161" s="836"/>
      <c r="DB161" s="836"/>
      <c r="DC161" s="715">
        <f>IF(DA161=0,0,(DB161-DA161)/DA161*100)</f>
        <v>0</v>
      </c>
      <c r="DD161" s="836"/>
      <c r="DE161" s="836"/>
      <c r="DF161" s="715">
        <f>IF(DD161=0,0,(DE161-DD161)/DD161*100)</f>
        <v>0</v>
      </c>
      <c r="DG161" s="836"/>
      <c r="DH161" s="836"/>
      <c r="DI161" s="715">
        <f>IF(DG161=0,0,(DH161-DG161)/DG161*100)</f>
        <v>0</v>
      </c>
      <c r="DJ161" s="836"/>
      <c r="DK161" s="836"/>
      <c r="DL161" s="715">
        <f>IF(DJ161=0,0,(DK161-DJ161)/DJ161*100)</f>
        <v>0</v>
      </c>
      <c r="DM161" s="836"/>
      <c r="DN161" s="836"/>
      <c r="DO161" s="715">
        <f>IF(DM161=0,0,(DN161-DM161)/DM161*100)</f>
        <v>0</v>
      </c>
      <c r="DP161" s="836"/>
      <c r="DQ161" s="836"/>
      <c r="DR161" s="715">
        <f>IF(DP161=0,0,(DQ161-DP161)/DP161*100)</f>
        <v>0</v>
      </c>
      <c r="DS161" s="836"/>
      <c r="DT161" s="836"/>
      <c r="DU161" s="715">
        <f>IF(DS161=0,0,(DT161-DS161)/DS161*100)</f>
        <v>0</v>
      </c>
      <c r="DV161" s="836"/>
      <c r="DW161" s="836"/>
      <c r="DX161" s="715">
        <f>IF(DV161=0,0,(DW161-DV161)/DV161*100)</f>
        <v>0</v>
      </c>
      <c r="DY161" s="836"/>
      <c r="DZ161" s="836"/>
      <c r="EA161" s="715">
        <f>IF(DY161=0,0,(DZ161-DY161)/DY161*100)</f>
        <v>0</v>
      </c>
      <c r="EB161" s="836"/>
      <c r="EC161" s="836"/>
      <c r="ED161" s="715">
        <f>IF(EB161=0,0,(EC161-EB161)/EB161*100)</f>
        <v>0</v>
      </c>
      <c r="EE161" s="836"/>
      <c r="EF161" s="836"/>
      <c r="EG161" s="715">
        <f>IF(EE161=0,0,(EF161-EE161)/EE161*100)</f>
        <v>0</v>
      </c>
      <c r="EH161" s="836"/>
      <c r="EI161" s="836"/>
      <c r="EJ161" s="715">
        <f>IF(EH161=0,0,(EI161-EH161)/EH161*100)</f>
        <v>0</v>
      </c>
      <c r="EK161" s="836"/>
      <c r="EL161" s="836"/>
      <c r="EM161" s="715">
        <f>IF(EK161=0,0,(EL161-EK161)/EK161*100)</f>
        <v>0</v>
      </c>
      <c r="EN161" s="836"/>
      <c r="EO161" s="836"/>
      <c r="EP161" s="715">
        <f>IF(EN161=0,0,(EO161-EN161)/EN161*100)</f>
        <v>0</v>
      </c>
      <c r="EQ161" s="836"/>
      <c r="ER161" s="836"/>
      <c r="ES161" s="715">
        <f>IF(EQ161=0,0,(ER161-EQ161)/EQ161*100)</f>
        <v>0</v>
      </c>
      <c r="ET161" s="836"/>
      <c r="EU161" s="836"/>
      <c r="EV161" s="715">
        <f>IF(ET161=0,0,(EU161-ET161)/ET161*100)</f>
        <v>0</v>
      </c>
      <c r="EW161" s="836"/>
      <c r="EX161" s="836"/>
      <c r="EY161" s="715">
        <f>IF(EW161=0,0,(EX161-EW161)/EW161*100)</f>
        <v>0</v>
      </c>
      <c r="EZ161" s="836"/>
      <c r="FA161" s="836"/>
      <c r="FB161" s="715">
        <f>IF(EZ161=0,0,(FA161-EZ161)/EZ161*100)</f>
        <v>0</v>
      </c>
      <c r="FC161" s="836"/>
      <c r="FD161" s="836"/>
      <c r="FE161" s="715">
        <f>IF(FC161=0,0,(FD161-FC161)/FC161*100)</f>
        <v>0</v>
      </c>
      <c r="FF161" s="836"/>
      <c r="FG161" s="836"/>
      <c r="FH161" s="715">
        <f>IF(FF161=0,0,(FG161-FF161)/FF161*100)</f>
        <v>0</v>
      </c>
      <c r="FI161" s="836"/>
      <c r="FJ161" s="836"/>
      <c r="FK161" s="715">
        <f>IF(FI161=0,0,(FJ161-FI161)/FI161*100)</f>
        <v>0</v>
      </c>
      <c r="FL161" s="836"/>
      <c r="FM161" s="836"/>
      <c r="FN161" s="715">
        <f>IF(FL161=0,0,(FM161-FL161)/FL161*100)</f>
        <v>0</v>
      </c>
      <c r="FO161" s="836"/>
      <c r="FP161" s="836"/>
      <c r="FQ161" s="715">
        <f>IF(FO161=0,0,(FP161-FO161)/FO161*100)</f>
        <v>0</v>
      </c>
      <c r="FR161" s="836"/>
      <c r="FS161" s="836"/>
      <c r="FT161" s="715">
        <f>IF(FR161=0,0,(FS161-FR161)/FR161*100)</f>
        <v>0</v>
      </c>
      <c r="FU161" s="836"/>
      <c r="FV161" s="836"/>
      <c r="FW161" s="715">
        <f>IF(FU161=0,0,(FV161-FU161)/FU161*100)</f>
        <v>0</v>
      </c>
      <c r="FZ161" s="691" t="s">
        <v>1682</v>
      </c>
    </row>
    <row r="162" spans="1:182" ht="24" hidden="1" customHeight="1" x14ac:dyDescent="0.15">
      <c r="A162" s="59"/>
      <c r="B162" s="613" t="b" cm="1">
        <f t="array" ref="B162">B161</f>
        <v>0</v>
      </c>
      <c r="C162" s="59"/>
      <c r="D162" s="59"/>
      <c r="E162" s="462">
        <v>24.75</v>
      </c>
      <c r="F162" s="3" t="str" cm="1">
        <f t="array" aca="1" ref="F162" ca="1">OFFSET(E162,-1,1)</f>
        <v>2</v>
      </c>
      <c r="G162" s="59"/>
      <c r="H162" s="59" t="s">
        <v>1683</v>
      </c>
      <c r="I162" s="59" t="s">
        <v>1642</v>
      </c>
      <c r="J162" s="59"/>
      <c r="K162" s="59"/>
      <c r="L162" s="59"/>
      <c r="M162" s="59"/>
      <c r="N162" s="59"/>
      <c r="O162" s="59"/>
      <c r="P162" s="59"/>
      <c r="Q162" s="59"/>
      <c r="R162" s="59"/>
      <c r="S162" s="59"/>
      <c r="T162" s="353" t="b" cm="1">
        <f t="array" aca="1" ref="T162" ca="1">T161</f>
        <v>1</v>
      </c>
      <c r="U162" s="59"/>
      <c r="V162" s="59"/>
      <c r="W162" s="59"/>
      <c r="X162" s="1022"/>
      <c r="Y162" s="59"/>
      <c r="Z162" s="966"/>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1684</v>
      </c>
      <c r="AD162" s="820"/>
      <c r="AE162" s="820"/>
      <c r="AF162" s="714">
        <f>IF(AD162=0,0,(AE162-AD162)/AD162*100)</f>
        <v>0</v>
      </c>
      <c r="AG162" s="820"/>
      <c r="AH162" s="820"/>
      <c r="AI162" s="714">
        <f>IF(AG162=0,0,(AH162-AG162)/AG162*100)</f>
        <v>0</v>
      </c>
      <c r="AJ162" s="820"/>
      <c r="AK162" s="820"/>
      <c r="AL162" s="714">
        <f>IF(AJ162=0,0,(AK162-AJ162)/AJ162*100)</f>
        <v>0</v>
      </c>
      <c r="AM162" s="820"/>
      <c r="AN162" s="820"/>
      <c r="AO162" s="714">
        <f>IF(AM162=0,0,(AN162-AM162)/AM162*100)</f>
        <v>0</v>
      </c>
      <c r="AP162" s="820"/>
      <c r="AQ162" s="820"/>
      <c r="AR162" s="714">
        <f>IF(AP162=0,0,(AQ162-AP162)/AP162*100)</f>
        <v>0</v>
      </c>
      <c r="AS162" s="820"/>
      <c r="AT162" s="820"/>
      <c r="AU162" s="714">
        <f>IF(AS162=0,0,(AT162-AS162)/AS162*100)</f>
        <v>0</v>
      </c>
      <c r="AV162" s="820"/>
      <c r="AW162" s="820"/>
      <c r="AX162" s="714">
        <f>IF(AV162=0,0,(AW162-AV162)/AV162*100)</f>
        <v>0</v>
      </c>
      <c r="AY162" s="820"/>
      <c r="AZ162" s="820"/>
      <c r="BA162" s="714">
        <f>IF(AY162=0,0,(AZ162-AY162)/AY162*100)</f>
        <v>0</v>
      </c>
      <c r="BB162" s="820"/>
      <c r="BC162" s="820"/>
      <c r="BD162" s="714">
        <f>IF(BB162=0,0,(BC162-BB162)/BB162*100)</f>
        <v>0</v>
      </c>
      <c r="BE162" s="820"/>
      <c r="BF162" s="820"/>
      <c r="BG162" s="714">
        <f>IF(BE162=0,0,(BF162-BE162)/BE162*100)</f>
        <v>0</v>
      </c>
      <c r="BH162" s="820"/>
      <c r="BI162" s="820"/>
      <c r="BJ162" s="714">
        <f>IF(BH162=0,0,(BI162-BH162)/BH162*100)</f>
        <v>0</v>
      </c>
      <c r="BK162" s="820"/>
      <c r="BL162" s="820"/>
      <c r="BM162" s="714">
        <f>IF(BK162=0,0,(BL162-BK162)/BK162*100)</f>
        <v>0</v>
      </c>
      <c r="BN162" s="820"/>
      <c r="BO162" s="820"/>
      <c r="BP162" s="714">
        <f>IF(BN162=0,0,(BO162-BN162)/BN162*100)</f>
        <v>0</v>
      </c>
      <c r="BQ162" s="820"/>
      <c r="BR162" s="820"/>
      <c r="BS162" s="714">
        <f>IF(BQ162=0,0,(BR162-BQ162)/BQ162*100)</f>
        <v>0</v>
      </c>
      <c r="BT162" s="820"/>
      <c r="BU162" s="820"/>
      <c r="BV162" s="714">
        <f>IF(BT162=0,0,(BU162-BT162)/BT162*100)</f>
        <v>0</v>
      </c>
      <c r="BW162" s="820"/>
      <c r="BX162" s="820"/>
      <c r="BY162" s="714">
        <f>IF(BW162=0,0,(BX162-BW162)/BW162*100)</f>
        <v>0</v>
      </c>
      <c r="BZ162" s="820"/>
      <c r="CA162" s="820"/>
      <c r="CB162" s="714">
        <f>IF(BZ162=0,0,(CA162-BZ162)/BZ162*100)</f>
        <v>0</v>
      </c>
      <c r="CC162" s="820"/>
      <c r="CD162" s="820"/>
      <c r="CE162" s="714">
        <f>IF(CC162=0,0,(CD162-CC162)/CC162*100)</f>
        <v>0</v>
      </c>
      <c r="CF162" s="820"/>
      <c r="CG162" s="820"/>
      <c r="CH162" s="714">
        <f>IF(CF162=0,0,(CG162-CF162)/CF162*100)</f>
        <v>0</v>
      </c>
      <c r="CI162" s="820"/>
      <c r="CJ162" s="820"/>
      <c r="CK162" s="714">
        <f>IF(CI162=0,0,(CJ162-CI162)/CI162*100)</f>
        <v>0</v>
      </c>
      <c r="CL162" s="820"/>
      <c r="CM162" s="820"/>
      <c r="CN162" s="714">
        <f>IF(CL162=0,0,(CM162-CL162)/CL162*100)</f>
        <v>0</v>
      </c>
      <c r="CO162" s="820"/>
      <c r="CP162" s="820"/>
      <c r="CQ162" s="714">
        <f>IF(CO162=0,0,(CP162-CO162)/CO162*100)</f>
        <v>0</v>
      </c>
      <c r="CR162" s="820"/>
      <c r="CS162" s="820"/>
      <c r="CT162" s="714">
        <f>IF(CR162=0,0,(CS162-CR162)/CR162*100)</f>
        <v>0</v>
      </c>
      <c r="CU162" s="820"/>
      <c r="CV162" s="820"/>
      <c r="CW162" s="714">
        <f>IF(CU162=0,0,(CV162-CU162)/CU162*100)</f>
        <v>0</v>
      </c>
      <c r="CX162" s="820"/>
      <c r="CY162" s="820"/>
      <c r="CZ162" s="714">
        <f>IF(CX162=0,0,(CY162-CX162)/CX162*100)</f>
        <v>0</v>
      </c>
      <c r="DA162" s="820"/>
      <c r="DB162" s="820"/>
      <c r="DC162" s="714">
        <f>IF(DA162=0,0,(DB162-DA162)/DA162*100)</f>
        <v>0</v>
      </c>
      <c r="DD162" s="820"/>
      <c r="DE162" s="820"/>
      <c r="DF162" s="714">
        <f>IF(DD162=0,0,(DE162-DD162)/DD162*100)</f>
        <v>0</v>
      </c>
      <c r="DG162" s="820"/>
      <c r="DH162" s="820"/>
      <c r="DI162" s="714">
        <f>IF(DG162=0,0,(DH162-DG162)/DG162*100)</f>
        <v>0</v>
      </c>
      <c r="DJ162" s="820"/>
      <c r="DK162" s="820"/>
      <c r="DL162" s="714">
        <f>IF(DJ162=0,0,(DK162-DJ162)/DJ162*100)</f>
        <v>0</v>
      </c>
      <c r="DM162" s="820"/>
      <c r="DN162" s="820"/>
      <c r="DO162" s="714">
        <f>IF(DM162=0,0,(DN162-DM162)/DM162*100)</f>
        <v>0</v>
      </c>
      <c r="DP162" s="820"/>
      <c r="DQ162" s="820"/>
      <c r="DR162" s="714">
        <f>IF(DP162=0,0,(DQ162-DP162)/DP162*100)</f>
        <v>0</v>
      </c>
      <c r="DS162" s="820"/>
      <c r="DT162" s="820"/>
      <c r="DU162" s="714">
        <f>IF(DS162=0,0,(DT162-DS162)/DS162*100)</f>
        <v>0</v>
      </c>
      <c r="DV162" s="820"/>
      <c r="DW162" s="820"/>
      <c r="DX162" s="714">
        <f>IF(DV162=0,0,(DW162-DV162)/DV162*100)</f>
        <v>0</v>
      </c>
      <c r="DY162" s="820"/>
      <c r="DZ162" s="820"/>
      <c r="EA162" s="714">
        <f>IF(DY162=0,0,(DZ162-DY162)/DY162*100)</f>
        <v>0</v>
      </c>
      <c r="EB162" s="820"/>
      <c r="EC162" s="820"/>
      <c r="ED162" s="714">
        <f>IF(EB162=0,0,(EC162-EB162)/EB162*100)</f>
        <v>0</v>
      </c>
      <c r="EE162" s="820"/>
      <c r="EF162" s="820"/>
      <c r="EG162" s="714">
        <f>IF(EE162=0,0,(EF162-EE162)/EE162*100)</f>
        <v>0</v>
      </c>
      <c r="EH162" s="820"/>
      <c r="EI162" s="820"/>
      <c r="EJ162" s="714">
        <f>IF(EH162=0,0,(EI162-EH162)/EH162*100)</f>
        <v>0</v>
      </c>
      <c r="EK162" s="820"/>
      <c r="EL162" s="820"/>
      <c r="EM162" s="714">
        <f>IF(EK162=0,0,(EL162-EK162)/EK162*100)</f>
        <v>0</v>
      </c>
      <c r="EN162" s="820"/>
      <c r="EO162" s="820"/>
      <c r="EP162" s="714">
        <f>IF(EN162=0,0,(EO162-EN162)/EN162*100)</f>
        <v>0</v>
      </c>
      <c r="EQ162" s="820"/>
      <c r="ER162" s="820"/>
      <c r="ES162" s="714">
        <f>IF(EQ162=0,0,(ER162-EQ162)/EQ162*100)</f>
        <v>0</v>
      </c>
      <c r="ET162" s="820"/>
      <c r="EU162" s="820"/>
      <c r="EV162" s="714">
        <f>IF(ET162=0,0,(EU162-ET162)/ET162*100)</f>
        <v>0</v>
      </c>
      <c r="EW162" s="820"/>
      <c r="EX162" s="820"/>
      <c r="EY162" s="714">
        <f>IF(EW162=0,0,(EX162-EW162)/EW162*100)</f>
        <v>0</v>
      </c>
      <c r="EZ162" s="820"/>
      <c r="FA162" s="820"/>
      <c r="FB162" s="714">
        <f>IF(EZ162=0,0,(FA162-EZ162)/EZ162*100)</f>
        <v>0</v>
      </c>
      <c r="FC162" s="820"/>
      <c r="FD162" s="820"/>
      <c r="FE162" s="714">
        <f>IF(FC162=0,0,(FD162-FC162)/FC162*100)</f>
        <v>0</v>
      </c>
      <c r="FF162" s="820"/>
      <c r="FG162" s="820"/>
      <c r="FH162" s="714">
        <f>IF(FF162=0,0,(FG162-FF162)/FF162*100)</f>
        <v>0</v>
      </c>
      <c r="FI162" s="820"/>
      <c r="FJ162" s="820"/>
      <c r="FK162" s="714">
        <f>IF(FI162=0,0,(FJ162-FI162)/FI162*100)</f>
        <v>0</v>
      </c>
      <c r="FL162" s="820"/>
      <c r="FM162" s="820"/>
      <c r="FN162" s="714">
        <f>IF(FL162=0,0,(FM162-FL162)/FL162*100)</f>
        <v>0</v>
      </c>
      <c r="FO162" s="820"/>
      <c r="FP162" s="820"/>
      <c r="FQ162" s="714">
        <f>IF(FO162=0,0,(FP162-FO162)/FO162*100)</f>
        <v>0</v>
      </c>
      <c r="FR162" s="820"/>
      <c r="FS162" s="820"/>
      <c r="FT162" s="714">
        <f>IF(FR162=0,0,(FS162-FR162)/FR162*100)</f>
        <v>0</v>
      </c>
      <c r="FU162" s="820"/>
      <c r="FV162" s="820"/>
      <c r="FW162" s="714">
        <f>IF(FU162=0,0,(FV162-FU162)/FU162*100)</f>
        <v>0</v>
      </c>
      <c r="FZ162" s="691" t="s">
        <v>1685</v>
      </c>
    </row>
    <row r="163" spans="1:182" ht="14.25" hidden="1" customHeight="1" x14ac:dyDescent="0.15">
      <c r="A163" s="59"/>
      <c r="B163" s="613" t="b" cm="1">
        <f t="array" ref="B163">B162</f>
        <v>0</v>
      </c>
      <c r="C163" s="59"/>
      <c r="D163" s="59"/>
      <c r="E163" s="462">
        <v>15</v>
      </c>
      <c r="F163" s="3" t="str" cm="1">
        <f t="array" aca="1" ref="F163" ca="1">OFFSET(E163,-1,1)</f>
        <v>2</v>
      </c>
      <c r="G163" s="59"/>
      <c r="H163" s="59" t="s">
        <v>1686</v>
      </c>
      <c r="I163" s="59" t="s">
        <v>1642</v>
      </c>
      <c r="J163" s="59"/>
      <c r="K163" s="59"/>
      <c r="L163" s="59"/>
      <c r="M163" s="59"/>
      <c r="N163" s="59"/>
      <c r="O163" s="59"/>
      <c r="P163" s="59"/>
      <c r="Q163" s="59"/>
      <c r="R163" s="59"/>
      <c r="S163" s="59"/>
      <c r="T163" s="353" t="b" cm="1">
        <f t="array" aca="1" ref="T163" ca="1">T162</f>
        <v>1</v>
      </c>
      <c r="U163" s="59"/>
      <c r="V163" s="59"/>
      <c r="W163" s="59"/>
      <c r="X163" s="1022"/>
      <c r="Y163" s="59"/>
      <c r="Z163" s="966"/>
      <c r="AA163" s="59"/>
      <c r="AB163" s="105" t="s">
        <v>1687</v>
      </c>
      <c r="AC163" s="12" t="s">
        <v>1688</v>
      </c>
      <c r="AD163" s="820"/>
      <c r="AE163" s="820"/>
      <c r="AF163" s="714">
        <f>IF(AD163=0,0,(AE163-AD163)/AD163*100)</f>
        <v>0</v>
      </c>
      <c r="AG163" s="820"/>
      <c r="AH163" s="820"/>
      <c r="AI163" s="714">
        <f>IF(AG163=0,0,(AH163-AG163)/AG163*100)</f>
        <v>0</v>
      </c>
      <c r="AJ163" s="820"/>
      <c r="AK163" s="820"/>
      <c r="AL163" s="714">
        <f>IF(AJ163=0,0,(AK163-AJ163)/AJ163*100)</f>
        <v>0</v>
      </c>
      <c r="AM163" s="820"/>
      <c r="AN163" s="820"/>
      <c r="AO163" s="714">
        <f>IF(AM163=0,0,(AN163-AM163)/AM163*100)</f>
        <v>0</v>
      </c>
      <c r="AP163" s="820"/>
      <c r="AQ163" s="820"/>
      <c r="AR163" s="714">
        <f>IF(AP163=0,0,(AQ163-AP163)/AP163*100)</f>
        <v>0</v>
      </c>
      <c r="AS163" s="820"/>
      <c r="AT163" s="820"/>
      <c r="AU163" s="714">
        <f>IF(AS163=0,0,(AT163-AS163)/AS163*100)</f>
        <v>0</v>
      </c>
      <c r="AV163" s="820"/>
      <c r="AW163" s="820"/>
      <c r="AX163" s="714">
        <f>IF(AV163=0,0,(AW163-AV163)/AV163*100)</f>
        <v>0</v>
      </c>
      <c r="AY163" s="820"/>
      <c r="AZ163" s="820"/>
      <c r="BA163" s="714">
        <f>IF(AY163=0,0,(AZ163-AY163)/AY163*100)</f>
        <v>0</v>
      </c>
      <c r="BB163" s="820"/>
      <c r="BC163" s="820"/>
      <c r="BD163" s="714">
        <f>IF(BB163=0,0,(BC163-BB163)/BB163*100)</f>
        <v>0</v>
      </c>
      <c r="BE163" s="820"/>
      <c r="BF163" s="820"/>
      <c r="BG163" s="714">
        <f>IF(BE163=0,0,(BF163-BE163)/BE163*100)</f>
        <v>0</v>
      </c>
      <c r="BH163" s="820"/>
      <c r="BI163" s="820"/>
      <c r="BJ163" s="714">
        <f>IF(BH163=0,0,(BI163-BH163)/BH163*100)</f>
        <v>0</v>
      </c>
      <c r="BK163" s="820"/>
      <c r="BL163" s="820"/>
      <c r="BM163" s="714">
        <f>IF(BK163=0,0,(BL163-BK163)/BK163*100)</f>
        <v>0</v>
      </c>
      <c r="BN163" s="820"/>
      <c r="BO163" s="820"/>
      <c r="BP163" s="714">
        <f>IF(BN163=0,0,(BO163-BN163)/BN163*100)</f>
        <v>0</v>
      </c>
      <c r="BQ163" s="820"/>
      <c r="BR163" s="820"/>
      <c r="BS163" s="714">
        <f>IF(BQ163=0,0,(BR163-BQ163)/BQ163*100)</f>
        <v>0</v>
      </c>
      <c r="BT163" s="820"/>
      <c r="BU163" s="820"/>
      <c r="BV163" s="714">
        <f>IF(BT163=0,0,(BU163-BT163)/BT163*100)</f>
        <v>0</v>
      </c>
      <c r="BW163" s="820"/>
      <c r="BX163" s="820"/>
      <c r="BY163" s="714">
        <f>IF(BW163=0,0,(BX163-BW163)/BW163*100)</f>
        <v>0</v>
      </c>
      <c r="BZ163" s="820"/>
      <c r="CA163" s="820"/>
      <c r="CB163" s="714">
        <f>IF(BZ163=0,0,(CA163-BZ163)/BZ163*100)</f>
        <v>0</v>
      </c>
      <c r="CC163" s="820"/>
      <c r="CD163" s="820"/>
      <c r="CE163" s="714">
        <f>IF(CC163=0,0,(CD163-CC163)/CC163*100)</f>
        <v>0</v>
      </c>
      <c r="CF163" s="820"/>
      <c r="CG163" s="820"/>
      <c r="CH163" s="714">
        <f>IF(CF163=0,0,(CG163-CF163)/CF163*100)</f>
        <v>0</v>
      </c>
      <c r="CI163" s="820"/>
      <c r="CJ163" s="820"/>
      <c r="CK163" s="714">
        <f>IF(CI163=0,0,(CJ163-CI163)/CI163*100)</f>
        <v>0</v>
      </c>
      <c r="CL163" s="820"/>
      <c r="CM163" s="820"/>
      <c r="CN163" s="714">
        <f>IF(CL163=0,0,(CM163-CL163)/CL163*100)</f>
        <v>0</v>
      </c>
      <c r="CO163" s="820"/>
      <c r="CP163" s="820"/>
      <c r="CQ163" s="714">
        <f>IF(CO163=0,0,(CP163-CO163)/CO163*100)</f>
        <v>0</v>
      </c>
      <c r="CR163" s="820"/>
      <c r="CS163" s="820"/>
      <c r="CT163" s="714">
        <f>IF(CR163=0,0,(CS163-CR163)/CR163*100)</f>
        <v>0</v>
      </c>
      <c r="CU163" s="820"/>
      <c r="CV163" s="820"/>
      <c r="CW163" s="714">
        <f>IF(CU163=0,0,(CV163-CU163)/CU163*100)</f>
        <v>0</v>
      </c>
      <c r="CX163" s="820"/>
      <c r="CY163" s="820"/>
      <c r="CZ163" s="714">
        <f>IF(CX163=0,0,(CY163-CX163)/CX163*100)</f>
        <v>0</v>
      </c>
      <c r="DA163" s="820"/>
      <c r="DB163" s="820"/>
      <c r="DC163" s="714">
        <f>IF(DA163=0,0,(DB163-DA163)/DA163*100)</f>
        <v>0</v>
      </c>
      <c r="DD163" s="820"/>
      <c r="DE163" s="820"/>
      <c r="DF163" s="714">
        <f>IF(DD163=0,0,(DE163-DD163)/DD163*100)</f>
        <v>0</v>
      </c>
      <c r="DG163" s="820"/>
      <c r="DH163" s="820"/>
      <c r="DI163" s="714">
        <f>IF(DG163=0,0,(DH163-DG163)/DG163*100)</f>
        <v>0</v>
      </c>
      <c r="DJ163" s="820"/>
      <c r="DK163" s="820"/>
      <c r="DL163" s="714">
        <f>IF(DJ163=0,0,(DK163-DJ163)/DJ163*100)</f>
        <v>0</v>
      </c>
      <c r="DM163" s="820"/>
      <c r="DN163" s="820"/>
      <c r="DO163" s="714">
        <f>IF(DM163=0,0,(DN163-DM163)/DM163*100)</f>
        <v>0</v>
      </c>
      <c r="DP163" s="820"/>
      <c r="DQ163" s="820"/>
      <c r="DR163" s="714">
        <f>IF(DP163=0,0,(DQ163-DP163)/DP163*100)</f>
        <v>0</v>
      </c>
      <c r="DS163" s="820"/>
      <c r="DT163" s="820"/>
      <c r="DU163" s="714">
        <f>IF(DS163=0,0,(DT163-DS163)/DS163*100)</f>
        <v>0</v>
      </c>
      <c r="DV163" s="820"/>
      <c r="DW163" s="820"/>
      <c r="DX163" s="714">
        <f>IF(DV163=0,0,(DW163-DV163)/DV163*100)</f>
        <v>0</v>
      </c>
      <c r="DY163" s="820"/>
      <c r="DZ163" s="820"/>
      <c r="EA163" s="714">
        <f>IF(DY163=0,0,(DZ163-DY163)/DY163*100)</f>
        <v>0</v>
      </c>
      <c r="EB163" s="820"/>
      <c r="EC163" s="820"/>
      <c r="ED163" s="714">
        <f>IF(EB163=0,0,(EC163-EB163)/EB163*100)</f>
        <v>0</v>
      </c>
      <c r="EE163" s="820"/>
      <c r="EF163" s="820"/>
      <c r="EG163" s="714">
        <f>IF(EE163=0,0,(EF163-EE163)/EE163*100)</f>
        <v>0</v>
      </c>
      <c r="EH163" s="820"/>
      <c r="EI163" s="820"/>
      <c r="EJ163" s="714">
        <f>IF(EH163=0,0,(EI163-EH163)/EH163*100)</f>
        <v>0</v>
      </c>
      <c r="EK163" s="820"/>
      <c r="EL163" s="820"/>
      <c r="EM163" s="714">
        <f>IF(EK163=0,0,(EL163-EK163)/EK163*100)</f>
        <v>0</v>
      </c>
      <c r="EN163" s="820"/>
      <c r="EO163" s="820"/>
      <c r="EP163" s="714">
        <f>IF(EN163=0,0,(EO163-EN163)/EN163*100)</f>
        <v>0</v>
      </c>
      <c r="EQ163" s="820"/>
      <c r="ER163" s="820"/>
      <c r="ES163" s="714">
        <f>IF(EQ163=0,0,(ER163-EQ163)/EQ163*100)</f>
        <v>0</v>
      </c>
      <c r="ET163" s="820"/>
      <c r="EU163" s="820"/>
      <c r="EV163" s="714">
        <f>IF(ET163=0,0,(EU163-ET163)/ET163*100)</f>
        <v>0</v>
      </c>
      <c r="EW163" s="820"/>
      <c r="EX163" s="820"/>
      <c r="EY163" s="714">
        <f>IF(EW163=0,0,(EX163-EW163)/EW163*100)</f>
        <v>0</v>
      </c>
      <c r="EZ163" s="820"/>
      <c r="FA163" s="820"/>
      <c r="FB163" s="714">
        <f>IF(EZ163=0,0,(FA163-EZ163)/EZ163*100)</f>
        <v>0</v>
      </c>
      <c r="FC163" s="820"/>
      <c r="FD163" s="820"/>
      <c r="FE163" s="714">
        <f>IF(FC163=0,0,(FD163-FC163)/FC163*100)</f>
        <v>0</v>
      </c>
      <c r="FF163" s="820"/>
      <c r="FG163" s="820"/>
      <c r="FH163" s="714">
        <f>IF(FF163=0,0,(FG163-FF163)/FF163*100)</f>
        <v>0</v>
      </c>
      <c r="FI163" s="820"/>
      <c r="FJ163" s="820"/>
      <c r="FK163" s="714">
        <f>IF(FI163=0,0,(FJ163-FI163)/FI163*100)</f>
        <v>0</v>
      </c>
      <c r="FL163" s="820"/>
      <c r="FM163" s="820"/>
      <c r="FN163" s="714">
        <f>IF(FL163=0,0,(FM163-FL163)/FL163*100)</f>
        <v>0</v>
      </c>
      <c r="FO163" s="820"/>
      <c r="FP163" s="820"/>
      <c r="FQ163" s="714">
        <f>IF(FO163=0,0,(FP163-FO163)/FO163*100)</f>
        <v>0</v>
      </c>
      <c r="FR163" s="820"/>
      <c r="FS163" s="820"/>
      <c r="FT163" s="714">
        <f>IF(FR163=0,0,(FS163-FR163)/FR163*100)</f>
        <v>0</v>
      </c>
      <c r="FU163" s="820"/>
      <c r="FV163" s="820"/>
      <c r="FW163" s="714">
        <f>IF(FU163=0,0,(FV163-FU163)/FU163*100)</f>
        <v>0</v>
      </c>
      <c r="FZ163" s="691" t="s">
        <v>1689</v>
      </c>
    </row>
    <row r="164" spans="1:182" ht="23.25" hidden="1" customHeight="1" x14ac:dyDescent="0.15">
      <c r="A164" s="59"/>
      <c r="B164" s="613" t="b" cm="1">
        <f t="array" ref="B164">B163</f>
        <v>0</v>
      </c>
      <c r="C164" s="59"/>
      <c r="D164" s="59"/>
      <c r="E164" s="462">
        <v>24.5</v>
      </c>
      <c r="F164" s="3" t="str" cm="1">
        <f t="array" aca="1" ref="F164" ca="1">OFFSET(E164,-1,1)</f>
        <v>2</v>
      </c>
      <c r="G164" s="59"/>
      <c r="H164" s="59"/>
      <c r="I164" s="59"/>
      <c r="J164" s="59"/>
      <c r="K164" s="59"/>
      <c r="L164" s="59"/>
      <c r="M164" s="59"/>
      <c r="N164" s="59"/>
      <c r="O164" s="59"/>
      <c r="P164" s="59"/>
      <c r="Q164" s="59"/>
      <c r="R164" s="59"/>
      <c r="S164" s="59"/>
      <c r="T164" s="353" t="b" cm="1">
        <f t="array" aca="1" ref="T164" ca="1">T163</f>
        <v>1</v>
      </c>
      <c r="U164" s="59"/>
      <c r="V164" s="59"/>
      <c r="W164" s="59"/>
      <c r="X164" s="1022"/>
      <c r="Y164" s="59"/>
      <c r="Z164" s="966"/>
      <c r="AA164" s="59"/>
      <c r="AB164" s="205" t="s">
        <v>1690</v>
      </c>
      <c r="AC164" s="597"/>
      <c r="AD164" s="718"/>
      <c r="AE164" s="718"/>
      <c r="AF164" s="718"/>
      <c r="AG164" s="718"/>
      <c r="AH164" s="718"/>
      <c r="AI164" s="718"/>
      <c r="AJ164" s="718"/>
      <c r="AK164" s="718"/>
      <c r="AL164" s="718"/>
      <c r="AM164" s="718"/>
      <c r="AN164" s="718"/>
      <c r="AO164" s="718"/>
      <c r="AP164" s="718"/>
      <c r="AQ164" s="718"/>
      <c r="AR164" s="718"/>
      <c r="AS164" s="718"/>
      <c r="AT164" s="718"/>
      <c r="AU164" s="718"/>
      <c r="AV164" s="718"/>
      <c r="AW164" s="718"/>
      <c r="AX164" s="718"/>
      <c r="AY164" s="718"/>
      <c r="AZ164" s="718"/>
      <c r="BA164" s="718"/>
      <c r="BB164" s="718"/>
      <c r="BC164" s="718"/>
      <c r="BD164" s="718"/>
      <c r="BE164" s="718"/>
      <c r="BF164" s="718"/>
      <c r="BG164" s="718"/>
      <c r="BH164" s="718"/>
      <c r="BI164" s="718"/>
      <c r="BJ164" s="718"/>
      <c r="BK164" s="718"/>
      <c r="BL164" s="718"/>
      <c r="BM164" s="718"/>
      <c r="BN164" s="718"/>
      <c r="BO164" s="718"/>
      <c r="BP164" s="718"/>
      <c r="BQ164" s="718"/>
      <c r="BR164" s="718"/>
      <c r="BS164" s="718"/>
      <c r="BT164" s="718"/>
      <c r="BU164" s="718"/>
      <c r="BV164" s="718"/>
      <c r="BW164" s="718"/>
      <c r="BX164" s="718"/>
      <c r="BY164" s="718"/>
      <c r="BZ164" s="718"/>
      <c r="CA164" s="718"/>
      <c r="CB164" s="718"/>
      <c r="CC164" s="718"/>
      <c r="CD164" s="718"/>
      <c r="CE164" s="718"/>
      <c r="CF164" s="718"/>
      <c r="CG164" s="718"/>
      <c r="CH164" s="718"/>
      <c r="CI164" s="718"/>
      <c r="CJ164" s="718"/>
      <c r="CK164" s="718"/>
      <c r="CL164" s="718"/>
      <c r="CM164" s="718"/>
      <c r="CN164" s="718"/>
      <c r="CO164" s="718"/>
      <c r="CP164" s="718"/>
      <c r="CQ164" s="718"/>
      <c r="CR164" s="718"/>
      <c r="CS164" s="718"/>
      <c r="CT164" s="718"/>
      <c r="CU164" s="718"/>
      <c r="CV164" s="718"/>
      <c r="CW164" s="718"/>
      <c r="CX164" s="718"/>
      <c r="CY164" s="718"/>
      <c r="CZ164" s="718"/>
      <c r="DA164" s="718"/>
      <c r="DB164" s="718"/>
      <c r="DC164" s="718"/>
      <c r="DD164" s="718"/>
      <c r="DE164" s="718"/>
      <c r="DF164" s="718"/>
      <c r="DG164" s="718"/>
      <c r="DH164" s="718"/>
      <c r="DI164" s="718"/>
      <c r="DJ164" s="718"/>
      <c r="DK164" s="718"/>
      <c r="DL164" s="718"/>
      <c r="DM164" s="718"/>
      <c r="DN164" s="718"/>
      <c r="DO164" s="718"/>
      <c r="DP164" s="718"/>
      <c r="DQ164" s="718"/>
      <c r="DR164" s="718"/>
      <c r="DS164" s="718"/>
      <c r="DT164" s="718"/>
      <c r="DU164" s="718"/>
      <c r="DV164" s="718"/>
      <c r="DW164" s="718"/>
      <c r="DX164" s="718"/>
      <c r="DY164" s="718"/>
      <c r="DZ164" s="718"/>
      <c r="EA164" s="718"/>
      <c r="EB164" s="718"/>
      <c r="EC164" s="718"/>
      <c r="ED164" s="718"/>
      <c r="EE164" s="718"/>
      <c r="EF164" s="718"/>
      <c r="EG164" s="718"/>
      <c r="EH164" s="718"/>
      <c r="EI164" s="718"/>
      <c r="EJ164" s="718"/>
      <c r="EK164" s="718"/>
      <c r="EL164" s="718"/>
      <c r="EM164" s="718"/>
      <c r="EN164" s="718"/>
      <c r="EO164" s="718"/>
      <c r="EP164" s="718"/>
      <c r="EQ164" s="718"/>
      <c r="ER164" s="718"/>
      <c r="ES164" s="718"/>
      <c r="ET164" s="718"/>
      <c r="EU164" s="718"/>
      <c r="EV164" s="718"/>
      <c r="EW164" s="718"/>
      <c r="EX164" s="718"/>
      <c r="EY164" s="718"/>
      <c r="EZ164" s="718"/>
      <c r="FA164" s="718"/>
      <c r="FB164" s="718"/>
      <c r="FC164" s="718"/>
      <c r="FD164" s="718"/>
      <c r="FE164" s="718"/>
      <c r="FF164" s="718"/>
      <c r="FG164" s="718"/>
      <c r="FH164" s="718"/>
      <c r="FI164" s="718"/>
      <c r="FJ164" s="718"/>
      <c r="FK164" s="718"/>
      <c r="FL164" s="718"/>
      <c r="FM164" s="718"/>
      <c r="FN164" s="718"/>
      <c r="FO164" s="718"/>
      <c r="FP164" s="718"/>
      <c r="FQ164" s="718"/>
      <c r="FR164" s="718"/>
      <c r="FS164" s="718"/>
      <c r="FT164" s="718"/>
      <c r="FU164" s="718"/>
      <c r="FV164" s="718"/>
      <c r="FW164" s="719"/>
      <c r="FZ164" s="691"/>
    </row>
    <row r="165" spans="1:182" ht="14.25" hidden="1" customHeight="1" x14ac:dyDescent="0.15">
      <c r="A165" s="59"/>
      <c r="B165" s="613" t="b" cm="1">
        <f t="array" ref="B165">B164</f>
        <v>0</v>
      </c>
      <c r="C165" s="59"/>
      <c r="D165" s="59"/>
      <c r="E165" s="462">
        <v>15</v>
      </c>
      <c r="F165" s="3" t="str" cm="1">
        <f t="array" aca="1" ref="F165" ca="1">OFFSET(E165,-1,1)</f>
        <v>2</v>
      </c>
      <c r="G165" s="59"/>
      <c r="H165" s="59" t="s">
        <v>1570</v>
      </c>
      <c r="I165" s="59" t="s">
        <v>1647</v>
      </c>
      <c r="J165" s="59"/>
      <c r="K165" s="59"/>
      <c r="L165" s="59"/>
      <c r="M165" s="59"/>
      <c r="N165" s="59"/>
      <c r="O165" s="59"/>
      <c r="P165" s="59"/>
      <c r="Q165" s="59"/>
      <c r="R165" s="59"/>
      <c r="S165" s="59"/>
      <c r="T165" s="353" t="b" cm="1">
        <f t="array" aca="1" ref="T165" ca="1">T164</f>
        <v>1</v>
      </c>
      <c r="U165" s="59"/>
      <c r="V165" s="59"/>
      <c r="W165" s="59"/>
      <c r="X165" s="1022"/>
      <c r="Y165" s="59"/>
      <c r="Z165" s="966"/>
      <c r="AA165" s="59"/>
      <c r="AB165" s="105" t="s">
        <v>1677</v>
      </c>
      <c r="AC165" s="12" t="s">
        <v>1644</v>
      </c>
      <c r="AD165" s="820">
        <f ca="1">IF(AD167=0,0,(AD166*AD167+AD168*AD169*IF(god=2026,3,6))/AD167)</f>
        <v>0</v>
      </c>
      <c r="AE165" s="820">
        <f ca="1">IF(AE167=0,0,(AE166*AE167+AE168*AE169*IF(god=2026,3,6))/AE167)</f>
        <v>0</v>
      </c>
      <c r="AF165" s="714">
        <f ca="1">IF(AD165=0,0,(AE165-AD165)/AD165*100)</f>
        <v>0</v>
      </c>
      <c r="AG165" s="820">
        <f ca="1">IF(AG167=0,0,(AG166*AG167+AG168*AG169*IF(god=2025,3,6))/AG167)</f>
        <v>0</v>
      </c>
      <c r="AH165" s="820">
        <f ca="1">IF(AH167=0,0,(AH166*AH167+AH168*AH169*IF(god=2025,3,6))/AH167)</f>
        <v>0</v>
      </c>
      <c r="AI165" s="714">
        <f ca="1">IF(AG165=0,0,(AH165-AG165)/AG165*100)</f>
        <v>0</v>
      </c>
      <c r="AJ165" s="820">
        <f ca="1">IF(AJ167=0,0,(AJ166*AJ167+AJ168*AJ169*6)/AJ167)</f>
        <v>0</v>
      </c>
      <c r="AK165" s="820">
        <f ca="1">IF(AK167=0,0,(AK166*AK167+AK168*AK169*6)/AK167)</f>
        <v>0</v>
      </c>
      <c r="AL165" s="714">
        <f ca="1">IF(AJ165=0,0,(AK165-AJ165)/AJ165*100)</f>
        <v>0</v>
      </c>
      <c r="AM165" s="820">
        <f ca="1">IF(AM167=0,0,(AM166*AM167+AM168*AM169*6)/AM167)</f>
        <v>0</v>
      </c>
      <c r="AN165" s="820">
        <f ca="1">IF(AN167=0,0,(AN166*AN167+AN168*AN169*6)/AN167)</f>
        <v>0</v>
      </c>
      <c r="AO165" s="714">
        <f ca="1">IF(AM165=0,0,(AN165-AM165)/AM165*100)</f>
        <v>0</v>
      </c>
      <c r="AP165" s="820">
        <f ca="1">IF(AP167=0,0,(AP166*AP167+AP168*AP169*6)/AP167)</f>
        <v>0</v>
      </c>
      <c r="AQ165" s="820">
        <f ca="1">IF(AQ167=0,0,(AQ166*AQ167+AQ168*AQ169*6)/AQ167)</f>
        <v>0</v>
      </c>
      <c r="AR165" s="714">
        <f ca="1">IF(AP165=0,0,(AQ165-AP165)/AP165*100)</f>
        <v>0</v>
      </c>
      <c r="AS165" s="820">
        <f ca="1">IF(AS167=0,0,(AS166*AS167+AS168*AS169*6)/AS167)</f>
        <v>0</v>
      </c>
      <c r="AT165" s="820">
        <f ca="1">IF(AT167=0,0,(AT166*AT167+AT168*AT169*6)/AT167)</f>
        <v>0</v>
      </c>
      <c r="AU165" s="714">
        <f ca="1">IF(AS165=0,0,(AT165-AS165)/AS165*100)</f>
        <v>0</v>
      </c>
      <c r="AV165" s="820">
        <f ca="1">IF(AV167=0,0,(AV166*AV167+AV168*AV169*6)/AV167)</f>
        <v>0</v>
      </c>
      <c r="AW165" s="820">
        <f ca="1">IF(AW167=0,0,(AW166*AW167+AW168*AW169*6)/AW167)</f>
        <v>0</v>
      </c>
      <c r="AX165" s="714">
        <f ca="1">IF(AV165=0,0,(AW165-AV165)/AV165*100)</f>
        <v>0</v>
      </c>
      <c r="AY165" s="820">
        <f ca="1">IF(AY167=0,0,(AY166*AY167+AY168*AY169*6)/AY167)</f>
        <v>0</v>
      </c>
      <c r="AZ165" s="820">
        <f ca="1">IF(AZ167=0,0,(AZ166*AZ167+AZ168*AZ169*6)/AZ167)</f>
        <v>0</v>
      </c>
      <c r="BA165" s="714">
        <f ca="1">IF(AY165=0,0,(AZ165-AY165)/AY165*100)</f>
        <v>0</v>
      </c>
      <c r="BB165" s="820">
        <f ca="1">IF(BB167=0,0,(BB166*BB167+BB168*BB169*6)/BB167)</f>
        <v>0</v>
      </c>
      <c r="BC165" s="820">
        <f ca="1">IF(BC167=0,0,(BC166*BC167+BC168*BC169*6)/BC167)</f>
        <v>0</v>
      </c>
      <c r="BD165" s="714">
        <f ca="1">IF(BB165=0,0,(BC165-BB165)/BB165*100)</f>
        <v>0</v>
      </c>
      <c r="BE165" s="820">
        <f ca="1">IF(BE167=0,0,(BE166*BE167+BE168*BE169*6)/BE167)</f>
        <v>0</v>
      </c>
      <c r="BF165" s="820">
        <f ca="1">IF(BF167=0,0,(BF166*BF167+BF168*BF169*6)/BF167)</f>
        <v>0</v>
      </c>
      <c r="BG165" s="714">
        <f ca="1">IF(BE165=0,0,(BF165-BE165)/BE165*100)</f>
        <v>0</v>
      </c>
      <c r="BH165" s="820">
        <f>IF(BH167=0,0,(BH166*BH167+BH168*BH169*6)/BH167)</f>
        <v>0</v>
      </c>
      <c r="BI165" s="820">
        <f>IF(BI167=0,0,(BI166*BI167+BI168*BI169*6)/BI167)</f>
        <v>0</v>
      </c>
      <c r="BJ165" s="714">
        <f>IF(BH165=0,0,(BI165-BH165)/BH165*100)</f>
        <v>0</v>
      </c>
      <c r="BK165" s="820">
        <f>IF(BK167=0,0,(BK166*BK167+BK168*BK169*6)/BK167)</f>
        <v>0</v>
      </c>
      <c r="BL165" s="820">
        <f>IF(BL167=0,0,(BL166*BL167+BL168*BL169*6)/BL167)</f>
        <v>0</v>
      </c>
      <c r="BM165" s="714">
        <f>IF(BK165=0,0,(BL165-BK165)/BK165*100)</f>
        <v>0</v>
      </c>
      <c r="BN165" s="820">
        <f>IF(BN167=0,0,(BN166*BN167+BN168*BN169*6)/BN167)</f>
        <v>0</v>
      </c>
      <c r="BO165" s="820">
        <f>IF(BO167=0,0,(BO166*BO167+BO168*BO169*6)/BO167)</f>
        <v>0</v>
      </c>
      <c r="BP165" s="714">
        <f>IF(BN165=0,0,(BO165-BN165)/BN165*100)</f>
        <v>0</v>
      </c>
      <c r="BQ165" s="820">
        <f>IF(BQ167=0,0,(BQ166*BQ167+BQ168*BQ169*6)/BQ167)</f>
        <v>0</v>
      </c>
      <c r="BR165" s="820">
        <f>IF(BR167=0,0,(BR166*BR167+BR168*BR169*6)/BR167)</f>
        <v>0</v>
      </c>
      <c r="BS165" s="714">
        <f>IF(BQ165=0,0,(BR165-BQ165)/BQ165*100)</f>
        <v>0</v>
      </c>
      <c r="BT165" s="820">
        <f>IF(BT167=0,0,(BT166*BT167+BT168*BT169*6)/BT167)</f>
        <v>0</v>
      </c>
      <c r="BU165" s="820">
        <f>IF(BU167=0,0,(BU166*BU167+BU168*BU169*6)/BU167)</f>
        <v>0</v>
      </c>
      <c r="BV165" s="714">
        <f>IF(BT165=0,0,(BU165-BT165)/BT165*100)</f>
        <v>0</v>
      </c>
      <c r="BW165" s="820">
        <f>IF(BW167=0,0,(BW166*BW167+BW168*BW169*6)/BW167)</f>
        <v>0</v>
      </c>
      <c r="BX165" s="820">
        <f>IF(BX167=0,0,(BX166*BX167+BX168*BX169*6)/BX167)</f>
        <v>0</v>
      </c>
      <c r="BY165" s="714">
        <f>IF(BW165=0,0,(BX165-BW165)/BW165*100)</f>
        <v>0</v>
      </c>
      <c r="BZ165" s="820">
        <f>IF(BZ167=0,0,(BZ166*BZ167+BZ168*BZ169*6)/BZ167)</f>
        <v>0</v>
      </c>
      <c r="CA165" s="820">
        <f>IF(CA167=0,0,(CA166*CA167+CA168*CA169*6)/CA167)</f>
        <v>0</v>
      </c>
      <c r="CB165" s="714">
        <f>IF(BZ165=0,0,(CA165-BZ165)/BZ165*100)</f>
        <v>0</v>
      </c>
      <c r="CC165" s="820">
        <f>IF(CC167=0,0,(CC166*CC167+CC168*CC169*6)/CC167)</f>
        <v>0</v>
      </c>
      <c r="CD165" s="820">
        <f>IF(CD167=0,0,(CD166*CD167+CD168*CD169*6)/CD167)</f>
        <v>0</v>
      </c>
      <c r="CE165" s="714">
        <f>IF(CC165=0,0,(CD165-CC165)/CC165*100)</f>
        <v>0</v>
      </c>
      <c r="CF165" s="820">
        <f>IF(CF167=0,0,(CF166*CF167+CF168*CF169*6)/CF167)</f>
        <v>0</v>
      </c>
      <c r="CG165" s="820">
        <f>IF(CG167=0,0,(CG166*CG167+CG168*CG169*6)/CG167)</f>
        <v>0</v>
      </c>
      <c r="CH165" s="714">
        <f>IF(CF165=0,0,(CG165-CF165)/CF165*100)</f>
        <v>0</v>
      </c>
      <c r="CI165" s="820">
        <f>IF(CI167=0,0,(CI166*CI167+CI168*CI169*6)/CI167)</f>
        <v>0</v>
      </c>
      <c r="CJ165" s="820">
        <f>IF(CJ167=0,0,(CJ166*CJ167+CJ168*CJ169*6)/CJ167)</f>
        <v>0</v>
      </c>
      <c r="CK165" s="714">
        <f>IF(CI165=0,0,(CJ165-CI165)/CI165*100)</f>
        <v>0</v>
      </c>
      <c r="CL165" s="820">
        <f>IF(CL167=0,0,(CL166*CL167+CL168*CL169*6)/CL167)</f>
        <v>0</v>
      </c>
      <c r="CM165" s="820">
        <f>IF(CM167=0,0,(CM166*CM167+CM168*CM169*6)/CM167)</f>
        <v>0</v>
      </c>
      <c r="CN165" s="714">
        <f>IF(CL165=0,0,(CM165-CL165)/CL165*100)</f>
        <v>0</v>
      </c>
      <c r="CO165" s="820">
        <f>IF(CO167=0,0,(CO166*CO167+CO168*CO169*6)/CO167)</f>
        <v>0</v>
      </c>
      <c r="CP165" s="820">
        <f>IF(CP167=0,0,(CP166*CP167+CP168*CP169*6)/CP167)</f>
        <v>0</v>
      </c>
      <c r="CQ165" s="714">
        <f>IF(CO165=0,0,(CP165-CO165)/CO165*100)</f>
        <v>0</v>
      </c>
      <c r="CR165" s="820">
        <f>IF(CR167=0,0,(CR166*CR167+CR168*CR169*6)/CR167)</f>
        <v>0</v>
      </c>
      <c r="CS165" s="820">
        <f>IF(CS167=0,0,(CS166*CS167+CS168*CS169*6)/CS167)</f>
        <v>0</v>
      </c>
      <c r="CT165" s="714">
        <f>IF(CR165=0,0,(CS165-CR165)/CR165*100)</f>
        <v>0</v>
      </c>
      <c r="CU165" s="820">
        <f>IF(CU167=0,0,(CU166*CU167+CU168*CU169*6)/CU167)</f>
        <v>0</v>
      </c>
      <c r="CV165" s="820">
        <f>IF(CV167=0,0,(CV166*CV167+CV168*CV169*6)/CV167)</f>
        <v>0</v>
      </c>
      <c r="CW165" s="714">
        <f>IF(CU165=0,0,(CV165-CU165)/CU165*100)</f>
        <v>0</v>
      </c>
      <c r="CX165" s="820">
        <f>IF(CX167=0,0,(CX166*CX167+CX168*CX169*6)/CX167)</f>
        <v>0</v>
      </c>
      <c r="CY165" s="820">
        <f>IF(CY167=0,0,(CY166*CY167+CY168*CY169*6)/CY167)</f>
        <v>0</v>
      </c>
      <c r="CZ165" s="714">
        <f>IF(CX165=0,0,(CY165-CX165)/CX165*100)</f>
        <v>0</v>
      </c>
      <c r="DA165" s="820">
        <f>IF(DA167=0,0,(DA166*DA167+DA168*DA169*6)/DA167)</f>
        <v>0</v>
      </c>
      <c r="DB165" s="820">
        <f>IF(DB167=0,0,(DB166*DB167+DB168*DB169*6)/DB167)</f>
        <v>0</v>
      </c>
      <c r="DC165" s="714">
        <f>IF(DA165=0,0,(DB165-DA165)/DA165*100)</f>
        <v>0</v>
      </c>
      <c r="DD165" s="820">
        <f>IF(DD167=0,0,(DD166*DD167+DD168*DD169*6)/DD167)</f>
        <v>0</v>
      </c>
      <c r="DE165" s="820">
        <f>IF(DE167=0,0,(DE166*DE167+DE168*DE169*6)/DE167)</f>
        <v>0</v>
      </c>
      <c r="DF165" s="714">
        <f>IF(DD165=0,0,(DE165-DD165)/DD165*100)</f>
        <v>0</v>
      </c>
      <c r="DG165" s="820">
        <f>IF(DG167=0,0,(DG166*DG167+DG168*DG169*6)/DG167)</f>
        <v>0</v>
      </c>
      <c r="DH165" s="820">
        <f>IF(DH167=0,0,(DH166*DH167+DH168*DH169*6)/DH167)</f>
        <v>0</v>
      </c>
      <c r="DI165" s="714">
        <f>IF(DG165=0,0,(DH165-DG165)/DG165*100)</f>
        <v>0</v>
      </c>
      <c r="DJ165" s="820">
        <f>IF(DJ167=0,0,(DJ166*DJ167+DJ168*DJ169*6)/DJ167)</f>
        <v>0</v>
      </c>
      <c r="DK165" s="820">
        <f>IF(DK167=0,0,(DK166*DK167+DK168*DK169*6)/DK167)</f>
        <v>0</v>
      </c>
      <c r="DL165" s="714">
        <f>IF(DJ165=0,0,(DK165-DJ165)/DJ165*100)</f>
        <v>0</v>
      </c>
      <c r="DM165" s="820">
        <f>IF(DM167=0,0,(DM166*DM167+DM168*DM169*6)/DM167)</f>
        <v>0</v>
      </c>
      <c r="DN165" s="820">
        <f>IF(DN167=0,0,(DN166*DN167+DN168*DN169*6)/DN167)</f>
        <v>0</v>
      </c>
      <c r="DO165" s="714">
        <f>IF(DM165=0,0,(DN165-DM165)/DM165*100)</f>
        <v>0</v>
      </c>
      <c r="DP165" s="820">
        <f>IF(DP167=0,0,(DP166*DP167+DP168*DP169*6)/DP167)</f>
        <v>0</v>
      </c>
      <c r="DQ165" s="820">
        <f>IF(DQ167=0,0,(DQ166*DQ167+DQ168*DQ169*6)/DQ167)</f>
        <v>0</v>
      </c>
      <c r="DR165" s="714">
        <f>IF(DP165=0,0,(DQ165-DP165)/DP165*100)</f>
        <v>0</v>
      </c>
      <c r="DS165" s="820">
        <f>IF(DS167=0,0,(DS166*DS167+DS168*DS169*6)/DS167)</f>
        <v>0</v>
      </c>
      <c r="DT165" s="820">
        <f>IF(DT167=0,0,(DT166*DT167+DT168*DT169*6)/DT167)</f>
        <v>0</v>
      </c>
      <c r="DU165" s="714">
        <f>IF(DS165=0,0,(DT165-DS165)/DS165*100)</f>
        <v>0</v>
      </c>
      <c r="DV165" s="820">
        <f>IF(DV167=0,0,(DV166*DV167+DV168*DV169*6)/DV167)</f>
        <v>0</v>
      </c>
      <c r="DW165" s="820">
        <f>IF(DW167=0,0,(DW166*DW167+DW168*DW169*6)/DW167)</f>
        <v>0</v>
      </c>
      <c r="DX165" s="714">
        <f>IF(DV165=0,0,(DW165-DV165)/DV165*100)</f>
        <v>0</v>
      </c>
      <c r="DY165" s="820">
        <f>IF(DY167=0,0,(DY166*DY167+DY168*DY169*6)/DY167)</f>
        <v>0</v>
      </c>
      <c r="DZ165" s="820">
        <f>IF(DZ167=0,0,(DZ166*DZ167+DZ168*DZ169*6)/DZ167)</f>
        <v>0</v>
      </c>
      <c r="EA165" s="714">
        <f>IF(DY165=0,0,(DZ165-DY165)/DY165*100)</f>
        <v>0</v>
      </c>
      <c r="EB165" s="820">
        <f>IF(EB167=0,0,(EB166*EB167+EB168*EB169*6)/EB167)</f>
        <v>0</v>
      </c>
      <c r="EC165" s="820">
        <f>IF(EC167=0,0,(EC166*EC167+EC168*EC169*6)/EC167)</f>
        <v>0</v>
      </c>
      <c r="ED165" s="714">
        <f>IF(EB165=0,0,(EC165-EB165)/EB165*100)</f>
        <v>0</v>
      </c>
      <c r="EE165" s="820">
        <f>IF(EE167=0,0,(EE166*EE167+EE168*EE169*6)/EE167)</f>
        <v>0</v>
      </c>
      <c r="EF165" s="820">
        <f>IF(EF167=0,0,(EF166*EF167+EF168*EF169*6)/EF167)</f>
        <v>0</v>
      </c>
      <c r="EG165" s="714">
        <f>IF(EE165=0,0,(EF165-EE165)/EE165*100)</f>
        <v>0</v>
      </c>
      <c r="EH165" s="820">
        <f>IF(EH167=0,0,(EH166*EH167+EH168*EH169*6)/EH167)</f>
        <v>0</v>
      </c>
      <c r="EI165" s="820">
        <f>IF(EI167=0,0,(EI166*EI167+EI168*EI169*6)/EI167)</f>
        <v>0</v>
      </c>
      <c r="EJ165" s="714">
        <f>IF(EH165=0,0,(EI165-EH165)/EH165*100)</f>
        <v>0</v>
      </c>
      <c r="EK165" s="820">
        <f>IF(EK167=0,0,(EK166*EK167+EK168*EK169*6)/EK167)</f>
        <v>0</v>
      </c>
      <c r="EL165" s="820">
        <f>IF(EL167=0,0,(EL166*EL167+EL168*EL169*6)/EL167)</f>
        <v>0</v>
      </c>
      <c r="EM165" s="714">
        <f>IF(EK165=0,0,(EL165-EK165)/EK165*100)</f>
        <v>0</v>
      </c>
      <c r="EN165" s="820">
        <f>IF(EN167=0,0,(EN166*EN167+EN168*EN169*6)/EN167)</f>
        <v>0</v>
      </c>
      <c r="EO165" s="820">
        <f>IF(EO167=0,0,(EO166*EO167+EO168*EO169*6)/EO167)</f>
        <v>0</v>
      </c>
      <c r="EP165" s="714">
        <f>IF(EN165=0,0,(EO165-EN165)/EN165*100)</f>
        <v>0</v>
      </c>
      <c r="EQ165" s="820">
        <f>IF(EQ167=0,0,(EQ166*EQ167+EQ168*EQ169*6)/EQ167)</f>
        <v>0</v>
      </c>
      <c r="ER165" s="820">
        <f>IF(ER167=0,0,(ER166*ER167+ER168*ER169*6)/ER167)</f>
        <v>0</v>
      </c>
      <c r="ES165" s="714">
        <f>IF(EQ165=0,0,(ER165-EQ165)/EQ165*100)</f>
        <v>0</v>
      </c>
      <c r="ET165" s="820">
        <f>IF(ET167=0,0,(ET166*ET167+ET168*ET169*6)/ET167)</f>
        <v>0</v>
      </c>
      <c r="EU165" s="820">
        <f>IF(EU167=0,0,(EU166*EU167+EU168*EU169*6)/EU167)</f>
        <v>0</v>
      </c>
      <c r="EV165" s="714">
        <f>IF(ET165=0,0,(EU165-ET165)/ET165*100)</f>
        <v>0</v>
      </c>
      <c r="EW165" s="820">
        <f>IF(EW167=0,0,(EW166*EW167+EW168*EW169*6)/EW167)</f>
        <v>0</v>
      </c>
      <c r="EX165" s="820">
        <f>IF(EX167=0,0,(EX166*EX167+EX168*EX169*6)/EX167)</f>
        <v>0</v>
      </c>
      <c r="EY165" s="714">
        <f>IF(EW165=0,0,(EX165-EW165)/EW165*100)</f>
        <v>0</v>
      </c>
      <c r="EZ165" s="820">
        <f>IF(EZ167=0,0,(EZ166*EZ167+EZ168*EZ169*6)/EZ167)</f>
        <v>0</v>
      </c>
      <c r="FA165" s="820">
        <f>IF(FA167=0,0,(FA166*FA167+FA168*FA169*6)/FA167)</f>
        <v>0</v>
      </c>
      <c r="FB165" s="714">
        <f>IF(EZ165=0,0,(FA165-EZ165)/EZ165*100)</f>
        <v>0</v>
      </c>
      <c r="FC165" s="820">
        <f>IF(FC167=0,0,(FC166*FC167+FC168*FC169*6)/FC167)</f>
        <v>0</v>
      </c>
      <c r="FD165" s="820">
        <f>IF(FD167=0,0,(FD166*FD167+FD168*FD169*6)/FD167)</f>
        <v>0</v>
      </c>
      <c r="FE165" s="714">
        <f>IF(FC165=0,0,(FD165-FC165)/FC165*100)</f>
        <v>0</v>
      </c>
      <c r="FF165" s="820">
        <f>IF(FF167=0,0,(FF166*FF167+FF168*FF169*6)/FF167)</f>
        <v>0</v>
      </c>
      <c r="FG165" s="820">
        <f>IF(FG167=0,0,(FG166*FG167+FG168*FG169*6)/FG167)</f>
        <v>0</v>
      </c>
      <c r="FH165" s="714">
        <f>IF(FF165=0,0,(FG165-FF165)/FF165*100)</f>
        <v>0</v>
      </c>
      <c r="FI165" s="820">
        <f>IF(FI167=0,0,(FI166*FI167+FI168*FI169*6)/FI167)</f>
        <v>0</v>
      </c>
      <c r="FJ165" s="820">
        <f>IF(FJ167=0,0,(FJ166*FJ167+FJ168*FJ169*6)/FJ167)</f>
        <v>0</v>
      </c>
      <c r="FK165" s="714">
        <f>IF(FI165=0,0,(FJ165-FI165)/FI165*100)</f>
        <v>0</v>
      </c>
      <c r="FL165" s="820">
        <f>IF(FL167=0,0,(FL166*FL167+FL168*FL169*6)/FL167)</f>
        <v>0</v>
      </c>
      <c r="FM165" s="820">
        <f>IF(FM167=0,0,(FM166*FM167+FM168*FM169*6)/FM167)</f>
        <v>0</v>
      </c>
      <c r="FN165" s="714">
        <f>IF(FL165=0,0,(FM165-FL165)/FL165*100)</f>
        <v>0</v>
      </c>
      <c r="FO165" s="820">
        <f>IF(FO167=0,0,(FO166*FO167+FO168*FO169*6)/FO167)</f>
        <v>0</v>
      </c>
      <c r="FP165" s="820">
        <f>IF(FP167=0,0,(FP166*FP167+FP168*FP169*6)/FP167)</f>
        <v>0</v>
      </c>
      <c r="FQ165" s="714">
        <f>IF(FO165=0,0,(FP165-FO165)/FO165*100)</f>
        <v>0</v>
      </c>
      <c r="FR165" s="820">
        <f>IF(FR167=0,0,(FR166*FR167+FR168*FR169*6)/FR167)</f>
        <v>0</v>
      </c>
      <c r="FS165" s="820">
        <f>IF(FS167=0,0,(FS166*FS167+FS168*FS169*6)/FS167)</f>
        <v>0</v>
      </c>
      <c r="FT165" s="714">
        <f>IF(FR165=0,0,(FS165-FR165)/FR165*100)</f>
        <v>0</v>
      </c>
      <c r="FU165" s="820">
        <f>IF(FU167=0,0,(FU166*FU167+FU168*FU169*6)/FU167)</f>
        <v>0</v>
      </c>
      <c r="FV165" s="820">
        <f>IF(FV167=0,0,(FV166*FV167+FV168*FV169*6)/FV167)</f>
        <v>0</v>
      </c>
      <c r="FW165" s="714">
        <f>IF(FU165=0,0,(FV165-FU165)/FU165*100)</f>
        <v>0</v>
      </c>
      <c r="FZ165" s="691" t="s">
        <v>1691</v>
      </c>
    </row>
    <row r="166" spans="1:182" ht="14.25" hidden="1" customHeight="1" x14ac:dyDescent="0.15">
      <c r="A166" s="59"/>
      <c r="B166" s="613" t="b" cm="1">
        <f t="array" ref="B166">B165</f>
        <v>0</v>
      </c>
      <c r="C166" s="59"/>
      <c r="D166" s="59"/>
      <c r="E166" s="462">
        <v>15</v>
      </c>
      <c r="F166" s="3" t="str" cm="1">
        <f t="array" aca="1" ref="F166" ca="1">OFFSET(E166,-1,1)</f>
        <v>2</v>
      </c>
      <c r="G166" s="59"/>
      <c r="H166" s="59" t="s">
        <v>1574</v>
      </c>
      <c r="I166" s="59" t="s">
        <v>1647</v>
      </c>
      <c r="J166" s="59"/>
      <c r="K166" s="59"/>
      <c r="L166" s="59"/>
      <c r="M166" s="59"/>
      <c r="N166" s="59"/>
      <c r="O166" s="59"/>
      <c r="P166" s="59"/>
      <c r="Q166" s="59"/>
      <c r="R166" s="59"/>
      <c r="S166" s="59"/>
      <c r="T166" s="353" t="b" cm="1">
        <f t="array" aca="1" ref="T166" ca="1">T165</f>
        <v>1</v>
      </c>
      <c r="U166" s="59"/>
      <c r="V166" s="59"/>
      <c r="W166" s="59"/>
      <c r="X166" s="1022"/>
      <c r="Y166" s="59"/>
      <c r="Z166" s="966"/>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1644</v>
      </c>
      <c r="AD166" s="820"/>
      <c r="AE166" s="820"/>
      <c r="AF166" s="714">
        <f>IF(AD166=0,0,(AE166-AD166)/AD166*100)</f>
        <v>0</v>
      </c>
      <c r="AG166" s="820"/>
      <c r="AH166" s="820"/>
      <c r="AI166" s="714">
        <f>IF(AG166=0,0,(AH166-AG166)/AG166*100)</f>
        <v>0</v>
      </c>
      <c r="AJ166" s="820"/>
      <c r="AK166" s="820"/>
      <c r="AL166" s="714">
        <f>IF(AJ166=0,0,(AK166-AJ166)/AJ166*100)</f>
        <v>0</v>
      </c>
      <c r="AM166" s="820"/>
      <c r="AN166" s="820"/>
      <c r="AO166" s="714">
        <f>IF(AM166=0,0,(AN166-AM166)/AM166*100)</f>
        <v>0</v>
      </c>
      <c r="AP166" s="820"/>
      <c r="AQ166" s="820"/>
      <c r="AR166" s="714">
        <f>IF(AP166=0,0,(AQ166-AP166)/AP166*100)</f>
        <v>0</v>
      </c>
      <c r="AS166" s="820"/>
      <c r="AT166" s="820"/>
      <c r="AU166" s="714">
        <f>IF(AS166=0,0,(AT166-AS166)/AS166*100)</f>
        <v>0</v>
      </c>
      <c r="AV166" s="820"/>
      <c r="AW166" s="820"/>
      <c r="AX166" s="714">
        <f>IF(AV166=0,0,(AW166-AV166)/AV166*100)</f>
        <v>0</v>
      </c>
      <c r="AY166" s="820"/>
      <c r="AZ166" s="820"/>
      <c r="BA166" s="714">
        <f>IF(AY166=0,0,(AZ166-AY166)/AY166*100)</f>
        <v>0</v>
      </c>
      <c r="BB166" s="820"/>
      <c r="BC166" s="820"/>
      <c r="BD166" s="714">
        <f>IF(BB166=0,0,(BC166-BB166)/BB166*100)</f>
        <v>0</v>
      </c>
      <c r="BE166" s="820"/>
      <c r="BF166" s="820"/>
      <c r="BG166" s="714">
        <f>IF(BE166=0,0,(BF166-BE166)/BE166*100)</f>
        <v>0</v>
      </c>
      <c r="BH166" s="820"/>
      <c r="BI166" s="820"/>
      <c r="BJ166" s="714">
        <f>IF(BH166=0,0,(BI166-BH166)/BH166*100)</f>
        <v>0</v>
      </c>
      <c r="BK166" s="820"/>
      <c r="BL166" s="820"/>
      <c r="BM166" s="714">
        <f>IF(BK166=0,0,(BL166-BK166)/BK166*100)</f>
        <v>0</v>
      </c>
      <c r="BN166" s="820"/>
      <c r="BO166" s="820"/>
      <c r="BP166" s="714">
        <f>IF(BN166=0,0,(BO166-BN166)/BN166*100)</f>
        <v>0</v>
      </c>
      <c r="BQ166" s="820"/>
      <c r="BR166" s="820"/>
      <c r="BS166" s="714">
        <f>IF(BQ166=0,0,(BR166-BQ166)/BQ166*100)</f>
        <v>0</v>
      </c>
      <c r="BT166" s="820"/>
      <c r="BU166" s="820"/>
      <c r="BV166" s="714">
        <f>IF(BT166=0,0,(BU166-BT166)/BT166*100)</f>
        <v>0</v>
      </c>
      <c r="BW166" s="820"/>
      <c r="BX166" s="820"/>
      <c r="BY166" s="714">
        <f>IF(BW166=0,0,(BX166-BW166)/BW166*100)</f>
        <v>0</v>
      </c>
      <c r="BZ166" s="820"/>
      <c r="CA166" s="820"/>
      <c r="CB166" s="714">
        <f>IF(BZ166=0,0,(CA166-BZ166)/BZ166*100)</f>
        <v>0</v>
      </c>
      <c r="CC166" s="820"/>
      <c r="CD166" s="820"/>
      <c r="CE166" s="714">
        <f>IF(CC166=0,0,(CD166-CC166)/CC166*100)</f>
        <v>0</v>
      </c>
      <c r="CF166" s="820"/>
      <c r="CG166" s="820"/>
      <c r="CH166" s="714">
        <f>IF(CF166=0,0,(CG166-CF166)/CF166*100)</f>
        <v>0</v>
      </c>
      <c r="CI166" s="820"/>
      <c r="CJ166" s="820"/>
      <c r="CK166" s="714">
        <f>IF(CI166=0,0,(CJ166-CI166)/CI166*100)</f>
        <v>0</v>
      </c>
      <c r="CL166" s="820"/>
      <c r="CM166" s="820"/>
      <c r="CN166" s="714">
        <f>IF(CL166=0,0,(CM166-CL166)/CL166*100)</f>
        <v>0</v>
      </c>
      <c r="CO166" s="820"/>
      <c r="CP166" s="820"/>
      <c r="CQ166" s="714">
        <f>IF(CO166=0,0,(CP166-CO166)/CO166*100)</f>
        <v>0</v>
      </c>
      <c r="CR166" s="820"/>
      <c r="CS166" s="820"/>
      <c r="CT166" s="714">
        <f>IF(CR166=0,0,(CS166-CR166)/CR166*100)</f>
        <v>0</v>
      </c>
      <c r="CU166" s="820"/>
      <c r="CV166" s="820"/>
      <c r="CW166" s="714">
        <f>IF(CU166=0,0,(CV166-CU166)/CU166*100)</f>
        <v>0</v>
      </c>
      <c r="CX166" s="820"/>
      <c r="CY166" s="820"/>
      <c r="CZ166" s="714">
        <f>IF(CX166=0,0,(CY166-CX166)/CX166*100)</f>
        <v>0</v>
      </c>
      <c r="DA166" s="820"/>
      <c r="DB166" s="820"/>
      <c r="DC166" s="714">
        <f>IF(DA166=0,0,(DB166-DA166)/DA166*100)</f>
        <v>0</v>
      </c>
      <c r="DD166" s="820"/>
      <c r="DE166" s="820"/>
      <c r="DF166" s="714">
        <f>IF(DD166=0,0,(DE166-DD166)/DD166*100)</f>
        <v>0</v>
      </c>
      <c r="DG166" s="820"/>
      <c r="DH166" s="820"/>
      <c r="DI166" s="714">
        <f>IF(DG166=0,0,(DH166-DG166)/DG166*100)</f>
        <v>0</v>
      </c>
      <c r="DJ166" s="820"/>
      <c r="DK166" s="820"/>
      <c r="DL166" s="714">
        <f>IF(DJ166=0,0,(DK166-DJ166)/DJ166*100)</f>
        <v>0</v>
      </c>
      <c r="DM166" s="820"/>
      <c r="DN166" s="820"/>
      <c r="DO166" s="714">
        <f>IF(DM166=0,0,(DN166-DM166)/DM166*100)</f>
        <v>0</v>
      </c>
      <c r="DP166" s="820"/>
      <c r="DQ166" s="820"/>
      <c r="DR166" s="714">
        <f>IF(DP166=0,0,(DQ166-DP166)/DP166*100)</f>
        <v>0</v>
      </c>
      <c r="DS166" s="820"/>
      <c r="DT166" s="820"/>
      <c r="DU166" s="714">
        <f>IF(DS166=0,0,(DT166-DS166)/DS166*100)</f>
        <v>0</v>
      </c>
      <c r="DV166" s="820"/>
      <c r="DW166" s="820"/>
      <c r="DX166" s="714">
        <f>IF(DV166=0,0,(DW166-DV166)/DV166*100)</f>
        <v>0</v>
      </c>
      <c r="DY166" s="820"/>
      <c r="DZ166" s="820"/>
      <c r="EA166" s="714">
        <f>IF(DY166=0,0,(DZ166-DY166)/DY166*100)</f>
        <v>0</v>
      </c>
      <c r="EB166" s="820"/>
      <c r="EC166" s="820"/>
      <c r="ED166" s="714">
        <f>IF(EB166=0,0,(EC166-EB166)/EB166*100)</f>
        <v>0</v>
      </c>
      <c r="EE166" s="820"/>
      <c r="EF166" s="820"/>
      <c r="EG166" s="714">
        <f>IF(EE166=0,0,(EF166-EE166)/EE166*100)</f>
        <v>0</v>
      </c>
      <c r="EH166" s="820"/>
      <c r="EI166" s="820"/>
      <c r="EJ166" s="714">
        <f>IF(EH166=0,0,(EI166-EH166)/EH166*100)</f>
        <v>0</v>
      </c>
      <c r="EK166" s="820"/>
      <c r="EL166" s="820"/>
      <c r="EM166" s="714">
        <f>IF(EK166=0,0,(EL166-EK166)/EK166*100)</f>
        <v>0</v>
      </c>
      <c r="EN166" s="820"/>
      <c r="EO166" s="820"/>
      <c r="EP166" s="714">
        <f>IF(EN166=0,0,(EO166-EN166)/EN166*100)</f>
        <v>0</v>
      </c>
      <c r="EQ166" s="820"/>
      <c r="ER166" s="820"/>
      <c r="ES166" s="714">
        <f>IF(EQ166=0,0,(ER166-EQ166)/EQ166*100)</f>
        <v>0</v>
      </c>
      <c r="ET166" s="820"/>
      <c r="EU166" s="820"/>
      <c r="EV166" s="714">
        <f>IF(ET166=0,0,(EU166-ET166)/ET166*100)</f>
        <v>0</v>
      </c>
      <c r="EW166" s="820"/>
      <c r="EX166" s="820"/>
      <c r="EY166" s="714">
        <f>IF(EW166=0,0,(EX166-EW166)/EW166*100)</f>
        <v>0</v>
      </c>
      <c r="EZ166" s="820"/>
      <c r="FA166" s="820"/>
      <c r="FB166" s="714">
        <f>IF(EZ166=0,0,(FA166-EZ166)/EZ166*100)</f>
        <v>0</v>
      </c>
      <c r="FC166" s="820"/>
      <c r="FD166" s="820"/>
      <c r="FE166" s="714">
        <f>IF(FC166=0,0,(FD166-FC166)/FC166*100)</f>
        <v>0</v>
      </c>
      <c r="FF166" s="820"/>
      <c r="FG166" s="820"/>
      <c r="FH166" s="714">
        <f>IF(FF166=0,0,(FG166-FF166)/FF166*100)</f>
        <v>0</v>
      </c>
      <c r="FI166" s="820"/>
      <c r="FJ166" s="820"/>
      <c r="FK166" s="714">
        <f>IF(FI166=0,0,(FJ166-FI166)/FI166*100)</f>
        <v>0</v>
      </c>
      <c r="FL166" s="820"/>
      <c r="FM166" s="820"/>
      <c r="FN166" s="714">
        <f>IF(FL166=0,0,(FM166-FL166)/FL166*100)</f>
        <v>0</v>
      </c>
      <c r="FO166" s="820"/>
      <c r="FP166" s="820"/>
      <c r="FQ166" s="714">
        <f>IF(FO166=0,0,(FP166-FO166)/FO166*100)</f>
        <v>0</v>
      </c>
      <c r="FR166" s="820"/>
      <c r="FS166" s="820"/>
      <c r="FT166" s="714">
        <f>IF(FR166=0,0,(FS166-FR166)/FR166*100)</f>
        <v>0</v>
      </c>
      <c r="FU166" s="820"/>
      <c r="FV166" s="820"/>
      <c r="FW166" s="714">
        <f>IF(FU166=0,0,(FV166-FU166)/FU166*100)</f>
        <v>0</v>
      </c>
      <c r="FZ166" s="691" t="s">
        <v>1692</v>
      </c>
    </row>
    <row r="167" spans="1:182" ht="14.25" hidden="1" customHeight="1" x14ac:dyDescent="0.15">
      <c r="A167" s="59"/>
      <c r="B167" s="613" t="b" cm="1">
        <f t="array" ref="B167">B166</f>
        <v>0</v>
      </c>
      <c r="C167" s="59"/>
      <c r="D167" s="59"/>
      <c r="E167" s="462">
        <v>15</v>
      </c>
      <c r="F167" s="3" t="str" cm="1">
        <f t="array" aca="1" ref="F167" ca="1">OFFSET(E167,-1,1)</f>
        <v>2</v>
      </c>
      <c r="G167" s="25" t="s">
        <v>1693</v>
      </c>
      <c r="H167" s="59" t="s">
        <v>1681</v>
      </c>
      <c r="I167" s="59" t="s">
        <v>1647</v>
      </c>
      <c r="J167" s="59"/>
      <c r="K167" s="59"/>
      <c r="L167" s="59"/>
      <c r="M167" s="59"/>
      <c r="N167" s="59"/>
      <c r="O167" s="59"/>
      <c r="P167" s="59"/>
      <c r="Q167" s="59"/>
      <c r="R167" s="59"/>
      <c r="S167" s="59"/>
      <c r="T167" s="353" t="b" cm="1">
        <f t="array" aca="1" ref="T167" ca="1">T166</f>
        <v>1</v>
      </c>
      <c r="U167" s="59"/>
      <c r="V167" s="59"/>
      <c r="W167" s="59"/>
      <c r="X167" s="1022"/>
      <c r="Y167" s="59"/>
      <c r="Z167" s="966"/>
      <c r="AA167" s="59"/>
      <c r="AB167" s="105" t="str">
        <f>"объём "&amp;IF(Q141="Водоснабжение","потребления холодной воды","водоотведения")</f>
        <v>объём водоотведения</v>
      </c>
      <c r="AC167" s="12" t="s">
        <v>558</v>
      </c>
      <c r="AD167" s="836">
        <f ca="1">IF(AND(method_reg="Метод индексации",god&lt;&gt;first_year),SUMIFS(INDEX('Калькуляция (МИ корр)'!$AJ$25:$BC$603,,MATCH(AD$8,'Калькуляция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(МИ)'!$AJ$25:$BC$603,,MATCH(AD$8,'Калькуляция (МИ)'!$AJ$8:$BC$8,0)),'Калькуляция (МИ)'!$F$25:$F$603,$F167,'Калькуляция (МИ)'!$G$25:$G$603,$G167))))</f>
        <v>211.28749999999999</v>
      </c>
      <c r="AE167" s="836">
        <f ca="1">IF(AND(method_reg="Метод индексации",god&lt;&gt;first_year),SUMIFS(INDEX('Калькуляция (МИ корр)'!$AJ$25:$BC$603,,MATCH(AE$8,'Калькуляция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(МИ)'!$AJ$25:$BC$603,,MATCH(AE$8,'Калькуляция (МИ)'!$AJ$8:$BC$8,0)),'Калькуляция (МИ)'!$F$25:$F$603,$F167,'Калькуляция (МИ)'!$G$25:$G$603,$G167))))</f>
        <v>87.210810000000038</v>
      </c>
      <c r="AF167" s="715">
        <f ca="1">IF(AD167=0,0,(AE167-AD167)/AD167*100)</f>
        <v>-58.724103413595195</v>
      </c>
      <c r="AG167" s="836">
        <f ca="1">IF(AND(method_reg="Метод индексации",god&lt;&gt;first_year),SUMIFS(INDEX('Калькуляция (МИ корр)'!$AJ$25:$BC$603,,MATCH(AG$8,'Калькуляция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(МИ)'!$AJ$25:$BC$603,,MATCH(AG$8,'Калькуляция (МИ)'!$AJ$8:$BC$8,0)),'Калькуляция (МИ)'!$F$25:$F$603,$F167,'Калькуляция (МИ)'!$G$25:$G$603,$G167))))</f>
        <v>0</v>
      </c>
      <c r="AH167" s="836">
        <f ca="1">IF(AND(method_reg="Метод индексации",god&lt;&gt;first_year),SUMIFS(INDEX('Калькуляция (МИ корр)'!$AJ$25:$BC$603,,MATCH(AH$8,'Калькуляция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(МИ)'!$AJ$25:$BC$603,,MATCH(AH$8,'Калькуляция (МИ)'!$AJ$8:$BC$8,0)),'Калькуляция (МИ)'!$F$25:$F$603,$F167,'Калькуляция (МИ)'!$G$25:$G$603,$G167))))</f>
        <v>0</v>
      </c>
      <c r="AI167" s="715">
        <f ca="1">IF(AG167=0,0,(AH167-AG167)/AG167*100)</f>
        <v>0</v>
      </c>
      <c r="AJ167" s="836">
        <f ca="1">IF(AND(method_reg="Метод индексации",god&lt;&gt;first_year),SUMIFS(INDEX('Калькуляция (МИ корр)'!$AJ$25:$BC$603,,MATCH(AJ$8,'Калькуляция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(МИ)'!$AJ$25:$BC$603,,MATCH(AJ$8,'Калькуляция (МИ)'!$AJ$8:$BC$8,0)),'Калькуляция (МИ)'!$F$25:$F$603,$F167,'Калькуляция (МИ)'!$G$25:$G$603,$G167))))</f>
        <v>0</v>
      </c>
      <c r="AK167" s="836">
        <f ca="1">IF(AND(method_reg="Метод индексации",god&lt;&gt;first_year),SUMIFS(INDEX('Калькуляция (МИ корр)'!$AJ$25:$BC$603,,MATCH(AK$8,'Калькуляция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(МИ)'!$AJ$25:$BC$603,,MATCH(AK$8,'Калькуляция (МИ)'!$AJ$8:$BC$8,0)),'Калькуляция (МИ)'!$F$25:$F$603,$F167,'Калькуляция (МИ)'!$G$25:$G$603,$G167))))</f>
        <v>0</v>
      </c>
      <c r="AL167" s="715">
        <f ca="1">IF(AJ167=0,0,(AK167-AJ167)/AJ167*100)</f>
        <v>0</v>
      </c>
      <c r="AM167" s="836">
        <f ca="1">IF(AND(method_reg="Метод индексации",god&lt;&gt;first_year),SUMIFS(INDEX('Калькуляция (МИ корр)'!$AJ$25:$BC$603,,MATCH(AM$8,'Калькуляция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(МИ)'!$AJ$25:$BC$603,,MATCH(AM$8,'Калькуляция (МИ)'!$AJ$8:$BC$8,0)),'Калькуляция (МИ)'!$F$25:$F$603,$F167,'Калькуляция (МИ)'!$G$25:$G$603,$G167))))</f>
        <v>0</v>
      </c>
      <c r="AN167" s="836">
        <f ca="1">IF(AND(method_reg="Метод индексации",god&lt;&gt;first_year),SUMIFS(INDEX('Калькуляция (МИ корр)'!$AJ$25:$BC$603,,MATCH(AN$8,'Калькуляция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(МИ)'!$AJ$25:$BC$603,,MATCH(AN$8,'Калькуляция (МИ)'!$AJ$8:$BC$8,0)),'Калькуляция (МИ)'!$F$25:$F$603,$F167,'Калькуляция (МИ)'!$G$25:$G$603,$G167))))</f>
        <v>0</v>
      </c>
      <c r="AO167" s="715">
        <f ca="1">IF(AM167=0,0,(AN167-AM167)/AM167*100)</f>
        <v>0</v>
      </c>
      <c r="AP167" s="836">
        <f ca="1">IF(AND(method_reg="Метод индексации",god&lt;&gt;first_year),SUMIFS(INDEX('Калькуляция (МИ корр)'!$AJ$25:$BC$603,,MATCH(AP$8,'Калькуляция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(МИ)'!$AJ$25:$BC$603,,MATCH(AP$8,'Калькуляция (МИ)'!$AJ$8:$BC$8,0)),'Калькуляция (МИ)'!$F$25:$F$603,$F167,'Калькуляция (МИ)'!$G$25:$G$603,$G167))))</f>
        <v>0</v>
      </c>
      <c r="AQ167" s="836">
        <f ca="1">IF(AND(method_reg="Метод индексации",god&lt;&gt;first_year),SUMIFS(INDEX('Калькуляция (МИ корр)'!$AJ$25:$BC$603,,MATCH(AQ$8,'Калькуляция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(МИ)'!$AJ$25:$BC$603,,MATCH(AQ$8,'Калькуляция (МИ)'!$AJ$8:$BC$8,0)),'Калькуляция (МИ)'!$F$25:$F$603,$F167,'Калькуляция (МИ)'!$G$25:$G$603,$G167))))</f>
        <v>0</v>
      </c>
      <c r="AR167" s="715">
        <f ca="1">IF(AP167=0,0,(AQ167-AP167)/AP167*100)</f>
        <v>0</v>
      </c>
      <c r="AS167" s="836">
        <f ca="1">IF(AND(method_reg="Метод индексации",god&lt;&gt;first_year),SUMIFS(INDEX('Калькуляция (МИ корр)'!$AJ$25:$BC$603,,MATCH(AS$8,'Калькуляция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(МИ)'!$AJ$25:$BC$603,,MATCH(AS$8,'Калькуляция (МИ)'!$AJ$8:$BC$8,0)),'Калькуляция (МИ)'!$F$25:$F$603,$F167,'Калькуляция (МИ)'!$G$25:$G$603,$G167))))</f>
        <v>0</v>
      </c>
      <c r="AT167" s="836">
        <f ca="1">IF(AND(method_reg="Метод индексации",god&lt;&gt;first_year),SUMIFS(INDEX('Калькуляция (МИ корр)'!$AJ$25:$BC$603,,MATCH(AT$8,'Калькуляция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(МИ)'!$AJ$25:$BC$603,,MATCH(AT$8,'Калькуляция (МИ)'!$AJ$8:$BC$8,0)),'Калькуляция (МИ)'!$F$25:$F$603,$F167,'Калькуляция (МИ)'!$G$25:$G$603,$G167))))</f>
        <v>0</v>
      </c>
      <c r="AU167" s="715">
        <f ca="1">IF(AS167=0,0,(AT167-AS167)/AS167*100)</f>
        <v>0</v>
      </c>
      <c r="AV167" s="836">
        <f ca="1">IF(AND(method_reg="Метод индексации",god&lt;&gt;first_year),SUMIFS(INDEX('Калькуляция (МИ корр)'!$AJ$25:$BC$603,,MATCH(AV$8,'Калькуляция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(МИ)'!$AJ$25:$BC$603,,MATCH(AV$8,'Калькуляция (МИ)'!$AJ$8:$BC$8,0)),'Калькуляция (МИ)'!$F$25:$F$603,$F167,'Калькуляция (МИ)'!$G$25:$G$603,$G167))))</f>
        <v>0</v>
      </c>
      <c r="AW167" s="836">
        <f ca="1">IF(AND(method_reg="Метод индексации",god&lt;&gt;first_year),SUMIFS(INDEX('Калькуляция (МИ корр)'!$AJ$25:$BC$603,,MATCH(AW$8,'Калькуляция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(МИ)'!$AJ$25:$BC$603,,MATCH(AW$8,'Калькуляция (МИ)'!$AJ$8:$BC$8,0)),'Калькуляция (МИ)'!$F$25:$F$603,$F167,'Калькуляция (МИ)'!$G$25:$G$603,$G167))))</f>
        <v>0</v>
      </c>
      <c r="AX167" s="715">
        <f ca="1">IF(AV167=0,0,(AW167-AV167)/AV167*100)</f>
        <v>0</v>
      </c>
      <c r="AY167" s="836">
        <f ca="1">IF(AND(method_reg="Метод индексации",god&lt;&gt;first_year),SUMIFS(INDEX('Калькуляция (МИ корр)'!$AJ$25:$BC$603,,MATCH(AY$8,'Калькуляция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(МИ)'!$AJ$25:$BC$603,,MATCH(AY$8,'Калькуляция (МИ)'!$AJ$8:$BC$8,0)),'Калькуляция (МИ)'!$F$25:$F$603,$F167,'Калькуляция (МИ)'!$G$25:$G$603,$G167))))</f>
        <v>0</v>
      </c>
      <c r="AZ167" s="836">
        <f ca="1">IF(AND(method_reg="Метод индексации",god&lt;&gt;first_year),SUMIFS(INDEX('Калькуляция (МИ корр)'!$AJ$25:$BC$603,,MATCH(AZ$8,'Калькуляция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(МИ)'!$AJ$25:$BC$603,,MATCH(AZ$8,'Калькуляция (МИ)'!$AJ$8:$BC$8,0)),'Калькуляция (МИ)'!$F$25:$F$603,$F167,'Калькуляция (МИ)'!$G$25:$G$603,$G167))))</f>
        <v>0</v>
      </c>
      <c r="BA167" s="715">
        <f ca="1">IF(AY167=0,0,(AZ167-AY167)/AY167*100)</f>
        <v>0</v>
      </c>
      <c r="BB167" s="836">
        <f ca="1">IF(AND(method_reg="Метод индексации",god&lt;&gt;first_year),SUMIFS(INDEX('Калькуляция (МИ корр)'!$AJ$25:$BC$603,,MATCH(BB$8,'Калькуляция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(МИ)'!$AJ$25:$BC$603,,MATCH(BB$8,'Калькуляция (МИ)'!$AJ$8:$BC$8,0)),'Калькуляция (МИ)'!$F$25:$F$603,$F167,'Калькуляция (МИ)'!$G$25:$G$603,$G167))))</f>
        <v>0</v>
      </c>
      <c r="BC167" s="836">
        <f ca="1">IF(AND(method_reg="Метод индексации",god&lt;&gt;first_year),SUMIFS(INDEX('Калькуляция (МИ корр)'!$AJ$25:$BC$603,,MATCH(BC$8,'Калькуляция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(МИ)'!$AJ$25:$BC$603,,MATCH(BC$8,'Калькуляция (МИ)'!$AJ$8:$BC$8,0)),'Калькуляция (МИ)'!$F$25:$F$603,$F167,'Калькуляция (МИ)'!$G$25:$G$603,$G167))))</f>
        <v>0</v>
      </c>
      <c r="BD167" s="715">
        <f ca="1">IF(BB167=0,0,(BC167-BB167)/BB167*100)</f>
        <v>0</v>
      </c>
      <c r="BE167" s="836">
        <f ca="1">IF(AND(method_reg="Метод индексации",god&lt;&gt;first_year),SUMIFS(INDEX('Калькуляция (МИ корр)'!$AJ$25:$BC$603,,MATCH(BE$8,'Калькуляция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(МИ)'!$AJ$25:$BC$603,,MATCH(BE$8,'Калькуляция (МИ)'!$AJ$8:$BC$8,0)),'Калькуляция (МИ)'!$F$25:$F$603,$F167,'Калькуляция (МИ)'!$G$25:$G$603,$G167))))</f>
        <v>0</v>
      </c>
      <c r="BF167" s="836">
        <f ca="1">IF(AND(method_reg="Метод индексации",god&lt;&gt;first_year),SUMIFS(INDEX('Калькуляция (МИ корр)'!$AJ$25:$BC$603,,MATCH(BF$8,'Калькуляция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(МИ)'!$AJ$25:$BC$603,,MATCH(BF$8,'Калькуляция (МИ)'!$AJ$8:$BC$8,0)),'Калькуляция (МИ)'!$F$25:$F$603,$F167,'Калькуляция (МИ)'!$G$25:$G$603,$G167))))</f>
        <v>0</v>
      </c>
      <c r="BG167" s="715">
        <f ca="1">IF(BE167=0,0,(BF167-BE167)/BE167*100)</f>
        <v>0</v>
      </c>
      <c r="BH167" s="836"/>
      <c r="BI167" s="836"/>
      <c r="BJ167" s="715">
        <f>IF(BH167=0,0,(BI167-BH167)/BH167*100)</f>
        <v>0</v>
      </c>
      <c r="BK167" s="836"/>
      <c r="BL167" s="836"/>
      <c r="BM167" s="715">
        <f>IF(BK167=0,0,(BL167-BK167)/BK167*100)</f>
        <v>0</v>
      </c>
      <c r="BN167" s="836"/>
      <c r="BO167" s="836"/>
      <c r="BP167" s="715">
        <f>IF(BN167=0,0,(BO167-BN167)/BN167*100)</f>
        <v>0</v>
      </c>
      <c r="BQ167" s="836"/>
      <c r="BR167" s="836"/>
      <c r="BS167" s="715">
        <f>IF(BQ167=0,0,(BR167-BQ167)/BQ167*100)</f>
        <v>0</v>
      </c>
      <c r="BT167" s="836"/>
      <c r="BU167" s="836"/>
      <c r="BV167" s="715">
        <f>IF(BT167=0,0,(BU167-BT167)/BT167*100)</f>
        <v>0</v>
      </c>
      <c r="BW167" s="836"/>
      <c r="BX167" s="836"/>
      <c r="BY167" s="715">
        <f>IF(BW167=0,0,(BX167-BW167)/BW167*100)</f>
        <v>0</v>
      </c>
      <c r="BZ167" s="836"/>
      <c r="CA167" s="836"/>
      <c r="CB167" s="715">
        <f>IF(BZ167=0,0,(CA167-BZ167)/BZ167*100)</f>
        <v>0</v>
      </c>
      <c r="CC167" s="836"/>
      <c r="CD167" s="836"/>
      <c r="CE167" s="715">
        <f>IF(CC167=0,0,(CD167-CC167)/CC167*100)</f>
        <v>0</v>
      </c>
      <c r="CF167" s="836"/>
      <c r="CG167" s="836"/>
      <c r="CH167" s="715">
        <f>IF(CF167=0,0,(CG167-CF167)/CF167*100)</f>
        <v>0</v>
      </c>
      <c r="CI167" s="836"/>
      <c r="CJ167" s="836"/>
      <c r="CK167" s="715">
        <f>IF(CI167=0,0,(CJ167-CI167)/CI167*100)</f>
        <v>0</v>
      </c>
      <c r="CL167" s="836"/>
      <c r="CM167" s="836"/>
      <c r="CN167" s="715">
        <f>IF(CL167=0,0,(CM167-CL167)/CL167*100)</f>
        <v>0</v>
      </c>
      <c r="CO167" s="836"/>
      <c r="CP167" s="836"/>
      <c r="CQ167" s="715">
        <f>IF(CO167=0,0,(CP167-CO167)/CO167*100)</f>
        <v>0</v>
      </c>
      <c r="CR167" s="836"/>
      <c r="CS167" s="836"/>
      <c r="CT167" s="715">
        <f>IF(CR167=0,0,(CS167-CR167)/CR167*100)</f>
        <v>0</v>
      </c>
      <c r="CU167" s="836"/>
      <c r="CV167" s="836"/>
      <c r="CW167" s="715">
        <f>IF(CU167=0,0,(CV167-CU167)/CU167*100)</f>
        <v>0</v>
      </c>
      <c r="CX167" s="836"/>
      <c r="CY167" s="836"/>
      <c r="CZ167" s="715">
        <f>IF(CX167=0,0,(CY167-CX167)/CX167*100)</f>
        <v>0</v>
      </c>
      <c r="DA167" s="836"/>
      <c r="DB167" s="836"/>
      <c r="DC167" s="715">
        <f>IF(DA167=0,0,(DB167-DA167)/DA167*100)</f>
        <v>0</v>
      </c>
      <c r="DD167" s="836"/>
      <c r="DE167" s="836"/>
      <c r="DF167" s="715">
        <f>IF(DD167=0,0,(DE167-DD167)/DD167*100)</f>
        <v>0</v>
      </c>
      <c r="DG167" s="836"/>
      <c r="DH167" s="836"/>
      <c r="DI167" s="715">
        <f>IF(DG167=0,0,(DH167-DG167)/DG167*100)</f>
        <v>0</v>
      </c>
      <c r="DJ167" s="836"/>
      <c r="DK167" s="836"/>
      <c r="DL167" s="715">
        <f>IF(DJ167=0,0,(DK167-DJ167)/DJ167*100)</f>
        <v>0</v>
      </c>
      <c r="DM167" s="836"/>
      <c r="DN167" s="836"/>
      <c r="DO167" s="715">
        <f>IF(DM167=0,0,(DN167-DM167)/DM167*100)</f>
        <v>0</v>
      </c>
      <c r="DP167" s="836"/>
      <c r="DQ167" s="836"/>
      <c r="DR167" s="715">
        <f>IF(DP167=0,0,(DQ167-DP167)/DP167*100)</f>
        <v>0</v>
      </c>
      <c r="DS167" s="836"/>
      <c r="DT167" s="836"/>
      <c r="DU167" s="715">
        <f>IF(DS167=0,0,(DT167-DS167)/DS167*100)</f>
        <v>0</v>
      </c>
      <c r="DV167" s="836"/>
      <c r="DW167" s="836"/>
      <c r="DX167" s="715">
        <f>IF(DV167=0,0,(DW167-DV167)/DV167*100)</f>
        <v>0</v>
      </c>
      <c r="DY167" s="836"/>
      <c r="DZ167" s="836"/>
      <c r="EA167" s="715">
        <f>IF(DY167=0,0,(DZ167-DY167)/DY167*100)</f>
        <v>0</v>
      </c>
      <c r="EB167" s="836"/>
      <c r="EC167" s="836"/>
      <c r="ED167" s="715">
        <f>IF(EB167=0,0,(EC167-EB167)/EB167*100)</f>
        <v>0</v>
      </c>
      <c r="EE167" s="836"/>
      <c r="EF167" s="836"/>
      <c r="EG167" s="715">
        <f>IF(EE167=0,0,(EF167-EE167)/EE167*100)</f>
        <v>0</v>
      </c>
      <c r="EH167" s="836"/>
      <c r="EI167" s="836"/>
      <c r="EJ167" s="715">
        <f>IF(EH167=0,0,(EI167-EH167)/EH167*100)</f>
        <v>0</v>
      </c>
      <c r="EK167" s="836"/>
      <c r="EL167" s="836"/>
      <c r="EM167" s="715">
        <f>IF(EK167=0,0,(EL167-EK167)/EK167*100)</f>
        <v>0</v>
      </c>
      <c r="EN167" s="836"/>
      <c r="EO167" s="836"/>
      <c r="EP167" s="715">
        <f>IF(EN167=0,0,(EO167-EN167)/EN167*100)</f>
        <v>0</v>
      </c>
      <c r="EQ167" s="836"/>
      <c r="ER167" s="836"/>
      <c r="ES167" s="715">
        <f>IF(EQ167=0,0,(ER167-EQ167)/EQ167*100)</f>
        <v>0</v>
      </c>
      <c r="ET167" s="836"/>
      <c r="EU167" s="836"/>
      <c r="EV167" s="715">
        <f>IF(ET167=0,0,(EU167-ET167)/ET167*100)</f>
        <v>0</v>
      </c>
      <c r="EW167" s="836"/>
      <c r="EX167" s="836"/>
      <c r="EY167" s="715">
        <f>IF(EW167=0,0,(EX167-EW167)/EW167*100)</f>
        <v>0</v>
      </c>
      <c r="EZ167" s="836"/>
      <c r="FA167" s="836"/>
      <c r="FB167" s="715">
        <f>IF(EZ167=0,0,(FA167-EZ167)/EZ167*100)</f>
        <v>0</v>
      </c>
      <c r="FC167" s="836"/>
      <c r="FD167" s="836"/>
      <c r="FE167" s="715">
        <f>IF(FC167=0,0,(FD167-FC167)/FC167*100)</f>
        <v>0</v>
      </c>
      <c r="FF167" s="836"/>
      <c r="FG167" s="836"/>
      <c r="FH167" s="715">
        <f>IF(FF167=0,0,(FG167-FF167)/FF167*100)</f>
        <v>0</v>
      </c>
      <c r="FI167" s="836"/>
      <c r="FJ167" s="836"/>
      <c r="FK167" s="715">
        <f>IF(FI167=0,0,(FJ167-FI167)/FI167*100)</f>
        <v>0</v>
      </c>
      <c r="FL167" s="836"/>
      <c r="FM167" s="836"/>
      <c r="FN167" s="715">
        <f>IF(FL167=0,0,(FM167-FL167)/FL167*100)</f>
        <v>0</v>
      </c>
      <c r="FO167" s="836"/>
      <c r="FP167" s="836"/>
      <c r="FQ167" s="715">
        <f>IF(FO167=0,0,(FP167-FO167)/FO167*100)</f>
        <v>0</v>
      </c>
      <c r="FR167" s="836"/>
      <c r="FS167" s="836"/>
      <c r="FT167" s="715">
        <f>IF(FR167=0,0,(FS167-FR167)/FR167*100)</f>
        <v>0</v>
      </c>
      <c r="FU167" s="836"/>
      <c r="FV167" s="836"/>
      <c r="FW167" s="715">
        <f>IF(FU167=0,0,(FV167-FU167)/FU167*100)</f>
        <v>0</v>
      </c>
      <c r="FZ167" s="691" t="s">
        <v>1694</v>
      </c>
    </row>
    <row r="168" spans="1:182" ht="21.75" hidden="1" customHeight="1" x14ac:dyDescent="0.15">
      <c r="A168" s="59"/>
      <c r="B168" s="613" t="b" cm="1">
        <f t="array" ref="B168">B167</f>
        <v>0</v>
      </c>
      <c r="C168" s="59"/>
      <c r="D168" s="59"/>
      <c r="E168" s="462">
        <v>22.5</v>
      </c>
      <c r="F168" s="3" t="str" cm="1">
        <f t="array" aca="1" ref="F168" ca="1">OFFSET(E168,-1,1)</f>
        <v>2</v>
      </c>
      <c r="G168" s="59"/>
      <c r="H168" s="59" t="s">
        <v>1683</v>
      </c>
      <c r="I168" s="59" t="s">
        <v>1647</v>
      </c>
      <c r="J168" s="59"/>
      <c r="K168" s="59"/>
      <c r="L168" s="59"/>
      <c r="M168" s="59"/>
      <c r="N168" s="59"/>
      <c r="O168" s="59"/>
      <c r="P168" s="59"/>
      <c r="Q168" s="59"/>
      <c r="R168" s="59"/>
      <c r="S168" s="59"/>
      <c r="T168" s="353" t="b" cm="1">
        <f t="array" aca="1" ref="T168" ca="1">T167</f>
        <v>1</v>
      </c>
      <c r="U168" s="59"/>
      <c r="V168" s="59"/>
      <c r="W168" s="59"/>
      <c r="X168" s="1022"/>
      <c r="Y168" s="59"/>
      <c r="Z168" s="966"/>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1684</v>
      </c>
      <c r="AD168" s="820"/>
      <c r="AE168" s="820"/>
      <c r="AF168" s="714">
        <f>IF(AD168=0,0,(AE168-AD168)/AD168*100)</f>
        <v>0</v>
      </c>
      <c r="AG168" s="820"/>
      <c r="AH168" s="820"/>
      <c r="AI168" s="714">
        <f>IF(AG168=0,0,(AH168-AG168)/AG168*100)</f>
        <v>0</v>
      </c>
      <c r="AJ168" s="820"/>
      <c r="AK168" s="820"/>
      <c r="AL168" s="714">
        <f>IF(AJ168=0,0,(AK168-AJ168)/AJ168*100)</f>
        <v>0</v>
      </c>
      <c r="AM168" s="820"/>
      <c r="AN168" s="820"/>
      <c r="AO168" s="714">
        <f>IF(AM168=0,0,(AN168-AM168)/AM168*100)</f>
        <v>0</v>
      </c>
      <c r="AP168" s="820"/>
      <c r="AQ168" s="820"/>
      <c r="AR168" s="714">
        <f>IF(AP168=0,0,(AQ168-AP168)/AP168*100)</f>
        <v>0</v>
      </c>
      <c r="AS168" s="820"/>
      <c r="AT168" s="820"/>
      <c r="AU168" s="714">
        <f>IF(AS168=0,0,(AT168-AS168)/AS168*100)</f>
        <v>0</v>
      </c>
      <c r="AV168" s="820"/>
      <c r="AW168" s="820"/>
      <c r="AX168" s="714">
        <f>IF(AV168=0,0,(AW168-AV168)/AV168*100)</f>
        <v>0</v>
      </c>
      <c r="AY168" s="820"/>
      <c r="AZ168" s="820"/>
      <c r="BA168" s="714">
        <f>IF(AY168=0,0,(AZ168-AY168)/AY168*100)</f>
        <v>0</v>
      </c>
      <c r="BB168" s="820"/>
      <c r="BC168" s="820"/>
      <c r="BD168" s="714">
        <f>IF(BB168=0,0,(BC168-BB168)/BB168*100)</f>
        <v>0</v>
      </c>
      <c r="BE168" s="820"/>
      <c r="BF168" s="820"/>
      <c r="BG168" s="714">
        <f>IF(BE168=0,0,(BF168-BE168)/BE168*100)</f>
        <v>0</v>
      </c>
      <c r="BH168" s="820"/>
      <c r="BI168" s="820"/>
      <c r="BJ168" s="714">
        <f>IF(BH168=0,0,(BI168-BH168)/BH168*100)</f>
        <v>0</v>
      </c>
      <c r="BK168" s="820"/>
      <c r="BL168" s="820"/>
      <c r="BM168" s="714">
        <f>IF(BK168=0,0,(BL168-BK168)/BK168*100)</f>
        <v>0</v>
      </c>
      <c r="BN168" s="820"/>
      <c r="BO168" s="820"/>
      <c r="BP168" s="714">
        <f>IF(BN168=0,0,(BO168-BN168)/BN168*100)</f>
        <v>0</v>
      </c>
      <c r="BQ168" s="820"/>
      <c r="BR168" s="820"/>
      <c r="BS168" s="714">
        <f>IF(BQ168=0,0,(BR168-BQ168)/BQ168*100)</f>
        <v>0</v>
      </c>
      <c r="BT168" s="820"/>
      <c r="BU168" s="820"/>
      <c r="BV168" s="714">
        <f>IF(BT168=0,0,(BU168-BT168)/BT168*100)</f>
        <v>0</v>
      </c>
      <c r="BW168" s="820"/>
      <c r="BX168" s="820"/>
      <c r="BY168" s="714">
        <f>IF(BW168=0,0,(BX168-BW168)/BW168*100)</f>
        <v>0</v>
      </c>
      <c r="BZ168" s="820"/>
      <c r="CA168" s="820"/>
      <c r="CB168" s="714">
        <f>IF(BZ168=0,0,(CA168-BZ168)/BZ168*100)</f>
        <v>0</v>
      </c>
      <c r="CC168" s="820"/>
      <c r="CD168" s="820"/>
      <c r="CE168" s="714">
        <f>IF(CC168=0,0,(CD168-CC168)/CC168*100)</f>
        <v>0</v>
      </c>
      <c r="CF168" s="820"/>
      <c r="CG168" s="820"/>
      <c r="CH168" s="714">
        <f>IF(CF168=0,0,(CG168-CF168)/CF168*100)</f>
        <v>0</v>
      </c>
      <c r="CI168" s="820"/>
      <c r="CJ168" s="820"/>
      <c r="CK168" s="714">
        <f>IF(CI168=0,0,(CJ168-CI168)/CI168*100)</f>
        <v>0</v>
      </c>
      <c r="CL168" s="820"/>
      <c r="CM168" s="820"/>
      <c r="CN168" s="714">
        <f>IF(CL168=0,0,(CM168-CL168)/CL168*100)</f>
        <v>0</v>
      </c>
      <c r="CO168" s="820"/>
      <c r="CP168" s="820"/>
      <c r="CQ168" s="714">
        <f>IF(CO168=0,0,(CP168-CO168)/CO168*100)</f>
        <v>0</v>
      </c>
      <c r="CR168" s="820"/>
      <c r="CS168" s="820"/>
      <c r="CT168" s="714">
        <f>IF(CR168=0,0,(CS168-CR168)/CR168*100)</f>
        <v>0</v>
      </c>
      <c r="CU168" s="820"/>
      <c r="CV168" s="820"/>
      <c r="CW168" s="714">
        <f>IF(CU168=0,0,(CV168-CU168)/CU168*100)</f>
        <v>0</v>
      </c>
      <c r="CX168" s="820"/>
      <c r="CY168" s="820"/>
      <c r="CZ168" s="714">
        <f>IF(CX168=0,0,(CY168-CX168)/CX168*100)</f>
        <v>0</v>
      </c>
      <c r="DA168" s="820"/>
      <c r="DB168" s="820"/>
      <c r="DC168" s="714">
        <f>IF(DA168=0,0,(DB168-DA168)/DA168*100)</f>
        <v>0</v>
      </c>
      <c r="DD168" s="820"/>
      <c r="DE168" s="820"/>
      <c r="DF168" s="714">
        <f>IF(DD168=0,0,(DE168-DD168)/DD168*100)</f>
        <v>0</v>
      </c>
      <c r="DG168" s="820"/>
      <c r="DH168" s="820"/>
      <c r="DI168" s="714">
        <f>IF(DG168=0,0,(DH168-DG168)/DG168*100)</f>
        <v>0</v>
      </c>
      <c r="DJ168" s="820"/>
      <c r="DK168" s="820"/>
      <c r="DL168" s="714">
        <f>IF(DJ168=0,0,(DK168-DJ168)/DJ168*100)</f>
        <v>0</v>
      </c>
      <c r="DM168" s="820"/>
      <c r="DN168" s="820"/>
      <c r="DO168" s="714">
        <f>IF(DM168=0,0,(DN168-DM168)/DM168*100)</f>
        <v>0</v>
      </c>
      <c r="DP168" s="820"/>
      <c r="DQ168" s="820"/>
      <c r="DR168" s="714">
        <f>IF(DP168=0,0,(DQ168-DP168)/DP168*100)</f>
        <v>0</v>
      </c>
      <c r="DS168" s="820"/>
      <c r="DT168" s="820"/>
      <c r="DU168" s="714">
        <f>IF(DS168=0,0,(DT168-DS168)/DS168*100)</f>
        <v>0</v>
      </c>
      <c r="DV168" s="820"/>
      <c r="DW168" s="820"/>
      <c r="DX168" s="714">
        <f>IF(DV168=0,0,(DW168-DV168)/DV168*100)</f>
        <v>0</v>
      </c>
      <c r="DY168" s="820"/>
      <c r="DZ168" s="820"/>
      <c r="EA168" s="714">
        <f>IF(DY168=0,0,(DZ168-DY168)/DY168*100)</f>
        <v>0</v>
      </c>
      <c r="EB168" s="820"/>
      <c r="EC168" s="820"/>
      <c r="ED168" s="714">
        <f>IF(EB168=0,0,(EC168-EB168)/EB168*100)</f>
        <v>0</v>
      </c>
      <c r="EE168" s="820"/>
      <c r="EF168" s="820"/>
      <c r="EG168" s="714">
        <f>IF(EE168=0,0,(EF168-EE168)/EE168*100)</f>
        <v>0</v>
      </c>
      <c r="EH168" s="820"/>
      <c r="EI168" s="820"/>
      <c r="EJ168" s="714">
        <f>IF(EH168=0,0,(EI168-EH168)/EH168*100)</f>
        <v>0</v>
      </c>
      <c r="EK168" s="820"/>
      <c r="EL168" s="820"/>
      <c r="EM168" s="714">
        <f>IF(EK168=0,0,(EL168-EK168)/EK168*100)</f>
        <v>0</v>
      </c>
      <c r="EN168" s="820"/>
      <c r="EO168" s="820"/>
      <c r="EP168" s="714">
        <f>IF(EN168=0,0,(EO168-EN168)/EN168*100)</f>
        <v>0</v>
      </c>
      <c r="EQ168" s="820"/>
      <c r="ER168" s="820"/>
      <c r="ES168" s="714">
        <f>IF(EQ168=0,0,(ER168-EQ168)/EQ168*100)</f>
        <v>0</v>
      </c>
      <c r="ET168" s="820"/>
      <c r="EU168" s="820"/>
      <c r="EV168" s="714">
        <f>IF(ET168=0,0,(EU168-ET168)/ET168*100)</f>
        <v>0</v>
      </c>
      <c r="EW168" s="820"/>
      <c r="EX168" s="820"/>
      <c r="EY168" s="714">
        <f>IF(EW168=0,0,(EX168-EW168)/EW168*100)</f>
        <v>0</v>
      </c>
      <c r="EZ168" s="820"/>
      <c r="FA168" s="820"/>
      <c r="FB168" s="714">
        <f>IF(EZ168=0,0,(FA168-EZ168)/EZ168*100)</f>
        <v>0</v>
      </c>
      <c r="FC168" s="820"/>
      <c r="FD168" s="820"/>
      <c r="FE168" s="714">
        <f>IF(FC168=0,0,(FD168-FC168)/FC168*100)</f>
        <v>0</v>
      </c>
      <c r="FF168" s="820"/>
      <c r="FG168" s="820"/>
      <c r="FH168" s="714">
        <f>IF(FF168=0,0,(FG168-FF168)/FF168*100)</f>
        <v>0</v>
      </c>
      <c r="FI168" s="820"/>
      <c r="FJ168" s="820"/>
      <c r="FK168" s="714">
        <f>IF(FI168=0,0,(FJ168-FI168)/FI168*100)</f>
        <v>0</v>
      </c>
      <c r="FL168" s="820"/>
      <c r="FM168" s="820"/>
      <c r="FN168" s="714">
        <f>IF(FL168=0,0,(FM168-FL168)/FL168*100)</f>
        <v>0</v>
      </c>
      <c r="FO168" s="820"/>
      <c r="FP168" s="820"/>
      <c r="FQ168" s="714">
        <f>IF(FO168=0,0,(FP168-FO168)/FO168*100)</f>
        <v>0</v>
      </c>
      <c r="FR168" s="820"/>
      <c r="FS168" s="820"/>
      <c r="FT168" s="714">
        <f>IF(FR168=0,0,(FS168-FR168)/FR168*100)</f>
        <v>0</v>
      </c>
      <c r="FU168" s="820"/>
      <c r="FV168" s="820"/>
      <c r="FW168" s="714">
        <f>IF(FU168=0,0,(FV168-FU168)/FU168*100)</f>
        <v>0</v>
      </c>
      <c r="FZ168" s="691" t="s">
        <v>1695</v>
      </c>
    </row>
    <row r="169" spans="1:182" ht="14.25" hidden="1" customHeight="1" x14ac:dyDescent="0.15">
      <c r="A169" s="59"/>
      <c r="B169" s="613" t="b" cm="1">
        <f t="array" ref="B169">B168</f>
        <v>0</v>
      </c>
      <c r="C169" s="59"/>
      <c r="D169" s="59"/>
      <c r="E169" s="462">
        <v>15</v>
      </c>
      <c r="F169" s="3" t="str" cm="1">
        <f t="array" aca="1" ref="F169" ca="1">OFFSET(E169,-1,1)</f>
        <v>2</v>
      </c>
      <c r="G169" s="59"/>
      <c r="H169" s="59" t="s">
        <v>1686</v>
      </c>
      <c r="I169" s="59" t="s">
        <v>1647</v>
      </c>
      <c r="J169" s="59"/>
      <c r="K169" s="59"/>
      <c r="L169" s="59"/>
      <c r="M169" s="59"/>
      <c r="N169" s="59"/>
      <c r="O169" s="59"/>
      <c r="P169" s="59"/>
      <c r="Q169" s="59"/>
      <c r="R169" s="59"/>
      <c r="S169" s="59"/>
      <c r="T169" s="353" t="b" cm="1">
        <f t="array" aca="1" ref="T169" ca="1">T168</f>
        <v>1</v>
      </c>
      <c r="U169" s="59"/>
      <c r="V169" s="59"/>
      <c r="W169" s="59"/>
      <c r="X169" s="1022"/>
      <c r="Y169" s="59"/>
      <c r="Z169" s="966"/>
      <c r="AA169" s="59"/>
      <c r="AB169" s="105" t="s">
        <v>1687</v>
      </c>
      <c r="AC169" s="12" t="s">
        <v>1688</v>
      </c>
      <c r="AD169" s="820"/>
      <c r="AE169" s="820"/>
      <c r="AF169" s="714">
        <f>IF(AD169=0,0,(AE169-AD169)/AD169*100)</f>
        <v>0</v>
      </c>
      <c r="AG169" s="820"/>
      <c r="AH169" s="820"/>
      <c r="AI169" s="714">
        <f>IF(AG169=0,0,(AH169-AG169)/AG169*100)</f>
        <v>0</v>
      </c>
      <c r="AJ169" s="820"/>
      <c r="AK169" s="820"/>
      <c r="AL169" s="714">
        <f>IF(AJ169=0,0,(AK169-AJ169)/AJ169*100)</f>
        <v>0</v>
      </c>
      <c r="AM169" s="820"/>
      <c r="AN169" s="820"/>
      <c r="AO169" s="714">
        <f>IF(AM169=0,0,(AN169-AM169)/AM169*100)</f>
        <v>0</v>
      </c>
      <c r="AP169" s="820"/>
      <c r="AQ169" s="820"/>
      <c r="AR169" s="714">
        <f>IF(AP169=0,0,(AQ169-AP169)/AP169*100)</f>
        <v>0</v>
      </c>
      <c r="AS169" s="820"/>
      <c r="AT169" s="820"/>
      <c r="AU169" s="714">
        <f>IF(AS169=0,0,(AT169-AS169)/AS169*100)</f>
        <v>0</v>
      </c>
      <c r="AV169" s="820"/>
      <c r="AW169" s="820"/>
      <c r="AX169" s="714">
        <f>IF(AV169=0,0,(AW169-AV169)/AV169*100)</f>
        <v>0</v>
      </c>
      <c r="AY169" s="820"/>
      <c r="AZ169" s="820"/>
      <c r="BA169" s="714">
        <f>IF(AY169=0,0,(AZ169-AY169)/AY169*100)</f>
        <v>0</v>
      </c>
      <c r="BB169" s="820"/>
      <c r="BC169" s="820"/>
      <c r="BD169" s="714">
        <f>IF(BB169=0,0,(BC169-BB169)/BB169*100)</f>
        <v>0</v>
      </c>
      <c r="BE169" s="820"/>
      <c r="BF169" s="820"/>
      <c r="BG169" s="714">
        <f>IF(BE169=0,0,(BF169-BE169)/BE169*100)</f>
        <v>0</v>
      </c>
      <c r="BH169" s="820"/>
      <c r="BI169" s="820"/>
      <c r="BJ169" s="714">
        <f>IF(BH169=0,0,(BI169-BH169)/BH169*100)</f>
        <v>0</v>
      </c>
      <c r="BK169" s="820"/>
      <c r="BL169" s="820"/>
      <c r="BM169" s="714">
        <f>IF(BK169=0,0,(BL169-BK169)/BK169*100)</f>
        <v>0</v>
      </c>
      <c r="BN169" s="820"/>
      <c r="BO169" s="820"/>
      <c r="BP169" s="714">
        <f>IF(BN169=0,0,(BO169-BN169)/BN169*100)</f>
        <v>0</v>
      </c>
      <c r="BQ169" s="820"/>
      <c r="BR169" s="820"/>
      <c r="BS169" s="714">
        <f>IF(BQ169=0,0,(BR169-BQ169)/BQ169*100)</f>
        <v>0</v>
      </c>
      <c r="BT169" s="820"/>
      <c r="BU169" s="820"/>
      <c r="BV169" s="714">
        <f>IF(BT169=0,0,(BU169-BT169)/BT169*100)</f>
        <v>0</v>
      </c>
      <c r="BW169" s="820"/>
      <c r="BX169" s="820"/>
      <c r="BY169" s="714">
        <f>IF(BW169=0,0,(BX169-BW169)/BW169*100)</f>
        <v>0</v>
      </c>
      <c r="BZ169" s="820"/>
      <c r="CA169" s="820"/>
      <c r="CB169" s="714">
        <f>IF(BZ169=0,0,(CA169-BZ169)/BZ169*100)</f>
        <v>0</v>
      </c>
      <c r="CC169" s="820"/>
      <c r="CD169" s="820"/>
      <c r="CE169" s="714">
        <f>IF(CC169=0,0,(CD169-CC169)/CC169*100)</f>
        <v>0</v>
      </c>
      <c r="CF169" s="820"/>
      <c r="CG169" s="820"/>
      <c r="CH169" s="714">
        <f>IF(CF169=0,0,(CG169-CF169)/CF169*100)</f>
        <v>0</v>
      </c>
      <c r="CI169" s="820"/>
      <c r="CJ169" s="820"/>
      <c r="CK169" s="714">
        <f>IF(CI169=0,0,(CJ169-CI169)/CI169*100)</f>
        <v>0</v>
      </c>
      <c r="CL169" s="820"/>
      <c r="CM169" s="820"/>
      <c r="CN169" s="714">
        <f>IF(CL169=0,0,(CM169-CL169)/CL169*100)</f>
        <v>0</v>
      </c>
      <c r="CO169" s="820"/>
      <c r="CP169" s="820"/>
      <c r="CQ169" s="714">
        <f>IF(CO169=0,0,(CP169-CO169)/CO169*100)</f>
        <v>0</v>
      </c>
      <c r="CR169" s="820"/>
      <c r="CS169" s="820"/>
      <c r="CT169" s="714">
        <f>IF(CR169=0,0,(CS169-CR169)/CR169*100)</f>
        <v>0</v>
      </c>
      <c r="CU169" s="820"/>
      <c r="CV169" s="820"/>
      <c r="CW169" s="714">
        <f>IF(CU169=0,0,(CV169-CU169)/CU169*100)</f>
        <v>0</v>
      </c>
      <c r="CX169" s="820"/>
      <c r="CY169" s="820"/>
      <c r="CZ169" s="714">
        <f>IF(CX169=0,0,(CY169-CX169)/CX169*100)</f>
        <v>0</v>
      </c>
      <c r="DA169" s="820"/>
      <c r="DB169" s="820"/>
      <c r="DC169" s="714">
        <f>IF(DA169=0,0,(DB169-DA169)/DA169*100)</f>
        <v>0</v>
      </c>
      <c r="DD169" s="820"/>
      <c r="DE169" s="820"/>
      <c r="DF169" s="714">
        <f>IF(DD169=0,0,(DE169-DD169)/DD169*100)</f>
        <v>0</v>
      </c>
      <c r="DG169" s="820"/>
      <c r="DH169" s="820"/>
      <c r="DI169" s="714">
        <f>IF(DG169=0,0,(DH169-DG169)/DG169*100)</f>
        <v>0</v>
      </c>
      <c r="DJ169" s="820"/>
      <c r="DK169" s="820"/>
      <c r="DL169" s="714">
        <f>IF(DJ169=0,0,(DK169-DJ169)/DJ169*100)</f>
        <v>0</v>
      </c>
      <c r="DM169" s="820"/>
      <c r="DN169" s="820"/>
      <c r="DO169" s="714">
        <f>IF(DM169=0,0,(DN169-DM169)/DM169*100)</f>
        <v>0</v>
      </c>
      <c r="DP169" s="820"/>
      <c r="DQ169" s="820"/>
      <c r="DR169" s="714">
        <f>IF(DP169=0,0,(DQ169-DP169)/DP169*100)</f>
        <v>0</v>
      </c>
      <c r="DS169" s="820"/>
      <c r="DT169" s="820"/>
      <c r="DU169" s="714">
        <f>IF(DS169=0,0,(DT169-DS169)/DS169*100)</f>
        <v>0</v>
      </c>
      <c r="DV169" s="820"/>
      <c r="DW169" s="820"/>
      <c r="DX169" s="714">
        <f>IF(DV169=0,0,(DW169-DV169)/DV169*100)</f>
        <v>0</v>
      </c>
      <c r="DY169" s="820"/>
      <c r="DZ169" s="820"/>
      <c r="EA169" s="714">
        <f>IF(DY169=0,0,(DZ169-DY169)/DY169*100)</f>
        <v>0</v>
      </c>
      <c r="EB169" s="820"/>
      <c r="EC169" s="820"/>
      <c r="ED169" s="714">
        <f>IF(EB169=0,0,(EC169-EB169)/EB169*100)</f>
        <v>0</v>
      </c>
      <c r="EE169" s="820"/>
      <c r="EF169" s="820"/>
      <c r="EG169" s="714">
        <f>IF(EE169=0,0,(EF169-EE169)/EE169*100)</f>
        <v>0</v>
      </c>
      <c r="EH169" s="820"/>
      <c r="EI169" s="820"/>
      <c r="EJ169" s="714">
        <f>IF(EH169=0,0,(EI169-EH169)/EH169*100)</f>
        <v>0</v>
      </c>
      <c r="EK169" s="820"/>
      <c r="EL169" s="820"/>
      <c r="EM169" s="714">
        <f>IF(EK169=0,0,(EL169-EK169)/EK169*100)</f>
        <v>0</v>
      </c>
      <c r="EN169" s="820"/>
      <c r="EO169" s="820"/>
      <c r="EP169" s="714">
        <f>IF(EN169=0,0,(EO169-EN169)/EN169*100)</f>
        <v>0</v>
      </c>
      <c r="EQ169" s="820"/>
      <c r="ER169" s="820"/>
      <c r="ES169" s="714">
        <f>IF(EQ169=0,0,(ER169-EQ169)/EQ169*100)</f>
        <v>0</v>
      </c>
      <c r="ET169" s="820"/>
      <c r="EU169" s="820"/>
      <c r="EV169" s="714">
        <f>IF(ET169=0,0,(EU169-ET169)/ET169*100)</f>
        <v>0</v>
      </c>
      <c r="EW169" s="820"/>
      <c r="EX169" s="820"/>
      <c r="EY169" s="714">
        <f>IF(EW169=0,0,(EX169-EW169)/EW169*100)</f>
        <v>0</v>
      </c>
      <c r="EZ169" s="820"/>
      <c r="FA169" s="820"/>
      <c r="FB169" s="714">
        <f>IF(EZ169=0,0,(FA169-EZ169)/EZ169*100)</f>
        <v>0</v>
      </c>
      <c r="FC169" s="820"/>
      <c r="FD169" s="820"/>
      <c r="FE169" s="714">
        <f>IF(FC169=0,0,(FD169-FC169)/FC169*100)</f>
        <v>0</v>
      </c>
      <c r="FF169" s="820"/>
      <c r="FG169" s="820"/>
      <c r="FH169" s="714">
        <f>IF(FF169=0,0,(FG169-FF169)/FF169*100)</f>
        <v>0</v>
      </c>
      <c r="FI169" s="820"/>
      <c r="FJ169" s="820"/>
      <c r="FK169" s="714">
        <f>IF(FI169=0,0,(FJ169-FI169)/FI169*100)</f>
        <v>0</v>
      </c>
      <c r="FL169" s="820"/>
      <c r="FM169" s="820"/>
      <c r="FN169" s="714">
        <f>IF(FL169=0,0,(FM169-FL169)/FL169*100)</f>
        <v>0</v>
      </c>
      <c r="FO169" s="820"/>
      <c r="FP169" s="820"/>
      <c r="FQ169" s="714">
        <f>IF(FO169=0,0,(FP169-FO169)/FO169*100)</f>
        <v>0</v>
      </c>
      <c r="FR169" s="820"/>
      <c r="FS169" s="820"/>
      <c r="FT169" s="714">
        <f>IF(FR169=0,0,(FS169-FR169)/FR169*100)</f>
        <v>0</v>
      </c>
      <c r="FU169" s="820"/>
      <c r="FV169" s="820"/>
      <c r="FW169" s="714">
        <f>IF(FU169=0,0,(FV169-FU169)/FU169*100)</f>
        <v>0</v>
      </c>
      <c r="FZ169" s="691" t="s">
        <v>1696</v>
      </c>
    </row>
    <row r="170" spans="1:182" ht="23.25" hidden="1" customHeight="1" x14ac:dyDescent="0.15">
      <c r="A170" s="59"/>
      <c r="B170" s="613" t="b" cm="1">
        <f t="array" ref="B170">B169</f>
        <v>0</v>
      </c>
      <c r="C170" s="59"/>
      <c r="D170" s="59"/>
      <c r="E170" s="462">
        <v>24.5</v>
      </c>
      <c r="F170" s="3" t="str" cm="1">
        <f t="array" aca="1" ref="F170" ca="1">OFFSET(E170,-1,1)</f>
        <v>2</v>
      </c>
      <c r="G170" s="59"/>
      <c r="H170" s="59"/>
      <c r="I170" s="59"/>
      <c r="J170" s="59"/>
      <c r="K170" s="59"/>
      <c r="L170" s="59"/>
      <c r="M170" s="59"/>
      <c r="N170" s="59"/>
      <c r="O170" s="59"/>
      <c r="P170" s="59"/>
      <c r="Q170" s="59"/>
      <c r="R170" s="59"/>
      <c r="S170" s="59"/>
      <c r="T170" s="353" t="b" cm="1">
        <f t="array" aca="1" ref="T170" ca="1">T169</f>
        <v>1</v>
      </c>
      <c r="U170" s="59"/>
      <c r="V170" s="59"/>
      <c r="W170" s="59"/>
      <c r="X170" s="1022"/>
      <c r="Y170" s="59"/>
      <c r="Z170" s="966"/>
      <c r="AA170" s="59"/>
      <c r="AB170" s="205" t="s">
        <v>1697</v>
      </c>
      <c r="AC170" s="597"/>
      <c r="AD170" s="718"/>
      <c r="AE170" s="718"/>
      <c r="AF170" s="718"/>
      <c r="AG170" s="718"/>
      <c r="AH170" s="718"/>
      <c r="AI170" s="718"/>
      <c r="AJ170" s="718"/>
      <c r="AK170" s="718"/>
      <c r="AL170" s="718"/>
      <c r="AM170" s="718"/>
      <c r="AN170" s="718"/>
      <c r="AO170" s="718"/>
      <c r="AP170" s="718"/>
      <c r="AQ170" s="718"/>
      <c r="AR170" s="718"/>
      <c r="AS170" s="718"/>
      <c r="AT170" s="718"/>
      <c r="AU170" s="718"/>
      <c r="AV170" s="718"/>
      <c r="AW170" s="718"/>
      <c r="AX170" s="718"/>
      <c r="AY170" s="718"/>
      <c r="AZ170" s="718"/>
      <c r="BA170" s="718"/>
      <c r="BB170" s="718"/>
      <c r="BC170" s="718"/>
      <c r="BD170" s="718"/>
      <c r="BE170" s="718"/>
      <c r="BF170" s="718"/>
      <c r="BG170" s="718"/>
      <c r="BH170" s="718"/>
      <c r="BI170" s="718"/>
      <c r="BJ170" s="718"/>
      <c r="BK170" s="718"/>
      <c r="BL170" s="718"/>
      <c r="BM170" s="718"/>
      <c r="BN170" s="718"/>
      <c r="BO170" s="718"/>
      <c r="BP170" s="718"/>
      <c r="BQ170" s="718"/>
      <c r="BR170" s="718"/>
      <c r="BS170" s="718"/>
      <c r="BT170" s="718"/>
      <c r="BU170" s="718"/>
      <c r="BV170" s="718"/>
      <c r="BW170" s="718"/>
      <c r="BX170" s="718"/>
      <c r="BY170" s="718"/>
      <c r="BZ170" s="718"/>
      <c r="CA170" s="718"/>
      <c r="CB170" s="718"/>
      <c r="CC170" s="718"/>
      <c r="CD170" s="718"/>
      <c r="CE170" s="718"/>
      <c r="CF170" s="718"/>
      <c r="CG170" s="718"/>
      <c r="CH170" s="718"/>
      <c r="CI170" s="718"/>
      <c r="CJ170" s="718"/>
      <c r="CK170" s="718"/>
      <c r="CL170" s="718"/>
      <c r="CM170" s="718"/>
      <c r="CN170" s="718"/>
      <c r="CO170" s="718"/>
      <c r="CP170" s="718"/>
      <c r="CQ170" s="718"/>
      <c r="CR170" s="718"/>
      <c r="CS170" s="718"/>
      <c r="CT170" s="718"/>
      <c r="CU170" s="718"/>
      <c r="CV170" s="718"/>
      <c r="CW170" s="718"/>
      <c r="CX170" s="718"/>
      <c r="CY170" s="718"/>
      <c r="CZ170" s="718"/>
      <c r="DA170" s="718"/>
      <c r="DB170" s="718"/>
      <c r="DC170" s="718"/>
      <c r="DD170" s="718"/>
      <c r="DE170" s="718"/>
      <c r="DF170" s="718"/>
      <c r="DG170" s="718"/>
      <c r="DH170" s="718"/>
      <c r="DI170" s="718"/>
      <c r="DJ170" s="718"/>
      <c r="DK170" s="718"/>
      <c r="DL170" s="718"/>
      <c r="DM170" s="718"/>
      <c r="DN170" s="718"/>
      <c r="DO170" s="718"/>
      <c r="DP170" s="718"/>
      <c r="DQ170" s="718"/>
      <c r="DR170" s="718"/>
      <c r="DS170" s="718"/>
      <c r="DT170" s="718"/>
      <c r="DU170" s="718"/>
      <c r="DV170" s="718"/>
      <c r="DW170" s="718"/>
      <c r="DX170" s="718"/>
      <c r="DY170" s="718"/>
      <c r="DZ170" s="718"/>
      <c r="EA170" s="718"/>
      <c r="EB170" s="718"/>
      <c r="EC170" s="718"/>
      <c r="ED170" s="718"/>
      <c r="EE170" s="718"/>
      <c r="EF170" s="718"/>
      <c r="EG170" s="718"/>
      <c r="EH170" s="718"/>
      <c r="EI170" s="718"/>
      <c r="EJ170" s="718"/>
      <c r="EK170" s="718"/>
      <c r="EL170" s="718"/>
      <c r="EM170" s="718"/>
      <c r="EN170" s="718"/>
      <c r="EO170" s="718"/>
      <c r="EP170" s="718"/>
      <c r="EQ170" s="718"/>
      <c r="ER170" s="718"/>
      <c r="ES170" s="718"/>
      <c r="ET170" s="718"/>
      <c r="EU170" s="718"/>
      <c r="EV170" s="718"/>
      <c r="EW170" s="718"/>
      <c r="EX170" s="718"/>
      <c r="EY170" s="718"/>
      <c r="EZ170" s="718"/>
      <c r="FA170" s="718"/>
      <c r="FB170" s="718"/>
      <c r="FC170" s="718"/>
      <c r="FD170" s="718"/>
      <c r="FE170" s="718"/>
      <c r="FF170" s="718"/>
      <c r="FG170" s="718"/>
      <c r="FH170" s="718"/>
      <c r="FI170" s="718"/>
      <c r="FJ170" s="718"/>
      <c r="FK170" s="718"/>
      <c r="FL170" s="718"/>
      <c r="FM170" s="718"/>
      <c r="FN170" s="718"/>
      <c r="FO170" s="718"/>
      <c r="FP170" s="718"/>
      <c r="FQ170" s="718"/>
      <c r="FR170" s="718"/>
      <c r="FS170" s="718"/>
      <c r="FT170" s="718"/>
      <c r="FU170" s="718"/>
      <c r="FV170" s="718"/>
      <c r="FW170" s="719"/>
      <c r="FZ170" s="691"/>
    </row>
    <row r="171" spans="1:182" ht="14.25" hidden="1" customHeight="1" x14ac:dyDescent="0.15">
      <c r="A171" s="59"/>
      <c r="B171" s="613" t="b" cm="1">
        <f t="array" ref="B171">B170</f>
        <v>0</v>
      </c>
      <c r="C171" s="59"/>
      <c r="D171" s="59"/>
      <c r="E171" s="462">
        <v>15</v>
      </c>
      <c r="F171" s="3" t="str" cm="1">
        <f t="array" aca="1" ref="F171" ca="1">OFFSET(E171,-1,1)</f>
        <v>2</v>
      </c>
      <c r="G171" s="59"/>
      <c r="H171" s="59" t="s">
        <v>1570</v>
      </c>
      <c r="I171" s="59" t="s">
        <v>1657</v>
      </c>
      <c r="J171" s="59"/>
      <c r="K171" s="59"/>
      <c r="L171" s="59"/>
      <c r="M171" s="59"/>
      <c r="N171" s="59"/>
      <c r="O171" s="59"/>
      <c r="P171" s="59"/>
      <c r="Q171" s="59"/>
      <c r="R171" s="59"/>
      <c r="S171" s="59"/>
      <c r="T171" s="353" t="b" cm="1">
        <f t="array" aca="1" ref="T171" ca="1">T170</f>
        <v>1</v>
      </c>
      <c r="U171" s="59"/>
      <c r="V171" s="59"/>
      <c r="W171" s="59"/>
      <c r="X171" s="1022"/>
      <c r="Y171" s="59"/>
      <c r="Z171" s="966"/>
      <c r="AA171" s="59"/>
      <c r="AB171" s="105" t="s">
        <v>1677</v>
      </c>
      <c r="AC171" s="12" t="s">
        <v>1644</v>
      </c>
      <c r="AD171" s="820">
        <f ca="1">IF(AD173=0,0,(AD172*AD173+AD174*AD175*IF(god=2026,9,6))/AD173)</f>
        <v>0</v>
      </c>
      <c r="AE171" s="820">
        <f ca="1">IF(AE173=0,0,(AE172*AE173+AE174*AE175*IF(god=2026,9,6))/AE173)</f>
        <v>0</v>
      </c>
      <c r="AF171" s="714">
        <f ca="1">IF(AD171=0,0,(AE171-AD171)/AD171*100)</f>
        <v>0</v>
      </c>
      <c r="AG171" s="820">
        <f ca="1">IF(AG173=0,0,(AG172*AG173+AG174*AG175*IF(god=2025,9,6))/AG173)</f>
        <v>0</v>
      </c>
      <c r="AH171" s="820">
        <f ca="1">IF(AH173=0,0,(AH172*AH173+AH174*AH175*IF(god=2025,9,6))/AH173)</f>
        <v>0</v>
      </c>
      <c r="AI171" s="714">
        <f ca="1">IF(AG171=0,0,(AH171-AG171)/AG171*100)</f>
        <v>0</v>
      </c>
      <c r="AJ171" s="820">
        <f ca="1">IF(AJ173=0,0,(AJ172*AJ173+AJ174*AJ175*6)/AJ173)</f>
        <v>0</v>
      </c>
      <c r="AK171" s="820">
        <f ca="1">IF(AK173=0,0,(AK172*AK173+AK174*AK175*6)/AK173)</f>
        <v>0</v>
      </c>
      <c r="AL171" s="714">
        <f ca="1">IF(AJ171=0,0,(AK171-AJ171)/AJ171*100)</f>
        <v>0</v>
      </c>
      <c r="AM171" s="820">
        <f ca="1">IF(AM173=0,0,(AM172*AM173+AM174*AM175*6)/AM173)</f>
        <v>0</v>
      </c>
      <c r="AN171" s="820">
        <f ca="1">IF(AN173=0,0,(AN172*AN173+AN174*AN175*6)/AN173)</f>
        <v>0</v>
      </c>
      <c r="AO171" s="714">
        <f ca="1">IF(AM171=0,0,(AN171-AM171)/AM171*100)</f>
        <v>0</v>
      </c>
      <c r="AP171" s="820">
        <f ca="1">IF(AP173=0,0,(AP172*AP173+AP174*AP175*6)/AP173)</f>
        <v>0</v>
      </c>
      <c r="AQ171" s="820">
        <f ca="1">IF(AQ173=0,0,(AQ172*AQ173+AQ174*AQ175*6)/AQ173)</f>
        <v>0</v>
      </c>
      <c r="AR171" s="714">
        <f ca="1">IF(AP171=0,0,(AQ171-AP171)/AP171*100)</f>
        <v>0</v>
      </c>
      <c r="AS171" s="820">
        <f ca="1">IF(AS173=0,0,(AS172*AS173+AS174*AS175*6)/AS173)</f>
        <v>0</v>
      </c>
      <c r="AT171" s="820">
        <f ca="1">IF(AT173=0,0,(AT172*AT173+AT174*AT175*6)/AT173)</f>
        <v>0</v>
      </c>
      <c r="AU171" s="714">
        <f ca="1">IF(AS171=0,0,(AT171-AS171)/AS171*100)</f>
        <v>0</v>
      </c>
      <c r="AV171" s="820">
        <f ca="1">IF(AV173=0,0,(AV172*AV173+AV174*AV175*6)/AV173)</f>
        <v>0</v>
      </c>
      <c r="AW171" s="820">
        <f ca="1">IF(AW173=0,0,(AW172*AW173+AW174*AW175*6)/AW173)</f>
        <v>0</v>
      </c>
      <c r="AX171" s="714">
        <f ca="1">IF(AV171=0,0,(AW171-AV171)/AV171*100)</f>
        <v>0</v>
      </c>
      <c r="AY171" s="820">
        <f ca="1">IF(AY173=0,0,(AY172*AY173+AY174*AY175*6)/AY173)</f>
        <v>0</v>
      </c>
      <c r="AZ171" s="820">
        <f ca="1">IF(AZ173=0,0,(AZ172*AZ173+AZ174*AZ175*6)/AZ173)</f>
        <v>0</v>
      </c>
      <c r="BA171" s="714">
        <f ca="1">IF(AY171=0,0,(AZ171-AY171)/AY171*100)</f>
        <v>0</v>
      </c>
      <c r="BB171" s="820">
        <f ca="1">IF(BB173=0,0,(BB172*BB173+BB174*BB175*6)/BB173)</f>
        <v>0</v>
      </c>
      <c r="BC171" s="820">
        <f ca="1">IF(BC173=0,0,(BC172*BC173+BC174*BC175*6)/BC173)</f>
        <v>0</v>
      </c>
      <c r="BD171" s="714">
        <f ca="1">IF(BB171=0,0,(BC171-BB171)/BB171*100)</f>
        <v>0</v>
      </c>
      <c r="BE171" s="820">
        <f ca="1">IF(BE173=0,0,(BE172*BE173+BE174*BE175*6)/BE173)</f>
        <v>0</v>
      </c>
      <c r="BF171" s="820">
        <f ca="1">IF(BF173=0,0,(BF172*BF173+BF174*BF175*6)/BF173)</f>
        <v>0</v>
      </c>
      <c r="BG171" s="714">
        <f ca="1">IF(BE171=0,0,(BF171-BE171)/BE171*100)</f>
        <v>0</v>
      </c>
      <c r="BH171" s="820">
        <f>IF(BH173=0,0,(BH172*BH173+BH174*BH175*6)/BH173)</f>
        <v>0</v>
      </c>
      <c r="BI171" s="820">
        <f>IF(BI173=0,0,(BI172*BI173+BI174*BI175*6)/BI173)</f>
        <v>0</v>
      </c>
      <c r="BJ171" s="714">
        <f>IF(BH171=0,0,(BI171-BH171)/BH171*100)</f>
        <v>0</v>
      </c>
      <c r="BK171" s="820">
        <f>IF(BK173=0,0,(BK172*BK173+BK174*BK175*6)/BK173)</f>
        <v>0</v>
      </c>
      <c r="BL171" s="820">
        <f>IF(BL173=0,0,(BL172*BL173+BL174*BL175*6)/BL173)</f>
        <v>0</v>
      </c>
      <c r="BM171" s="714">
        <f>IF(BK171=0,0,(BL171-BK171)/BK171*100)</f>
        <v>0</v>
      </c>
      <c r="BN171" s="820">
        <f>IF(BN173=0,0,(BN172*BN173+BN174*BN175*6)/BN173)</f>
        <v>0</v>
      </c>
      <c r="BO171" s="820">
        <f>IF(BO173=0,0,(BO172*BO173+BO174*BO175*6)/BO173)</f>
        <v>0</v>
      </c>
      <c r="BP171" s="714">
        <f>IF(BN171=0,0,(BO171-BN171)/BN171*100)</f>
        <v>0</v>
      </c>
      <c r="BQ171" s="820">
        <f>IF(BQ173=0,0,(BQ172*BQ173+BQ174*BQ175*6)/BQ173)</f>
        <v>0</v>
      </c>
      <c r="BR171" s="820">
        <f>IF(BR173=0,0,(BR172*BR173+BR174*BR175*6)/BR173)</f>
        <v>0</v>
      </c>
      <c r="BS171" s="714">
        <f>IF(BQ171=0,0,(BR171-BQ171)/BQ171*100)</f>
        <v>0</v>
      </c>
      <c r="BT171" s="820">
        <f>IF(BT173=0,0,(BT172*BT173+BT174*BT175*6)/BT173)</f>
        <v>0</v>
      </c>
      <c r="BU171" s="820">
        <f>IF(BU173=0,0,(BU172*BU173+BU174*BU175*6)/BU173)</f>
        <v>0</v>
      </c>
      <c r="BV171" s="714">
        <f>IF(BT171=0,0,(BU171-BT171)/BT171*100)</f>
        <v>0</v>
      </c>
      <c r="BW171" s="820">
        <f>IF(BW173=0,0,(BW172*BW173+BW174*BW175*6)/BW173)</f>
        <v>0</v>
      </c>
      <c r="BX171" s="820">
        <f>IF(BX173=0,0,(BX172*BX173+BX174*BX175*6)/BX173)</f>
        <v>0</v>
      </c>
      <c r="BY171" s="714">
        <f>IF(BW171=0,0,(BX171-BW171)/BW171*100)</f>
        <v>0</v>
      </c>
      <c r="BZ171" s="820">
        <f>IF(BZ173=0,0,(BZ172*BZ173+BZ174*BZ175*6)/BZ173)</f>
        <v>0</v>
      </c>
      <c r="CA171" s="820">
        <f>IF(CA173=0,0,(CA172*CA173+CA174*CA175*6)/CA173)</f>
        <v>0</v>
      </c>
      <c r="CB171" s="714">
        <f>IF(BZ171=0,0,(CA171-BZ171)/BZ171*100)</f>
        <v>0</v>
      </c>
      <c r="CC171" s="820">
        <f>IF(CC173=0,0,(CC172*CC173+CC174*CC175*6)/CC173)</f>
        <v>0</v>
      </c>
      <c r="CD171" s="820">
        <f>IF(CD173=0,0,(CD172*CD173+CD174*CD175*6)/CD173)</f>
        <v>0</v>
      </c>
      <c r="CE171" s="714">
        <f>IF(CC171=0,0,(CD171-CC171)/CC171*100)</f>
        <v>0</v>
      </c>
      <c r="CF171" s="820">
        <f>IF(CF173=0,0,(CF172*CF173+CF174*CF175*6)/CF173)</f>
        <v>0</v>
      </c>
      <c r="CG171" s="820">
        <f>IF(CG173=0,0,(CG172*CG173+CG174*CG175*6)/CG173)</f>
        <v>0</v>
      </c>
      <c r="CH171" s="714">
        <f>IF(CF171=0,0,(CG171-CF171)/CF171*100)</f>
        <v>0</v>
      </c>
      <c r="CI171" s="820">
        <f>IF(CI173=0,0,(CI172*CI173+CI174*CI175*6)/CI173)</f>
        <v>0</v>
      </c>
      <c r="CJ171" s="820">
        <f>IF(CJ173=0,0,(CJ172*CJ173+CJ174*CJ175*6)/CJ173)</f>
        <v>0</v>
      </c>
      <c r="CK171" s="714">
        <f>IF(CI171=0,0,(CJ171-CI171)/CI171*100)</f>
        <v>0</v>
      </c>
      <c r="CL171" s="820">
        <f>IF(CL173=0,0,(CL172*CL173+CL174*CL175*6)/CL173)</f>
        <v>0</v>
      </c>
      <c r="CM171" s="820">
        <f>IF(CM173=0,0,(CM172*CM173+CM174*CM175*6)/CM173)</f>
        <v>0</v>
      </c>
      <c r="CN171" s="714">
        <f>IF(CL171=0,0,(CM171-CL171)/CL171*100)</f>
        <v>0</v>
      </c>
      <c r="CO171" s="820">
        <f>IF(CO173=0,0,(CO172*CO173+CO174*CO175*6)/CO173)</f>
        <v>0</v>
      </c>
      <c r="CP171" s="820">
        <f>IF(CP173=0,0,(CP172*CP173+CP174*CP175*6)/CP173)</f>
        <v>0</v>
      </c>
      <c r="CQ171" s="714">
        <f>IF(CO171=0,0,(CP171-CO171)/CO171*100)</f>
        <v>0</v>
      </c>
      <c r="CR171" s="820">
        <f>IF(CR173=0,0,(CR172*CR173+CR174*CR175*6)/CR173)</f>
        <v>0</v>
      </c>
      <c r="CS171" s="820">
        <f>IF(CS173=0,0,(CS172*CS173+CS174*CS175*6)/CS173)</f>
        <v>0</v>
      </c>
      <c r="CT171" s="714">
        <f>IF(CR171=0,0,(CS171-CR171)/CR171*100)</f>
        <v>0</v>
      </c>
      <c r="CU171" s="820">
        <f>IF(CU173=0,0,(CU172*CU173+CU174*CU175*6)/CU173)</f>
        <v>0</v>
      </c>
      <c r="CV171" s="820">
        <f>IF(CV173=0,0,(CV172*CV173+CV174*CV175*6)/CV173)</f>
        <v>0</v>
      </c>
      <c r="CW171" s="714">
        <f>IF(CU171=0,0,(CV171-CU171)/CU171*100)</f>
        <v>0</v>
      </c>
      <c r="CX171" s="820">
        <f>IF(CX173=0,0,(CX172*CX173+CX174*CX175*6)/CX173)</f>
        <v>0</v>
      </c>
      <c r="CY171" s="820">
        <f>IF(CY173=0,0,(CY172*CY173+CY174*CY175*6)/CY173)</f>
        <v>0</v>
      </c>
      <c r="CZ171" s="714">
        <f>IF(CX171=0,0,(CY171-CX171)/CX171*100)</f>
        <v>0</v>
      </c>
      <c r="DA171" s="820">
        <f>IF(DA173=0,0,(DA172*DA173+DA174*DA175*6)/DA173)</f>
        <v>0</v>
      </c>
      <c r="DB171" s="820">
        <f>IF(DB173=0,0,(DB172*DB173+DB174*DB175*6)/DB173)</f>
        <v>0</v>
      </c>
      <c r="DC171" s="714">
        <f>IF(DA171=0,0,(DB171-DA171)/DA171*100)</f>
        <v>0</v>
      </c>
      <c r="DD171" s="820">
        <f>IF(DD173=0,0,(DD172*DD173+DD174*DD175*6)/DD173)</f>
        <v>0</v>
      </c>
      <c r="DE171" s="820">
        <f>IF(DE173=0,0,(DE172*DE173+DE174*DE175*6)/DE173)</f>
        <v>0</v>
      </c>
      <c r="DF171" s="714">
        <f>IF(DD171=0,0,(DE171-DD171)/DD171*100)</f>
        <v>0</v>
      </c>
      <c r="DG171" s="820">
        <f>IF(DG173=0,0,(DG172*DG173+DG174*DG175*6)/DG173)</f>
        <v>0</v>
      </c>
      <c r="DH171" s="820">
        <f>IF(DH173=0,0,(DH172*DH173+DH174*DH175*6)/DH173)</f>
        <v>0</v>
      </c>
      <c r="DI171" s="714">
        <f>IF(DG171=0,0,(DH171-DG171)/DG171*100)</f>
        <v>0</v>
      </c>
      <c r="DJ171" s="820">
        <f>IF(DJ173=0,0,(DJ172*DJ173+DJ174*DJ175*6)/DJ173)</f>
        <v>0</v>
      </c>
      <c r="DK171" s="820">
        <f>IF(DK173=0,0,(DK172*DK173+DK174*DK175*6)/DK173)</f>
        <v>0</v>
      </c>
      <c r="DL171" s="714">
        <f>IF(DJ171=0,0,(DK171-DJ171)/DJ171*100)</f>
        <v>0</v>
      </c>
      <c r="DM171" s="820">
        <f>IF(DM173=0,0,(DM172*DM173+DM174*DM175*6)/DM173)</f>
        <v>0</v>
      </c>
      <c r="DN171" s="820">
        <f>IF(DN173=0,0,(DN172*DN173+DN174*DN175*6)/DN173)</f>
        <v>0</v>
      </c>
      <c r="DO171" s="714">
        <f>IF(DM171=0,0,(DN171-DM171)/DM171*100)</f>
        <v>0</v>
      </c>
      <c r="DP171" s="820">
        <f>IF(DP173=0,0,(DP172*DP173+DP174*DP175*6)/DP173)</f>
        <v>0</v>
      </c>
      <c r="DQ171" s="820">
        <f>IF(DQ173=0,0,(DQ172*DQ173+DQ174*DQ175*6)/DQ173)</f>
        <v>0</v>
      </c>
      <c r="DR171" s="714">
        <f>IF(DP171=0,0,(DQ171-DP171)/DP171*100)</f>
        <v>0</v>
      </c>
      <c r="DS171" s="820">
        <f>IF(DS173=0,0,(DS172*DS173+DS174*DS175*6)/DS173)</f>
        <v>0</v>
      </c>
      <c r="DT171" s="820">
        <f>IF(DT173=0,0,(DT172*DT173+DT174*DT175*6)/DT173)</f>
        <v>0</v>
      </c>
      <c r="DU171" s="714">
        <f>IF(DS171=0,0,(DT171-DS171)/DS171*100)</f>
        <v>0</v>
      </c>
      <c r="DV171" s="820">
        <f>IF(DV173=0,0,(DV172*DV173+DV174*DV175*6)/DV173)</f>
        <v>0</v>
      </c>
      <c r="DW171" s="820">
        <f>IF(DW173=0,0,(DW172*DW173+DW174*DW175*6)/DW173)</f>
        <v>0</v>
      </c>
      <c r="DX171" s="714">
        <f>IF(DV171=0,0,(DW171-DV171)/DV171*100)</f>
        <v>0</v>
      </c>
      <c r="DY171" s="820">
        <f>IF(DY173=0,0,(DY172*DY173+DY174*DY175*6)/DY173)</f>
        <v>0</v>
      </c>
      <c r="DZ171" s="820">
        <f>IF(DZ173=0,0,(DZ172*DZ173+DZ174*DZ175*6)/DZ173)</f>
        <v>0</v>
      </c>
      <c r="EA171" s="714">
        <f>IF(DY171=0,0,(DZ171-DY171)/DY171*100)</f>
        <v>0</v>
      </c>
      <c r="EB171" s="820">
        <f>IF(EB173=0,0,(EB172*EB173+EB174*EB175*6)/EB173)</f>
        <v>0</v>
      </c>
      <c r="EC171" s="820">
        <f>IF(EC173=0,0,(EC172*EC173+EC174*EC175*6)/EC173)</f>
        <v>0</v>
      </c>
      <c r="ED171" s="714">
        <f>IF(EB171=0,0,(EC171-EB171)/EB171*100)</f>
        <v>0</v>
      </c>
      <c r="EE171" s="820">
        <f>IF(EE173=0,0,(EE172*EE173+EE174*EE175*6)/EE173)</f>
        <v>0</v>
      </c>
      <c r="EF171" s="820">
        <f>IF(EF173=0,0,(EF172*EF173+EF174*EF175*6)/EF173)</f>
        <v>0</v>
      </c>
      <c r="EG171" s="714">
        <f>IF(EE171=0,0,(EF171-EE171)/EE171*100)</f>
        <v>0</v>
      </c>
      <c r="EH171" s="820">
        <f>IF(EH173=0,0,(EH172*EH173+EH174*EH175*6)/EH173)</f>
        <v>0</v>
      </c>
      <c r="EI171" s="820">
        <f>IF(EI173=0,0,(EI172*EI173+EI174*EI175*6)/EI173)</f>
        <v>0</v>
      </c>
      <c r="EJ171" s="714">
        <f>IF(EH171=0,0,(EI171-EH171)/EH171*100)</f>
        <v>0</v>
      </c>
      <c r="EK171" s="820">
        <f>IF(EK173=0,0,(EK172*EK173+EK174*EK175*6)/EK173)</f>
        <v>0</v>
      </c>
      <c r="EL171" s="820">
        <f>IF(EL173=0,0,(EL172*EL173+EL174*EL175*6)/EL173)</f>
        <v>0</v>
      </c>
      <c r="EM171" s="714">
        <f>IF(EK171=0,0,(EL171-EK171)/EK171*100)</f>
        <v>0</v>
      </c>
      <c r="EN171" s="820">
        <f>IF(EN173=0,0,(EN172*EN173+EN174*EN175*6)/EN173)</f>
        <v>0</v>
      </c>
      <c r="EO171" s="820">
        <f>IF(EO173=0,0,(EO172*EO173+EO174*EO175*6)/EO173)</f>
        <v>0</v>
      </c>
      <c r="EP171" s="714">
        <f>IF(EN171=0,0,(EO171-EN171)/EN171*100)</f>
        <v>0</v>
      </c>
      <c r="EQ171" s="820">
        <f>IF(EQ173=0,0,(EQ172*EQ173+EQ174*EQ175*6)/EQ173)</f>
        <v>0</v>
      </c>
      <c r="ER171" s="820">
        <f>IF(ER173=0,0,(ER172*ER173+ER174*ER175*6)/ER173)</f>
        <v>0</v>
      </c>
      <c r="ES171" s="714">
        <f>IF(EQ171=0,0,(ER171-EQ171)/EQ171*100)</f>
        <v>0</v>
      </c>
      <c r="ET171" s="820">
        <f>IF(ET173=0,0,(ET172*ET173+ET174*ET175*6)/ET173)</f>
        <v>0</v>
      </c>
      <c r="EU171" s="820">
        <f>IF(EU173=0,0,(EU172*EU173+EU174*EU175*6)/EU173)</f>
        <v>0</v>
      </c>
      <c r="EV171" s="714">
        <f>IF(ET171=0,0,(EU171-ET171)/ET171*100)</f>
        <v>0</v>
      </c>
      <c r="EW171" s="820">
        <f>IF(EW173=0,0,(EW172*EW173+EW174*EW175*6)/EW173)</f>
        <v>0</v>
      </c>
      <c r="EX171" s="820">
        <f>IF(EX173=0,0,(EX172*EX173+EX174*EX175*6)/EX173)</f>
        <v>0</v>
      </c>
      <c r="EY171" s="714">
        <f>IF(EW171=0,0,(EX171-EW171)/EW171*100)</f>
        <v>0</v>
      </c>
      <c r="EZ171" s="820">
        <f>IF(EZ173=0,0,(EZ172*EZ173+EZ174*EZ175*6)/EZ173)</f>
        <v>0</v>
      </c>
      <c r="FA171" s="820">
        <f>IF(FA173=0,0,(FA172*FA173+FA174*FA175*6)/FA173)</f>
        <v>0</v>
      </c>
      <c r="FB171" s="714">
        <f>IF(EZ171=0,0,(FA171-EZ171)/EZ171*100)</f>
        <v>0</v>
      </c>
      <c r="FC171" s="820">
        <f>IF(FC173=0,0,(FC172*FC173+FC174*FC175*6)/FC173)</f>
        <v>0</v>
      </c>
      <c r="FD171" s="820">
        <f>IF(FD173=0,0,(FD172*FD173+FD174*FD175*6)/FD173)</f>
        <v>0</v>
      </c>
      <c r="FE171" s="714">
        <f>IF(FC171=0,0,(FD171-FC171)/FC171*100)</f>
        <v>0</v>
      </c>
      <c r="FF171" s="820">
        <f>IF(FF173=0,0,(FF172*FF173+FF174*FF175*6)/FF173)</f>
        <v>0</v>
      </c>
      <c r="FG171" s="820">
        <f>IF(FG173=0,0,(FG172*FG173+FG174*FG175*6)/FG173)</f>
        <v>0</v>
      </c>
      <c r="FH171" s="714">
        <f>IF(FF171=0,0,(FG171-FF171)/FF171*100)</f>
        <v>0</v>
      </c>
      <c r="FI171" s="820">
        <f>IF(FI173=0,0,(FI172*FI173+FI174*FI175*6)/FI173)</f>
        <v>0</v>
      </c>
      <c r="FJ171" s="820">
        <f>IF(FJ173=0,0,(FJ172*FJ173+FJ174*FJ175*6)/FJ173)</f>
        <v>0</v>
      </c>
      <c r="FK171" s="714">
        <f>IF(FI171=0,0,(FJ171-FI171)/FI171*100)</f>
        <v>0</v>
      </c>
      <c r="FL171" s="820">
        <f>IF(FL173=0,0,(FL172*FL173+FL174*FL175*6)/FL173)</f>
        <v>0</v>
      </c>
      <c r="FM171" s="820">
        <f>IF(FM173=0,0,(FM172*FM173+FM174*FM175*6)/FM173)</f>
        <v>0</v>
      </c>
      <c r="FN171" s="714">
        <f>IF(FL171=0,0,(FM171-FL171)/FL171*100)</f>
        <v>0</v>
      </c>
      <c r="FO171" s="820">
        <f>IF(FO173=0,0,(FO172*FO173+FO174*FO175*6)/FO173)</f>
        <v>0</v>
      </c>
      <c r="FP171" s="820">
        <f>IF(FP173=0,0,(FP172*FP173+FP174*FP175*6)/FP173)</f>
        <v>0</v>
      </c>
      <c r="FQ171" s="714">
        <f>IF(FO171=0,0,(FP171-FO171)/FO171*100)</f>
        <v>0</v>
      </c>
      <c r="FR171" s="820">
        <f>IF(FR173=0,0,(FR172*FR173+FR174*FR175*6)/FR173)</f>
        <v>0</v>
      </c>
      <c r="FS171" s="820">
        <f>IF(FS173=0,0,(FS172*FS173+FS174*FS175*6)/FS173)</f>
        <v>0</v>
      </c>
      <c r="FT171" s="714">
        <f>IF(FR171=0,0,(FS171-FR171)/FR171*100)</f>
        <v>0</v>
      </c>
      <c r="FU171" s="820">
        <f>IF(FU173=0,0,(FU172*FU173+FU174*FU175*6)/FU173)</f>
        <v>0</v>
      </c>
      <c r="FV171" s="820">
        <f>IF(FV173=0,0,(FV172*FV173+FV174*FV175*6)/FV173)</f>
        <v>0</v>
      </c>
      <c r="FW171" s="714">
        <f>IF(FU171=0,0,(FV171-FU171)/FU171*100)</f>
        <v>0</v>
      </c>
      <c r="FZ171" s="691" t="s">
        <v>1698</v>
      </c>
    </row>
    <row r="172" spans="1:182" ht="14.25" hidden="1" customHeight="1" x14ac:dyDescent="0.15">
      <c r="A172" s="59"/>
      <c r="B172" s="613" t="b" cm="1">
        <f t="array" ref="B172">B171</f>
        <v>0</v>
      </c>
      <c r="C172" s="59"/>
      <c r="D172" s="59"/>
      <c r="E172" s="462">
        <v>15</v>
      </c>
      <c r="F172" s="3" t="str" cm="1">
        <f t="array" aca="1" ref="F172" ca="1">OFFSET(E172,-1,1)</f>
        <v>2</v>
      </c>
      <c r="G172" s="59"/>
      <c r="H172" s="59" t="s">
        <v>1574</v>
      </c>
      <c r="I172" s="59" t="s">
        <v>1657</v>
      </c>
      <c r="J172" s="59"/>
      <c r="K172" s="59"/>
      <c r="L172" s="59"/>
      <c r="M172" s="59"/>
      <c r="N172" s="59"/>
      <c r="O172" s="59"/>
      <c r="P172" s="59"/>
      <c r="Q172" s="59"/>
      <c r="R172" s="59"/>
      <c r="S172" s="59"/>
      <c r="T172" s="353" t="b" cm="1">
        <f t="array" aca="1" ref="T172" ca="1">T171</f>
        <v>1</v>
      </c>
      <c r="U172" s="59"/>
      <c r="V172" s="59"/>
      <c r="W172" s="59"/>
      <c r="X172" s="1022"/>
      <c r="Y172" s="59"/>
      <c r="Z172" s="966"/>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1644</v>
      </c>
      <c r="AD172" s="820"/>
      <c r="AE172" s="820"/>
      <c r="AF172" s="714">
        <f>IF(AD172=0,0,(AE172-AD172)/AD172*100)</f>
        <v>0</v>
      </c>
      <c r="AG172" s="820"/>
      <c r="AH172" s="820"/>
      <c r="AI172" s="714">
        <f>IF(AG172=0,0,(AH172-AG172)/AG172*100)</f>
        <v>0</v>
      </c>
      <c r="AJ172" s="820"/>
      <c r="AK172" s="820"/>
      <c r="AL172" s="714">
        <f>IF(AJ172=0,0,(AK172-AJ172)/AJ172*100)</f>
        <v>0</v>
      </c>
      <c r="AM172" s="820"/>
      <c r="AN172" s="820"/>
      <c r="AO172" s="714">
        <f>IF(AM172=0,0,(AN172-AM172)/AM172*100)</f>
        <v>0</v>
      </c>
      <c r="AP172" s="820"/>
      <c r="AQ172" s="820"/>
      <c r="AR172" s="714">
        <f>IF(AP172=0,0,(AQ172-AP172)/AP172*100)</f>
        <v>0</v>
      </c>
      <c r="AS172" s="820"/>
      <c r="AT172" s="820"/>
      <c r="AU172" s="714">
        <f>IF(AS172=0,0,(AT172-AS172)/AS172*100)</f>
        <v>0</v>
      </c>
      <c r="AV172" s="820"/>
      <c r="AW172" s="820"/>
      <c r="AX172" s="714">
        <f>IF(AV172=0,0,(AW172-AV172)/AV172*100)</f>
        <v>0</v>
      </c>
      <c r="AY172" s="820"/>
      <c r="AZ172" s="820"/>
      <c r="BA172" s="714">
        <f>IF(AY172=0,0,(AZ172-AY172)/AY172*100)</f>
        <v>0</v>
      </c>
      <c r="BB172" s="820"/>
      <c r="BC172" s="820"/>
      <c r="BD172" s="714">
        <f>IF(BB172=0,0,(BC172-BB172)/BB172*100)</f>
        <v>0</v>
      </c>
      <c r="BE172" s="820"/>
      <c r="BF172" s="820"/>
      <c r="BG172" s="714">
        <f>IF(BE172=0,0,(BF172-BE172)/BE172*100)</f>
        <v>0</v>
      </c>
      <c r="BH172" s="820"/>
      <c r="BI172" s="820"/>
      <c r="BJ172" s="714">
        <f>IF(BH172=0,0,(BI172-BH172)/BH172*100)</f>
        <v>0</v>
      </c>
      <c r="BK172" s="820"/>
      <c r="BL172" s="820"/>
      <c r="BM172" s="714">
        <f>IF(BK172=0,0,(BL172-BK172)/BK172*100)</f>
        <v>0</v>
      </c>
      <c r="BN172" s="820"/>
      <c r="BO172" s="820"/>
      <c r="BP172" s="714">
        <f>IF(BN172=0,0,(BO172-BN172)/BN172*100)</f>
        <v>0</v>
      </c>
      <c r="BQ172" s="820"/>
      <c r="BR172" s="820"/>
      <c r="BS172" s="714">
        <f>IF(BQ172=0,0,(BR172-BQ172)/BQ172*100)</f>
        <v>0</v>
      </c>
      <c r="BT172" s="820"/>
      <c r="BU172" s="820"/>
      <c r="BV172" s="714">
        <f>IF(BT172=0,0,(BU172-BT172)/BT172*100)</f>
        <v>0</v>
      </c>
      <c r="BW172" s="820"/>
      <c r="BX172" s="820"/>
      <c r="BY172" s="714">
        <f>IF(BW172=0,0,(BX172-BW172)/BW172*100)</f>
        <v>0</v>
      </c>
      <c r="BZ172" s="820"/>
      <c r="CA172" s="820"/>
      <c r="CB172" s="714">
        <f>IF(BZ172=0,0,(CA172-BZ172)/BZ172*100)</f>
        <v>0</v>
      </c>
      <c r="CC172" s="820"/>
      <c r="CD172" s="820"/>
      <c r="CE172" s="714">
        <f>IF(CC172=0,0,(CD172-CC172)/CC172*100)</f>
        <v>0</v>
      </c>
      <c r="CF172" s="820"/>
      <c r="CG172" s="820"/>
      <c r="CH172" s="714">
        <f>IF(CF172=0,0,(CG172-CF172)/CF172*100)</f>
        <v>0</v>
      </c>
      <c r="CI172" s="820"/>
      <c r="CJ172" s="820"/>
      <c r="CK172" s="714">
        <f>IF(CI172=0,0,(CJ172-CI172)/CI172*100)</f>
        <v>0</v>
      </c>
      <c r="CL172" s="820"/>
      <c r="CM172" s="820"/>
      <c r="CN172" s="714">
        <f>IF(CL172=0,0,(CM172-CL172)/CL172*100)</f>
        <v>0</v>
      </c>
      <c r="CO172" s="820"/>
      <c r="CP172" s="820"/>
      <c r="CQ172" s="714">
        <f>IF(CO172=0,0,(CP172-CO172)/CO172*100)</f>
        <v>0</v>
      </c>
      <c r="CR172" s="820"/>
      <c r="CS172" s="820"/>
      <c r="CT172" s="714">
        <f>IF(CR172=0,0,(CS172-CR172)/CR172*100)</f>
        <v>0</v>
      </c>
      <c r="CU172" s="820"/>
      <c r="CV172" s="820"/>
      <c r="CW172" s="714">
        <f>IF(CU172=0,0,(CV172-CU172)/CU172*100)</f>
        <v>0</v>
      </c>
      <c r="CX172" s="820"/>
      <c r="CY172" s="820"/>
      <c r="CZ172" s="714">
        <f>IF(CX172=0,0,(CY172-CX172)/CX172*100)</f>
        <v>0</v>
      </c>
      <c r="DA172" s="820"/>
      <c r="DB172" s="820"/>
      <c r="DC172" s="714">
        <f>IF(DA172=0,0,(DB172-DA172)/DA172*100)</f>
        <v>0</v>
      </c>
      <c r="DD172" s="820"/>
      <c r="DE172" s="820"/>
      <c r="DF172" s="714">
        <f>IF(DD172=0,0,(DE172-DD172)/DD172*100)</f>
        <v>0</v>
      </c>
      <c r="DG172" s="820"/>
      <c r="DH172" s="820"/>
      <c r="DI172" s="714">
        <f>IF(DG172=0,0,(DH172-DG172)/DG172*100)</f>
        <v>0</v>
      </c>
      <c r="DJ172" s="820"/>
      <c r="DK172" s="820"/>
      <c r="DL172" s="714">
        <f>IF(DJ172=0,0,(DK172-DJ172)/DJ172*100)</f>
        <v>0</v>
      </c>
      <c r="DM172" s="820"/>
      <c r="DN172" s="820"/>
      <c r="DO172" s="714">
        <f>IF(DM172=0,0,(DN172-DM172)/DM172*100)</f>
        <v>0</v>
      </c>
      <c r="DP172" s="820"/>
      <c r="DQ172" s="820"/>
      <c r="DR172" s="714">
        <f>IF(DP172=0,0,(DQ172-DP172)/DP172*100)</f>
        <v>0</v>
      </c>
      <c r="DS172" s="820"/>
      <c r="DT172" s="820"/>
      <c r="DU172" s="714">
        <f>IF(DS172=0,0,(DT172-DS172)/DS172*100)</f>
        <v>0</v>
      </c>
      <c r="DV172" s="820"/>
      <c r="DW172" s="820"/>
      <c r="DX172" s="714">
        <f>IF(DV172=0,0,(DW172-DV172)/DV172*100)</f>
        <v>0</v>
      </c>
      <c r="DY172" s="820"/>
      <c r="DZ172" s="820"/>
      <c r="EA172" s="714">
        <f>IF(DY172=0,0,(DZ172-DY172)/DY172*100)</f>
        <v>0</v>
      </c>
      <c r="EB172" s="820"/>
      <c r="EC172" s="820"/>
      <c r="ED172" s="714">
        <f>IF(EB172=0,0,(EC172-EB172)/EB172*100)</f>
        <v>0</v>
      </c>
      <c r="EE172" s="820"/>
      <c r="EF172" s="820"/>
      <c r="EG172" s="714">
        <f>IF(EE172=0,0,(EF172-EE172)/EE172*100)</f>
        <v>0</v>
      </c>
      <c r="EH172" s="820"/>
      <c r="EI172" s="820"/>
      <c r="EJ172" s="714">
        <f>IF(EH172=0,0,(EI172-EH172)/EH172*100)</f>
        <v>0</v>
      </c>
      <c r="EK172" s="820"/>
      <c r="EL172" s="820"/>
      <c r="EM172" s="714">
        <f>IF(EK172=0,0,(EL172-EK172)/EK172*100)</f>
        <v>0</v>
      </c>
      <c r="EN172" s="820"/>
      <c r="EO172" s="820"/>
      <c r="EP172" s="714">
        <f>IF(EN172=0,0,(EO172-EN172)/EN172*100)</f>
        <v>0</v>
      </c>
      <c r="EQ172" s="820"/>
      <c r="ER172" s="820"/>
      <c r="ES172" s="714">
        <f>IF(EQ172=0,0,(ER172-EQ172)/EQ172*100)</f>
        <v>0</v>
      </c>
      <c r="ET172" s="820"/>
      <c r="EU172" s="820"/>
      <c r="EV172" s="714">
        <f>IF(ET172=0,0,(EU172-ET172)/ET172*100)</f>
        <v>0</v>
      </c>
      <c r="EW172" s="820"/>
      <c r="EX172" s="820"/>
      <c r="EY172" s="714">
        <f>IF(EW172=0,0,(EX172-EW172)/EW172*100)</f>
        <v>0</v>
      </c>
      <c r="EZ172" s="820"/>
      <c r="FA172" s="820"/>
      <c r="FB172" s="714">
        <f>IF(EZ172=0,0,(FA172-EZ172)/EZ172*100)</f>
        <v>0</v>
      </c>
      <c r="FC172" s="820"/>
      <c r="FD172" s="820"/>
      <c r="FE172" s="714">
        <f>IF(FC172=0,0,(FD172-FC172)/FC172*100)</f>
        <v>0</v>
      </c>
      <c r="FF172" s="820"/>
      <c r="FG172" s="820"/>
      <c r="FH172" s="714">
        <f>IF(FF172=0,0,(FG172-FF172)/FF172*100)</f>
        <v>0</v>
      </c>
      <c r="FI172" s="820"/>
      <c r="FJ172" s="820"/>
      <c r="FK172" s="714">
        <f>IF(FI172=0,0,(FJ172-FI172)/FI172*100)</f>
        <v>0</v>
      </c>
      <c r="FL172" s="820"/>
      <c r="FM172" s="820"/>
      <c r="FN172" s="714">
        <f>IF(FL172=0,0,(FM172-FL172)/FL172*100)</f>
        <v>0</v>
      </c>
      <c r="FO172" s="820"/>
      <c r="FP172" s="820"/>
      <c r="FQ172" s="714">
        <f>IF(FO172=0,0,(FP172-FO172)/FO172*100)</f>
        <v>0</v>
      </c>
      <c r="FR172" s="820"/>
      <c r="FS172" s="820"/>
      <c r="FT172" s="714">
        <f>IF(FR172=0,0,(FS172-FR172)/FR172*100)</f>
        <v>0</v>
      </c>
      <c r="FU172" s="820"/>
      <c r="FV172" s="820"/>
      <c r="FW172" s="714">
        <f>IF(FU172=0,0,(FV172-FU172)/FU172*100)</f>
        <v>0</v>
      </c>
      <c r="FZ172" s="691" t="s">
        <v>1699</v>
      </c>
    </row>
    <row r="173" spans="1:182" ht="14.25" hidden="1" customHeight="1" x14ac:dyDescent="0.15">
      <c r="A173" s="59"/>
      <c r="B173" s="613" t="b" cm="1">
        <f t="array" ref="B173">B172</f>
        <v>0</v>
      </c>
      <c r="C173" s="59"/>
      <c r="D173" s="59"/>
      <c r="E173" s="462">
        <v>15</v>
      </c>
      <c r="F173" s="3" t="str" cm="1">
        <f t="array" aca="1" ref="F173" ca="1">OFFSET(E173,-1,1)</f>
        <v>2</v>
      </c>
      <c r="G173" s="25" t="s">
        <v>1700</v>
      </c>
      <c r="H173" s="59" t="s">
        <v>1681</v>
      </c>
      <c r="I173" s="59" t="s">
        <v>1657</v>
      </c>
      <c r="J173" s="59"/>
      <c r="K173" s="59"/>
      <c r="L173" s="59"/>
      <c r="M173" s="59"/>
      <c r="N173" s="59"/>
      <c r="O173" s="59"/>
      <c r="P173" s="59"/>
      <c r="Q173" s="59"/>
      <c r="R173" s="59"/>
      <c r="S173" s="59"/>
      <c r="T173" s="353" t="b" cm="1">
        <f t="array" aca="1" ref="T173" ca="1">T172</f>
        <v>1</v>
      </c>
      <c r="U173" s="59"/>
      <c r="V173" s="59"/>
      <c r="W173" s="59"/>
      <c r="X173" s="1022"/>
      <c r="Y173" s="59"/>
      <c r="Z173" s="966"/>
      <c r="AA173" s="59"/>
      <c r="AB173" s="105" t="str">
        <f>"объём "&amp;IF(Q141="Водоснабжение","потребления холодной воды","водоотведения")</f>
        <v>объём водоотведения</v>
      </c>
      <c r="AC173" s="12" t="s">
        <v>558</v>
      </c>
      <c r="AD173" s="836">
        <f ca="1">IF(AND(method_reg="Метод индексации",god&lt;&gt;first_year),SUMIFS(INDEX('Калькуляция (МИ корр)'!$AJ$25:$BC$603,,MATCH(AD$8,'Калькуляция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(МИ)'!$AJ$25:$BC$603,,MATCH(AD$8,'Калькуляция (МИ)'!$AJ$8:$BC$8,0)),'Калькуляция (МИ)'!$F$25:$F$603,$F173,'Калькуляция (МИ)'!$G$25:$G$603,$G173))))</f>
        <v>0</v>
      </c>
      <c r="AE173" s="836">
        <f ca="1">IF(AND(method_reg="Метод индексации",god&lt;&gt;first_year),SUMIFS(INDEX('Калькуляция (МИ корр)'!$AJ$25:$BC$603,,MATCH(AE$8,'Калькуляция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(МИ)'!$AJ$25:$BC$603,,MATCH(AE$8,'Калькуляция (МИ)'!$AJ$8:$BC$8,0)),'Калькуляция (МИ)'!$F$25:$F$603,$F173,'Калькуляция (МИ)'!$G$25:$G$603,$G173))))</f>
        <v>0</v>
      </c>
      <c r="AF173" s="715">
        <f ca="1">IF(AD173=0,0,(AE173-AD173)/AD173*100)</f>
        <v>0</v>
      </c>
      <c r="AG173" s="836">
        <f ca="1">IF(AND(method_reg="Метод индексации",god&lt;&gt;first_year),SUMIFS(INDEX('Калькуляция (МИ корр)'!$AJ$25:$BC$603,,MATCH(AG$8,'Калькуляция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(МИ)'!$AJ$25:$BC$603,,MATCH(AG$8,'Калькуляция (МИ)'!$AJ$8:$BC$8,0)),'Калькуляция (МИ)'!$F$25:$F$603,$F173,'Калькуляция (МИ)'!$G$25:$G$603,$G173))))</f>
        <v>0</v>
      </c>
      <c r="AH173" s="836">
        <f ca="1">IF(AND(method_reg="Метод индексации",god&lt;&gt;first_year),SUMIFS(INDEX('Калькуляция (МИ корр)'!$AJ$25:$BC$603,,MATCH(AH$8,'Калькуляция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(МИ)'!$AJ$25:$BC$603,,MATCH(AH$8,'Калькуляция (МИ)'!$AJ$8:$BC$8,0)),'Калькуляция (МИ)'!$F$25:$F$603,$F173,'Калькуляция (МИ)'!$G$25:$G$603,$G173))))</f>
        <v>0</v>
      </c>
      <c r="AI173" s="715">
        <f ca="1">IF(AG173=0,0,(AH173-AG173)/AG173*100)</f>
        <v>0</v>
      </c>
      <c r="AJ173" s="836">
        <f ca="1">IF(AND(method_reg="Метод индексации",god&lt;&gt;first_year),SUMIFS(INDEX('Калькуляция (МИ корр)'!$AJ$25:$BC$603,,MATCH(AJ$8,'Калькуляция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(МИ)'!$AJ$25:$BC$603,,MATCH(AJ$8,'Калькуляция (МИ)'!$AJ$8:$BC$8,0)),'Калькуляция (МИ)'!$F$25:$F$603,$F173,'Калькуляция (МИ)'!$G$25:$G$603,$G173))))</f>
        <v>0</v>
      </c>
      <c r="AK173" s="836">
        <f ca="1">IF(AND(method_reg="Метод индексации",god&lt;&gt;first_year),SUMIFS(INDEX('Калькуляция (МИ корр)'!$AJ$25:$BC$603,,MATCH(AK$8,'Калькуляция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(МИ)'!$AJ$25:$BC$603,,MATCH(AK$8,'Калькуляция (МИ)'!$AJ$8:$BC$8,0)),'Калькуляция (МИ)'!$F$25:$F$603,$F173,'Калькуляция (МИ)'!$G$25:$G$603,$G173))))</f>
        <v>0</v>
      </c>
      <c r="AL173" s="715">
        <f ca="1">IF(AJ173=0,0,(AK173-AJ173)/AJ173*100)</f>
        <v>0</v>
      </c>
      <c r="AM173" s="836">
        <f ca="1">IF(AND(method_reg="Метод индексации",god&lt;&gt;first_year),SUMIFS(INDEX('Калькуляция (МИ корр)'!$AJ$25:$BC$603,,MATCH(AM$8,'Калькуляция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(МИ)'!$AJ$25:$BC$603,,MATCH(AM$8,'Калькуляция (МИ)'!$AJ$8:$BC$8,0)),'Калькуляция (МИ)'!$F$25:$F$603,$F173,'Калькуляция (МИ)'!$G$25:$G$603,$G173))))</f>
        <v>0</v>
      </c>
      <c r="AN173" s="836">
        <f ca="1">IF(AND(method_reg="Метод индексации",god&lt;&gt;first_year),SUMIFS(INDEX('Калькуляция (МИ корр)'!$AJ$25:$BC$603,,MATCH(AN$8,'Калькуляция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(МИ)'!$AJ$25:$BC$603,,MATCH(AN$8,'Калькуляция (МИ)'!$AJ$8:$BC$8,0)),'Калькуляция (МИ)'!$F$25:$F$603,$F173,'Калькуляция (МИ)'!$G$25:$G$603,$G173))))</f>
        <v>0</v>
      </c>
      <c r="AO173" s="715">
        <f ca="1">IF(AM173=0,0,(AN173-AM173)/AM173*100)</f>
        <v>0</v>
      </c>
      <c r="AP173" s="836">
        <f ca="1">IF(AND(method_reg="Метод индексации",god&lt;&gt;first_year),SUMIFS(INDEX('Калькуляция (МИ корр)'!$AJ$25:$BC$603,,MATCH(AP$8,'Калькуляция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(МИ)'!$AJ$25:$BC$603,,MATCH(AP$8,'Калькуляция (МИ)'!$AJ$8:$BC$8,0)),'Калькуляция (МИ)'!$F$25:$F$603,$F173,'Калькуляция (МИ)'!$G$25:$G$603,$G173))))</f>
        <v>0</v>
      </c>
      <c r="AQ173" s="836">
        <f ca="1">IF(AND(method_reg="Метод индексации",god&lt;&gt;first_year),SUMIFS(INDEX('Калькуляция (МИ корр)'!$AJ$25:$BC$603,,MATCH(AQ$8,'Калькуляция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(МИ)'!$AJ$25:$BC$603,,MATCH(AQ$8,'Калькуляция (МИ)'!$AJ$8:$BC$8,0)),'Калькуляция (МИ)'!$F$25:$F$603,$F173,'Калькуляция (МИ)'!$G$25:$G$603,$G173))))</f>
        <v>0</v>
      </c>
      <c r="AR173" s="715">
        <f ca="1">IF(AP173=0,0,(AQ173-AP173)/AP173*100)</f>
        <v>0</v>
      </c>
      <c r="AS173" s="836">
        <f ca="1">IF(AND(method_reg="Метод индексации",god&lt;&gt;first_year),SUMIFS(INDEX('Калькуляция (МИ корр)'!$AJ$25:$BC$603,,MATCH(AS$8,'Калькуляция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(МИ)'!$AJ$25:$BC$603,,MATCH(AS$8,'Калькуляция (МИ)'!$AJ$8:$BC$8,0)),'Калькуляция (МИ)'!$F$25:$F$603,$F173,'Калькуляция (МИ)'!$G$25:$G$603,$G173))))</f>
        <v>0</v>
      </c>
      <c r="AT173" s="836">
        <f ca="1">IF(AND(method_reg="Метод индексации",god&lt;&gt;first_year),SUMIFS(INDEX('Калькуляция (МИ корр)'!$AJ$25:$BC$603,,MATCH(AT$8,'Калькуляция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(МИ)'!$AJ$25:$BC$603,,MATCH(AT$8,'Калькуляция (МИ)'!$AJ$8:$BC$8,0)),'Калькуляция (МИ)'!$F$25:$F$603,$F173,'Калькуляция (МИ)'!$G$25:$G$603,$G173))))</f>
        <v>0</v>
      </c>
      <c r="AU173" s="715">
        <f ca="1">IF(AS173=0,0,(AT173-AS173)/AS173*100)</f>
        <v>0</v>
      </c>
      <c r="AV173" s="836">
        <f ca="1">IF(AND(method_reg="Метод индексации",god&lt;&gt;first_year),SUMIFS(INDEX('Калькуляция (МИ корр)'!$AJ$25:$BC$603,,MATCH(AV$8,'Калькуляция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(МИ)'!$AJ$25:$BC$603,,MATCH(AV$8,'Калькуляция (МИ)'!$AJ$8:$BC$8,0)),'Калькуляция (МИ)'!$F$25:$F$603,$F173,'Калькуляция (МИ)'!$G$25:$G$603,$G173))))</f>
        <v>0</v>
      </c>
      <c r="AW173" s="836">
        <f ca="1">IF(AND(method_reg="Метод индексации",god&lt;&gt;first_year),SUMIFS(INDEX('Калькуляция (МИ корр)'!$AJ$25:$BC$603,,MATCH(AW$8,'Калькуляция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(МИ)'!$AJ$25:$BC$603,,MATCH(AW$8,'Калькуляция (МИ)'!$AJ$8:$BC$8,0)),'Калькуляция (МИ)'!$F$25:$F$603,$F173,'Калькуляция (МИ)'!$G$25:$G$603,$G173))))</f>
        <v>0</v>
      </c>
      <c r="AX173" s="715">
        <f ca="1">IF(AV173=0,0,(AW173-AV173)/AV173*100)</f>
        <v>0</v>
      </c>
      <c r="AY173" s="836">
        <f ca="1">IF(AND(method_reg="Метод индексации",god&lt;&gt;first_year),SUMIFS(INDEX('Калькуляция (МИ корр)'!$AJ$25:$BC$603,,MATCH(AY$8,'Калькуляция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(МИ)'!$AJ$25:$BC$603,,MATCH(AY$8,'Калькуляция (МИ)'!$AJ$8:$BC$8,0)),'Калькуляция (МИ)'!$F$25:$F$603,$F173,'Калькуляция (МИ)'!$G$25:$G$603,$G173))))</f>
        <v>0</v>
      </c>
      <c r="AZ173" s="836">
        <f ca="1">IF(AND(method_reg="Метод индексации",god&lt;&gt;first_year),SUMIFS(INDEX('Калькуляция (МИ корр)'!$AJ$25:$BC$603,,MATCH(AZ$8,'Калькуляция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(МИ)'!$AJ$25:$BC$603,,MATCH(AZ$8,'Калькуляция (МИ)'!$AJ$8:$BC$8,0)),'Калькуляция (МИ)'!$F$25:$F$603,$F173,'Калькуляция (МИ)'!$G$25:$G$603,$G173))))</f>
        <v>0</v>
      </c>
      <c r="BA173" s="715">
        <f ca="1">IF(AY173=0,0,(AZ173-AY173)/AY173*100)</f>
        <v>0</v>
      </c>
      <c r="BB173" s="836">
        <f ca="1">IF(AND(method_reg="Метод индексации",god&lt;&gt;first_year),SUMIFS(INDEX('Калькуляция (МИ корр)'!$AJ$25:$BC$603,,MATCH(BB$8,'Калькуляция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(МИ)'!$AJ$25:$BC$603,,MATCH(BB$8,'Калькуляция (МИ)'!$AJ$8:$BC$8,0)),'Калькуляция (МИ)'!$F$25:$F$603,$F173,'Калькуляция (МИ)'!$G$25:$G$603,$G173))))</f>
        <v>0</v>
      </c>
      <c r="BC173" s="836">
        <f ca="1">IF(AND(method_reg="Метод индексации",god&lt;&gt;first_year),SUMIFS(INDEX('Калькуляция (МИ корр)'!$AJ$25:$BC$603,,MATCH(BC$8,'Калькуляция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(МИ)'!$AJ$25:$BC$603,,MATCH(BC$8,'Калькуляция (МИ)'!$AJ$8:$BC$8,0)),'Калькуляция (МИ)'!$F$25:$F$603,$F173,'Калькуляция (МИ)'!$G$25:$G$603,$G173))))</f>
        <v>0</v>
      </c>
      <c r="BD173" s="715">
        <f ca="1">IF(BB173=0,0,(BC173-BB173)/BB173*100)</f>
        <v>0</v>
      </c>
      <c r="BE173" s="836">
        <f ca="1">IF(AND(method_reg="Метод индексации",god&lt;&gt;first_year),SUMIFS(INDEX('Калькуляция (МИ корр)'!$AJ$25:$BC$603,,MATCH(BE$8,'Калькуляция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(МИ)'!$AJ$25:$BC$603,,MATCH(BE$8,'Калькуляция (МИ)'!$AJ$8:$BC$8,0)),'Калькуляция (МИ)'!$F$25:$F$603,$F173,'Калькуляция (МИ)'!$G$25:$G$603,$G173))))</f>
        <v>0</v>
      </c>
      <c r="BF173" s="836">
        <f ca="1">IF(AND(method_reg="Метод индексации",god&lt;&gt;first_year),SUMIFS(INDEX('Калькуляция (МИ корр)'!$AJ$25:$BC$603,,MATCH(BF$8,'Калькуляция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(МИ)'!$AJ$25:$BC$603,,MATCH(BF$8,'Калькуляция (МИ)'!$AJ$8:$BC$8,0)),'Калькуляция (МИ)'!$F$25:$F$603,$F173,'Калькуляция (МИ)'!$G$25:$G$603,$G173))))</f>
        <v>0</v>
      </c>
      <c r="BG173" s="715">
        <f ca="1">IF(BE173=0,0,(BF173-BE173)/BE173*100)</f>
        <v>0</v>
      </c>
      <c r="BH173" s="836"/>
      <c r="BI173" s="836"/>
      <c r="BJ173" s="715">
        <f>IF(BH173=0,0,(BI173-BH173)/BH173*100)</f>
        <v>0</v>
      </c>
      <c r="BK173" s="836"/>
      <c r="BL173" s="836"/>
      <c r="BM173" s="715">
        <f>IF(BK173=0,0,(BL173-BK173)/BK173*100)</f>
        <v>0</v>
      </c>
      <c r="BN173" s="836"/>
      <c r="BO173" s="836"/>
      <c r="BP173" s="715">
        <f>IF(BN173=0,0,(BO173-BN173)/BN173*100)</f>
        <v>0</v>
      </c>
      <c r="BQ173" s="836"/>
      <c r="BR173" s="836"/>
      <c r="BS173" s="715">
        <f>IF(BQ173=0,0,(BR173-BQ173)/BQ173*100)</f>
        <v>0</v>
      </c>
      <c r="BT173" s="836"/>
      <c r="BU173" s="836"/>
      <c r="BV173" s="715">
        <f>IF(BT173=0,0,(BU173-BT173)/BT173*100)</f>
        <v>0</v>
      </c>
      <c r="BW173" s="836"/>
      <c r="BX173" s="836"/>
      <c r="BY173" s="715">
        <f>IF(BW173=0,0,(BX173-BW173)/BW173*100)</f>
        <v>0</v>
      </c>
      <c r="BZ173" s="836"/>
      <c r="CA173" s="836"/>
      <c r="CB173" s="715">
        <f>IF(BZ173=0,0,(CA173-BZ173)/BZ173*100)</f>
        <v>0</v>
      </c>
      <c r="CC173" s="836"/>
      <c r="CD173" s="836"/>
      <c r="CE173" s="715">
        <f>IF(CC173=0,0,(CD173-CC173)/CC173*100)</f>
        <v>0</v>
      </c>
      <c r="CF173" s="836"/>
      <c r="CG173" s="836"/>
      <c r="CH173" s="715">
        <f>IF(CF173=0,0,(CG173-CF173)/CF173*100)</f>
        <v>0</v>
      </c>
      <c r="CI173" s="836"/>
      <c r="CJ173" s="836"/>
      <c r="CK173" s="715">
        <f>IF(CI173=0,0,(CJ173-CI173)/CI173*100)</f>
        <v>0</v>
      </c>
      <c r="CL173" s="836"/>
      <c r="CM173" s="836"/>
      <c r="CN173" s="715">
        <f>IF(CL173=0,0,(CM173-CL173)/CL173*100)</f>
        <v>0</v>
      </c>
      <c r="CO173" s="836"/>
      <c r="CP173" s="836"/>
      <c r="CQ173" s="715">
        <f>IF(CO173=0,0,(CP173-CO173)/CO173*100)</f>
        <v>0</v>
      </c>
      <c r="CR173" s="836"/>
      <c r="CS173" s="836"/>
      <c r="CT173" s="715">
        <f>IF(CR173=0,0,(CS173-CR173)/CR173*100)</f>
        <v>0</v>
      </c>
      <c r="CU173" s="836"/>
      <c r="CV173" s="836"/>
      <c r="CW173" s="715">
        <f>IF(CU173=0,0,(CV173-CU173)/CU173*100)</f>
        <v>0</v>
      </c>
      <c r="CX173" s="836"/>
      <c r="CY173" s="836"/>
      <c r="CZ173" s="715">
        <f>IF(CX173=0,0,(CY173-CX173)/CX173*100)</f>
        <v>0</v>
      </c>
      <c r="DA173" s="836"/>
      <c r="DB173" s="836"/>
      <c r="DC173" s="715">
        <f>IF(DA173=0,0,(DB173-DA173)/DA173*100)</f>
        <v>0</v>
      </c>
      <c r="DD173" s="836"/>
      <c r="DE173" s="836"/>
      <c r="DF173" s="715">
        <f>IF(DD173=0,0,(DE173-DD173)/DD173*100)</f>
        <v>0</v>
      </c>
      <c r="DG173" s="836"/>
      <c r="DH173" s="836"/>
      <c r="DI173" s="715">
        <f>IF(DG173=0,0,(DH173-DG173)/DG173*100)</f>
        <v>0</v>
      </c>
      <c r="DJ173" s="836"/>
      <c r="DK173" s="836"/>
      <c r="DL173" s="715">
        <f>IF(DJ173=0,0,(DK173-DJ173)/DJ173*100)</f>
        <v>0</v>
      </c>
      <c r="DM173" s="836"/>
      <c r="DN173" s="836"/>
      <c r="DO173" s="715">
        <f>IF(DM173=0,0,(DN173-DM173)/DM173*100)</f>
        <v>0</v>
      </c>
      <c r="DP173" s="836"/>
      <c r="DQ173" s="836"/>
      <c r="DR173" s="715">
        <f>IF(DP173=0,0,(DQ173-DP173)/DP173*100)</f>
        <v>0</v>
      </c>
      <c r="DS173" s="836"/>
      <c r="DT173" s="836"/>
      <c r="DU173" s="715">
        <f>IF(DS173=0,0,(DT173-DS173)/DS173*100)</f>
        <v>0</v>
      </c>
      <c r="DV173" s="836"/>
      <c r="DW173" s="836"/>
      <c r="DX173" s="715">
        <f>IF(DV173=0,0,(DW173-DV173)/DV173*100)</f>
        <v>0</v>
      </c>
      <c r="DY173" s="836"/>
      <c r="DZ173" s="836"/>
      <c r="EA173" s="715">
        <f>IF(DY173=0,0,(DZ173-DY173)/DY173*100)</f>
        <v>0</v>
      </c>
      <c r="EB173" s="836"/>
      <c r="EC173" s="836"/>
      <c r="ED173" s="715">
        <f>IF(EB173=0,0,(EC173-EB173)/EB173*100)</f>
        <v>0</v>
      </c>
      <c r="EE173" s="836"/>
      <c r="EF173" s="836"/>
      <c r="EG173" s="715">
        <f>IF(EE173=0,0,(EF173-EE173)/EE173*100)</f>
        <v>0</v>
      </c>
      <c r="EH173" s="836"/>
      <c r="EI173" s="836"/>
      <c r="EJ173" s="715">
        <f>IF(EH173=0,0,(EI173-EH173)/EH173*100)</f>
        <v>0</v>
      </c>
      <c r="EK173" s="836"/>
      <c r="EL173" s="836"/>
      <c r="EM173" s="715">
        <f>IF(EK173=0,0,(EL173-EK173)/EK173*100)</f>
        <v>0</v>
      </c>
      <c r="EN173" s="836"/>
      <c r="EO173" s="836"/>
      <c r="EP173" s="715">
        <f>IF(EN173=0,0,(EO173-EN173)/EN173*100)</f>
        <v>0</v>
      </c>
      <c r="EQ173" s="836"/>
      <c r="ER173" s="836"/>
      <c r="ES173" s="715">
        <f>IF(EQ173=0,0,(ER173-EQ173)/EQ173*100)</f>
        <v>0</v>
      </c>
      <c r="ET173" s="836"/>
      <c r="EU173" s="836"/>
      <c r="EV173" s="715">
        <f>IF(ET173=0,0,(EU173-ET173)/ET173*100)</f>
        <v>0</v>
      </c>
      <c r="EW173" s="836"/>
      <c r="EX173" s="836"/>
      <c r="EY173" s="715">
        <f>IF(EW173=0,0,(EX173-EW173)/EW173*100)</f>
        <v>0</v>
      </c>
      <c r="EZ173" s="836"/>
      <c r="FA173" s="836"/>
      <c r="FB173" s="715">
        <f>IF(EZ173=0,0,(FA173-EZ173)/EZ173*100)</f>
        <v>0</v>
      </c>
      <c r="FC173" s="836"/>
      <c r="FD173" s="836"/>
      <c r="FE173" s="715">
        <f>IF(FC173=0,0,(FD173-FC173)/FC173*100)</f>
        <v>0</v>
      </c>
      <c r="FF173" s="836"/>
      <c r="FG173" s="836"/>
      <c r="FH173" s="715">
        <f>IF(FF173=0,0,(FG173-FF173)/FF173*100)</f>
        <v>0</v>
      </c>
      <c r="FI173" s="836"/>
      <c r="FJ173" s="836"/>
      <c r="FK173" s="715">
        <f>IF(FI173=0,0,(FJ173-FI173)/FI173*100)</f>
        <v>0</v>
      </c>
      <c r="FL173" s="836"/>
      <c r="FM173" s="836"/>
      <c r="FN173" s="715">
        <f>IF(FL173=0,0,(FM173-FL173)/FL173*100)</f>
        <v>0</v>
      </c>
      <c r="FO173" s="836"/>
      <c r="FP173" s="836"/>
      <c r="FQ173" s="715">
        <f>IF(FO173=0,0,(FP173-FO173)/FO173*100)</f>
        <v>0</v>
      </c>
      <c r="FR173" s="836"/>
      <c r="FS173" s="836"/>
      <c r="FT173" s="715">
        <f>IF(FR173=0,0,(FS173-FR173)/FR173*100)</f>
        <v>0</v>
      </c>
      <c r="FU173" s="836"/>
      <c r="FV173" s="836"/>
      <c r="FW173" s="715">
        <f>IF(FU173=0,0,(FV173-FU173)/FU173*100)</f>
        <v>0</v>
      </c>
      <c r="FZ173" s="691" t="s">
        <v>1701</v>
      </c>
    </row>
    <row r="174" spans="1:182" ht="21.75" hidden="1" customHeight="1" x14ac:dyDescent="0.15">
      <c r="A174" s="59"/>
      <c r="B174" s="613" t="b" cm="1">
        <f t="array" ref="B174">B173</f>
        <v>0</v>
      </c>
      <c r="C174" s="59"/>
      <c r="D174" s="59"/>
      <c r="E174" s="462">
        <v>22.5</v>
      </c>
      <c r="F174" s="3" t="str" cm="1">
        <f t="array" aca="1" ref="F174" ca="1">OFFSET(E174,-1,1)</f>
        <v>2</v>
      </c>
      <c r="G174" s="59"/>
      <c r="H174" s="59" t="s">
        <v>1683</v>
      </c>
      <c r="I174" s="59" t="s">
        <v>1657</v>
      </c>
      <c r="J174" s="59"/>
      <c r="K174" s="59"/>
      <c r="L174" s="59"/>
      <c r="M174" s="59"/>
      <c r="N174" s="59"/>
      <c r="O174" s="59"/>
      <c r="P174" s="59"/>
      <c r="Q174" s="59"/>
      <c r="R174" s="59"/>
      <c r="S174" s="59"/>
      <c r="T174" s="353" t="b" cm="1">
        <f t="array" aca="1" ref="T174" ca="1">T173</f>
        <v>1</v>
      </c>
      <c r="U174" s="59"/>
      <c r="V174" s="59"/>
      <c r="W174" s="59"/>
      <c r="X174" s="1022"/>
      <c r="Y174" s="59"/>
      <c r="Z174" s="966"/>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1684</v>
      </c>
      <c r="AD174" s="820"/>
      <c r="AE174" s="820"/>
      <c r="AF174" s="714">
        <f>IF(AD174=0,0,(AE174-AD174)/AD174*100)</f>
        <v>0</v>
      </c>
      <c r="AG174" s="820"/>
      <c r="AH174" s="820"/>
      <c r="AI174" s="714">
        <f>IF(AG174=0,0,(AH174-AG174)/AG174*100)</f>
        <v>0</v>
      </c>
      <c r="AJ174" s="820"/>
      <c r="AK174" s="820"/>
      <c r="AL174" s="714">
        <f>IF(AJ174=0,0,(AK174-AJ174)/AJ174*100)</f>
        <v>0</v>
      </c>
      <c r="AM174" s="820"/>
      <c r="AN174" s="820"/>
      <c r="AO174" s="714">
        <f>IF(AM174=0,0,(AN174-AM174)/AM174*100)</f>
        <v>0</v>
      </c>
      <c r="AP174" s="820"/>
      <c r="AQ174" s="820"/>
      <c r="AR174" s="714">
        <f>IF(AP174=0,0,(AQ174-AP174)/AP174*100)</f>
        <v>0</v>
      </c>
      <c r="AS174" s="820"/>
      <c r="AT174" s="820"/>
      <c r="AU174" s="714">
        <f>IF(AS174=0,0,(AT174-AS174)/AS174*100)</f>
        <v>0</v>
      </c>
      <c r="AV174" s="820"/>
      <c r="AW174" s="820"/>
      <c r="AX174" s="714">
        <f>IF(AV174=0,0,(AW174-AV174)/AV174*100)</f>
        <v>0</v>
      </c>
      <c r="AY174" s="820"/>
      <c r="AZ174" s="820"/>
      <c r="BA174" s="714">
        <f>IF(AY174=0,0,(AZ174-AY174)/AY174*100)</f>
        <v>0</v>
      </c>
      <c r="BB174" s="820"/>
      <c r="BC174" s="820"/>
      <c r="BD174" s="714">
        <f>IF(BB174=0,0,(BC174-BB174)/BB174*100)</f>
        <v>0</v>
      </c>
      <c r="BE174" s="820"/>
      <c r="BF174" s="820"/>
      <c r="BG174" s="714">
        <f>IF(BE174=0,0,(BF174-BE174)/BE174*100)</f>
        <v>0</v>
      </c>
      <c r="BH174" s="820"/>
      <c r="BI174" s="820"/>
      <c r="BJ174" s="714">
        <f>IF(BH174=0,0,(BI174-BH174)/BH174*100)</f>
        <v>0</v>
      </c>
      <c r="BK174" s="820"/>
      <c r="BL174" s="820"/>
      <c r="BM174" s="714">
        <f>IF(BK174=0,0,(BL174-BK174)/BK174*100)</f>
        <v>0</v>
      </c>
      <c r="BN174" s="820"/>
      <c r="BO174" s="820"/>
      <c r="BP174" s="714">
        <f>IF(BN174=0,0,(BO174-BN174)/BN174*100)</f>
        <v>0</v>
      </c>
      <c r="BQ174" s="820"/>
      <c r="BR174" s="820"/>
      <c r="BS174" s="714">
        <f>IF(BQ174=0,0,(BR174-BQ174)/BQ174*100)</f>
        <v>0</v>
      </c>
      <c r="BT174" s="820"/>
      <c r="BU174" s="820"/>
      <c r="BV174" s="714">
        <f>IF(BT174=0,0,(BU174-BT174)/BT174*100)</f>
        <v>0</v>
      </c>
      <c r="BW174" s="820"/>
      <c r="BX174" s="820"/>
      <c r="BY174" s="714">
        <f>IF(BW174=0,0,(BX174-BW174)/BW174*100)</f>
        <v>0</v>
      </c>
      <c r="BZ174" s="820"/>
      <c r="CA174" s="820"/>
      <c r="CB174" s="714">
        <f>IF(BZ174=0,0,(CA174-BZ174)/BZ174*100)</f>
        <v>0</v>
      </c>
      <c r="CC174" s="820"/>
      <c r="CD174" s="820"/>
      <c r="CE174" s="714">
        <f>IF(CC174=0,0,(CD174-CC174)/CC174*100)</f>
        <v>0</v>
      </c>
      <c r="CF174" s="820"/>
      <c r="CG174" s="820"/>
      <c r="CH174" s="714">
        <f>IF(CF174=0,0,(CG174-CF174)/CF174*100)</f>
        <v>0</v>
      </c>
      <c r="CI174" s="820"/>
      <c r="CJ174" s="820"/>
      <c r="CK174" s="714">
        <f>IF(CI174=0,0,(CJ174-CI174)/CI174*100)</f>
        <v>0</v>
      </c>
      <c r="CL174" s="820"/>
      <c r="CM174" s="820"/>
      <c r="CN174" s="714">
        <f>IF(CL174=0,0,(CM174-CL174)/CL174*100)</f>
        <v>0</v>
      </c>
      <c r="CO174" s="820"/>
      <c r="CP174" s="820"/>
      <c r="CQ174" s="714">
        <f>IF(CO174=0,0,(CP174-CO174)/CO174*100)</f>
        <v>0</v>
      </c>
      <c r="CR174" s="820"/>
      <c r="CS174" s="820"/>
      <c r="CT174" s="714">
        <f>IF(CR174=0,0,(CS174-CR174)/CR174*100)</f>
        <v>0</v>
      </c>
      <c r="CU174" s="820"/>
      <c r="CV174" s="820"/>
      <c r="CW174" s="714">
        <f>IF(CU174=0,0,(CV174-CU174)/CU174*100)</f>
        <v>0</v>
      </c>
      <c r="CX174" s="820"/>
      <c r="CY174" s="820"/>
      <c r="CZ174" s="714">
        <f>IF(CX174=0,0,(CY174-CX174)/CX174*100)</f>
        <v>0</v>
      </c>
      <c r="DA174" s="820"/>
      <c r="DB174" s="820"/>
      <c r="DC174" s="714">
        <f>IF(DA174=0,0,(DB174-DA174)/DA174*100)</f>
        <v>0</v>
      </c>
      <c r="DD174" s="820"/>
      <c r="DE174" s="820"/>
      <c r="DF174" s="714">
        <f>IF(DD174=0,0,(DE174-DD174)/DD174*100)</f>
        <v>0</v>
      </c>
      <c r="DG174" s="820"/>
      <c r="DH174" s="820"/>
      <c r="DI174" s="714">
        <f>IF(DG174=0,0,(DH174-DG174)/DG174*100)</f>
        <v>0</v>
      </c>
      <c r="DJ174" s="820"/>
      <c r="DK174" s="820"/>
      <c r="DL174" s="714">
        <f>IF(DJ174=0,0,(DK174-DJ174)/DJ174*100)</f>
        <v>0</v>
      </c>
      <c r="DM174" s="820"/>
      <c r="DN174" s="820"/>
      <c r="DO174" s="714">
        <f>IF(DM174=0,0,(DN174-DM174)/DM174*100)</f>
        <v>0</v>
      </c>
      <c r="DP174" s="820"/>
      <c r="DQ174" s="820"/>
      <c r="DR174" s="714">
        <f>IF(DP174=0,0,(DQ174-DP174)/DP174*100)</f>
        <v>0</v>
      </c>
      <c r="DS174" s="820"/>
      <c r="DT174" s="820"/>
      <c r="DU174" s="714">
        <f>IF(DS174=0,0,(DT174-DS174)/DS174*100)</f>
        <v>0</v>
      </c>
      <c r="DV174" s="820"/>
      <c r="DW174" s="820"/>
      <c r="DX174" s="714">
        <f>IF(DV174=0,0,(DW174-DV174)/DV174*100)</f>
        <v>0</v>
      </c>
      <c r="DY174" s="820"/>
      <c r="DZ174" s="820"/>
      <c r="EA174" s="714">
        <f>IF(DY174=0,0,(DZ174-DY174)/DY174*100)</f>
        <v>0</v>
      </c>
      <c r="EB174" s="820"/>
      <c r="EC174" s="820"/>
      <c r="ED174" s="714">
        <f>IF(EB174=0,0,(EC174-EB174)/EB174*100)</f>
        <v>0</v>
      </c>
      <c r="EE174" s="820"/>
      <c r="EF174" s="820"/>
      <c r="EG174" s="714">
        <f>IF(EE174=0,0,(EF174-EE174)/EE174*100)</f>
        <v>0</v>
      </c>
      <c r="EH174" s="820"/>
      <c r="EI174" s="820"/>
      <c r="EJ174" s="714">
        <f>IF(EH174=0,0,(EI174-EH174)/EH174*100)</f>
        <v>0</v>
      </c>
      <c r="EK174" s="820"/>
      <c r="EL174" s="820"/>
      <c r="EM174" s="714">
        <f>IF(EK174=0,0,(EL174-EK174)/EK174*100)</f>
        <v>0</v>
      </c>
      <c r="EN174" s="820"/>
      <c r="EO174" s="820"/>
      <c r="EP174" s="714">
        <f>IF(EN174=0,0,(EO174-EN174)/EN174*100)</f>
        <v>0</v>
      </c>
      <c r="EQ174" s="820"/>
      <c r="ER174" s="820"/>
      <c r="ES174" s="714">
        <f>IF(EQ174=0,0,(ER174-EQ174)/EQ174*100)</f>
        <v>0</v>
      </c>
      <c r="ET174" s="820"/>
      <c r="EU174" s="820"/>
      <c r="EV174" s="714">
        <f>IF(ET174=0,0,(EU174-ET174)/ET174*100)</f>
        <v>0</v>
      </c>
      <c r="EW174" s="820"/>
      <c r="EX174" s="820"/>
      <c r="EY174" s="714">
        <f>IF(EW174=0,0,(EX174-EW174)/EW174*100)</f>
        <v>0</v>
      </c>
      <c r="EZ174" s="820"/>
      <c r="FA174" s="820"/>
      <c r="FB174" s="714">
        <f>IF(EZ174=0,0,(FA174-EZ174)/EZ174*100)</f>
        <v>0</v>
      </c>
      <c r="FC174" s="820"/>
      <c r="FD174" s="820"/>
      <c r="FE174" s="714">
        <f>IF(FC174=0,0,(FD174-FC174)/FC174*100)</f>
        <v>0</v>
      </c>
      <c r="FF174" s="820"/>
      <c r="FG174" s="820"/>
      <c r="FH174" s="714">
        <f>IF(FF174=0,0,(FG174-FF174)/FF174*100)</f>
        <v>0</v>
      </c>
      <c r="FI174" s="820"/>
      <c r="FJ174" s="820"/>
      <c r="FK174" s="714">
        <f>IF(FI174=0,0,(FJ174-FI174)/FI174*100)</f>
        <v>0</v>
      </c>
      <c r="FL174" s="820"/>
      <c r="FM174" s="820"/>
      <c r="FN174" s="714">
        <f>IF(FL174=0,0,(FM174-FL174)/FL174*100)</f>
        <v>0</v>
      </c>
      <c r="FO174" s="820"/>
      <c r="FP174" s="820"/>
      <c r="FQ174" s="714">
        <f>IF(FO174=0,0,(FP174-FO174)/FO174*100)</f>
        <v>0</v>
      </c>
      <c r="FR174" s="820"/>
      <c r="FS174" s="820"/>
      <c r="FT174" s="714">
        <f>IF(FR174=0,0,(FS174-FR174)/FR174*100)</f>
        <v>0</v>
      </c>
      <c r="FU174" s="820"/>
      <c r="FV174" s="820"/>
      <c r="FW174" s="714">
        <f>IF(FU174=0,0,(FV174-FU174)/FU174*100)</f>
        <v>0</v>
      </c>
      <c r="FZ174" s="691" t="s">
        <v>1702</v>
      </c>
    </row>
    <row r="175" spans="1:182" ht="14.25" hidden="1" customHeight="1" x14ac:dyDescent="0.15">
      <c r="A175" s="59"/>
      <c r="B175" s="613" t="b" cm="1">
        <f t="array" ref="B175">B174</f>
        <v>0</v>
      </c>
      <c r="C175" s="59"/>
      <c r="D175" s="59"/>
      <c r="E175" s="462">
        <v>15</v>
      </c>
      <c r="F175" s="3" t="str" cm="1">
        <f t="array" aca="1" ref="F175" ca="1">OFFSET(E175,-1,1)</f>
        <v>2</v>
      </c>
      <c r="G175" s="59"/>
      <c r="H175" s="59" t="s">
        <v>1686</v>
      </c>
      <c r="I175" s="59" t="s">
        <v>1657</v>
      </c>
      <c r="J175" s="59"/>
      <c r="K175" s="59"/>
      <c r="L175" s="59"/>
      <c r="M175" s="59"/>
      <c r="N175" s="59"/>
      <c r="O175" s="59"/>
      <c r="P175" s="59"/>
      <c r="Q175" s="59"/>
      <c r="R175" s="59"/>
      <c r="S175" s="59"/>
      <c r="T175" s="353" t="b" cm="1">
        <f t="array" aca="1" ref="T175" ca="1">T174</f>
        <v>1</v>
      </c>
      <c r="U175" s="59"/>
      <c r="V175" s="59"/>
      <c r="W175" s="59"/>
      <c r="X175" s="1022"/>
      <c r="Y175" s="59"/>
      <c r="Z175" s="966"/>
      <c r="AA175" s="59"/>
      <c r="AB175" s="105" t="s">
        <v>1687</v>
      </c>
      <c r="AC175" s="12" t="s">
        <v>1688</v>
      </c>
      <c r="AD175" s="820"/>
      <c r="AE175" s="820"/>
      <c r="AF175" s="714">
        <f>IF(AD175=0,0,(AE175-AD175)/AD175*100)</f>
        <v>0</v>
      </c>
      <c r="AG175" s="820"/>
      <c r="AH175" s="820"/>
      <c r="AI175" s="714">
        <f>IF(AG175=0,0,(AH175-AG175)/AG175*100)</f>
        <v>0</v>
      </c>
      <c r="AJ175" s="820"/>
      <c r="AK175" s="820"/>
      <c r="AL175" s="714">
        <f>IF(AJ175=0,0,(AK175-AJ175)/AJ175*100)</f>
        <v>0</v>
      </c>
      <c r="AM175" s="820"/>
      <c r="AN175" s="820"/>
      <c r="AO175" s="714">
        <f>IF(AM175=0,0,(AN175-AM175)/AM175*100)</f>
        <v>0</v>
      </c>
      <c r="AP175" s="820"/>
      <c r="AQ175" s="820"/>
      <c r="AR175" s="714">
        <f>IF(AP175=0,0,(AQ175-AP175)/AP175*100)</f>
        <v>0</v>
      </c>
      <c r="AS175" s="820"/>
      <c r="AT175" s="820"/>
      <c r="AU175" s="714">
        <f>IF(AS175=0,0,(AT175-AS175)/AS175*100)</f>
        <v>0</v>
      </c>
      <c r="AV175" s="820"/>
      <c r="AW175" s="820"/>
      <c r="AX175" s="714">
        <f>IF(AV175=0,0,(AW175-AV175)/AV175*100)</f>
        <v>0</v>
      </c>
      <c r="AY175" s="820"/>
      <c r="AZ175" s="820"/>
      <c r="BA175" s="714">
        <f>IF(AY175=0,0,(AZ175-AY175)/AY175*100)</f>
        <v>0</v>
      </c>
      <c r="BB175" s="820"/>
      <c r="BC175" s="820"/>
      <c r="BD175" s="714">
        <f>IF(BB175=0,0,(BC175-BB175)/BB175*100)</f>
        <v>0</v>
      </c>
      <c r="BE175" s="820"/>
      <c r="BF175" s="820"/>
      <c r="BG175" s="714">
        <f>IF(BE175=0,0,(BF175-BE175)/BE175*100)</f>
        <v>0</v>
      </c>
      <c r="BH175" s="820"/>
      <c r="BI175" s="820"/>
      <c r="BJ175" s="714">
        <f>IF(BH175=0,0,(BI175-BH175)/BH175*100)</f>
        <v>0</v>
      </c>
      <c r="BK175" s="820"/>
      <c r="BL175" s="820"/>
      <c r="BM175" s="714">
        <f>IF(BK175=0,0,(BL175-BK175)/BK175*100)</f>
        <v>0</v>
      </c>
      <c r="BN175" s="820"/>
      <c r="BO175" s="820"/>
      <c r="BP175" s="714">
        <f>IF(BN175=0,0,(BO175-BN175)/BN175*100)</f>
        <v>0</v>
      </c>
      <c r="BQ175" s="820"/>
      <c r="BR175" s="820"/>
      <c r="BS175" s="714">
        <f>IF(BQ175=0,0,(BR175-BQ175)/BQ175*100)</f>
        <v>0</v>
      </c>
      <c r="BT175" s="820"/>
      <c r="BU175" s="820"/>
      <c r="BV175" s="714">
        <f>IF(BT175=0,0,(BU175-BT175)/BT175*100)</f>
        <v>0</v>
      </c>
      <c r="BW175" s="820"/>
      <c r="BX175" s="820"/>
      <c r="BY175" s="714">
        <f>IF(BW175=0,0,(BX175-BW175)/BW175*100)</f>
        <v>0</v>
      </c>
      <c r="BZ175" s="820"/>
      <c r="CA175" s="820"/>
      <c r="CB175" s="714">
        <f>IF(BZ175=0,0,(CA175-BZ175)/BZ175*100)</f>
        <v>0</v>
      </c>
      <c r="CC175" s="820"/>
      <c r="CD175" s="820"/>
      <c r="CE175" s="714">
        <f>IF(CC175=0,0,(CD175-CC175)/CC175*100)</f>
        <v>0</v>
      </c>
      <c r="CF175" s="820"/>
      <c r="CG175" s="820"/>
      <c r="CH175" s="714">
        <f>IF(CF175=0,0,(CG175-CF175)/CF175*100)</f>
        <v>0</v>
      </c>
      <c r="CI175" s="820"/>
      <c r="CJ175" s="820"/>
      <c r="CK175" s="714">
        <f>IF(CI175=0,0,(CJ175-CI175)/CI175*100)</f>
        <v>0</v>
      </c>
      <c r="CL175" s="820"/>
      <c r="CM175" s="820"/>
      <c r="CN175" s="714">
        <f>IF(CL175=0,0,(CM175-CL175)/CL175*100)</f>
        <v>0</v>
      </c>
      <c r="CO175" s="820"/>
      <c r="CP175" s="820"/>
      <c r="CQ175" s="714">
        <f>IF(CO175=0,0,(CP175-CO175)/CO175*100)</f>
        <v>0</v>
      </c>
      <c r="CR175" s="820"/>
      <c r="CS175" s="820"/>
      <c r="CT175" s="714">
        <f>IF(CR175=0,0,(CS175-CR175)/CR175*100)</f>
        <v>0</v>
      </c>
      <c r="CU175" s="820"/>
      <c r="CV175" s="820"/>
      <c r="CW175" s="714">
        <f>IF(CU175=0,0,(CV175-CU175)/CU175*100)</f>
        <v>0</v>
      </c>
      <c r="CX175" s="820"/>
      <c r="CY175" s="820"/>
      <c r="CZ175" s="714">
        <f>IF(CX175=0,0,(CY175-CX175)/CX175*100)</f>
        <v>0</v>
      </c>
      <c r="DA175" s="820"/>
      <c r="DB175" s="820"/>
      <c r="DC175" s="714">
        <f>IF(DA175=0,0,(DB175-DA175)/DA175*100)</f>
        <v>0</v>
      </c>
      <c r="DD175" s="820"/>
      <c r="DE175" s="820"/>
      <c r="DF175" s="714">
        <f>IF(DD175=0,0,(DE175-DD175)/DD175*100)</f>
        <v>0</v>
      </c>
      <c r="DG175" s="820"/>
      <c r="DH175" s="820"/>
      <c r="DI175" s="714">
        <f>IF(DG175=0,0,(DH175-DG175)/DG175*100)</f>
        <v>0</v>
      </c>
      <c r="DJ175" s="820"/>
      <c r="DK175" s="820"/>
      <c r="DL175" s="714">
        <f>IF(DJ175=0,0,(DK175-DJ175)/DJ175*100)</f>
        <v>0</v>
      </c>
      <c r="DM175" s="820"/>
      <c r="DN175" s="820"/>
      <c r="DO175" s="714">
        <f>IF(DM175=0,0,(DN175-DM175)/DM175*100)</f>
        <v>0</v>
      </c>
      <c r="DP175" s="820"/>
      <c r="DQ175" s="820"/>
      <c r="DR175" s="714">
        <f>IF(DP175=0,0,(DQ175-DP175)/DP175*100)</f>
        <v>0</v>
      </c>
      <c r="DS175" s="820"/>
      <c r="DT175" s="820"/>
      <c r="DU175" s="714">
        <f>IF(DS175=0,0,(DT175-DS175)/DS175*100)</f>
        <v>0</v>
      </c>
      <c r="DV175" s="820"/>
      <c r="DW175" s="820"/>
      <c r="DX175" s="714">
        <f>IF(DV175=0,0,(DW175-DV175)/DV175*100)</f>
        <v>0</v>
      </c>
      <c r="DY175" s="820"/>
      <c r="DZ175" s="820"/>
      <c r="EA175" s="714">
        <f>IF(DY175=0,0,(DZ175-DY175)/DY175*100)</f>
        <v>0</v>
      </c>
      <c r="EB175" s="820"/>
      <c r="EC175" s="820"/>
      <c r="ED175" s="714">
        <f>IF(EB175=0,0,(EC175-EB175)/EB175*100)</f>
        <v>0</v>
      </c>
      <c r="EE175" s="820"/>
      <c r="EF175" s="820"/>
      <c r="EG175" s="714">
        <f>IF(EE175=0,0,(EF175-EE175)/EE175*100)</f>
        <v>0</v>
      </c>
      <c r="EH175" s="820"/>
      <c r="EI175" s="820"/>
      <c r="EJ175" s="714">
        <f>IF(EH175=0,0,(EI175-EH175)/EH175*100)</f>
        <v>0</v>
      </c>
      <c r="EK175" s="820"/>
      <c r="EL175" s="820"/>
      <c r="EM175" s="714">
        <f>IF(EK175=0,0,(EL175-EK175)/EK175*100)</f>
        <v>0</v>
      </c>
      <c r="EN175" s="820"/>
      <c r="EO175" s="820"/>
      <c r="EP175" s="714">
        <f>IF(EN175=0,0,(EO175-EN175)/EN175*100)</f>
        <v>0</v>
      </c>
      <c r="EQ175" s="820"/>
      <c r="ER175" s="820"/>
      <c r="ES175" s="714">
        <f>IF(EQ175=0,0,(ER175-EQ175)/EQ175*100)</f>
        <v>0</v>
      </c>
      <c r="ET175" s="820"/>
      <c r="EU175" s="820"/>
      <c r="EV175" s="714">
        <f>IF(ET175=0,0,(EU175-ET175)/ET175*100)</f>
        <v>0</v>
      </c>
      <c r="EW175" s="820"/>
      <c r="EX175" s="820"/>
      <c r="EY175" s="714">
        <f>IF(EW175=0,0,(EX175-EW175)/EW175*100)</f>
        <v>0</v>
      </c>
      <c r="EZ175" s="820"/>
      <c r="FA175" s="820"/>
      <c r="FB175" s="714">
        <f>IF(EZ175=0,0,(FA175-EZ175)/EZ175*100)</f>
        <v>0</v>
      </c>
      <c r="FC175" s="820"/>
      <c r="FD175" s="820"/>
      <c r="FE175" s="714">
        <f>IF(FC175=0,0,(FD175-FC175)/FC175*100)</f>
        <v>0</v>
      </c>
      <c r="FF175" s="820"/>
      <c r="FG175" s="820"/>
      <c r="FH175" s="714">
        <f>IF(FF175=0,0,(FG175-FF175)/FF175*100)</f>
        <v>0</v>
      </c>
      <c r="FI175" s="820"/>
      <c r="FJ175" s="820"/>
      <c r="FK175" s="714">
        <f>IF(FI175=0,0,(FJ175-FI175)/FI175*100)</f>
        <v>0</v>
      </c>
      <c r="FL175" s="820"/>
      <c r="FM175" s="820"/>
      <c r="FN175" s="714">
        <f>IF(FL175=0,0,(FM175-FL175)/FL175*100)</f>
        <v>0</v>
      </c>
      <c r="FO175" s="820"/>
      <c r="FP175" s="820"/>
      <c r="FQ175" s="714">
        <f>IF(FO175=0,0,(FP175-FO175)/FO175*100)</f>
        <v>0</v>
      </c>
      <c r="FR175" s="820"/>
      <c r="FS175" s="820"/>
      <c r="FT175" s="714">
        <f>IF(FR175=0,0,(FS175-FR175)/FR175*100)</f>
        <v>0</v>
      </c>
      <c r="FU175" s="820"/>
      <c r="FV175" s="820"/>
      <c r="FW175" s="714">
        <f>IF(FU175=0,0,(FV175-FU175)/FU175*100)</f>
        <v>0</v>
      </c>
      <c r="FZ175" s="691" t="s">
        <v>1703</v>
      </c>
    </row>
    <row r="176" spans="1:182" ht="23.25" hidden="1" customHeight="1" x14ac:dyDescent="0.15">
      <c r="A176" s="59"/>
      <c r="B176" s="613" t="b" cm="1">
        <f t="array" ref="B176">B175</f>
        <v>0</v>
      </c>
      <c r="C176" s="59"/>
      <c r="D176" s="59"/>
      <c r="E176" s="462">
        <v>24.5</v>
      </c>
      <c r="F176" s="3" t="str" cm="1">
        <f t="array" aca="1" ref="F176" ca="1">OFFSET(E176,-1,1)</f>
        <v>2</v>
      </c>
      <c r="G176" s="59"/>
      <c r="H176" s="59"/>
      <c r="I176" s="59"/>
      <c r="J176" s="59"/>
      <c r="K176" s="59"/>
      <c r="L176" s="59"/>
      <c r="M176" s="59"/>
      <c r="N176" s="59"/>
      <c r="O176" s="59"/>
      <c r="P176" s="59"/>
      <c r="Q176" s="59"/>
      <c r="R176" s="59"/>
      <c r="S176" s="59"/>
      <c r="T176" s="353" t="b" cm="1">
        <f t="array" aca="1" ref="T176" ca="1">T175</f>
        <v>1</v>
      </c>
      <c r="U176" s="59"/>
      <c r="V176" s="59"/>
      <c r="W176" s="59"/>
      <c r="X176" s="1022"/>
      <c r="Y176" s="59"/>
      <c r="Z176" s="966"/>
      <c r="AA176" s="59"/>
      <c r="AB176" s="205" t="s">
        <v>1704</v>
      </c>
      <c r="AC176" s="597"/>
      <c r="AD176" s="718"/>
      <c r="AE176" s="718"/>
      <c r="AF176" s="718"/>
      <c r="AG176" s="718"/>
      <c r="AH176" s="718"/>
      <c r="AI176" s="718"/>
      <c r="AJ176" s="718"/>
      <c r="AK176" s="718"/>
      <c r="AL176" s="718"/>
      <c r="AM176" s="718"/>
      <c r="AN176" s="718"/>
      <c r="AO176" s="718"/>
      <c r="AP176" s="718"/>
      <c r="AQ176" s="718"/>
      <c r="AR176" s="718"/>
      <c r="AS176" s="718"/>
      <c r="AT176" s="718"/>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c r="EA176" s="718"/>
      <c r="EB176" s="718"/>
      <c r="EC176" s="718"/>
      <c r="ED176" s="718"/>
      <c r="EE176" s="718"/>
      <c r="EF176" s="718"/>
      <c r="EG176" s="718"/>
      <c r="EH176" s="718"/>
      <c r="EI176" s="718"/>
      <c r="EJ176" s="718"/>
      <c r="EK176" s="718"/>
      <c r="EL176" s="718"/>
      <c r="EM176" s="718"/>
      <c r="EN176" s="718"/>
      <c r="EO176" s="718"/>
      <c r="EP176" s="718"/>
      <c r="EQ176" s="718"/>
      <c r="ER176" s="718"/>
      <c r="ES176" s="718"/>
      <c r="ET176" s="718"/>
      <c r="EU176" s="718"/>
      <c r="EV176" s="718"/>
      <c r="EW176" s="718"/>
      <c r="EX176" s="718"/>
      <c r="EY176" s="718"/>
      <c r="EZ176" s="718"/>
      <c r="FA176" s="718"/>
      <c r="FB176" s="718"/>
      <c r="FC176" s="718"/>
      <c r="FD176" s="718"/>
      <c r="FE176" s="718"/>
      <c r="FF176" s="718"/>
      <c r="FG176" s="718"/>
      <c r="FH176" s="718"/>
      <c r="FI176" s="718"/>
      <c r="FJ176" s="718"/>
      <c r="FK176" s="718"/>
      <c r="FL176" s="718"/>
      <c r="FM176" s="718"/>
      <c r="FN176" s="718"/>
      <c r="FO176" s="718"/>
      <c r="FP176" s="718"/>
      <c r="FQ176" s="718"/>
      <c r="FR176" s="718"/>
      <c r="FS176" s="718"/>
      <c r="FT176" s="718"/>
      <c r="FU176" s="718"/>
      <c r="FV176" s="718"/>
      <c r="FW176" s="719"/>
      <c r="FZ176" s="691"/>
    </row>
    <row r="177" spans="1:186" ht="14.25" hidden="1" customHeight="1" x14ac:dyDescent="0.15">
      <c r="A177" s="59"/>
      <c r="B177" s="613" t="b" cm="1">
        <f t="array" ref="B177">B176</f>
        <v>0</v>
      </c>
      <c r="C177" s="59"/>
      <c r="D177" s="59"/>
      <c r="E177" s="462">
        <v>15</v>
      </c>
      <c r="F177" s="3" t="str" cm="1">
        <f t="array" aca="1" ref="F177" ca="1">OFFSET(E177,-1,1)</f>
        <v>2</v>
      </c>
      <c r="G177" s="59"/>
      <c r="H177" s="59" t="s">
        <v>1570</v>
      </c>
      <c r="I177" s="59" t="s">
        <v>1661</v>
      </c>
      <c r="J177" s="59"/>
      <c r="K177" s="59"/>
      <c r="L177" s="59"/>
      <c r="M177" s="59"/>
      <c r="N177" s="59"/>
      <c r="O177" s="59"/>
      <c r="P177" s="59"/>
      <c r="Q177" s="59"/>
      <c r="R177" s="59"/>
      <c r="S177" s="59"/>
      <c r="T177" s="353" t="b" cm="1">
        <f t="array" aca="1" ref="T177" ca="1">T176</f>
        <v>1</v>
      </c>
      <c r="U177" s="59"/>
      <c r="V177" s="59"/>
      <c r="W177" s="59"/>
      <c r="X177" s="1022"/>
      <c r="Y177" s="59"/>
      <c r="Z177" s="966"/>
      <c r="AA177" s="59"/>
      <c r="AB177" s="105" t="s">
        <v>1677</v>
      </c>
      <c r="AC177" s="12" t="s">
        <v>1644</v>
      </c>
      <c r="AD177" s="820">
        <f ca="1">IF(AD179=0,0,(AD178*AD179+AD180*AD181*IF(god=2026,3,6))/AD179)</f>
        <v>0</v>
      </c>
      <c r="AE177" s="820">
        <f ca="1">IF(AE179=0,0,(AE178*AE179+AE180*AE181*IF(god=2026,3,6))/AE179)</f>
        <v>0</v>
      </c>
      <c r="AF177" s="714">
        <f ca="1">IF(AD177=0,0,(AE177-AD177)/AD177*100)</f>
        <v>0</v>
      </c>
      <c r="AG177" s="820">
        <f ca="1">IF(AG179=0,0,(AG178*AG179+AG180*AG181*IF(god=2025,3,6))/AG179)</f>
        <v>0</v>
      </c>
      <c r="AH177" s="820">
        <f ca="1">IF(AH179=0,0,(AH178*AH179+AH180*AH181*IF(god=2025,3,6))/AH179)</f>
        <v>0</v>
      </c>
      <c r="AI177" s="714">
        <f ca="1">IF(AG177=0,0,(AH177-AG177)/AG177*100)</f>
        <v>0</v>
      </c>
      <c r="AJ177" s="820">
        <f ca="1">IF(AJ179=0,0,(AJ178*AJ179+AJ180*AJ181*6)/AJ179)</f>
        <v>0</v>
      </c>
      <c r="AK177" s="820">
        <f ca="1">IF(AK179=0,0,(AK178*AK179+AK180*AK181*6)/AK179)</f>
        <v>0</v>
      </c>
      <c r="AL177" s="714">
        <f ca="1">IF(AJ177=0,0,(AK177-AJ177)/AJ177*100)</f>
        <v>0</v>
      </c>
      <c r="AM177" s="820">
        <f ca="1">IF(AM179=0,0,(AM178*AM179+AM180*AM181*6)/AM179)</f>
        <v>0</v>
      </c>
      <c r="AN177" s="820">
        <f ca="1">IF(AN179=0,0,(AN178*AN179+AN180*AN181*6)/AN179)</f>
        <v>0</v>
      </c>
      <c r="AO177" s="714">
        <f ca="1">IF(AM177=0,0,(AN177-AM177)/AM177*100)</f>
        <v>0</v>
      </c>
      <c r="AP177" s="820">
        <f ca="1">IF(AP179=0,0,(AP178*AP179+AP180*AP181*6)/AP179)</f>
        <v>0</v>
      </c>
      <c r="AQ177" s="820">
        <f ca="1">IF(AQ179=0,0,(AQ178*AQ179+AQ180*AQ181*6)/AQ179)</f>
        <v>0</v>
      </c>
      <c r="AR177" s="714">
        <f ca="1">IF(AP177=0,0,(AQ177-AP177)/AP177*100)</f>
        <v>0</v>
      </c>
      <c r="AS177" s="820">
        <f ca="1">IF(AS179=0,0,(AS178*AS179+AS180*AS181*6)/AS179)</f>
        <v>0</v>
      </c>
      <c r="AT177" s="820">
        <f ca="1">IF(AT179=0,0,(AT178*AT179+AT180*AT181*6)/AT179)</f>
        <v>0</v>
      </c>
      <c r="AU177" s="714">
        <f ca="1">IF(AS177=0,0,(AT177-AS177)/AS177*100)</f>
        <v>0</v>
      </c>
      <c r="AV177" s="820">
        <f ca="1">IF(AV179=0,0,(AV178*AV179+AV180*AV181*6)/AV179)</f>
        <v>0</v>
      </c>
      <c r="AW177" s="820">
        <f ca="1">IF(AW179=0,0,(AW178*AW179+AW180*AW181*6)/AW179)</f>
        <v>0</v>
      </c>
      <c r="AX177" s="714">
        <f ca="1">IF(AV177=0,0,(AW177-AV177)/AV177*100)</f>
        <v>0</v>
      </c>
      <c r="AY177" s="820">
        <f ca="1">IF(AY179=0,0,(AY178*AY179+AY180*AY181*6)/AY179)</f>
        <v>0</v>
      </c>
      <c r="AZ177" s="820">
        <f ca="1">IF(AZ179=0,0,(AZ178*AZ179+AZ180*AZ181*6)/AZ179)</f>
        <v>0</v>
      </c>
      <c r="BA177" s="714">
        <f ca="1">IF(AY177=0,0,(AZ177-AY177)/AY177*100)</f>
        <v>0</v>
      </c>
      <c r="BB177" s="820">
        <f ca="1">IF(BB179=0,0,(BB178*BB179+BB180*BB181*6)/BB179)</f>
        <v>0</v>
      </c>
      <c r="BC177" s="820">
        <f ca="1">IF(BC179=0,0,(BC178*BC179+BC180*BC181*6)/BC179)</f>
        <v>0</v>
      </c>
      <c r="BD177" s="714">
        <f ca="1">IF(BB177=0,0,(BC177-BB177)/BB177*100)</f>
        <v>0</v>
      </c>
      <c r="BE177" s="820">
        <f ca="1">IF(BE179=0,0,(BE178*BE179+BE180*BE181*6)/BE179)</f>
        <v>0</v>
      </c>
      <c r="BF177" s="820">
        <f ca="1">IF(BF179=0,0,(BF178*BF179+BF180*BF181*6)/BF179)</f>
        <v>0</v>
      </c>
      <c r="BG177" s="714">
        <f ca="1">IF(BE177=0,0,(BF177-BE177)/BE177*100)</f>
        <v>0</v>
      </c>
      <c r="BH177" s="820">
        <f>IF(BH179=0,0,(BH178*BH179+BH180*BH181*6)/BH179)</f>
        <v>0</v>
      </c>
      <c r="BI177" s="820">
        <f>IF(BI179=0,0,(BI178*BI179+BI180*BI181*6)/BI179)</f>
        <v>0</v>
      </c>
      <c r="BJ177" s="714">
        <f>IF(BH177=0,0,(BI177-BH177)/BH177*100)</f>
        <v>0</v>
      </c>
      <c r="BK177" s="820">
        <f>IF(BK179=0,0,(BK178*BK179+BK180*BK181*6)/BK179)</f>
        <v>0</v>
      </c>
      <c r="BL177" s="820">
        <f>IF(BL179=0,0,(BL178*BL179+BL180*BL181*6)/BL179)</f>
        <v>0</v>
      </c>
      <c r="BM177" s="714">
        <f>IF(BK177=0,0,(BL177-BK177)/BK177*100)</f>
        <v>0</v>
      </c>
      <c r="BN177" s="820">
        <f>IF(BN179=0,0,(BN178*BN179+BN180*BN181*6)/BN179)</f>
        <v>0</v>
      </c>
      <c r="BO177" s="820">
        <f>IF(BO179=0,0,(BO178*BO179+BO180*BO181*6)/BO179)</f>
        <v>0</v>
      </c>
      <c r="BP177" s="714">
        <f>IF(BN177=0,0,(BO177-BN177)/BN177*100)</f>
        <v>0</v>
      </c>
      <c r="BQ177" s="820">
        <f>IF(BQ179=0,0,(BQ178*BQ179+BQ180*BQ181*6)/BQ179)</f>
        <v>0</v>
      </c>
      <c r="BR177" s="820">
        <f>IF(BR179=0,0,(BR178*BR179+BR180*BR181*6)/BR179)</f>
        <v>0</v>
      </c>
      <c r="BS177" s="714">
        <f>IF(BQ177=0,0,(BR177-BQ177)/BQ177*100)</f>
        <v>0</v>
      </c>
      <c r="BT177" s="820">
        <f>IF(BT179=0,0,(BT178*BT179+BT180*BT181*6)/BT179)</f>
        <v>0</v>
      </c>
      <c r="BU177" s="820">
        <f>IF(BU179=0,0,(BU178*BU179+BU180*BU181*6)/BU179)</f>
        <v>0</v>
      </c>
      <c r="BV177" s="714">
        <f>IF(BT177=0,0,(BU177-BT177)/BT177*100)</f>
        <v>0</v>
      </c>
      <c r="BW177" s="820">
        <f>IF(BW179=0,0,(BW178*BW179+BW180*BW181*6)/BW179)</f>
        <v>0</v>
      </c>
      <c r="BX177" s="820">
        <f>IF(BX179=0,0,(BX178*BX179+BX180*BX181*6)/BX179)</f>
        <v>0</v>
      </c>
      <c r="BY177" s="714">
        <f>IF(BW177=0,0,(BX177-BW177)/BW177*100)</f>
        <v>0</v>
      </c>
      <c r="BZ177" s="820">
        <f>IF(BZ179=0,0,(BZ178*BZ179+BZ180*BZ181*6)/BZ179)</f>
        <v>0</v>
      </c>
      <c r="CA177" s="820">
        <f>IF(CA179=0,0,(CA178*CA179+CA180*CA181*6)/CA179)</f>
        <v>0</v>
      </c>
      <c r="CB177" s="714">
        <f>IF(BZ177=0,0,(CA177-BZ177)/BZ177*100)</f>
        <v>0</v>
      </c>
      <c r="CC177" s="820">
        <f>IF(CC179=0,0,(CC178*CC179+CC180*CC181*6)/CC179)</f>
        <v>0</v>
      </c>
      <c r="CD177" s="820">
        <f>IF(CD179=0,0,(CD178*CD179+CD180*CD181*6)/CD179)</f>
        <v>0</v>
      </c>
      <c r="CE177" s="714">
        <f>IF(CC177=0,0,(CD177-CC177)/CC177*100)</f>
        <v>0</v>
      </c>
      <c r="CF177" s="820">
        <f>IF(CF179=0,0,(CF178*CF179+CF180*CF181*6)/CF179)</f>
        <v>0</v>
      </c>
      <c r="CG177" s="820">
        <f>IF(CG179=0,0,(CG178*CG179+CG180*CG181*6)/CG179)</f>
        <v>0</v>
      </c>
      <c r="CH177" s="714">
        <f>IF(CF177=0,0,(CG177-CF177)/CF177*100)</f>
        <v>0</v>
      </c>
      <c r="CI177" s="820">
        <f>IF(CI179=0,0,(CI178*CI179+CI180*CI181*6)/CI179)</f>
        <v>0</v>
      </c>
      <c r="CJ177" s="820">
        <f>IF(CJ179=0,0,(CJ178*CJ179+CJ180*CJ181*6)/CJ179)</f>
        <v>0</v>
      </c>
      <c r="CK177" s="714">
        <f>IF(CI177=0,0,(CJ177-CI177)/CI177*100)</f>
        <v>0</v>
      </c>
      <c r="CL177" s="820">
        <f>IF(CL179=0,0,(CL178*CL179+CL180*CL181*6)/CL179)</f>
        <v>0</v>
      </c>
      <c r="CM177" s="820">
        <f>IF(CM179=0,0,(CM178*CM179+CM180*CM181*6)/CM179)</f>
        <v>0</v>
      </c>
      <c r="CN177" s="714">
        <f>IF(CL177=0,0,(CM177-CL177)/CL177*100)</f>
        <v>0</v>
      </c>
      <c r="CO177" s="820">
        <f>IF(CO179=0,0,(CO178*CO179+CO180*CO181*6)/CO179)</f>
        <v>0</v>
      </c>
      <c r="CP177" s="820">
        <f>IF(CP179=0,0,(CP178*CP179+CP180*CP181*6)/CP179)</f>
        <v>0</v>
      </c>
      <c r="CQ177" s="714">
        <f>IF(CO177=0,0,(CP177-CO177)/CO177*100)</f>
        <v>0</v>
      </c>
      <c r="CR177" s="820">
        <f>IF(CR179=0,0,(CR178*CR179+CR180*CR181*6)/CR179)</f>
        <v>0</v>
      </c>
      <c r="CS177" s="820">
        <f>IF(CS179=0,0,(CS178*CS179+CS180*CS181*6)/CS179)</f>
        <v>0</v>
      </c>
      <c r="CT177" s="714">
        <f>IF(CR177=0,0,(CS177-CR177)/CR177*100)</f>
        <v>0</v>
      </c>
      <c r="CU177" s="820">
        <f>IF(CU179=0,0,(CU178*CU179+CU180*CU181*6)/CU179)</f>
        <v>0</v>
      </c>
      <c r="CV177" s="820">
        <f>IF(CV179=0,0,(CV178*CV179+CV180*CV181*6)/CV179)</f>
        <v>0</v>
      </c>
      <c r="CW177" s="714">
        <f>IF(CU177=0,0,(CV177-CU177)/CU177*100)</f>
        <v>0</v>
      </c>
      <c r="CX177" s="820">
        <f>IF(CX179=0,0,(CX178*CX179+CX180*CX181*6)/CX179)</f>
        <v>0</v>
      </c>
      <c r="CY177" s="820">
        <f>IF(CY179=0,0,(CY178*CY179+CY180*CY181*6)/CY179)</f>
        <v>0</v>
      </c>
      <c r="CZ177" s="714">
        <f>IF(CX177=0,0,(CY177-CX177)/CX177*100)</f>
        <v>0</v>
      </c>
      <c r="DA177" s="820">
        <f>IF(DA179=0,0,(DA178*DA179+DA180*DA181*6)/DA179)</f>
        <v>0</v>
      </c>
      <c r="DB177" s="820">
        <f>IF(DB179=0,0,(DB178*DB179+DB180*DB181*6)/DB179)</f>
        <v>0</v>
      </c>
      <c r="DC177" s="714">
        <f>IF(DA177=0,0,(DB177-DA177)/DA177*100)</f>
        <v>0</v>
      </c>
      <c r="DD177" s="820">
        <f>IF(DD179=0,0,(DD178*DD179+DD180*DD181*6)/DD179)</f>
        <v>0</v>
      </c>
      <c r="DE177" s="820">
        <f>IF(DE179=0,0,(DE178*DE179+DE180*DE181*6)/DE179)</f>
        <v>0</v>
      </c>
      <c r="DF177" s="714">
        <f>IF(DD177=0,0,(DE177-DD177)/DD177*100)</f>
        <v>0</v>
      </c>
      <c r="DG177" s="820">
        <f>IF(DG179=0,0,(DG178*DG179+DG180*DG181*6)/DG179)</f>
        <v>0</v>
      </c>
      <c r="DH177" s="820">
        <f>IF(DH179=0,0,(DH178*DH179+DH180*DH181*6)/DH179)</f>
        <v>0</v>
      </c>
      <c r="DI177" s="714">
        <f>IF(DG177=0,0,(DH177-DG177)/DG177*100)</f>
        <v>0</v>
      </c>
      <c r="DJ177" s="820">
        <f>IF(DJ179=0,0,(DJ178*DJ179+DJ180*DJ181*6)/DJ179)</f>
        <v>0</v>
      </c>
      <c r="DK177" s="820">
        <f>IF(DK179=0,0,(DK178*DK179+DK180*DK181*6)/DK179)</f>
        <v>0</v>
      </c>
      <c r="DL177" s="714">
        <f>IF(DJ177=0,0,(DK177-DJ177)/DJ177*100)</f>
        <v>0</v>
      </c>
      <c r="DM177" s="820">
        <f>IF(DM179=0,0,(DM178*DM179+DM180*DM181*6)/DM179)</f>
        <v>0</v>
      </c>
      <c r="DN177" s="820">
        <f>IF(DN179=0,0,(DN178*DN179+DN180*DN181*6)/DN179)</f>
        <v>0</v>
      </c>
      <c r="DO177" s="714">
        <f>IF(DM177=0,0,(DN177-DM177)/DM177*100)</f>
        <v>0</v>
      </c>
      <c r="DP177" s="820">
        <f>IF(DP179=0,0,(DP178*DP179+DP180*DP181*6)/DP179)</f>
        <v>0</v>
      </c>
      <c r="DQ177" s="820">
        <f>IF(DQ179=0,0,(DQ178*DQ179+DQ180*DQ181*6)/DQ179)</f>
        <v>0</v>
      </c>
      <c r="DR177" s="714">
        <f>IF(DP177=0,0,(DQ177-DP177)/DP177*100)</f>
        <v>0</v>
      </c>
      <c r="DS177" s="820">
        <f>IF(DS179=0,0,(DS178*DS179+DS180*DS181*6)/DS179)</f>
        <v>0</v>
      </c>
      <c r="DT177" s="820">
        <f>IF(DT179=0,0,(DT178*DT179+DT180*DT181*6)/DT179)</f>
        <v>0</v>
      </c>
      <c r="DU177" s="714">
        <f>IF(DS177=0,0,(DT177-DS177)/DS177*100)</f>
        <v>0</v>
      </c>
      <c r="DV177" s="820">
        <f>IF(DV179=0,0,(DV178*DV179+DV180*DV181*6)/DV179)</f>
        <v>0</v>
      </c>
      <c r="DW177" s="820">
        <f>IF(DW179=0,0,(DW178*DW179+DW180*DW181*6)/DW179)</f>
        <v>0</v>
      </c>
      <c r="DX177" s="714">
        <f>IF(DV177=0,0,(DW177-DV177)/DV177*100)</f>
        <v>0</v>
      </c>
      <c r="DY177" s="820">
        <f>IF(DY179=0,0,(DY178*DY179+DY180*DY181*6)/DY179)</f>
        <v>0</v>
      </c>
      <c r="DZ177" s="820">
        <f>IF(DZ179=0,0,(DZ178*DZ179+DZ180*DZ181*6)/DZ179)</f>
        <v>0</v>
      </c>
      <c r="EA177" s="714">
        <f>IF(DY177=0,0,(DZ177-DY177)/DY177*100)</f>
        <v>0</v>
      </c>
      <c r="EB177" s="820">
        <f>IF(EB179=0,0,(EB178*EB179+EB180*EB181*6)/EB179)</f>
        <v>0</v>
      </c>
      <c r="EC177" s="820">
        <f>IF(EC179=0,0,(EC178*EC179+EC180*EC181*6)/EC179)</f>
        <v>0</v>
      </c>
      <c r="ED177" s="714">
        <f>IF(EB177=0,0,(EC177-EB177)/EB177*100)</f>
        <v>0</v>
      </c>
      <c r="EE177" s="820">
        <f>IF(EE179=0,0,(EE178*EE179+EE180*EE181*6)/EE179)</f>
        <v>0</v>
      </c>
      <c r="EF177" s="820">
        <f>IF(EF179=0,0,(EF178*EF179+EF180*EF181*6)/EF179)</f>
        <v>0</v>
      </c>
      <c r="EG177" s="714">
        <f>IF(EE177=0,0,(EF177-EE177)/EE177*100)</f>
        <v>0</v>
      </c>
      <c r="EH177" s="820">
        <f>IF(EH179=0,0,(EH178*EH179+EH180*EH181*6)/EH179)</f>
        <v>0</v>
      </c>
      <c r="EI177" s="820">
        <f>IF(EI179=0,0,(EI178*EI179+EI180*EI181*6)/EI179)</f>
        <v>0</v>
      </c>
      <c r="EJ177" s="714">
        <f>IF(EH177=0,0,(EI177-EH177)/EH177*100)</f>
        <v>0</v>
      </c>
      <c r="EK177" s="820">
        <f>IF(EK179=0,0,(EK178*EK179+EK180*EK181*6)/EK179)</f>
        <v>0</v>
      </c>
      <c r="EL177" s="820">
        <f>IF(EL179=0,0,(EL178*EL179+EL180*EL181*6)/EL179)</f>
        <v>0</v>
      </c>
      <c r="EM177" s="714">
        <f>IF(EK177=0,0,(EL177-EK177)/EK177*100)</f>
        <v>0</v>
      </c>
      <c r="EN177" s="820">
        <f>IF(EN179=0,0,(EN178*EN179+EN180*EN181*6)/EN179)</f>
        <v>0</v>
      </c>
      <c r="EO177" s="820">
        <f>IF(EO179=0,0,(EO178*EO179+EO180*EO181*6)/EO179)</f>
        <v>0</v>
      </c>
      <c r="EP177" s="714">
        <f>IF(EN177=0,0,(EO177-EN177)/EN177*100)</f>
        <v>0</v>
      </c>
      <c r="EQ177" s="820">
        <f>IF(EQ179=0,0,(EQ178*EQ179+EQ180*EQ181*6)/EQ179)</f>
        <v>0</v>
      </c>
      <c r="ER177" s="820">
        <f>IF(ER179=0,0,(ER178*ER179+ER180*ER181*6)/ER179)</f>
        <v>0</v>
      </c>
      <c r="ES177" s="714">
        <f>IF(EQ177=0,0,(ER177-EQ177)/EQ177*100)</f>
        <v>0</v>
      </c>
      <c r="ET177" s="820">
        <f>IF(ET179=0,0,(ET178*ET179+ET180*ET181*6)/ET179)</f>
        <v>0</v>
      </c>
      <c r="EU177" s="820">
        <f>IF(EU179=0,0,(EU178*EU179+EU180*EU181*6)/EU179)</f>
        <v>0</v>
      </c>
      <c r="EV177" s="714">
        <f>IF(ET177=0,0,(EU177-ET177)/ET177*100)</f>
        <v>0</v>
      </c>
      <c r="EW177" s="820">
        <f>IF(EW179=0,0,(EW178*EW179+EW180*EW181*6)/EW179)</f>
        <v>0</v>
      </c>
      <c r="EX177" s="820">
        <f>IF(EX179=0,0,(EX178*EX179+EX180*EX181*6)/EX179)</f>
        <v>0</v>
      </c>
      <c r="EY177" s="714">
        <f>IF(EW177=0,0,(EX177-EW177)/EW177*100)</f>
        <v>0</v>
      </c>
      <c r="EZ177" s="820">
        <f>IF(EZ179=0,0,(EZ178*EZ179+EZ180*EZ181*6)/EZ179)</f>
        <v>0</v>
      </c>
      <c r="FA177" s="820">
        <f>IF(FA179=0,0,(FA178*FA179+FA180*FA181*6)/FA179)</f>
        <v>0</v>
      </c>
      <c r="FB177" s="714">
        <f>IF(EZ177=0,0,(FA177-EZ177)/EZ177*100)</f>
        <v>0</v>
      </c>
      <c r="FC177" s="820">
        <f>IF(FC179=0,0,(FC178*FC179+FC180*FC181*6)/FC179)</f>
        <v>0</v>
      </c>
      <c r="FD177" s="820">
        <f>IF(FD179=0,0,(FD178*FD179+FD180*FD181*6)/FD179)</f>
        <v>0</v>
      </c>
      <c r="FE177" s="714">
        <f>IF(FC177=0,0,(FD177-FC177)/FC177*100)</f>
        <v>0</v>
      </c>
      <c r="FF177" s="820">
        <f>IF(FF179=0,0,(FF178*FF179+FF180*FF181*6)/FF179)</f>
        <v>0</v>
      </c>
      <c r="FG177" s="820">
        <f>IF(FG179=0,0,(FG178*FG179+FG180*FG181*6)/FG179)</f>
        <v>0</v>
      </c>
      <c r="FH177" s="714">
        <f>IF(FF177=0,0,(FG177-FF177)/FF177*100)</f>
        <v>0</v>
      </c>
      <c r="FI177" s="820">
        <f>IF(FI179=0,0,(FI178*FI179+FI180*FI181*6)/FI179)</f>
        <v>0</v>
      </c>
      <c r="FJ177" s="820">
        <f>IF(FJ179=0,0,(FJ178*FJ179+FJ180*FJ181*6)/FJ179)</f>
        <v>0</v>
      </c>
      <c r="FK177" s="714">
        <f>IF(FI177=0,0,(FJ177-FI177)/FI177*100)</f>
        <v>0</v>
      </c>
      <c r="FL177" s="820">
        <f>IF(FL179=0,0,(FL178*FL179+FL180*FL181*6)/FL179)</f>
        <v>0</v>
      </c>
      <c r="FM177" s="820">
        <f>IF(FM179=0,0,(FM178*FM179+FM180*FM181*6)/FM179)</f>
        <v>0</v>
      </c>
      <c r="FN177" s="714">
        <f>IF(FL177=0,0,(FM177-FL177)/FL177*100)</f>
        <v>0</v>
      </c>
      <c r="FO177" s="820">
        <f>IF(FO179=0,0,(FO178*FO179+FO180*FO181*6)/FO179)</f>
        <v>0</v>
      </c>
      <c r="FP177" s="820">
        <f>IF(FP179=0,0,(FP178*FP179+FP180*FP181*6)/FP179)</f>
        <v>0</v>
      </c>
      <c r="FQ177" s="714">
        <f>IF(FO177=0,0,(FP177-FO177)/FO177*100)</f>
        <v>0</v>
      </c>
      <c r="FR177" s="820">
        <f>IF(FR179=0,0,(FR178*FR179+FR180*FR181*6)/FR179)</f>
        <v>0</v>
      </c>
      <c r="FS177" s="820">
        <f>IF(FS179=0,0,(FS178*FS179+FS180*FS181*6)/FS179)</f>
        <v>0</v>
      </c>
      <c r="FT177" s="714">
        <f>IF(FR177=0,0,(FS177-FR177)/FR177*100)</f>
        <v>0</v>
      </c>
      <c r="FU177" s="820">
        <f>IF(FU179=0,0,(FU178*FU179+FU180*FU181*6)/FU179)</f>
        <v>0</v>
      </c>
      <c r="FV177" s="820">
        <f>IF(FV179=0,0,(FV178*FV179+FV180*FV181*6)/FV179)</f>
        <v>0</v>
      </c>
      <c r="FW177" s="714">
        <f>IF(FU177=0,0,(FV177-FU177)/FU177*100)</f>
        <v>0</v>
      </c>
      <c r="FZ177" s="691" t="s">
        <v>1705</v>
      </c>
    </row>
    <row r="178" spans="1:186" ht="14.25" hidden="1" customHeight="1" x14ac:dyDescent="0.15">
      <c r="A178" s="59"/>
      <c r="B178" s="613" t="b" cm="1">
        <f t="array" ref="B178">B177</f>
        <v>0</v>
      </c>
      <c r="C178" s="59"/>
      <c r="D178" s="59"/>
      <c r="E178" s="462">
        <v>15</v>
      </c>
      <c r="F178" s="3" t="str" cm="1">
        <f t="array" aca="1" ref="F178" ca="1">OFFSET(E178,-1,1)</f>
        <v>2</v>
      </c>
      <c r="G178" s="59"/>
      <c r="H178" s="59" t="s">
        <v>1574</v>
      </c>
      <c r="I178" s="59" t="s">
        <v>1661</v>
      </c>
      <c r="J178" s="59"/>
      <c r="K178" s="59"/>
      <c r="L178" s="59"/>
      <c r="M178" s="59"/>
      <c r="N178" s="59"/>
      <c r="O178" s="59"/>
      <c r="P178" s="59"/>
      <c r="Q178" s="59"/>
      <c r="R178" s="59"/>
      <c r="S178" s="59"/>
      <c r="T178" s="353" t="b" cm="1">
        <f t="array" aca="1" ref="T178" ca="1">T177</f>
        <v>1</v>
      </c>
      <c r="U178" s="59"/>
      <c r="V178" s="59"/>
      <c r="W178" s="59"/>
      <c r="X178" s="1022"/>
      <c r="Y178" s="59"/>
      <c r="Z178" s="966"/>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1644</v>
      </c>
      <c r="AD178" s="820"/>
      <c r="AE178" s="820"/>
      <c r="AF178" s="714">
        <f>IF(AD178=0,0,(AE178-AD178)/AD178*100)</f>
        <v>0</v>
      </c>
      <c r="AG178" s="820"/>
      <c r="AH178" s="820"/>
      <c r="AI178" s="714">
        <f>IF(AG178=0,0,(AH178-AG178)/AG178*100)</f>
        <v>0</v>
      </c>
      <c r="AJ178" s="820"/>
      <c r="AK178" s="820"/>
      <c r="AL178" s="714">
        <f>IF(AJ178=0,0,(AK178-AJ178)/AJ178*100)</f>
        <v>0</v>
      </c>
      <c r="AM178" s="820"/>
      <c r="AN178" s="820"/>
      <c r="AO178" s="714">
        <f>IF(AM178=0,0,(AN178-AM178)/AM178*100)</f>
        <v>0</v>
      </c>
      <c r="AP178" s="820"/>
      <c r="AQ178" s="820"/>
      <c r="AR178" s="714">
        <f>IF(AP178=0,0,(AQ178-AP178)/AP178*100)</f>
        <v>0</v>
      </c>
      <c r="AS178" s="820"/>
      <c r="AT178" s="820"/>
      <c r="AU178" s="714">
        <f>IF(AS178=0,0,(AT178-AS178)/AS178*100)</f>
        <v>0</v>
      </c>
      <c r="AV178" s="820"/>
      <c r="AW178" s="820"/>
      <c r="AX178" s="714">
        <f>IF(AV178=0,0,(AW178-AV178)/AV178*100)</f>
        <v>0</v>
      </c>
      <c r="AY178" s="820"/>
      <c r="AZ178" s="820"/>
      <c r="BA178" s="714">
        <f>IF(AY178=0,0,(AZ178-AY178)/AY178*100)</f>
        <v>0</v>
      </c>
      <c r="BB178" s="820"/>
      <c r="BC178" s="820"/>
      <c r="BD178" s="714">
        <f>IF(BB178=0,0,(BC178-BB178)/BB178*100)</f>
        <v>0</v>
      </c>
      <c r="BE178" s="820"/>
      <c r="BF178" s="820"/>
      <c r="BG178" s="714">
        <f>IF(BE178=0,0,(BF178-BE178)/BE178*100)</f>
        <v>0</v>
      </c>
      <c r="BH178" s="820"/>
      <c r="BI178" s="820"/>
      <c r="BJ178" s="714">
        <f>IF(BH178=0,0,(BI178-BH178)/BH178*100)</f>
        <v>0</v>
      </c>
      <c r="BK178" s="820"/>
      <c r="BL178" s="820"/>
      <c r="BM178" s="714">
        <f>IF(BK178=0,0,(BL178-BK178)/BK178*100)</f>
        <v>0</v>
      </c>
      <c r="BN178" s="820"/>
      <c r="BO178" s="820"/>
      <c r="BP178" s="714">
        <f>IF(BN178=0,0,(BO178-BN178)/BN178*100)</f>
        <v>0</v>
      </c>
      <c r="BQ178" s="820"/>
      <c r="BR178" s="820"/>
      <c r="BS178" s="714">
        <f>IF(BQ178=0,0,(BR178-BQ178)/BQ178*100)</f>
        <v>0</v>
      </c>
      <c r="BT178" s="820"/>
      <c r="BU178" s="820"/>
      <c r="BV178" s="714">
        <f>IF(BT178=0,0,(BU178-BT178)/BT178*100)</f>
        <v>0</v>
      </c>
      <c r="BW178" s="820"/>
      <c r="BX178" s="820"/>
      <c r="BY178" s="714">
        <f>IF(BW178=0,0,(BX178-BW178)/BW178*100)</f>
        <v>0</v>
      </c>
      <c r="BZ178" s="820"/>
      <c r="CA178" s="820"/>
      <c r="CB178" s="714">
        <f>IF(BZ178=0,0,(CA178-BZ178)/BZ178*100)</f>
        <v>0</v>
      </c>
      <c r="CC178" s="820"/>
      <c r="CD178" s="820"/>
      <c r="CE178" s="714">
        <f>IF(CC178=0,0,(CD178-CC178)/CC178*100)</f>
        <v>0</v>
      </c>
      <c r="CF178" s="820"/>
      <c r="CG178" s="820"/>
      <c r="CH178" s="714">
        <f>IF(CF178=0,0,(CG178-CF178)/CF178*100)</f>
        <v>0</v>
      </c>
      <c r="CI178" s="820"/>
      <c r="CJ178" s="820"/>
      <c r="CK178" s="714">
        <f>IF(CI178=0,0,(CJ178-CI178)/CI178*100)</f>
        <v>0</v>
      </c>
      <c r="CL178" s="820"/>
      <c r="CM178" s="820"/>
      <c r="CN178" s="714">
        <f>IF(CL178=0,0,(CM178-CL178)/CL178*100)</f>
        <v>0</v>
      </c>
      <c r="CO178" s="820"/>
      <c r="CP178" s="820"/>
      <c r="CQ178" s="714">
        <f>IF(CO178=0,0,(CP178-CO178)/CO178*100)</f>
        <v>0</v>
      </c>
      <c r="CR178" s="820"/>
      <c r="CS178" s="820"/>
      <c r="CT178" s="714">
        <f>IF(CR178=0,0,(CS178-CR178)/CR178*100)</f>
        <v>0</v>
      </c>
      <c r="CU178" s="820"/>
      <c r="CV178" s="820"/>
      <c r="CW178" s="714">
        <f>IF(CU178=0,0,(CV178-CU178)/CU178*100)</f>
        <v>0</v>
      </c>
      <c r="CX178" s="820"/>
      <c r="CY178" s="820"/>
      <c r="CZ178" s="714">
        <f>IF(CX178=0,0,(CY178-CX178)/CX178*100)</f>
        <v>0</v>
      </c>
      <c r="DA178" s="820"/>
      <c r="DB178" s="820"/>
      <c r="DC178" s="714">
        <f>IF(DA178=0,0,(DB178-DA178)/DA178*100)</f>
        <v>0</v>
      </c>
      <c r="DD178" s="820"/>
      <c r="DE178" s="820"/>
      <c r="DF178" s="714">
        <f>IF(DD178=0,0,(DE178-DD178)/DD178*100)</f>
        <v>0</v>
      </c>
      <c r="DG178" s="820"/>
      <c r="DH178" s="820"/>
      <c r="DI178" s="714">
        <f>IF(DG178=0,0,(DH178-DG178)/DG178*100)</f>
        <v>0</v>
      </c>
      <c r="DJ178" s="820"/>
      <c r="DK178" s="820"/>
      <c r="DL178" s="714">
        <f>IF(DJ178=0,0,(DK178-DJ178)/DJ178*100)</f>
        <v>0</v>
      </c>
      <c r="DM178" s="820"/>
      <c r="DN178" s="820"/>
      <c r="DO178" s="714">
        <f>IF(DM178=0,0,(DN178-DM178)/DM178*100)</f>
        <v>0</v>
      </c>
      <c r="DP178" s="820"/>
      <c r="DQ178" s="820"/>
      <c r="DR178" s="714">
        <f>IF(DP178=0,0,(DQ178-DP178)/DP178*100)</f>
        <v>0</v>
      </c>
      <c r="DS178" s="820"/>
      <c r="DT178" s="820"/>
      <c r="DU178" s="714">
        <f>IF(DS178=0,0,(DT178-DS178)/DS178*100)</f>
        <v>0</v>
      </c>
      <c r="DV178" s="820"/>
      <c r="DW178" s="820"/>
      <c r="DX178" s="714">
        <f>IF(DV178=0,0,(DW178-DV178)/DV178*100)</f>
        <v>0</v>
      </c>
      <c r="DY178" s="820"/>
      <c r="DZ178" s="820"/>
      <c r="EA178" s="714">
        <f>IF(DY178=0,0,(DZ178-DY178)/DY178*100)</f>
        <v>0</v>
      </c>
      <c r="EB178" s="820"/>
      <c r="EC178" s="820"/>
      <c r="ED178" s="714">
        <f>IF(EB178=0,0,(EC178-EB178)/EB178*100)</f>
        <v>0</v>
      </c>
      <c r="EE178" s="820"/>
      <c r="EF178" s="820"/>
      <c r="EG178" s="714">
        <f>IF(EE178=0,0,(EF178-EE178)/EE178*100)</f>
        <v>0</v>
      </c>
      <c r="EH178" s="820"/>
      <c r="EI178" s="820"/>
      <c r="EJ178" s="714">
        <f>IF(EH178=0,0,(EI178-EH178)/EH178*100)</f>
        <v>0</v>
      </c>
      <c r="EK178" s="820"/>
      <c r="EL178" s="820"/>
      <c r="EM178" s="714">
        <f>IF(EK178=0,0,(EL178-EK178)/EK178*100)</f>
        <v>0</v>
      </c>
      <c r="EN178" s="820"/>
      <c r="EO178" s="820"/>
      <c r="EP178" s="714">
        <f>IF(EN178=0,0,(EO178-EN178)/EN178*100)</f>
        <v>0</v>
      </c>
      <c r="EQ178" s="820"/>
      <c r="ER178" s="820"/>
      <c r="ES178" s="714">
        <f>IF(EQ178=0,0,(ER178-EQ178)/EQ178*100)</f>
        <v>0</v>
      </c>
      <c r="ET178" s="820"/>
      <c r="EU178" s="820"/>
      <c r="EV178" s="714">
        <f>IF(ET178=0,0,(EU178-ET178)/ET178*100)</f>
        <v>0</v>
      </c>
      <c r="EW178" s="820"/>
      <c r="EX178" s="820"/>
      <c r="EY178" s="714">
        <f>IF(EW178=0,0,(EX178-EW178)/EW178*100)</f>
        <v>0</v>
      </c>
      <c r="EZ178" s="820"/>
      <c r="FA178" s="820"/>
      <c r="FB178" s="714">
        <f>IF(EZ178=0,0,(FA178-EZ178)/EZ178*100)</f>
        <v>0</v>
      </c>
      <c r="FC178" s="820"/>
      <c r="FD178" s="820"/>
      <c r="FE178" s="714">
        <f>IF(FC178=0,0,(FD178-FC178)/FC178*100)</f>
        <v>0</v>
      </c>
      <c r="FF178" s="820"/>
      <c r="FG178" s="820"/>
      <c r="FH178" s="714">
        <f>IF(FF178=0,0,(FG178-FF178)/FF178*100)</f>
        <v>0</v>
      </c>
      <c r="FI178" s="820"/>
      <c r="FJ178" s="820"/>
      <c r="FK178" s="714">
        <f>IF(FI178=0,0,(FJ178-FI178)/FI178*100)</f>
        <v>0</v>
      </c>
      <c r="FL178" s="820"/>
      <c r="FM178" s="820"/>
      <c r="FN178" s="714">
        <f>IF(FL178=0,0,(FM178-FL178)/FL178*100)</f>
        <v>0</v>
      </c>
      <c r="FO178" s="820"/>
      <c r="FP178" s="820"/>
      <c r="FQ178" s="714">
        <f>IF(FO178=0,0,(FP178-FO178)/FO178*100)</f>
        <v>0</v>
      </c>
      <c r="FR178" s="820"/>
      <c r="FS178" s="820"/>
      <c r="FT178" s="714">
        <f>IF(FR178=0,0,(FS178-FR178)/FR178*100)</f>
        <v>0</v>
      </c>
      <c r="FU178" s="820"/>
      <c r="FV178" s="820"/>
      <c r="FW178" s="714">
        <f>IF(FU178=0,0,(FV178-FU178)/FU178*100)</f>
        <v>0</v>
      </c>
      <c r="FZ178" s="691" t="s">
        <v>1706</v>
      </c>
    </row>
    <row r="179" spans="1:186" ht="14.25" hidden="1" customHeight="1" x14ac:dyDescent="0.15">
      <c r="A179" s="59"/>
      <c r="B179" s="613" t="b" cm="1">
        <f t="array" ref="B179">B178</f>
        <v>0</v>
      </c>
      <c r="C179" s="59"/>
      <c r="D179" s="59"/>
      <c r="E179" s="462">
        <v>15</v>
      </c>
      <c r="F179" s="3" t="str" cm="1">
        <f t="array" aca="1" ref="F179" ca="1">OFFSET(E179,-1,1)</f>
        <v>2</v>
      </c>
      <c r="G179" s="25" t="s">
        <v>1707</v>
      </c>
      <c r="H179" s="59" t="s">
        <v>1681</v>
      </c>
      <c r="I179" s="59" t="s">
        <v>1661</v>
      </c>
      <c r="J179" s="59"/>
      <c r="K179" s="59"/>
      <c r="L179" s="59"/>
      <c r="M179" s="59"/>
      <c r="N179" s="59"/>
      <c r="O179" s="59"/>
      <c r="P179" s="59"/>
      <c r="Q179" s="59"/>
      <c r="R179" s="59"/>
      <c r="S179" s="59"/>
      <c r="T179" s="353" t="b" cm="1">
        <f t="array" aca="1" ref="T179" ca="1">T178</f>
        <v>1</v>
      </c>
      <c r="U179" s="59"/>
      <c r="V179" s="59"/>
      <c r="W179" s="59"/>
      <c r="X179" s="1022"/>
      <c r="Y179" s="59"/>
      <c r="Z179" s="966"/>
      <c r="AA179" s="59"/>
      <c r="AB179" s="105" t="str">
        <f>"объём "&amp;IF(Q141="Водоснабжение","потребления холодной воды","водоотведения")</f>
        <v>объём водоотведения</v>
      </c>
      <c r="AC179" s="12" t="s">
        <v>558</v>
      </c>
      <c r="AD179" s="836">
        <f ca="1">IF(AND(method_reg="Метод индексации",god&lt;&gt;first_year),SUMIFS(INDEX('Калькуляция (МИ корр)'!$AJ$25:$BC$603,,MATCH(AD$8,'Калькуляция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(МИ)'!$AJ$25:$BC$603,,MATCH(AD$8,'Калькуляция (МИ)'!$AJ$8:$BC$8,0)),'Калькуляция (МИ)'!$F$25:$F$603,$F179,'Калькуляция (МИ)'!$G$25:$G$603,$G179))))</f>
        <v>0</v>
      </c>
      <c r="AE179" s="836">
        <f ca="1">IF(AND(method_reg="Метод индексации",god&lt;&gt;first_year),SUMIFS(INDEX('Калькуляция (МИ корр)'!$AJ$25:$BC$603,,MATCH(AE$8,'Калькуляция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(МИ)'!$AJ$25:$BC$603,,MATCH(AE$8,'Калькуляция (МИ)'!$AJ$8:$BC$8,0)),'Калькуляция (МИ)'!$F$25:$F$603,$F179,'Калькуляция (МИ)'!$G$25:$G$603,$G179))))</f>
        <v>0</v>
      </c>
      <c r="AF179" s="715">
        <f ca="1">IF(AD179=0,0,(AE179-AD179)/AD179*100)</f>
        <v>0</v>
      </c>
      <c r="AG179" s="836">
        <f ca="1">IF(AND(method_reg="Метод индексации",god&lt;&gt;first_year),SUMIFS(INDEX('Калькуляция (МИ корр)'!$AJ$25:$BC$603,,MATCH(AG$8,'Калькуляция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(МИ)'!$AJ$25:$BC$603,,MATCH(AG$8,'Калькуляция (МИ)'!$AJ$8:$BC$8,0)),'Калькуляция (МИ)'!$F$25:$F$603,$F179,'Калькуляция (МИ)'!$G$25:$G$603,$G179))))</f>
        <v>0</v>
      </c>
      <c r="AH179" s="836">
        <f ca="1">IF(AND(method_reg="Метод индексации",god&lt;&gt;first_year),SUMIFS(INDEX('Калькуляция (МИ корр)'!$AJ$25:$BC$603,,MATCH(AH$8,'Калькуляция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(МИ)'!$AJ$25:$BC$603,,MATCH(AH$8,'Калькуляция (МИ)'!$AJ$8:$BC$8,0)),'Калькуляция (МИ)'!$F$25:$F$603,$F179,'Калькуляция (МИ)'!$G$25:$G$603,$G179))))</f>
        <v>0</v>
      </c>
      <c r="AI179" s="715">
        <f ca="1">IF(AG179=0,0,(AH179-AG179)/AG179*100)</f>
        <v>0</v>
      </c>
      <c r="AJ179" s="836">
        <f ca="1">IF(AND(method_reg="Метод индексации",god&lt;&gt;first_year),SUMIFS(INDEX('Калькуляция (МИ корр)'!$AJ$25:$BC$603,,MATCH(AJ$8,'Калькуляция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(МИ)'!$AJ$25:$BC$603,,MATCH(AJ$8,'Калькуляция (МИ)'!$AJ$8:$BC$8,0)),'Калькуляция (МИ)'!$F$25:$F$603,$F179,'Калькуляция (МИ)'!$G$25:$G$603,$G179))))</f>
        <v>0</v>
      </c>
      <c r="AK179" s="836">
        <f ca="1">IF(AND(method_reg="Метод индексации",god&lt;&gt;first_year),SUMIFS(INDEX('Калькуляция (МИ корр)'!$AJ$25:$BC$603,,MATCH(AK$8,'Калькуляция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(МИ)'!$AJ$25:$BC$603,,MATCH(AK$8,'Калькуляция (МИ)'!$AJ$8:$BC$8,0)),'Калькуляция (МИ)'!$F$25:$F$603,$F179,'Калькуляция (МИ)'!$G$25:$G$603,$G179))))</f>
        <v>0</v>
      </c>
      <c r="AL179" s="715">
        <f ca="1">IF(AJ179=0,0,(AK179-AJ179)/AJ179*100)</f>
        <v>0</v>
      </c>
      <c r="AM179" s="836">
        <f ca="1">IF(AND(method_reg="Метод индексации",god&lt;&gt;first_year),SUMIFS(INDEX('Калькуляция (МИ корр)'!$AJ$25:$BC$603,,MATCH(AM$8,'Калькуляция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(МИ)'!$AJ$25:$BC$603,,MATCH(AM$8,'Калькуляция (МИ)'!$AJ$8:$BC$8,0)),'Калькуляция (МИ)'!$F$25:$F$603,$F179,'Калькуляция (МИ)'!$G$25:$G$603,$G179))))</f>
        <v>0</v>
      </c>
      <c r="AN179" s="836">
        <f ca="1">IF(AND(method_reg="Метод индексации",god&lt;&gt;first_year),SUMIFS(INDEX('Калькуляция (МИ корр)'!$AJ$25:$BC$603,,MATCH(AN$8,'Калькуляция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(МИ)'!$AJ$25:$BC$603,,MATCH(AN$8,'Калькуляция (МИ)'!$AJ$8:$BC$8,0)),'Калькуляция (МИ)'!$F$25:$F$603,$F179,'Калькуляция (МИ)'!$G$25:$G$603,$G179))))</f>
        <v>0</v>
      </c>
      <c r="AO179" s="715">
        <f ca="1">IF(AM179=0,0,(AN179-AM179)/AM179*100)</f>
        <v>0</v>
      </c>
      <c r="AP179" s="836">
        <f ca="1">IF(AND(method_reg="Метод индексации",god&lt;&gt;first_year),SUMIFS(INDEX('Калькуляция (МИ корр)'!$AJ$25:$BC$603,,MATCH(AP$8,'Калькуляция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(МИ)'!$AJ$25:$BC$603,,MATCH(AP$8,'Калькуляция (МИ)'!$AJ$8:$BC$8,0)),'Калькуляция (МИ)'!$F$25:$F$603,$F179,'Калькуляция (МИ)'!$G$25:$G$603,$G179))))</f>
        <v>0</v>
      </c>
      <c r="AQ179" s="836">
        <f ca="1">IF(AND(method_reg="Метод индексации",god&lt;&gt;first_year),SUMIFS(INDEX('Калькуляция (МИ корр)'!$AJ$25:$BC$603,,MATCH(AQ$8,'Калькуляция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(МИ)'!$AJ$25:$BC$603,,MATCH(AQ$8,'Калькуляция (МИ)'!$AJ$8:$BC$8,0)),'Калькуляция (МИ)'!$F$25:$F$603,$F179,'Калькуляция (МИ)'!$G$25:$G$603,$G179))))</f>
        <v>0</v>
      </c>
      <c r="AR179" s="715">
        <f ca="1">IF(AP179=0,0,(AQ179-AP179)/AP179*100)</f>
        <v>0</v>
      </c>
      <c r="AS179" s="836">
        <f ca="1">IF(AND(method_reg="Метод индексации",god&lt;&gt;first_year),SUMIFS(INDEX('Калькуляция (МИ корр)'!$AJ$25:$BC$603,,MATCH(AS$8,'Калькуляция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(МИ)'!$AJ$25:$BC$603,,MATCH(AS$8,'Калькуляция (МИ)'!$AJ$8:$BC$8,0)),'Калькуляция (МИ)'!$F$25:$F$603,$F179,'Калькуляция (МИ)'!$G$25:$G$603,$G179))))</f>
        <v>0</v>
      </c>
      <c r="AT179" s="836">
        <f ca="1">IF(AND(method_reg="Метод индексации",god&lt;&gt;first_year),SUMIFS(INDEX('Калькуляция (МИ корр)'!$AJ$25:$BC$603,,MATCH(AT$8,'Калькуляция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(МИ)'!$AJ$25:$BC$603,,MATCH(AT$8,'Калькуляция (МИ)'!$AJ$8:$BC$8,0)),'Калькуляция (МИ)'!$F$25:$F$603,$F179,'Калькуляция (МИ)'!$G$25:$G$603,$G179))))</f>
        <v>0</v>
      </c>
      <c r="AU179" s="715">
        <f ca="1">IF(AS179=0,0,(AT179-AS179)/AS179*100)</f>
        <v>0</v>
      </c>
      <c r="AV179" s="836">
        <f ca="1">IF(AND(method_reg="Метод индексации",god&lt;&gt;first_year),SUMIFS(INDEX('Калькуляция (МИ корр)'!$AJ$25:$BC$603,,MATCH(AV$8,'Калькуляция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(МИ)'!$AJ$25:$BC$603,,MATCH(AV$8,'Калькуляция (МИ)'!$AJ$8:$BC$8,0)),'Калькуляция (МИ)'!$F$25:$F$603,$F179,'Калькуляция (МИ)'!$G$25:$G$603,$G179))))</f>
        <v>0</v>
      </c>
      <c r="AW179" s="836">
        <f ca="1">IF(AND(method_reg="Метод индексации",god&lt;&gt;first_year),SUMIFS(INDEX('Калькуляция (МИ корр)'!$AJ$25:$BC$603,,MATCH(AW$8,'Калькуляция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(МИ)'!$AJ$25:$BC$603,,MATCH(AW$8,'Калькуляция (МИ)'!$AJ$8:$BC$8,0)),'Калькуляция (МИ)'!$F$25:$F$603,$F179,'Калькуляция (МИ)'!$G$25:$G$603,$G179))))</f>
        <v>0</v>
      </c>
      <c r="AX179" s="715">
        <f ca="1">IF(AV179=0,0,(AW179-AV179)/AV179*100)</f>
        <v>0</v>
      </c>
      <c r="AY179" s="836">
        <f ca="1">IF(AND(method_reg="Метод индексации",god&lt;&gt;first_year),SUMIFS(INDEX('Калькуляция (МИ корр)'!$AJ$25:$BC$603,,MATCH(AY$8,'Калькуляция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(МИ)'!$AJ$25:$BC$603,,MATCH(AY$8,'Калькуляция (МИ)'!$AJ$8:$BC$8,0)),'Калькуляция (МИ)'!$F$25:$F$603,$F179,'Калькуляция (МИ)'!$G$25:$G$603,$G179))))</f>
        <v>0</v>
      </c>
      <c r="AZ179" s="836">
        <f ca="1">IF(AND(method_reg="Метод индексации",god&lt;&gt;first_year),SUMIFS(INDEX('Калькуляция (МИ корр)'!$AJ$25:$BC$603,,MATCH(AZ$8,'Калькуляция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(МИ)'!$AJ$25:$BC$603,,MATCH(AZ$8,'Калькуляция (МИ)'!$AJ$8:$BC$8,0)),'Калькуляция (МИ)'!$F$25:$F$603,$F179,'Калькуляция (МИ)'!$G$25:$G$603,$G179))))</f>
        <v>0</v>
      </c>
      <c r="BA179" s="715">
        <f ca="1">IF(AY179=0,0,(AZ179-AY179)/AY179*100)</f>
        <v>0</v>
      </c>
      <c r="BB179" s="836">
        <f ca="1">IF(AND(method_reg="Метод индексации",god&lt;&gt;first_year),SUMIFS(INDEX('Калькуляция (МИ корр)'!$AJ$25:$BC$603,,MATCH(BB$8,'Калькуляция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(МИ)'!$AJ$25:$BC$603,,MATCH(BB$8,'Калькуляция (МИ)'!$AJ$8:$BC$8,0)),'Калькуляция (МИ)'!$F$25:$F$603,$F179,'Калькуляция (МИ)'!$G$25:$G$603,$G179))))</f>
        <v>0</v>
      </c>
      <c r="BC179" s="836">
        <f ca="1">IF(AND(method_reg="Метод индексации",god&lt;&gt;first_year),SUMIFS(INDEX('Калькуляция (МИ корр)'!$AJ$25:$BC$603,,MATCH(BC$8,'Калькуляция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(МИ)'!$AJ$25:$BC$603,,MATCH(BC$8,'Калькуляция (МИ)'!$AJ$8:$BC$8,0)),'Калькуляция (МИ)'!$F$25:$F$603,$F179,'Калькуляция (МИ)'!$G$25:$G$603,$G179))))</f>
        <v>0</v>
      </c>
      <c r="BD179" s="715">
        <f ca="1">IF(BB179=0,0,(BC179-BB179)/BB179*100)</f>
        <v>0</v>
      </c>
      <c r="BE179" s="836">
        <f ca="1">IF(AND(method_reg="Метод индексации",god&lt;&gt;first_year),SUMIFS(INDEX('Калькуляция (МИ корр)'!$AJ$25:$BC$603,,MATCH(BE$8,'Калькуляция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(МИ)'!$AJ$25:$BC$603,,MATCH(BE$8,'Калькуляция (МИ)'!$AJ$8:$BC$8,0)),'Калькуляция (МИ)'!$F$25:$F$603,$F179,'Калькуляция (МИ)'!$G$25:$G$603,$G179))))</f>
        <v>0</v>
      </c>
      <c r="BF179" s="836">
        <f ca="1">IF(AND(method_reg="Метод индексации",god&lt;&gt;first_year),SUMIFS(INDEX('Калькуляция (МИ корр)'!$AJ$25:$BC$603,,MATCH(BF$8,'Калькуляция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(МИ)'!$AJ$25:$BC$603,,MATCH(BF$8,'Калькуляция (МИ)'!$AJ$8:$BC$8,0)),'Калькуляция (МИ)'!$F$25:$F$603,$F179,'Калькуляция (МИ)'!$G$25:$G$603,$G179))))</f>
        <v>0</v>
      </c>
      <c r="BG179" s="715">
        <f ca="1">IF(BE179=0,0,(BF179-BE179)/BE179*100)</f>
        <v>0</v>
      </c>
      <c r="BH179" s="836"/>
      <c r="BI179" s="836"/>
      <c r="BJ179" s="715">
        <f>IF(BH179=0,0,(BI179-BH179)/BH179*100)</f>
        <v>0</v>
      </c>
      <c r="BK179" s="836"/>
      <c r="BL179" s="836"/>
      <c r="BM179" s="715">
        <f>IF(BK179=0,0,(BL179-BK179)/BK179*100)</f>
        <v>0</v>
      </c>
      <c r="BN179" s="836"/>
      <c r="BO179" s="836"/>
      <c r="BP179" s="715">
        <f>IF(BN179=0,0,(BO179-BN179)/BN179*100)</f>
        <v>0</v>
      </c>
      <c r="BQ179" s="836"/>
      <c r="BR179" s="836"/>
      <c r="BS179" s="715">
        <f>IF(BQ179=0,0,(BR179-BQ179)/BQ179*100)</f>
        <v>0</v>
      </c>
      <c r="BT179" s="836"/>
      <c r="BU179" s="836"/>
      <c r="BV179" s="715">
        <f>IF(BT179=0,0,(BU179-BT179)/BT179*100)</f>
        <v>0</v>
      </c>
      <c r="BW179" s="836"/>
      <c r="BX179" s="836"/>
      <c r="BY179" s="715">
        <f>IF(BW179=0,0,(BX179-BW179)/BW179*100)</f>
        <v>0</v>
      </c>
      <c r="BZ179" s="836"/>
      <c r="CA179" s="836"/>
      <c r="CB179" s="715">
        <f>IF(BZ179=0,0,(CA179-BZ179)/BZ179*100)</f>
        <v>0</v>
      </c>
      <c r="CC179" s="836"/>
      <c r="CD179" s="836"/>
      <c r="CE179" s="715">
        <f>IF(CC179=0,0,(CD179-CC179)/CC179*100)</f>
        <v>0</v>
      </c>
      <c r="CF179" s="836"/>
      <c r="CG179" s="836"/>
      <c r="CH179" s="715">
        <f>IF(CF179=0,0,(CG179-CF179)/CF179*100)</f>
        <v>0</v>
      </c>
      <c r="CI179" s="836"/>
      <c r="CJ179" s="836"/>
      <c r="CK179" s="715">
        <f>IF(CI179=0,0,(CJ179-CI179)/CI179*100)</f>
        <v>0</v>
      </c>
      <c r="CL179" s="836"/>
      <c r="CM179" s="836"/>
      <c r="CN179" s="715">
        <f>IF(CL179=0,0,(CM179-CL179)/CL179*100)</f>
        <v>0</v>
      </c>
      <c r="CO179" s="836"/>
      <c r="CP179" s="836"/>
      <c r="CQ179" s="715">
        <f>IF(CO179=0,0,(CP179-CO179)/CO179*100)</f>
        <v>0</v>
      </c>
      <c r="CR179" s="836"/>
      <c r="CS179" s="836"/>
      <c r="CT179" s="715">
        <f>IF(CR179=0,0,(CS179-CR179)/CR179*100)</f>
        <v>0</v>
      </c>
      <c r="CU179" s="836"/>
      <c r="CV179" s="836"/>
      <c r="CW179" s="715">
        <f>IF(CU179=0,0,(CV179-CU179)/CU179*100)</f>
        <v>0</v>
      </c>
      <c r="CX179" s="836"/>
      <c r="CY179" s="836"/>
      <c r="CZ179" s="715">
        <f>IF(CX179=0,0,(CY179-CX179)/CX179*100)</f>
        <v>0</v>
      </c>
      <c r="DA179" s="836"/>
      <c r="DB179" s="836"/>
      <c r="DC179" s="715">
        <f>IF(DA179=0,0,(DB179-DA179)/DA179*100)</f>
        <v>0</v>
      </c>
      <c r="DD179" s="836"/>
      <c r="DE179" s="836"/>
      <c r="DF179" s="715">
        <f>IF(DD179=0,0,(DE179-DD179)/DD179*100)</f>
        <v>0</v>
      </c>
      <c r="DG179" s="836"/>
      <c r="DH179" s="836"/>
      <c r="DI179" s="715">
        <f>IF(DG179=0,0,(DH179-DG179)/DG179*100)</f>
        <v>0</v>
      </c>
      <c r="DJ179" s="836"/>
      <c r="DK179" s="836"/>
      <c r="DL179" s="715">
        <f>IF(DJ179=0,0,(DK179-DJ179)/DJ179*100)</f>
        <v>0</v>
      </c>
      <c r="DM179" s="836"/>
      <c r="DN179" s="836"/>
      <c r="DO179" s="715">
        <f>IF(DM179=0,0,(DN179-DM179)/DM179*100)</f>
        <v>0</v>
      </c>
      <c r="DP179" s="836"/>
      <c r="DQ179" s="836"/>
      <c r="DR179" s="715">
        <f>IF(DP179=0,0,(DQ179-DP179)/DP179*100)</f>
        <v>0</v>
      </c>
      <c r="DS179" s="836"/>
      <c r="DT179" s="836"/>
      <c r="DU179" s="715">
        <f>IF(DS179=0,0,(DT179-DS179)/DS179*100)</f>
        <v>0</v>
      </c>
      <c r="DV179" s="836"/>
      <c r="DW179" s="836"/>
      <c r="DX179" s="715">
        <f>IF(DV179=0,0,(DW179-DV179)/DV179*100)</f>
        <v>0</v>
      </c>
      <c r="DY179" s="836"/>
      <c r="DZ179" s="836"/>
      <c r="EA179" s="715">
        <f>IF(DY179=0,0,(DZ179-DY179)/DY179*100)</f>
        <v>0</v>
      </c>
      <c r="EB179" s="836"/>
      <c r="EC179" s="836"/>
      <c r="ED179" s="715">
        <f>IF(EB179=0,0,(EC179-EB179)/EB179*100)</f>
        <v>0</v>
      </c>
      <c r="EE179" s="836"/>
      <c r="EF179" s="836"/>
      <c r="EG179" s="715">
        <f>IF(EE179=0,0,(EF179-EE179)/EE179*100)</f>
        <v>0</v>
      </c>
      <c r="EH179" s="836"/>
      <c r="EI179" s="836"/>
      <c r="EJ179" s="715">
        <f>IF(EH179=0,0,(EI179-EH179)/EH179*100)</f>
        <v>0</v>
      </c>
      <c r="EK179" s="836"/>
      <c r="EL179" s="836"/>
      <c r="EM179" s="715">
        <f>IF(EK179=0,0,(EL179-EK179)/EK179*100)</f>
        <v>0</v>
      </c>
      <c r="EN179" s="836"/>
      <c r="EO179" s="836"/>
      <c r="EP179" s="715">
        <f>IF(EN179=0,0,(EO179-EN179)/EN179*100)</f>
        <v>0</v>
      </c>
      <c r="EQ179" s="836"/>
      <c r="ER179" s="836"/>
      <c r="ES179" s="715">
        <f>IF(EQ179=0,0,(ER179-EQ179)/EQ179*100)</f>
        <v>0</v>
      </c>
      <c r="ET179" s="836"/>
      <c r="EU179" s="836"/>
      <c r="EV179" s="715">
        <f>IF(ET179=0,0,(EU179-ET179)/ET179*100)</f>
        <v>0</v>
      </c>
      <c r="EW179" s="836"/>
      <c r="EX179" s="836"/>
      <c r="EY179" s="715">
        <f>IF(EW179=0,0,(EX179-EW179)/EW179*100)</f>
        <v>0</v>
      </c>
      <c r="EZ179" s="836"/>
      <c r="FA179" s="836"/>
      <c r="FB179" s="715">
        <f>IF(EZ179=0,0,(FA179-EZ179)/EZ179*100)</f>
        <v>0</v>
      </c>
      <c r="FC179" s="836"/>
      <c r="FD179" s="836"/>
      <c r="FE179" s="715">
        <f>IF(FC179=0,0,(FD179-FC179)/FC179*100)</f>
        <v>0</v>
      </c>
      <c r="FF179" s="836"/>
      <c r="FG179" s="836"/>
      <c r="FH179" s="715">
        <f>IF(FF179=0,0,(FG179-FF179)/FF179*100)</f>
        <v>0</v>
      </c>
      <c r="FI179" s="836"/>
      <c r="FJ179" s="836"/>
      <c r="FK179" s="715">
        <f>IF(FI179=0,0,(FJ179-FI179)/FI179*100)</f>
        <v>0</v>
      </c>
      <c r="FL179" s="836"/>
      <c r="FM179" s="836"/>
      <c r="FN179" s="715">
        <f>IF(FL179=0,0,(FM179-FL179)/FL179*100)</f>
        <v>0</v>
      </c>
      <c r="FO179" s="836"/>
      <c r="FP179" s="836"/>
      <c r="FQ179" s="715">
        <f>IF(FO179=0,0,(FP179-FO179)/FO179*100)</f>
        <v>0</v>
      </c>
      <c r="FR179" s="836"/>
      <c r="FS179" s="836"/>
      <c r="FT179" s="715">
        <f>IF(FR179=0,0,(FS179-FR179)/FR179*100)</f>
        <v>0</v>
      </c>
      <c r="FU179" s="836"/>
      <c r="FV179" s="836"/>
      <c r="FW179" s="715">
        <f>IF(FU179=0,0,(FV179-FU179)/FU179*100)</f>
        <v>0</v>
      </c>
      <c r="FZ179" s="691" t="s">
        <v>1708</v>
      </c>
    </row>
    <row r="180" spans="1:186" ht="21.75" hidden="1" customHeight="1" x14ac:dyDescent="0.15">
      <c r="A180" s="59"/>
      <c r="B180" s="613" t="b" cm="1">
        <f t="array" ref="B180">B179</f>
        <v>0</v>
      </c>
      <c r="C180" s="59"/>
      <c r="D180" s="59"/>
      <c r="E180" s="462">
        <v>22.5</v>
      </c>
      <c r="F180" s="3" t="str" cm="1">
        <f t="array" aca="1" ref="F180" ca="1">OFFSET(E180,-1,1)</f>
        <v>2</v>
      </c>
      <c r="G180" s="59"/>
      <c r="H180" s="59" t="s">
        <v>1683</v>
      </c>
      <c r="I180" s="59" t="s">
        <v>1661</v>
      </c>
      <c r="J180" s="59"/>
      <c r="K180" s="59"/>
      <c r="L180" s="59"/>
      <c r="M180" s="59"/>
      <c r="N180" s="59"/>
      <c r="O180" s="59"/>
      <c r="P180" s="59"/>
      <c r="Q180" s="59"/>
      <c r="R180" s="59"/>
      <c r="S180" s="59"/>
      <c r="T180" s="353" t="b" cm="1">
        <f t="array" aca="1" ref="T180" ca="1">T179</f>
        <v>1</v>
      </c>
      <c r="U180" s="59"/>
      <c r="V180" s="59"/>
      <c r="W180" s="59"/>
      <c r="X180" s="1022"/>
      <c r="Y180" s="59"/>
      <c r="Z180" s="966"/>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1684</v>
      </c>
      <c r="AD180" s="820"/>
      <c r="AE180" s="820"/>
      <c r="AF180" s="714">
        <f>IF(AD180=0,0,(AE180-AD180)/AD180*100)</f>
        <v>0</v>
      </c>
      <c r="AG180" s="820"/>
      <c r="AH180" s="820"/>
      <c r="AI180" s="714">
        <f>IF(AG180=0,0,(AH180-AG180)/AG180*100)</f>
        <v>0</v>
      </c>
      <c r="AJ180" s="820"/>
      <c r="AK180" s="820"/>
      <c r="AL180" s="714">
        <f>IF(AJ180=0,0,(AK180-AJ180)/AJ180*100)</f>
        <v>0</v>
      </c>
      <c r="AM180" s="820"/>
      <c r="AN180" s="820"/>
      <c r="AO180" s="714">
        <f>IF(AM180=0,0,(AN180-AM180)/AM180*100)</f>
        <v>0</v>
      </c>
      <c r="AP180" s="820"/>
      <c r="AQ180" s="820"/>
      <c r="AR180" s="714">
        <f>IF(AP180=0,0,(AQ180-AP180)/AP180*100)</f>
        <v>0</v>
      </c>
      <c r="AS180" s="820"/>
      <c r="AT180" s="820"/>
      <c r="AU180" s="714">
        <f>IF(AS180=0,0,(AT180-AS180)/AS180*100)</f>
        <v>0</v>
      </c>
      <c r="AV180" s="820"/>
      <c r="AW180" s="820"/>
      <c r="AX180" s="714">
        <f>IF(AV180=0,0,(AW180-AV180)/AV180*100)</f>
        <v>0</v>
      </c>
      <c r="AY180" s="820"/>
      <c r="AZ180" s="820"/>
      <c r="BA180" s="714">
        <f>IF(AY180=0,0,(AZ180-AY180)/AY180*100)</f>
        <v>0</v>
      </c>
      <c r="BB180" s="820"/>
      <c r="BC180" s="820"/>
      <c r="BD180" s="714">
        <f>IF(BB180=0,0,(BC180-BB180)/BB180*100)</f>
        <v>0</v>
      </c>
      <c r="BE180" s="820"/>
      <c r="BF180" s="820"/>
      <c r="BG180" s="714">
        <f>IF(BE180=0,0,(BF180-BE180)/BE180*100)</f>
        <v>0</v>
      </c>
      <c r="BH180" s="820"/>
      <c r="BI180" s="820"/>
      <c r="BJ180" s="714">
        <f>IF(BH180=0,0,(BI180-BH180)/BH180*100)</f>
        <v>0</v>
      </c>
      <c r="BK180" s="820"/>
      <c r="BL180" s="820"/>
      <c r="BM180" s="714">
        <f>IF(BK180=0,0,(BL180-BK180)/BK180*100)</f>
        <v>0</v>
      </c>
      <c r="BN180" s="820"/>
      <c r="BO180" s="820"/>
      <c r="BP180" s="714">
        <f>IF(BN180=0,0,(BO180-BN180)/BN180*100)</f>
        <v>0</v>
      </c>
      <c r="BQ180" s="820"/>
      <c r="BR180" s="820"/>
      <c r="BS180" s="714">
        <f>IF(BQ180=0,0,(BR180-BQ180)/BQ180*100)</f>
        <v>0</v>
      </c>
      <c r="BT180" s="820"/>
      <c r="BU180" s="820"/>
      <c r="BV180" s="714">
        <f>IF(BT180=0,0,(BU180-BT180)/BT180*100)</f>
        <v>0</v>
      </c>
      <c r="BW180" s="820"/>
      <c r="BX180" s="820"/>
      <c r="BY180" s="714">
        <f>IF(BW180=0,0,(BX180-BW180)/BW180*100)</f>
        <v>0</v>
      </c>
      <c r="BZ180" s="820"/>
      <c r="CA180" s="820"/>
      <c r="CB180" s="714">
        <f>IF(BZ180=0,0,(CA180-BZ180)/BZ180*100)</f>
        <v>0</v>
      </c>
      <c r="CC180" s="820"/>
      <c r="CD180" s="820"/>
      <c r="CE180" s="714">
        <f>IF(CC180=0,0,(CD180-CC180)/CC180*100)</f>
        <v>0</v>
      </c>
      <c r="CF180" s="820"/>
      <c r="CG180" s="820"/>
      <c r="CH180" s="714">
        <f>IF(CF180=0,0,(CG180-CF180)/CF180*100)</f>
        <v>0</v>
      </c>
      <c r="CI180" s="820"/>
      <c r="CJ180" s="820"/>
      <c r="CK180" s="714">
        <f>IF(CI180=0,0,(CJ180-CI180)/CI180*100)</f>
        <v>0</v>
      </c>
      <c r="CL180" s="820"/>
      <c r="CM180" s="820"/>
      <c r="CN180" s="714">
        <f>IF(CL180=0,0,(CM180-CL180)/CL180*100)</f>
        <v>0</v>
      </c>
      <c r="CO180" s="820"/>
      <c r="CP180" s="820"/>
      <c r="CQ180" s="714">
        <f>IF(CO180=0,0,(CP180-CO180)/CO180*100)</f>
        <v>0</v>
      </c>
      <c r="CR180" s="820"/>
      <c r="CS180" s="820"/>
      <c r="CT180" s="714">
        <f>IF(CR180=0,0,(CS180-CR180)/CR180*100)</f>
        <v>0</v>
      </c>
      <c r="CU180" s="820"/>
      <c r="CV180" s="820"/>
      <c r="CW180" s="714">
        <f>IF(CU180=0,0,(CV180-CU180)/CU180*100)</f>
        <v>0</v>
      </c>
      <c r="CX180" s="820"/>
      <c r="CY180" s="820"/>
      <c r="CZ180" s="714">
        <f>IF(CX180=0,0,(CY180-CX180)/CX180*100)</f>
        <v>0</v>
      </c>
      <c r="DA180" s="820"/>
      <c r="DB180" s="820"/>
      <c r="DC180" s="714">
        <f>IF(DA180=0,0,(DB180-DA180)/DA180*100)</f>
        <v>0</v>
      </c>
      <c r="DD180" s="820"/>
      <c r="DE180" s="820"/>
      <c r="DF180" s="714">
        <f>IF(DD180=0,0,(DE180-DD180)/DD180*100)</f>
        <v>0</v>
      </c>
      <c r="DG180" s="820"/>
      <c r="DH180" s="820"/>
      <c r="DI180" s="714">
        <f>IF(DG180=0,0,(DH180-DG180)/DG180*100)</f>
        <v>0</v>
      </c>
      <c r="DJ180" s="820"/>
      <c r="DK180" s="820"/>
      <c r="DL180" s="714">
        <f>IF(DJ180=0,0,(DK180-DJ180)/DJ180*100)</f>
        <v>0</v>
      </c>
      <c r="DM180" s="820"/>
      <c r="DN180" s="820"/>
      <c r="DO180" s="714">
        <f>IF(DM180=0,0,(DN180-DM180)/DM180*100)</f>
        <v>0</v>
      </c>
      <c r="DP180" s="820"/>
      <c r="DQ180" s="820"/>
      <c r="DR180" s="714">
        <f>IF(DP180=0,0,(DQ180-DP180)/DP180*100)</f>
        <v>0</v>
      </c>
      <c r="DS180" s="820"/>
      <c r="DT180" s="820"/>
      <c r="DU180" s="714">
        <f>IF(DS180=0,0,(DT180-DS180)/DS180*100)</f>
        <v>0</v>
      </c>
      <c r="DV180" s="820"/>
      <c r="DW180" s="820"/>
      <c r="DX180" s="714">
        <f>IF(DV180=0,0,(DW180-DV180)/DV180*100)</f>
        <v>0</v>
      </c>
      <c r="DY180" s="820"/>
      <c r="DZ180" s="820"/>
      <c r="EA180" s="714">
        <f>IF(DY180=0,0,(DZ180-DY180)/DY180*100)</f>
        <v>0</v>
      </c>
      <c r="EB180" s="820"/>
      <c r="EC180" s="820"/>
      <c r="ED180" s="714">
        <f>IF(EB180=0,0,(EC180-EB180)/EB180*100)</f>
        <v>0</v>
      </c>
      <c r="EE180" s="820"/>
      <c r="EF180" s="820"/>
      <c r="EG180" s="714">
        <f>IF(EE180=0,0,(EF180-EE180)/EE180*100)</f>
        <v>0</v>
      </c>
      <c r="EH180" s="820"/>
      <c r="EI180" s="820"/>
      <c r="EJ180" s="714">
        <f>IF(EH180=0,0,(EI180-EH180)/EH180*100)</f>
        <v>0</v>
      </c>
      <c r="EK180" s="820"/>
      <c r="EL180" s="820"/>
      <c r="EM180" s="714">
        <f>IF(EK180=0,0,(EL180-EK180)/EK180*100)</f>
        <v>0</v>
      </c>
      <c r="EN180" s="820"/>
      <c r="EO180" s="820"/>
      <c r="EP180" s="714">
        <f>IF(EN180=0,0,(EO180-EN180)/EN180*100)</f>
        <v>0</v>
      </c>
      <c r="EQ180" s="820"/>
      <c r="ER180" s="820"/>
      <c r="ES180" s="714">
        <f>IF(EQ180=0,0,(ER180-EQ180)/EQ180*100)</f>
        <v>0</v>
      </c>
      <c r="ET180" s="820"/>
      <c r="EU180" s="820"/>
      <c r="EV180" s="714">
        <f>IF(ET180=0,0,(EU180-ET180)/ET180*100)</f>
        <v>0</v>
      </c>
      <c r="EW180" s="820"/>
      <c r="EX180" s="820"/>
      <c r="EY180" s="714">
        <f>IF(EW180=0,0,(EX180-EW180)/EW180*100)</f>
        <v>0</v>
      </c>
      <c r="EZ180" s="820"/>
      <c r="FA180" s="820"/>
      <c r="FB180" s="714">
        <f>IF(EZ180=0,0,(FA180-EZ180)/EZ180*100)</f>
        <v>0</v>
      </c>
      <c r="FC180" s="820"/>
      <c r="FD180" s="820"/>
      <c r="FE180" s="714">
        <f>IF(FC180=0,0,(FD180-FC180)/FC180*100)</f>
        <v>0</v>
      </c>
      <c r="FF180" s="820"/>
      <c r="FG180" s="820"/>
      <c r="FH180" s="714">
        <f>IF(FF180=0,0,(FG180-FF180)/FF180*100)</f>
        <v>0</v>
      </c>
      <c r="FI180" s="820"/>
      <c r="FJ180" s="820"/>
      <c r="FK180" s="714">
        <f>IF(FI180=0,0,(FJ180-FI180)/FI180*100)</f>
        <v>0</v>
      </c>
      <c r="FL180" s="820"/>
      <c r="FM180" s="820"/>
      <c r="FN180" s="714">
        <f>IF(FL180=0,0,(FM180-FL180)/FL180*100)</f>
        <v>0</v>
      </c>
      <c r="FO180" s="820"/>
      <c r="FP180" s="820"/>
      <c r="FQ180" s="714">
        <f>IF(FO180=0,0,(FP180-FO180)/FO180*100)</f>
        <v>0</v>
      </c>
      <c r="FR180" s="820"/>
      <c r="FS180" s="820"/>
      <c r="FT180" s="714">
        <f>IF(FR180=0,0,(FS180-FR180)/FR180*100)</f>
        <v>0</v>
      </c>
      <c r="FU180" s="820"/>
      <c r="FV180" s="820"/>
      <c r="FW180" s="714">
        <f>IF(FU180=0,0,(FV180-FU180)/FU180*100)</f>
        <v>0</v>
      </c>
      <c r="FZ180" s="691" t="s">
        <v>1709</v>
      </c>
    </row>
    <row r="181" spans="1:186" ht="14.25" hidden="1" customHeight="1" x14ac:dyDescent="0.15">
      <c r="A181" s="59"/>
      <c r="B181" s="613" t="b" cm="1">
        <f t="array" ref="B181">B180</f>
        <v>0</v>
      </c>
      <c r="C181" s="59"/>
      <c r="D181" s="59"/>
      <c r="E181" s="462">
        <v>15</v>
      </c>
      <c r="F181" s="3" t="str" cm="1">
        <f t="array" aca="1" ref="F181" ca="1">OFFSET(E181,-1,1)</f>
        <v>2</v>
      </c>
      <c r="G181" s="59"/>
      <c r="H181" s="59" t="s">
        <v>1686</v>
      </c>
      <c r="I181" s="59" t="s">
        <v>1661</v>
      </c>
      <c r="J181" s="59"/>
      <c r="K181" s="59"/>
      <c r="L181" s="59"/>
      <c r="M181" s="59"/>
      <c r="N181" s="59"/>
      <c r="O181" s="59"/>
      <c r="P181" s="59"/>
      <c r="Q181" s="59"/>
      <c r="R181" s="59"/>
      <c r="S181" s="59"/>
      <c r="T181" s="353" t="b" cm="1">
        <f t="array" aca="1" ref="T181" ca="1">T180</f>
        <v>1</v>
      </c>
      <c r="U181" s="59"/>
      <c r="V181" s="59"/>
      <c r="W181" s="59"/>
      <c r="X181" s="1022"/>
      <c r="Y181" s="59"/>
      <c r="Z181" s="966"/>
      <c r="AA181" s="59"/>
      <c r="AB181" s="105" t="s">
        <v>1687</v>
      </c>
      <c r="AC181" s="12" t="s">
        <v>1688</v>
      </c>
      <c r="AD181" s="820"/>
      <c r="AE181" s="820"/>
      <c r="AF181" s="714">
        <f>IF(AD181=0,0,(AE181-AD181)/AD181*100)</f>
        <v>0</v>
      </c>
      <c r="AG181" s="820"/>
      <c r="AH181" s="820"/>
      <c r="AI181" s="714">
        <f>IF(AG181=0,0,(AH181-AG181)/AG181*100)</f>
        <v>0</v>
      </c>
      <c r="AJ181" s="820"/>
      <c r="AK181" s="820"/>
      <c r="AL181" s="714">
        <f>IF(AJ181=0,0,(AK181-AJ181)/AJ181*100)</f>
        <v>0</v>
      </c>
      <c r="AM181" s="820"/>
      <c r="AN181" s="820"/>
      <c r="AO181" s="714">
        <f>IF(AM181=0,0,(AN181-AM181)/AM181*100)</f>
        <v>0</v>
      </c>
      <c r="AP181" s="820"/>
      <c r="AQ181" s="820"/>
      <c r="AR181" s="714">
        <f>IF(AP181=0,0,(AQ181-AP181)/AP181*100)</f>
        <v>0</v>
      </c>
      <c r="AS181" s="820"/>
      <c r="AT181" s="820"/>
      <c r="AU181" s="714">
        <f>IF(AS181=0,0,(AT181-AS181)/AS181*100)</f>
        <v>0</v>
      </c>
      <c r="AV181" s="820"/>
      <c r="AW181" s="820"/>
      <c r="AX181" s="714">
        <f>IF(AV181=0,0,(AW181-AV181)/AV181*100)</f>
        <v>0</v>
      </c>
      <c r="AY181" s="820"/>
      <c r="AZ181" s="820"/>
      <c r="BA181" s="714">
        <f>IF(AY181=0,0,(AZ181-AY181)/AY181*100)</f>
        <v>0</v>
      </c>
      <c r="BB181" s="820"/>
      <c r="BC181" s="820"/>
      <c r="BD181" s="714">
        <f>IF(BB181=0,0,(BC181-BB181)/BB181*100)</f>
        <v>0</v>
      </c>
      <c r="BE181" s="820"/>
      <c r="BF181" s="820"/>
      <c r="BG181" s="714">
        <f>IF(BE181=0,0,(BF181-BE181)/BE181*100)</f>
        <v>0</v>
      </c>
      <c r="BH181" s="820"/>
      <c r="BI181" s="820"/>
      <c r="BJ181" s="714">
        <f>IF(BH181=0,0,(BI181-BH181)/BH181*100)</f>
        <v>0</v>
      </c>
      <c r="BK181" s="820"/>
      <c r="BL181" s="820"/>
      <c r="BM181" s="714">
        <f>IF(BK181=0,0,(BL181-BK181)/BK181*100)</f>
        <v>0</v>
      </c>
      <c r="BN181" s="820"/>
      <c r="BO181" s="820"/>
      <c r="BP181" s="714">
        <f>IF(BN181=0,0,(BO181-BN181)/BN181*100)</f>
        <v>0</v>
      </c>
      <c r="BQ181" s="820"/>
      <c r="BR181" s="820"/>
      <c r="BS181" s="714">
        <f>IF(BQ181=0,0,(BR181-BQ181)/BQ181*100)</f>
        <v>0</v>
      </c>
      <c r="BT181" s="820"/>
      <c r="BU181" s="820"/>
      <c r="BV181" s="714">
        <f>IF(BT181=0,0,(BU181-BT181)/BT181*100)</f>
        <v>0</v>
      </c>
      <c r="BW181" s="820"/>
      <c r="BX181" s="820"/>
      <c r="BY181" s="714">
        <f>IF(BW181=0,0,(BX181-BW181)/BW181*100)</f>
        <v>0</v>
      </c>
      <c r="BZ181" s="820"/>
      <c r="CA181" s="820"/>
      <c r="CB181" s="714">
        <f>IF(BZ181=0,0,(CA181-BZ181)/BZ181*100)</f>
        <v>0</v>
      </c>
      <c r="CC181" s="820"/>
      <c r="CD181" s="820"/>
      <c r="CE181" s="714">
        <f>IF(CC181=0,0,(CD181-CC181)/CC181*100)</f>
        <v>0</v>
      </c>
      <c r="CF181" s="820"/>
      <c r="CG181" s="820"/>
      <c r="CH181" s="714">
        <f>IF(CF181=0,0,(CG181-CF181)/CF181*100)</f>
        <v>0</v>
      </c>
      <c r="CI181" s="820"/>
      <c r="CJ181" s="820"/>
      <c r="CK181" s="714">
        <f>IF(CI181=0,0,(CJ181-CI181)/CI181*100)</f>
        <v>0</v>
      </c>
      <c r="CL181" s="820"/>
      <c r="CM181" s="820"/>
      <c r="CN181" s="714">
        <f>IF(CL181=0,0,(CM181-CL181)/CL181*100)</f>
        <v>0</v>
      </c>
      <c r="CO181" s="820"/>
      <c r="CP181" s="820"/>
      <c r="CQ181" s="714">
        <f>IF(CO181=0,0,(CP181-CO181)/CO181*100)</f>
        <v>0</v>
      </c>
      <c r="CR181" s="820"/>
      <c r="CS181" s="820"/>
      <c r="CT181" s="714">
        <f>IF(CR181=0,0,(CS181-CR181)/CR181*100)</f>
        <v>0</v>
      </c>
      <c r="CU181" s="820"/>
      <c r="CV181" s="820"/>
      <c r="CW181" s="714">
        <f>IF(CU181=0,0,(CV181-CU181)/CU181*100)</f>
        <v>0</v>
      </c>
      <c r="CX181" s="820"/>
      <c r="CY181" s="820"/>
      <c r="CZ181" s="714">
        <f>IF(CX181=0,0,(CY181-CX181)/CX181*100)</f>
        <v>0</v>
      </c>
      <c r="DA181" s="820"/>
      <c r="DB181" s="820"/>
      <c r="DC181" s="714">
        <f>IF(DA181=0,0,(DB181-DA181)/DA181*100)</f>
        <v>0</v>
      </c>
      <c r="DD181" s="820"/>
      <c r="DE181" s="820"/>
      <c r="DF181" s="714">
        <f>IF(DD181=0,0,(DE181-DD181)/DD181*100)</f>
        <v>0</v>
      </c>
      <c r="DG181" s="820"/>
      <c r="DH181" s="820"/>
      <c r="DI181" s="714">
        <f>IF(DG181=0,0,(DH181-DG181)/DG181*100)</f>
        <v>0</v>
      </c>
      <c r="DJ181" s="820"/>
      <c r="DK181" s="820"/>
      <c r="DL181" s="714">
        <f>IF(DJ181=0,0,(DK181-DJ181)/DJ181*100)</f>
        <v>0</v>
      </c>
      <c r="DM181" s="820"/>
      <c r="DN181" s="820"/>
      <c r="DO181" s="714">
        <f>IF(DM181=0,0,(DN181-DM181)/DM181*100)</f>
        <v>0</v>
      </c>
      <c r="DP181" s="820"/>
      <c r="DQ181" s="820"/>
      <c r="DR181" s="714">
        <f>IF(DP181=0,0,(DQ181-DP181)/DP181*100)</f>
        <v>0</v>
      </c>
      <c r="DS181" s="820"/>
      <c r="DT181" s="820"/>
      <c r="DU181" s="714">
        <f>IF(DS181=0,0,(DT181-DS181)/DS181*100)</f>
        <v>0</v>
      </c>
      <c r="DV181" s="820"/>
      <c r="DW181" s="820"/>
      <c r="DX181" s="714">
        <f>IF(DV181=0,0,(DW181-DV181)/DV181*100)</f>
        <v>0</v>
      </c>
      <c r="DY181" s="820"/>
      <c r="DZ181" s="820"/>
      <c r="EA181" s="714">
        <f>IF(DY181=0,0,(DZ181-DY181)/DY181*100)</f>
        <v>0</v>
      </c>
      <c r="EB181" s="820"/>
      <c r="EC181" s="820"/>
      <c r="ED181" s="714">
        <f>IF(EB181=0,0,(EC181-EB181)/EB181*100)</f>
        <v>0</v>
      </c>
      <c r="EE181" s="820"/>
      <c r="EF181" s="820"/>
      <c r="EG181" s="714">
        <f>IF(EE181=0,0,(EF181-EE181)/EE181*100)</f>
        <v>0</v>
      </c>
      <c r="EH181" s="820"/>
      <c r="EI181" s="820"/>
      <c r="EJ181" s="714">
        <f>IF(EH181=0,0,(EI181-EH181)/EH181*100)</f>
        <v>0</v>
      </c>
      <c r="EK181" s="820"/>
      <c r="EL181" s="820"/>
      <c r="EM181" s="714">
        <f>IF(EK181=0,0,(EL181-EK181)/EK181*100)</f>
        <v>0</v>
      </c>
      <c r="EN181" s="820"/>
      <c r="EO181" s="820"/>
      <c r="EP181" s="714">
        <f>IF(EN181=0,0,(EO181-EN181)/EN181*100)</f>
        <v>0</v>
      </c>
      <c r="EQ181" s="820"/>
      <c r="ER181" s="820"/>
      <c r="ES181" s="714">
        <f>IF(EQ181=0,0,(ER181-EQ181)/EQ181*100)</f>
        <v>0</v>
      </c>
      <c r="ET181" s="820"/>
      <c r="EU181" s="820"/>
      <c r="EV181" s="714">
        <f>IF(ET181=0,0,(EU181-ET181)/ET181*100)</f>
        <v>0</v>
      </c>
      <c r="EW181" s="820"/>
      <c r="EX181" s="820"/>
      <c r="EY181" s="714">
        <f>IF(EW181=0,0,(EX181-EW181)/EW181*100)</f>
        <v>0</v>
      </c>
      <c r="EZ181" s="820"/>
      <c r="FA181" s="820"/>
      <c r="FB181" s="714">
        <f>IF(EZ181=0,0,(FA181-EZ181)/EZ181*100)</f>
        <v>0</v>
      </c>
      <c r="FC181" s="820"/>
      <c r="FD181" s="820"/>
      <c r="FE181" s="714">
        <f>IF(FC181=0,0,(FD181-FC181)/FC181*100)</f>
        <v>0</v>
      </c>
      <c r="FF181" s="820"/>
      <c r="FG181" s="820"/>
      <c r="FH181" s="714">
        <f>IF(FF181=0,0,(FG181-FF181)/FF181*100)</f>
        <v>0</v>
      </c>
      <c r="FI181" s="820"/>
      <c r="FJ181" s="820"/>
      <c r="FK181" s="714">
        <f>IF(FI181=0,0,(FJ181-FI181)/FI181*100)</f>
        <v>0</v>
      </c>
      <c r="FL181" s="820"/>
      <c r="FM181" s="820"/>
      <c r="FN181" s="714">
        <f>IF(FL181=0,0,(FM181-FL181)/FL181*100)</f>
        <v>0</v>
      </c>
      <c r="FO181" s="820"/>
      <c r="FP181" s="820"/>
      <c r="FQ181" s="714">
        <f>IF(FO181=0,0,(FP181-FO181)/FO181*100)</f>
        <v>0</v>
      </c>
      <c r="FR181" s="820"/>
      <c r="FS181" s="820"/>
      <c r="FT181" s="714">
        <f>IF(FR181=0,0,(FS181-FR181)/FR181*100)</f>
        <v>0</v>
      </c>
      <c r="FU181" s="820"/>
      <c r="FV181" s="820"/>
      <c r="FW181" s="714">
        <f>IF(FU181=0,0,(FV181-FU181)/FU181*100)</f>
        <v>0</v>
      </c>
      <c r="FZ181" s="691" t="s">
        <v>1710</v>
      </c>
    </row>
    <row r="182" spans="1:186" ht="18" hidden="1" customHeight="1" x14ac:dyDescent="0.15">
      <c r="A182" s="59"/>
      <c r="B182" s="613" t="b" cm="1">
        <f t="array" ref="B182">B181</f>
        <v>0</v>
      </c>
      <c r="C182" s="59"/>
      <c r="D182" s="59"/>
      <c r="E182" s="462">
        <v>18.75</v>
      </c>
      <c r="F182" s="3" t="str" cm="1">
        <f t="array" aca="1" ref="F182" ca="1">OFFSET(E182,-1,1)</f>
        <v>2</v>
      </c>
      <c r="G182" s="59"/>
      <c r="H182" s="59"/>
      <c r="I182" s="59"/>
      <c r="J182" s="59"/>
      <c r="K182" s="59"/>
      <c r="L182" s="59"/>
      <c r="M182" s="59"/>
      <c r="N182" s="59"/>
      <c r="O182" s="59"/>
      <c r="P182" s="59"/>
      <c r="Q182" s="59"/>
      <c r="R182" s="59"/>
      <c r="S182" s="59"/>
      <c r="T182" s="353" t="b">
        <f ca="1">AND(F182&gt;0,Y182&gt;0)</f>
        <v>0</v>
      </c>
      <c r="U182" s="59"/>
      <c r="V182" s="59"/>
      <c r="W182" s="59" t="s">
        <v>172</v>
      </c>
      <c r="X182" s="1022"/>
      <c r="Y182" s="1022">
        <v>0</v>
      </c>
      <c r="Z182" s="966"/>
      <c r="AA182" s="913" t="s">
        <v>173</v>
      </c>
      <c r="AB182" s="863"/>
      <c r="AC182" s="584"/>
      <c r="AD182" s="720"/>
      <c r="AE182" s="721"/>
      <c r="AF182" s="721"/>
      <c r="AG182" s="720"/>
      <c r="AH182" s="721"/>
      <c r="AI182" s="721"/>
      <c r="AJ182" s="720"/>
      <c r="AK182" s="721"/>
      <c r="AL182" s="721"/>
      <c r="AM182" s="720"/>
      <c r="AN182" s="721"/>
      <c r="AO182" s="721"/>
      <c r="AP182" s="720"/>
      <c r="AQ182" s="721"/>
      <c r="AR182" s="721"/>
      <c r="AS182" s="720"/>
      <c r="AT182" s="721"/>
      <c r="AU182" s="721"/>
      <c r="AV182" s="720"/>
      <c r="AW182" s="721"/>
      <c r="AX182" s="721"/>
      <c r="AY182" s="720"/>
      <c r="AZ182" s="721"/>
      <c r="BA182" s="721"/>
      <c r="BB182" s="720"/>
      <c r="BC182" s="721"/>
      <c r="BD182" s="721"/>
      <c r="BE182" s="720"/>
      <c r="BF182" s="721"/>
      <c r="BG182" s="721"/>
      <c r="BH182" s="720"/>
      <c r="BI182" s="721"/>
      <c r="BJ182" s="721"/>
      <c r="BK182" s="720"/>
      <c r="BL182" s="721"/>
      <c r="BM182" s="721"/>
      <c r="BN182" s="720"/>
      <c r="BO182" s="721"/>
      <c r="BP182" s="721"/>
      <c r="BQ182" s="720"/>
      <c r="BR182" s="721"/>
      <c r="BS182" s="721"/>
      <c r="BT182" s="720"/>
      <c r="BU182" s="721"/>
      <c r="BV182" s="721"/>
      <c r="BW182" s="720"/>
      <c r="BX182" s="721"/>
      <c r="BY182" s="721"/>
      <c r="BZ182" s="720"/>
      <c r="CA182" s="721"/>
      <c r="CB182" s="721"/>
      <c r="CC182" s="720"/>
      <c r="CD182" s="721"/>
      <c r="CE182" s="721"/>
      <c r="CF182" s="720"/>
      <c r="CG182" s="721"/>
      <c r="CH182" s="721"/>
      <c r="CI182" s="720"/>
      <c r="CJ182" s="721"/>
      <c r="CK182" s="721"/>
      <c r="CL182" s="720"/>
      <c r="CM182" s="721"/>
      <c r="CN182" s="721"/>
      <c r="CO182" s="720"/>
      <c r="CP182" s="721"/>
      <c r="CQ182" s="721"/>
      <c r="CR182" s="720"/>
      <c r="CS182" s="721"/>
      <c r="CT182" s="721"/>
      <c r="CU182" s="720"/>
      <c r="CV182" s="721"/>
      <c r="CW182" s="721"/>
      <c r="CX182" s="720"/>
      <c r="CY182" s="721"/>
      <c r="CZ182" s="721"/>
      <c r="DA182" s="720"/>
      <c r="DB182" s="721"/>
      <c r="DC182" s="721"/>
      <c r="DD182" s="720"/>
      <c r="DE182" s="721"/>
      <c r="DF182" s="721"/>
      <c r="DG182" s="720"/>
      <c r="DH182" s="721"/>
      <c r="DI182" s="721"/>
      <c r="DJ182" s="720"/>
      <c r="DK182" s="721"/>
      <c r="DL182" s="721"/>
      <c r="DM182" s="720"/>
      <c r="DN182" s="721"/>
      <c r="DO182" s="721"/>
      <c r="DP182" s="720"/>
      <c r="DQ182" s="721"/>
      <c r="DR182" s="721"/>
      <c r="DS182" s="720"/>
      <c r="DT182" s="721"/>
      <c r="DU182" s="721"/>
      <c r="DV182" s="720"/>
      <c r="DW182" s="721"/>
      <c r="DX182" s="721"/>
      <c r="DY182" s="720"/>
      <c r="DZ182" s="721"/>
      <c r="EA182" s="721"/>
      <c r="EB182" s="720"/>
      <c r="EC182" s="721"/>
      <c r="ED182" s="721"/>
      <c r="EE182" s="720"/>
      <c r="EF182" s="721"/>
      <c r="EG182" s="721"/>
      <c r="EH182" s="720"/>
      <c r="EI182" s="721"/>
      <c r="EJ182" s="721"/>
      <c r="EK182" s="720"/>
      <c r="EL182" s="721"/>
      <c r="EM182" s="721"/>
      <c r="EN182" s="720"/>
      <c r="EO182" s="721"/>
      <c r="EP182" s="721"/>
      <c r="EQ182" s="720"/>
      <c r="ER182" s="721"/>
      <c r="ES182" s="721"/>
      <c r="ET182" s="720"/>
      <c r="EU182" s="721"/>
      <c r="EV182" s="721"/>
      <c r="EW182" s="720"/>
      <c r="EX182" s="721"/>
      <c r="EY182" s="721"/>
      <c r="EZ182" s="720"/>
      <c r="FA182" s="721"/>
      <c r="FB182" s="721"/>
      <c r="FC182" s="720"/>
      <c r="FD182" s="721"/>
      <c r="FE182" s="721"/>
      <c r="FF182" s="720"/>
      <c r="FG182" s="721"/>
      <c r="FH182" s="721"/>
      <c r="FI182" s="720"/>
      <c r="FJ182" s="721"/>
      <c r="FK182" s="721"/>
      <c r="FL182" s="720"/>
      <c r="FM182" s="721"/>
      <c r="FN182" s="721"/>
      <c r="FO182" s="720"/>
      <c r="FP182" s="721"/>
      <c r="FQ182" s="721"/>
      <c r="FR182" s="720"/>
      <c r="FS182" s="721"/>
      <c r="FT182" s="721"/>
      <c r="FU182" s="720"/>
      <c r="FV182" s="721"/>
      <c r="FW182" s="722"/>
      <c r="FZ182" s="691"/>
      <c r="GD182" s="461" t="b">
        <v>1</v>
      </c>
    </row>
    <row r="183" spans="1:186" ht="14.25" hidden="1" customHeight="1" x14ac:dyDescent="0.15">
      <c r="A183" s="59"/>
      <c r="B183" s="613" t="b" cm="1">
        <f t="array" ref="B183">B182</f>
        <v>0</v>
      </c>
      <c r="C183" s="59"/>
      <c r="D183" s="59"/>
      <c r="E183" s="462">
        <v>15</v>
      </c>
      <c r="F183" s="3" t="str" cm="1">
        <f t="array" aca="1" ref="F183" ca="1">OFFSET(E183,-1,1)</f>
        <v>2</v>
      </c>
      <c r="G183" s="59"/>
      <c r="H183" s="59" t="s">
        <v>1570</v>
      </c>
      <c r="I183" s="59" cm="1">
        <f t="array" ref="I183">AB182</f>
        <v>0</v>
      </c>
      <c r="J183" s="59"/>
      <c r="K183" s="59"/>
      <c r="L183" s="59"/>
      <c r="M183" s="59"/>
      <c r="N183" s="59"/>
      <c r="O183" s="59"/>
      <c r="P183" s="59"/>
      <c r="Q183" s="59"/>
      <c r="R183" s="59"/>
      <c r="S183" s="59"/>
      <c r="T183" s="353" t="b" cm="1">
        <f t="array" aca="1" ref="T183" ca="1">T182</f>
        <v>0</v>
      </c>
      <c r="U183" s="59"/>
      <c r="V183" s="59"/>
      <c r="W183" s="59"/>
      <c r="X183" s="1022"/>
      <c r="Y183" s="1022"/>
      <c r="Z183" s="966"/>
      <c r="AA183" s="913"/>
      <c r="AB183" s="105" t="s">
        <v>1677</v>
      </c>
      <c r="AC183" s="12" t="s">
        <v>1644</v>
      </c>
      <c r="AD183" s="820">
        <f>IF(AD185=0,0,(AD184*AD185+AD186*AD187*IF(god=2026,3,6))/AD185)</f>
        <v>0</v>
      </c>
      <c r="AE183" s="820">
        <f>IF(AE185=0,0,(AE184*AE185+AE186*AE187*IF(god=2026,3,6))/AE185)</f>
        <v>0</v>
      </c>
      <c r="AF183" s="714">
        <f>IF(AD183=0,0,(AE183-AD183)/AD183*100)</f>
        <v>0</v>
      </c>
      <c r="AG183" s="820">
        <f>IF(AG185=0,0,(AG184*AG185+AG186*AG187*IF(god=2025,3,6))/AG185)</f>
        <v>0</v>
      </c>
      <c r="AH183" s="820">
        <f>IF(AH185=0,0,(AH184*AH185+AH186*AH187*IF(god=2025,3,6))/AH185)</f>
        <v>0</v>
      </c>
      <c r="AI183" s="714">
        <f>IF(AG183=0,0,(AH183-AG183)/AG183*100)</f>
        <v>0</v>
      </c>
      <c r="AJ183" s="820">
        <f>IF(AJ185=0,0,(AJ184*AJ185+AJ186*AJ187*6)/AJ185)</f>
        <v>0</v>
      </c>
      <c r="AK183" s="820">
        <f>IF(AK185=0,0,(AK184*AK185+AK186*AK187*6)/AK185)</f>
        <v>0</v>
      </c>
      <c r="AL183" s="714">
        <f>IF(AJ183=0,0,(AK183-AJ183)/AJ183*100)</f>
        <v>0</v>
      </c>
      <c r="AM183" s="820">
        <f>IF(AM185=0,0,(AM184*AM185+AM186*AM187*6)/AM185)</f>
        <v>0</v>
      </c>
      <c r="AN183" s="820">
        <f>IF(AN185=0,0,(AN184*AN185+AN186*AN187*6)/AN185)</f>
        <v>0</v>
      </c>
      <c r="AO183" s="714">
        <f>IF(AM183=0,0,(AN183-AM183)/AM183*100)</f>
        <v>0</v>
      </c>
      <c r="AP183" s="820">
        <f>IF(AP185=0,0,(AP184*AP185+AP186*AP187*6)/AP185)</f>
        <v>0</v>
      </c>
      <c r="AQ183" s="820">
        <f>IF(AQ185=0,0,(AQ184*AQ185+AQ186*AQ187*6)/AQ185)</f>
        <v>0</v>
      </c>
      <c r="AR183" s="714">
        <f>IF(AP183=0,0,(AQ183-AP183)/AP183*100)</f>
        <v>0</v>
      </c>
      <c r="AS183" s="820">
        <f>IF(AS185=0,0,(AS184*AS185+AS186*AS187*6)/AS185)</f>
        <v>0</v>
      </c>
      <c r="AT183" s="820">
        <f>IF(AT185=0,0,(AT184*AT185+AT186*AT187*6)/AT185)</f>
        <v>0</v>
      </c>
      <c r="AU183" s="714">
        <f>IF(AS183=0,0,(AT183-AS183)/AS183*100)</f>
        <v>0</v>
      </c>
      <c r="AV183" s="820">
        <f>IF(AV185=0,0,(AV184*AV185+AV186*AV187*6)/AV185)</f>
        <v>0</v>
      </c>
      <c r="AW183" s="820">
        <f>IF(AW185=0,0,(AW184*AW185+AW186*AW187*6)/AW185)</f>
        <v>0</v>
      </c>
      <c r="AX183" s="714">
        <f>IF(AV183=0,0,(AW183-AV183)/AV183*100)</f>
        <v>0</v>
      </c>
      <c r="AY183" s="820">
        <f>IF(AY185=0,0,(AY184*AY185+AY186*AY187*6)/AY185)</f>
        <v>0</v>
      </c>
      <c r="AZ183" s="820">
        <f>IF(AZ185=0,0,(AZ184*AZ185+AZ186*AZ187*6)/AZ185)</f>
        <v>0</v>
      </c>
      <c r="BA183" s="714">
        <f>IF(AY183=0,0,(AZ183-AY183)/AY183*100)</f>
        <v>0</v>
      </c>
      <c r="BB183" s="820">
        <f>IF(BB185=0,0,(BB184*BB185+BB186*BB187*6)/BB185)</f>
        <v>0</v>
      </c>
      <c r="BC183" s="820">
        <f>IF(BC185=0,0,(BC184*BC185+BC186*BC187*6)/BC185)</f>
        <v>0</v>
      </c>
      <c r="BD183" s="714">
        <f>IF(BB183=0,0,(BC183-BB183)/BB183*100)</f>
        <v>0</v>
      </c>
      <c r="BE183" s="820">
        <f>IF(BE185=0,0,(BE184*BE185+BE186*BE187*6)/BE185)</f>
        <v>0</v>
      </c>
      <c r="BF183" s="820">
        <f>IF(BF185=0,0,(BF184*BF185+BF186*BF187*6)/BF185)</f>
        <v>0</v>
      </c>
      <c r="BG183" s="714">
        <f>IF(BE183=0,0,(BF183-BE183)/BE183*100)</f>
        <v>0</v>
      </c>
      <c r="BH183" s="820">
        <f>IF(BH185=0,0,(BH184*BH185+BH186*BH187*6)/BH185)</f>
        <v>0</v>
      </c>
      <c r="BI183" s="820">
        <f>IF(BI185=0,0,(BI184*BI185+BI186*BI187*6)/BI185)</f>
        <v>0</v>
      </c>
      <c r="BJ183" s="714">
        <f>IF(BH183=0,0,(BI183-BH183)/BH183*100)</f>
        <v>0</v>
      </c>
      <c r="BK183" s="820">
        <f>IF(BK185=0,0,(BK184*BK185+BK186*BK187*6)/BK185)</f>
        <v>0</v>
      </c>
      <c r="BL183" s="820">
        <f>IF(BL185=0,0,(BL184*BL185+BL186*BL187*6)/BL185)</f>
        <v>0</v>
      </c>
      <c r="BM183" s="714">
        <f>IF(BK183=0,0,(BL183-BK183)/BK183*100)</f>
        <v>0</v>
      </c>
      <c r="BN183" s="820">
        <f>IF(BN185=0,0,(BN184*BN185+BN186*BN187*6)/BN185)</f>
        <v>0</v>
      </c>
      <c r="BO183" s="820">
        <f>IF(BO185=0,0,(BO184*BO185+BO186*BO187*6)/BO185)</f>
        <v>0</v>
      </c>
      <c r="BP183" s="714">
        <f>IF(BN183=0,0,(BO183-BN183)/BN183*100)</f>
        <v>0</v>
      </c>
      <c r="BQ183" s="820">
        <f>IF(BQ185=0,0,(BQ184*BQ185+BQ186*BQ187*6)/BQ185)</f>
        <v>0</v>
      </c>
      <c r="BR183" s="820">
        <f>IF(BR185=0,0,(BR184*BR185+BR186*BR187*6)/BR185)</f>
        <v>0</v>
      </c>
      <c r="BS183" s="714">
        <f>IF(BQ183=0,0,(BR183-BQ183)/BQ183*100)</f>
        <v>0</v>
      </c>
      <c r="BT183" s="820">
        <f>IF(BT185=0,0,(BT184*BT185+BT186*BT187*6)/BT185)</f>
        <v>0</v>
      </c>
      <c r="BU183" s="820">
        <f>IF(BU185=0,0,(BU184*BU185+BU186*BU187*6)/BU185)</f>
        <v>0</v>
      </c>
      <c r="BV183" s="714">
        <f>IF(BT183=0,0,(BU183-BT183)/BT183*100)</f>
        <v>0</v>
      </c>
      <c r="BW183" s="820">
        <f>IF(BW185=0,0,(BW184*BW185+BW186*BW187*6)/BW185)</f>
        <v>0</v>
      </c>
      <c r="BX183" s="820">
        <f>IF(BX185=0,0,(BX184*BX185+BX186*BX187*6)/BX185)</f>
        <v>0</v>
      </c>
      <c r="BY183" s="714">
        <f>IF(BW183=0,0,(BX183-BW183)/BW183*100)</f>
        <v>0</v>
      </c>
      <c r="BZ183" s="820">
        <f>IF(BZ185=0,0,(BZ184*BZ185+BZ186*BZ187*6)/BZ185)</f>
        <v>0</v>
      </c>
      <c r="CA183" s="820">
        <f>IF(CA185=0,0,(CA184*CA185+CA186*CA187*6)/CA185)</f>
        <v>0</v>
      </c>
      <c r="CB183" s="714">
        <f>IF(BZ183=0,0,(CA183-BZ183)/BZ183*100)</f>
        <v>0</v>
      </c>
      <c r="CC183" s="820">
        <f>IF(CC185=0,0,(CC184*CC185+CC186*CC187*6)/CC185)</f>
        <v>0</v>
      </c>
      <c r="CD183" s="820">
        <f>IF(CD185=0,0,(CD184*CD185+CD186*CD187*6)/CD185)</f>
        <v>0</v>
      </c>
      <c r="CE183" s="714">
        <f>IF(CC183=0,0,(CD183-CC183)/CC183*100)</f>
        <v>0</v>
      </c>
      <c r="CF183" s="820">
        <f>IF(CF185=0,0,(CF184*CF185+CF186*CF187*6)/CF185)</f>
        <v>0</v>
      </c>
      <c r="CG183" s="820">
        <f>IF(CG185=0,0,(CG184*CG185+CG186*CG187*6)/CG185)</f>
        <v>0</v>
      </c>
      <c r="CH183" s="714">
        <f>IF(CF183=0,0,(CG183-CF183)/CF183*100)</f>
        <v>0</v>
      </c>
      <c r="CI183" s="820">
        <f>IF(CI185=0,0,(CI184*CI185+CI186*CI187*6)/CI185)</f>
        <v>0</v>
      </c>
      <c r="CJ183" s="820">
        <f>IF(CJ185=0,0,(CJ184*CJ185+CJ186*CJ187*6)/CJ185)</f>
        <v>0</v>
      </c>
      <c r="CK183" s="714">
        <f>IF(CI183=0,0,(CJ183-CI183)/CI183*100)</f>
        <v>0</v>
      </c>
      <c r="CL183" s="820">
        <f>IF(CL185=0,0,(CL184*CL185+CL186*CL187*6)/CL185)</f>
        <v>0</v>
      </c>
      <c r="CM183" s="820">
        <f>IF(CM185=0,0,(CM184*CM185+CM186*CM187*6)/CM185)</f>
        <v>0</v>
      </c>
      <c r="CN183" s="714">
        <f>IF(CL183=0,0,(CM183-CL183)/CL183*100)</f>
        <v>0</v>
      </c>
      <c r="CO183" s="820">
        <f>IF(CO185=0,0,(CO184*CO185+CO186*CO187*6)/CO185)</f>
        <v>0</v>
      </c>
      <c r="CP183" s="820">
        <f>IF(CP185=0,0,(CP184*CP185+CP186*CP187*6)/CP185)</f>
        <v>0</v>
      </c>
      <c r="CQ183" s="714">
        <f>IF(CO183=0,0,(CP183-CO183)/CO183*100)</f>
        <v>0</v>
      </c>
      <c r="CR183" s="820">
        <f>IF(CR185=0,0,(CR184*CR185+CR186*CR187*6)/CR185)</f>
        <v>0</v>
      </c>
      <c r="CS183" s="820">
        <f>IF(CS185=0,0,(CS184*CS185+CS186*CS187*6)/CS185)</f>
        <v>0</v>
      </c>
      <c r="CT183" s="714">
        <f>IF(CR183=0,0,(CS183-CR183)/CR183*100)</f>
        <v>0</v>
      </c>
      <c r="CU183" s="820">
        <f>IF(CU185=0,0,(CU184*CU185+CU186*CU187*6)/CU185)</f>
        <v>0</v>
      </c>
      <c r="CV183" s="820">
        <f>IF(CV185=0,0,(CV184*CV185+CV186*CV187*6)/CV185)</f>
        <v>0</v>
      </c>
      <c r="CW183" s="714">
        <f>IF(CU183=0,0,(CV183-CU183)/CU183*100)</f>
        <v>0</v>
      </c>
      <c r="CX183" s="820">
        <f>IF(CX185=0,0,(CX184*CX185+CX186*CX187*6)/CX185)</f>
        <v>0</v>
      </c>
      <c r="CY183" s="820">
        <f>IF(CY185=0,0,(CY184*CY185+CY186*CY187*6)/CY185)</f>
        <v>0</v>
      </c>
      <c r="CZ183" s="714">
        <f>IF(CX183=0,0,(CY183-CX183)/CX183*100)</f>
        <v>0</v>
      </c>
      <c r="DA183" s="820">
        <f>IF(DA185=0,0,(DA184*DA185+DA186*DA187*6)/DA185)</f>
        <v>0</v>
      </c>
      <c r="DB183" s="820">
        <f>IF(DB185=0,0,(DB184*DB185+DB186*DB187*6)/DB185)</f>
        <v>0</v>
      </c>
      <c r="DC183" s="714">
        <f>IF(DA183=0,0,(DB183-DA183)/DA183*100)</f>
        <v>0</v>
      </c>
      <c r="DD183" s="820">
        <f>IF(DD185=0,0,(DD184*DD185+DD186*DD187*6)/DD185)</f>
        <v>0</v>
      </c>
      <c r="DE183" s="820">
        <f>IF(DE185=0,0,(DE184*DE185+DE186*DE187*6)/DE185)</f>
        <v>0</v>
      </c>
      <c r="DF183" s="714">
        <f>IF(DD183=0,0,(DE183-DD183)/DD183*100)</f>
        <v>0</v>
      </c>
      <c r="DG183" s="820">
        <f>IF(DG185=0,0,(DG184*DG185+DG186*DG187*6)/DG185)</f>
        <v>0</v>
      </c>
      <c r="DH183" s="820">
        <f>IF(DH185=0,0,(DH184*DH185+DH186*DH187*6)/DH185)</f>
        <v>0</v>
      </c>
      <c r="DI183" s="714">
        <f>IF(DG183=0,0,(DH183-DG183)/DG183*100)</f>
        <v>0</v>
      </c>
      <c r="DJ183" s="820">
        <f>IF(DJ185=0,0,(DJ184*DJ185+DJ186*DJ187*6)/DJ185)</f>
        <v>0</v>
      </c>
      <c r="DK183" s="820">
        <f>IF(DK185=0,0,(DK184*DK185+DK186*DK187*6)/DK185)</f>
        <v>0</v>
      </c>
      <c r="DL183" s="714">
        <f>IF(DJ183=0,0,(DK183-DJ183)/DJ183*100)</f>
        <v>0</v>
      </c>
      <c r="DM183" s="820">
        <f>IF(DM185=0,0,(DM184*DM185+DM186*DM187*6)/DM185)</f>
        <v>0</v>
      </c>
      <c r="DN183" s="820">
        <f>IF(DN185=0,0,(DN184*DN185+DN186*DN187*6)/DN185)</f>
        <v>0</v>
      </c>
      <c r="DO183" s="714">
        <f>IF(DM183=0,0,(DN183-DM183)/DM183*100)</f>
        <v>0</v>
      </c>
      <c r="DP183" s="820">
        <f>IF(DP185=0,0,(DP184*DP185+DP186*DP187*6)/DP185)</f>
        <v>0</v>
      </c>
      <c r="DQ183" s="820">
        <f>IF(DQ185=0,0,(DQ184*DQ185+DQ186*DQ187*6)/DQ185)</f>
        <v>0</v>
      </c>
      <c r="DR183" s="714">
        <f>IF(DP183=0,0,(DQ183-DP183)/DP183*100)</f>
        <v>0</v>
      </c>
      <c r="DS183" s="820">
        <f>IF(DS185=0,0,(DS184*DS185+DS186*DS187*6)/DS185)</f>
        <v>0</v>
      </c>
      <c r="DT183" s="820">
        <f>IF(DT185=0,0,(DT184*DT185+DT186*DT187*6)/DT185)</f>
        <v>0</v>
      </c>
      <c r="DU183" s="714">
        <f>IF(DS183=0,0,(DT183-DS183)/DS183*100)</f>
        <v>0</v>
      </c>
      <c r="DV183" s="820">
        <f>IF(DV185=0,0,(DV184*DV185+DV186*DV187*6)/DV185)</f>
        <v>0</v>
      </c>
      <c r="DW183" s="820">
        <f>IF(DW185=0,0,(DW184*DW185+DW186*DW187*6)/DW185)</f>
        <v>0</v>
      </c>
      <c r="DX183" s="714">
        <f>IF(DV183=0,0,(DW183-DV183)/DV183*100)</f>
        <v>0</v>
      </c>
      <c r="DY183" s="820">
        <f>IF(DY185=0,0,(DY184*DY185+DY186*DY187*6)/DY185)</f>
        <v>0</v>
      </c>
      <c r="DZ183" s="820">
        <f>IF(DZ185=0,0,(DZ184*DZ185+DZ186*DZ187*6)/DZ185)</f>
        <v>0</v>
      </c>
      <c r="EA183" s="714">
        <f>IF(DY183=0,0,(DZ183-DY183)/DY183*100)</f>
        <v>0</v>
      </c>
      <c r="EB183" s="820">
        <f>IF(EB185=0,0,(EB184*EB185+EB186*EB187*6)/EB185)</f>
        <v>0</v>
      </c>
      <c r="EC183" s="820">
        <f>IF(EC185=0,0,(EC184*EC185+EC186*EC187*6)/EC185)</f>
        <v>0</v>
      </c>
      <c r="ED183" s="714">
        <f>IF(EB183=0,0,(EC183-EB183)/EB183*100)</f>
        <v>0</v>
      </c>
      <c r="EE183" s="820">
        <f>IF(EE185=0,0,(EE184*EE185+EE186*EE187*6)/EE185)</f>
        <v>0</v>
      </c>
      <c r="EF183" s="820">
        <f>IF(EF185=0,0,(EF184*EF185+EF186*EF187*6)/EF185)</f>
        <v>0</v>
      </c>
      <c r="EG183" s="714">
        <f>IF(EE183=0,0,(EF183-EE183)/EE183*100)</f>
        <v>0</v>
      </c>
      <c r="EH183" s="820">
        <f>IF(EH185=0,0,(EH184*EH185+EH186*EH187*6)/EH185)</f>
        <v>0</v>
      </c>
      <c r="EI183" s="820">
        <f>IF(EI185=0,0,(EI184*EI185+EI186*EI187*6)/EI185)</f>
        <v>0</v>
      </c>
      <c r="EJ183" s="714">
        <f>IF(EH183=0,0,(EI183-EH183)/EH183*100)</f>
        <v>0</v>
      </c>
      <c r="EK183" s="820">
        <f>IF(EK185=0,0,(EK184*EK185+EK186*EK187*6)/EK185)</f>
        <v>0</v>
      </c>
      <c r="EL183" s="820">
        <f>IF(EL185=0,0,(EL184*EL185+EL186*EL187*6)/EL185)</f>
        <v>0</v>
      </c>
      <c r="EM183" s="714">
        <f>IF(EK183=0,0,(EL183-EK183)/EK183*100)</f>
        <v>0</v>
      </c>
      <c r="EN183" s="820">
        <f>IF(EN185=0,0,(EN184*EN185+EN186*EN187*6)/EN185)</f>
        <v>0</v>
      </c>
      <c r="EO183" s="820">
        <f>IF(EO185=0,0,(EO184*EO185+EO186*EO187*6)/EO185)</f>
        <v>0</v>
      </c>
      <c r="EP183" s="714">
        <f>IF(EN183=0,0,(EO183-EN183)/EN183*100)</f>
        <v>0</v>
      </c>
      <c r="EQ183" s="820">
        <f>IF(EQ185=0,0,(EQ184*EQ185+EQ186*EQ187*6)/EQ185)</f>
        <v>0</v>
      </c>
      <c r="ER183" s="820">
        <f>IF(ER185=0,0,(ER184*ER185+ER186*ER187*6)/ER185)</f>
        <v>0</v>
      </c>
      <c r="ES183" s="714">
        <f>IF(EQ183=0,0,(ER183-EQ183)/EQ183*100)</f>
        <v>0</v>
      </c>
      <c r="ET183" s="820">
        <f>IF(ET185=0,0,(ET184*ET185+ET186*ET187*6)/ET185)</f>
        <v>0</v>
      </c>
      <c r="EU183" s="820">
        <f>IF(EU185=0,0,(EU184*EU185+EU186*EU187*6)/EU185)</f>
        <v>0</v>
      </c>
      <c r="EV183" s="714">
        <f>IF(ET183=0,0,(EU183-ET183)/ET183*100)</f>
        <v>0</v>
      </c>
      <c r="EW183" s="820">
        <f>IF(EW185=0,0,(EW184*EW185+EW186*EW187*6)/EW185)</f>
        <v>0</v>
      </c>
      <c r="EX183" s="820">
        <f>IF(EX185=0,0,(EX184*EX185+EX186*EX187*6)/EX185)</f>
        <v>0</v>
      </c>
      <c r="EY183" s="714">
        <f>IF(EW183=0,0,(EX183-EW183)/EW183*100)</f>
        <v>0</v>
      </c>
      <c r="EZ183" s="820">
        <f>IF(EZ185=0,0,(EZ184*EZ185+EZ186*EZ187*6)/EZ185)</f>
        <v>0</v>
      </c>
      <c r="FA183" s="820">
        <f>IF(FA185=0,0,(FA184*FA185+FA186*FA187*6)/FA185)</f>
        <v>0</v>
      </c>
      <c r="FB183" s="714">
        <f>IF(EZ183=0,0,(FA183-EZ183)/EZ183*100)</f>
        <v>0</v>
      </c>
      <c r="FC183" s="820">
        <f>IF(FC185=0,0,(FC184*FC185+FC186*FC187*6)/FC185)</f>
        <v>0</v>
      </c>
      <c r="FD183" s="820">
        <f>IF(FD185=0,0,(FD184*FD185+FD186*FD187*6)/FD185)</f>
        <v>0</v>
      </c>
      <c r="FE183" s="714">
        <f>IF(FC183=0,0,(FD183-FC183)/FC183*100)</f>
        <v>0</v>
      </c>
      <c r="FF183" s="820">
        <f>IF(FF185=0,0,(FF184*FF185+FF186*FF187*6)/FF185)</f>
        <v>0</v>
      </c>
      <c r="FG183" s="820">
        <f>IF(FG185=0,0,(FG184*FG185+FG186*FG187*6)/FG185)</f>
        <v>0</v>
      </c>
      <c r="FH183" s="714">
        <f>IF(FF183=0,0,(FG183-FF183)/FF183*100)</f>
        <v>0</v>
      </c>
      <c r="FI183" s="820">
        <f>IF(FI185=0,0,(FI184*FI185+FI186*FI187*6)/FI185)</f>
        <v>0</v>
      </c>
      <c r="FJ183" s="820">
        <f>IF(FJ185=0,0,(FJ184*FJ185+FJ186*FJ187*6)/FJ185)</f>
        <v>0</v>
      </c>
      <c r="FK183" s="714">
        <f>IF(FI183=0,0,(FJ183-FI183)/FI183*100)</f>
        <v>0</v>
      </c>
      <c r="FL183" s="820">
        <f>IF(FL185=0,0,(FL184*FL185+FL186*FL187*6)/FL185)</f>
        <v>0</v>
      </c>
      <c r="FM183" s="820">
        <f>IF(FM185=0,0,(FM184*FM185+FM186*FM187*6)/FM185)</f>
        <v>0</v>
      </c>
      <c r="FN183" s="714">
        <f>IF(FL183=0,0,(FM183-FL183)/FL183*100)</f>
        <v>0</v>
      </c>
      <c r="FO183" s="820">
        <f>IF(FO185=0,0,(FO184*FO185+FO186*FO187*6)/FO185)</f>
        <v>0</v>
      </c>
      <c r="FP183" s="820">
        <f>IF(FP185=0,0,(FP184*FP185+FP186*FP187*6)/FP185)</f>
        <v>0</v>
      </c>
      <c r="FQ183" s="714">
        <f>IF(FO183=0,0,(FP183-FO183)/FO183*100)</f>
        <v>0</v>
      </c>
      <c r="FR183" s="820">
        <f>IF(FR185=0,0,(FR184*FR185+FR186*FR187*6)/FR185)</f>
        <v>0</v>
      </c>
      <c r="FS183" s="820">
        <f>IF(FS185=0,0,(FS184*FS185+FS186*FS187*6)/FS185)</f>
        <v>0</v>
      </c>
      <c r="FT183" s="714">
        <f>IF(FR183=0,0,(FS183-FR183)/FR183*100)</f>
        <v>0</v>
      </c>
      <c r="FU183" s="820">
        <f>IF(FU185=0,0,(FU184*FU185+FU186*FU187*6)/FU185)</f>
        <v>0</v>
      </c>
      <c r="FV183" s="820">
        <f>IF(FV185=0,0,(FV184*FV185+FV186*FV187*6)/FV185)</f>
        <v>0</v>
      </c>
      <c r="FW183" s="714">
        <f>IF(FU183=0,0,(FV183-FU183)/FU183*100)</f>
        <v>0</v>
      </c>
      <c r="FZ183" s="691" t="s">
        <v>1711</v>
      </c>
      <c r="GA183" s="671" t="s">
        <v>900</v>
      </c>
      <c r="GB183" s="693" cm="1">
        <f t="array" ref="GB183">AB182</f>
        <v>0</v>
      </c>
    </row>
    <row r="184" spans="1:186" ht="14.25" hidden="1" customHeight="1" x14ac:dyDescent="0.15">
      <c r="A184" s="59"/>
      <c r="B184" s="613" t="b" cm="1">
        <f t="array" ref="B184">B183</f>
        <v>0</v>
      </c>
      <c r="C184" s="59"/>
      <c r="D184" s="59"/>
      <c r="E184" s="462">
        <v>15</v>
      </c>
      <c r="F184" s="3" t="str" cm="1">
        <f t="array" aca="1" ref="F184" ca="1">OFFSET(E184,-1,1)</f>
        <v>2</v>
      </c>
      <c r="G184" s="59"/>
      <c r="H184" s="59" t="s">
        <v>1574</v>
      </c>
      <c r="I184" s="59" cm="1">
        <f t="array" ref="I184">I183</f>
        <v>0</v>
      </c>
      <c r="J184" s="59"/>
      <c r="K184" s="59"/>
      <c r="L184" s="59"/>
      <c r="M184" s="59"/>
      <c r="N184" s="59"/>
      <c r="O184" s="59"/>
      <c r="P184" s="59"/>
      <c r="Q184" s="59"/>
      <c r="R184" s="59"/>
      <c r="S184" s="59"/>
      <c r="T184" s="353" t="b" cm="1">
        <f t="array" aca="1" ref="T184" ca="1">T183</f>
        <v>0</v>
      </c>
      <c r="U184" s="59"/>
      <c r="V184" s="59"/>
      <c r="W184" s="59"/>
      <c r="X184" s="1022"/>
      <c r="Y184" s="1022"/>
      <c r="Z184" s="966"/>
      <c r="AA184" s="913"/>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1644</v>
      </c>
      <c r="AD184" s="820"/>
      <c r="AE184" s="820"/>
      <c r="AF184" s="714">
        <f>IF(AD184=0,0,(AE184-AD184)/AD184*100)</f>
        <v>0</v>
      </c>
      <c r="AG184" s="820"/>
      <c r="AH184" s="820"/>
      <c r="AI184" s="714">
        <f>IF(AG184=0,0,(AH184-AG184)/AG184*100)</f>
        <v>0</v>
      </c>
      <c r="AJ184" s="820"/>
      <c r="AK184" s="820"/>
      <c r="AL184" s="714">
        <f>IF(AJ184=0,0,(AK184-AJ184)/AJ184*100)</f>
        <v>0</v>
      </c>
      <c r="AM184" s="820"/>
      <c r="AN184" s="820"/>
      <c r="AO184" s="714">
        <f>IF(AM184=0,0,(AN184-AM184)/AM184*100)</f>
        <v>0</v>
      </c>
      <c r="AP184" s="820"/>
      <c r="AQ184" s="820"/>
      <c r="AR184" s="714">
        <f>IF(AP184=0,0,(AQ184-AP184)/AP184*100)</f>
        <v>0</v>
      </c>
      <c r="AS184" s="820"/>
      <c r="AT184" s="820"/>
      <c r="AU184" s="714">
        <f>IF(AS184=0,0,(AT184-AS184)/AS184*100)</f>
        <v>0</v>
      </c>
      <c r="AV184" s="820"/>
      <c r="AW184" s="820"/>
      <c r="AX184" s="714">
        <f>IF(AV184=0,0,(AW184-AV184)/AV184*100)</f>
        <v>0</v>
      </c>
      <c r="AY184" s="820"/>
      <c r="AZ184" s="820"/>
      <c r="BA184" s="714">
        <f>IF(AY184=0,0,(AZ184-AY184)/AY184*100)</f>
        <v>0</v>
      </c>
      <c r="BB184" s="820"/>
      <c r="BC184" s="820"/>
      <c r="BD184" s="714">
        <f>IF(BB184=0,0,(BC184-BB184)/BB184*100)</f>
        <v>0</v>
      </c>
      <c r="BE184" s="820"/>
      <c r="BF184" s="820"/>
      <c r="BG184" s="714">
        <f>IF(BE184=0,0,(BF184-BE184)/BE184*100)</f>
        <v>0</v>
      </c>
      <c r="BH184" s="820"/>
      <c r="BI184" s="820"/>
      <c r="BJ184" s="714">
        <f>IF(BH184=0,0,(BI184-BH184)/BH184*100)</f>
        <v>0</v>
      </c>
      <c r="BK184" s="820"/>
      <c r="BL184" s="820"/>
      <c r="BM184" s="714">
        <f>IF(BK184=0,0,(BL184-BK184)/BK184*100)</f>
        <v>0</v>
      </c>
      <c r="BN184" s="820"/>
      <c r="BO184" s="820"/>
      <c r="BP184" s="714">
        <f>IF(BN184=0,0,(BO184-BN184)/BN184*100)</f>
        <v>0</v>
      </c>
      <c r="BQ184" s="820"/>
      <c r="BR184" s="820"/>
      <c r="BS184" s="714">
        <f>IF(BQ184=0,0,(BR184-BQ184)/BQ184*100)</f>
        <v>0</v>
      </c>
      <c r="BT184" s="820"/>
      <c r="BU184" s="820"/>
      <c r="BV184" s="714">
        <f>IF(BT184=0,0,(BU184-BT184)/BT184*100)</f>
        <v>0</v>
      </c>
      <c r="BW184" s="820"/>
      <c r="BX184" s="820"/>
      <c r="BY184" s="714">
        <f>IF(BW184=0,0,(BX184-BW184)/BW184*100)</f>
        <v>0</v>
      </c>
      <c r="BZ184" s="820"/>
      <c r="CA184" s="820"/>
      <c r="CB184" s="714">
        <f>IF(BZ184=0,0,(CA184-BZ184)/BZ184*100)</f>
        <v>0</v>
      </c>
      <c r="CC184" s="820"/>
      <c r="CD184" s="820"/>
      <c r="CE184" s="714">
        <f>IF(CC184=0,0,(CD184-CC184)/CC184*100)</f>
        <v>0</v>
      </c>
      <c r="CF184" s="820"/>
      <c r="CG184" s="820"/>
      <c r="CH184" s="714">
        <f>IF(CF184=0,0,(CG184-CF184)/CF184*100)</f>
        <v>0</v>
      </c>
      <c r="CI184" s="820"/>
      <c r="CJ184" s="820"/>
      <c r="CK184" s="714">
        <f>IF(CI184=0,0,(CJ184-CI184)/CI184*100)</f>
        <v>0</v>
      </c>
      <c r="CL184" s="820"/>
      <c r="CM184" s="820"/>
      <c r="CN184" s="714">
        <f>IF(CL184=0,0,(CM184-CL184)/CL184*100)</f>
        <v>0</v>
      </c>
      <c r="CO184" s="820"/>
      <c r="CP184" s="820"/>
      <c r="CQ184" s="714">
        <f>IF(CO184=0,0,(CP184-CO184)/CO184*100)</f>
        <v>0</v>
      </c>
      <c r="CR184" s="820"/>
      <c r="CS184" s="820"/>
      <c r="CT184" s="714">
        <f>IF(CR184=0,0,(CS184-CR184)/CR184*100)</f>
        <v>0</v>
      </c>
      <c r="CU184" s="820"/>
      <c r="CV184" s="820"/>
      <c r="CW184" s="714">
        <f>IF(CU184=0,0,(CV184-CU184)/CU184*100)</f>
        <v>0</v>
      </c>
      <c r="CX184" s="820"/>
      <c r="CY184" s="820"/>
      <c r="CZ184" s="714">
        <f>IF(CX184=0,0,(CY184-CX184)/CX184*100)</f>
        <v>0</v>
      </c>
      <c r="DA184" s="820"/>
      <c r="DB184" s="820"/>
      <c r="DC184" s="714">
        <f>IF(DA184=0,0,(DB184-DA184)/DA184*100)</f>
        <v>0</v>
      </c>
      <c r="DD184" s="820"/>
      <c r="DE184" s="820"/>
      <c r="DF184" s="714">
        <f>IF(DD184=0,0,(DE184-DD184)/DD184*100)</f>
        <v>0</v>
      </c>
      <c r="DG184" s="820"/>
      <c r="DH184" s="820"/>
      <c r="DI184" s="714">
        <f>IF(DG184=0,0,(DH184-DG184)/DG184*100)</f>
        <v>0</v>
      </c>
      <c r="DJ184" s="820"/>
      <c r="DK184" s="820"/>
      <c r="DL184" s="714">
        <f>IF(DJ184=0,0,(DK184-DJ184)/DJ184*100)</f>
        <v>0</v>
      </c>
      <c r="DM184" s="820"/>
      <c r="DN184" s="820"/>
      <c r="DO184" s="714">
        <f>IF(DM184=0,0,(DN184-DM184)/DM184*100)</f>
        <v>0</v>
      </c>
      <c r="DP184" s="820"/>
      <c r="DQ184" s="820"/>
      <c r="DR184" s="714">
        <f>IF(DP184=0,0,(DQ184-DP184)/DP184*100)</f>
        <v>0</v>
      </c>
      <c r="DS184" s="820"/>
      <c r="DT184" s="820"/>
      <c r="DU184" s="714">
        <f>IF(DS184=0,0,(DT184-DS184)/DS184*100)</f>
        <v>0</v>
      </c>
      <c r="DV184" s="820"/>
      <c r="DW184" s="820"/>
      <c r="DX184" s="714">
        <f>IF(DV184=0,0,(DW184-DV184)/DV184*100)</f>
        <v>0</v>
      </c>
      <c r="DY184" s="820"/>
      <c r="DZ184" s="820"/>
      <c r="EA184" s="714">
        <f>IF(DY184=0,0,(DZ184-DY184)/DY184*100)</f>
        <v>0</v>
      </c>
      <c r="EB184" s="820"/>
      <c r="EC184" s="820"/>
      <c r="ED184" s="714">
        <f>IF(EB184=0,0,(EC184-EB184)/EB184*100)</f>
        <v>0</v>
      </c>
      <c r="EE184" s="820"/>
      <c r="EF184" s="820"/>
      <c r="EG184" s="714">
        <f>IF(EE184=0,0,(EF184-EE184)/EE184*100)</f>
        <v>0</v>
      </c>
      <c r="EH184" s="820"/>
      <c r="EI184" s="820"/>
      <c r="EJ184" s="714">
        <f>IF(EH184=0,0,(EI184-EH184)/EH184*100)</f>
        <v>0</v>
      </c>
      <c r="EK184" s="820"/>
      <c r="EL184" s="820"/>
      <c r="EM184" s="714">
        <f>IF(EK184=0,0,(EL184-EK184)/EK184*100)</f>
        <v>0</v>
      </c>
      <c r="EN184" s="820"/>
      <c r="EO184" s="820"/>
      <c r="EP184" s="714">
        <f>IF(EN184=0,0,(EO184-EN184)/EN184*100)</f>
        <v>0</v>
      </c>
      <c r="EQ184" s="820"/>
      <c r="ER184" s="820"/>
      <c r="ES184" s="714">
        <f>IF(EQ184=0,0,(ER184-EQ184)/EQ184*100)</f>
        <v>0</v>
      </c>
      <c r="ET184" s="820"/>
      <c r="EU184" s="820"/>
      <c r="EV184" s="714">
        <f>IF(ET184=0,0,(EU184-ET184)/ET184*100)</f>
        <v>0</v>
      </c>
      <c r="EW184" s="820"/>
      <c r="EX184" s="820"/>
      <c r="EY184" s="714">
        <f>IF(EW184=0,0,(EX184-EW184)/EW184*100)</f>
        <v>0</v>
      </c>
      <c r="EZ184" s="820"/>
      <c r="FA184" s="820"/>
      <c r="FB184" s="714">
        <f>IF(EZ184=0,0,(FA184-EZ184)/EZ184*100)</f>
        <v>0</v>
      </c>
      <c r="FC184" s="820"/>
      <c r="FD184" s="820"/>
      <c r="FE184" s="714">
        <f>IF(FC184=0,0,(FD184-FC184)/FC184*100)</f>
        <v>0</v>
      </c>
      <c r="FF184" s="820"/>
      <c r="FG184" s="820"/>
      <c r="FH184" s="714">
        <f>IF(FF184=0,0,(FG184-FF184)/FF184*100)</f>
        <v>0</v>
      </c>
      <c r="FI184" s="820"/>
      <c r="FJ184" s="820"/>
      <c r="FK184" s="714">
        <f>IF(FI184=0,0,(FJ184-FI184)/FI184*100)</f>
        <v>0</v>
      </c>
      <c r="FL184" s="820"/>
      <c r="FM184" s="820"/>
      <c r="FN184" s="714">
        <f>IF(FL184=0,0,(FM184-FL184)/FL184*100)</f>
        <v>0</v>
      </c>
      <c r="FO184" s="820"/>
      <c r="FP184" s="820"/>
      <c r="FQ184" s="714">
        <f>IF(FO184=0,0,(FP184-FO184)/FO184*100)</f>
        <v>0</v>
      </c>
      <c r="FR184" s="820"/>
      <c r="FS184" s="820"/>
      <c r="FT184" s="714">
        <f>IF(FR184=0,0,(FS184-FR184)/FR184*100)</f>
        <v>0</v>
      </c>
      <c r="FU184" s="820"/>
      <c r="FV184" s="820"/>
      <c r="FW184" s="714">
        <f>IF(FU184=0,0,(FV184-FU184)/FU184*100)</f>
        <v>0</v>
      </c>
      <c r="FZ184" s="691" t="s">
        <v>1712</v>
      </c>
      <c r="GA184" s="671" t="s">
        <v>900</v>
      </c>
      <c r="GB184" s="671" cm="1">
        <f t="array" ref="GB184">GB183</f>
        <v>0</v>
      </c>
    </row>
    <row r="185" spans="1:186" ht="14.25" hidden="1" customHeight="1" x14ac:dyDescent="0.15">
      <c r="A185" s="59"/>
      <c r="B185" s="613" t="b" cm="1">
        <f t="array" ref="B185">B184</f>
        <v>0</v>
      </c>
      <c r="C185" s="59"/>
      <c r="D185" s="59"/>
      <c r="E185" s="462">
        <v>15</v>
      </c>
      <c r="F185" s="3" t="str" cm="1">
        <f t="array" aca="1" ref="F185" ca="1">OFFSET(E185,-1,1)</f>
        <v>2</v>
      </c>
      <c r="G185" s="59"/>
      <c r="H185" s="59" t="s">
        <v>1681</v>
      </c>
      <c r="I185" s="59" cm="1">
        <f t="array" ref="I185">I184</f>
        <v>0</v>
      </c>
      <c r="J185" s="59"/>
      <c r="K185" s="59"/>
      <c r="L185" s="59"/>
      <c r="M185" s="59"/>
      <c r="N185" s="59"/>
      <c r="O185" s="59"/>
      <c r="P185" s="59"/>
      <c r="Q185" s="59"/>
      <c r="R185" s="59"/>
      <c r="S185" s="59"/>
      <c r="T185" s="353" t="b" cm="1">
        <f t="array" aca="1" ref="T185" ca="1">T184</f>
        <v>0</v>
      </c>
      <c r="U185" s="59"/>
      <c r="V185" s="59"/>
      <c r="W185" s="59"/>
      <c r="X185" s="1022"/>
      <c r="Y185" s="1022"/>
      <c r="Z185" s="966"/>
      <c r="AA185" s="913"/>
      <c r="AB185" s="105" t="str">
        <f>"объём "&amp;IF(Q141="Водоснабжение","потребления холодной воды","водоотведения")</f>
        <v>объём водоотведения</v>
      </c>
      <c r="AC185" s="12" t="s">
        <v>558</v>
      </c>
      <c r="AD185" s="836"/>
      <c r="AE185" s="836"/>
      <c r="AF185" s="715">
        <f>IF(AD185=0,0,(AE185-AD185)/AD185*100)</f>
        <v>0</v>
      </c>
      <c r="AG185" s="836"/>
      <c r="AH185" s="836"/>
      <c r="AI185" s="715">
        <f>IF(AG185=0,0,(AH185-AG185)/AG185*100)</f>
        <v>0</v>
      </c>
      <c r="AJ185" s="836"/>
      <c r="AK185" s="836"/>
      <c r="AL185" s="715">
        <f>IF(AJ185=0,0,(AK185-AJ185)/AJ185*100)</f>
        <v>0</v>
      </c>
      <c r="AM185" s="836"/>
      <c r="AN185" s="836"/>
      <c r="AO185" s="715">
        <f>IF(AM185=0,0,(AN185-AM185)/AM185*100)</f>
        <v>0</v>
      </c>
      <c r="AP185" s="836"/>
      <c r="AQ185" s="836"/>
      <c r="AR185" s="715">
        <f>IF(AP185=0,0,(AQ185-AP185)/AP185*100)</f>
        <v>0</v>
      </c>
      <c r="AS185" s="836"/>
      <c r="AT185" s="836"/>
      <c r="AU185" s="715">
        <f>IF(AS185=0,0,(AT185-AS185)/AS185*100)</f>
        <v>0</v>
      </c>
      <c r="AV185" s="836"/>
      <c r="AW185" s="836"/>
      <c r="AX185" s="715">
        <f>IF(AV185=0,0,(AW185-AV185)/AV185*100)</f>
        <v>0</v>
      </c>
      <c r="AY185" s="836"/>
      <c r="AZ185" s="836"/>
      <c r="BA185" s="715">
        <f>IF(AY185=0,0,(AZ185-AY185)/AY185*100)</f>
        <v>0</v>
      </c>
      <c r="BB185" s="836"/>
      <c r="BC185" s="836"/>
      <c r="BD185" s="715">
        <f>IF(BB185=0,0,(BC185-BB185)/BB185*100)</f>
        <v>0</v>
      </c>
      <c r="BE185" s="836"/>
      <c r="BF185" s="836"/>
      <c r="BG185" s="715">
        <f>IF(BE185=0,0,(BF185-BE185)/BE185*100)</f>
        <v>0</v>
      </c>
      <c r="BH185" s="836"/>
      <c r="BI185" s="836"/>
      <c r="BJ185" s="715">
        <f>IF(BH185=0,0,(BI185-BH185)/BH185*100)</f>
        <v>0</v>
      </c>
      <c r="BK185" s="836"/>
      <c r="BL185" s="836"/>
      <c r="BM185" s="715">
        <f>IF(BK185=0,0,(BL185-BK185)/BK185*100)</f>
        <v>0</v>
      </c>
      <c r="BN185" s="836"/>
      <c r="BO185" s="836"/>
      <c r="BP185" s="715">
        <f>IF(BN185=0,0,(BO185-BN185)/BN185*100)</f>
        <v>0</v>
      </c>
      <c r="BQ185" s="836"/>
      <c r="BR185" s="836"/>
      <c r="BS185" s="715">
        <f>IF(BQ185=0,0,(BR185-BQ185)/BQ185*100)</f>
        <v>0</v>
      </c>
      <c r="BT185" s="836"/>
      <c r="BU185" s="836"/>
      <c r="BV185" s="715">
        <f>IF(BT185=0,0,(BU185-BT185)/BT185*100)</f>
        <v>0</v>
      </c>
      <c r="BW185" s="836"/>
      <c r="BX185" s="836"/>
      <c r="BY185" s="715">
        <f>IF(BW185=0,0,(BX185-BW185)/BW185*100)</f>
        <v>0</v>
      </c>
      <c r="BZ185" s="836"/>
      <c r="CA185" s="836"/>
      <c r="CB185" s="715">
        <f>IF(BZ185=0,0,(CA185-BZ185)/BZ185*100)</f>
        <v>0</v>
      </c>
      <c r="CC185" s="836"/>
      <c r="CD185" s="836"/>
      <c r="CE185" s="715">
        <f>IF(CC185=0,0,(CD185-CC185)/CC185*100)</f>
        <v>0</v>
      </c>
      <c r="CF185" s="836"/>
      <c r="CG185" s="836"/>
      <c r="CH185" s="715">
        <f>IF(CF185=0,0,(CG185-CF185)/CF185*100)</f>
        <v>0</v>
      </c>
      <c r="CI185" s="836"/>
      <c r="CJ185" s="836"/>
      <c r="CK185" s="715">
        <f>IF(CI185=0,0,(CJ185-CI185)/CI185*100)</f>
        <v>0</v>
      </c>
      <c r="CL185" s="836"/>
      <c r="CM185" s="836"/>
      <c r="CN185" s="715">
        <f>IF(CL185=0,0,(CM185-CL185)/CL185*100)</f>
        <v>0</v>
      </c>
      <c r="CO185" s="836"/>
      <c r="CP185" s="836"/>
      <c r="CQ185" s="715">
        <f>IF(CO185=0,0,(CP185-CO185)/CO185*100)</f>
        <v>0</v>
      </c>
      <c r="CR185" s="836"/>
      <c r="CS185" s="836"/>
      <c r="CT185" s="715">
        <f>IF(CR185=0,0,(CS185-CR185)/CR185*100)</f>
        <v>0</v>
      </c>
      <c r="CU185" s="836"/>
      <c r="CV185" s="836"/>
      <c r="CW185" s="715">
        <f>IF(CU185=0,0,(CV185-CU185)/CU185*100)</f>
        <v>0</v>
      </c>
      <c r="CX185" s="836"/>
      <c r="CY185" s="836"/>
      <c r="CZ185" s="715">
        <f>IF(CX185=0,0,(CY185-CX185)/CX185*100)</f>
        <v>0</v>
      </c>
      <c r="DA185" s="836"/>
      <c r="DB185" s="836"/>
      <c r="DC185" s="715">
        <f>IF(DA185=0,0,(DB185-DA185)/DA185*100)</f>
        <v>0</v>
      </c>
      <c r="DD185" s="836"/>
      <c r="DE185" s="836"/>
      <c r="DF185" s="715">
        <f>IF(DD185=0,0,(DE185-DD185)/DD185*100)</f>
        <v>0</v>
      </c>
      <c r="DG185" s="836"/>
      <c r="DH185" s="836"/>
      <c r="DI185" s="715">
        <f>IF(DG185=0,0,(DH185-DG185)/DG185*100)</f>
        <v>0</v>
      </c>
      <c r="DJ185" s="836"/>
      <c r="DK185" s="836"/>
      <c r="DL185" s="715">
        <f>IF(DJ185=0,0,(DK185-DJ185)/DJ185*100)</f>
        <v>0</v>
      </c>
      <c r="DM185" s="836"/>
      <c r="DN185" s="836"/>
      <c r="DO185" s="715">
        <f>IF(DM185=0,0,(DN185-DM185)/DM185*100)</f>
        <v>0</v>
      </c>
      <c r="DP185" s="836"/>
      <c r="DQ185" s="836"/>
      <c r="DR185" s="715">
        <f>IF(DP185=0,0,(DQ185-DP185)/DP185*100)</f>
        <v>0</v>
      </c>
      <c r="DS185" s="836"/>
      <c r="DT185" s="836"/>
      <c r="DU185" s="715">
        <f>IF(DS185=0,0,(DT185-DS185)/DS185*100)</f>
        <v>0</v>
      </c>
      <c r="DV185" s="836"/>
      <c r="DW185" s="836"/>
      <c r="DX185" s="715">
        <f>IF(DV185=0,0,(DW185-DV185)/DV185*100)</f>
        <v>0</v>
      </c>
      <c r="DY185" s="836"/>
      <c r="DZ185" s="836"/>
      <c r="EA185" s="715">
        <f>IF(DY185=0,0,(DZ185-DY185)/DY185*100)</f>
        <v>0</v>
      </c>
      <c r="EB185" s="836"/>
      <c r="EC185" s="836"/>
      <c r="ED185" s="715">
        <f>IF(EB185=0,0,(EC185-EB185)/EB185*100)</f>
        <v>0</v>
      </c>
      <c r="EE185" s="836"/>
      <c r="EF185" s="836"/>
      <c r="EG185" s="715">
        <f>IF(EE185=0,0,(EF185-EE185)/EE185*100)</f>
        <v>0</v>
      </c>
      <c r="EH185" s="836"/>
      <c r="EI185" s="836"/>
      <c r="EJ185" s="715">
        <f>IF(EH185=0,0,(EI185-EH185)/EH185*100)</f>
        <v>0</v>
      </c>
      <c r="EK185" s="836"/>
      <c r="EL185" s="836"/>
      <c r="EM185" s="715">
        <f>IF(EK185=0,0,(EL185-EK185)/EK185*100)</f>
        <v>0</v>
      </c>
      <c r="EN185" s="836"/>
      <c r="EO185" s="836"/>
      <c r="EP185" s="715">
        <f>IF(EN185=0,0,(EO185-EN185)/EN185*100)</f>
        <v>0</v>
      </c>
      <c r="EQ185" s="836"/>
      <c r="ER185" s="836"/>
      <c r="ES185" s="715">
        <f>IF(EQ185=0,0,(ER185-EQ185)/EQ185*100)</f>
        <v>0</v>
      </c>
      <c r="ET185" s="836"/>
      <c r="EU185" s="836"/>
      <c r="EV185" s="715">
        <f>IF(ET185=0,0,(EU185-ET185)/ET185*100)</f>
        <v>0</v>
      </c>
      <c r="EW185" s="836"/>
      <c r="EX185" s="836"/>
      <c r="EY185" s="715">
        <f>IF(EW185=0,0,(EX185-EW185)/EW185*100)</f>
        <v>0</v>
      </c>
      <c r="EZ185" s="836"/>
      <c r="FA185" s="836"/>
      <c r="FB185" s="715">
        <f>IF(EZ185=0,0,(FA185-EZ185)/EZ185*100)</f>
        <v>0</v>
      </c>
      <c r="FC185" s="836"/>
      <c r="FD185" s="836"/>
      <c r="FE185" s="715">
        <f>IF(FC185=0,0,(FD185-FC185)/FC185*100)</f>
        <v>0</v>
      </c>
      <c r="FF185" s="836"/>
      <c r="FG185" s="836"/>
      <c r="FH185" s="715">
        <f>IF(FF185=0,0,(FG185-FF185)/FF185*100)</f>
        <v>0</v>
      </c>
      <c r="FI185" s="836"/>
      <c r="FJ185" s="836"/>
      <c r="FK185" s="715">
        <f>IF(FI185=0,0,(FJ185-FI185)/FI185*100)</f>
        <v>0</v>
      </c>
      <c r="FL185" s="836"/>
      <c r="FM185" s="836"/>
      <c r="FN185" s="715">
        <f>IF(FL185=0,0,(FM185-FL185)/FL185*100)</f>
        <v>0</v>
      </c>
      <c r="FO185" s="836"/>
      <c r="FP185" s="836"/>
      <c r="FQ185" s="715">
        <f>IF(FO185=0,0,(FP185-FO185)/FO185*100)</f>
        <v>0</v>
      </c>
      <c r="FR185" s="836"/>
      <c r="FS185" s="836"/>
      <c r="FT185" s="715">
        <f>IF(FR185=0,0,(FS185-FR185)/FR185*100)</f>
        <v>0</v>
      </c>
      <c r="FU185" s="836"/>
      <c r="FV185" s="836"/>
      <c r="FW185" s="715">
        <f>IF(FU185=0,0,(FV185-FU185)/FU185*100)</f>
        <v>0</v>
      </c>
      <c r="FZ185" s="691" t="s">
        <v>1713</v>
      </c>
      <c r="GA185" s="671" t="s">
        <v>900</v>
      </c>
      <c r="GB185" s="671" cm="1">
        <f t="array" ref="GB185">GB184</f>
        <v>0</v>
      </c>
    </row>
    <row r="186" spans="1:186" ht="21.75" hidden="1" customHeight="1" x14ac:dyDescent="0.15">
      <c r="A186" s="59"/>
      <c r="B186" s="613" t="b" cm="1">
        <f t="array" ref="B186">B185</f>
        <v>0</v>
      </c>
      <c r="C186" s="59"/>
      <c r="D186" s="59"/>
      <c r="E186" s="462">
        <v>22.5</v>
      </c>
      <c r="F186" s="3" t="str" cm="1">
        <f t="array" aca="1" ref="F186" ca="1">OFFSET(E186,-1,1)</f>
        <v>2</v>
      </c>
      <c r="G186" s="59"/>
      <c r="H186" s="59" t="s">
        <v>1683</v>
      </c>
      <c r="I186" s="59" cm="1">
        <f t="array" ref="I186">I185</f>
        <v>0</v>
      </c>
      <c r="J186" s="59"/>
      <c r="K186" s="59"/>
      <c r="L186" s="59"/>
      <c r="M186" s="59"/>
      <c r="N186" s="59"/>
      <c r="O186" s="59"/>
      <c r="P186" s="59"/>
      <c r="Q186" s="59"/>
      <c r="R186" s="59"/>
      <c r="S186" s="59"/>
      <c r="T186" s="353" t="b" cm="1">
        <f t="array" aca="1" ref="T186" ca="1">T185</f>
        <v>0</v>
      </c>
      <c r="U186" s="59"/>
      <c r="V186" s="59"/>
      <c r="W186" s="59"/>
      <c r="X186" s="1022"/>
      <c r="Y186" s="1022"/>
      <c r="Z186" s="966"/>
      <c r="AA186" s="913"/>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1684</v>
      </c>
      <c r="AD186" s="820"/>
      <c r="AE186" s="820"/>
      <c r="AF186" s="714">
        <f>IF(AD186=0,0,(AE186-AD186)/AD186*100)</f>
        <v>0</v>
      </c>
      <c r="AG186" s="820"/>
      <c r="AH186" s="820"/>
      <c r="AI186" s="714">
        <f>IF(AG186=0,0,(AH186-AG186)/AG186*100)</f>
        <v>0</v>
      </c>
      <c r="AJ186" s="820"/>
      <c r="AK186" s="820"/>
      <c r="AL186" s="714">
        <f>IF(AJ186=0,0,(AK186-AJ186)/AJ186*100)</f>
        <v>0</v>
      </c>
      <c r="AM186" s="820"/>
      <c r="AN186" s="820"/>
      <c r="AO186" s="714">
        <f>IF(AM186=0,0,(AN186-AM186)/AM186*100)</f>
        <v>0</v>
      </c>
      <c r="AP186" s="820"/>
      <c r="AQ186" s="820"/>
      <c r="AR186" s="714">
        <f>IF(AP186=0,0,(AQ186-AP186)/AP186*100)</f>
        <v>0</v>
      </c>
      <c r="AS186" s="820"/>
      <c r="AT186" s="820"/>
      <c r="AU186" s="714">
        <f>IF(AS186=0,0,(AT186-AS186)/AS186*100)</f>
        <v>0</v>
      </c>
      <c r="AV186" s="820"/>
      <c r="AW186" s="820"/>
      <c r="AX186" s="714">
        <f>IF(AV186=0,0,(AW186-AV186)/AV186*100)</f>
        <v>0</v>
      </c>
      <c r="AY186" s="820"/>
      <c r="AZ186" s="820"/>
      <c r="BA186" s="714">
        <f>IF(AY186=0,0,(AZ186-AY186)/AY186*100)</f>
        <v>0</v>
      </c>
      <c r="BB186" s="820"/>
      <c r="BC186" s="820"/>
      <c r="BD186" s="714">
        <f>IF(BB186=0,0,(BC186-BB186)/BB186*100)</f>
        <v>0</v>
      </c>
      <c r="BE186" s="820"/>
      <c r="BF186" s="820"/>
      <c r="BG186" s="714">
        <f>IF(BE186=0,0,(BF186-BE186)/BE186*100)</f>
        <v>0</v>
      </c>
      <c r="BH186" s="820"/>
      <c r="BI186" s="820"/>
      <c r="BJ186" s="714">
        <f>IF(BH186=0,0,(BI186-BH186)/BH186*100)</f>
        <v>0</v>
      </c>
      <c r="BK186" s="820"/>
      <c r="BL186" s="820"/>
      <c r="BM186" s="714">
        <f>IF(BK186=0,0,(BL186-BK186)/BK186*100)</f>
        <v>0</v>
      </c>
      <c r="BN186" s="820"/>
      <c r="BO186" s="820"/>
      <c r="BP186" s="714">
        <f>IF(BN186=0,0,(BO186-BN186)/BN186*100)</f>
        <v>0</v>
      </c>
      <c r="BQ186" s="820"/>
      <c r="BR186" s="820"/>
      <c r="BS186" s="714">
        <f>IF(BQ186=0,0,(BR186-BQ186)/BQ186*100)</f>
        <v>0</v>
      </c>
      <c r="BT186" s="820"/>
      <c r="BU186" s="820"/>
      <c r="BV186" s="714">
        <f>IF(BT186=0,0,(BU186-BT186)/BT186*100)</f>
        <v>0</v>
      </c>
      <c r="BW186" s="820"/>
      <c r="BX186" s="820"/>
      <c r="BY186" s="714">
        <f>IF(BW186=0,0,(BX186-BW186)/BW186*100)</f>
        <v>0</v>
      </c>
      <c r="BZ186" s="820"/>
      <c r="CA186" s="820"/>
      <c r="CB186" s="714">
        <f>IF(BZ186=0,0,(CA186-BZ186)/BZ186*100)</f>
        <v>0</v>
      </c>
      <c r="CC186" s="820"/>
      <c r="CD186" s="820"/>
      <c r="CE186" s="714">
        <f>IF(CC186=0,0,(CD186-CC186)/CC186*100)</f>
        <v>0</v>
      </c>
      <c r="CF186" s="820"/>
      <c r="CG186" s="820"/>
      <c r="CH186" s="714">
        <f>IF(CF186=0,0,(CG186-CF186)/CF186*100)</f>
        <v>0</v>
      </c>
      <c r="CI186" s="820"/>
      <c r="CJ186" s="820"/>
      <c r="CK186" s="714">
        <f>IF(CI186=0,0,(CJ186-CI186)/CI186*100)</f>
        <v>0</v>
      </c>
      <c r="CL186" s="820"/>
      <c r="CM186" s="820"/>
      <c r="CN186" s="714">
        <f>IF(CL186=0,0,(CM186-CL186)/CL186*100)</f>
        <v>0</v>
      </c>
      <c r="CO186" s="820"/>
      <c r="CP186" s="820"/>
      <c r="CQ186" s="714">
        <f>IF(CO186=0,0,(CP186-CO186)/CO186*100)</f>
        <v>0</v>
      </c>
      <c r="CR186" s="820"/>
      <c r="CS186" s="820"/>
      <c r="CT186" s="714">
        <f>IF(CR186=0,0,(CS186-CR186)/CR186*100)</f>
        <v>0</v>
      </c>
      <c r="CU186" s="820"/>
      <c r="CV186" s="820"/>
      <c r="CW186" s="714">
        <f>IF(CU186=0,0,(CV186-CU186)/CU186*100)</f>
        <v>0</v>
      </c>
      <c r="CX186" s="820"/>
      <c r="CY186" s="820"/>
      <c r="CZ186" s="714">
        <f>IF(CX186=0,0,(CY186-CX186)/CX186*100)</f>
        <v>0</v>
      </c>
      <c r="DA186" s="820"/>
      <c r="DB186" s="820"/>
      <c r="DC186" s="714">
        <f>IF(DA186=0,0,(DB186-DA186)/DA186*100)</f>
        <v>0</v>
      </c>
      <c r="DD186" s="820"/>
      <c r="DE186" s="820"/>
      <c r="DF186" s="714">
        <f>IF(DD186=0,0,(DE186-DD186)/DD186*100)</f>
        <v>0</v>
      </c>
      <c r="DG186" s="820"/>
      <c r="DH186" s="820"/>
      <c r="DI186" s="714">
        <f>IF(DG186=0,0,(DH186-DG186)/DG186*100)</f>
        <v>0</v>
      </c>
      <c r="DJ186" s="820"/>
      <c r="DK186" s="820"/>
      <c r="DL186" s="714">
        <f>IF(DJ186=0,0,(DK186-DJ186)/DJ186*100)</f>
        <v>0</v>
      </c>
      <c r="DM186" s="820"/>
      <c r="DN186" s="820"/>
      <c r="DO186" s="714">
        <f>IF(DM186=0,0,(DN186-DM186)/DM186*100)</f>
        <v>0</v>
      </c>
      <c r="DP186" s="820"/>
      <c r="DQ186" s="820"/>
      <c r="DR186" s="714">
        <f>IF(DP186=0,0,(DQ186-DP186)/DP186*100)</f>
        <v>0</v>
      </c>
      <c r="DS186" s="820"/>
      <c r="DT186" s="820"/>
      <c r="DU186" s="714">
        <f>IF(DS186=0,0,(DT186-DS186)/DS186*100)</f>
        <v>0</v>
      </c>
      <c r="DV186" s="820"/>
      <c r="DW186" s="820"/>
      <c r="DX186" s="714">
        <f>IF(DV186=0,0,(DW186-DV186)/DV186*100)</f>
        <v>0</v>
      </c>
      <c r="DY186" s="820"/>
      <c r="DZ186" s="820"/>
      <c r="EA186" s="714">
        <f>IF(DY186=0,0,(DZ186-DY186)/DY186*100)</f>
        <v>0</v>
      </c>
      <c r="EB186" s="820"/>
      <c r="EC186" s="820"/>
      <c r="ED186" s="714">
        <f>IF(EB186=0,0,(EC186-EB186)/EB186*100)</f>
        <v>0</v>
      </c>
      <c r="EE186" s="820"/>
      <c r="EF186" s="820"/>
      <c r="EG186" s="714">
        <f>IF(EE186=0,0,(EF186-EE186)/EE186*100)</f>
        <v>0</v>
      </c>
      <c r="EH186" s="820"/>
      <c r="EI186" s="820"/>
      <c r="EJ186" s="714">
        <f>IF(EH186=0,0,(EI186-EH186)/EH186*100)</f>
        <v>0</v>
      </c>
      <c r="EK186" s="820"/>
      <c r="EL186" s="820"/>
      <c r="EM186" s="714">
        <f>IF(EK186=0,0,(EL186-EK186)/EK186*100)</f>
        <v>0</v>
      </c>
      <c r="EN186" s="820"/>
      <c r="EO186" s="820"/>
      <c r="EP186" s="714">
        <f>IF(EN186=0,0,(EO186-EN186)/EN186*100)</f>
        <v>0</v>
      </c>
      <c r="EQ186" s="820"/>
      <c r="ER186" s="820"/>
      <c r="ES186" s="714">
        <f>IF(EQ186=0,0,(ER186-EQ186)/EQ186*100)</f>
        <v>0</v>
      </c>
      <c r="ET186" s="820"/>
      <c r="EU186" s="820"/>
      <c r="EV186" s="714">
        <f>IF(ET186=0,0,(EU186-ET186)/ET186*100)</f>
        <v>0</v>
      </c>
      <c r="EW186" s="820"/>
      <c r="EX186" s="820"/>
      <c r="EY186" s="714">
        <f>IF(EW186=0,0,(EX186-EW186)/EW186*100)</f>
        <v>0</v>
      </c>
      <c r="EZ186" s="820"/>
      <c r="FA186" s="820"/>
      <c r="FB186" s="714">
        <f>IF(EZ186=0,0,(FA186-EZ186)/EZ186*100)</f>
        <v>0</v>
      </c>
      <c r="FC186" s="820"/>
      <c r="FD186" s="820"/>
      <c r="FE186" s="714">
        <f>IF(FC186=0,0,(FD186-FC186)/FC186*100)</f>
        <v>0</v>
      </c>
      <c r="FF186" s="820"/>
      <c r="FG186" s="820"/>
      <c r="FH186" s="714">
        <f>IF(FF186=0,0,(FG186-FF186)/FF186*100)</f>
        <v>0</v>
      </c>
      <c r="FI186" s="820"/>
      <c r="FJ186" s="820"/>
      <c r="FK186" s="714">
        <f>IF(FI186=0,0,(FJ186-FI186)/FI186*100)</f>
        <v>0</v>
      </c>
      <c r="FL186" s="820"/>
      <c r="FM186" s="820"/>
      <c r="FN186" s="714">
        <f>IF(FL186=0,0,(FM186-FL186)/FL186*100)</f>
        <v>0</v>
      </c>
      <c r="FO186" s="820"/>
      <c r="FP186" s="820"/>
      <c r="FQ186" s="714">
        <f>IF(FO186=0,0,(FP186-FO186)/FO186*100)</f>
        <v>0</v>
      </c>
      <c r="FR186" s="820"/>
      <c r="FS186" s="820"/>
      <c r="FT186" s="714">
        <f>IF(FR186=0,0,(FS186-FR186)/FR186*100)</f>
        <v>0</v>
      </c>
      <c r="FU186" s="820"/>
      <c r="FV186" s="820"/>
      <c r="FW186" s="714">
        <f>IF(FU186=0,0,(FV186-FU186)/FU186*100)</f>
        <v>0</v>
      </c>
      <c r="FZ186" s="691" t="s">
        <v>1714</v>
      </c>
      <c r="GA186" s="671" t="s">
        <v>900</v>
      </c>
      <c r="GB186" s="671" cm="1">
        <f t="array" ref="GB186">GB185</f>
        <v>0</v>
      </c>
    </row>
    <row r="187" spans="1:186" ht="14.25" hidden="1" customHeight="1" x14ac:dyDescent="0.15">
      <c r="A187" s="59"/>
      <c r="B187" s="613" t="b" cm="1">
        <f t="array" ref="B187">B186</f>
        <v>0</v>
      </c>
      <c r="C187" s="59"/>
      <c r="D187" s="59"/>
      <c r="E187" s="462">
        <v>15</v>
      </c>
      <c r="F187" s="3" t="str" cm="1">
        <f t="array" aca="1" ref="F187" ca="1">OFFSET(E187,-1,1)</f>
        <v>2</v>
      </c>
      <c r="G187" s="59"/>
      <c r="H187" s="59" t="s">
        <v>1686</v>
      </c>
      <c r="I187" s="59" cm="1">
        <f t="array" ref="I187">I186</f>
        <v>0</v>
      </c>
      <c r="J187" s="59"/>
      <c r="K187" s="59"/>
      <c r="L187" s="59"/>
      <c r="M187" s="59"/>
      <c r="N187" s="59"/>
      <c r="O187" s="59"/>
      <c r="P187" s="59"/>
      <c r="Q187" s="59"/>
      <c r="R187" s="59"/>
      <c r="S187" s="59"/>
      <c r="T187" s="353" t="b" cm="1">
        <f t="array" aca="1" ref="T187" ca="1">T186</f>
        <v>0</v>
      </c>
      <c r="U187" s="59"/>
      <c r="V187" s="59"/>
      <c r="W187" s="59"/>
      <c r="X187" s="1022"/>
      <c r="Y187" s="1022"/>
      <c r="Z187" s="966"/>
      <c r="AA187" s="913"/>
      <c r="AB187" s="105" t="s">
        <v>1687</v>
      </c>
      <c r="AC187" s="12" t="s">
        <v>1688</v>
      </c>
      <c r="AD187" s="820"/>
      <c r="AE187" s="820"/>
      <c r="AF187" s="714">
        <f>IF(AD187=0,0,(AE187-AD187)/AD187*100)</f>
        <v>0</v>
      </c>
      <c r="AG187" s="820"/>
      <c r="AH187" s="820"/>
      <c r="AI187" s="714">
        <f>IF(AG187=0,0,(AH187-AG187)/AG187*100)</f>
        <v>0</v>
      </c>
      <c r="AJ187" s="820"/>
      <c r="AK187" s="820"/>
      <c r="AL187" s="714">
        <f>IF(AJ187=0,0,(AK187-AJ187)/AJ187*100)</f>
        <v>0</v>
      </c>
      <c r="AM187" s="820"/>
      <c r="AN187" s="820"/>
      <c r="AO187" s="714">
        <f>IF(AM187=0,0,(AN187-AM187)/AM187*100)</f>
        <v>0</v>
      </c>
      <c r="AP187" s="820"/>
      <c r="AQ187" s="820"/>
      <c r="AR187" s="714">
        <f>IF(AP187=0,0,(AQ187-AP187)/AP187*100)</f>
        <v>0</v>
      </c>
      <c r="AS187" s="820"/>
      <c r="AT187" s="820"/>
      <c r="AU187" s="714">
        <f>IF(AS187=0,0,(AT187-AS187)/AS187*100)</f>
        <v>0</v>
      </c>
      <c r="AV187" s="820"/>
      <c r="AW187" s="820"/>
      <c r="AX187" s="714">
        <f>IF(AV187=0,0,(AW187-AV187)/AV187*100)</f>
        <v>0</v>
      </c>
      <c r="AY187" s="820"/>
      <c r="AZ187" s="820"/>
      <c r="BA187" s="714">
        <f>IF(AY187=0,0,(AZ187-AY187)/AY187*100)</f>
        <v>0</v>
      </c>
      <c r="BB187" s="820"/>
      <c r="BC187" s="820"/>
      <c r="BD187" s="714">
        <f>IF(BB187=0,0,(BC187-BB187)/BB187*100)</f>
        <v>0</v>
      </c>
      <c r="BE187" s="820"/>
      <c r="BF187" s="820"/>
      <c r="BG187" s="714">
        <f>IF(BE187=0,0,(BF187-BE187)/BE187*100)</f>
        <v>0</v>
      </c>
      <c r="BH187" s="820"/>
      <c r="BI187" s="820"/>
      <c r="BJ187" s="714">
        <f>IF(BH187=0,0,(BI187-BH187)/BH187*100)</f>
        <v>0</v>
      </c>
      <c r="BK187" s="820"/>
      <c r="BL187" s="820"/>
      <c r="BM187" s="714">
        <f>IF(BK187=0,0,(BL187-BK187)/BK187*100)</f>
        <v>0</v>
      </c>
      <c r="BN187" s="820"/>
      <c r="BO187" s="820"/>
      <c r="BP187" s="714">
        <f>IF(BN187=0,0,(BO187-BN187)/BN187*100)</f>
        <v>0</v>
      </c>
      <c r="BQ187" s="820"/>
      <c r="BR187" s="820"/>
      <c r="BS187" s="714">
        <f>IF(BQ187=0,0,(BR187-BQ187)/BQ187*100)</f>
        <v>0</v>
      </c>
      <c r="BT187" s="820"/>
      <c r="BU187" s="820"/>
      <c r="BV187" s="714">
        <f>IF(BT187=0,0,(BU187-BT187)/BT187*100)</f>
        <v>0</v>
      </c>
      <c r="BW187" s="820"/>
      <c r="BX187" s="820"/>
      <c r="BY187" s="714">
        <f>IF(BW187=0,0,(BX187-BW187)/BW187*100)</f>
        <v>0</v>
      </c>
      <c r="BZ187" s="820"/>
      <c r="CA187" s="820"/>
      <c r="CB187" s="714">
        <f>IF(BZ187=0,0,(CA187-BZ187)/BZ187*100)</f>
        <v>0</v>
      </c>
      <c r="CC187" s="820"/>
      <c r="CD187" s="820"/>
      <c r="CE187" s="714">
        <f>IF(CC187=0,0,(CD187-CC187)/CC187*100)</f>
        <v>0</v>
      </c>
      <c r="CF187" s="820"/>
      <c r="CG187" s="820"/>
      <c r="CH187" s="714">
        <f>IF(CF187=0,0,(CG187-CF187)/CF187*100)</f>
        <v>0</v>
      </c>
      <c r="CI187" s="820"/>
      <c r="CJ187" s="820"/>
      <c r="CK187" s="714">
        <f>IF(CI187=0,0,(CJ187-CI187)/CI187*100)</f>
        <v>0</v>
      </c>
      <c r="CL187" s="820"/>
      <c r="CM187" s="820"/>
      <c r="CN187" s="714">
        <f>IF(CL187=0,0,(CM187-CL187)/CL187*100)</f>
        <v>0</v>
      </c>
      <c r="CO187" s="820"/>
      <c r="CP187" s="820"/>
      <c r="CQ187" s="714">
        <f>IF(CO187=0,0,(CP187-CO187)/CO187*100)</f>
        <v>0</v>
      </c>
      <c r="CR187" s="820"/>
      <c r="CS187" s="820"/>
      <c r="CT187" s="714">
        <f>IF(CR187=0,0,(CS187-CR187)/CR187*100)</f>
        <v>0</v>
      </c>
      <c r="CU187" s="820"/>
      <c r="CV187" s="820"/>
      <c r="CW187" s="714">
        <f>IF(CU187=0,0,(CV187-CU187)/CU187*100)</f>
        <v>0</v>
      </c>
      <c r="CX187" s="820"/>
      <c r="CY187" s="820"/>
      <c r="CZ187" s="714">
        <f>IF(CX187=0,0,(CY187-CX187)/CX187*100)</f>
        <v>0</v>
      </c>
      <c r="DA187" s="820"/>
      <c r="DB187" s="820"/>
      <c r="DC187" s="714">
        <f>IF(DA187=0,0,(DB187-DA187)/DA187*100)</f>
        <v>0</v>
      </c>
      <c r="DD187" s="820"/>
      <c r="DE187" s="820"/>
      <c r="DF187" s="714">
        <f>IF(DD187=0,0,(DE187-DD187)/DD187*100)</f>
        <v>0</v>
      </c>
      <c r="DG187" s="820"/>
      <c r="DH187" s="820"/>
      <c r="DI187" s="714">
        <f>IF(DG187=0,0,(DH187-DG187)/DG187*100)</f>
        <v>0</v>
      </c>
      <c r="DJ187" s="820"/>
      <c r="DK187" s="820"/>
      <c r="DL187" s="714">
        <f>IF(DJ187=0,0,(DK187-DJ187)/DJ187*100)</f>
        <v>0</v>
      </c>
      <c r="DM187" s="820"/>
      <c r="DN187" s="820"/>
      <c r="DO187" s="714">
        <f>IF(DM187=0,0,(DN187-DM187)/DM187*100)</f>
        <v>0</v>
      </c>
      <c r="DP187" s="820"/>
      <c r="DQ187" s="820"/>
      <c r="DR187" s="714">
        <f>IF(DP187=0,0,(DQ187-DP187)/DP187*100)</f>
        <v>0</v>
      </c>
      <c r="DS187" s="820"/>
      <c r="DT187" s="820"/>
      <c r="DU187" s="714">
        <f>IF(DS187=0,0,(DT187-DS187)/DS187*100)</f>
        <v>0</v>
      </c>
      <c r="DV187" s="820"/>
      <c r="DW187" s="820"/>
      <c r="DX187" s="714">
        <f>IF(DV187=0,0,(DW187-DV187)/DV187*100)</f>
        <v>0</v>
      </c>
      <c r="DY187" s="820"/>
      <c r="DZ187" s="820"/>
      <c r="EA187" s="714">
        <f>IF(DY187=0,0,(DZ187-DY187)/DY187*100)</f>
        <v>0</v>
      </c>
      <c r="EB187" s="820"/>
      <c r="EC187" s="820"/>
      <c r="ED187" s="714">
        <f>IF(EB187=0,0,(EC187-EB187)/EB187*100)</f>
        <v>0</v>
      </c>
      <c r="EE187" s="820"/>
      <c r="EF187" s="820"/>
      <c r="EG187" s="714">
        <f>IF(EE187=0,0,(EF187-EE187)/EE187*100)</f>
        <v>0</v>
      </c>
      <c r="EH187" s="820"/>
      <c r="EI187" s="820"/>
      <c r="EJ187" s="714">
        <f>IF(EH187=0,0,(EI187-EH187)/EH187*100)</f>
        <v>0</v>
      </c>
      <c r="EK187" s="820"/>
      <c r="EL187" s="820"/>
      <c r="EM187" s="714">
        <f>IF(EK187=0,0,(EL187-EK187)/EK187*100)</f>
        <v>0</v>
      </c>
      <c r="EN187" s="820"/>
      <c r="EO187" s="820"/>
      <c r="EP187" s="714">
        <f>IF(EN187=0,0,(EO187-EN187)/EN187*100)</f>
        <v>0</v>
      </c>
      <c r="EQ187" s="820"/>
      <c r="ER187" s="820"/>
      <c r="ES187" s="714">
        <f>IF(EQ187=0,0,(ER187-EQ187)/EQ187*100)</f>
        <v>0</v>
      </c>
      <c r="ET187" s="820"/>
      <c r="EU187" s="820"/>
      <c r="EV187" s="714">
        <f>IF(ET187=0,0,(EU187-ET187)/ET187*100)</f>
        <v>0</v>
      </c>
      <c r="EW187" s="820"/>
      <c r="EX187" s="820"/>
      <c r="EY187" s="714">
        <f>IF(EW187=0,0,(EX187-EW187)/EW187*100)</f>
        <v>0</v>
      </c>
      <c r="EZ187" s="820"/>
      <c r="FA187" s="820"/>
      <c r="FB187" s="714">
        <f>IF(EZ187=0,0,(FA187-EZ187)/EZ187*100)</f>
        <v>0</v>
      </c>
      <c r="FC187" s="820"/>
      <c r="FD187" s="820"/>
      <c r="FE187" s="714">
        <f>IF(FC187=0,0,(FD187-FC187)/FC187*100)</f>
        <v>0</v>
      </c>
      <c r="FF187" s="820"/>
      <c r="FG187" s="820"/>
      <c r="FH187" s="714">
        <f>IF(FF187=0,0,(FG187-FF187)/FF187*100)</f>
        <v>0</v>
      </c>
      <c r="FI187" s="820"/>
      <c r="FJ187" s="820"/>
      <c r="FK187" s="714">
        <f>IF(FI187=0,0,(FJ187-FI187)/FI187*100)</f>
        <v>0</v>
      </c>
      <c r="FL187" s="820"/>
      <c r="FM187" s="820"/>
      <c r="FN187" s="714">
        <f>IF(FL187=0,0,(FM187-FL187)/FL187*100)</f>
        <v>0</v>
      </c>
      <c r="FO187" s="820"/>
      <c r="FP187" s="820"/>
      <c r="FQ187" s="714">
        <f>IF(FO187=0,0,(FP187-FO187)/FO187*100)</f>
        <v>0</v>
      </c>
      <c r="FR187" s="820"/>
      <c r="FS187" s="820"/>
      <c r="FT187" s="714">
        <f>IF(FR187=0,0,(FS187-FR187)/FR187*100)</f>
        <v>0</v>
      </c>
      <c r="FU187" s="820"/>
      <c r="FV187" s="820"/>
      <c r="FW187" s="714">
        <f>IF(FU187=0,0,(FV187-FU187)/FU187*100)</f>
        <v>0</v>
      </c>
      <c r="FZ187" s="691" t="s">
        <v>1715</v>
      </c>
      <c r="GA187" s="671" t="s">
        <v>900</v>
      </c>
      <c r="GB187" s="671" cm="1">
        <f t="array" ref="GB187">GB186</f>
        <v>0</v>
      </c>
    </row>
    <row r="188" spans="1:186" ht="14.25" hidden="1" customHeight="1" x14ac:dyDescent="0.15">
      <c r="A188" s="59"/>
      <c r="B188" s="613" t="b" cm="1">
        <f t="array" ref="B188">B187</f>
        <v>0</v>
      </c>
      <c r="C188" s="59"/>
      <c r="D188" s="59"/>
      <c r="E188" s="462">
        <v>15</v>
      </c>
      <c r="F188" s="3" t="str" cm="1">
        <f t="array" aca="1" ref="F188" ca="1">OFFSET(E188,-1,1)</f>
        <v>2</v>
      </c>
      <c r="G188" s="59"/>
      <c r="H188" s="59"/>
      <c r="I188" s="17" t="s">
        <v>1716</v>
      </c>
      <c r="J188" s="59"/>
      <c r="K188" s="59"/>
      <c r="L188" s="59"/>
      <c r="M188" s="59"/>
      <c r="N188" s="59"/>
      <c r="O188" s="59"/>
      <c r="P188" s="59"/>
      <c r="Q188" s="59"/>
      <c r="R188" s="59"/>
      <c r="S188" s="59"/>
      <c r="T188" s="353" t="b">
        <f ca="1">F188&gt;0</f>
        <v>1</v>
      </c>
      <c r="U188" s="59"/>
      <c r="W188" s="517" t="s">
        <v>1674</v>
      </c>
      <c r="X188" s="1022"/>
      <c r="Z188" s="966"/>
      <c r="AB188" s="172" t="s">
        <v>176</v>
      </c>
      <c r="AC188" s="176"/>
      <c r="AD188" s="716"/>
      <c r="AE188" s="716"/>
      <c r="AF188" s="716"/>
      <c r="AG188" s="716"/>
      <c r="AH188" s="716"/>
      <c r="AI188" s="716"/>
      <c r="AJ188" s="716"/>
      <c r="AK188" s="716"/>
      <c r="AL188" s="716"/>
      <c r="AM188" s="716"/>
      <c r="AN188" s="716"/>
      <c r="AO188" s="716"/>
      <c r="AP188" s="716"/>
      <c r="AQ188" s="716"/>
      <c r="AR188" s="716"/>
      <c r="AS188" s="716"/>
      <c r="AT188" s="716"/>
      <c r="AU188" s="716"/>
      <c r="AV188" s="716"/>
      <c r="AW188" s="716"/>
      <c r="AX188" s="716"/>
      <c r="AY188" s="716"/>
      <c r="AZ188" s="716"/>
      <c r="BA188" s="716"/>
      <c r="BB188" s="716"/>
      <c r="BC188" s="716"/>
      <c r="BD188" s="716"/>
      <c r="BE188" s="716"/>
      <c r="BF188" s="716"/>
      <c r="BG188" s="716"/>
      <c r="BH188" s="716"/>
      <c r="BI188" s="716"/>
      <c r="BJ188" s="716"/>
      <c r="BK188" s="716"/>
      <c r="BL188" s="716"/>
      <c r="BM188" s="716"/>
      <c r="BN188" s="716"/>
      <c r="BO188" s="716"/>
      <c r="BP188" s="716"/>
      <c r="BQ188" s="716"/>
      <c r="BR188" s="716"/>
      <c r="BS188" s="716"/>
      <c r="BT188" s="716"/>
      <c r="BU188" s="716"/>
      <c r="BV188" s="716"/>
      <c r="BW188" s="716"/>
      <c r="BX188" s="716"/>
      <c r="BY188" s="716"/>
      <c r="BZ188" s="716"/>
      <c r="CA188" s="716"/>
      <c r="CB188" s="716"/>
      <c r="CC188" s="716"/>
      <c r="CD188" s="716"/>
      <c r="CE188" s="716"/>
      <c r="CF188" s="716"/>
      <c r="CG188" s="716"/>
      <c r="CH188" s="716"/>
      <c r="CI188" s="716"/>
      <c r="CJ188" s="716"/>
      <c r="CK188" s="716"/>
      <c r="CL188" s="716"/>
      <c r="CM188" s="716"/>
      <c r="CN188" s="716"/>
      <c r="CO188" s="716"/>
      <c r="CP188" s="716"/>
      <c r="CQ188" s="716"/>
      <c r="CR188" s="716"/>
      <c r="CS188" s="716"/>
      <c r="CT188" s="716"/>
      <c r="CU188" s="716"/>
      <c r="CV188" s="716"/>
      <c r="CW188" s="716"/>
      <c r="CX188" s="716"/>
      <c r="CY188" s="716"/>
      <c r="CZ188" s="716"/>
      <c r="DA188" s="716"/>
      <c r="DB188" s="716"/>
      <c r="DC188" s="716"/>
      <c r="DD188" s="716"/>
      <c r="DE188" s="716"/>
      <c r="DF188" s="716"/>
      <c r="DG188" s="716"/>
      <c r="DH188" s="716"/>
      <c r="DI188" s="716"/>
      <c r="DJ188" s="716"/>
      <c r="DK188" s="716"/>
      <c r="DL188" s="716"/>
      <c r="DM188" s="716"/>
      <c r="DN188" s="716"/>
      <c r="DO188" s="716"/>
      <c r="DP188" s="716"/>
      <c r="DQ188" s="716"/>
      <c r="DR188" s="716"/>
      <c r="DS188" s="716"/>
      <c r="DT188" s="716"/>
      <c r="DU188" s="716"/>
      <c r="DV188" s="716"/>
      <c r="DW188" s="716"/>
      <c r="DX188" s="716"/>
      <c r="DY188" s="716"/>
      <c r="DZ188" s="716"/>
      <c r="EA188" s="716"/>
      <c r="EB188" s="716"/>
      <c r="EC188" s="716"/>
      <c r="ED188" s="716"/>
      <c r="EE188" s="716"/>
      <c r="EF188" s="716"/>
      <c r="EG188" s="716"/>
      <c r="EH188" s="716"/>
      <c r="EI188" s="716"/>
      <c r="EJ188" s="716"/>
      <c r="EK188" s="716"/>
      <c r="EL188" s="716"/>
      <c r="EM188" s="716"/>
      <c r="EN188" s="716"/>
      <c r="EO188" s="716"/>
      <c r="EP188" s="716"/>
      <c r="EQ188" s="716"/>
      <c r="ER188" s="716"/>
      <c r="ES188" s="716"/>
      <c r="ET188" s="716"/>
      <c r="EU188" s="716"/>
      <c r="EV188" s="716"/>
      <c r="EW188" s="716"/>
      <c r="EX188" s="716"/>
      <c r="EY188" s="716"/>
      <c r="EZ188" s="716"/>
      <c r="FA188" s="716"/>
      <c r="FB188" s="716"/>
      <c r="FC188" s="716"/>
      <c r="FD188" s="716"/>
      <c r="FE188" s="716"/>
      <c r="FF188" s="716"/>
      <c r="FG188" s="716"/>
      <c r="FH188" s="716"/>
      <c r="FI188" s="716"/>
      <c r="FJ188" s="716"/>
      <c r="FK188" s="716"/>
      <c r="FL188" s="716"/>
      <c r="FM188" s="716"/>
      <c r="FN188" s="716"/>
      <c r="FO188" s="716"/>
      <c r="FP188" s="716"/>
      <c r="FQ188" s="716"/>
      <c r="FR188" s="716"/>
      <c r="FS188" s="716"/>
      <c r="FT188" s="716"/>
      <c r="FU188" s="716"/>
      <c r="FV188" s="716"/>
      <c r="FW188" s="717"/>
      <c r="FZ188" s="691" t="s">
        <v>225</v>
      </c>
      <c r="GC188" s="461" t="s">
        <v>900</v>
      </c>
    </row>
    <row r="189" spans="1:186" ht="11.25" hidden="1" customHeight="1" x14ac:dyDescent="0.15">
      <c r="A189" s="315"/>
      <c r="B189" s="613"/>
      <c r="C189" s="315"/>
      <c r="D189" s="315"/>
      <c r="E189" s="480">
        <v>0</v>
      </c>
      <c r="F189" s="765" t="str" cm="1">
        <f t="array" aca="1" ref="F189" ca="1">OFFSET(E189,-1,1)</f>
        <v>2</v>
      </c>
      <c r="G189" s="315"/>
      <c r="H189" s="315"/>
      <c r="I189" s="315"/>
      <c r="J189" s="315"/>
      <c r="K189" s="315"/>
      <c r="L189" s="315"/>
      <c r="M189" s="315"/>
      <c r="N189" s="315"/>
      <c r="O189" s="315"/>
      <c r="P189" s="315"/>
      <c r="Q189" s="315"/>
      <c r="R189" s="315"/>
      <c r="S189" s="315"/>
      <c r="T189" s="353" t="b">
        <v>0</v>
      </c>
      <c r="U189" s="315"/>
      <c r="V189" s="315"/>
      <c r="W189" s="315"/>
      <c r="X189" s="1022"/>
      <c r="Y189" s="315"/>
      <c r="Z189" s="966"/>
      <c r="AA189" s="315"/>
      <c r="AB189"/>
      <c r="AC189" s="315"/>
      <c r="AD189" s="315"/>
      <c r="AE189" s="315"/>
      <c r="AF189" s="315"/>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1" t="s">
        <v>225</v>
      </c>
      <c r="GA189" s="661"/>
      <c r="GB189" s="655"/>
      <c r="GC189" s="454"/>
      <c r="GD189" s="454"/>
    </row>
    <row r="190" spans="1:186" s="866" customFormat="1" ht="23.25" hidden="1" customHeight="1" x14ac:dyDescent="0.15">
      <c r="A190" s="594"/>
      <c r="B190" s="613" t="b" cm="1">
        <f t="array" ref="B190">S141</f>
        <v>0</v>
      </c>
      <c r="C190" s="594"/>
      <c r="D190" s="594"/>
      <c r="E190" s="462">
        <v>24.5</v>
      </c>
      <c r="F190" s="3" t="str" cm="1">
        <f t="array" aca="1" ref="F190" ca="1">OFFSET(E190,-1,1)</f>
        <v>2</v>
      </c>
      <c r="G190" s="25" t="s">
        <v>1641</v>
      </c>
      <c r="H190" s="59" t="s">
        <v>482</v>
      </c>
      <c r="I190" s="59" t="s">
        <v>1717</v>
      </c>
      <c r="J190" s="594"/>
      <c r="K190" s="594"/>
      <c r="L190" s="594"/>
      <c r="M190" s="594"/>
      <c r="N190" s="594"/>
      <c r="O190" s="594"/>
      <c r="P190" s="594"/>
      <c r="Q190" s="594"/>
      <c r="R190" s="594"/>
      <c r="S190" s="59"/>
      <c r="T190" s="353" t="b" cm="1">
        <f t="array" aca="1" ref="T190" ca="1">T188</f>
        <v>1</v>
      </c>
      <c r="U190" s="594"/>
      <c r="V190" s="594"/>
      <c r="W190" s="594"/>
      <c r="X190" s="1022"/>
      <c r="Y190" s="594"/>
      <c r="Z190" s="966"/>
      <c r="AA190" s="594"/>
      <c r="AB190" s="132" t="s">
        <v>1718</v>
      </c>
      <c r="AC190" s="147" t="s">
        <v>1644</v>
      </c>
      <c r="AD190" s="865">
        <f ca="1">IF(AND(method_reg="Метод индексации",god&lt;&gt;first_year),SUMIFS(INDEX('Калькуляция (МИ корр)'!$AJ$25:$BC$603,,MATCH(AD$8,'Калькуляция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(МИ)'!$AJ$25:$BC$603,,MATCH(AD$8,'Калькуляция (МИ)'!$AJ$8:$BC$8,0)),'Калькуляция (МИ)'!$F$25:$F$603,$F190,'Калькуляция (МИ)'!$G$25:$G$603,$G190))))</f>
        <v>231.7124131402</v>
      </c>
      <c r="AE190" s="865">
        <f ca="1">IF(AND(method_reg="Метод индексации",god&lt;&gt;first_year),SUMIFS(INDEX('Калькуляция (МИ корр)'!$AJ$25:$BC$603,,MATCH(AE$8,'Калькуляция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(МИ)'!$AJ$25:$BC$603,,MATCH(AE$8,'Калькуляция (МИ)'!$AJ$8:$BC$8,0)),'Калькуляция (МИ)'!$F$25:$F$603,$F190,'Калькуляция (МИ)'!$G$25:$G$603,$G190))))</f>
        <v>49.66</v>
      </c>
      <c r="AF190" s="208">
        <f ca="1">IF(AD190=0,0,(AE190-AD190)/AD190*100)</f>
        <v>-78.568260833763489</v>
      </c>
      <c r="AG190" s="865">
        <f ca="1">IF(AND(method_reg="Метод индексации",god&lt;&gt;first_year),SUMIFS(INDEX('Калькуляция (МИ корр)'!$AJ$25:$BC$603,,MATCH(AG$8,'Калькуляция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(МИ)'!$AJ$25:$BC$603,,MATCH(AG$8,'Калькуляция (МИ)'!$AJ$8:$BC$8,0)),'Калькуляция (МИ)'!$F$25:$F$603,$F190,'Калькуляция (МИ)'!$G$25:$G$603,$G190))))</f>
        <v>0</v>
      </c>
      <c r="AH190" s="865">
        <f ca="1">IF(AND(method_reg="Метод индексации",god&lt;&gt;first_year),SUMIFS(INDEX('Калькуляция (МИ корр)'!$AJ$25:$BC$603,,MATCH(AH$8,'Калькуляция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(МИ)'!$AJ$25:$BC$603,,MATCH(AH$8,'Калькуляция (МИ)'!$AJ$8:$BC$8,0)),'Калькуляция (МИ)'!$F$25:$F$603,$F190,'Калькуляция (МИ)'!$G$25:$G$603,$G190))))</f>
        <v>54.63</v>
      </c>
      <c r="AI190" s="208">
        <f ca="1">IF(AG190=0,0,(AH190-AG190)/AG190*100)</f>
        <v>0</v>
      </c>
      <c r="AJ190" s="865">
        <f ca="1">IF(AND(method_reg="Метод индексации",god&lt;&gt;first_year),SUMIFS(INDEX('Калькуляция (МИ корр)'!$AJ$25:$BC$603,,MATCH(AJ$8,'Калькуляция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(МИ)'!$AJ$25:$BC$603,,MATCH(AJ$8,'Калькуляция (МИ)'!$AJ$8:$BC$8,0)),'Калькуляция (МИ)'!$F$25:$F$603,$F190,'Калькуляция (МИ)'!$G$25:$G$603,$G190))))</f>
        <v>0</v>
      </c>
      <c r="AK190" s="865">
        <f ca="1">IF(AND(method_reg="Метод индексации",god&lt;&gt;first_year),SUMIFS(INDEX('Калькуляция (МИ корр)'!$AJ$25:$BC$603,,MATCH(AK$8,'Калькуляция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(МИ)'!$AJ$25:$BC$603,,MATCH(AK$8,'Калькуляция (МИ)'!$AJ$8:$BC$8,0)),'Калькуляция (МИ)'!$F$25:$F$603,$F190,'Калькуляция (МИ)'!$G$25:$G$603,$G190))))</f>
        <v>0</v>
      </c>
      <c r="AL190" s="208">
        <f ca="1">IF(AJ190=0,0,(AK190-AJ190)/AJ190*100)</f>
        <v>0</v>
      </c>
      <c r="AM190" s="865">
        <f ca="1">IF(AND(method_reg="Метод индексации",god&lt;&gt;first_year),SUMIFS(INDEX('Калькуляция (МИ корр)'!$AJ$25:$BC$603,,MATCH(AM$8,'Калькуляция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(МИ)'!$AJ$25:$BC$603,,MATCH(AM$8,'Калькуляция (МИ)'!$AJ$8:$BC$8,0)),'Калькуляция (МИ)'!$F$25:$F$603,$F190,'Калькуляция (МИ)'!$G$25:$G$603,$G190))))</f>
        <v>0</v>
      </c>
      <c r="AN190" s="865">
        <f ca="1">IF(AND(method_reg="Метод индексации",god&lt;&gt;first_year),SUMIFS(INDEX('Калькуляция (МИ корр)'!$AJ$25:$BC$603,,MATCH(AN$8,'Калькуляция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(МИ)'!$AJ$25:$BC$603,,MATCH(AN$8,'Калькуляция (МИ)'!$AJ$8:$BC$8,0)),'Калькуляция (МИ)'!$F$25:$F$603,$F190,'Калькуляция (МИ)'!$G$25:$G$603,$G190))))</f>
        <v>0</v>
      </c>
      <c r="AO190" s="208">
        <f ca="1">IF(AM190=0,0,(AN190-AM190)/AM190*100)</f>
        <v>0</v>
      </c>
      <c r="AP190" s="865">
        <f ca="1">IF(AND(method_reg="Метод индексации",god&lt;&gt;first_year),SUMIFS(INDEX('Калькуляция (МИ корр)'!$AJ$25:$BC$603,,MATCH(AP$8,'Калькуляция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(МИ)'!$AJ$25:$BC$603,,MATCH(AP$8,'Калькуляция (МИ)'!$AJ$8:$BC$8,0)),'Калькуляция (МИ)'!$F$25:$F$603,$F190,'Калькуляция (МИ)'!$G$25:$G$603,$G190))))</f>
        <v>0</v>
      </c>
      <c r="AQ190" s="865">
        <f ca="1">IF(AND(method_reg="Метод индексации",god&lt;&gt;first_year),SUMIFS(INDEX('Калькуляция (МИ корр)'!$AJ$25:$BC$603,,MATCH(AQ$8,'Калькуляция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(МИ)'!$AJ$25:$BC$603,,MATCH(AQ$8,'Калькуляция (МИ)'!$AJ$8:$BC$8,0)),'Калькуляция (МИ)'!$F$25:$F$603,$F190,'Калькуляция (МИ)'!$G$25:$G$603,$G190))))</f>
        <v>0</v>
      </c>
      <c r="AR190" s="208">
        <f ca="1">IF(AP190=0,0,(AQ190-AP190)/AP190*100)</f>
        <v>0</v>
      </c>
      <c r="AS190" s="865">
        <f ca="1">IF(AND(method_reg="Метод индексации",god&lt;&gt;first_year),SUMIFS(INDEX('Калькуляция (МИ корр)'!$AJ$25:$BC$603,,MATCH(AS$8,'Калькуляция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(МИ)'!$AJ$25:$BC$603,,MATCH(AS$8,'Калькуляция (МИ)'!$AJ$8:$BC$8,0)),'Калькуляция (МИ)'!$F$25:$F$603,$F190,'Калькуляция (МИ)'!$G$25:$G$603,$G190))))</f>
        <v>0</v>
      </c>
      <c r="AT190" s="865">
        <f ca="1">IF(AND(method_reg="Метод индексации",god&lt;&gt;first_year),SUMIFS(INDEX('Калькуляция (МИ корр)'!$AJ$25:$BC$603,,MATCH(AT$8,'Калькуляция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(МИ)'!$AJ$25:$BC$603,,MATCH(AT$8,'Калькуляция (МИ)'!$AJ$8:$BC$8,0)),'Калькуляция (МИ)'!$F$25:$F$603,$F190,'Калькуляция (МИ)'!$G$25:$G$603,$G190))))</f>
        <v>0</v>
      </c>
      <c r="AU190" s="208">
        <f ca="1">IF(AS190=0,0,(AT190-AS190)/AS190*100)</f>
        <v>0</v>
      </c>
      <c r="AV190" s="865">
        <f ca="1">IF(AND(method_reg="Метод индексации",god&lt;&gt;first_year),SUMIFS(INDEX('Калькуляция (МИ корр)'!$AJ$25:$BC$603,,MATCH(AV$8,'Калькуляция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(МИ)'!$AJ$25:$BC$603,,MATCH(AV$8,'Калькуляция (МИ)'!$AJ$8:$BC$8,0)),'Калькуляция (МИ)'!$F$25:$F$603,$F190,'Калькуляция (МИ)'!$G$25:$G$603,$G190))))</f>
        <v>0</v>
      </c>
      <c r="AW190" s="865">
        <f ca="1">IF(AND(method_reg="Метод индексации",god&lt;&gt;first_year),SUMIFS(INDEX('Калькуляция (МИ корр)'!$AJ$25:$BC$603,,MATCH(AW$8,'Калькуляция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(МИ)'!$AJ$25:$BC$603,,MATCH(AW$8,'Калькуляция (МИ)'!$AJ$8:$BC$8,0)),'Калькуляция (МИ)'!$F$25:$F$603,$F190,'Калькуляция (МИ)'!$G$25:$G$603,$G190))))</f>
        <v>0</v>
      </c>
      <c r="AX190" s="208">
        <f ca="1">IF(AV190=0,0,(AW190-AV190)/AV190*100)</f>
        <v>0</v>
      </c>
      <c r="AY190" s="865">
        <f ca="1">IF(AND(method_reg="Метод индексации",god&lt;&gt;first_year),SUMIFS(INDEX('Калькуляция (МИ корр)'!$AJ$25:$BC$603,,MATCH(AY$8,'Калькуляция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(МИ)'!$AJ$25:$BC$603,,MATCH(AY$8,'Калькуляция (МИ)'!$AJ$8:$BC$8,0)),'Калькуляция (МИ)'!$F$25:$F$603,$F190,'Калькуляция (МИ)'!$G$25:$G$603,$G190))))</f>
        <v>0</v>
      </c>
      <c r="AZ190" s="865">
        <f ca="1">IF(AND(method_reg="Метод индексации",god&lt;&gt;first_year),SUMIFS(INDEX('Калькуляция (МИ корр)'!$AJ$25:$BC$603,,MATCH(AZ$8,'Калькуляция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(МИ)'!$AJ$25:$BC$603,,MATCH(AZ$8,'Калькуляция (МИ)'!$AJ$8:$BC$8,0)),'Калькуляция (МИ)'!$F$25:$F$603,$F190,'Калькуляция (МИ)'!$G$25:$G$603,$G190))))</f>
        <v>0</v>
      </c>
      <c r="BA190" s="208">
        <f ca="1">IF(AY190=0,0,(AZ190-AY190)/AY190*100)</f>
        <v>0</v>
      </c>
      <c r="BB190" s="865">
        <f ca="1">IF(AND(method_reg="Метод индексации",god&lt;&gt;first_year),SUMIFS(INDEX('Калькуляция (МИ корр)'!$AJ$25:$BC$603,,MATCH(BB$8,'Калькуляция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(МИ)'!$AJ$25:$BC$603,,MATCH(BB$8,'Калькуляция (МИ)'!$AJ$8:$BC$8,0)),'Калькуляция (МИ)'!$F$25:$F$603,$F190,'Калькуляция (МИ)'!$G$25:$G$603,$G190))))</f>
        <v>0</v>
      </c>
      <c r="BC190" s="865">
        <f ca="1">IF(AND(method_reg="Метод индексации",god&lt;&gt;first_year),SUMIFS(INDEX('Калькуляция (МИ корр)'!$AJ$25:$BC$603,,MATCH(BC$8,'Калькуляция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(МИ)'!$AJ$25:$BC$603,,MATCH(BC$8,'Калькуляция (МИ)'!$AJ$8:$BC$8,0)),'Калькуляция (МИ)'!$F$25:$F$603,$F190,'Калькуляция (МИ)'!$G$25:$G$603,$G190))))</f>
        <v>0</v>
      </c>
      <c r="BD190" s="208">
        <f ca="1">IF(BB190=0,0,(BC190-BB190)/BB190*100)</f>
        <v>0</v>
      </c>
      <c r="BE190" s="865">
        <f ca="1">IF(AND(method_reg="Метод индексации",god&lt;&gt;first_year),SUMIFS(INDEX('Калькуляция (МИ корр)'!$AJ$25:$BC$603,,MATCH(BE$8,'Калькуляция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(МИ)'!$AJ$25:$BC$603,,MATCH(BE$8,'Калькуляция (МИ)'!$AJ$8:$BC$8,0)),'Калькуляция (МИ)'!$F$25:$F$603,$F190,'Калькуляция (МИ)'!$G$25:$G$603,$G190))))</f>
        <v>0</v>
      </c>
      <c r="BF190" s="865">
        <f ca="1">IF(AND(method_reg="Метод индексации",god&lt;&gt;first_year),SUMIFS(INDEX('Калькуляция (МИ корр)'!$AJ$25:$BC$603,,MATCH(BF$8,'Калькуляция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(МИ)'!$AJ$25:$BC$603,,MATCH(BF$8,'Калькуляция (МИ)'!$AJ$8:$BC$8,0)),'Калькуляция (МИ)'!$F$25:$F$603,$F190,'Калькуляция (МИ)'!$G$25:$G$603,$G190))))</f>
        <v>0</v>
      </c>
      <c r="BG190" s="208">
        <f ca="1">IF(BE190=0,0,(BF190-BE190)/BE190*100)</f>
        <v>0</v>
      </c>
      <c r="BH190" s="865"/>
      <c r="BI190" s="865"/>
      <c r="BJ190" s="208">
        <f>IF(BH190=0,0,(BI190-BH190)/BH190*100)</f>
        <v>0</v>
      </c>
      <c r="BK190" s="865"/>
      <c r="BL190" s="865"/>
      <c r="BM190" s="208">
        <f>IF(BK190=0,0,(BL190-BK190)/BK190*100)</f>
        <v>0</v>
      </c>
      <c r="BN190" s="865"/>
      <c r="BO190" s="865"/>
      <c r="BP190" s="208">
        <f>IF(BN190=0,0,(BO190-BN190)/BN190*100)</f>
        <v>0</v>
      </c>
      <c r="BQ190" s="865"/>
      <c r="BR190" s="865"/>
      <c r="BS190" s="208">
        <f>IF(BQ190=0,0,(BR190-BQ190)/BQ190*100)</f>
        <v>0</v>
      </c>
      <c r="BT190" s="865"/>
      <c r="BU190" s="865"/>
      <c r="BV190" s="208">
        <f>IF(BT190=0,0,(BU190-BT190)/BT190*100)</f>
        <v>0</v>
      </c>
      <c r="BW190" s="865"/>
      <c r="BX190" s="865"/>
      <c r="BY190" s="208">
        <f>IF(BW190=0,0,(BX190-BW190)/BW190*100)</f>
        <v>0</v>
      </c>
      <c r="BZ190" s="865"/>
      <c r="CA190" s="865"/>
      <c r="CB190" s="208">
        <f>IF(BZ190=0,0,(CA190-BZ190)/BZ190*100)</f>
        <v>0</v>
      </c>
      <c r="CC190" s="865"/>
      <c r="CD190" s="865"/>
      <c r="CE190" s="208">
        <f>IF(CC190=0,0,(CD190-CC190)/CC190*100)</f>
        <v>0</v>
      </c>
      <c r="CF190" s="865"/>
      <c r="CG190" s="865"/>
      <c r="CH190" s="208">
        <f>IF(CF190=0,0,(CG190-CF190)/CF190*100)</f>
        <v>0</v>
      </c>
      <c r="CI190" s="865"/>
      <c r="CJ190" s="865"/>
      <c r="CK190" s="208">
        <f>IF(CI190=0,0,(CJ190-CI190)/CI190*100)</f>
        <v>0</v>
      </c>
      <c r="CL190" s="865"/>
      <c r="CM190" s="865"/>
      <c r="CN190" s="208">
        <f>IF(CL190=0,0,(CM190-CL190)/CL190*100)</f>
        <v>0</v>
      </c>
      <c r="CO190" s="865"/>
      <c r="CP190" s="865"/>
      <c r="CQ190" s="208">
        <f>IF(CO190=0,0,(CP190-CO190)/CO190*100)</f>
        <v>0</v>
      </c>
      <c r="CR190" s="865"/>
      <c r="CS190" s="865"/>
      <c r="CT190" s="208">
        <f>IF(CR190=0,0,(CS190-CR190)/CR190*100)</f>
        <v>0</v>
      </c>
      <c r="CU190" s="865"/>
      <c r="CV190" s="865"/>
      <c r="CW190" s="208">
        <f>IF(CU190=0,0,(CV190-CU190)/CU190*100)</f>
        <v>0</v>
      </c>
      <c r="CX190" s="865"/>
      <c r="CY190" s="865"/>
      <c r="CZ190" s="208">
        <f>IF(CX190=0,0,(CY190-CX190)/CX190*100)</f>
        <v>0</v>
      </c>
      <c r="DA190" s="865"/>
      <c r="DB190" s="865"/>
      <c r="DC190" s="208">
        <f>IF(DA190=0,0,(DB190-DA190)/DA190*100)</f>
        <v>0</v>
      </c>
      <c r="DD190" s="865"/>
      <c r="DE190" s="865"/>
      <c r="DF190" s="208">
        <f>IF(DD190=0,0,(DE190-DD190)/DD190*100)</f>
        <v>0</v>
      </c>
      <c r="DG190" s="865"/>
      <c r="DH190" s="865"/>
      <c r="DI190" s="208">
        <f>IF(DG190=0,0,(DH190-DG190)/DG190*100)</f>
        <v>0</v>
      </c>
      <c r="DJ190" s="865"/>
      <c r="DK190" s="865"/>
      <c r="DL190" s="208">
        <f>IF(DJ190=0,0,(DK190-DJ190)/DJ190*100)</f>
        <v>0</v>
      </c>
      <c r="DM190" s="865"/>
      <c r="DN190" s="865"/>
      <c r="DO190" s="208">
        <f>IF(DM190=0,0,(DN190-DM190)/DM190*100)</f>
        <v>0</v>
      </c>
      <c r="DP190" s="865"/>
      <c r="DQ190" s="865"/>
      <c r="DR190" s="208">
        <f>IF(DP190=0,0,(DQ190-DP190)/DP190*100)</f>
        <v>0</v>
      </c>
      <c r="DS190" s="865"/>
      <c r="DT190" s="865"/>
      <c r="DU190" s="208">
        <f>IF(DS190=0,0,(DT190-DS190)/DS190*100)</f>
        <v>0</v>
      </c>
      <c r="DV190" s="865"/>
      <c r="DW190" s="865"/>
      <c r="DX190" s="208">
        <f>IF(DV190=0,0,(DW190-DV190)/DV190*100)</f>
        <v>0</v>
      </c>
      <c r="DY190" s="865"/>
      <c r="DZ190" s="865"/>
      <c r="EA190" s="208">
        <f>IF(DY190=0,0,(DZ190-DY190)/DY190*100)</f>
        <v>0</v>
      </c>
      <c r="EB190" s="865"/>
      <c r="EC190" s="865"/>
      <c r="ED190" s="208">
        <f>IF(EB190=0,0,(EC190-EB190)/EB190*100)</f>
        <v>0</v>
      </c>
      <c r="EE190" s="865"/>
      <c r="EF190" s="865"/>
      <c r="EG190" s="208">
        <f>IF(EE190=0,0,(EF190-EE190)/EE190*100)</f>
        <v>0</v>
      </c>
      <c r="EH190" s="865"/>
      <c r="EI190" s="865"/>
      <c r="EJ190" s="208">
        <f>IF(EH190=0,0,(EI190-EH190)/EH190*100)</f>
        <v>0</v>
      </c>
      <c r="EK190" s="865"/>
      <c r="EL190" s="865"/>
      <c r="EM190" s="208">
        <f>IF(EK190=0,0,(EL190-EK190)/EK190*100)</f>
        <v>0</v>
      </c>
      <c r="EN190" s="865"/>
      <c r="EO190" s="865"/>
      <c r="EP190" s="208">
        <f>IF(EN190=0,0,(EO190-EN190)/EN190*100)</f>
        <v>0</v>
      </c>
      <c r="EQ190" s="865"/>
      <c r="ER190" s="865"/>
      <c r="ES190" s="208">
        <f>IF(EQ190=0,0,(ER190-EQ190)/EQ190*100)</f>
        <v>0</v>
      </c>
      <c r="ET190" s="865"/>
      <c r="EU190" s="865"/>
      <c r="EV190" s="208">
        <f>IF(ET190=0,0,(EU190-ET190)/ET190*100)</f>
        <v>0</v>
      </c>
      <c r="EW190" s="865"/>
      <c r="EX190" s="865"/>
      <c r="EY190" s="208">
        <f>IF(EW190=0,0,(EX190-EW190)/EW190*100)</f>
        <v>0</v>
      </c>
      <c r="EZ190" s="865"/>
      <c r="FA190" s="865"/>
      <c r="FB190" s="208">
        <f>IF(EZ190=0,0,(FA190-EZ190)/EZ190*100)</f>
        <v>0</v>
      </c>
      <c r="FC190" s="865"/>
      <c r="FD190" s="865"/>
      <c r="FE190" s="208">
        <f>IF(FC190=0,0,(FD190-FC190)/FC190*100)</f>
        <v>0</v>
      </c>
      <c r="FF190" s="865"/>
      <c r="FG190" s="865"/>
      <c r="FH190" s="208">
        <f>IF(FF190=0,0,(FG190-FF190)/FF190*100)</f>
        <v>0</v>
      </c>
      <c r="FI190" s="865"/>
      <c r="FJ190" s="865"/>
      <c r="FK190" s="208">
        <f>IF(FI190=0,0,(FJ190-FI190)/FI190*100)</f>
        <v>0</v>
      </c>
      <c r="FL190" s="865"/>
      <c r="FM190" s="865"/>
      <c r="FN190" s="208">
        <f>IF(FL190=0,0,(FM190-FL190)/FL190*100)</f>
        <v>0</v>
      </c>
      <c r="FO190" s="865"/>
      <c r="FP190" s="865"/>
      <c r="FQ190" s="208">
        <f>IF(FO190=0,0,(FP190-FO190)/FO190*100)</f>
        <v>0</v>
      </c>
      <c r="FR190" s="865"/>
      <c r="FS190" s="865"/>
      <c r="FT190" s="208">
        <f>IF(FR190=0,0,(FS190-FR190)/FR190*100)</f>
        <v>0</v>
      </c>
      <c r="FU190" s="865"/>
      <c r="FV190" s="865"/>
      <c r="FW190" s="208">
        <f>IF(FU190=0,0,(FV190-FU190)/FU190*100)</f>
        <v>0</v>
      </c>
      <c r="FX190" s="204"/>
      <c r="FY190" s="204"/>
      <c r="FZ190" s="691" t="s">
        <v>1719</v>
      </c>
      <c r="GA190" s="691"/>
      <c r="GB190" s="691"/>
      <c r="GC190" s="692"/>
      <c r="GD190" s="692"/>
    </row>
    <row r="191" spans="1:186" s="866" customFormat="1" ht="23.25" hidden="1" customHeight="1" x14ac:dyDescent="0.15">
      <c r="A191" s="594"/>
      <c r="B191" s="613" t="b" cm="1">
        <f t="array" ref="B191">B190</f>
        <v>0</v>
      </c>
      <c r="C191" s="594"/>
      <c r="D191" s="594"/>
      <c r="E191" s="462">
        <v>24.5</v>
      </c>
      <c r="F191" s="3" t="str" cm="1">
        <f t="array" aca="1" ref="F191" ca="1">OFFSET(E191,-1,1)</f>
        <v>2</v>
      </c>
      <c r="G191" s="25" t="s">
        <v>1646</v>
      </c>
      <c r="H191" s="59" t="s">
        <v>482</v>
      </c>
      <c r="I191" s="59" t="s">
        <v>1720</v>
      </c>
      <c r="J191" s="594"/>
      <c r="K191" s="594"/>
      <c r="L191" s="594"/>
      <c r="M191" s="594"/>
      <c r="N191" s="594"/>
      <c r="O191" s="594"/>
      <c r="P191" s="594"/>
      <c r="Q191" s="594"/>
      <c r="R191" s="594"/>
      <c r="S191" s="59"/>
      <c r="T191" s="353" t="b" cm="1">
        <f t="array" aca="1" ref="T191" ca="1">T190</f>
        <v>1</v>
      </c>
      <c r="U191" s="594"/>
      <c r="V191" s="594"/>
      <c r="W191" s="594"/>
      <c r="X191" s="1022"/>
      <c r="Y191" s="594"/>
      <c r="Z191" s="966"/>
      <c r="AA191" s="594"/>
      <c r="AB191" s="132" t="s">
        <v>1721</v>
      </c>
      <c r="AC191" s="147" t="s">
        <v>1644</v>
      </c>
      <c r="AD191" s="865">
        <f ca="1">IF(AND(method_reg="Метод индексации",god&lt;&gt;first_year),SUMIFS(INDEX('Калькуляция (МИ корр)'!$AJ$25:$BC$603,,MATCH(AD$8,'Калькуляция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(МИ)'!$AJ$25:$BC$603,,MATCH(AD$8,'Калькуляция (МИ)'!$AJ$8:$BC$8,0)),'Калькуляция (МИ)'!$F$25:$F$603,$F191,'Калькуляция (МИ)'!$G$25:$G$603,$G191))))</f>
        <v>231.7124131402</v>
      </c>
      <c r="AE191" s="865">
        <f ca="1">IF(AND(method_reg="Метод индексации",god&lt;&gt;first_year),SUMIFS(INDEX('Калькуляция (МИ корр)'!$AJ$25:$BC$603,,MATCH(AE$8,'Калькуляция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(МИ)'!$AJ$25:$BC$603,,MATCH(AE$8,'Калькуляция (МИ)'!$AJ$8:$BC$8,0)),'Калькуляция (МИ)'!$F$25:$F$603,$F191,'Калькуляция (МИ)'!$G$25:$G$603,$G191))))</f>
        <v>54.63</v>
      </c>
      <c r="AF191" s="208">
        <f ca="1">IF(AD191=0,0,(AE191-AD191)/AD191*100)</f>
        <v>-76.423360639317352</v>
      </c>
      <c r="AG191" s="865">
        <f ca="1">IF(AND(method_reg="Метод индексации",god&lt;&gt;first_year),SUMIFS(INDEX('Калькуляция (МИ корр)'!$AJ$25:$BC$603,,MATCH(AG$8,'Калькуляция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(МИ)'!$AJ$25:$BC$603,,MATCH(AG$8,'Калькуляция (МИ)'!$AJ$8:$BC$8,0)),'Калькуляция (МИ)'!$F$25:$F$603,$F191,'Калькуляция (МИ)'!$G$25:$G$603,$G191))))</f>
        <v>0</v>
      </c>
      <c r="AH191" s="865">
        <f ca="1">IF(AND(method_reg="Метод индексации",god&lt;&gt;first_year),SUMIFS(INDEX('Калькуляция (МИ корр)'!$AJ$25:$BC$603,,MATCH(AH$8,'Калькуляция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(МИ)'!$AJ$25:$BC$603,,MATCH(AH$8,'Калькуляция (МИ)'!$AJ$8:$BC$8,0)),'Калькуляция (МИ)'!$F$25:$F$603,$F191,'Калькуляция (МИ)'!$G$25:$G$603,$G191))))</f>
        <v>0</v>
      </c>
      <c r="AI191" s="208">
        <f ca="1">IF(AG191=0,0,(AH191-AG191)/AG191*100)</f>
        <v>0</v>
      </c>
      <c r="AJ191" s="865">
        <f ca="1">IF(AND(method_reg="Метод индексации",god&lt;&gt;first_year),SUMIFS(INDEX('Калькуляция (МИ корр)'!$AJ$25:$BC$603,,MATCH(AJ$8,'Калькуляция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(МИ)'!$AJ$25:$BC$603,,MATCH(AJ$8,'Калькуляция (МИ)'!$AJ$8:$BC$8,0)),'Калькуляция (МИ)'!$F$25:$F$603,$F191,'Калькуляция (МИ)'!$G$25:$G$603,$G191))))</f>
        <v>0</v>
      </c>
      <c r="AK191" s="865">
        <f ca="1">IF(AND(method_reg="Метод индексации",god&lt;&gt;first_year),SUMIFS(INDEX('Калькуляция (МИ корр)'!$AJ$25:$BC$603,,MATCH(AK$8,'Калькуляция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(МИ)'!$AJ$25:$BC$603,,MATCH(AK$8,'Калькуляция (МИ)'!$AJ$8:$BC$8,0)),'Калькуляция (МИ)'!$F$25:$F$603,$F191,'Калькуляция (МИ)'!$G$25:$G$603,$G191))))</f>
        <v>0</v>
      </c>
      <c r="AL191" s="208">
        <f ca="1">IF(AJ191=0,0,(AK191-AJ191)/AJ191*100)</f>
        <v>0</v>
      </c>
      <c r="AM191" s="865">
        <f ca="1">IF(AND(method_reg="Метод индексации",god&lt;&gt;first_year),SUMIFS(INDEX('Калькуляция (МИ корр)'!$AJ$25:$BC$603,,MATCH(AM$8,'Калькуляция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(МИ)'!$AJ$25:$BC$603,,MATCH(AM$8,'Калькуляция (МИ)'!$AJ$8:$BC$8,0)),'Калькуляция (МИ)'!$F$25:$F$603,$F191,'Калькуляция (МИ)'!$G$25:$G$603,$G191))))</f>
        <v>0</v>
      </c>
      <c r="AN191" s="865">
        <f ca="1">IF(AND(method_reg="Метод индексации",god&lt;&gt;first_year),SUMIFS(INDEX('Калькуляция (МИ корр)'!$AJ$25:$BC$603,,MATCH(AN$8,'Калькуляция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(МИ)'!$AJ$25:$BC$603,,MATCH(AN$8,'Калькуляция (МИ)'!$AJ$8:$BC$8,0)),'Калькуляция (МИ)'!$F$25:$F$603,$F191,'Калькуляция (МИ)'!$G$25:$G$603,$G191))))</f>
        <v>0</v>
      </c>
      <c r="AO191" s="208">
        <f ca="1">IF(AM191=0,0,(AN191-AM191)/AM191*100)</f>
        <v>0</v>
      </c>
      <c r="AP191" s="865">
        <f ca="1">IF(AND(method_reg="Метод индексации",god&lt;&gt;first_year),SUMIFS(INDEX('Калькуляция (МИ корр)'!$AJ$25:$BC$603,,MATCH(AP$8,'Калькуляция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(МИ)'!$AJ$25:$BC$603,,MATCH(AP$8,'Калькуляция (МИ)'!$AJ$8:$BC$8,0)),'Калькуляция (МИ)'!$F$25:$F$603,$F191,'Калькуляция (МИ)'!$G$25:$G$603,$G191))))</f>
        <v>0</v>
      </c>
      <c r="AQ191" s="865">
        <f ca="1">IF(AND(method_reg="Метод индексации",god&lt;&gt;first_year),SUMIFS(INDEX('Калькуляция (МИ корр)'!$AJ$25:$BC$603,,MATCH(AQ$8,'Калькуляция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(МИ)'!$AJ$25:$BC$603,,MATCH(AQ$8,'Калькуляция (МИ)'!$AJ$8:$BC$8,0)),'Калькуляция (МИ)'!$F$25:$F$603,$F191,'Калькуляция (МИ)'!$G$25:$G$603,$G191))))</f>
        <v>0</v>
      </c>
      <c r="AR191" s="208">
        <f ca="1">IF(AP191=0,0,(AQ191-AP191)/AP191*100)</f>
        <v>0</v>
      </c>
      <c r="AS191" s="865">
        <f ca="1">IF(AND(method_reg="Метод индексации",god&lt;&gt;first_year),SUMIFS(INDEX('Калькуляция (МИ корр)'!$AJ$25:$BC$603,,MATCH(AS$8,'Калькуляция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(МИ)'!$AJ$25:$BC$603,,MATCH(AS$8,'Калькуляция (МИ)'!$AJ$8:$BC$8,0)),'Калькуляция (МИ)'!$F$25:$F$603,$F191,'Калькуляция (МИ)'!$G$25:$G$603,$G191))))</f>
        <v>0</v>
      </c>
      <c r="AT191" s="865">
        <f ca="1">IF(AND(method_reg="Метод индексации",god&lt;&gt;first_year),SUMIFS(INDEX('Калькуляция (МИ корр)'!$AJ$25:$BC$603,,MATCH(AT$8,'Калькуляция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(МИ)'!$AJ$25:$BC$603,,MATCH(AT$8,'Калькуляция (МИ)'!$AJ$8:$BC$8,0)),'Калькуляция (МИ)'!$F$25:$F$603,$F191,'Калькуляция (МИ)'!$G$25:$G$603,$G191))))</f>
        <v>0</v>
      </c>
      <c r="AU191" s="208">
        <f ca="1">IF(AS191=0,0,(AT191-AS191)/AS191*100)</f>
        <v>0</v>
      </c>
      <c r="AV191" s="865">
        <f ca="1">IF(AND(method_reg="Метод индексации",god&lt;&gt;first_year),SUMIFS(INDEX('Калькуляция (МИ корр)'!$AJ$25:$BC$603,,MATCH(AV$8,'Калькуляция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(МИ)'!$AJ$25:$BC$603,,MATCH(AV$8,'Калькуляция (МИ)'!$AJ$8:$BC$8,0)),'Калькуляция (МИ)'!$F$25:$F$603,$F191,'Калькуляция (МИ)'!$G$25:$G$603,$G191))))</f>
        <v>0</v>
      </c>
      <c r="AW191" s="865">
        <f ca="1">IF(AND(method_reg="Метод индексации",god&lt;&gt;first_year),SUMIFS(INDEX('Калькуляция (МИ корр)'!$AJ$25:$BC$603,,MATCH(AW$8,'Калькуляция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(МИ)'!$AJ$25:$BC$603,,MATCH(AW$8,'Калькуляция (МИ)'!$AJ$8:$BC$8,0)),'Калькуляция (МИ)'!$F$25:$F$603,$F191,'Калькуляция (МИ)'!$G$25:$G$603,$G191))))</f>
        <v>0</v>
      </c>
      <c r="AX191" s="208">
        <f ca="1">IF(AV191=0,0,(AW191-AV191)/AV191*100)</f>
        <v>0</v>
      </c>
      <c r="AY191" s="865">
        <f ca="1">IF(AND(method_reg="Метод индексации",god&lt;&gt;first_year),SUMIFS(INDEX('Калькуляция (МИ корр)'!$AJ$25:$BC$603,,MATCH(AY$8,'Калькуляция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(МИ)'!$AJ$25:$BC$603,,MATCH(AY$8,'Калькуляция (МИ)'!$AJ$8:$BC$8,0)),'Калькуляция (МИ)'!$F$25:$F$603,$F191,'Калькуляция (МИ)'!$G$25:$G$603,$G191))))</f>
        <v>0</v>
      </c>
      <c r="AZ191" s="865">
        <f ca="1">IF(AND(method_reg="Метод индексации",god&lt;&gt;first_year),SUMIFS(INDEX('Калькуляция (МИ корр)'!$AJ$25:$BC$603,,MATCH(AZ$8,'Калькуляция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(МИ)'!$AJ$25:$BC$603,,MATCH(AZ$8,'Калькуляция (МИ)'!$AJ$8:$BC$8,0)),'Калькуляция (МИ)'!$F$25:$F$603,$F191,'Калькуляция (МИ)'!$G$25:$G$603,$G191))))</f>
        <v>0</v>
      </c>
      <c r="BA191" s="208">
        <f ca="1">IF(AY191=0,0,(AZ191-AY191)/AY191*100)</f>
        <v>0</v>
      </c>
      <c r="BB191" s="865">
        <f ca="1">IF(AND(method_reg="Метод индексации",god&lt;&gt;first_year),SUMIFS(INDEX('Калькуляция (МИ корр)'!$AJ$25:$BC$603,,MATCH(BB$8,'Калькуляция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(МИ)'!$AJ$25:$BC$603,,MATCH(BB$8,'Калькуляция (МИ)'!$AJ$8:$BC$8,0)),'Калькуляция (МИ)'!$F$25:$F$603,$F191,'Калькуляция (МИ)'!$G$25:$G$603,$G191))))</f>
        <v>0</v>
      </c>
      <c r="BC191" s="865">
        <f ca="1">IF(AND(method_reg="Метод индексации",god&lt;&gt;first_year),SUMIFS(INDEX('Калькуляция (МИ корр)'!$AJ$25:$BC$603,,MATCH(BC$8,'Калькуляция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(МИ)'!$AJ$25:$BC$603,,MATCH(BC$8,'Калькуляция (МИ)'!$AJ$8:$BC$8,0)),'Калькуляция (МИ)'!$F$25:$F$603,$F191,'Калькуляция (МИ)'!$G$25:$G$603,$G191))))</f>
        <v>0</v>
      </c>
      <c r="BD191" s="208">
        <f ca="1">IF(BB191=0,0,(BC191-BB191)/BB191*100)</f>
        <v>0</v>
      </c>
      <c r="BE191" s="865">
        <f ca="1">IF(AND(method_reg="Метод индексации",god&lt;&gt;first_year),SUMIFS(INDEX('Калькуляция (МИ корр)'!$AJ$25:$BC$603,,MATCH(BE$8,'Калькуляция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(МИ)'!$AJ$25:$BC$603,,MATCH(BE$8,'Калькуляция (МИ)'!$AJ$8:$BC$8,0)),'Калькуляция (МИ)'!$F$25:$F$603,$F191,'Калькуляция (МИ)'!$G$25:$G$603,$G191))))</f>
        <v>0</v>
      </c>
      <c r="BF191" s="865">
        <f ca="1">IF(AND(method_reg="Метод индексации",god&lt;&gt;first_year),SUMIFS(INDEX('Калькуляция (МИ корр)'!$AJ$25:$BC$603,,MATCH(BF$8,'Калькуляция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(МИ)'!$AJ$25:$BC$603,,MATCH(BF$8,'Калькуляция (МИ)'!$AJ$8:$BC$8,0)),'Калькуляция (МИ)'!$F$25:$F$603,$F191,'Калькуляция (МИ)'!$G$25:$G$603,$G191))))</f>
        <v>0</v>
      </c>
      <c r="BG191" s="208">
        <f ca="1">IF(BE191=0,0,(BF191-BE191)/BE191*100)</f>
        <v>0</v>
      </c>
      <c r="BH191" s="865"/>
      <c r="BI191" s="865"/>
      <c r="BJ191" s="208">
        <f>IF(BH191=0,0,(BI191-BH191)/BH191*100)</f>
        <v>0</v>
      </c>
      <c r="BK191" s="865"/>
      <c r="BL191" s="865"/>
      <c r="BM191" s="208">
        <f>IF(BK191=0,0,(BL191-BK191)/BK191*100)</f>
        <v>0</v>
      </c>
      <c r="BN191" s="865"/>
      <c r="BO191" s="865"/>
      <c r="BP191" s="208">
        <f>IF(BN191=0,0,(BO191-BN191)/BN191*100)</f>
        <v>0</v>
      </c>
      <c r="BQ191" s="865"/>
      <c r="BR191" s="865"/>
      <c r="BS191" s="208">
        <f>IF(BQ191=0,0,(BR191-BQ191)/BQ191*100)</f>
        <v>0</v>
      </c>
      <c r="BT191" s="865"/>
      <c r="BU191" s="865"/>
      <c r="BV191" s="208">
        <f>IF(BT191=0,0,(BU191-BT191)/BT191*100)</f>
        <v>0</v>
      </c>
      <c r="BW191" s="865"/>
      <c r="BX191" s="865"/>
      <c r="BY191" s="208">
        <f>IF(BW191=0,0,(BX191-BW191)/BW191*100)</f>
        <v>0</v>
      </c>
      <c r="BZ191" s="865"/>
      <c r="CA191" s="865"/>
      <c r="CB191" s="208">
        <f>IF(BZ191=0,0,(CA191-BZ191)/BZ191*100)</f>
        <v>0</v>
      </c>
      <c r="CC191" s="865"/>
      <c r="CD191" s="865"/>
      <c r="CE191" s="208">
        <f>IF(CC191=0,0,(CD191-CC191)/CC191*100)</f>
        <v>0</v>
      </c>
      <c r="CF191" s="865"/>
      <c r="CG191" s="865"/>
      <c r="CH191" s="208">
        <f>IF(CF191=0,0,(CG191-CF191)/CF191*100)</f>
        <v>0</v>
      </c>
      <c r="CI191" s="865"/>
      <c r="CJ191" s="865"/>
      <c r="CK191" s="208">
        <f>IF(CI191=0,0,(CJ191-CI191)/CI191*100)</f>
        <v>0</v>
      </c>
      <c r="CL191" s="865"/>
      <c r="CM191" s="865"/>
      <c r="CN191" s="208">
        <f>IF(CL191=0,0,(CM191-CL191)/CL191*100)</f>
        <v>0</v>
      </c>
      <c r="CO191" s="865"/>
      <c r="CP191" s="865"/>
      <c r="CQ191" s="208">
        <f>IF(CO191=0,0,(CP191-CO191)/CO191*100)</f>
        <v>0</v>
      </c>
      <c r="CR191" s="865"/>
      <c r="CS191" s="865"/>
      <c r="CT191" s="208">
        <f>IF(CR191=0,0,(CS191-CR191)/CR191*100)</f>
        <v>0</v>
      </c>
      <c r="CU191" s="865"/>
      <c r="CV191" s="865"/>
      <c r="CW191" s="208">
        <f>IF(CU191=0,0,(CV191-CU191)/CU191*100)</f>
        <v>0</v>
      </c>
      <c r="CX191" s="865"/>
      <c r="CY191" s="865"/>
      <c r="CZ191" s="208">
        <f>IF(CX191=0,0,(CY191-CX191)/CX191*100)</f>
        <v>0</v>
      </c>
      <c r="DA191" s="865"/>
      <c r="DB191" s="865"/>
      <c r="DC191" s="208">
        <f>IF(DA191=0,0,(DB191-DA191)/DA191*100)</f>
        <v>0</v>
      </c>
      <c r="DD191" s="865"/>
      <c r="DE191" s="865"/>
      <c r="DF191" s="208">
        <f>IF(DD191=0,0,(DE191-DD191)/DD191*100)</f>
        <v>0</v>
      </c>
      <c r="DG191" s="865"/>
      <c r="DH191" s="865"/>
      <c r="DI191" s="208">
        <f>IF(DG191=0,0,(DH191-DG191)/DG191*100)</f>
        <v>0</v>
      </c>
      <c r="DJ191" s="865"/>
      <c r="DK191" s="865"/>
      <c r="DL191" s="208">
        <f>IF(DJ191=0,0,(DK191-DJ191)/DJ191*100)</f>
        <v>0</v>
      </c>
      <c r="DM191" s="865"/>
      <c r="DN191" s="865"/>
      <c r="DO191" s="208">
        <f>IF(DM191=0,0,(DN191-DM191)/DM191*100)</f>
        <v>0</v>
      </c>
      <c r="DP191" s="865"/>
      <c r="DQ191" s="865"/>
      <c r="DR191" s="208">
        <f>IF(DP191=0,0,(DQ191-DP191)/DP191*100)</f>
        <v>0</v>
      </c>
      <c r="DS191" s="865"/>
      <c r="DT191" s="865"/>
      <c r="DU191" s="208">
        <f>IF(DS191=0,0,(DT191-DS191)/DS191*100)</f>
        <v>0</v>
      </c>
      <c r="DV191" s="865"/>
      <c r="DW191" s="865"/>
      <c r="DX191" s="208">
        <f>IF(DV191=0,0,(DW191-DV191)/DV191*100)</f>
        <v>0</v>
      </c>
      <c r="DY191" s="865"/>
      <c r="DZ191" s="865"/>
      <c r="EA191" s="208">
        <f>IF(DY191=0,0,(DZ191-DY191)/DY191*100)</f>
        <v>0</v>
      </c>
      <c r="EB191" s="865"/>
      <c r="EC191" s="865"/>
      <c r="ED191" s="208">
        <f>IF(EB191=0,0,(EC191-EB191)/EB191*100)</f>
        <v>0</v>
      </c>
      <c r="EE191" s="865"/>
      <c r="EF191" s="865"/>
      <c r="EG191" s="208">
        <f>IF(EE191=0,0,(EF191-EE191)/EE191*100)</f>
        <v>0</v>
      </c>
      <c r="EH191" s="865"/>
      <c r="EI191" s="865"/>
      <c r="EJ191" s="208">
        <f>IF(EH191=0,0,(EI191-EH191)/EH191*100)</f>
        <v>0</v>
      </c>
      <c r="EK191" s="865"/>
      <c r="EL191" s="865"/>
      <c r="EM191" s="208">
        <f>IF(EK191=0,0,(EL191-EK191)/EK191*100)</f>
        <v>0</v>
      </c>
      <c r="EN191" s="865"/>
      <c r="EO191" s="865"/>
      <c r="EP191" s="208">
        <f>IF(EN191=0,0,(EO191-EN191)/EN191*100)</f>
        <v>0</v>
      </c>
      <c r="EQ191" s="865"/>
      <c r="ER191" s="865"/>
      <c r="ES191" s="208">
        <f>IF(EQ191=0,0,(ER191-EQ191)/EQ191*100)</f>
        <v>0</v>
      </c>
      <c r="ET191" s="865"/>
      <c r="EU191" s="865"/>
      <c r="EV191" s="208">
        <f>IF(ET191=0,0,(EU191-ET191)/ET191*100)</f>
        <v>0</v>
      </c>
      <c r="EW191" s="865"/>
      <c r="EX191" s="865"/>
      <c r="EY191" s="208">
        <f>IF(EW191=0,0,(EX191-EW191)/EW191*100)</f>
        <v>0</v>
      </c>
      <c r="EZ191" s="865"/>
      <c r="FA191" s="865"/>
      <c r="FB191" s="208">
        <f>IF(EZ191=0,0,(FA191-EZ191)/EZ191*100)</f>
        <v>0</v>
      </c>
      <c r="FC191" s="865"/>
      <c r="FD191" s="865"/>
      <c r="FE191" s="208">
        <f>IF(FC191=0,0,(FD191-FC191)/FC191*100)</f>
        <v>0</v>
      </c>
      <c r="FF191" s="865"/>
      <c r="FG191" s="865"/>
      <c r="FH191" s="208">
        <f>IF(FF191=0,0,(FG191-FF191)/FF191*100)</f>
        <v>0</v>
      </c>
      <c r="FI191" s="865"/>
      <c r="FJ191" s="865"/>
      <c r="FK191" s="208">
        <f>IF(FI191=0,0,(FJ191-FI191)/FI191*100)</f>
        <v>0</v>
      </c>
      <c r="FL191" s="865"/>
      <c r="FM191" s="865"/>
      <c r="FN191" s="208">
        <f>IF(FL191=0,0,(FM191-FL191)/FL191*100)</f>
        <v>0</v>
      </c>
      <c r="FO191" s="865"/>
      <c r="FP191" s="865"/>
      <c r="FQ191" s="208">
        <f>IF(FO191=0,0,(FP191-FO191)/FO191*100)</f>
        <v>0</v>
      </c>
      <c r="FR191" s="865"/>
      <c r="FS191" s="865"/>
      <c r="FT191" s="208">
        <f>IF(FR191=0,0,(FS191-FR191)/FR191*100)</f>
        <v>0</v>
      </c>
      <c r="FU191" s="865"/>
      <c r="FV191" s="865"/>
      <c r="FW191" s="208">
        <f>IF(FU191=0,0,(FV191-FU191)/FU191*100)</f>
        <v>0</v>
      </c>
      <c r="FX191" s="204"/>
      <c r="FY191" s="204"/>
      <c r="FZ191" s="691" t="s">
        <v>1722</v>
      </c>
      <c r="GA191" s="691"/>
      <c r="GB191" s="691"/>
      <c r="GC191" s="692"/>
      <c r="GD191" s="692"/>
    </row>
    <row r="192" spans="1:186" ht="14.25" hidden="1" customHeight="1" x14ac:dyDescent="0.15">
      <c r="A192" s="59"/>
      <c r="B192" s="613" t="b" cm="1">
        <f t="array" ref="B192">B191</f>
        <v>0</v>
      </c>
      <c r="C192" s="59"/>
      <c r="D192" s="59"/>
      <c r="E192" s="462">
        <v>15</v>
      </c>
      <c r="F192" s="3" t="str" cm="1">
        <f t="array" aca="1" ref="F192" ca="1">OFFSET(E192,-1,1)</f>
        <v>2</v>
      </c>
      <c r="G192" s="59"/>
      <c r="H192" s="59" t="s">
        <v>486</v>
      </c>
      <c r="I192" s="59"/>
      <c r="J192" s="59"/>
      <c r="K192" s="59"/>
      <c r="L192" s="59"/>
      <c r="M192" s="59"/>
      <c r="N192" s="59"/>
      <c r="O192" s="59"/>
      <c r="P192" s="59"/>
      <c r="Q192" s="59"/>
      <c r="R192" s="59"/>
      <c r="S192" s="59"/>
      <c r="T192" s="353" t="b" cm="1">
        <f t="array" aca="1" ref="T192" ca="1">T191</f>
        <v>1</v>
      </c>
      <c r="U192" s="59"/>
      <c r="V192" s="59"/>
      <c r="W192" s="59"/>
      <c r="X192" s="1022"/>
      <c r="Y192" s="59"/>
      <c r="Z192" s="966"/>
      <c r="AA192" s="59"/>
      <c r="AB192" s="346" t="s">
        <v>1723</v>
      </c>
      <c r="AC192" s="9" t="s">
        <v>476</v>
      </c>
      <c r="AD192" s="620">
        <f ca="1">IF(AD190=0,0,AD191/AD190)*100</f>
        <v>100</v>
      </c>
      <c r="AE192" s="620">
        <f ca="1">IF(AE190=0,0,AE191/AE190)*100</f>
        <v>110.0080547724527</v>
      </c>
      <c r="AF192" s="723"/>
      <c r="AG192" s="620">
        <f ca="1">IF(AG190=0,0,AG191/AG190)*100</f>
        <v>0</v>
      </c>
      <c r="AH192" s="620">
        <f ca="1">IF(AH190=0,0,AH191/AH190)*100</f>
        <v>0</v>
      </c>
      <c r="AI192" s="723"/>
      <c r="AJ192" s="620">
        <f ca="1">IF(AJ190=0,0,AJ191/AJ190)*100</f>
        <v>0</v>
      </c>
      <c r="AK192" s="620">
        <f ca="1">IF(AK190=0,0,AK191/AK190)*100</f>
        <v>0</v>
      </c>
      <c r="AL192" s="723"/>
      <c r="AM192" s="620">
        <f ca="1">IF(AM190=0,0,AM191/AM190)*100</f>
        <v>0</v>
      </c>
      <c r="AN192" s="620">
        <f ca="1">IF(AN190=0,0,AN191/AN190)*100</f>
        <v>0</v>
      </c>
      <c r="AO192" s="723"/>
      <c r="AP192" s="620">
        <f ca="1">IF(AP190=0,0,AP191/AP190)*100</f>
        <v>0</v>
      </c>
      <c r="AQ192" s="620">
        <f ca="1">IF(AQ190=0,0,AQ191/AQ190)*100</f>
        <v>0</v>
      </c>
      <c r="AR192" s="723"/>
      <c r="AS192" s="620">
        <f ca="1">IF(AS190=0,0,AS191/AS190)*100</f>
        <v>0</v>
      </c>
      <c r="AT192" s="620">
        <f ca="1">IF(AT190=0,0,AT191/AT190)*100</f>
        <v>0</v>
      </c>
      <c r="AU192" s="723"/>
      <c r="AV192" s="620">
        <f ca="1">IF(AV190=0,0,AV191/AV190)*100</f>
        <v>0</v>
      </c>
      <c r="AW192" s="620">
        <f ca="1">IF(AW190=0,0,AW191/AW190)*100</f>
        <v>0</v>
      </c>
      <c r="AX192" s="723"/>
      <c r="AY192" s="620">
        <f ca="1">IF(AY190=0,0,AY191/AY190)*100</f>
        <v>0</v>
      </c>
      <c r="AZ192" s="620">
        <f ca="1">IF(AZ190=0,0,AZ191/AZ190)*100</f>
        <v>0</v>
      </c>
      <c r="BA192" s="723"/>
      <c r="BB192" s="620">
        <f ca="1">IF(BB190=0,0,BB191/BB190)*100</f>
        <v>0</v>
      </c>
      <c r="BC192" s="620">
        <f ca="1">IF(BC190=0,0,BC191/BC190)*100</f>
        <v>0</v>
      </c>
      <c r="BD192" s="723"/>
      <c r="BE192" s="620">
        <f ca="1">IF(BE190=0,0,BE191/BE190)*100</f>
        <v>0</v>
      </c>
      <c r="BF192" s="620">
        <f ca="1">IF(BF190=0,0,BF191/BF190)*100</f>
        <v>0</v>
      </c>
      <c r="BG192" s="723"/>
      <c r="BH192" s="620">
        <f>IF(BH190=0,0,BH191/BH190)*100</f>
        <v>0</v>
      </c>
      <c r="BI192" s="620">
        <f>IF(BI190=0,0,BI191/BI190)*100</f>
        <v>0</v>
      </c>
      <c r="BJ192" s="723"/>
      <c r="BK192" s="620">
        <f>IF(BK190=0,0,BK191/BK190)*100</f>
        <v>0</v>
      </c>
      <c r="BL192" s="620">
        <f>IF(BL190=0,0,BL191/BL190)*100</f>
        <v>0</v>
      </c>
      <c r="BM192" s="723"/>
      <c r="BN192" s="620">
        <f>IF(BN190=0,0,BN191/BN190)*100</f>
        <v>0</v>
      </c>
      <c r="BO192" s="620">
        <f>IF(BO190=0,0,BO191/BO190)*100</f>
        <v>0</v>
      </c>
      <c r="BP192" s="723"/>
      <c r="BQ192" s="620">
        <f>IF(BQ190=0,0,BQ191/BQ190)*100</f>
        <v>0</v>
      </c>
      <c r="BR192" s="620">
        <f>IF(BR190=0,0,BR191/BR190)*100</f>
        <v>0</v>
      </c>
      <c r="BS192" s="723"/>
      <c r="BT192" s="620">
        <f>IF(BT190=0,0,BT191/BT190)*100</f>
        <v>0</v>
      </c>
      <c r="BU192" s="620">
        <f>IF(BU190=0,0,BU191/BU190)*100</f>
        <v>0</v>
      </c>
      <c r="BV192" s="723"/>
      <c r="BW192" s="620">
        <f>IF(BW190=0,0,BW191/BW190)*100</f>
        <v>0</v>
      </c>
      <c r="BX192" s="620">
        <f>IF(BX190=0,0,BX191/BX190)*100</f>
        <v>0</v>
      </c>
      <c r="BY192" s="723"/>
      <c r="BZ192" s="620">
        <f>IF(BZ190=0,0,BZ191/BZ190)*100</f>
        <v>0</v>
      </c>
      <c r="CA192" s="620">
        <f>IF(CA190=0,0,CA191/CA190)*100</f>
        <v>0</v>
      </c>
      <c r="CB192" s="723"/>
      <c r="CC192" s="620">
        <f>IF(CC190=0,0,CC191/CC190)*100</f>
        <v>0</v>
      </c>
      <c r="CD192" s="620">
        <f>IF(CD190=0,0,CD191/CD190)*100</f>
        <v>0</v>
      </c>
      <c r="CE192" s="723"/>
      <c r="CF192" s="620">
        <f>IF(CF190=0,0,CF191/CF190)*100</f>
        <v>0</v>
      </c>
      <c r="CG192" s="620">
        <f>IF(CG190=0,0,CG191/CG190)*100</f>
        <v>0</v>
      </c>
      <c r="CH192" s="723"/>
      <c r="CI192" s="620">
        <f>IF(CI190=0,0,CI191/CI190)*100</f>
        <v>0</v>
      </c>
      <c r="CJ192" s="620">
        <f>IF(CJ190=0,0,CJ191/CJ190)*100</f>
        <v>0</v>
      </c>
      <c r="CK192" s="723"/>
      <c r="CL192" s="620">
        <f>IF(CL190=0,0,CL191/CL190)*100</f>
        <v>0</v>
      </c>
      <c r="CM192" s="620">
        <f>IF(CM190=0,0,CM191/CM190)*100</f>
        <v>0</v>
      </c>
      <c r="CN192" s="723"/>
      <c r="CO192" s="620">
        <f>IF(CO190=0,0,CO191/CO190)*100</f>
        <v>0</v>
      </c>
      <c r="CP192" s="620">
        <f>IF(CP190=0,0,CP191/CP190)*100</f>
        <v>0</v>
      </c>
      <c r="CQ192" s="723"/>
      <c r="CR192" s="620">
        <f>IF(CR190=0,0,CR191/CR190)*100</f>
        <v>0</v>
      </c>
      <c r="CS192" s="620">
        <f>IF(CS190=0,0,CS191/CS190)*100</f>
        <v>0</v>
      </c>
      <c r="CT192" s="723"/>
      <c r="CU192" s="620">
        <f>IF(CU190=0,0,CU191/CU190)*100</f>
        <v>0</v>
      </c>
      <c r="CV192" s="620">
        <f>IF(CV190=0,0,CV191/CV190)*100</f>
        <v>0</v>
      </c>
      <c r="CW192" s="723"/>
      <c r="CX192" s="620">
        <f>IF(CX190=0,0,CX191/CX190)*100</f>
        <v>0</v>
      </c>
      <c r="CY192" s="620">
        <f>IF(CY190=0,0,CY191/CY190)*100</f>
        <v>0</v>
      </c>
      <c r="CZ192" s="723"/>
      <c r="DA192" s="620">
        <f>IF(DA190=0,0,DA191/DA190)*100</f>
        <v>0</v>
      </c>
      <c r="DB192" s="620">
        <f>IF(DB190=0,0,DB191/DB190)*100</f>
        <v>0</v>
      </c>
      <c r="DC192" s="723"/>
      <c r="DD192" s="620">
        <f>IF(DD190=0,0,DD191/DD190)*100</f>
        <v>0</v>
      </c>
      <c r="DE192" s="620">
        <f>IF(DE190=0,0,DE191/DE190)*100</f>
        <v>0</v>
      </c>
      <c r="DF192" s="723"/>
      <c r="DG192" s="620">
        <f>IF(DG190=0,0,DG191/DG190)*100</f>
        <v>0</v>
      </c>
      <c r="DH192" s="620">
        <f>IF(DH190=0,0,DH191/DH190)*100</f>
        <v>0</v>
      </c>
      <c r="DI192" s="723"/>
      <c r="DJ192" s="620">
        <f>IF(DJ190=0,0,DJ191/DJ190)*100</f>
        <v>0</v>
      </c>
      <c r="DK192" s="620">
        <f>IF(DK190=0,0,DK191/DK190)*100</f>
        <v>0</v>
      </c>
      <c r="DL192" s="723"/>
      <c r="DM192" s="620">
        <f>IF(DM190=0,0,DM191/DM190)*100</f>
        <v>0</v>
      </c>
      <c r="DN192" s="620">
        <f>IF(DN190=0,0,DN191/DN190)*100</f>
        <v>0</v>
      </c>
      <c r="DO192" s="723"/>
      <c r="DP192" s="620">
        <f>IF(DP190=0,0,DP191/DP190)*100</f>
        <v>0</v>
      </c>
      <c r="DQ192" s="620">
        <f>IF(DQ190=0,0,DQ191/DQ190)*100</f>
        <v>0</v>
      </c>
      <c r="DR192" s="723"/>
      <c r="DS192" s="620">
        <f>IF(DS190=0,0,DS191/DS190)*100</f>
        <v>0</v>
      </c>
      <c r="DT192" s="620">
        <f>IF(DT190=0,0,DT191/DT190)*100</f>
        <v>0</v>
      </c>
      <c r="DU192" s="723"/>
      <c r="DV192" s="620">
        <f>IF(DV190=0,0,DV191/DV190)*100</f>
        <v>0</v>
      </c>
      <c r="DW192" s="620">
        <f>IF(DW190=0,0,DW191/DW190)*100</f>
        <v>0</v>
      </c>
      <c r="DX192" s="723"/>
      <c r="DY192" s="620">
        <f>IF(DY190=0,0,DY191/DY190)*100</f>
        <v>0</v>
      </c>
      <c r="DZ192" s="620">
        <f>IF(DZ190=0,0,DZ191/DZ190)*100</f>
        <v>0</v>
      </c>
      <c r="EA192" s="723"/>
      <c r="EB192" s="620">
        <f>IF(EB190=0,0,EB191/EB190)*100</f>
        <v>0</v>
      </c>
      <c r="EC192" s="620">
        <f>IF(EC190=0,0,EC191/EC190)*100</f>
        <v>0</v>
      </c>
      <c r="ED192" s="723"/>
      <c r="EE192" s="620">
        <f>IF(EE190=0,0,EE191/EE190)*100</f>
        <v>0</v>
      </c>
      <c r="EF192" s="620">
        <f>IF(EF190=0,0,EF191/EF190)*100</f>
        <v>0</v>
      </c>
      <c r="EG192" s="723"/>
      <c r="EH192" s="620">
        <f>IF(EH190=0,0,EH191/EH190)*100</f>
        <v>0</v>
      </c>
      <c r="EI192" s="620">
        <f>IF(EI190=0,0,EI191/EI190)*100</f>
        <v>0</v>
      </c>
      <c r="EJ192" s="723"/>
      <c r="EK192" s="620">
        <f>IF(EK190=0,0,EK191/EK190)*100</f>
        <v>0</v>
      </c>
      <c r="EL192" s="620">
        <f>IF(EL190=0,0,EL191/EL190)*100</f>
        <v>0</v>
      </c>
      <c r="EM192" s="723"/>
      <c r="EN192" s="620">
        <f>IF(EN190=0,0,EN191/EN190)*100</f>
        <v>0</v>
      </c>
      <c r="EO192" s="620">
        <f>IF(EO190=0,0,EO191/EO190)*100</f>
        <v>0</v>
      </c>
      <c r="EP192" s="723"/>
      <c r="EQ192" s="620">
        <f>IF(EQ190=0,0,EQ191/EQ190)*100</f>
        <v>0</v>
      </c>
      <c r="ER192" s="620">
        <f>IF(ER190=0,0,ER191/ER190)*100</f>
        <v>0</v>
      </c>
      <c r="ES192" s="723"/>
      <c r="ET192" s="620">
        <f>IF(ET190=0,0,ET191/ET190)*100</f>
        <v>0</v>
      </c>
      <c r="EU192" s="620">
        <f>IF(EU190=0,0,EU191/EU190)*100</f>
        <v>0</v>
      </c>
      <c r="EV192" s="723"/>
      <c r="EW192" s="620">
        <f>IF(EW190=0,0,EW191/EW190)*100</f>
        <v>0</v>
      </c>
      <c r="EX192" s="620">
        <f>IF(EX190=0,0,EX191/EX190)*100</f>
        <v>0</v>
      </c>
      <c r="EY192" s="723"/>
      <c r="EZ192" s="620">
        <f>IF(EZ190=0,0,EZ191/EZ190)*100</f>
        <v>0</v>
      </c>
      <c r="FA192" s="620">
        <f>IF(FA190=0,0,FA191/FA190)*100</f>
        <v>0</v>
      </c>
      <c r="FB192" s="723"/>
      <c r="FC192" s="620">
        <f>IF(FC190=0,0,FC191/FC190)*100</f>
        <v>0</v>
      </c>
      <c r="FD192" s="620">
        <f>IF(FD190=0,0,FD191/FD190)*100</f>
        <v>0</v>
      </c>
      <c r="FE192" s="723"/>
      <c r="FF192" s="620">
        <f>IF(FF190=0,0,FF191/FF190)*100</f>
        <v>0</v>
      </c>
      <c r="FG192" s="620">
        <f>IF(FG190=0,0,FG191/FG190)*100</f>
        <v>0</v>
      </c>
      <c r="FH192" s="723"/>
      <c r="FI192" s="620">
        <f>IF(FI190=0,0,FI191/FI190)*100</f>
        <v>0</v>
      </c>
      <c r="FJ192" s="620">
        <f>IF(FJ190=0,0,FJ191/FJ190)*100</f>
        <v>0</v>
      </c>
      <c r="FK192" s="723"/>
      <c r="FL192" s="620">
        <f>IF(FL190=0,0,FL191/FL190)*100</f>
        <v>0</v>
      </c>
      <c r="FM192" s="620">
        <f>IF(FM190=0,0,FM191/FM190)*100</f>
        <v>0</v>
      </c>
      <c r="FN192" s="723"/>
      <c r="FO192" s="620">
        <f>IF(FO190=0,0,FO191/FO190)*100</f>
        <v>0</v>
      </c>
      <c r="FP192" s="620">
        <f>IF(FP190=0,0,FP191/FP190)*100</f>
        <v>0</v>
      </c>
      <c r="FQ192" s="723"/>
      <c r="FR192" s="620">
        <f>IF(FR190=0,0,FR191/FR190)*100</f>
        <v>0</v>
      </c>
      <c r="FS192" s="620">
        <f>IF(FS190=0,0,FS191/FS190)*100</f>
        <v>0</v>
      </c>
      <c r="FT192" s="723"/>
      <c r="FU192" s="620">
        <f>IF(FU190=0,0,FU191/FU190)*100</f>
        <v>0</v>
      </c>
      <c r="FV192" s="620">
        <f>IF(FV190=0,0,FV191/FV190)*100</f>
        <v>0</v>
      </c>
      <c r="FW192" s="724"/>
      <c r="FX192" s="204"/>
      <c r="FZ192" s="691" t="s">
        <v>1724</v>
      </c>
    </row>
    <row r="193" spans="1:186" ht="14.25" hidden="1" customHeight="1" x14ac:dyDescent="0.15">
      <c r="A193" s="59"/>
      <c r="B193" s="613" t="b" cm="1">
        <f t="array" ref="B193">B192</f>
        <v>0</v>
      </c>
      <c r="C193" s="59"/>
      <c r="D193" s="59"/>
      <c r="E193" s="462">
        <v>15</v>
      </c>
      <c r="F193" s="3" t="str" cm="1">
        <f t="array" aca="1" ref="F193" ca="1">OFFSET(E193,-1,1)</f>
        <v>2</v>
      </c>
      <c r="G193" s="25" t="s">
        <v>1653</v>
      </c>
      <c r="H193" s="59"/>
      <c r="I193" s="59"/>
      <c r="J193" s="59"/>
      <c r="K193" s="59"/>
      <c r="L193" s="59"/>
      <c r="M193" s="59"/>
      <c r="N193" s="59"/>
      <c r="O193" s="59"/>
      <c r="P193" s="59"/>
      <c r="Q193" s="59"/>
      <c r="R193" s="59"/>
      <c r="S193" s="59"/>
      <c r="T193" s="353" t="b" cm="1">
        <f t="array" aca="1" ref="T193" ca="1">T192</f>
        <v>1</v>
      </c>
      <c r="U193" s="59"/>
      <c r="V193" s="59"/>
      <c r="W193" s="59"/>
      <c r="X193" s="1022"/>
      <c r="Y193" s="59"/>
      <c r="Z193" s="966"/>
      <c r="AA193" s="59"/>
      <c r="AB193" s="54" t="s">
        <v>1654</v>
      </c>
      <c r="AC193" s="12" t="s">
        <v>558</v>
      </c>
      <c r="AD193" s="836">
        <f ca="1">IF(AND(method_reg="Метод индексации",god&lt;&gt;first_year),SUMIFS(INDEX('Калькуляция (МИ корр)'!$AJ$25:$BC$603,,MATCH(AD$8,'Калькуляция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(МИ)'!$AJ$25:$BC$603,,MATCH(AD$8,'Калькуляция (МИ)'!$AJ$8:$BC$8,0)),'Калькуляция (МИ)'!$F$25:$F$603,$F193,'Калькуляция (МИ)'!$G$25:$G$603,$G193))))</f>
        <v>422.57499999999999</v>
      </c>
      <c r="AE193" s="836">
        <f ca="1">IF(AND(method_reg="Метод индексации",god&lt;&gt;first_year),SUMIFS(INDEX('Калькуляция (МИ корр)'!$AJ$25:$BC$603,,MATCH(AE$8,'Калькуляция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(МИ)'!$AJ$25:$BC$603,,MATCH(AE$8,'Калькуляция (МИ)'!$AJ$8:$BC$8,0)),'Калькуляция (МИ)'!$F$25:$F$603,$F193,'Калькуляция (МИ)'!$G$25:$G$603,$G193))))</f>
        <v>348.84325000000001</v>
      </c>
      <c r="AF193" s="715">
        <f ca="1">IF(AD193=0,0,(AE193-AD193)/AD193*100)</f>
        <v>-17.448204460746609</v>
      </c>
      <c r="AG193" s="836">
        <f ca="1">IF(AND(method_reg="Метод индексации",god&lt;&gt;first_year),SUMIFS(INDEX('Калькуляция (МИ корр)'!$AJ$25:$BC$603,,MATCH(AG$8,'Калькуляция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(МИ)'!$AJ$25:$BC$603,,MATCH(AG$8,'Калькуляция (МИ)'!$AJ$8:$BC$8,0)),'Калькуляция (МИ)'!$F$25:$F$603,$F193,'Калькуляция (МИ)'!$G$25:$G$603,$G193))))</f>
        <v>0</v>
      </c>
      <c r="AH193" s="836">
        <f ca="1">IF(AND(method_reg="Метод индексации",god&lt;&gt;first_year),SUMIFS(INDEX('Калькуляция (МИ корр)'!$AJ$25:$BC$603,,MATCH(AH$8,'Калькуляция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(МИ)'!$AJ$25:$BC$603,,MATCH(AH$8,'Калькуляция (МИ)'!$AJ$8:$BC$8,0)),'Калькуляция (МИ)'!$F$25:$F$603,$F193,'Калькуляция (МИ)'!$G$25:$G$603,$G193))))</f>
        <v>0</v>
      </c>
      <c r="AI193" s="715">
        <f ca="1">IF(AG193=0,0,(AH193-AG193)/AG193*100)</f>
        <v>0</v>
      </c>
      <c r="AJ193" s="836">
        <f ca="1">IF(AND(method_reg="Метод индексации",god&lt;&gt;first_year),SUMIFS(INDEX('Калькуляция (МИ корр)'!$AJ$25:$BC$603,,MATCH(AJ$8,'Калькуляция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(МИ)'!$AJ$25:$BC$603,,MATCH(AJ$8,'Калькуляция (МИ)'!$AJ$8:$BC$8,0)),'Калькуляция (МИ)'!$F$25:$F$603,$F193,'Калькуляция (МИ)'!$G$25:$G$603,$G193))))</f>
        <v>0</v>
      </c>
      <c r="AK193" s="836">
        <f ca="1">IF(AND(method_reg="Метод индексации",god&lt;&gt;first_year),SUMIFS(INDEX('Калькуляция (МИ корр)'!$AJ$25:$BC$603,,MATCH(AK$8,'Калькуляция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(МИ)'!$AJ$25:$BC$603,,MATCH(AK$8,'Калькуляция (МИ)'!$AJ$8:$BC$8,0)),'Калькуляция (МИ)'!$F$25:$F$603,$F193,'Калькуляция (МИ)'!$G$25:$G$603,$G193))))</f>
        <v>0</v>
      </c>
      <c r="AL193" s="715">
        <f ca="1">IF(AJ193=0,0,(AK193-AJ193)/AJ193*100)</f>
        <v>0</v>
      </c>
      <c r="AM193" s="836">
        <f ca="1">IF(AND(method_reg="Метод индексации",god&lt;&gt;first_year),SUMIFS(INDEX('Калькуляция (МИ корр)'!$AJ$25:$BC$603,,MATCH(AM$8,'Калькуляция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(МИ)'!$AJ$25:$BC$603,,MATCH(AM$8,'Калькуляция (МИ)'!$AJ$8:$BC$8,0)),'Калькуляция (МИ)'!$F$25:$F$603,$F193,'Калькуляция (МИ)'!$G$25:$G$603,$G193))))</f>
        <v>0</v>
      </c>
      <c r="AN193" s="836">
        <f ca="1">IF(AND(method_reg="Метод индексации",god&lt;&gt;first_year),SUMIFS(INDEX('Калькуляция (МИ корр)'!$AJ$25:$BC$603,,MATCH(AN$8,'Калькуляция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(МИ)'!$AJ$25:$BC$603,,MATCH(AN$8,'Калькуляция (МИ)'!$AJ$8:$BC$8,0)),'Калькуляция (МИ)'!$F$25:$F$603,$F193,'Калькуляция (МИ)'!$G$25:$G$603,$G193))))</f>
        <v>0</v>
      </c>
      <c r="AO193" s="715">
        <f ca="1">IF(AM193=0,0,(AN193-AM193)/AM193*100)</f>
        <v>0</v>
      </c>
      <c r="AP193" s="836">
        <f ca="1">IF(AND(method_reg="Метод индексации",god&lt;&gt;first_year),SUMIFS(INDEX('Калькуляция (МИ корр)'!$AJ$25:$BC$603,,MATCH(AP$8,'Калькуляция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(МИ)'!$AJ$25:$BC$603,,MATCH(AP$8,'Калькуляция (МИ)'!$AJ$8:$BC$8,0)),'Калькуляция (МИ)'!$F$25:$F$603,$F193,'Калькуляция (МИ)'!$G$25:$G$603,$G193))))</f>
        <v>0</v>
      </c>
      <c r="AQ193" s="836">
        <f ca="1">IF(AND(method_reg="Метод индексации",god&lt;&gt;first_year),SUMIFS(INDEX('Калькуляция (МИ корр)'!$AJ$25:$BC$603,,MATCH(AQ$8,'Калькуляция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(МИ)'!$AJ$25:$BC$603,,MATCH(AQ$8,'Калькуляция (МИ)'!$AJ$8:$BC$8,0)),'Калькуляция (МИ)'!$F$25:$F$603,$F193,'Калькуляция (МИ)'!$G$25:$G$603,$G193))))</f>
        <v>0</v>
      </c>
      <c r="AR193" s="715">
        <f ca="1">IF(AP193=0,0,(AQ193-AP193)/AP193*100)</f>
        <v>0</v>
      </c>
      <c r="AS193" s="836">
        <f ca="1">IF(AND(method_reg="Метод индексации",god&lt;&gt;first_year),SUMIFS(INDEX('Калькуляция (МИ корр)'!$AJ$25:$BC$603,,MATCH(AS$8,'Калькуляция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(МИ)'!$AJ$25:$BC$603,,MATCH(AS$8,'Калькуляция (МИ)'!$AJ$8:$BC$8,0)),'Калькуляция (МИ)'!$F$25:$F$603,$F193,'Калькуляция (МИ)'!$G$25:$G$603,$G193))))</f>
        <v>0</v>
      </c>
      <c r="AT193" s="836">
        <f ca="1">IF(AND(method_reg="Метод индексации",god&lt;&gt;first_year),SUMIFS(INDEX('Калькуляция (МИ корр)'!$AJ$25:$BC$603,,MATCH(AT$8,'Калькуляция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(МИ)'!$AJ$25:$BC$603,,MATCH(AT$8,'Калькуляция (МИ)'!$AJ$8:$BC$8,0)),'Калькуляция (МИ)'!$F$25:$F$603,$F193,'Калькуляция (МИ)'!$G$25:$G$603,$G193))))</f>
        <v>0</v>
      </c>
      <c r="AU193" s="715">
        <f ca="1">IF(AS193=0,0,(AT193-AS193)/AS193*100)</f>
        <v>0</v>
      </c>
      <c r="AV193" s="836">
        <f ca="1">IF(AND(method_reg="Метод индексации",god&lt;&gt;first_year),SUMIFS(INDEX('Калькуляция (МИ корр)'!$AJ$25:$BC$603,,MATCH(AV$8,'Калькуляция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(МИ)'!$AJ$25:$BC$603,,MATCH(AV$8,'Калькуляция (МИ)'!$AJ$8:$BC$8,0)),'Калькуляция (МИ)'!$F$25:$F$603,$F193,'Калькуляция (МИ)'!$G$25:$G$603,$G193))))</f>
        <v>0</v>
      </c>
      <c r="AW193" s="836">
        <f ca="1">IF(AND(method_reg="Метод индексации",god&lt;&gt;first_year),SUMIFS(INDEX('Калькуляция (МИ корр)'!$AJ$25:$BC$603,,MATCH(AW$8,'Калькуляция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(МИ)'!$AJ$25:$BC$603,,MATCH(AW$8,'Калькуляция (МИ)'!$AJ$8:$BC$8,0)),'Калькуляция (МИ)'!$F$25:$F$603,$F193,'Калькуляция (МИ)'!$G$25:$G$603,$G193))))</f>
        <v>0</v>
      </c>
      <c r="AX193" s="715">
        <f ca="1">IF(AV193=0,0,(AW193-AV193)/AV193*100)</f>
        <v>0</v>
      </c>
      <c r="AY193" s="836">
        <f ca="1">IF(AND(method_reg="Метод индексации",god&lt;&gt;first_year),SUMIFS(INDEX('Калькуляция (МИ корр)'!$AJ$25:$BC$603,,MATCH(AY$8,'Калькуляция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(МИ)'!$AJ$25:$BC$603,,MATCH(AY$8,'Калькуляция (МИ)'!$AJ$8:$BC$8,0)),'Калькуляция (МИ)'!$F$25:$F$603,$F193,'Калькуляция (МИ)'!$G$25:$G$603,$G193))))</f>
        <v>0</v>
      </c>
      <c r="AZ193" s="836">
        <f ca="1">IF(AND(method_reg="Метод индексации",god&lt;&gt;first_year),SUMIFS(INDEX('Калькуляция (МИ корр)'!$AJ$25:$BC$603,,MATCH(AZ$8,'Калькуляция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(МИ)'!$AJ$25:$BC$603,,MATCH(AZ$8,'Калькуляция (МИ)'!$AJ$8:$BC$8,0)),'Калькуляция (МИ)'!$F$25:$F$603,$F193,'Калькуляция (МИ)'!$G$25:$G$603,$G193))))</f>
        <v>0</v>
      </c>
      <c r="BA193" s="715">
        <f ca="1">IF(AY193=0,0,(AZ193-AY193)/AY193*100)</f>
        <v>0</v>
      </c>
      <c r="BB193" s="836">
        <f ca="1">IF(AND(method_reg="Метод индексации",god&lt;&gt;first_year),SUMIFS(INDEX('Калькуляция (МИ корр)'!$AJ$25:$BC$603,,MATCH(BB$8,'Калькуляция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(МИ)'!$AJ$25:$BC$603,,MATCH(BB$8,'Калькуляция (МИ)'!$AJ$8:$BC$8,0)),'Калькуляция (МИ)'!$F$25:$F$603,$F193,'Калькуляция (МИ)'!$G$25:$G$603,$G193))))</f>
        <v>0</v>
      </c>
      <c r="BC193" s="836">
        <f ca="1">IF(AND(method_reg="Метод индексации",god&lt;&gt;first_year),SUMIFS(INDEX('Калькуляция (МИ корр)'!$AJ$25:$BC$603,,MATCH(BC$8,'Калькуляция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(МИ)'!$AJ$25:$BC$603,,MATCH(BC$8,'Калькуляция (МИ)'!$AJ$8:$BC$8,0)),'Калькуляция (МИ)'!$F$25:$F$603,$F193,'Калькуляция (МИ)'!$G$25:$G$603,$G193))))</f>
        <v>0</v>
      </c>
      <c r="BD193" s="715">
        <f ca="1">IF(BB193=0,0,(BC193-BB193)/BB193*100)</f>
        <v>0</v>
      </c>
      <c r="BE193" s="836">
        <f ca="1">IF(AND(method_reg="Метод индексации",god&lt;&gt;first_year),SUMIFS(INDEX('Калькуляция (МИ корр)'!$AJ$25:$BC$603,,MATCH(BE$8,'Калькуляция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(МИ)'!$AJ$25:$BC$603,,MATCH(BE$8,'Калькуляция (МИ)'!$AJ$8:$BC$8,0)),'Калькуляция (МИ)'!$F$25:$F$603,$F193,'Калькуляция (МИ)'!$G$25:$G$603,$G193))))</f>
        <v>0</v>
      </c>
      <c r="BF193" s="836">
        <f ca="1">IF(AND(method_reg="Метод индексации",god&lt;&gt;first_year),SUMIFS(INDEX('Калькуляция (МИ корр)'!$AJ$25:$BC$603,,MATCH(BF$8,'Калькуляция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(МИ)'!$AJ$25:$BC$603,,MATCH(BF$8,'Калькуляция (МИ)'!$AJ$8:$BC$8,0)),'Калькуляция (МИ)'!$F$25:$F$603,$F193,'Калькуляция (МИ)'!$G$25:$G$603,$G193))))</f>
        <v>0</v>
      </c>
      <c r="BG193" s="715">
        <f ca="1">IF(BE193=0,0,(BF193-BE193)/BE193*100)</f>
        <v>0</v>
      </c>
      <c r="BH193" s="836"/>
      <c r="BI193" s="836"/>
      <c r="BJ193" s="715">
        <f>IF(BH193=0,0,(BI193-BH193)/BH193*100)</f>
        <v>0</v>
      </c>
      <c r="BK193" s="836"/>
      <c r="BL193" s="836"/>
      <c r="BM193" s="715">
        <f>IF(BK193=0,0,(BL193-BK193)/BK193*100)</f>
        <v>0</v>
      </c>
      <c r="BN193" s="836"/>
      <c r="BO193" s="836"/>
      <c r="BP193" s="715">
        <f>IF(BN193=0,0,(BO193-BN193)/BN193*100)</f>
        <v>0</v>
      </c>
      <c r="BQ193" s="836"/>
      <c r="BR193" s="836"/>
      <c r="BS193" s="715">
        <f>IF(BQ193=0,0,(BR193-BQ193)/BQ193*100)</f>
        <v>0</v>
      </c>
      <c r="BT193" s="836"/>
      <c r="BU193" s="836"/>
      <c r="BV193" s="715">
        <f>IF(BT193=0,0,(BU193-BT193)/BT193*100)</f>
        <v>0</v>
      </c>
      <c r="BW193" s="836"/>
      <c r="BX193" s="836"/>
      <c r="BY193" s="715">
        <f>IF(BW193=0,0,(BX193-BW193)/BW193*100)</f>
        <v>0</v>
      </c>
      <c r="BZ193" s="836"/>
      <c r="CA193" s="836"/>
      <c r="CB193" s="715">
        <f>IF(BZ193=0,0,(CA193-BZ193)/BZ193*100)</f>
        <v>0</v>
      </c>
      <c r="CC193" s="836"/>
      <c r="CD193" s="836"/>
      <c r="CE193" s="715">
        <f>IF(CC193=0,0,(CD193-CC193)/CC193*100)</f>
        <v>0</v>
      </c>
      <c r="CF193" s="836"/>
      <c r="CG193" s="836"/>
      <c r="CH193" s="715">
        <f>IF(CF193=0,0,(CG193-CF193)/CF193*100)</f>
        <v>0</v>
      </c>
      <c r="CI193" s="836"/>
      <c r="CJ193" s="836"/>
      <c r="CK193" s="715">
        <f>IF(CI193=0,0,(CJ193-CI193)/CI193*100)</f>
        <v>0</v>
      </c>
      <c r="CL193" s="836"/>
      <c r="CM193" s="836"/>
      <c r="CN193" s="715">
        <f>IF(CL193=0,0,(CM193-CL193)/CL193*100)</f>
        <v>0</v>
      </c>
      <c r="CO193" s="836"/>
      <c r="CP193" s="836"/>
      <c r="CQ193" s="715">
        <f>IF(CO193=0,0,(CP193-CO193)/CO193*100)</f>
        <v>0</v>
      </c>
      <c r="CR193" s="836"/>
      <c r="CS193" s="836"/>
      <c r="CT193" s="715">
        <f>IF(CR193=0,0,(CS193-CR193)/CR193*100)</f>
        <v>0</v>
      </c>
      <c r="CU193" s="836"/>
      <c r="CV193" s="836"/>
      <c r="CW193" s="715">
        <f>IF(CU193=0,0,(CV193-CU193)/CU193*100)</f>
        <v>0</v>
      </c>
      <c r="CX193" s="836"/>
      <c r="CY193" s="836"/>
      <c r="CZ193" s="715">
        <f>IF(CX193=0,0,(CY193-CX193)/CX193*100)</f>
        <v>0</v>
      </c>
      <c r="DA193" s="836"/>
      <c r="DB193" s="836"/>
      <c r="DC193" s="715">
        <f>IF(DA193=0,0,(DB193-DA193)/DA193*100)</f>
        <v>0</v>
      </c>
      <c r="DD193" s="836"/>
      <c r="DE193" s="836"/>
      <c r="DF193" s="715">
        <f>IF(DD193=0,0,(DE193-DD193)/DD193*100)</f>
        <v>0</v>
      </c>
      <c r="DG193" s="836"/>
      <c r="DH193" s="836"/>
      <c r="DI193" s="715">
        <f>IF(DG193=0,0,(DH193-DG193)/DG193*100)</f>
        <v>0</v>
      </c>
      <c r="DJ193" s="836"/>
      <c r="DK193" s="836"/>
      <c r="DL193" s="715">
        <f>IF(DJ193=0,0,(DK193-DJ193)/DJ193*100)</f>
        <v>0</v>
      </c>
      <c r="DM193" s="836"/>
      <c r="DN193" s="836"/>
      <c r="DO193" s="715">
        <f>IF(DM193=0,0,(DN193-DM193)/DM193*100)</f>
        <v>0</v>
      </c>
      <c r="DP193" s="836"/>
      <c r="DQ193" s="836"/>
      <c r="DR193" s="715">
        <f>IF(DP193=0,0,(DQ193-DP193)/DP193*100)</f>
        <v>0</v>
      </c>
      <c r="DS193" s="836"/>
      <c r="DT193" s="836"/>
      <c r="DU193" s="715">
        <f>IF(DS193=0,0,(DT193-DS193)/DS193*100)</f>
        <v>0</v>
      </c>
      <c r="DV193" s="836"/>
      <c r="DW193" s="836"/>
      <c r="DX193" s="715">
        <f>IF(DV193=0,0,(DW193-DV193)/DV193*100)</f>
        <v>0</v>
      </c>
      <c r="DY193" s="836"/>
      <c r="DZ193" s="836"/>
      <c r="EA193" s="715">
        <f>IF(DY193=0,0,(DZ193-DY193)/DY193*100)</f>
        <v>0</v>
      </c>
      <c r="EB193" s="836"/>
      <c r="EC193" s="836"/>
      <c r="ED193" s="715">
        <f>IF(EB193=0,0,(EC193-EB193)/EB193*100)</f>
        <v>0</v>
      </c>
      <c r="EE193" s="836"/>
      <c r="EF193" s="836"/>
      <c r="EG193" s="715">
        <f>IF(EE193=0,0,(EF193-EE193)/EE193*100)</f>
        <v>0</v>
      </c>
      <c r="EH193" s="836"/>
      <c r="EI193" s="836"/>
      <c r="EJ193" s="715">
        <f>IF(EH193=0,0,(EI193-EH193)/EH193*100)</f>
        <v>0</v>
      </c>
      <c r="EK193" s="836"/>
      <c r="EL193" s="836"/>
      <c r="EM193" s="715">
        <f>IF(EK193=0,0,(EL193-EK193)/EK193*100)</f>
        <v>0</v>
      </c>
      <c r="EN193" s="836"/>
      <c r="EO193" s="836"/>
      <c r="EP193" s="715">
        <f>IF(EN193=0,0,(EO193-EN193)/EN193*100)</f>
        <v>0</v>
      </c>
      <c r="EQ193" s="836"/>
      <c r="ER193" s="836"/>
      <c r="ES193" s="715">
        <f>IF(EQ193=0,0,(ER193-EQ193)/EQ193*100)</f>
        <v>0</v>
      </c>
      <c r="ET193" s="836"/>
      <c r="EU193" s="836"/>
      <c r="EV193" s="715">
        <f>IF(ET193=0,0,(EU193-ET193)/ET193*100)</f>
        <v>0</v>
      </c>
      <c r="EW193" s="836"/>
      <c r="EX193" s="836"/>
      <c r="EY193" s="715">
        <f>IF(EW193=0,0,(EX193-EW193)/EW193*100)</f>
        <v>0</v>
      </c>
      <c r="EZ193" s="836"/>
      <c r="FA193" s="836"/>
      <c r="FB193" s="715">
        <f>IF(EZ193=0,0,(FA193-EZ193)/EZ193*100)</f>
        <v>0</v>
      </c>
      <c r="FC193" s="836"/>
      <c r="FD193" s="836"/>
      <c r="FE193" s="715">
        <f>IF(FC193=0,0,(FD193-FC193)/FC193*100)</f>
        <v>0</v>
      </c>
      <c r="FF193" s="836"/>
      <c r="FG193" s="836"/>
      <c r="FH193" s="715">
        <f>IF(FF193=0,0,(FG193-FF193)/FF193*100)</f>
        <v>0</v>
      </c>
      <c r="FI193" s="836"/>
      <c r="FJ193" s="836"/>
      <c r="FK193" s="715">
        <f>IF(FI193=0,0,(FJ193-FI193)/FI193*100)</f>
        <v>0</v>
      </c>
      <c r="FL193" s="836"/>
      <c r="FM193" s="836"/>
      <c r="FN193" s="715">
        <f>IF(FL193=0,0,(FM193-FL193)/FL193*100)</f>
        <v>0</v>
      </c>
      <c r="FO193" s="836"/>
      <c r="FP193" s="836"/>
      <c r="FQ193" s="715">
        <f>IF(FO193=0,0,(FP193-FO193)/FO193*100)</f>
        <v>0</v>
      </c>
      <c r="FR193" s="836"/>
      <c r="FS193" s="836"/>
      <c r="FT193" s="715">
        <f>IF(FR193=0,0,(FS193-FR193)/FR193*100)</f>
        <v>0</v>
      </c>
      <c r="FU193" s="836"/>
      <c r="FV193" s="836"/>
      <c r="FW193" s="715">
        <f>IF(FU193=0,0,(FV193-FU193)/FU193*100)</f>
        <v>0</v>
      </c>
      <c r="FX193" s="204"/>
      <c r="FZ193" s="691" t="s">
        <v>1725</v>
      </c>
    </row>
    <row r="194" spans="1:186" ht="18" hidden="1" customHeight="1" x14ac:dyDescent="0.15">
      <c r="A194" s="59"/>
      <c r="B194" s="613" t="b" cm="1">
        <f t="array" ref="B194">B193</f>
        <v>0</v>
      </c>
      <c r="C194" s="59"/>
      <c r="D194" s="59"/>
      <c r="E194" s="462">
        <v>18.75</v>
      </c>
      <c r="F194" s="3" t="str" cm="1">
        <f t="array" aca="1" ref="F194" ca="1">OFFSET(E194,-1,1)</f>
        <v>2</v>
      </c>
      <c r="G194" s="59"/>
      <c r="H194" s="59" t="s">
        <v>482</v>
      </c>
      <c r="I194" s="59" cm="1">
        <f t="array" ref="I194">AB194</f>
        <v>0</v>
      </c>
      <c r="J194" s="59"/>
      <c r="K194" s="59"/>
      <c r="L194" s="59"/>
      <c r="M194" s="59"/>
      <c r="N194" s="59"/>
      <c r="O194" s="59"/>
      <c r="P194" s="59"/>
      <c r="Q194" s="59"/>
      <c r="R194" s="59"/>
      <c r="S194" s="59"/>
      <c r="T194" s="353" t="b">
        <f ca="1">AND(F194&gt;0,Y194&gt;0)</f>
        <v>0</v>
      </c>
      <c r="U194" s="59"/>
      <c r="V194" s="59"/>
      <c r="W194" s="59" t="s">
        <v>172</v>
      </c>
      <c r="X194" s="1022"/>
      <c r="Y194" s="59">
        <v>0</v>
      </c>
      <c r="Z194" s="966"/>
      <c r="AA194" s="482" t="s">
        <v>173</v>
      </c>
      <c r="AB194" s="851"/>
      <c r="AC194" s="12" t="s">
        <v>1644</v>
      </c>
      <c r="AD194" s="820"/>
      <c r="AE194" s="864"/>
      <c r="AF194" s="714">
        <f>IF(AD194=0,0,(AE194-AD194)/AD194*100)</f>
        <v>0</v>
      </c>
      <c r="AG194" s="864"/>
      <c r="AH194" s="864"/>
      <c r="AI194" s="714">
        <f>IF(AG194=0,0,(AH194-AG194)/AG194*100)</f>
        <v>0</v>
      </c>
      <c r="AJ194" s="864"/>
      <c r="AK194" s="864"/>
      <c r="AL194" s="714">
        <f>IF(AJ194=0,0,(AK194-AJ194)/AJ194*100)</f>
        <v>0</v>
      </c>
      <c r="AM194" s="864"/>
      <c r="AN194" s="864"/>
      <c r="AO194" s="714">
        <f>IF(AM194=0,0,(AN194-AM194)/AM194*100)</f>
        <v>0</v>
      </c>
      <c r="AP194" s="864"/>
      <c r="AQ194" s="864"/>
      <c r="AR194" s="714">
        <f>IF(AP194=0,0,(AQ194-AP194)/AP194*100)</f>
        <v>0</v>
      </c>
      <c r="AS194" s="864"/>
      <c r="AT194" s="864"/>
      <c r="AU194" s="714">
        <f>IF(AS194=0,0,(AT194-AS194)/AS194*100)</f>
        <v>0</v>
      </c>
      <c r="AV194" s="864"/>
      <c r="AW194" s="864"/>
      <c r="AX194" s="714">
        <f>IF(AV194=0,0,(AW194-AV194)/AV194*100)</f>
        <v>0</v>
      </c>
      <c r="AY194" s="864"/>
      <c r="AZ194" s="864"/>
      <c r="BA194" s="714">
        <f>IF(AY194=0,0,(AZ194-AY194)/AY194*100)</f>
        <v>0</v>
      </c>
      <c r="BB194" s="864"/>
      <c r="BC194" s="864"/>
      <c r="BD194" s="714">
        <f>IF(BB194=0,0,(BC194-BB194)/BB194*100)</f>
        <v>0</v>
      </c>
      <c r="BE194" s="864"/>
      <c r="BF194" s="864"/>
      <c r="BG194" s="714">
        <f>IF(BE194=0,0,(BF194-BE194)/BE194*100)</f>
        <v>0</v>
      </c>
      <c r="BH194" s="864"/>
      <c r="BI194" s="864"/>
      <c r="BJ194" s="714">
        <f>IF(BH194=0,0,(BI194-BH194)/BH194*100)</f>
        <v>0</v>
      </c>
      <c r="BK194" s="864"/>
      <c r="BL194" s="864"/>
      <c r="BM194" s="714">
        <f>IF(BK194=0,0,(BL194-BK194)/BK194*100)</f>
        <v>0</v>
      </c>
      <c r="BN194" s="864"/>
      <c r="BO194" s="864"/>
      <c r="BP194" s="714">
        <f>IF(BN194=0,0,(BO194-BN194)/BN194*100)</f>
        <v>0</v>
      </c>
      <c r="BQ194" s="864"/>
      <c r="BR194" s="864"/>
      <c r="BS194" s="714">
        <f>IF(BQ194=0,0,(BR194-BQ194)/BQ194*100)</f>
        <v>0</v>
      </c>
      <c r="BT194" s="864"/>
      <c r="BU194" s="864"/>
      <c r="BV194" s="714">
        <f>IF(BT194=0,0,(BU194-BT194)/BT194*100)</f>
        <v>0</v>
      </c>
      <c r="BW194" s="864"/>
      <c r="BX194" s="864"/>
      <c r="BY194" s="714">
        <f>IF(BW194=0,0,(BX194-BW194)/BW194*100)</f>
        <v>0</v>
      </c>
      <c r="BZ194" s="864"/>
      <c r="CA194" s="864"/>
      <c r="CB194" s="714">
        <f>IF(BZ194=0,0,(CA194-BZ194)/BZ194*100)</f>
        <v>0</v>
      </c>
      <c r="CC194" s="864"/>
      <c r="CD194" s="864"/>
      <c r="CE194" s="714">
        <f>IF(CC194=0,0,(CD194-CC194)/CC194*100)</f>
        <v>0</v>
      </c>
      <c r="CF194" s="864"/>
      <c r="CG194" s="864"/>
      <c r="CH194" s="714">
        <f>IF(CF194=0,0,(CG194-CF194)/CF194*100)</f>
        <v>0</v>
      </c>
      <c r="CI194" s="864"/>
      <c r="CJ194" s="864"/>
      <c r="CK194" s="714">
        <f>IF(CI194=0,0,(CJ194-CI194)/CI194*100)</f>
        <v>0</v>
      </c>
      <c r="CL194" s="864"/>
      <c r="CM194" s="864"/>
      <c r="CN194" s="714">
        <f>IF(CL194=0,0,(CM194-CL194)/CL194*100)</f>
        <v>0</v>
      </c>
      <c r="CO194" s="864"/>
      <c r="CP194" s="864"/>
      <c r="CQ194" s="714">
        <f>IF(CO194=0,0,(CP194-CO194)/CO194*100)</f>
        <v>0</v>
      </c>
      <c r="CR194" s="864"/>
      <c r="CS194" s="864"/>
      <c r="CT194" s="714">
        <f>IF(CR194=0,0,(CS194-CR194)/CR194*100)</f>
        <v>0</v>
      </c>
      <c r="CU194" s="864"/>
      <c r="CV194" s="864"/>
      <c r="CW194" s="714">
        <f>IF(CU194=0,0,(CV194-CU194)/CU194*100)</f>
        <v>0</v>
      </c>
      <c r="CX194" s="864"/>
      <c r="CY194" s="864"/>
      <c r="CZ194" s="714">
        <f>IF(CX194=0,0,(CY194-CX194)/CX194*100)</f>
        <v>0</v>
      </c>
      <c r="DA194" s="864"/>
      <c r="DB194" s="864"/>
      <c r="DC194" s="714">
        <f>IF(DA194=0,0,(DB194-DA194)/DA194*100)</f>
        <v>0</v>
      </c>
      <c r="DD194" s="864"/>
      <c r="DE194" s="864"/>
      <c r="DF194" s="714">
        <f>IF(DD194=0,0,(DE194-DD194)/DD194*100)</f>
        <v>0</v>
      </c>
      <c r="DG194" s="864"/>
      <c r="DH194" s="864"/>
      <c r="DI194" s="714">
        <f>IF(DG194=0,0,(DH194-DG194)/DG194*100)</f>
        <v>0</v>
      </c>
      <c r="DJ194" s="864"/>
      <c r="DK194" s="864"/>
      <c r="DL194" s="714">
        <f>IF(DJ194=0,0,(DK194-DJ194)/DJ194*100)</f>
        <v>0</v>
      </c>
      <c r="DM194" s="864"/>
      <c r="DN194" s="864"/>
      <c r="DO194" s="714">
        <f>IF(DM194=0,0,(DN194-DM194)/DM194*100)</f>
        <v>0</v>
      </c>
      <c r="DP194" s="864"/>
      <c r="DQ194" s="864"/>
      <c r="DR194" s="714">
        <f>IF(DP194=0,0,(DQ194-DP194)/DP194*100)</f>
        <v>0</v>
      </c>
      <c r="DS194" s="864"/>
      <c r="DT194" s="864"/>
      <c r="DU194" s="714">
        <f>IF(DS194=0,0,(DT194-DS194)/DS194*100)</f>
        <v>0</v>
      </c>
      <c r="DV194" s="864"/>
      <c r="DW194" s="864"/>
      <c r="DX194" s="714">
        <f>IF(DV194=0,0,(DW194-DV194)/DV194*100)</f>
        <v>0</v>
      </c>
      <c r="DY194" s="864"/>
      <c r="DZ194" s="864"/>
      <c r="EA194" s="714">
        <f>IF(DY194=0,0,(DZ194-DY194)/DY194*100)</f>
        <v>0</v>
      </c>
      <c r="EB194" s="864"/>
      <c r="EC194" s="864"/>
      <c r="ED194" s="714">
        <f>IF(EB194=0,0,(EC194-EB194)/EB194*100)</f>
        <v>0</v>
      </c>
      <c r="EE194" s="864"/>
      <c r="EF194" s="864"/>
      <c r="EG194" s="714">
        <f>IF(EE194=0,0,(EF194-EE194)/EE194*100)</f>
        <v>0</v>
      </c>
      <c r="EH194" s="864"/>
      <c r="EI194" s="864"/>
      <c r="EJ194" s="714">
        <f>IF(EH194=0,0,(EI194-EH194)/EH194*100)</f>
        <v>0</v>
      </c>
      <c r="EK194" s="864"/>
      <c r="EL194" s="864"/>
      <c r="EM194" s="714">
        <f>IF(EK194=0,0,(EL194-EK194)/EK194*100)</f>
        <v>0</v>
      </c>
      <c r="EN194" s="864"/>
      <c r="EO194" s="864"/>
      <c r="EP194" s="714">
        <f>IF(EN194=0,0,(EO194-EN194)/EN194*100)</f>
        <v>0</v>
      </c>
      <c r="EQ194" s="864"/>
      <c r="ER194" s="864"/>
      <c r="ES194" s="714">
        <f>IF(EQ194=0,0,(ER194-EQ194)/EQ194*100)</f>
        <v>0</v>
      </c>
      <c r="ET194" s="864"/>
      <c r="EU194" s="864"/>
      <c r="EV194" s="714">
        <f>IF(ET194=0,0,(EU194-ET194)/ET194*100)</f>
        <v>0</v>
      </c>
      <c r="EW194" s="864"/>
      <c r="EX194" s="864"/>
      <c r="EY194" s="714">
        <f>IF(EW194=0,0,(EX194-EW194)/EW194*100)</f>
        <v>0</v>
      </c>
      <c r="EZ194" s="864"/>
      <c r="FA194" s="864"/>
      <c r="FB194" s="714">
        <f>IF(EZ194=0,0,(FA194-EZ194)/EZ194*100)</f>
        <v>0</v>
      </c>
      <c r="FC194" s="864"/>
      <c r="FD194" s="864"/>
      <c r="FE194" s="714">
        <f>IF(FC194=0,0,(FD194-FC194)/FC194*100)</f>
        <v>0</v>
      </c>
      <c r="FF194" s="864"/>
      <c r="FG194" s="864"/>
      <c r="FH194" s="714">
        <f>IF(FF194=0,0,(FG194-FF194)/FF194*100)</f>
        <v>0</v>
      </c>
      <c r="FI194" s="864"/>
      <c r="FJ194" s="864"/>
      <c r="FK194" s="714">
        <f>IF(FI194=0,0,(FJ194-FI194)/FI194*100)</f>
        <v>0</v>
      </c>
      <c r="FL194" s="864"/>
      <c r="FM194" s="864"/>
      <c r="FN194" s="714">
        <f>IF(FL194=0,0,(FM194-FL194)/FL194*100)</f>
        <v>0</v>
      </c>
      <c r="FO194" s="864"/>
      <c r="FP194" s="864"/>
      <c r="FQ194" s="714">
        <f>IF(FO194=0,0,(FP194-FO194)/FO194*100)</f>
        <v>0</v>
      </c>
      <c r="FR194" s="864"/>
      <c r="FS194" s="864"/>
      <c r="FT194" s="714">
        <f>IF(FR194=0,0,(FS194-FR194)/FR194*100)</f>
        <v>0</v>
      </c>
      <c r="FU194" s="864"/>
      <c r="FV194" s="864"/>
      <c r="FW194" s="714">
        <f>IF(FU194=0,0,(FV194-FU194)/FU194*100)</f>
        <v>0</v>
      </c>
      <c r="FX194" s="204"/>
      <c r="FZ194" s="691" t="s">
        <v>1726</v>
      </c>
      <c r="GA194" s="671" t="s">
        <v>1727</v>
      </c>
      <c r="GB194" s="671" cm="1">
        <f t="array" ref="GB194">AB194</f>
        <v>0</v>
      </c>
      <c r="GD194" s="461" t="b">
        <v>1</v>
      </c>
    </row>
    <row r="195" spans="1:186" ht="14.25" hidden="1" customHeight="1" x14ac:dyDescent="0.15">
      <c r="B195" s="613" t="b" cm="1">
        <f t="array" ref="B195">B194</f>
        <v>0</v>
      </c>
      <c r="D195" s="59"/>
      <c r="E195" s="462">
        <v>15</v>
      </c>
      <c r="F195" s="3" t="str" cm="1">
        <f t="array" aca="1" ref="F195" ca="1">OFFSET(E195,-1,1)</f>
        <v>2</v>
      </c>
      <c r="G195" s="59"/>
      <c r="I195" s="17" t="s">
        <v>1728</v>
      </c>
      <c r="T195" s="353" t="b">
        <f ca="1">F195&gt;0</f>
        <v>1</v>
      </c>
      <c r="W195" s="517" t="s">
        <v>1674</v>
      </c>
      <c r="X195" s="1022"/>
      <c r="Z195" s="966"/>
      <c r="AB195" s="172" t="s">
        <v>176</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61" t="s">
        <v>1727</v>
      </c>
    </row>
    <row r="196" spans="1:186" ht="10.5" customHeight="1" x14ac:dyDescent="0.15">
      <c r="B196" s="598"/>
      <c r="D196" s="59"/>
      <c r="E196" s="462">
        <v>11.5</v>
      </c>
      <c r="G196" s="59"/>
      <c r="T196" s="353" t="b" cm="1">
        <f t="array" aca="1" ref="T196" ca="1">T195</f>
        <v>1</v>
      </c>
      <c r="W196" s="517"/>
      <c r="X196" s="1022"/>
      <c r="Z196" s="966"/>
      <c r="FZ196" s="661"/>
      <c r="GA196" s="661"/>
      <c r="GB196" s="655"/>
      <c r="GC196" s="454"/>
      <c r="GD196" s="454"/>
    </row>
    <row r="197" spans="1:186" ht="23.45" customHeight="1" x14ac:dyDescent="0.15">
      <c r="A197" s="59"/>
      <c r="C197" s="59"/>
      <c r="D197" s="59"/>
      <c r="E197" s="462">
        <v>15</v>
      </c>
      <c r="F197" s="372" t="str" cm="1">
        <f t="array" ref="F197">X197</f>
        <v>3</v>
      </c>
      <c r="G197" s="59" t="str" cm="1">
        <f t="array" ref="G197">INDEX('Общие сведения'!$AK$179:$AK$236,MATCH($X197,'Общие сведения'!$Z$179:$Z$236,0))</f>
        <v>одноставочный</v>
      </c>
      <c r="H197" s="59"/>
      <c r="I197" s="59"/>
      <c r="J197" s="59"/>
      <c r="K197" s="59"/>
      <c r="L197" s="59"/>
      <c r="M197" s="59"/>
      <c r="N197" s="59"/>
      <c r="O197" s="59"/>
      <c r="P197" s="59"/>
      <c r="Q197" s="59" t="str" cm="1">
        <f t="array" ref="Q197">INDEX('Общие сведения'!$AE$179:$AE$236,MATCH($X197,'Общие сведения'!$Z$179:$Z$236,0))</f>
        <v>Водоотведение</v>
      </c>
      <c r="R197" s="365" t="str" cm="1">
        <f t="array" ref="R197">INDEX('Общие сведения'!$AK$179:$AK$236,MATCH($X197,'Общие сведения'!$Z$179:$Z$236,0))</f>
        <v>одноставочный</v>
      </c>
      <c r="S197" s="59" t="b" cm="1">
        <f t="array" ref="S197">INDEX('Общие сведения'!$AN$179:$AN$236,MATCH($X197,'Общие сведения'!$Z$179:$Z$236,0))</f>
        <v>1</v>
      </c>
      <c r="T197" s="353" t="b">
        <f>X197&gt;0</f>
        <v>1</v>
      </c>
      <c r="U197" s="59"/>
      <c r="V197" s="59" t="str" cm="1">
        <f t="array" ref="V197">'Корректировка НВВ'!$AB$180</f>
        <v>Тариф 3 (Водоотведение) - тариф на транспортировку сточных вод</v>
      </c>
      <c r="W197" s="59"/>
      <c r="X197" s="1022" t="s">
        <v>291</v>
      </c>
      <c r="Y197" s="59"/>
      <c r="Z197" s="966"/>
      <c r="AA197" s="59"/>
      <c r="AB197" s="1070" t="s">
        <v>21</v>
      </c>
      <c r="AC197" s="1071"/>
      <c r="AD197" s="591" t="str" cm="1">
        <f t="array" ref="AD197">'Корректировка НВВ'!$AB$180</f>
        <v>Тариф 3 (Водоотведение) - тариф на транспортировку сточных вод</v>
      </c>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c r="BG197" s="198"/>
      <c r="BH197" s="198"/>
      <c r="BI197" s="198"/>
      <c r="BJ197" s="198"/>
      <c r="BK197" s="198"/>
      <c r="BL197" s="198"/>
      <c r="BM197" s="198"/>
      <c r="BN197" s="198"/>
      <c r="BO197" s="198"/>
      <c r="BP197" s="198"/>
      <c r="BQ197" s="198"/>
      <c r="BR197" s="198"/>
      <c r="BS197" s="198"/>
      <c r="BT197" s="198"/>
      <c r="BU197" s="198"/>
      <c r="BV197" s="198"/>
      <c r="BW197" s="198"/>
      <c r="BX197" s="198"/>
      <c r="BY197" s="198"/>
      <c r="BZ197" s="198"/>
      <c r="CA197" s="198"/>
      <c r="CB197" s="198"/>
      <c r="CC197" s="198"/>
      <c r="CD197" s="198"/>
      <c r="CE197" s="198"/>
      <c r="CF197" s="198"/>
      <c r="CG197" s="198"/>
      <c r="CH197" s="198"/>
      <c r="CI197" s="198"/>
      <c r="CJ197" s="198"/>
      <c r="CK197" s="198"/>
      <c r="CL197" s="198"/>
      <c r="CM197" s="198"/>
      <c r="CN197" s="198"/>
      <c r="CO197" s="198"/>
      <c r="CP197" s="198"/>
      <c r="CQ197" s="198"/>
      <c r="CR197" s="198"/>
      <c r="CS197" s="198"/>
      <c r="CT197" s="198"/>
      <c r="CU197" s="198"/>
      <c r="CV197" s="198"/>
      <c r="CW197" s="198"/>
      <c r="CX197" s="198"/>
      <c r="CY197" s="198"/>
      <c r="CZ197" s="198"/>
      <c r="DA197" s="198"/>
      <c r="DB197" s="198"/>
      <c r="DC197" s="198"/>
      <c r="DD197" s="198"/>
      <c r="DE197" s="198"/>
      <c r="DF197" s="198"/>
      <c r="DG197" s="198"/>
      <c r="DH197" s="198"/>
      <c r="DI197" s="198"/>
      <c r="DJ197" s="198"/>
      <c r="DK197" s="198"/>
      <c r="DL197" s="198"/>
      <c r="DM197" s="198"/>
      <c r="DN197" s="198"/>
      <c r="DO197" s="198"/>
      <c r="DP197" s="198"/>
      <c r="DQ197" s="198"/>
      <c r="DR197" s="198"/>
      <c r="DS197" s="198"/>
      <c r="DT197" s="198"/>
      <c r="DU197" s="198"/>
      <c r="DV197" s="198"/>
      <c r="DW197" s="198"/>
      <c r="DX197" s="198"/>
      <c r="DY197" s="198"/>
      <c r="DZ197" s="198"/>
      <c r="EA197" s="198"/>
      <c r="EB197" s="198"/>
      <c r="EC197" s="198"/>
      <c r="ED197" s="198"/>
      <c r="EE197" s="198"/>
      <c r="EF197" s="198"/>
      <c r="EG197" s="198"/>
      <c r="EH197" s="198"/>
      <c r="EI197" s="198"/>
      <c r="EJ197" s="198"/>
      <c r="EK197" s="198"/>
      <c r="EL197" s="198"/>
      <c r="EM197" s="198"/>
      <c r="EN197" s="198"/>
      <c r="EO197" s="198"/>
      <c r="EP197" s="198"/>
      <c r="EQ197" s="198"/>
      <c r="ER197" s="198"/>
      <c r="ES197" s="198"/>
      <c r="ET197" s="198"/>
      <c r="EU197" s="198"/>
      <c r="EV197" s="198"/>
      <c r="EW197" s="198"/>
      <c r="EX197" s="198"/>
      <c r="EY197" s="198"/>
      <c r="EZ197" s="198"/>
      <c r="FA197" s="198"/>
      <c r="FB197" s="198"/>
      <c r="FC197" s="198"/>
      <c r="FD197" s="198"/>
      <c r="FE197" s="198"/>
      <c r="FF197" s="198"/>
      <c r="FG197" s="198"/>
      <c r="FH197" s="198"/>
      <c r="FI197" s="198"/>
      <c r="FJ197" s="198"/>
      <c r="FK197" s="198"/>
      <c r="FL197" s="198"/>
      <c r="FM197" s="198"/>
      <c r="FN197" s="198"/>
      <c r="FO197" s="198"/>
      <c r="FP197" s="198"/>
      <c r="FQ197" s="198"/>
      <c r="FR197" s="198"/>
      <c r="FS197" s="198"/>
      <c r="FT197" s="198"/>
      <c r="FU197" s="198"/>
      <c r="FV197" s="198"/>
      <c r="FW197" s="199"/>
    </row>
    <row r="198" spans="1:186" ht="22.35" customHeight="1" x14ac:dyDescent="0.15">
      <c r="A198" s="59"/>
      <c r="C198" s="59"/>
      <c r="D198" s="59"/>
      <c r="E198" s="462">
        <v>15</v>
      </c>
      <c r="F198" s="3" t="str" cm="1">
        <f t="array" aca="1" ref="F198" ca="1">OFFSET(E198,-1,1)</f>
        <v>3</v>
      </c>
      <c r="G198" s="59"/>
      <c r="H198" s="59"/>
      <c r="I198" s="59"/>
      <c r="J198" s="59"/>
      <c r="K198" s="59"/>
      <c r="L198" s="59"/>
      <c r="M198" s="59"/>
      <c r="N198" s="59"/>
      <c r="O198" s="59"/>
      <c r="P198" s="59"/>
      <c r="Q198" s="59"/>
      <c r="R198" s="365"/>
      <c r="S198" s="365"/>
      <c r="T198" s="353" t="b" cm="1">
        <f t="array" ref="T198">T197</f>
        <v>1</v>
      </c>
      <c r="U198" s="59"/>
      <c r="V198" s="59"/>
      <c r="W198" s="59"/>
      <c r="X198" s="1022"/>
      <c r="Y198" s="59"/>
      <c r="Z198" s="966"/>
      <c r="AA198" s="59"/>
      <c r="AB198" s="922" t="str">
        <f>"Вид "&amp;IF(ISERROR(SEARCH("Водоснабжение",AD197)),"сточных вод","воды")</f>
        <v>Вид сточных вод</v>
      </c>
      <c r="AC198" s="924"/>
      <c r="AD198" s="591" t="str" cm="1">
        <f t="array" ref="AD198">INDEX('Общие сведения'!$AH$179:$AH$236,MATCH($X197,'Общие сведения'!$Z$179:$Z$236,0))</f>
        <v>без дифференциации</v>
      </c>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1"/>
    </row>
    <row r="199" spans="1:186" ht="25.35" customHeight="1" x14ac:dyDescent="0.15">
      <c r="A199" s="59"/>
      <c r="C199" s="59"/>
      <c r="D199" s="59"/>
      <c r="E199" s="462">
        <v>15</v>
      </c>
      <c r="F199" s="3" t="str" cm="1">
        <f t="array" aca="1" ref="F199" ca="1">OFFSET(E199,-1,1)</f>
        <v>3</v>
      </c>
      <c r="G199" s="59"/>
      <c r="H199" s="59"/>
      <c r="I199" s="59"/>
      <c r="J199" s="59"/>
      <c r="K199" s="59"/>
      <c r="L199" s="59"/>
      <c r="M199" s="59"/>
      <c r="N199" s="59"/>
      <c r="O199" s="59"/>
      <c r="P199" s="59"/>
      <c r="Q199" s="59"/>
      <c r="R199" s="365"/>
      <c r="S199" s="365"/>
      <c r="T199" s="353" t="b" cm="1">
        <f t="array" ref="T199">T198</f>
        <v>1</v>
      </c>
      <c r="U199" s="59"/>
      <c r="V199" s="59"/>
      <c r="W199" s="59"/>
      <c r="X199" s="1022"/>
      <c r="Y199" s="59"/>
      <c r="Z199" s="966"/>
      <c r="AA199" s="59"/>
      <c r="AB199" s="922" t="s">
        <v>1638</v>
      </c>
      <c r="AC199" s="924"/>
      <c r="AD199" s="591" t="str" cm="1">
        <f t="array" ref="AD199">INDEX('Общие сведения'!$AI$179:$AI$236,MATCH($X197,'Общие сведения'!$Z$179:$Z$236,0))</f>
        <v>тариф на транспортировку сточных вод</v>
      </c>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1"/>
    </row>
    <row r="200" spans="1:186" ht="18.600000000000001" customHeight="1" x14ac:dyDescent="0.15">
      <c r="A200" s="59"/>
      <c r="C200" s="59"/>
      <c r="D200" s="59"/>
      <c r="E200" s="462">
        <v>15</v>
      </c>
      <c r="F200" s="3" t="str" cm="1">
        <f t="array" aca="1" ref="F200" ca="1">OFFSET(E200,-1,1)</f>
        <v>3</v>
      </c>
      <c r="G200" s="59"/>
      <c r="H200" s="59"/>
      <c r="I200" s="59"/>
      <c r="J200" s="59"/>
      <c r="K200" s="59"/>
      <c r="L200" s="59"/>
      <c r="M200" s="59"/>
      <c r="N200" s="59"/>
      <c r="O200" s="59"/>
      <c r="P200" s="59"/>
      <c r="Q200" s="59"/>
      <c r="R200" s="59"/>
      <c r="S200" s="365"/>
      <c r="T200" s="353" t="b" cm="1">
        <f t="array" ref="T200">T199</f>
        <v>1</v>
      </c>
      <c r="U200" s="59"/>
      <c r="V200" s="59"/>
      <c r="W200" s="59"/>
      <c r="X200" s="1022"/>
      <c r="Y200" s="59"/>
      <c r="Z200" s="966"/>
      <c r="AA200" s="59"/>
      <c r="AB200" s="922" t="s">
        <v>1639</v>
      </c>
      <c r="AC200" s="924"/>
      <c r="AD200" s="591" cm="1">
        <f t="array" ref="AD200">INDEX('Общие сведения'!$AJ$179:$AJ$236,MATCH($X197,'Общие сведения'!$Z$179:$Z$236,0))</f>
        <v>0</v>
      </c>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c r="CN200" s="200"/>
      <c r="CO200" s="200"/>
      <c r="CP200" s="200"/>
      <c r="CQ200" s="200"/>
      <c r="CR200" s="200"/>
      <c r="CS200" s="200"/>
      <c r="CT200" s="200"/>
      <c r="CU200" s="200"/>
      <c r="CV200" s="200"/>
      <c r="CW200" s="200"/>
      <c r="CX200" s="200"/>
      <c r="CY200" s="200"/>
      <c r="CZ200" s="200"/>
      <c r="DA200" s="200"/>
      <c r="DB200" s="200"/>
      <c r="DC200" s="200"/>
      <c r="DD200" s="200"/>
      <c r="DE200" s="200"/>
      <c r="DF200" s="200"/>
      <c r="DG200" s="200"/>
      <c r="DH200" s="200"/>
      <c r="DI200" s="200"/>
      <c r="DJ200" s="200"/>
      <c r="DK200" s="200"/>
      <c r="DL200" s="200"/>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1"/>
    </row>
    <row r="201" spans="1:186" ht="14.25" hidden="1" customHeight="1" x14ac:dyDescent="0.15">
      <c r="A201" s="59"/>
      <c r="B201" s="613" t="b">
        <f>AND(R197="одноставочный",NOT(S197))</f>
        <v>0</v>
      </c>
      <c r="C201" s="59"/>
      <c r="D201" s="59"/>
      <c r="E201" s="462">
        <v>15</v>
      </c>
      <c r="F201" s="3" t="str" cm="1">
        <f t="array" aca="1" ref="F201" ca="1">OFFSET(E201,-1,1)</f>
        <v>3</v>
      </c>
      <c r="G201" s="59"/>
      <c r="H201" s="59"/>
      <c r="I201" s="59"/>
      <c r="J201" s="59"/>
      <c r="K201" s="59"/>
      <c r="L201" s="59"/>
      <c r="M201" s="59"/>
      <c r="N201" s="59"/>
      <c r="O201" s="59"/>
      <c r="P201" s="59"/>
      <c r="Q201" s="59"/>
      <c r="R201" s="59"/>
      <c r="S201" s="59"/>
      <c r="T201" s="353" t="b" cm="1">
        <f t="array" ref="T201">T200</f>
        <v>1</v>
      </c>
      <c r="U201" s="59"/>
      <c r="V201" s="59"/>
      <c r="W201" s="59"/>
      <c r="X201" s="1022"/>
      <c r="Y201" s="59"/>
      <c r="Z201" s="966"/>
      <c r="AA201" s="59"/>
      <c r="AB201" s="592" t="s">
        <v>1640</v>
      </c>
      <c r="AC201" s="593"/>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3"/>
      <c r="BK201" s="202"/>
      <c r="BL201" s="202"/>
      <c r="BM201" s="203"/>
      <c r="BN201" s="202"/>
      <c r="BO201" s="202"/>
      <c r="BP201" s="203"/>
      <c r="BQ201" s="202"/>
      <c r="BR201" s="202"/>
      <c r="BS201" s="203"/>
      <c r="BT201" s="202"/>
      <c r="BU201" s="202"/>
      <c r="BV201" s="203"/>
      <c r="BW201" s="202"/>
      <c r="BX201" s="202"/>
      <c r="BY201" s="203"/>
      <c r="BZ201" s="202"/>
      <c r="CA201" s="202"/>
      <c r="CB201" s="203"/>
      <c r="CC201" s="202"/>
      <c r="CD201" s="202"/>
      <c r="CE201" s="203"/>
      <c r="CF201" s="202"/>
      <c r="CG201" s="202"/>
      <c r="CH201" s="203"/>
      <c r="CI201" s="202"/>
      <c r="CJ201" s="202"/>
      <c r="CK201" s="203"/>
      <c r="CL201" s="202"/>
      <c r="CM201" s="202"/>
      <c r="CN201" s="203"/>
      <c r="CO201" s="202"/>
      <c r="CP201" s="202"/>
      <c r="CQ201" s="203"/>
      <c r="CR201" s="202"/>
      <c r="CS201" s="202"/>
      <c r="CT201" s="203"/>
      <c r="CU201" s="202"/>
      <c r="CV201" s="202"/>
      <c r="CW201" s="203"/>
      <c r="CX201" s="202"/>
      <c r="CY201" s="202"/>
      <c r="CZ201" s="203"/>
      <c r="DA201" s="202"/>
      <c r="DB201" s="202"/>
      <c r="DC201" s="203"/>
      <c r="DD201" s="202"/>
      <c r="DE201" s="202"/>
      <c r="DF201" s="203"/>
      <c r="DG201" s="202"/>
      <c r="DH201" s="202"/>
      <c r="DI201" s="203"/>
      <c r="DJ201" s="202"/>
      <c r="DK201" s="202"/>
      <c r="DL201" s="203"/>
      <c r="DM201" s="202"/>
      <c r="DN201" s="202"/>
      <c r="DO201" s="203"/>
      <c r="DP201" s="202"/>
      <c r="DQ201" s="202"/>
      <c r="DR201" s="203"/>
      <c r="DS201" s="202"/>
      <c r="DT201" s="202"/>
      <c r="DU201" s="203"/>
      <c r="DV201" s="202"/>
      <c r="DW201" s="202"/>
      <c r="DX201" s="203"/>
      <c r="DY201" s="202"/>
      <c r="DZ201" s="202"/>
      <c r="EA201" s="203"/>
      <c r="EB201" s="202"/>
      <c r="EC201" s="202"/>
      <c r="ED201" s="203"/>
      <c r="EE201" s="202"/>
      <c r="EF201" s="202"/>
      <c r="EG201" s="203"/>
      <c r="EH201" s="202"/>
      <c r="EI201" s="202"/>
      <c r="EJ201" s="203"/>
      <c r="EK201" s="202"/>
      <c r="EL201" s="202"/>
      <c r="EM201" s="203"/>
      <c r="EN201" s="202"/>
      <c r="EO201" s="202"/>
      <c r="EP201" s="203"/>
      <c r="EQ201" s="202"/>
      <c r="ER201" s="202"/>
      <c r="ES201" s="203"/>
      <c r="ET201" s="202"/>
      <c r="EU201" s="202"/>
      <c r="EV201" s="203"/>
      <c r="EW201" s="202"/>
      <c r="EX201" s="202"/>
      <c r="EY201" s="203"/>
      <c r="EZ201" s="202"/>
      <c r="FA201" s="202"/>
      <c r="FB201" s="203"/>
      <c r="FC201" s="202"/>
      <c r="FD201" s="202"/>
      <c r="FE201" s="203"/>
      <c r="FF201" s="202"/>
      <c r="FG201" s="202"/>
      <c r="FH201" s="203"/>
      <c r="FI201" s="202"/>
      <c r="FJ201" s="202"/>
      <c r="FK201" s="203"/>
      <c r="FL201" s="202"/>
      <c r="FM201" s="202"/>
      <c r="FN201" s="203"/>
      <c r="FO201" s="202"/>
      <c r="FP201" s="202"/>
      <c r="FQ201" s="203"/>
      <c r="FR201" s="202"/>
      <c r="FS201" s="202"/>
      <c r="FT201" s="203"/>
      <c r="FU201" s="202"/>
      <c r="FV201" s="202"/>
      <c r="FW201" s="203"/>
    </row>
    <row r="202" spans="1:186" s="866" customFormat="1" ht="23.25" hidden="1" customHeight="1" x14ac:dyDescent="0.15">
      <c r="A202" s="594"/>
      <c r="B202" s="613" t="b" cm="1">
        <f t="array" ref="B202">B201</f>
        <v>0</v>
      </c>
      <c r="C202" s="594"/>
      <c r="D202" s="594"/>
      <c r="E202" s="595">
        <v>24.5</v>
      </c>
      <c r="F202" s="3" t="str" cm="1">
        <f t="array" aca="1" ref="F202" ca="1">OFFSET(E202,-1,1)</f>
        <v>3</v>
      </c>
      <c r="G202" s="59" t="s">
        <v>1641</v>
      </c>
      <c r="H202" s="59" t="s">
        <v>482</v>
      </c>
      <c r="I202" s="59" t="s">
        <v>1642</v>
      </c>
      <c r="J202" s="594"/>
      <c r="K202" s="594"/>
      <c r="L202" s="59"/>
      <c r="M202" s="594"/>
      <c r="N202" s="594"/>
      <c r="O202" s="594"/>
      <c r="P202" s="594"/>
      <c r="Q202" s="594"/>
      <c r="R202" s="594"/>
      <c r="S202" s="59"/>
      <c r="T202" s="353" t="b" cm="1">
        <f t="array" ref="T202">T201</f>
        <v>1</v>
      </c>
      <c r="U202" s="594"/>
      <c r="V202" s="594"/>
      <c r="W202" s="594"/>
      <c r="X202" s="1022"/>
      <c r="Y202" s="594"/>
      <c r="Z202" s="966"/>
      <c r="AA202" s="594"/>
      <c r="AB202" s="205" t="s">
        <v>1643</v>
      </c>
      <c r="AC202" s="206" t="s">
        <v>1644</v>
      </c>
      <c r="AD202" s="861">
        <f ca="1">IF(AND(method_reg="Метод индексации",god&lt;&gt;first_year),SUMIFS(INDEX('Калькуляция (МИ корр)'!$AJ$25:$BC$603,,MATCH(AD$8,'Калькуляция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(МИ)'!$AJ$25:$BC$603,,MATCH(AD$8,'Калькуляция (МИ)'!$AJ$8:$BC$8,0)),'Калькуляция (МИ)'!$F$25:$F$603,$F202,'Калькуляция (МИ)'!$G$25:$G$603,$G202))))</f>
        <v>1.3436110617999999</v>
      </c>
      <c r="AE202" s="861">
        <f ca="1">IF(AND(method_reg="Метод индексации",god&lt;&gt;first_year),SUMIFS(INDEX('Калькуляция (МИ корр)'!$AJ$25:$BC$603,,MATCH(AE$8,'Калькуляция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(МИ)'!$AJ$25:$BC$603,,MATCH(AE$8,'Калькуляция (МИ)'!$AJ$8:$BC$8,0)),'Калькуляция (МИ)'!$F$25:$F$603,$F202,'Калькуляция (МИ)'!$G$25:$G$603,$G202))))</f>
        <v>0.52200009970000005</v>
      </c>
      <c r="AF202" s="208">
        <f ca="1">IF(AD202=0,0,(AE202-AD202)/AD202*100)</f>
        <v>-61.14946396759413</v>
      </c>
      <c r="AG202" s="861">
        <f ca="1">IF(AND(method_reg="Метод индексации",god&lt;&gt;first_year),SUMIFS(INDEX('Калькуляция (МИ корр)'!$AJ$25:$BC$603,,MATCH(AG$8,'Калькуляция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(МИ)'!$AJ$25:$BC$603,,MATCH(AG$8,'Калькуляция (МИ)'!$AJ$8:$BC$8,0)),'Калькуляция (МИ)'!$F$25:$F$603,$F202,'Калькуляция (МИ)'!$G$25:$G$603,$G202))))</f>
        <v>0</v>
      </c>
      <c r="AH202" s="861">
        <f ca="1">IF(AND(method_reg="Метод индексации",god&lt;&gt;first_year),SUMIFS(INDEX('Калькуляция (МИ корр)'!$AJ$25:$BC$603,,MATCH(AH$8,'Калькуляция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(МИ)'!$AJ$25:$BC$603,,MATCH(AH$8,'Калькуляция (МИ)'!$AJ$8:$BC$8,0)),'Калькуляция (МИ)'!$F$25:$F$603,$F202,'Калькуляция (МИ)'!$G$25:$G$603,$G202))))</f>
        <v>0.52200009970000005</v>
      </c>
      <c r="AI202" s="208">
        <f ca="1">IF(AG202=0,0,(AH202-AG202)/AG202*100)</f>
        <v>0</v>
      </c>
      <c r="AJ202" s="861">
        <f ca="1">IF(AND(method_reg="Метод индексации",god&lt;&gt;first_year),SUMIFS(INDEX('Калькуляция (МИ корр)'!$AJ$25:$BC$603,,MATCH(AJ$8,'Калькуляция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(МИ)'!$AJ$25:$BC$603,,MATCH(AJ$8,'Калькуляция (МИ)'!$AJ$8:$BC$8,0)),'Калькуляция (МИ)'!$F$25:$F$603,$F202,'Калькуляция (МИ)'!$G$25:$G$603,$G202))))</f>
        <v>0</v>
      </c>
      <c r="AK202" s="861">
        <f ca="1">IF(AND(method_reg="Метод индексации",god&lt;&gt;first_year),SUMIFS(INDEX('Калькуляция (МИ корр)'!$AJ$25:$BC$603,,MATCH(AK$8,'Калькуляция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(МИ)'!$AJ$25:$BC$603,,MATCH(AK$8,'Калькуляция (МИ)'!$AJ$8:$BC$8,0)),'Калькуляция (МИ)'!$F$25:$F$603,$F202,'Калькуляция (МИ)'!$G$25:$G$603,$G202))))</f>
        <v>0</v>
      </c>
      <c r="AL202" s="208">
        <f ca="1">IF(AJ202=0,0,(AK202-AJ202)/AJ202*100)</f>
        <v>0</v>
      </c>
      <c r="AM202" s="861">
        <f ca="1">IF(AND(method_reg="Метод индексации",god&lt;&gt;first_year),SUMIFS(INDEX('Калькуляция (МИ корр)'!$AJ$25:$BC$603,,MATCH(AM$8,'Калькуляция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(МИ)'!$AJ$25:$BC$603,,MATCH(AM$8,'Калькуляция (МИ)'!$AJ$8:$BC$8,0)),'Калькуляция (МИ)'!$F$25:$F$603,$F202,'Калькуляция (МИ)'!$G$25:$G$603,$G202))))</f>
        <v>0</v>
      </c>
      <c r="AN202" s="861">
        <f ca="1">IF(AND(method_reg="Метод индексации",god&lt;&gt;first_year),SUMIFS(INDEX('Калькуляция (МИ корр)'!$AJ$25:$BC$603,,MATCH(AN$8,'Калькуляция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(МИ)'!$AJ$25:$BC$603,,MATCH(AN$8,'Калькуляция (МИ)'!$AJ$8:$BC$8,0)),'Калькуляция (МИ)'!$F$25:$F$603,$F202,'Калькуляция (МИ)'!$G$25:$G$603,$G202))))</f>
        <v>0</v>
      </c>
      <c r="AO202" s="208">
        <f ca="1">IF(AM202=0,0,(AN202-AM202)/AM202*100)</f>
        <v>0</v>
      </c>
      <c r="AP202" s="861">
        <f ca="1">IF(AND(method_reg="Метод индексации",god&lt;&gt;first_year),SUMIFS(INDEX('Калькуляция (МИ корр)'!$AJ$25:$BC$603,,MATCH(AP$8,'Калькуляция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(МИ)'!$AJ$25:$BC$603,,MATCH(AP$8,'Калькуляция (МИ)'!$AJ$8:$BC$8,0)),'Калькуляция (МИ)'!$F$25:$F$603,$F202,'Калькуляция (МИ)'!$G$25:$G$603,$G202))))</f>
        <v>0</v>
      </c>
      <c r="AQ202" s="861">
        <f ca="1">IF(AND(method_reg="Метод индексации",god&lt;&gt;first_year),SUMIFS(INDEX('Калькуляция (МИ корр)'!$AJ$25:$BC$603,,MATCH(AQ$8,'Калькуляция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(МИ)'!$AJ$25:$BC$603,,MATCH(AQ$8,'Калькуляция (МИ)'!$AJ$8:$BC$8,0)),'Калькуляция (МИ)'!$F$25:$F$603,$F202,'Калькуляция (МИ)'!$G$25:$G$603,$G202))))</f>
        <v>0</v>
      </c>
      <c r="AR202" s="208">
        <f ca="1">IF(AP202=0,0,(AQ202-AP202)/AP202*100)</f>
        <v>0</v>
      </c>
      <c r="AS202" s="861">
        <f ca="1">IF(AND(method_reg="Метод индексации",god&lt;&gt;first_year),SUMIFS(INDEX('Калькуляция (МИ корр)'!$AJ$25:$BC$603,,MATCH(AS$8,'Калькуляция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(МИ)'!$AJ$25:$BC$603,,MATCH(AS$8,'Калькуляция (МИ)'!$AJ$8:$BC$8,0)),'Калькуляция (МИ)'!$F$25:$F$603,$F202,'Калькуляция (МИ)'!$G$25:$G$603,$G202))))</f>
        <v>0</v>
      </c>
      <c r="AT202" s="861">
        <f ca="1">IF(AND(method_reg="Метод индексации",god&lt;&gt;first_year),SUMIFS(INDEX('Калькуляция (МИ корр)'!$AJ$25:$BC$603,,MATCH(AT$8,'Калькуляция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(МИ)'!$AJ$25:$BC$603,,MATCH(AT$8,'Калькуляция (МИ)'!$AJ$8:$BC$8,0)),'Калькуляция (МИ)'!$F$25:$F$603,$F202,'Калькуляция (МИ)'!$G$25:$G$603,$G202))))</f>
        <v>0</v>
      </c>
      <c r="AU202" s="208">
        <f ca="1">IF(AS202=0,0,(AT202-AS202)/AS202*100)</f>
        <v>0</v>
      </c>
      <c r="AV202" s="861">
        <f ca="1">IF(AND(method_reg="Метод индексации",god&lt;&gt;first_year),SUMIFS(INDEX('Калькуляция (МИ корр)'!$AJ$25:$BC$603,,MATCH(AV$8,'Калькуляция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(МИ)'!$AJ$25:$BC$603,,MATCH(AV$8,'Калькуляция (МИ)'!$AJ$8:$BC$8,0)),'Калькуляция (МИ)'!$F$25:$F$603,$F202,'Калькуляция (МИ)'!$G$25:$G$603,$G202))))</f>
        <v>0</v>
      </c>
      <c r="AW202" s="861">
        <f ca="1">IF(AND(method_reg="Метод индексации",god&lt;&gt;first_year),SUMIFS(INDEX('Калькуляция (МИ корр)'!$AJ$25:$BC$603,,MATCH(AW$8,'Калькуляция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(МИ)'!$AJ$25:$BC$603,,MATCH(AW$8,'Калькуляция (МИ)'!$AJ$8:$BC$8,0)),'Калькуляция (МИ)'!$F$25:$F$603,$F202,'Калькуляция (МИ)'!$G$25:$G$603,$G202))))</f>
        <v>0</v>
      </c>
      <c r="AX202" s="208">
        <f ca="1">IF(AV202=0,0,(AW202-AV202)/AV202*100)</f>
        <v>0</v>
      </c>
      <c r="AY202" s="861">
        <f ca="1">IF(AND(method_reg="Метод индексации",god&lt;&gt;first_year),SUMIFS(INDEX('Калькуляция (МИ корр)'!$AJ$25:$BC$603,,MATCH(AY$8,'Калькуляция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(МИ)'!$AJ$25:$BC$603,,MATCH(AY$8,'Калькуляция (МИ)'!$AJ$8:$BC$8,0)),'Калькуляция (МИ)'!$F$25:$F$603,$F202,'Калькуляция (МИ)'!$G$25:$G$603,$G202))))</f>
        <v>0</v>
      </c>
      <c r="AZ202" s="861">
        <f ca="1">IF(AND(method_reg="Метод индексации",god&lt;&gt;first_year),SUMIFS(INDEX('Калькуляция (МИ корр)'!$AJ$25:$BC$603,,MATCH(AZ$8,'Калькуляция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(МИ)'!$AJ$25:$BC$603,,MATCH(AZ$8,'Калькуляция (МИ)'!$AJ$8:$BC$8,0)),'Калькуляция (МИ)'!$F$25:$F$603,$F202,'Калькуляция (МИ)'!$G$25:$G$603,$G202))))</f>
        <v>0</v>
      </c>
      <c r="BA202" s="208">
        <f ca="1">IF(AY202=0,0,(AZ202-AY202)/AY202*100)</f>
        <v>0</v>
      </c>
      <c r="BB202" s="861">
        <f ca="1">IF(AND(method_reg="Метод индексации",god&lt;&gt;first_year),SUMIFS(INDEX('Калькуляция (МИ корр)'!$AJ$25:$BC$603,,MATCH(BB$8,'Калькуляция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(МИ)'!$AJ$25:$BC$603,,MATCH(BB$8,'Калькуляция (МИ)'!$AJ$8:$BC$8,0)),'Калькуляция (МИ)'!$F$25:$F$603,$F202,'Калькуляция (МИ)'!$G$25:$G$603,$G202))))</f>
        <v>0</v>
      </c>
      <c r="BC202" s="861">
        <f ca="1">IF(AND(method_reg="Метод индексации",god&lt;&gt;first_year),SUMIFS(INDEX('Калькуляция (МИ корр)'!$AJ$25:$BC$603,,MATCH(BC$8,'Калькуляция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(МИ)'!$AJ$25:$BC$603,,MATCH(BC$8,'Калькуляция (МИ)'!$AJ$8:$BC$8,0)),'Калькуляция (МИ)'!$F$25:$F$603,$F202,'Калькуляция (МИ)'!$G$25:$G$603,$G202))))</f>
        <v>0</v>
      </c>
      <c r="BD202" s="208">
        <f ca="1">IF(BB202=0,0,(BC202-BB202)/BB202*100)</f>
        <v>0</v>
      </c>
      <c r="BE202" s="861">
        <f ca="1">IF(AND(method_reg="Метод индексации",god&lt;&gt;first_year),SUMIFS(INDEX('Калькуляция (МИ корр)'!$AJ$25:$BC$603,,MATCH(BE$8,'Калькуляция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(МИ)'!$AJ$25:$BC$603,,MATCH(BE$8,'Калькуляция (МИ)'!$AJ$8:$BC$8,0)),'Калькуляция (МИ)'!$F$25:$F$603,$F202,'Калькуляция (МИ)'!$G$25:$G$603,$G202))))</f>
        <v>0</v>
      </c>
      <c r="BF202" s="861">
        <f ca="1">IF(AND(method_reg="Метод индексации",god&lt;&gt;first_year),SUMIFS(INDEX('Калькуляция (МИ корр)'!$AJ$25:$BC$603,,MATCH(BF$8,'Калькуляция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(МИ)'!$AJ$25:$BC$603,,MATCH(BF$8,'Калькуляция (МИ)'!$AJ$8:$BC$8,0)),'Калькуляция (МИ)'!$F$25:$F$603,$F202,'Калькуляция (МИ)'!$G$25:$G$603,$G202))))</f>
        <v>0</v>
      </c>
      <c r="BG202" s="208">
        <f ca="1">IF(BE202=0,0,(BF202-BE202)/BE202*100)</f>
        <v>0</v>
      </c>
      <c r="BH202" s="861"/>
      <c r="BI202" s="861"/>
      <c r="BJ202" s="208">
        <f>IF(BH202=0,0,(BI202-BH202)/BH202*100)</f>
        <v>0</v>
      </c>
      <c r="BK202" s="861"/>
      <c r="BL202" s="861"/>
      <c r="BM202" s="208">
        <f>IF(BK202=0,0,(BL202-BK202)/BK202*100)</f>
        <v>0</v>
      </c>
      <c r="BN202" s="861"/>
      <c r="BO202" s="861"/>
      <c r="BP202" s="208">
        <f>IF(BN202=0,0,(BO202-BN202)/BN202*100)</f>
        <v>0</v>
      </c>
      <c r="BQ202" s="861"/>
      <c r="BR202" s="861"/>
      <c r="BS202" s="208">
        <f>IF(BQ202=0,0,(BR202-BQ202)/BQ202*100)</f>
        <v>0</v>
      </c>
      <c r="BT202" s="861"/>
      <c r="BU202" s="861"/>
      <c r="BV202" s="208">
        <f>IF(BT202=0,0,(BU202-BT202)/BT202*100)</f>
        <v>0</v>
      </c>
      <c r="BW202" s="861"/>
      <c r="BX202" s="861"/>
      <c r="BY202" s="208">
        <f>IF(BW202=0,0,(BX202-BW202)/BW202*100)</f>
        <v>0</v>
      </c>
      <c r="BZ202" s="861"/>
      <c r="CA202" s="861"/>
      <c r="CB202" s="208">
        <f>IF(BZ202=0,0,(CA202-BZ202)/BZ202*100)</f>
        <v>0</v>
      </c>
      <c r="CC202" s="861"/>
      <c r="CD202" s="861"/>
      <c r="CE202" s="208">
        <f>IF(CC202=0,0,(CD202-CC202)/CC202*100)</f>
        <v>0</v>
      </c>
      <c r="CF202" s="861"/>
      <c r="CG202" s="861"/>
      <c r="CH202" s="208">
        <f>IF(CF202=0,0,(CG202-CF202)/CF202*100)</f>
        <v>0</v>
      </c>
      <c r="CI202" s="861"/>
      <c r="CJ202" s="861"/>
      <c r="CK202" s="208">
        <f>IF(CI202=0,0,(CJ202-CI202)/CI202*100)</f>
        <v>0</v>
      </c>
      <c r="CL202" s="861"/>
      <c r="CM202" s="861"/>
      <c r="CN202" s="208">
        <f>IF(CL202=0,0,(CM202-CL202)/CL202*100)</f>
        <v>0</v>
      </c>
      <c r="CO202" s="861"/>
      <c r="CP202" s="861"/>
      <c r="CQ202" s="208">
        <f>IF(CO202=0,0,(CP202-CO202)/CO202*100)</f>
        <v>0</v>
      </c>
      <c r="CR202" s="861"/>
      <c r="CS202" s="861"/>
      <c r="CT202" s="208">
        <f>IF(CR202=0,0,(CS202-CR202)/CR202*100)</f>
        <v>0</v>
      </c>
      <c r="CU202" s="861"/>
      <c r="CV202" s="861"/>
      <c r="CW202" s="208">
        <f>IF(CU202=0,0,(CV202-CU202)/CU202*100)</f>
        <v>0</v>
      </c>
      <c r="CX202" s="861"/>
      <c r="CY202" s="861"/>
      <c r="CZ202" s="208">
        <f>IF(CX202=0,0,(CY202-CX202)/CX202*100)</f>
        <v>0</v>
      </c>
      <c r="DA202" s="861"/>
      <c r="DB202" s="861"/>
      <c r="DC202" s="208">
        <f>IF(DA202=0,0,(DB202-DA202)/DA202*100)</f>
        <v>0</v>
      </c>
      <c r="DD202" s="861"/>
      <c r="DE202" s="861"/>
      <c r="DF202" s="208">
        <f>IF(DD202=0,0,(DE202-DD202)/DD202*100)</f>
        <v>0</v>
      </c>
      <c r="DG202" s="862"/>
      <c r="DH202" s="862"/>
      <c r="DI202" s="208">
        <f>IF(DG202=0,0,(DH202-DG202)/DG202*100)</f>
        <v>0</v>
      </c>
      <c r="DJ202" s="862"/>
      <c r="DK202" s="862"/>
      <c r="DL202" s="208">
        <f>IF(DJ202=0,0,(DK202-DJ202)/DJ202*100)</f>
        <v>0</v>
      </c>
      <c r="DM202" s="862"/>
      <c r="DN202" s="862"/>
      <c r="DO202" s="208">
        <f>IF(DM202=0,0,(DN202-DM202)/DM202*100)</f>
        <v>0</v>
      </c>
      <c r="DP202" s="862"/>
      <c r="DQ202" s="862"/>
      <c r="DR202" s="208">
        <f>IF(DP202=0,0,(DQ202-DP202)/DP202*100)</f>
        <v>0</v>
      </c>
      <c r="DS202" s="862"/>
      <c r="DT202" s="862"/>
      <c r="DU202" s="208">
        <f>IF(DS202=0,0,(DT202-DS202)/DS202*100)</f>
        <v>0</v>
      </c>
      <c r="DV202" s="862"/>
      <c r="DW202" s="862"/>
      <c r="DX202" s="208">
        <f>IF(DV202=0,0,(DW202-DV202)/DV202*100)</f>
        <v>0</v>
      </c>
      <c r="DY202" s="862"/>
      <c r="DZ202" s="862"/>
      <c r="EA202" s="208">
        <f>IF(DY202=0,0,(DZ202-DY202)/DY202*100)</f>
        <v>0</v>
      </c>
      <c r="EB202" s="862"/>
      <c r="EC202" s="862"/>
      <c r="ED202" s="208">
        <f>IF(EB202=0,0,(EC202-EB202)/EB202*100)</f>
        <v>0</v>
      </c>
      <c r="EE202" s="862"/>
      <c r="EF202" s="862"/>
      <c r="EG202" s="208">
        <f>IF(EE202=0,0,(EF202-EE202)/EE202*100)</f>
        <v>0</v>
      </c>
      <c r="EH202" s="862"/>
      <c r="EI202" s="862"/>
      <c r="EJ202" s="208">
        <f>IF(EH202=0,0,(EI202-EH202)/EH202*100)</f>
        <v>0</v>
      </c>
      <c r="EK202" s="862"/>
      <c r="EL202" s="862"/>
      <c r="EM202" s="208">
        <f>IF(EK202=0,0,(EL202-EK202)/EK202*100)</f>
        <v>0</v>
      </c>
      <c r="EN202" s="862"/>
      <c r="EO202" s="862"/>
      <c r="EP202" s="208">
        <f>IF(EN202=0,0,(EO202-EN202)/EN202*100)</f>
        <v>0</v>
      </c>
      <c r="EQ202" s="862"/>
      <c r="ER202" s="862"/>
      <c r="ES202" s="208">
        <f>IF(EQ202=0,0,(ER202-EQ202)/EQ202*100)</f>
        <v>0</v>
      </c>
      <c r="ET202" s="862"/>
      <c r="EU202" s="862"/>
      <c r="EV202" s="208">
        <f>IF(ET202=0,0,(EU202-ET202)/ET202*100)</f>
        <v>0</v>
      </c>
      <c r="EW202" s="862"/>
      <c r="EX202" s="862"/>
      <c r="EY202" s="208">
        <f>IF(EW202=0,0,(EX202-EW202)/EW202*100)</f>
        <v>0</v>
      </c>
      <c r="EZ202" s="862"/>
      <c r="FA202" s="862"/>
      <c r="FB202" s="208">
        <f>IF(EZ202=0,0,(FA202-EZ202)/EZ202*100)</f>
        <v>0</v>
      </c>
      <c r="FC202" s="862"/>
      <c r="FD202" s="862"/>
      <c r="FE202" s="208">
        <f>IF(FC202=0,0,(FD202-FC202)/FC202*100)</f>
        <v>0</v>
      </c>
      <c r="FF202" s="862"/>
      <c r="FG202" s="862"/>
      <c r="FH202" s="208">
        <f>IF(FF202=0,0,(FG202-FF202)/FF202*100)</f>
        <v>0</v>
      </c>
      <c r="FI202" s="862"/>
      <c r="FJ202" s="862"/>
      <c r="FK202" s="208">
        <f>IF(FI202=0,0,(FJ202-FI202)/FI202*100)</f>
        <v>0</v>
      </c>
      <c r="FL202" s="862"/>
      <c r="FM202" s="862"/>
      <c r="FN202" s="208">
        <f>IF(FL202=0,0,(FM202-FL202)/FL202*100)</f>
        <v>0</v>
      </c>
      <c r="FO202" s="862"/>
      <c r="FP202" s="862"/>
      <c r="FQ202" s="208">
        <f>IF(FO202=0,0,(FP202-FO202)/FO202*100)</f>
        <v>0</v>
      </c>
      <c r="FR202" s="862"/>
      <c r="FS202" s="862"/>
      <c r="FT202" s="208">
        <f>IF(FR202=0,0,(FS202-FR202)/FR202*100)</f>
        <v>0</v>
      </c>
      <c r="FU202" s="862"/>
      <c r="FV202" s="862"/>
      <c r="FW202" s="208">
        <f>IF(FU202=0,0,(FV202-FU202)/FU202*100)</f>
        <v>0</v>
      </c>
      <c r="FX202" s="204"/>
      <c r="FY202" s="204"/>
      <c r="FZ202" s="691" t="s">
        <v>1645</v>
      </c>
      <c r="GA202" s="691"/>
      <c r="GB202" s="691"/>
      <c r="GC202" s="692"/>
      <c r="GD202" s="692"/>
    </row>
    <row r="203" spans="1:186" s="866" customFormat="1" ht="23.25" hidden="1" customHeight="1" x14ac:dyDescent="0.15">
      <c r="A203" s="594"/>
      <c r="B203" s="613" t="b" cm="1">
        <f t="array" ref="B203">B202</f>
        <v>0</v>
      </c>
      <c r="C203" s="594"/>
      <c r="D203" s="594"/>
      <c r="E203" s="595">
        <v>24.5</v>
      </c>
      <c r="F203" s="3" t="str" cm="1">
        <f t="array" aca="1" ref="F203" ca="1">OFFSET(E203,-1,1)</f>
        <v>3</v>
      </c>
      <c r="G203" s="59" t="s">
        <v>1646</v>
      </c>
      <c r="H203" s="59" t="s">
        <v>482</v>
      </c>
      <c r="I203" s="59" t="s">
        <v>1647</v>
      </c>
      <c r="J203" s="594"/>
      <c r="K203" s="594"/>
      <c r="L203" s="59"/>
      <c r="M203" s="594"/>
      <c r="N203" s="594"/>
      <c r="O203" s="594"/>
      <c r="P203" s="594"/>
      <c r="Q203" s="594"/>
      <c r="R203" s="594"/>
      <c r="S203" s="59"/>
      <c r="T203" s="353" t="b" cm="1">
        <f t="array" ref="T203">T202</f>
        <v>1</v>
      </c>
      <c r="U203" s="594"/>
      <c r="V203" s="594"/>
      <c r="W203" s="594"/>
      <c r="X203" s="1022"/>
      <c r="Y203" s="594"/>
      <c r="Z203" s="966"/>
      <c r="AA203" s="594"/>
      <c r="AB203" s="205" t="s">
        <v>1648</v>
      </c>
      <c r="AC203" s="206" t="s">
        <v>1644</v>
      </c>
      <c r="AD203" s="861">
        <f ca="1">IF(AND(method_reg="Метод индексации",god&lt;&gt;first_year),SUMIFS(INDEX('Калькуляция (МИ корр)'!$AJ$25:$BC$603,,MATCH(AD$8,'Калькуляция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(МИ)'!$AJ$25:$BC$603,,MATCH(AD$8,'Калькуляция (МИ)'!$AJ$8:$BC$8,0)),'Калькуляция (МИ)'!$F$25:$F$603,$F203,'Калькуляция (МИ)'!$G$25:$G$603,$G203))))</f>
        <v>1.3436110617999999</v>
      </c>
      <c r="AE203" s="861">
        <f ca="1">IF(AND(method_reg="Метод индексации",god&lt;&gt;first_year),SUMIFS(INDEX('Калькуляция (МИ корр)'!$AJ$25:$BC$603,,MATCH(AE$8,'Калькуляция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(МИ)'!$AJ$25:$BC$603,,MATCH(AE$8,'Калькуляция (МИ)'!$AJ$8:$BC$8,0)),'Калькуляция (МИ)'!$F$25:$F$603,$F203,'Калькуляция (МИ)'!$G$25:$G$603,$G203))))</f>
        <v>0.52200009970000005</v>
      </c>
      <c r="AF203" s="208">
        <f ca="1">IF(AD203=0,0,(AE203-AD203)/AD203*100)</f>
        <v>-61.14946396759413</v>
      </c>
      <c r="AG203" s="861">
        <f ca="1">IF(AND(method_reg="Метод индексации",god&lt;&gt;first_year),SUMIFS(INDEX('Калькуляция (МИ корр)'!$AJ$25:$BC$603,,MATCH(AG$8,'Калькуляция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(МИ)'!$AJ$25:$BC$603,,MATCH(AG$8,'Калькуляция (МИ)'!$AJ$8:$BC$8,0)),'Калькуляция (МИ)'!$F$25:$F$603,$F203,'Калькуляция (МИ)'!$G$25:$G$603,$G203))))</f>
        <v>0</v>
      </c>
      <c r="AH203" s="861">
        <f ca="1">IF(AND(method_reg="Метод индексации",god&lt;&gt;first_year),SUMIFS(INDEX('Калькуляция (МИ корр)'!$AJ$25:$BC$603,,MATCH(AH$8,'Калькуляция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(МИ)'!$AJ$25:$BC$603,,MATCH(AH$8,'Калькуляция (МИ)'!$AJ$8:$BC$8,0)),'Калькуляция (МИ)'!$F$25:$F$603,$F203,'Калькуляция (МИ)'!$G$25:$G$603,$G203))))</f>
        <v>0</v>
      </c>
      <c r="AI203" s="208">
        <f ca="1">IF(AG203=0,0,(AH203-AG203)/AG203*100)</f>
        <v>0</v>
      </c>
      <c r="AJ203" s="861">
        <f ca="1">IF(AND(method_reg="Метод индексации",god&lt;&gt;first_year),SUMIFS(INDEX('Калькуляция (МИ корр)'!$AJ$25:$BC$603,,MATCH(AJ$8,'Калькуляция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(МИ)'!$AJ$25:$BC$603,,MATCH(AJ$8,'Калькуляция (МИ)'!$AJ$8:$BC$8,0)),'Калькуляция (МИ)'!$F$25:$F$603,$F203,'Калькуляция (МИ)'!$G$25:$G$603,$G203))))</f>
        <v>0</v>
      </c>
      <c r="AK203" s="861">
        <f ca="1">IF(AND(method_reg="Метод индексации",god&lt;&gt;first_year),SUMIFS(INDEX('Калькуляция (МИ корр)'!$AJ$25:$BC$603,,MATCH(AK$8,'Калькуляция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(МИ)'!$AJ$25:$BC$603,,MATCH(AK$8,'Калькуляция (МИ)'!$AJ$8:$BC$8,0)),'Калькуляция (МИ)'!$F$25:$F$603,$F203,'Калькуляция (МИ)'!$G$25:$G$603,$G203))))</f>
        <v>0</v>
      </c>
      <c r="AL203" s="208">
        <f ca="1">IF(AJ203=0,0,(AK203-AJ203)/AJ203*100)</f>
        <v>0</v>
      </c>
      <c r="AM203" s="861">
        <f ca="1">IF(AND(method_reg="Метод индексации",god&lt;&gt;first_year),SUMIFS(INDEX('Калькуляция (МИ корр)'!$AJ$25:$BC$603,,MATCH(AM$8,'Калькуляция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(МИ)'!$AJ$25:$BC$603,,MATCH(AM$8,'Калькуляция (МИ)'!$AJ$8:$BC$8,0)),'Калькуляция (МИ)'!$F$25:$F$603,$F203,'Калькуляция (МИ)'!$G$25:$G$603,$G203))))</f>
        <v>0</v>
      </c>
      <c r="AN203" s="861">
        <f ca="1">IF(AND(method_reg="Метод индексации",god&lt;&gt;first_year),SUMIFS(INDEX('Калькуляция (МИ корр)'!$AJ$25:$BC$603,,MATCH(AN$8,'Калькуляция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(МИ)'!$AJ$25:$BC$603,,MATCH(AN$8,'Калькуляция (МИ)'!$AJ$8:$BC$8,0)),'Калькуляция (МИ)'!$F$25:$F$603,$F203,'Калькуляция (МИ)'!$G$25:$G$603,$G203))))</f>
        <v>0</v>
      </c>
      <c r="AO203" s="208">
        <f ca="1">IF(AM203=0,0,(AN203-AM203)/AM203*100)</f>
        <v>0</v>
      </c>
      <c r="AP203" s="861">
        <f ca="1">IF(AND(method_reg="Метод индексации",god&lt;&gt;first_year),SUMIFS(INDEX('Калькуляция (МИ корр)'!$AJ$25:$BC$603,,MATCH(AP$8,'Калькуляция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(МИ)'!$AJ$25:$BC$603,,MATCH(AP$8,'Калькуляция (МИ)'!$AJ$8:$BC$8,0)),'Калькуляция (МИ)'!$F$25:$F$603,$F203,'Калькуляция (МИ)'!$G$25:$G$603,$G203))))</f>
        <v>0</v>
      </c>
      <c r="AQ203" s="861">
        <f ca="1">IF(AND(method_reg="Метод индексации",god&lt;&gt;first_year),SUMIFS(INDEX('Калькуляция (МИ корр)'!$AJ$25:$BC$603,,MATCH(AQ$8,'Калькуляция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(МИ)'!$AJ$25:$BC$603,,MATCH(AQ$8,'Калькуляция (МИ)'!$AJ$8:$BC$8,0)),'Калькуляция (МИ)'!$F$25:$F$603,$F203,'Калькуляция (МИ)'!$G$25:$G$603,$G203))))</f>
        <v>0</v>
      </c>
      <c r="AR203" s="208">
        <f ca="1">IF(AP203=0,0,(AQ203-AP203)/AP203*100)</f>
        <v>0</v>
      </c>
      <c r="AS203" s="861">
        <f ca="1">IF(AND(method_reg="Метод индексации",god&lt;&gt;first_year),SUMIFS(INDEX('Калькуляция (МИ корр)'!$AJ$25:$BC$603,,MATCH(AS$8,'Калькуляция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(МИ)'!$AJ$25:$BC$603,,MATCH(AS$8,'Калькуляция (МИ)'!$AJ$8:$BC$8,0)),'Калькуляция (МИ)'!$F$25:$F$603,$F203,'Калькуляция (МИ)'!$G$25:$G$603,$G203))))</f>
        <v>0</v>
      </c>
      <c r="AT203" s="861">
        <f ca="1">IF(AND(method_reg="Метод индексации",god&lt;&gt;first_year),SUMIFS(INDEX('Калькуляция (МИ корр)'!$AJ$25:$BC$603,,MATCH(AT$8,'Калькуляция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(МИ)'!$AJ$25:$BC$603,,MATCH(AT$8,'Калькуляция (МИ)'!$AJ$8:$BC$8,0)),'Калькуляция (МИ)'!$F$25:$F$603,$F203,'Калькуляция (МИ)'!$G$25:$G$603,$G203))))</f>
        <v>0</v>
      </c>
      <c r="AU203" s="208">
        <f ca="1">IF(AS203=0,0,(AT203-AS203)/AS203*100)</f>
        <v>0</v>
      </c>
      <c r="AV203" s="861">
        <f ca="1">IF(AND(method_reg="Метод индексации",god&lt;&gt;first_year),SUMIFS(INDEX('Калькуляция (МИ корр)'!$AJ$25:$BC$603,,MATCH(AV$8,'Калькуляция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(МИ)'!$AJ$25:$BC$603,,MATCH(AV$8,'Калькуляция (МИ)'!$AJ$8:$BC$8,0)),'Калькуляция (МИ)'!$F$25:$F$603,$F203,'Калькуляция (МИ)'!$G$25:$G$603,$G203))))</f>
        <v>0</v>
      </c>
      <c r="AW203" s="861">
        <f ca="1">IF(AND(method_reg="Метод индексации",god&lt;&gt;first_year),SUMIFS(INDEX('Калькуляция (МИ корр)'!$AJ$25:$BC$603,,MATCH(AW$8,'Калькуляция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(МИ)'!$AJ$25:$BC$603,,MATCH(AW$8,'Калькуляция (МИ)'!$AJ$8:$BC$8,0)),'Калькуляция (МИ)'!$F$25:$F$603,$F203,'Калькуляция (МИ)'!$G$25:$G$603,$G203))))</f>
        <v>0</v>
      </c>
      <c r="AX203" s="208">
        <f ca="1">IF(AV203=0,0,(AW203-AV203)/AV203*100)</f>
        <v>0</v>
      </c>
      <c r="AY203" s="861">
        <f ca="1">IF(AND(method_reg="Метод индексации",god&lt;&gt;first_year),SUMIFS(INDEX('Калькуляция (МИ корр)'!$AJ$25:$BC$603,,MATCH(AY$8,'Калькуляция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(МИ)'!$AJ$25:$BC$603,,MATCH(AY$8,'Калькуляция (МИ)'!$AJ$8:$BC$8,0)),'Калькуляция (МИ)'!$F$25:$F$603,$F203,'Калькуляция (МИ)'!$G$25:$G$603,$G203))))</f>
        <v>0</v>
      </c>
      <c r="AZ203" s="861">
        <f ca="1">IF(AND(method_reg="Метод индексации",god&lt;&gt;first_year),SUMIFS(INDEX('Калькуляция (МИ корр)'!$AJ$25:$BC$603,,MATCH(AZ$8,'Калькуляция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(МИ)'!$AJ$25:$BC$603,,MATCH(AZ$8,'Калькуляция (МИ)'!$AJ$8:$BC$8,0)),'Калькуляция (МИ)'!$F$25:$F$603,$F203,'Калькуляция (МИ)'!$G$25:$G$603,$G203))))</f>
        <v>0</v>
      </c>
      <c r="BA203" s="208">
        <f ca="1">IF(AY203=0,0,(AZ203-AY203)/AY203*100)</f>
        <v>0</v>
      </c>
      <c r="BB203" s="861">
        <f ca="1">IF(AND(method_reg="Метод индексации",god&lt;&gt;first_year),SUMIFS(INDEX('Калькуляция (МИ корр)'!$AJ$25:$BC$603,,MATCH(BB$8,'Калькуляция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(МИ)'!$AJ$25:$BC$603,,MATCH(BB$8,'Калькуляция (МИ)'!$AJ$8:$BC$8,0)),'Калькуляция (МИ)'!$F$25:$F$603,$F203,'Калькуляция (МИ)'!$G$25:$G$603,$G203))))</f>
        <v>0</v>
      </c>
      <c r="BC203" s="861">
        <f ca="1">IF(AND(method_reg="Метод индексации",god&lt;&gt;first_year),SUMIFS(INDEX('Калькуляция (МИ корр)'!$AJ$25:$BC$603,,MATCH(BC$8,'Калькуляция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(МИ)'!$AJ$25:$BC$603,,MATCH(BC$8,'Калькуляция (МИ)'!$AJ$8:$BC$8,0)),'Калькуляция (МИ)'!$F$25:$F$603,$F203,'Калькуляция (МИ)'!$G$25:$G$603,$G203))))</f>
        <v>0</v>
      </c>
      <c r="BD203" s="208">
        <f ca="1">IF(BB203=0,0,(BC203-BB203)/BB203*100)</f>
        <v>0</v>
      </c>
      <c r="BE203" s="861">
        <f ca="1">IF(AND(method_reg="Метод индексации",god&lt;&gt;first_year),SUMIFS(INDEX('Калькуляция (МИ корр)'!$AJ$25:$BC$603,,MATCH(BE$8,'Калькуляция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(МИ)'!$AJ$25:$BC$603,,MATCH(BE$8,'Калькуляция (МИ)'!$AJ$8:$BC$8,0)),'Калькуляция (МИ)'!$F$25:$F$603,$F203,'Калькуляция (МИ)'!$G$25:$G$603,$G203))))</f>
        <v>0</v>
      </c>
      <c r="BF203" s="861">
        <f ca="1">IF(AND(method_reg="Метод индексации",god&lt;&gt;first_year),SUMIFS(INDEX('Калькуляция (МИ корр)'!$AJ$25:$BC$603,,MATCH(BF$8,'Калькуляция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(МИ)'!$AJ$25:$BC$603,,MATCH(BF$8,'Калькуляция (МИ)'!$AJ$8:$BC$8,0)),'Калькуляция (МИ)'!$F$25:$F$603,$F203,'Калькуляция (МИ)'!$G$25:$G$603,$G203))))</f>
        <v>0</v>
      </c>
      <c r="BG203" s="208">
        <f ca="1">IF(BE203=0,0,(BF203-BE203)/BE203*100)</f>
        <v>0</v>
      </c>
      <c r="BH203" s="861"/>
      <c r="BI203" s="861"/>
      <c r="BJ203" s="208">
        <f>IF(BH203=0,0,(BI203-BH203)/BH203*100)</f>
        <v>0</v>
      </c>
      <c r="BK203" s="861"/>
      <c r="BL203" s="861"/>
      <c r="BM203" s="208">
        <f>IF(BK203=0,0,(BL203-BK203)/BK203*100)</f>
        <v>0</v>
      </c>
      <c r="BN203" s="861"/>
      <c r="BO203" s="861"/>
      <c r="BP203" s="208">
        <f>IF(BN203=0,0,(BO203-BN203)/BN203*100)</f>
        <v>0</v>
      </c>
      <c r="BQ203" s="861"/>
      <c r="BR203" s="861"/>
      <c r="BS203" s="208">
        <f>IF(BQ203=0,0,(BR203-BQ203)/BQ203*100)</f>
        <v>0</v>
      </c>
      <c r="BT203" s="861"/>
      <c r="BU203" s="861"/>
      <c r="BV203" s="208">
        <f>IF(BT203=0,0,(BU203-BT203)/BT203*100)</f>
        <v>0</v>
      </c>
      <c r="BW203" s="861"/>
      <c r="BX203" s="861"/>
      <c r="BY203" s="208">
        <f>IF(BW203=0,0,(BX203-BW203)/BW203*100)</f>
        <v>0</v>
      </c>
      <c r="BZ203" s="861"/>
      <c r="CA203" s="861"/>
      <c r="CB203" s="208">
        <f>IF(BZ203=0,0,(CA203-BZ203)/BZ203*100)</f>
        <v>0</v>
      </c>
      <c r="CC203" s="861"/>
      <c r="CD203" s="861"/>
      <c r="CE203" s="208">
        <f>IF(CC203=0,0,(CD203-CC203)/CC203*100)</f>
        <v>0</v>
      </c>
      <c r="CF203" s="861"/>
      <c r="CG203" s="861"/>
      <c r="CH203" s="208">
        <f>IF(CF203=0,0,(CG203-CF203)/CF203*100)</f>
        <v>0</v>
      </c>
      <c r="CI203" s="861"/>
      <c r="CJ203" s="861"/>
      <c r="CK203" s="208">
        <f>IF(CI203=0,0,(CJ203-CI203)/CI203*100)</f>
        <v>0</v>
      </c>
      <c r="CL203" s="861"/>
      <c r="CM203" s="861"/>
      <c r="CN203" s="208">
        <f>IF(CL203=0,0,(CM203-CL203)/CL203*100)</f>
        <v>0</v>
      </c>
      <c r="CO203" s="861"/>
      <c r="CP203" s="861"/>
      <c r="CQ203" s="208">
        <f>IF(CO203=0,0,(CP203-CO203)/CO203*100)</f>
        <v>0</v>
      </c>
      <c r="CR203" s="861"/>
      <c r="CS203" s="861"/>
      <c r="CT203" s="208">
        <f>IF(CR203=0,0,(CS203-CR203)/CR203*100)</f>
        <v>0</v>
      </c>
      <c r="CU203" s="861"/>
      <c r="CV203" s="861"/>
      <c r="CW203" s="208">
        <f>IF(CU203=0,0,(CV203-CU203)/CU203*100)</f>
        <v>0</v>
      </c>
      <c r="CX203" s="861"/>
      <c r="CY203" s="861"/>
      <c r="CZ203" s="208">
        <f>IF(CX203=0,0,(CY203-CX203)/CX203*100)</f>
        <v>0</v>
      </c>
      <c r="DA203" s="861"/>
      <c r="DB203" s="861"/>
      <c r="DC203" s="208">
        <f>IF(DA203=0,0,(DB203-DA203)/DA203*100)</f>
        <v>0</v>
      </c>
      <c r="DD203" s="861"/>
      <c r="DE203" s="861"/>
      <c r="DF203" s="208">
        <f>IF(DD203=0,0,(DE203-DD203)/DD203*100)</f>
        <v>0</v>
      </c>
      <c r="DG203" s="862"/>
      <c r="DH203" s="862"/>
      <c r="DI203" s="208">
        <f>IF(DG203=0,0,(DH203-DG203)/DG203*100)</f>
        <v>0</v>
      </c>
      <c r="DJ203" s="862"/>
      <c r="DK203" s="862"/>
      <c r="DL203" s="208">
        <f>IF(DJ203=0,0,(DK203-DJ203)/DJ203*100)</f>
        <v>0</v>
      </c>
      <c r="DM203" s="862"/>
      <c r="DN203" s="862"/>
      <c r="DO203" s="208">
        <f>IF(DM203=0,0,(DN203-DM203)/DM203*100)</f>
        <v>0</v>
      </c>
      <c r="DP203" s="862"/>
      <c r="DQ203" s="862"/>
      <c r="DR203" s="208">
        <f>IF(DP203=0,0,(DQ203-DP203)/DP203*100)</f>
        <v>0</v>
      </c>
      <c r="DS203" s="862"/>
      <c r="DT203" s="862"/>
      <c r="DU203" s="208">
        <f>IF(DS203=0,0,(DT203-DS203)/DS203*100)</f>
        <v>0</v>
      </c>
      <c r="DV203" s="862"/>
      <c r="DW203" s="862"/>
      <c r="DX203" s="208">
        <f>IF(DV203=0,0,(DW203-DV203)/DV203*100)</f>
        <v>0</v>
      </c>
      <c r="DY203" s="862"/>
      <c r="DZ203" s="862"/>
      <c r="EA203" s="208">
        <f>IF(DY203=0,0,(DZ203-DY203)/DY203*100)</f>
        <v>0</v>
      </c>
      <c r="EB203" s="862"/>
      <c r="EC203" s="862"/>
      <c r="ED203" s="208">
        <f>IF(EB203=0,0,(EC203-EB203)/EB203*100)</f>
        <v>0</v>
      </c>
      <c r="EE203" s="862"/>
      <c r="EF203" s="862"/>
      <c r="EG203" s="208">
        <f>IF(EE203=0,0,(EF203-EE203)/EE203*100)</f>
        <v>0</v>
      </c>
      <c r="EH203" s="862"/>
      <c r="EI203" s="862"/>
      <c r="EJ203" s="208">
        <f>IF(EH203=0,0,(EI203-EH203)/EH203*100)</f>
        <v>0</v>
      </c>
      <c r="EK203" s="862"/>
      <c r="EL203" s="862"/>
      <c r="EM203" s="208">
        <f>IF(EK203=0,0,(EL203-EK203)/EK203*100)</f>
        <v>0</v>
      </c>
      <c r="EN203" s="862"/>
      <c r="EO203" s="862"/>
      <c r="EP203" s="208">
        <f>IF(EN203=0,0,(EO203-EN203)/EN203*100)</f>
        <v>0</v>
      </c>
      <c r="EQ203" s="862"/>
      <c r="ER203" s="862"/>
      <c r="ES203" s="208">
        <f>IF(EQ203=0,0,(ER203-EQ203)/EQ203*100)</f>
        <v>0</v>
      </c>
      <c r="ET203" s="862"/>
      <c r="EU203" s="862"/>
      <c r="EV203" s="208">
        <f>IF(ET203=0,0,(EU203-ET203)/ET203*100)</f>
        <v>0</v>
      </c>
      <c r="EW203" s="862"/>
      <c r="EX203" s="862"/>
      <c r="EY203" s="208">
        <f>IF(EW203=0,0,(EX203-EW203)/EW203*100)</f>
        <v>0</v>
      </c>
      <c r="EZ203" s="862"/>
      <c r="FA203" s="862"/>
      <c r="FB203" s="208">
        <f>IF(EZ203=0,0,(FA203-EZ203)/EZ203*100)</f>
        <v>0</v>
      </c>
      <c r="FC203" s="862"/>
      <c r="FD203" s="862"/>
      <c r="FE203" s="208">
        <f>IF(FC203=0,0,(FD203-FC203)/FC203*100)</f>
        <v>0</v>
      </c>
      <c r="FF203" s="862"/>
      <c r="FG203" s="862"/>
      <c r="FH203" s="208">
        <f>IF(FF203=0,0,(FG203-FF203)/FF203*100)</f>
        <v>0</v>
      </c>
      <c r="FI203" s="862"/>
      <c r="FJ203" s="862"/>
      <c r="FK203" s="208">
        <f>IF(FI203=0,0,(FJ203-FI203)/FI203*100)</f>
        <v>0</v>
      </c>
      <c r="FL203" s="862"/>
      <c r="FM203" s="862"/>
      <c r="FN203" s="208">
        <f>IF(FL203=0,0,(FM203-FL203)/FL203*100)</f>
        <v>0</v>
      </c>
      <c r="FO203" s="862"/>
      <c r="FP203" s="862"/>
      <c r="FQ203" s="208">
        <f>IF(FO203=0,0,(FP203-FO203)/FO203*100)</f>
        <v>0</v>
      </c>
      <c r="FR203" s="862"/>
      <c r="FS203" s="862"/>
      <c r="FT203" s="208">
        <f>IF(FR203=0,0,(FS203-FR203)/FR203*100)</f>
        <v>0</v>
      </c>
      <c r="FU203" s="862"/>
      <c r="FV203" s="862"/>
      <c r="FW203" s="208">
        <f>IF(FU203=0,0,(FV203-FU203)/FU203*100)</f>
        <v>0</v>
      </c>
      <c r="FX203" s="204"/>
      <c r="FY203" s="204"/>
      <c r="FZ203" s="691" t="s">
        <v>1649</v>
      </c>
      <c r="GA203" s="691"/>
      <c r="GB203" s="691"/>
      <c r="GC203" s="692"/>
      <c r="GD203" s="692"/>
    </row>
    <row r="204" spans="1:186" ht="14.25" hidden="1" customHeight="1" x14ac:dyDescent="0.15">
      <c r="A204" s="59"/>
      <c r="B204" s="613" t="b" cm="1">
        <f t="array" ref="B204">B203</f>
        <v>0</v>
      </c>
      <c r="C204" s="59"/>
      <c r="D204" s="59"/>
      <c r="E204" s="462">
        <v>15</v>
      </c>
      <c r="F204" s="3" t="str" cm="1">
        <f t="array" aca="1" ref="F204" ca="1">OFFSET(E204,-1,1)</f>
        <v>3</v>
      </c>
      <c r="G204" s="59"/>
      <c r="H204" s="59" t="s">
        <v>486</v>
      </c>
      <c r="I204" s="59" t="s">
        <v>1650</v>
      </c>
      <c r="J204" s="59"/>
      <c r="K204" s="59"/>
      <c r="L204" s="59"/>
      <c r="M204" s="59"/>
      <c r="N204" s="59"/>
      <c r="O204" s="59"/>
      <c r="P204" s="59"/>
      <c r="Q204" s="59"/>
      <c r="R204" s="59"/>
      <c r="S204" s="59"/>
      <c r="T204" s="353" t="b" cm="1">
        <f t="array" ref="T204">T203</f>
        <v>1</v>
      </c>
      <c r="U204" s="59"/>
      <c r="V204" s="59"/>
      <c r="W204" s="59"/>
      <c r="X204" s="1022"/>
      <c r="Y204" s="59"/>
      <c r="Z204" s="966"/>
      <c r="AA204" s="59"/>
      <c r="AB204" s="54" t="s">
        <v>1651</v>
      </c>
      <c r="AC204" s="12" t="s">
        <v>476</v>
      </c>
      <c r="AD204" s="620">
        <f ca="1">IF(AD202=0,0,AD203/AD202)*100</f>
        <v>100</v>
      </c>
      <c r="AE204" s="620">
        <f ca="1">IF(AE202=0,0,AE203/AE202)*100</f>
        <v>100</v>
      </c>
      <c r="AF204" s="714"/>
      <c r="AG204" s="620">
        <f ca="1">IF(AG202=0,0,AG203/AG202)*100</f>
        <v>0</v>
      </c>
      <c r="AH204" s="620">
        <f ca="1">IF(AH202=0,0,AH203/AH202)*100</f>
        <v>0</v>
      </c>
      <c r="AI204" s="714"/>
      <c r="AJ204" s="620">
        <f ca="1">IF(AJ202=0,0,AJ203/AJ202)*100</f>
        <v>0</v>
      </c>
      <c r="AK204" s="620">
        <f ca="1">IF(AK202=0,0,AK203/AK202)*100</f>
        <v>0</v>
      </c>
      <c r="AL204" s="714"/>
      <c r="AM204" s="620">
        <f ca="1">IF(AM202=0,0,AM203/AM202)*100</f>
        <v>0</v>
      </c>
      <c r="AN204" s="620">
        <f ca="1">IF(AN202=0,0,AN203/AN202)*100</f>
        <v>0</v>
      </c>
      <c r="AO204" s="714"/>
      <c r="AP204" s="620">
        <f ca="1">IF(AP202=0,0,AP203/AP202)*100</f>
        <v>0</v>
      </c>
      <c r="AQ204" s="620">
        <f ca="1">IF(AQ202=0,0,AQ203/AQ202)*100</f>
        <v>0</v>
      </c>
      <c r="AR204" s="714"/>
      <c r="AS204" s="620">
        <f ca="1">IF(AS202=0,0,AS203/AS202)*100</f>
        <v>0</v>
      </c>
      <c r="AT204" s="620">
        <f ca="1">IF(AT202=0,0,AT203/AT202)*100</f>
        <v>0</v>
      </c>
      <c r="AU204" s="714"/>
      <c r="AV204" s="620">
        <f ca="1">IF(AV202=0,0,AV203/AV202)*100</f>
        <v>0</v>
      </c>
      <c r="AW204" s="620">
        <f ca="1">IF(AW202=0,0,AW203/AW202)*100</f>
        <v>0</v>
      </c>
      <c r="AX204" s="714"/>
      <c r="AY204" s="620">
        <f ca="1">IF(AY202=0,0,AY203/AY202)*100</f>
        <v>0</v>
      </c>
      <c r="AZ204" s="620">
        <f ca="1">IF(AZ202=0,0,AZ203/AZ202)*100</f>
        <v>0</v>
      </c>
      <c r="BA204" s="714"/>
      <c r="BB204" s="620">
        <f ca="1">IF(BB202=0,0,BB203/BB202)*100</f>
        <v>0</v>
      </c>
      <c r="BC204" s="620">
        <f ca="1">IF(BC202=0,0,BC203/BC202)*100</f>
        <v>0</v>
      </c>
      <c r="BD204" s="714"/>
      <c r="BE204" s="620">
        <f ca="1">IF(BE202=0,0,BE203/BE202)*100</f>
        <v>0</v>
      </c>
      <c r="BF204" s="620">
        <f ca="1">IF(BF202=0,0,BF203/BF202)*100</f>
        <v>0</v>
      </c>
      <c r="BG204" s="714"/>
      <c r="BH204" s="620">
        <f>IF(BH202=0,0,BH203/BH202)*100</f>
        <v>0</v>
      </c>
      <c r="BI204" s="620">
        <f>IF(BI202=0,0,BI203/BI202)*100</f>
        <v>0</v>
      </c>
      <c r="BJ204" s="714"/>
      <c r="BK204" s="620">
        <f>IF(BK202=0,0,BK203/BK202)*100</f>
        <v>0</v>
      </c>
      <c r="BL204" s="620">
        <f>IF(BL202=0,0,BL203/BL202)*100</f>
        <v>0</v>
      </c>
      <c r="BM204" s="714"/>
      <c r="BN204" s="620">
        <f>IF(BN202=0,0,BN203/BN202)*100</f>
        <v>0</v>
      </c>
      <c r="BO204" s="620">
        <f>IF(BO202=0,0,BO203/BO202)*100</f>
        <v>0</v>
      </c>
      <c r="BP204" s="714"/>
      <c r="BQ204" s="620">
        <f>IF(BQ202=0,0,BQ203/BQ202)*100</f>
        <v>0</v>
      </c>
      <c r="BR204" s="620">
        <f>IF(BR202=0,0,BR203/BR202)*100</f>
        <v>0</v>
      </c>
      <c r="BS204" s="714"/>
      <c r="BT204" s="620">
        <f>IF(BT202=0,0,BT203/BT202)*100</f>
        <v>0</v>
      </c>
      <c r="BU204" s="620">
        <f>IF(BU202=0,0,BU203/BU202)*100</f>
        <v>0</v>
      </c>
      <c r="BV204" s="714"/>
      <c r="BW204" s="620">
        <f>IF(BW202=0,0,BW203/BW202)*100</f>
        <v>0</v>
      </c>
      <c r="BX204" s="620">
        <f>IF(BX202=0,0,BX203/BX202)*100</f>
        <v>0</v>
      </c>
      <c r="BY204" s="714"/>
      <c r="BZ204" s="620">
        <f>IF(BZ202=0,0,BZ203/BZ202)*100</f>
        <v>0</v>
      </c>
      <c r="CA204" s="620">
        <f>IF(CA202=0,0,CA203/CA202)*100</f>
        <v>0</v>
      </c>
      <c r="CB204" s="714"/>
      <c r="CC204" s="620">
        <f>IF(CC202=0,0,CC203/CC202)*100</f>
        <v>0</v>
      </c>
      <c r="CD204" s="620">
        <f>IF(CD202=0,0,CD203/CD202)*100</f>
        <v>0</v>
      </c>
      <c r="CE204" s="714"/>
      <c r="CF204" s="620">
        <f>IF(CF202=0,0,CF203/CF202)*100</f>
        <v>0</v>
      </c>
      <c r="CG204" s="620">
        <f>IF(CG202=0,0,CG203/CG202)*100</f>
        <v>0</v>
      </c>
      <c r="CH204" s="714"/>
      <c r="CI204" s="620">
        <f>IF(CI202=0,0,CI203/CI202)*100</f>
        <v>0</v>
      </c>
      <c r="CJ204" s="620">
        <f>IF(CJ202=0,0,CJ203/CJ202)*100</f>
        <v>0</v>
      </c>
      <c r="CK204" s="714"/>
      <c r="CL204" s="620">
        <f>IF(CL202=0,0,CL203/CL202)*100</f>
        <v>0</v>
      </c>
      <c r="CM204" s="620">
        <f>IF(CM202=0,0,CM203/CM202)*100</f>
        <v>0</v>
      </c>
      <c r="CN204" s="714"/>
      <c r="CO204" s="620">
        <f>IF(CO202=0,0,CO203/CO202)*100</f>
        <v>0</v>
      </c>
      <c r="CP204" s="620">
        <f>IF(CP202=0,0,CP203/CP202)*100</f>
        <v>0</v>
      </c>
      <c r="CQ204" s="714"/>
      <c r="CR204" s="620">
        <f>IF(CR202=0,0,CR203/CR202)*100</f>
        <v>0</v>
      </c>
      <c r="CS204" s="620">
        <f>IF(CS202=0,0,CS203/CS202)*100</f>
        <v>0</v>
      </c>
      <c r="CT204" s="714"/>
      <c r="CU204" s="620">
        <f>IF(CU202=0,0,CU203/CU202)*100</f>
        <v>0</v>
      </c>
      <c r="CV204" s="620">
        <f>IF(CV202=0,0,CV203/CV202)*100</f>
        <v>0</v>
      </c>
      <c r="CW204" s="714"/>
      <c r="CX204" s="620">
        <f>IF(CX202=0,0,CX203/CX202)*100</f>
        <v>0</v>
      </c>
      <c r="CY204" s="620">
        <f>IF(CY202=0,0,CY203/CY202)*100</f>
        <v>0</v>
      </c>
      <c r="CZ204" s="714"/>
      <c r="DA204" s="620">
        <f>IF(DA202=0,0,DA203/DA202)*100</f>
        <v>0</v>
      </c>
      <c r="DB204" s="620">
        <f>IF(DB202=0,0,DB203/DB202)*100</f>
        <v>0</v>
      </c>
      <c r="DC204" s="714"/>
      <c r="DD204" s="620">
        <f>IF(DD202=0,0,DD203/DD202)*100</f>
        <v>0</v>
      </c>
      <c r="DE204" s="620">
        <f>IF(DE202=0,0,DE203/DE202)*100</f>
        <v>0</v>
      </c>
      <c r="DF204" s="714"/>
      <c r="DG204" s="620">
        <f>IF(DG202=0,0,DG203/DG202)*100</f>
        <v>0</v>
      </c>
      <c r="DH204" s="620">
        <f>IF(DH202=0,0,DH203/DH202)*100</f>
        <v>0</v>
      </c>
      <c r="DI204" s="714"/>
      <c r="DJ204" s="620">
        <f>IF(DJ202=0,0,DJ203/DJ202)*100</f>
        <v>0</v>
      </c>
      <c r="DK204" s="620">
        <f>IF(DK202=0,0,DK203/DK202)*100</f>
        <v>0</v>
      </c>
      <c r="DL204" s="714"/>
      <c r="DM204" s="620">
        <f>IF(DM202=0,0,DM203/DM202)*100</f>
        <v>0</v>
      </c>
      <c r="DN204" s="620">
        <f>IF(DN202=0,0,DN203/DN202)*100</f>
        <v>0</v>
      </c>
      <c r="DO204" s="714"/>
      <c r="DP204" s="620">
        <f>IF(DP202=0,0,DP203/DP202)*100</f>
        <v>0</v>
      </c>
      <c r="DQ204" s="620">
        <f>IF(DQ202=0,0,DQ203/DQ202)*100</f>
        <v>0</v>
      </c>
      <c r="DR204" s="714"/>
      <c r="DS204" s="620">
        <f>IF(DS202=0,0,DS203/DS202)*100</f>
        <v>0</v>
      </c>
      <c r="DT204" s="620">
        <f>IF(DT202=0,0,DT203/DT202)*100</f>
        <v>0</v>
      </c>
      <c r="DU204" s="714"/>
      <c r="DV204" s="620">
        <f>IF(DV202=0,0,DV203/DV202)*100</f>
        <v>0</v>
      </c>
      <c r="DW204" s="620">
        <f>IF(DW202=0,0,DW203/DW202)*100</f>
        <v>0</v>
      </c>
      <c r="DX204" s="714"/>
      <c r="DY204" s="620">
        <f>IF(DY202=0,0,DY203/DY202)*100</f>
        <v>0</v>
      </c>
      <c r="DZ204" s="620">
        <f>IF(DZ202=0,0,DZ203/DZ202)*100</f>
        <v>0</v>
      </c>
      <c r="EA204" s="714"/>
      <c r="EB204" s="620">
        <f>IF(EB202=0,0,EB203/EB202)*100</f>
        <v>0</v>
      </c>
      <c r="EC204" s="620">
        <f>IF(EC202=0,0,EC203/EC202)*100</f>
        <v>0</v>
      </c>
      <c r="ED204" s="714"/>
      <c r="EE204" s="620">
        <f>IF(EE202=0,0,EE203/EE202)*100</f>
        <v>0</v>
      </c>
      <c r="EF204" s="620">
        <f>IF(EF202=0,0,EF203/EF202)*100</f>
        <v>0</v>
      </c>
      <c r="EG204" s="714"/>
      <c r="EH204" s="620">
        <f>IF(EH202=0,0,EH203/EH202)*100</f>
        <v>0</v>
      </c>
      <c r="EI204" s="620">
        <f>IF(EI202=0,0,EI203/EI202)*100</f>
        <v>0</v>
      </c>
      <c r="EJ204" s="714"/>
      <c r="EK204" s="620">
        <f>IF(EK202=0,0,EK203/EK202)*100</f>
        <v>0</v>
      </c>
      <c r="EL204" s="620">
        <f>IF(EL202=0,0,EL203/EL202)*100</f>
        <v>0</v>
      </c>
      <c r="EM204" s="714"/>
      <c r="EN204" s="620">
        <f>IF(EN202=0,0,EN203/EN202)*100</f>
        <v>0</v>
      </c>
      <c r="EO204" s="620">
        <f>IF(EO202=0,0,EO203/EO202)*100</f>
        <v>0</v>
      </c>
      <c r="EP204" s="714"/>
      <c r="EQ204" s="620">
        <f>IF(EQ202=0,0,EQ203/EQ202)*100</f>
        <v>0</v>
      </c>
      <c r="ER204" s="620">
        <f>IF(ER202=0,0,ER203/ER202)*100</f>
        <v>0</v>
      </c>
      <c r="ES204" s="714"/>
      <c r="ET204" s="620">
        <f>IF(ET202=0,0,ET203/ET202)*100</f>
        <v>0</v>
      </c>
      <c r="EU204" s="620">
        <f>IF(EU202=0,0,EU203/EU202)*100</f>
        <v>0</v>
      </c>
      <c r="EV204" s="714"/>
      <c r="EW204" s="620">
        <f>IF(EW202=0,0,EW203/EW202)*100</f>
        <v>0</v>
      </c>
      <c r="EX204" s="620">
        <f>IF(EX202=0,0,EX203/EX202)*100</f>
        <v>0</v>
      </c>
      <c r="EY204" s="714"/>
      <c r="EZ204" s="620">
        <f>IF(EZ202=0,0,EZ203/EZ202)*100</f>
        <v>0</v>
      </c>
      <c r="FA204" s="620">
        <f>IF(FA202=0,0,FA203/FA202)*100</f>
        <v>0</v>
      </c>
      <c r="FB204" s="714"/>
      <c r="FC204" s="620">
        <f>IF(FC202=0,0,FC203/FC202)*100</f>
        <v>0</v>
      </c>
      <c r="FD204" s="620">
        <f>IF(FD202=0,0,FD203/FD202)*100</f>
        <v>0</v>
      </c>
      <c r="FE204" s="714"/>
      <c r="FF204" s="620">
        <f>IF(FF202=0,0,FF203/FF202)*100</f>
        <v>0</v>
      </c>
      <c r="FG204" s="620">
        <f>IF(FG202=0,0,FG203/FG202)*100</f>
        <v>0</v>
      </c>
      <c r="FH204" s="714"/>
      <c r="FI204" s="620">
        <f>IF(FI202=0,0,FI203/FI202)*100</f>
        <v>0</v>
      </c>
      <c r="FJ204" s="620">
        <f>IF(FJ202=0,0,FJ203/FJ202)*100</f>
        <v>0</v>
      </c>
      <c r="FK204" s="714"/>
      <c r="FL204" s="620">
        <f>IF(FL202=0,0,FL203/FL202)*100</f>
        <v>0</v>
      </c>
      <c r="FM204" s="620">
        <f>IF(FM202=0,0,FM203/FM202)*100</f>
        <v>0</v>
      </c>
      <c r="FN204" s="714"/>
      <c r="FO204" s="620">
        <f>IF(FO202=0,0,FO203/FO202)*100</f>
        <v>0</v>
      </c>
      <c r="FP204" s="620">
        <f>IF(FP202=0,0,FP203/FP202)*100</f>
        <v>0</v>
      </c>
      <c r="FQ204" s="714"/>
      <c r="FR204" s="620">
        <f>IF(FR202=0,0,FR203/FR202)*100</f>
        <v>0</v>
      </c>
      <c r="FS204" s="620">
        <f>IF(FS202=0,0,FS203/FS202)*100</f>
        <v>0</v>
      </c>
      <c r="FT204" s="714"/>
      <c r="FU204" s="620">
        <f>IF(FU202=0,0,FU203/FU202)*100</f>
        <v>0</v>
      </c>
      <c r="FV204" s="620">
        <f>IF(FV202=0,0,FV203/FV202)*100</f>
        <v>0</v>
      </c>
      <c r="FW204" s="714"/>
      <c r="FX204" s="204"/>
      <c r="FZ204" s="691" t="s">
        <v>1652</v>
      </c>
    </row>
    <row r="205" spans="1:186" ht="14.25" hidden="1" customHeight="1" x14ac:dyDescent="0.15">
      <c r="A205" s="59"/>
      <c r="B205" s="613" t="b" cm="1">
        <f t="array" ref="B205">B204</f>
        <v>0</v>
      </c>
      <c r="C205" s="59"/>
      <c r="D205" s="59"/>
      <c r="E205" s="462">
        <v>15</v>
      </c>
      <c r="F205" s="3" t="str" cm="1">
        <f t="array" aca="1" ref="F205" ca="1">OFFSET(E205,-1,1)</f>
        <v>3</v>
      </c>
      <c r="G205" s="25" t="s">
        <v>1653</v>
      </c>
      <c r="H205" s="59" t="s">
        <v>489</v>
      </c>
      <c r="I205" s="59" t="s">
        <v>1650</v>
      </c>
      <c r="J205" s="59"/>
      <c r="K205" s="59"/>
      <c r="L205" s="59"/>
      <c r="M205" s="59"/>
      <c r="N205" s="59"/>
      <c r="O205" s="59"/>
      <c r="P205" s="59"/>
      <c r="Q205" s="59"/>
      <c r="R205" s="59"/>
      <c r="S205" s="59"/>
      <c r="T205" s="353" t="b" cm="1">
        <f t="array" ref="T205">T204</f>
        <v>1</v>
      </c>
      <c r="U205" s="59"/>
      <c r="V205" s="59"/>
      <c r="W205" s="59"/>
      <c r="X205" s="1022"/>
      <c r="Y205" s="59"/>
      <c r="Z205" s="966"/>
      <c r="AA205" s="59"/>
      <c r="AB205" s="54" t="s">
        <v>1654</v>
      </c>
      <c r="AC205" s="12" t="s">
        <v>558</v>
      </c>
      <c r="AD205" s="836">
        <f ca="1">IF(AND(method_reg="Метод индексации",god&lt;&gt;first_year),SUMIFS(INDEX('Калькуляция (МИ корр)'!$AJ$25:$BC$603,,MATCH(AD$8,'Калькуляция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(МИ)'!$AJ$25:$BC$603,,MATCH(AD$8,'Калькуляция (МИ)'!$AJ$8:$BC$8,0)),'Калькуляция (МИ)'!$F$25:$F$603,$F205,'Калькуляция (МИ)'!$G$25:$G$603,$G205))))</f>
        <v>52692.608</v>
      </c>
      <c r="AE205" s="836">
        <f ca="1">IF(AND(method_reg="Метод индексации",god&lt;&gt;first_year),SUMIFS(INDEX('Калькуляция (МИ корр)'!$AJ$25:$BC$603,,MATCH(AE$8,'Калькуляция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(МИ)'!$AJ$25:$BC$603,,MATCH(AE$8,'Калькуляция (МИ)'!$AJ$8:$BC$8,0)),'Калькуляция (МИ)'!$F$25:$F$603,$F205,'Калькуляция (МИ)'!$G$25:$G$603,$G205))))</f>
        <v>46750.756560000002</v>
      </c>
      <c r="AF205" s="715">
        <f ca="1">IF(AD205=0,0,(AE205-AD205)/AD205*100)</f>
        <v>-11.276442114992673</v>
      </c>
      <c r="AG205" s="836">
        <f ca="1">IF(AND(method_reg="Метод индексации",god&lt;&gt;first_year),SUMIFS(INDEX('Калькуляция (МИ корр)'!$AJ$25:$BC$603,,MATCH(AG$8,'Калькуляция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(МИ)'!$AJ$25:$BC$603,,MATCH(AG$8,'Калькуляция (МИ)'!$AJ$8:$BC$8,0)),'Калькуляция (МИ)'!$F$25:$F$603,$F205,'Калькуляция (МИ)'!$G$25:$G$603,$G205))))</f>
        <v>0</v>
      </c>
      <c r="AH205" s="836">
        <f ca="1">IF(AND(method_reg="Метод индексации",god&lt;&gt;first_year),SUMIFS(INDEX('Калькуляция (МИ корр)'!$AJ$25:$BC$603,,MATCH(AH$8,'Калькуляция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(МИ)'!$AJ$25:$BC$603,,MATCH(AH$8,'Калькуляция (МИ)'!$AJ$8:$BC$8,0)),'Калькуляция (МИ)'!$F$25:$F$603,$F205,'Калькуляция (МИ)'!$G$25:$G$603,$G205))))</f>
        <v>0</v>
      </c>
      <c r="AI205" s="715">
        <f ca="1">IF(AG205=0,0,(AH205-AG205)/AG205*100)</f>
        <v>0</v>
      </c>
      <c r="AJ205" s="836">
        <f ca="1">IF(AND(method_reg="Метод индексации",god&lt;&gt;first_year),SUMIFS(INDEX('Калькуляция (МИ корр)'!$AJ$25:$BC$603,,MATCH(AJ$8,'Калькуляция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(МИ)'!$AJ$25:$BC$603,,MATCH(AJ$8,'Калькуляция (МИ)'!$AJ$8:$BC$8,0)),'Калькуляция (МИ)'!$F$25:$F$603,$F205,'Калькуляция (МИ)'!$G$25:$G$603,$G205))))</f>
        <v>0</v>
      </c>
      <c r="AK205" s="836">
        <f ca="1">IF(AND(method_reg="Метод индексации",god&lt;&gt;first_year),SUMIFS(INDEX('Калькуляция (МИ корр)'!$AJ$25:$BC$603,,MATCH(AK$8,'Калькуляция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(МИ)'!$AJ$25:$BC$603,,MATCH(AK$8,'Калькуляция (МИ)'!$AJ$8:$BC$8,0)),'Калькуляция (МИ)'!$F$25:$F$603,$F205,'Калькуляция (МИ)'!$G$25:$G$603,$G205))))</f>
        <v>0</v>
      </c>
      <c r="AL205" s="715">
        <f ca="1">IF(AJ205=0,0,(AK205-AJ205)/AJ205*100)</f>
        <v>0</v>
      </c>
      <c r="AM205" s="836">
        <f ca="1">IF(AND(method_reg="Метод индексации",god&lt;&gt;first_year),SUMIFS(INDEX('Калькуляция (МИ корр)'!$AJ$25:$BC$603,,MATCH(AM$8,'Калькуляция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(МИ)'!$AJ$25:$BC$603,,MATCH(AM$8,'Калькуляция (МИ)'!$AJ$8:$BC$8,0)),'Калькуляция (МИ)'!$F$25:$F$603,$F205,'Калькуляция (МИ)'!$G$25:$G$603,$G205))))</f>
        <v>0</v>
      </c>
      <c r="AN205" s="836">
        <f ca="1">IF(AND(method_reg="Метод индексации",god&lt;&gt;first_year),SUMIFS(INDEX('Калькуляция (МИ корр)'!$AJ$25:$BC$603,,MATCH(AN$8,'Калькуляция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(МИ)'!$AJ$25:$BC$603,,MATCH(AN$8,'Калькуляция (МИ)'!$AJ$8:$BC$8,0)),'Калькуляция (МИ)'!$F$25:$F$603,$F205,'Калькуляция (МИ)'!$G$25:$G$603,$G205))))</f>
        <v>0</v>
      </c>
      <c r="AO205" s="715">
        <f ca="1">IF(AM205=0,0,(AN205-AM205)/AM205*100)</f>
        <v>0</v>
      </c>
      <c r="AP205" s="836">
        <f ca="1">IF(AND(method_reg="Метод индексации",god&lt;&gt;first_year),SUMIFS(INDEX('Калькуляция (МИ корр)'!$AJ$25:$BC$603,,MATCH(AP$8,'Калькуляция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(МИ)'!$AJ$25:$BC$603,,MATCH(AP$8,'Калькуляция (МИ)'!$AJ$8:$BC$8,0)),'Калькуляция (МИ)'!$F$25:$F$603,$F205,'Калькуляция (МИ)'!$G$25:$G$603,$G205))))</f>
        <v>0</v>
      </c>
      <c r="AQ205" s="836">
        <f ca="1">IF(AND(method_reg="Метод индексации",god&lt;&gt;first_year),SUMIFS(INDEX('Калькуляция (МИ корр)'!$AJ$25:$BC$603,,MATCH(AQ$8,'Калькуляция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(МИ)'!$AJ$25:$BC$603,,MATCH(AQ$8,'Калькуляция (МИ)'!$AJ$8:$BC$8,0)),'Калькуляция (МИ)'!$F$25:$F$603,$F205,'Калькуляция (МИ)'!$G$25:$G$603,$G205))))</f>
        <v>0</v>
      </c>
      <c r="AR205" s="715">
        <f ca="1">IF(AP205=0,0,(AQ205-AP205)/AP205*100)</f>
        <v>0</v>
      </c>
      <c r="AS205" s="836">
        <f ca="1">IF(AND(method_reg="Метод индексации",god&lt;&gt;first_year),SUMIFS(INDEX('Калькуляция (МИ корр)'!$AJ$25:$BC$603,,MATCH(AS$8,'Калькуляция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(МИ)'!$AJ$25:$BC$603,,MATCH(AS$8,'Калькуляция (МИ)'!$AJ$8:$BC$8,0)),'Калькуляция (МИ)'!$F$25:$F$603,$F205,'Калькуляция (МИ)'!$G$25:$G$603,$G205))))</f>
        <v>0</v>
      </c>
      <c r="AT205" s="836">
        <f ca="1">IF(AND(method_reg="Метод индексации",god&lt;&gt;first_year),SUMIFS(INDEX('Калькуляция (МИ корр)'!$AJ$25:$BC$603,,MATCH(AT$8,'Калькуляция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(МИ)'!$AJ$25:$BC$603,,MATCH(AT$8,'Калькуляция (МИ)'!$AJ$8:$BC$8,0)),'Калькуляция (МИ)'!$F$25:$F$603,$F205,'Калькуляция (МИ)'!$G$25:$G$603,$G205))))</f>
        <v>0</v>
      </c>
      <c r="AU205" s="715">
        <f ca="1">IF(AS205=0,0,(AT205-AS205)/AS205*100)</f>
        <v>0</v>
      </c>
      <c r="AV205" s="836">
        <f ca="1">IF(AND(method_reg="Метод индексации",god&lt;&gt;first_year),SUMIFS(INDEX('Калькуляция (МИ корр)'!$AJ$25:$BC$603,,MATCH(AV$8,'Калькуляция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(МИ)'!$AJ$25:$BC$603,,MATCH(AV$8,'Калькуляция (МИ)'!$AJ$8:$BC$8,0)),'Калькуляция (МИ)'!$F$25:$F$603,$F205,'Калькуляция (МИ)'!$G$25:$G$603,$G205))))</f>
        <v>0</v>
      </c>
      <c r="AW205" s="836">
        <f ca="1">IF(AND(method_reg="Метод индексации",god&lt;&gt;first_year),SUMIFS(INDEX('Калькуляция (МИ корр)'!$AJ$25:$BC$603,,MATCH(AW$8,'Калькуляция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(МИ)'!$AJ$25:$BC$603,,MATCH(AW$8,'Калькуляция (МИ)'!$AJ$8:$BC$8,0)),'Калькуляция (МИ)'!$F$25:$F$603,$F205,'Калькуляция (МИ)'!$G$25:$G$603,$G205))))</f>
        <v>0</v>
      </c>
      <c r="AX205" s="715">
        <f ca="1">IF(AV205=0,0,(AW205-AV205)/AV205*100)</f>
        <v>0</v>
      </c>
      <c r="AY205" s="836">
        <f ca="1">IF(AND(method_reg="Метод индексации",god&lt;&gt;first_year),SUMIFS(INDEX('Калькуляция (МИ корр)'!$AJ$25:$BC$603,,MATCH(AY$8,'Калькуляция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(МИ)'!$AJ$25:$BC$603,,MATCH(AY$8,'Калькуляция (МИ)'!$AJ$8:$BC$8,0)),'Калькуляция (МИ)'!$F$25:$F$603,$F205,'Калькуляция (МИ)'!$G$25:$G$603,$G205))))</f>
        <v>0</v>
      </c>
      <c r="AZ205" s="836">
        <f ca="1">IF(AND(method_reg="Метод индексации",god&lt;&gt;first_year),SUMIFS(INDEX('Калькуляция (МИ корр)'!$AJ$25:$BC$603,,MATCH(AZ$8,'Калькуляция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(МИ)'!$AJ$25:$BC$603,,MATCH(AZ$8,'Калькуляция (МИ)'!$AJ$8:$BC$8,0)),'Калькуляция (МИ)'!$F$25:$F$603,$F205,'Калькуляция (МИ)'!$G$25:$G$603,$G205))))</f>
        <v>0</v>
      </c>
      <c r="BA205" s="715">
        <f ca="1">IF(AY205=0,0,(AZ205-AY205)/AY205*100)</f>
        <v>0</v>
      </c>
      <c r="BB205" s="836">
        <f ca="1">IF(AND(method_reg="Метод индексации",god&lt;&gt;first_year),SUMIFS(INDEX('Калькуляция (МИ корр)'!$AJ$25:$BC$603,,MATCH(BB$8,'Калькуляция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(МИ)'!$AJ$25:$BC$603,,MATCH(BB$8,'Калькуляция (МИ)'!$AJ$8:$BC$8,0)),'Калькуляция (МИ)'!$F$25:$F$603,$F205,'Калькуляция (МИ)'!$G$25:$G$603,$G205))))</f>
        <v>0</v>
      </c>
      <c r="BC205" s="836">
        <f ca="1">IF(AND(method_reg="Метод индексации",god&lt;&gt;first_year),SUMIFS(INDEX('Калькуляция (МИ корр)'!$AJ$25:$BC$603,,MATCH(BC$8,'Калькуляция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(МИ)'!$AJ$25:$BC$603,,MATCH(BC$8,'Калькуляция (МИ)'!$AJ$8:$BC$8,0)),'Калькуляция (МИ)'!$F$25:$F$603,$F205,'Калькуляция (МИ)'!$G$25:$G$603,$G205))))</f>
        <v>0</v>
      </c>
      <c r="BD205" s="715">
        <f ca="1">IF(BB205=0,0,(BC205-BB205)/BB205*100)</f>
        <v>0</v>
      </c>
      <c r="BE205" s="836">
        <f ca="1">IF(AND(method_reg="Метод индексации",god&lt;&gt;first_year),SUMIFS(INDEX('Калькуляция (МИ корр)'!$AJ$25:$BC$603,,MATCH(BE$8,'Калькуляция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(МИ)'!$AJ$25:$BC$603,,MATCH(BE$8,'Калькуляция (МИ)'!$AJ$8:$BC$8,0)),'Калькуляция (МИ)'!$F$25:$F$603,$F205,'Калькуляция (МИ)'!$G$25:$G$603,$G205))))</f>
        <v>0</v>
      </c>
      <c r="BF205" s="836">
        <f ca="1">IF(AND(method_reg="Метод индексации",god&lt;&gt;first_year),SUMIFS(INDEX('Калькуляция (МИ корр)'!$AJ$25:$BC$603,,MATCH(BF$8,'Калькуляция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(МИ)'!$AJ$25:$BC$603,,MATCH(BF$8,'Калькуляция (МИ)'!$AJ$8:$BC$8,0)),'Калькуляция (МИ)'!$F$25:$F$603,$F205,'Калькуляция (МИ)'!$G$25:$G$603,$G205))))</f>
        <v>0</v>
      </c>
      <c r="BG205" s="715">
        <f ca="1">IF(BE205=0,0,(BF205-BE205)/BE205*100)</f>
        <v>0</v>
      </c>
      <c r="BH205" s="836"/>
      <c r="BI205" s="836"/>
      <c r="BJ205" s="715">
        <f>IF(BH205=0,0,(BI205-BH205)/BH205*100)</f>
        <v>0</v>
      </c>
      <c r="BK205" s="836"/>
      <c r="BL205" s="836"/>
      <c r="BM205" s="715">
        <f>IF(BK205=0,0,(BL205-BK205)/BK205*100)</f>
        <v>0</v>
      </c>
      <c r="BN205" s="836"/>
      <c r="BO205" s="836"/>
      <c r="BP205" s="715">
        <f>IF(BN205=0,0,(BO205-BN205)/BN205*100)</f>
        <v>0</v>
      </c>
      <c r="BQ205" s="836"/>
      <c r="BR205" s="836"/>
      <c r="BS205" s="715">
        <f>IF(BQ205=0,0,(BR205-BQ205)/BQ205*100)</f>
        <v>0</v>
      </c>
      <c r="BT205" s="836"/>
      <c r="BU205" s="836"/>
      <c r="BV205" s="715">
        <f>IF(BT205=0,0,(BU205-BT205)/BT205*100)</f>
        <v>0</v>
      </c>
      <c r="BW205" s="836"/>
      <c r="BX205" s="836"/>
      <c r="BY205" s="715">
        <f>IF(BW205=0,0,(BX205-BW205)/BW205*100)</f>
        <v>0</v>
      </c>
      <c r="BZ205" s="836"/>
      <c r="CA205" s="836"/>
      <c r="CB205" s="715">
        <f>IF(BZ205=0,0,(CA205-BZ205)/BZ205*100)</f>
        <v>0</v>
      </c>
      <c r="CC205" s="836"/>
      <c r="CD205" s="836"/>
      <c r="CE205" s="715">
        <f>IF(CC205=0,0,(CD205-CC205)/CC205*100)</f>
        <v>0</v>
      </c>
      <c r="CF205" s="836"/>
      <c r="CG205" s="836"/>
      <c r="CH205" s="715">
        <f>IF(CF205=0,0,(CG205-CF205)/CF205*100)</f>
        <v>0</v>
      </c>
      <c r="CI205" s="836"/>
      <c r="CJ205" s="836"/>
      <c r="CK205" s="715">
        <f>IF(CI205=0,0,(CJ205-CI205)/CI205*100)</f>
        <v>0</v>
      </c>
      <c r="CL205" s="836"/>
      <c r="CM205" s="836"/>
      <c r="CN205" s="715">
        <f>IF(CL205=0,0,(CM205-CL205)/CL205*100)</f>
        <v>0</v>
      </c>
      <c r="CO205" s="836"/>
      <c r="CP205" s="836"/>
      <c r="CQ205" s="715">
        <f>IF(CO205=0,0,(CP205-CO205)/CO205*100)</f>
        <v>0</v>
      </c>
      <c r="CR205" s="836"/>
      <c r="CS205" s="836"/>
      <c r="CT205" s="715">
        <f>IF(CR205=0,0,(CS205-CR205)/CR205*100)</f>
        <v>0</v>
      </c>
      <c r="CU205" s="836"/>
      <c r="CV205" s="836"/>
      <c r="CW205" s="715">
        <f>IF(CU205=0,0,(CV205-CU205)/CU205*100)</f>
        <v>0</v>
      </c>
      <c r="CX205" s="836"/>
      <c r="CY205" s="836"/>
      <c r="CZ205" s="715">
        <f>IF(CX205=0,0,(CY205-CX205)/CX205*100)</f>
        <v>0</v>
      </c>
      <c r="DA205" s="836"/>
      <c r="DB205" s="836"/>
      <c r="DC205" s="715">
        <f>IF(DA205=0,0,(DB205-DA205)/DA205*100)</f>
        <v>0</v>
      </c>
      <c r="DD205" s="836"/>
      <c r="DE205" s="836"/>
      <c r="DF205" s="715">
        <f>IF(DD205=0,0,(DE205-DD205)/DD205*100)</f>
        <v>0</v>
      </c>
      <c r="DG205" s="836"/>
      <c r="DH205" s="836"/>
      <c r="DI205" s="715">
        <f>IF(DG205=0,0,(DH205-DG205)/DG205*100)</f>
        <v>0</v>
      </c>
      <c r="DJ205" s="836"/>
      <c r="DK205" s="836"/>
      <c r="DL205" s="715">
        <f>IF(DJ205=0,0,(DK205-DJ205)/DJ205*100)</f>
        <v>0</v>
      </c>
      <c r="DM205" s="836"/>
      <c r="DN205" s="836"/>
      <c r="DO205" s="715">
        <f>IF(DM205=0,0,(DN205-DM205)/DM205*100)</f>
        <v>0</v>
      </c>
      <c r="DP205" s="836"/>
      <c r="DQ205" s="836"/>
      <c r="DR205" s="715">
        <f>IF(DP205=0,0,(DQ205-DP205)/DP205*100)</f>
        <v>0</v>
      </c>
      <c r="DS205" s="836"/>
      <c r="DT205" s="836"/>
      <c r="DU205" s="715">
        <f>IF(DS205=0,0,(DT205-DS205)/DS205*100)</f>
        <v>0</v>
      </c>
      <c r="DV205" s="836"/>
      <c r="DW205" s="836"/>
      <c r="DX205" s="715">
        <f>IF(DV205=0,0,(DW205-DV205)/DV205*100)</f>
        <v>0</v>
      </c>
      <c r="DY205" s="836"/>
      <c r="DZ205" s="836"/>
      <c r="EA205" s="715">
        <f>IF(DY205=0,0,(DZ205-DY205)/DY205*100)</f>
        <v>0</v>
      </c>
      <c r="EB205" s="836"/>
      <c r="EC205" s="836"/>
      <c r="ED205" s="715">
        <f>IF(EB205=0,0,(EC205-EB205)/EB205*100)</f>
        <v>0</v>
      </c>
      <c r="EE205" s="836"/>
      <c r="EF205" s="836"/>
      <c r="EG205" s="715">
        <f>IF(EE205=0,0,(EF205-EE205)/EE205*100)</f>
        <v>0</v>
      </c>
      <c r="EH205" s="836"/>
      <c r="EI205" s="836"/>
      <c r="EJ205" s="715">
        <f>IF(EH205=0,0,(EI205-EH205)/EH205*100)</f>
        <v>0</v>
      </c>
      <c r="EK205" s="836"/>
      <c r="EL205" s="836"/>
      <c r="EM205" s="715">
        <f>IF(EK205=0,0,(EL205-EK205)/EK205*100)</f>
        <v>0</v>
      </c>
      <c r="EN205" s="836"/>
      <c r="EO205" s="836"/>
      <c r="EP205" s="715">
        <f>IF(EN205=0,0,(EO205-EN205)/EN205*100)</f>
        <v>0</v>
      </c>
      <c r="EQ205" s="836"/>
      <c r="ER205" s="836"/>
      <c r="ES205" s="715">
        <f>IF(EQ205=0,0,(ER205-EQ205)/EQ205*100)</f>
        <v>0</v>
      </c>
      <c r="ET205" s="836"/>
      <c r="EU205" s="836"/>
      <c r="EV205" s="715">
        <f>IF(ET205=0,0,(EU205-ET205)/ET205*100)</f>
        <v>0</v>
      </c>
      <c r="EW205" s="836"/>
      <c r="EX205" s="836"/>
      <c r="EY205" s="715">
        <f>IF(EW205=0,0,(EX205-EW205)/EW205*100)</f>
        <v>0</v>
      </c>
      <c r="EZ205" s="836"/>
      <c r="FA205" s="836"/>
      <c r="FB205" s="715">
        <f>IF(EZ205=0,0,(FA205-EZ205)/EZ205*100)</f>
        <v>0</v>
      </c>
      <c r="FC205" s="836"/>
      <c r="FD205" s="836"/>
      <c r="FE205" s="715">
        <f>IF(FC205=0,0,(FD205-FC205)/FC205*100)</f>
        <v>0</v>
      </c>
      <c r="FF205" s="836"/>
      <c r="FG205" s="836"/>
      <c r="FH205" s="715">
        <f>IF(FF205=0,0,(FG205-FF205)/FF205*100)</f>
        <v>0</v>
      </c>
      <c r="FI205" s="836"/>
      <c r="FJ205" s="836"/>
      <c r="FK205" s="715">
        <f>IF(FI205=0,0,(FJ205-FI205)/FI205*100)</f>
        <v>0</v>
      </c>
      <c r="FL205" s="836"/>
      <c r="FM205" s="836"/>
      <c r="FN205" s="715">
        <f>IF(FL205=0,0,(FM205-FL205)/FL205*100)</f>
        <v>0</v>
      </c>
      <c r="FO205" s="836"/>
      <c r="FP205" s="836"/>
      <c r="FQ205" s="715">
        <f>IF(FO205=0,0,(FP205-FO205)/FO205*100)</f>
        <v>0</v>
      </c>
      <c r="FR205" s="836"/>
      <c r="FS205" s="836"/>
      <c r="FT205" s="715">
        <f>IF(FR205=0,0,(FS205-FR205)/FR205*100)</f>
        <v>0</v>
      </c>
      <c r="FU205" s="836"/>
      <c r="FV205" s="836"/>
      <c r="FW205" s="715">
        <f>IF(FU205=0,0,(FV205-FU205)/FU205*100)</f>
        <v>0</v>
      </c>
      <c r="FX205" s="204"/>
      <c r="FZ205" s="691" t="s">
        <v>1655</v>
      </c>
    </row>
    <row r="206" spans="1:186" s="866" customFormat="1" ht="23.25" hidden="1" customHeight="1" x14ac:dyDescent="0.15">
      <c r="A206" s="594"/>
      <c r="B206" s="613" t="b" cm="1">
        <f t="array" ref="B206">B205</f>
        <v>0</v>
      </c>
      <c r="C206" s="594"/>
      <c r="D206" s="594"/>
      <c r="E206" s="595">
        <v>24.5</v>
      </c>
      <c r="F206" s="3" t="str" cm="1">
        <f t="array" aca="1" ref="F206" ca="1">OFFSET(E206,-1,1)</f>
        <v>3</v>
      </c>
      <c r="G206" s="25" t="s">
        <v>1656</v>
      </c>
      <c r="H206" s="59" t="s">
        <v>482</v>
      </c>
      <c r="I206" s="59" t="s">
        <v>1657</v>
      </c>
      <c r="J206" s="594"/>
      <c r="K206" s="594"/>
      <c r="L206" s="59"/>
      <c r="M206" s="594"/>
      <c r="N206" s="594"/>
      <c r="O206" s="594"/>
      <c r="P206" s="594"/>
      <c r="Q206" s="594"/>
      <c r="R206" s="59"/>
      <c r="S206" s="59"/>
      <c r="T206" s="353" t="b" cm="1">
        <f t="array" ref="T206">T205</f>
        <v>1</v>
      </c>
      <c r="U206" s="594"/>
      <c r="V206" s="594"/>
      <c r="W206" s="594"/>
      <c r="X206" s="1022"/>
      <c r="Y206" s="594"/>
      <c r="Z206" s="966"/>
      <c r="AA206" s="594"/>
      <c r="AB206" s="205" t="s">
        <v>1658</v>
      </c>
      <c r="AC206" s="206" t="s">
        <v>1644</v>
      </c>
      <c r="AD206" s="861">
        <f ca="1">IF(AND(method_reg="Метод индексации",god&lt;&gt;first_year),SUMIFS(INDEX('Калькуляция (МИ корр)'!$AJ$25:$BC$603,,MATCH(AD$8,'Калькуляция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(МИ)'!$AJ$25:$BC$603,,MATCH(AD$8,'Калькуляция (МИ)'!$AJ$8:$BC$8,0)),'Калькуляция (МИ)'!$F$25:$F$603,$F206,'Калькуляция (МИ)'!$G$25:$G$603,$G206))))</f>
        <v>0</v>
      </c>
      <c r="AE206" s="861">
        <f ca="1">IF(AND(method_reg="Метод индексации",god&lt;&gt;first_year),SUMIFS(INDEX('Калькуляция (МИ корр)'!$AJ$25:$BC$603,,MATCH(AE$8,'Калькуляция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(МИ)'!$AJ$25:$BC$603,,MATCH(AE$8,'Калькуляция (МИ)'!$AJ$8:$BC$8,0)),'Калькуляция (МИ)'!$F$25:$F$603,$F206,'Калькуляция (МИ)'!$G$25:$G$603,$G206))))</f>
        <v>0</v>
      </c>
      <c r="AF206" s="208">
        <f ca="1">IF(AD206=0,0,(AE206-AD206)/AD206*100)</f>
        <v>0</v>
      </c>
      <c r="AG206" s="861">
        <f ca="1">IF(AND(method_reg="Метод индексации",god&lt;&gt;first_year),SUMIFS(INDEX('Калькуляция (МИ корр)'!$AJ$25:$BC$603,,MATCH(AG$8,'Калькуляция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(МИ)'!$AJ$25:$BC$603,,MATCH(AG$8,'Калькуляция (МИ)'!$AJ$8:$BC$8,0)),'Калькуляция (МИ)'!$F$25:$F$603,$F206,'Калькуляция (МИ)'!$G$25:$G$603,$G206))))</f>
        <v>0</v>
      </c>
      <c r="AH206" s="861">
        <f ca="1">IF(AND(method_reg="Метод индексации",god&lt;&gt;first_year),SUMIFS(INDEX('Калькуляция (МИ корр)'!$AJ$25:$BC$603,,MATCH(AH$8,'Калькуляция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(МИ)'!$AJ$25:$BC$603,,MATCH(AH$8,'Калькуляция (МИ)'!$AJ$8:$BC$8,0)),'Калькуляция (МИ)'!$F$25:$F$603,$F206,'Калькуляция (МИ)'!$G$25:$G$603,$G206))))</f>
        <v>0</v>
      </c>
      <c r="AI206" s="208">
        <f ca="1">IF(AG206=0,0,(AH206-AG206)/AG206*100)</f>
        <v>0</v>
      </c>
      <c r="AJ206" s="861">
        <f ca="1">IF(AND(method_reg="Метод индексации",god&lt;&gt;first_year),SUMIFS(INDEX('Калькуляция (МИ корр)'!$AJ$25:$BC$603,,MATCH(AJ$8,'Калькуляция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(МИ)'!$AJ$25:$BC$603,,MATCH(AJ$8,'Калькуляция (МИ)'!$AJ$8:$BC$8,0)),'Калькуляция (МИ)'!$F$25:$F$603,$F206,'Калькуляция (МИ)'!$G$25:$G$603,$G206))))</f>
        <v>0</v>
      </c>
      <c r="AK206" s="861">
        <f ca="1">IF(AND(method_reg="Метод индексации",god&lt;&gt;first_year),SUMIFS(INDEX('Калькуляция (МИ корр)'!$AJ$25:$BC$603,,MATCH(AK$8,'Калькуляция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(МИ)'!$AJ$25:$BC$603,,MATCH(AK$8,'Калькуляция (МИ)'!$AJ$8:$BC$8,0)),'Калькуляция (МИ)'!$F$25:$F$603,$F206,'Калькуляция (МИ)'!$G$25:$G$603,$G206))))</f>
        <v>0</v>
      </c>
      <c r="AL206" s="208">
        <f ca="1">IF(AJ206=0,0,(AK206-AJ206)/AJ206*100)</f>
        <v>0</v>
      </c>
      <c r="AM206" s="861">
        <f ca="1">IF(AND(method_reg="Метод индексации",god&lt;&gt;first_year),SUMIFS(INDEX('Калькуляция (МИ корр)'!$AJ$25:$BC$603,,MATCH(AM$8,'Калькуляция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(МИ)'!$AJ$25:$BC$603,,MATCH(AM$8,'Калькуляция (МИ)'!$AJ$8:$BC$8,0)),'Калькуляция (МИ)'!$F$25:$F$603,$F206,'Калькуляция (МИ)'!$G$25:$G$603,$G206))))</f>
        <v>0</v>
      </c>
      <c r="AN206" s="861">
        <f ca="1">IF(AND(method_reg="Метод индексации",god&lt;&gt;first_year),SUMIFS(INDEX('Калькуляция (МИ корр)'!$AJ$25:$BC$603,,MATCH(AN$8,'Калькуляция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(МИ)'!$AJ$25:$BC$603,,MATCH(AN$8,'Калькуляция (МИ)'!$AJ$8:$BC$8,0)),'Калькуляция (МИ)'!$F$25:$F$603,$F206,'Калькуляция (МИ)'!$G$25:$G$603,$G206))))</f>
        <v>0</v>
      </c>
      <c r="AO206" s="208">
        <f ca="1">IF(AM206=0,0,(AN206-AM206)/AM206*100)</f>
        <v>0</v>
      </c>
      <c r="AP206" s="861">
        <f ca="1">IF(AND(method_reg="Метод индексации",god&lt;&gt;first_year),SUMIFS(INDEX('Калькуляция (МИ корр)'!$AJ$25:$BC$603,,MATCH(AP$8,'Калькуляция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(МИ)'!$AJ$25:$BC$603,,MATCH(AP$8,'Калькуляция (МИ)'!$AJ$8:$BC$8,0)),'Калькуляция (МИ)'!$F$25:$F$603,$F206,'Калькуляция (МИ)'!$G$25:$G$603,$G206))))</f>
        <v>0</v>
      </c>
      <c r="AQ206" s="861">
        <f ca="1">IF(AND(method_reg="Метод индексации",god&lt;&gt;first_year),SUMIFS(INDEX('Калькуляция (МИ корр)'!$AJ$25:$BC$603,,MATCH(AQ$8,'Калькуляция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(МИ)'!$AJ$25:$BC$603,,MATCH(AQ$8,'Калькуляция (МИ)'!$AJ$8:$BC$8,0)),'Калькуляция (МИ)'!$F$25:$F$603,$F206,'Калькуляция (МИ)'!$G$25:$G$603,$G206))))</f>
        <v>0</v>
      </c>
      <c r="AR206" s="208">
        <f ca="1">IF(AP206=0,0,(AQ206-AP206)/AP206*100)</f>
        <v>0</v>
      </c>
      <c r="AS206" s="861">
        <f ca="1">IF(AND(method_reg="Метод индексации",god&lt;&gt;first_year),SUMIFS(INDEX('Калькуляция (МИ корр)'!$AJ$25:$BC$603,,MATCH(AS$8,'Калькуляция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(МИ)'!$AJ$25:$BC$603,,MATCH(AS$8,'Калькуляция (МИ)'!$AJ$8:$BC$8,0)),'Калькуляция (МИ)'!$F$25:$F$603,$F206,'Калькуляция (МИ)'!$G$25:$G$603,$G206))))</f>
        <v>0</v>
      </c>
      <c r="AT206" s="861">
        <f ca="1">IF(AND(method_reg="Метод индексации",god&lt;&gt;first_year),SUMIFS(INDEX('Калькуляция (МИ корр)'!$AJ$25:$BC$603,,MATCH(AT$8,'Калькуляция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(МИ)'!$AJ$25:$BC$603,,MATCH(AT$8,'Калькуляция (МИ)'!$AJ$8:$BC$8,0)),'Калькуляция (МИ)'!$F$25:$F$603,$F206,'Калькуляция (МИ)'!$G$25:$G$603,$G206))))</f>
        <v>0</v>
      </c>
      <c r="AU206" s="208">
        <f ca="1">IF(AS206=0,0,(AT206-AS206)/AS206*100)</f>
        <v>0</v>
      </c>
      <c r="AV206" s="861">
        <f ca="1">IF(AND(method_reg="Метод индексации",god&lt;&gt;first_year),SUMIFS(INDEX('Калькуляция (МИ корр)'!$AJ$25:$BC$603,,MATCH(AV$8,'Калькуляция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(МИ)'!$AJ$25:$BC$603,,MATCH(AV$8,'Калькуляция (МИ)'!$AJ$8:$BC$8,0)),'Калькуляция (МИ)'!$F$25:$F$603,$F206,'Калькуляция (МИ)'!$G$25:$G$603,$G206))))</f>
        <v>0</v>
      </c>
      <c r="AW206" s="861">
        <f ca="1">IF(AND(method_reg="Метод индексации",god&lt;&gt;first_year),SUMIFS(INDEX('Калькуляция (МИ корр)'!$AJ$25:$BC$603,,MATCH(AW$8,'Калькуляция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(МИ)'!$AJ$25:$BC$603,,MATCH(AW$8,'Калькуляция (МИ)'!$AJ$8:$BC$8,0)),'Калькуляция (МИ)'!$F$25:$F$603,$F206,'Калькуляция (МИ)'!$G$25:$G$603,$G206))))</f>
        <v>0</v>
      </c>
      <c r="AX206" s="208">
        <f ca="1">IF(AV206=0,0,(AW206-AV206)/AV206*100)</f>
        <v>0</v>
      </c>
      <c r="AY206" s="861">
        <f ca="1">IF(AND(method_reg="Метод индексации",god&lt;&gt;first_year),SUMIFS(INDEX('Калькуляция (МИ корр)'!$AJ$25:$BC$603,,MATCH(AY$8,'Калькуляция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(МИ)'!$AJ$25:$BC$603,,MATCH(AY$8,'Калькуляция (МИ)'!$AJ$8:$BC$8,0)),'Калькуляция (МИ)'!$F$25:$F$603,$F206,'Калькуляция (МИ)'!$G$25:$G$603,$G206))))</f>
        <v>0</v>
      </c>
      <c r="AZ206" s="861">
        <f ca="1">IF(AND(method_reg="Метод индексации",god&lt;&gt;first_year),SUMIFS(INDEX('Калькуляция (МИ корр)'!$AJ$25:$BC$603,,MATCH(AZ$8,'Калькуляция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(МИ)'!$AJ$25:$BC$603,,MATCH(AZ$8,'Калькуляция (МИ)'!$AJ$8:$BC$8,0)),'Калькуляция (МИ)'!$F$25:$F$603,$F206,'Калькуляция (МИ)'!$G$25:$G$603,$G206))))</f>
        <v>0</v>
      </c>
      <c r="BA206" s="208">
        <f ca="1">IF(AY206=0,0,(AZ206-AY206)/AY206*100)</f>
        <v>0</v>
      </c>
      <c r="BB206" s="861">
        <f ca="1">IF(AND(method_reg="Метод индексации",god&lt;&gt;first_year),SUMIFS(INDEX('Калькуляция (МИ корр)'!$AJ$25:$BC$603,,MATCH(BB$8,'Калькуляция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(МИ)'!$AJ$25:$BC$603,,MATCH(BB$8,'Калькуляция (МИ)'!$AJ$8:$BC$8,0)),'Калькуляция (МИ)'!$F$25:$F$603,$F206,'Калькуляция (МИ)'!$G$25:$G$603,$G206))))</f>
        <v>0</v>
      </c>
      <c r="BC206" s="861">
        <f ca="1">IF(AND(method_reg="Метод индексации",god&lt;&gt;first_year),SUMIFS(INDEX('Калькуляция (МИ корр)'!$AJ$25:$BC$603,,MATCH(BC$8,'Калькуляция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(МИ)'!$AJ$25:$BC$603,,MATCH(BC$8,'Калькуляция (МИ)'!$AJ$8:$BC$8,0)),'Калькуляция (МИ)'!$F$25:$F$603,$F206,'Калькуляция (МИ)'!$G$25:$G$603,$G206))))</f>
        <v>0</v>
      </c>
      <c r="BD206" s="208">
        <f ca="1">IF(BB206=0,0,(BC206-BB206)/BB206*100)</f>
        <v>0</v>
      </c>
      <c r="BE206" s="861">
        <f ca="1">IF(AND(method_reg="Метод индексации",god&lt;&gt;first_year),SUMIFS(INDEX('Калькуляция (МИ корр)'!$AJ$25:$BC$603,,MATCH(BE$8,'Калькуляция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(МИ)'!$AJ$25:$BC$603,,MATCH(BE$8,'Калькуляция (МИ)'!$AJ$8:$BC$8,0)),'Калькуляция (МИ)'!$F$25:$F$603,$F206,'Калькуляция (МИ)'!$G$25:$G$603,$G206))))</f>
        <v>0</v>
      </c>
      <c r="BF206" s="861">
        <f ca="1">IF(AND(method_reg="Метод индексации",god&lt;&gt;first_year),SUMIFS(INDEX('Калькуляция (МИ корр)'!$AJ$25:$BC$603,,MATCH(BF$8,'Калькуляция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(МИ)'!$AJ$25:$BC$603,,MATCH(BF$8,'Калькуляция (МИ)'!$AJ$8:$BC$8,0)),'Калькуляция (МИ)'!$F$25:$F$603,$F206,'Калькуляция (МИ)'!$G$25:$G$603,$G206))))</f>
        <v>0</v>
      </c>
      <c r="BG206" s="208">
        <f ca="1">IF(BE206=0,0,(BF206-BE206)/BE206*100)</f>
        <v>0</v>
      </c>
      <c r="BH206" s="861"/>
      <c r="BI206" s="861"/>
      <c r="BJ206" s="208">
        <f>IF(BH206=0,0,(BI206-BH206)/BH206*100)</f>
        <v>0</v>
      </c>
      <c r="BK206" s="861"/>
      <c r="BL206" s="861"/>
      <c r="BM206" s="208">
        <f>IF(BK206=0,0,(BL206-BK206)/BK206*100)</f>
        <v>0</v>
      </c>
      <c r="BN206" s="861"/>
      <c r="BO206" s="861"/>
      <c r="BP206" s="208">
        <f>IF(BN206=0,0,(BO206-BN206)/BN206*100)</f>
        <v>0</v>
      </c>
      <c r="BQ206" s="861"/>
      <c r="BR206" s="861"/>
      <c r="BS206" s="208">
        <f>IF(BQ206=0,0,(BR206-BQ206)/BQ206*100)</f>
        <v>0</v>
      </c>
      <c r="BT206" s="861"/>
      <c r="BU206" s="861"/>
      <c r="BV206" s="208">
        <f>IF(BT206=0,0,(BU206-BT206)/BT206*100)</f>
        <v>0</v>
      </c>
      <c r="BW206" s="861"/>
      <c r="BX206" s="861"/>
      <c r="BY206" s="208">
        <f>IF(BW206=0,0,(BX206-BW206)/BW206*100)</f>
        <v>0</v>
      </c>
      <c r="BZ206" s="861"/>
      <c r="CA206" s="861"/>
      <c r="CB206" s="208">
        <f>IF(BZ206=0,0,(CA206-BZ206)/BZ206*100)</f>
        <v>0</v>
      </c>
      <c r="CC206" s="861"/>
      <c r="CD206" s="861"/>
      <c r="CE206" s="208">
        <f>IF(CC206=0,0,(CD206-CC206)/CC206*100)</f>
        <v>0</v>
      </c>
      <c r="CF206" s="861"/>
      <c r="CG206" s="861"/>
      <c r="CH206" s="208">
        <f>IF(CF206=0,0,(CG206-CF206)/CF206*100)</f>
        <v>0</v>
      </c>
      <c r="CI206" s="861"/>
      <c r="CJ206" s="861"/>
      <c r="CK206" s="208">
        <f>IF(CI206=0,0,(CJ206-CI206)/CI206*100)</f>
        <v>0</v>
      </c>
      <c r="CL206" s="861"/>
      <c r="CM206" s="861"/>
      <c r="CN206" s="208">
        <f>IF(CL206=0,0,(CM206-CL206)/CL206*100)</f>
        <v>0</v>
      </c>
      <c r="CO206" s="861"/>
      <c r="CP206" s="861"/>
      <c r="CQ206" s="208">
        <f>IF(CO206=0,0,(CP206-CO206)/CO206*100)</f>
        <v>0</v>
      </c>
      <c r="CR206" s="861"/>
      <c r="CS206" s="861"/>
      <c r="CT206" s="208">
        <f>IF(CR206=0,0,(CS206-CR206)/CR206*100)</f>
        <v>0</v>
      </c>
      <c r="CU206" s="861"/>
      <c r="CV206" s="861"/>
      <c r="CW206" s="208">
        <f>IF(CU206=0,0,(CV206-CU206)/CU206*100)</f>
        <v>0</v>
      </c>
      <c r="CX206" s="861"/>
      <c r="CY206" s="861"/>
      <c r="CZ206" s="208">
        <f>IF(CX206=0,0,(CY206-CX206)/CX206*100)</f>
        <v>0</v>
      </c>
      <c r="DA206" s="861"/>
      <c r="DB206" s="861"/>
      <c r="DC206" s="208">
        <f>IF(DA206=0,0,(DB206-DA206)/DA206*100)</f>
        <v>0</v>
      </c>
      <c r="DD206" s="861"/>
      <c r="DE206" s="861"/>
      <c r="DF206" s="208">
        <f>IF(DD206=0,0,(DE206-DD206)/DD206*100)</f>
        <v>0</v>
      </c>
      <c r="DG206" s="861"/>
      <c r="DH206" s="861"/>
      <c r="DI206" s="208">
        <f>IF(DG206=0,0,(DH206-DG206)/DG206*100)</f>
        <v>0</v>
      </c>
      <c r="DJ206" s="861"/>
      <c r="DK206" s="861"/>
      <c r="DL206" s="208">
        <f>IF(DJ206=0,0,(DK206-DJ206)/DJ206*100)</f>
        <v>0</v>
      </c>
      <c r="DM206" s="861"/>
      <c r="DN206" s="861"/>
      <c r="DO206" s="208">
        <f>IF(DM206=0,0,(DN206-DM206)/DM206*100)</f>
        <v>0</v>
      </c>
      <c r="DP206" s="861"/>
      <c r="DQ206" s="861"/>
      <c r="DR206" s="208">
        <f>IF(DP206=0,0,(DQ206-DP206)/DP206*100)</f>
        <v>0</v>
      </c>
      <c r="DS206" s="861"/>
      <c r="DT206" s="861"/>
      <c r="DU206" s="208">
        <f>IF(DS206=0,0,(DT206-DS206)/DS206*100)</f>
        <v>0</v>
      </c>
      <c r="DV206" s="861"/>
      <c r="DW206" s="861"/>
      <c r="DX206" s="208">
        <f>IF(DV206=0,0,(DW206-DV206)/DV206*100)</f>
        <v>0</v>
      </c>
      <c r="DY206" s="861"/>
      <c r="DZ206" s="861"/>
      <c r="EA206" s="208">
        <f>IF(DY206=0,0,(DZ206-DY206)/DY206*100)</f>
        <v>0</v>
      </c>
      <c r="EB206" s="861"/>
      <c r="EC206" s="861"/>
      <c r="ED206" s="208">
        <f>IF(EB206=0,0,(EC206-EB206)/EB206*100)</f>
        <v>0</v>
      </c>
      <c r="EE206" s="861"/>
      <c r="EF206" s="861"/>
      <c r="EG206" s="208">
        <f>IF(EE206=0,0,(EF206-EE206)/EE206*100)</f>
        <v>0</v>
      </c>
      <c r="EH206" s="861"/>
      <c r="EI206" s="861"/>
      <c r="EJ206" s="208">
        <f>IF(EH206=0,0,(EI206-EH206)/EH206*100)</f>
        <v>0</v>
      </c>
      <c r="EK206" s="861"/>
      <c r="EL206" s="861"/>
      <c r="EM206" s="208">
        <f>IF(EK206=0,0,(EL206-EK206)/EK206*100)</f>
        <v>0</v>
      </c>
      <c r="EN206" s="861"/>
      <c r="EO206" s="861"/>
      <c r="EP206" s="208">
        <f>IF(EN206=0,0,(EO206-EN206)/EN206*100)</f>
        <v>0</v>
      </c>
      <c r="EQ206" s="861"/>
      <c r="ER206" s="861"/>
      <c r="ES206" s="208">
        <f>IF(EQ206=0,0,(ER206-EQ206)/EQ206*100)</f>
        <v>0</v>
      </c>
      <c r="ET206" s="861"/>
      <c r="EU206" s="861"/>
      <c r="EV206" s="208">
        <f>IF(ET206=0,0,(EU206-ET206)/ET206*100)</f>
        <v>0</v>
      </c>
      <c r="EW206" s="861"/>
      <c r="EX206" s="861"/>
      <c r="EY206" s="208">
        <f>IF(EW206=0,0,(EX206-EW206)/EW206*100)</f>
        <v>0</v>
      </c>
      <c r="EZ206" s="861"/>
      <c r="FA206" s="861"/>
      <c r="FB206" s="208">
        <f>IF(EZ206=0,0,(FA206-EZ206)/EZ206*100)</f>
        <v>0</v>
      </c>
      <c r="FC206" s="861"/>
      <c r="FD206" s="861"/>
      <c r="FE206" s="208">
        <f>IF(FC206=0,0,(FD206-FC206)/FC206*100)</f>
        <v>0</v>
      </c>
      <c r="FF206" s="861"/>
      <c r="FG206" s="861"/>
      <c r="FH206" s="208">
        <f>IF(FF206=0,0,(FG206-FF206)/FF206*100)</f>
        <v>0</v>
      </c>
      <c r="FI206" s="861"/>
      <c r="FJ206" s="861"/>
      <c r="FK206" s="208">
        <f>IF(FI206=0,0,(FJ206-FI206)/FI206*100)</f>
        <v>0</v>
      </c>
      <c r="FL206" s="861"/>
      <c r="FM206" s="861"/>
      <c r="FN206" s="208">
        <f>IF(FL206=0,0,(FM206-FL206)/FL206*100)</f>
        <v>0</v>
      </c>
      <c r="FO206" s="861"/>
      <c r="FP206" s="861"/>
      <c r="FQ206" s="208">
        <f>IF(FO206=0,0,(FP206-FO206)/FO206*100)</f>
        <v>0</v>
      </c>
      <c r="FR206" s="861"/>
      <c r="FS206" s="861"/>
      <c r="FT206" s="208">
        <f>IF(FR206=0,0,(FS206-FR206)/FR206*100)</f>
        <v>0</v>
      </c>
      <c r="FU206" s="861"/>
      <c r="FV206" s="861"/>
      <c r="FW206" s="208">
        <f>IF(FU206=0,0,(FV206-FU206)/FU206*100)</f>
        <v>0</v>
      </c>
      <c r="FX206" s="204"/>
      <c r="FY206" s="204"/>
      <c r="FZ206" s="691" t="s">
        <v>1659</v>
      </c>
      <c r="GA206" s="691"/>
      <c r="GB206" s="691"/>
      <c r="GC206" s="692"/>
      <c r="GD206" s="692"/>
    </row>
    <row r="207" spans="1:186" s="866" customFormat="1" ht="23.25" hidden="1" customHeight="1" x14ac:dyDescent="0.15">
      <c r="A207" s="594"/>
      <c r="B207" s="613" t="b" cm="1">
        <f t="array" ref="B207">B206</f>
        <v>0</v>
      </c>
      <c r="C207" s="594"/>
      <c r="D207" s="594"/>
      <c r="E207" s="595">
        <v>24.5</v>
      </c>
      <c r="F207" s="3" t="str" cm="1">
        <f t="array" aca="1" ref="F207" ca="1">OFFSET(E207,-1,1)</f>
        <v>3</v>
      </c>
      <c r="G207" s="25" t="s">
        <v>1660</v>
      </c>
      <c r="H207" s="59" t="s">
        <v>482</v>
      </c>
      <c r="I207" s="59" t="s">
        <v>1661</v>
      </c>
      <c r="J207" s="594"/>
      <c r="K207" s="594"/>
      <c r="L207" s="59"/>
      <c r="M207" s="594"/>
      <c r="N207" s="594"/>
      <c r="O207" s="594"/>
      <c r="P207" s="594"/>
      <c r="Q207" s="594"/>
      <c r="R207" s="59"/>
      <c r="S207" s="59"/>
      <c r="T207" s="353" t="b" cm="1">
        <f t="array" ref="T207">T206</f>
        <v>1</v>
      </c>
      <c r="U207" s="594"/>
      <c r="V207" s="594"/>
      <c r="W207" s="594"/>
      <c r="X207" s="1022"/>
      <c r="Y207" s="594"/>
      <c r="Z207" s="966"/>
      <c r="AA207" s="594"/>
      <c r="AB207" s="713" t="s">
        <v>1662</v>
      </c>
      <c r="AC207" s="206" t="s">
        <v>1644</v>
      </c>
      <c r="AD207" s="861">
        <f ca="1">IF(AND(method_reg="Метод индексации",god&lt;&gt;first_year),SUMIFS(INDEX('Калькуляция (МИ корр)'!$AJ$25:$BC$603,,MATCH(AD$8,'Калькуляция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(МИ)'!$AJ$25:$BC$603,,MATCH(AD$8,'Калькуляция (МИ)'!$AJ$8:$BC$8,0)),'Калькуляция (МИ)'!$F$25:$F$603,$F207,'Калькуляция (МИ)'!$G$25:$G$603,$G207))))</f>
        <v>0</v>
      </c>
      <c r="AE207" s="861">
        <f ca="1">IF(AND(method_reg="Метод индексации",god&lt;&gt;first_year),SUMIFS(INDEX('Калькуляция (МИ корр)'!$AJ$25:$BC$603,,MATCH(AE$8,'Калькуляция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(МИ)'!$AJ$25:$BC$603,,MATCH(AE$8,'Калькуляция (МИ)'!$AJ$8:$BC$8,0)),'Калькуляция (МИ)'!$F$25:$F$603,$F207,'Калькуляция (МИ)'!$G$25:$G$603,$G207))))</f>
        <v>0</v>
      </c>
      <c r="AF207" s="208">
        <f ca="1">IF(AD207=0,0,(AE207-AD207)/AD207*100)</f>
        <v>0</v>
      </c>
      <c r="AG207" s="861">
        <f ca="1">IF(AND(method_reg="Метод индексации",god&lt;&gt;first_year),SUMIFS(INDEX('Калькуляция (МИ корр)'!$AJ$25:$BC$603,,MATCH(AG$8,'Калькуляция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(МИ)'!$AJ$25:$BC$603,,MATCH(AG$8,'Калькуляция (МИ)'!$AJ$8:$BC$8,0)),'Калькуляция (МИ)'!$F$25:$F$603,$F207,'Калькуляция (МИ)'!$G$25:$G$603,$G207))))</f>
        <v>0</v>
      </c>
      <c r="AH207" s="861">
        <f ca="1">IF(AND(method_reg="Метод индексации",god&lt;&gt;first_year),SUMIFS(INDEX('Калькуляция (МИ корр)'!$AJ$25:$BC$603,,MATCH(AH$8,'Калькуляция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(МИ)'!$AJ$25:$BC$603,,MATCH(AH$8,'Калькуляция (МИ)'!$AJ$8:$BC$8,0)),'Калькуляция (МИ)'!$F$25:$F$603,$F207,'Калькуляция (МИ)'!$G$25:$G$603,$G207))))</f>
        <v>0</v>
      </c>
      <c r="AI207" s="208">
        <f ca="1">IF(AG207=0,0,(AH207-AG207)/AG207*100)</f>
        <v>0</v>
      </c>
      <c r="AJ207" s="861">
        <f ca="1">IF(AND(method_reg="Метод индексации",god&lt;&gt;first_year),SUMIFS(INDEX('Калькуляция (МИ корр)'!$AJ$25:$BC$603,,MATCH(AJ$8,'Калькуляция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(МИ)'!$AJ$25:$BC$603,,MATCH(AJ$8,'Калькуляция (МИ)'!$AJ$8:$BC$8,0)),'Калькуляция (МИ)'!$F$25:$F$603,$F207,'Калькуляция (МИ)'!$G$25:$G$603,$G207))))</f>
        <v>0</v>
      </c>
      <c r="AK207" s="861">
        <f ca="1">IF(AND(method_reg="Метод индексации",god&lt;&gt;first_year),SUMIFS(INDEX('Калькуляция (МИ корр)'!$AJ$25:$BC$603,,MATCH(AK$8,'Калькуляция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(МИ)'!$AJ$25:$BC$603,,MATCH(AK$8,'Калькуляция (МИ)'!$AJ$8:$BC$8,0)),'Калькуляция (МИ)'!$F$25:$F$603,$F207,'Калькуляция (МИ)'!$G$25:$G$603,$G207))))</f>
        <v>0</v>
      </c>
      <c r="AL207" s="208">
        <f ca="1">IF(AJ207=0,0,(AK207-AJ207)/AJ207*100)</f>
        <v>0</v>
      </c>
      <c r="AM207" s="861">
        <f ca="1">IF(AND(method_reg="Метод индексации",god&lt;&gt;first_year),SUMIFS(INDEX('Калькуляция (МИ корр)'!$AJ$25:$BC$603,,MATCH(AM$8,'Калькуляция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(МИ)'!$AJ$25:$BC$603,,MATCH(AM$8,'Калькуляция (МИ)'!$AJ$8:$BC$8,0)),'Калькуляция (МИ)'!$F$25:$F$603,$F207,'Калькуляция (МИ)'!$G$25:$G$603,$G207))))</f>
        <v>0</v>
      </c>
      <c r="AN207" s="861">
        <f ca="1">IF(AND(method_reg="Метод индексации",god&lt;&gt;first_year),SUMIFS(INDEX('Калькуляция (МИ корр)'!$AJ$25:$BC$603,,MATCH(AN$8,'Калькуляция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(МИ)'!$AJ$25:$BC$603,,MATCH(AN$8,'Калькуляция (МИ)'!$AJ$8:$BC$8,0)),'Калькуляция (МИ)'!$F$25:$F$603,$F207,'Калькуляция (МИ)'!$G$25:$G$603,$G207))))</f>
        <v>0</v>
      </c>
      <c r="AO207" s="208">
        <f ca="1">IF(AM207=0,0,(AN207-AM207)/AM207*100)</f>
        <v>0</v>
      </c>
      <c r="AP207" s="861">
        <f ca="1">IF(AND(method_reg="Метод индексации",god&lt;&gt;first_year),SUMIFS(INDEX('Калькуляция (МИ корр)'!$AJ$25:$BC$603,,MATCH(AP$8,'Калькуляция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(МИ)'!$AJ$25:$BC$603,,MATCH(AP$8,'Калькуляция (МИ)'!$AJ$8:$BC$8,0)),'Калькуляция (МИ)'!$F$25:$F$603,$F207,'Калькуляция (МИ)'!$G$25:$G$603,$G207))))</f>
        <v>0</v>
      </c>
      <c r="AQ207" s="861">
        <f ca="1">IF(AND(method_reg="Метод индексации",god&lt;&gt;first_year),SUMIFS(INDEX('Калькуляция (МИ корр)'!$AJ$25:$BC$603,,MATCH(AQ$8,'Калькуляция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(МИ)'!$AJ$25:$BC$603,,MATCH(AQ$8,'Калькуляция (МИ)'!$AJ$8:$BC$8,0)),'Калькуляция (МИ)'!$F$25:$F$603,$F207,'Калькуляция (МИ)'!$G$25:$G$603,$G207))))</f>
        <v>0</v>
      </c>
      <c r="AR207" s="208">
        <f ca="1">IF(AP207=0,0,(AQ207-AP207)/AP207*100)</f>
        <v>0</v>
      </c>
      <c r="AS207" s="861">
        <f ca="1">IF(AND(method_reg="Метод индексации",god&lt;&gt;first_year),SUMIFS(INDEX('Калькуляция (МИ корр)'!$AJ$25:$BC$603,,MATCH(AS$8,'Калькуляция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(МИ)'!$AJ$25:$BC$603,,MATCH(AS$8,'Калькуляция (МИ)'!$AJ$8:$BC$8,0)),'Калькуляция (МИ)'!$F$25:$F$603,$F207,'Калькуляция (МИ)'!$G$25:$G$603,$G207))))</f>
        <v>0</v>
      </c>
      <c r="AT207" s="861">
        <f ca="1">IF(AND(method_reg="Метод индексации",god&lt;&gt;first_year),SUMIFS(INDEX('Калькуляция (МИ корр)'!$AJ$25:$BC$603,,MATCH(AT$8,'Калькуляция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(МИ)'!$AJ$25:$BC$603,,MATCH(AT$8,'Калькуляция (МИ)'!$AJ$8:$BC$8,0)),'Калькуляция (МИ)'!$F$25:$F$603,$F207,'Калькуляция (МИ)'!$G$25:$G$603,$G207))))</f>
        <v>0</v>
      </c>
      <c r="AU207" s="208">
        <f ca="1">IF(AS207=0,0,(AT207-AS207)/AS207*100)</f>
        <v>0</v>
      </c>
      <c r="AV207" s="861">
        <f ca="1">IF(AND(method_reg="Метод индексации",god&lt;&gt;first_year),SUMIFS(INDEX('Калькуляция (МИ корр)'!$AJ$25:$BC$603,,MATCH(AV$8,'Калькуляция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(МИ)'!$AJ$25:$BC$603,,MATCH(AV$8,'Калькуляция (МИ)'!$AJ$8:$BC$8,0)),'Калькуляция (МИ)'!$F$25:$F$603,$F207,'Калькуляция (МИ)'!$G$25:$G$603,$G207))))</f>
        <v>0</v>
      </c>
      <c r="AW207" s="861">
        <f ca="1">IF(AND(method_reg="Метод индексации",god&lt;&gt;first_year),SUMIFS(INDEX('Калькуляция (МИ корр)'!$AJ$25:$BC$603,,MATCH(AW$8,'Калькуляция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(МИ)'!$AJ$25:$BC$603,,MATCH(AW$8,'Калькуляция (МИ)'!$AJ$8:$BC$8,0)),'Калькуляция (МИ)'!$F$25:$F$603,$F207,'Калькуляция (МИ)'!$G$25:$G$603,$G207))))</f>
        <v>0</v>
      </c>
      <c r="AX207" s="208">
        <f ca="1">IF(AV207=0,0,(AW207-AV207)/AV207*100)</f>
        <v>0</v>
      </c>
      <c r="AY207" s="861">
        <f ca="1">IF(AND(method_reg="Метод индексации",god&lt;&gt;first_year),SUMIFS(INDEX('Калькуляция (МИ корр)'!$AJ$25:$BC$603,,MATCH(AY$8,'Калькуляция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(МИ)'!$AJ$25:$BC$603,,MATCH(AY$8,'Калькуляция (МИ)'!$AJ$8:$BC$8,0)),'Калькуляция (МИ)'!$F$25:$F$603,$F207,'Калькуляция (МИ)'!$G$25:$G$603,$G207))))</f>
        <v>0</v>
      </c>
      <c r="AZ207" s="861">
        <f ca="1">IF(AND(method_reg="Метод индексации",god&lt;&gt;first_year),SUMIFS(INDEX('Калькуляция (МИ корр)'!$AJ$25:$BC$603,,MATCH(AZ$8,'Калькуляция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(МИ)'!$AJ$25:$BC$603,,MATCH(AZ$8,'Калькуляция (МИ)'!$AJ$8:$BC$8,0)),'Калькуляция (МИ)'!$F$25:$F$603,$F207,'Калькуляция (МИ)'!$G$25:$G$603,$G207))))</f>
        <v>0</v>
      </c>
      <c r="BA207" s="208">
        <f ca="1">IF(AY207=0,0,(AZ207-AY207)/AY207*100)</f>
        <v>0</v>
      </c>
      <c r="BB207" s="861">
        <f ca="1">IF(AND(method_reg="Метод индексации",god&lt;&gt;first_year),SUMIFS(INDEX('Калькуляция (МИ корр)'!$AJ$25:$BC$603,,MATCH(BB$8,'Калькуляция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(МИ)'!$AJ$25:$BC$603,,MATCH(BB$8,'Калькуляция (МИ)'!$AJ$8:$BC$8,0)),'Калькуляция (МИ)'!$F$25:$F$603,$F207,'Калькуляция (МИ)'!$G$25:$G$603,$G207))))</f>
        <v>0</v>
      </c>
      <c r="BC207" s="861">
        <f ca="1">IF(AND(method_reg="Метод индексации",god&lt;&gt;first_year),SUMIFS(INDEX('Калькуляция (МИ корр)'!$AJ$25:$BC$603,,MATCH(BC$8,'Калькуляция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(МИ)'!$AJ$25:$BC$603,,MATCH(BC$8,'Калькуляция (МИ)'!$AJ$8:$BC$8,0)),'Калькуляция (МИ)'!$F$25:$F$603,$F207,'Калькуляция (МИ)'!$G$25:$G$603,$G207))))</f>
        <v>0</v>
      </c>
      <c r="BD207" s="208">
        <f ca="1">IF(BB207=0,0,(BC207-BB207)/BB207*100)</f>
        <v>0</v>
      </c>
      <c r="BE207" s="861">
        <f ca="1">IF(AND(method_reg="Метод индексации",god&lt;&gt;first_year),SUMIFS(INDEX('Калькуляция (МИ корр)'!$AJ$25:$BC$603,,MATCH(BE$8,'Калькуляция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(МИ)'!$AJ$25:$BC$603,,MATCH(BE$8,'Калькуляция (МИ)'!$AJ$8:$BC$8,0)),'Калькуляция (МИ)'!$F$25:$F$603,$F207,'Калькуляция (МИ)'!$G$25:$G$603,$G207))))</f>
        <v>0</v>
      </c>
      <c r="BF207" s="861">
        <f ca="1">IF(AND(method_reg="Метод индексации",god&lt;&gt;first_year),SUMIFS(INDEX('Калькуляция (МИ корр)'!$AJ$25:$BC$603,,MATCH(BF$8,'Калькуляция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(МИ)'!$AJ$25:$BC$603,,MATCH(BF$8,'Калькуляция (МИ)'!$AJ$8:$BC$8,0)),'Калькуляция (МИ)'!$F$25:$F$603,$F207,'Калькуляция (МИ)'!$G$25:$G$603,$G207))))</f>
        <v>0</v>
      </c>
      <c r="BG207" s="208">
        <f ca="1">IF(BE207=0,0,(BF207-BE207)/BE207*100)</f>
        <v>0</v>
      </c>
      <c r="BH207" s="861"/>
      <c r="BI207" s="861"/>
      <c r="BJ207" s="208">
        <f>IF(BH207=0,0,(BI207-BH207)/BH207*100)</f>
        <v>0</v>
      </c>
      <c r="BK207" s="861"/>
      <c r="BL207" s="861"/>
      <c r="BM207" s="208">
        <f>IF(BK207=0,0,(BL207-BK207)/BK207*100)</f>
        <v>0</v>
      </c>
      <c r="BN207" s="861"/>
      <c r="BO207" s="861"/>
      <c r="BP207" s="208">
        <f>IF(BN207=0,0,(BO207-BN207)/BN207*100)</f>
        <v>0</v>
      </c>
      <c r="BQ207" s="861"/>
      <c r="BR207" s="861"/>
      <c r="BS207" s="208">
        <f>IF(BQ207=0,0,(BR207-BQ207)/BQ207*100)</f>
        <v>0</v>
      </c>
      <c r="BT207" s="861"/>
      <c r="BU207" s="861"/>
      <c r="BV207" s="208">
        <f>IF(BT207=0,0,(BU207-BT207)/BT207*100)</f>
        <v>0</v>
      </c>
      <c r="BW207" s="861"/>
      <c r="BX207" s="861"/>
      <c r="BY207" s="208">
        <f>IF(BW207=0,0,(BX207-BW207)/BW207*100)</f>
        <v>0</v>
      </c>
      <c r="BZ207" s="861"/>
      <c r="CA207" s="861"/>
      <c r="CB207" s="208">
        <f>IF(BZ207=0,0,(CA207-BZ207)/BZ207*100)</f>
        <v>0</v>
      </c>
      <c r="CC207" s="861"/>
      <c r="CD207" s="861"/>
      <c r="CE207" s="208">
        <f>IF(CC207=0,0,(CD207-CC207)/CC207*100)</f>
        <v>0</v>
      </c>
      <c r="CF207" s="861"/>
      <c r="CG207" s="861"/>
      <c r="CH207" s="208">
        <f>IF(CF207=0,0,(CG207-CF207)/CF207*100)</f>
        <v>0</v>
      </c>
      <c r="CI207" s="861"/>
      <c r="CJ207" s="861"/>
      <c r="CK207" s="208">
        <f>IF(CI207=0,0,(CJ207-CI207)/CI207*100)</f>
        <v>0</v>
      </c>
      <c r="CL207" s="861"/>
      <c r="CM207" s="861"/>
      <c r="CN207" s="208">
        <f>IF(CL207=0,0,(CM207-CL207)/CL207*100)</f>
        <v>0</v>
      </c>
      <c r="CO207" s="861"/>
      <c r="CP207" s="861"/>
      <c r="CQ207" s="208">
        <f>IF(CO207=0,0,(CP207-CO207)/CO207*100)</f>
        <v>0</v>
      </c>
      <c r="CR207" s="861"/>
      <c r="CS207" s="861"/>
      <c r="CT207" s="208">
        <f>IF(CR207=0,0,(CS207-CR207)/CR207*100)</f>
        <v>0</v>
      </c>
      <c r="CU207" s="861"/>
      <c r="CV207" s="861"/>
      <c r="CW207" s="208">
        <f>IF(CU207=0,0,(CV207-CU207)/CU207*100)</f>
        <v>0</v>
      </c>
      <c r="CX207" s="861"/>
      <c r="CY207" s="861"/>
      <c r="CZ207" s="208">
        <f>IF(CX207=0,0,(CY207-CX207)/CX207*100)</f>
        <v>0</v>
      </c>
      <c r="DA207" s="861"/>
      <c r="DB207" s="861"/>
      <c r="DC207" s="208">
        <f>IF(DA207=0,0,(DB207-DA207)/DA207*100)</f>
        <v>0</v>
      </c>
      <c r="DD207" s="861"/>
      <c r="DE207" s="861"/>
      <c r="DF207" s="208">
        <f>IF(DD207=0,0,(DE207-DD207)/DD207*100)</f>
        <v>0</v>
      </c>
      <c r="DG207" s="861"/>
      <c r="DH207" s="861"/>
      <c r="DI207" s="208">
        <f>IF(DG207=0,0,(DH207-DG207)/DG207*100)</f>
        <v>0</v>
      </c>
      <c r="DJ207" s="861"/>
      <c r="DK207" s="861"/>
      <c r="DL207" s="208">
        <f>IF(DJ207=0,0,(DK207-DJ207)/DJ207*100)</f>
        <v>0</v>
      </c>
      <c r="DM207" s="861"/>
      <c r="DN207" s="861"/>
      <c r="DO207" s="208">
        <f>IF(DM207=0,0,(DN207-DM207)/DM207*100)</f>
        <v>0</v>
      </c>
      <c r="DP207" s="861"/>
      <c r="DQ207" s="861"/>
      <c r="DR207" s="208">
        <f>IF(DP207=0,0,(DQ207-DP207)/DP207*100)</f>
        <v>0</v>
      </c>
      <c r="DS207" s="861"/>
      <c r="DT207" s="861"/>
      <c r="DU207" s="208">
        <f>IF(DS207=0,0,(DT207-DS207)/DS207*100)</f>
        <v>0</v>
      </c>
      <c r="DV207" s="861"/>
      <c r="DW207" s="861"/>
      <c r="DX207" s="208">
        <f>IF(DV207=0,0,(DW207-DV207)/DV207*100)</f>
        <v>0</v>
      </c>
      <c r="DY207" s="861"/>
      <c r="DZ207" s="861"/>
      <c r="EA207" s="208">
        <f>IF(DY207=0,0,(DZ207-DY207)/DY207*100)</f>
        <v>0</v>
      </c>
      <c r="EB207" s="861"/>
      <c r="EC207" s="861"/>
      <c r="ED207" s="208">
        <f>IF(EB207=0,0,(EC207-EB207)/EB207*100)</f>
        <v>0</v>
      </c>
      <c r="EE207" s="861"/>
      <c r="EF207" s="861"/>
      <c r="EG207" s="208">
        <f>IF(EE207=0,0,(EF207-EE207)/EE207*100)</f>
        <v>0</v>
      </c>
      <c r="EH207" s="861"/>
      <c r="EI207" s="861"/>
      <c r="EJ207" s="208">
        <f>IF(EH207=0,0,(EI207-EH207)/EH207*100)</f>
        <v>0</v>
      </c>
      <c r="EK207" s="861"/>
      <c r="EL207" s="861"/>
      <c r="EM207" s="208">
        <f>IF(EK207=0,0,(EL207-EK207)/EK207*100)</f>
        <v>0</v>
      </c>
      <c r="EN207" s="861"/>
      <c r="EO207" s="861"/>
      <c r="EP207" s="208">
        <f>IF(EN207=0,0,(EO207-EN207)/EN207*100)</f>
        <v>0</v>
      </c>
      <c r="EQ207" s="861"/>
      <c r="ER207" s="861"/>
      <c r="ES207" s="208">
        <f>IF(EQ207=0,0,(ER207-EQ207)/EQ207*100)</f>
        <v>0</v>
      </c>
      <c r="ET207" s="861"/>
      <c r="EU207" s="861"/>
      <c r="EV207" s="208">
        <f>IF(ET207=0,0,(EU207-ET207)/ET207*100)</f>
        <v>0</v>
      </c>
      <c r="EW207" s="861"/>
      <c r="EX207" s="861"/>
      <c r="EY207" s="208">
        <f>IF(EW207=0,0,(EX207-EW207)/EW207*100)</f>
        <v>0</v>
      </c>
      <c r="EZ207" s="861"/>
      <c r="FA207" s="861"/>
      <c r="FB207" s="208">
        <f>IF(EZ207=0,0,(FA207-EZ207)/EZ207*100)</f>
        <v>0</v>
      </c>
      <c r="FC207" s="861"/>
      <c r="FD207" s="861"/>
      <c r="FE207" s="208">
        <f>IF(FC207=0,0,(FD207-FC207)/FC207*100)</f>
        <v>0</v>
      </c>
      <c r="FF207" s="861"/>
      <c r="FG207" s="861"/>
      <c r="FH207" s="208">
        <f>IF(FF207=0,0,(FG207-FF207)/FF207*100)</f>
        <v>0</v>
      </c>
      <c r="FI207" s="861"/>
      <c r="FJ207" s="861"/>
      <c r="FK207" s="208">
        <f>IF(FI207=0,0,(FJ207-FI207)/FI207*100)</f>
        <v>0</v>
      </c>
      <c r="FL207" s="861"/>
      <c r="FM207" s="861"/>
      <c r="FN207" s="208">
        <f>IF(FL207=0,0,(FM207-FL207)/FL207*100)</f>
        <v>0</v>
      </c>
      <c r="FO207" s="861"/>
      <c r="FP207" s="861"/>
      <c r="FQ207" s="208">
        <f>IF(FO207=0,0,(FP207-FO207)/FO207*100)</f>
        <v>0</v>
      </c>
      <c r="FR207" s="861"/>
      <c r="FS207" s="861"/>
      <c r="FT207" s="208">
        <f>IF(FR207=0,0,(FS207-FR207)/FR207*100)</f>
        <v>0</v>
      </c>
      <c r="FU207" s="861"/>
      <c r="FV207" s="861"/>
      <c r="FW207" s="208">
        <f>IF(FU207=0,0,(FV207-FU207)/FU207*100)</f>
        <v>0</v>
      </c>
      <c r="FX207" s="204"/>
      <c r="FY207" s="204"/>
      <c r="FZ207" s="691" t="s">
        <v>1663</v>
      </c>
      <c r="GA207" s="691"/>
      <c r="GB207" s="691"/>
      <c r="GC207" s="692"/>
      <c r="GD207" s="692"/>
    </row>
    <row r="208" spans="1:186" ht="14.25" hidden="1" customHeight="1" x14ac:dyDescent="0.15">
      <c r="A208" s="59"/>
      <c r="B208" s="613" t="b" cm="1">
        <f t="array" ref="B208">B207</f>
        <v>0</v>
      </c>
      <c r="C208" s="59"/>
      <c r="D208" s="59"/>
      <c r="E208" s="462">
        <v>15</v>
      </c>
      <c r="F208" s="3" t="str" cm="1">
        <f t="array" aca="1" ref="F208" ca="1">OFFSET(E208,-1,1)</f>
        <v>3</v>
      </c>
      <c r="G208" s="25"/>
      <c r="H208" s="59" t="s">
        <v>486</v>
      </c>
      <c r="I208" s="59" t="s">
        <v>1664</v>
      </c>
      <c r="J208" s="59"/>
      <c r="K208" s="59"/>
      <c r="L208" s="59"/>
      <c r="M208" s="59"/>
      <c r="N208" s="59"/>
      <c r="O208" s="59"/>
      <c r="P208" s="59"/>
      <c r="Q208" s="594"/>
      <c r="R208" s="59"/>
      <c r="S208" s="59"/>
      <c r="T208" s="353" t="b" cm="1">
        <f t="array" ref="T208">T207</f>
        <v>1</v>
      </c>
      <c r="U208" s="59"/>
      <c r="V208" s="59"/>
      <c r="W208" s="59"/>
      <c r="X208" s="1022"/>
      <c r="Y208" s="59"/>
      <c r="Z208" s="966"/>
      <c r="AA208" s="59"/>
      <c r="AB208" s="54" t="s">
        <v>1651</v>
      </c>
      <c r="AC208" s="12" t="s">
        <v>476</v>
      </c>
      <c r="AD208" s="620">
        <f ca="1">IF(AD206=0,0,AD207/AD206)*100</f>
        <v>0</v>
      </c>
      <c r="AE208" s="620">
        <f ca="1">IF(AE206=0,0,AE207/AE206)*100</f>
        <v>0</v>
      </c>
      <c r="AF208" s="714"/>
      <c r="AG208" s="620">
        <f ca="1">IF(AG206=0,0,AG207/AG206)*100</f>
        <v>0</v>
      </c>
      <c r="AH208" s="620">
        <f ca="1">IF(AH206=0,0,AH207/AH206)*100</f>
        <v>0</v>
      </c>
      <c r="AI208" s="714"/>
      <c r="AJ208" s="620">
        <f ca="1">IF(AJ206=0,0,AJ207/AJ206)*100</f>
        <v>0</v>
      </c>
      <c r="AK208" s="620">
        <f ca="1">IF(AK206=0,0,AK207/AK206)*100</f>
        <v>0</v>
      </c>
      <c r="AL208" s="714"/>
      <c r="AM208" s="620">
        <f ca="1">IF(AM206=0,0,AM207/AM206)*100</f>
        <v>0</v>
      </c>
      <c r="AN208" s="620">
        <f ca="1">IF(AN206=0,0,AN207/AN206)*100</f>
        <v>0</v>
      </c>
      <c r="AO208" s="714"/>
      <c r="AP208" s="620">
        <f ca="1">IF(AP206=0,0,AP207/AP206)*100</f>
        <v>0</v>
      </c>
      <c r="AQ208" s="620">
        <f ca="1">IF(AQ206=0,0,AQ207/AQ206)*100</f>
        <v>0</v>
      </c>
      <c r="AR208" s="714"/>
      <c r="AS208" s="620">
        <f ca="1">IF(AS206=0,0,AS207/AS206)*100</f>
        <v>0</v>
      </c>
      <c r="AT208" s="620">
        <f ca="1">IF(AT206=0,0,AT207/AT206)*100</f>
        <v>0</v>
      </c>
      <c r="AU208" s="714"/>
      <c r="AV208" s="620">
        <f ca="1">IF(AV206=0,0,AV207/AV206)*100</f>
        <v>0</v>
      </c>
      <c r="AW208" s="620">
        <f ca="1">IF(AW206=0,0,AW207/AW206)*100</f>
        <v>0</v>
      </c>
      <c r="AX208" s="714"/>
      <c r="AY208" s="620">
        <f ca="1">IF(AY206=0,0,AY207/AY206)*100</f>
        <v>0</v>
      </c>
      <c r="AZ208" s="620">
        <f ca="1">IF(AZ206=0,0,AZ207/AZ206)*100</f>
        <v>0</v>
      </c>
      <c r="BA208" s="714"/>
      <c r="BB208" s="620">
        <f ca="1">IF(BB206=0,0,BB207/BB206)*100</f>
        <v>0</v>
      </c>
      <c r="BC208" s="620">
        <f ca="1">IF(BC206=0,0,BC207/BC206)*100</f>
        <v>0</v>
      </c>
      <c r="BD208" s="714"/>
      <c r="BE208" s="620">
        <f ca="1">IF(BE206=0,0,BE207/BE206)*100</f>
        <v>0</v>
      </c>
      <c r="BF208" s="620">
        <f ca="1">IF(BF206=0,0,BF207/BF206)*100</f>
        <v>0</v>
      </c>
      <c r="BG208" s="714"/>
      <c r="BH208" s="620">
        <f>IF(BH206=0,0,BH207/BH206)*100</f>
        <v>0</v>
      </c>
      <c r="BI208" s="620">
        <f>IF(BI206=0,0,BI207/BI206)*100</f>
        <v>0</v>
      </c>
      <c r="BJ208" s="714"/>
      <c r="BK208" s="620">
        <f>IF(BK206=0,0,BK207/BK206)*100</f>
        <v>0</v>
      </c>
      <c r="BL208" s="620">
        <f>IF(BL206=0,0,BL207/BL206)*100</f>
        <v>0</v>
      </c>
      <c r="BM208" s="714"/>
      <c r="BN208" s="620">
        <f>IF(BN206=0,0,BN207/BN206)*100</f>
        <v>0</v>
      </c>
      <c r="BO208" s="620">
        <f>IF(BO206=0,0,BO207/BO206)*100</f>
        <v>0</v>
      </c>
      <c r="BP208" s="714"/>
      <c r="BQ208" s="620">
        <f>IF(BQ206=0,0,BQ207/BQ206)*100</f>
        <v>0</v>
      </c>
      <c r="BR208" s="620">
        <f>IF(BR206=0,0,BR207/BR206)*100</f>
        <v>0</v>
      </c>
      <c r="BS208" s="714"/>
      <c r="BT208" s="620">
        <f>IF(BT206=0,0,BT207/BT206)*100</f>
        <v>0</v>
      </c>
      <c r="BU208" s="620">
        <f>IF(BU206=0,0,BU207/BU206)*100</f>
        <v>0</v>
      </c>
      <c r="BV208" s="714"/>
      <c r="BW208" s="620">
        <f>IF(BW206=0,0,BW207/BW206)*100</f>
        <v>0</v>
      </c>
      <c r="BX208" s="620">
        <f>IF(BX206=0,0,BX207/BX206)*100</f>
        <v>0</v>
      </c>
      <c r="BY208" s="714"/>
      <c r="BZ208" s="620">
        <f>IF(BZ206=0,0,BZ207/BZ206)*100</f>
        <v>0</v>
      </c>
      <c r="CA208" s="620">
        <f>IF(CA206=0,0,CA207/CA206)*100</f>
        <v>0</v>
      </c>
      <c r="CB208" s="714"/>
      <c r="CC208" s="620">
        <f>IF(CC206=0,0,CC207/CC206)*100</f>
        <v>0</v>
      </c>
      <c r="CD208" s="620">
        <f>IF(CD206=0,0,CD207/CD206)*100</f>
        <v>0</v>
      </c>
      <c r="CE208" s="714"/>
      <c r="CF208" s="620">
        <f>IF(CF206=0,0,CF207/CF206)*100</f>
        <v>0</v>
      </c>
      <c r="CG208" s="620">
        <f>IF(CG206=0,0,CG207/CG206)*100</f>
        <v>0</v>
      </c>
      <c r="CH208" s="714"/>
      <c r="CI208" s="620">
        <f>IF(CI206=0,0,CI207/CI206)*100</f>
        <v>0</v>
      </c>
      <c r="CJ208" s="620">
        <f>IF(CJ206=0,0,CJ207/CJ206)*100</f>
        <v>0</v>
      </c>
      <c r="CK208" s="714"/>
      <c r="CL208" s="620">
        <f>IF(CL206=0,0,CL207/CL206)*100</f>
        <v>0</v>
      </c>
      <c r="CM208" s="620">
        <f>IF(CM206=0,0,CM207/CM206)*100</f>
        <v>0</v>
      </c>
      <c r="CN208" s="714"/>
      <c r="CO208" s="620">
        <f>IF(CO206=0,0,CO207/CO206)*100</f>
        <v>0</v>
      </c>
      <c r="CP208" s="620">
        <f>IF(CP206=0,0,CP207/CP206)*100</f>
        <v>0</v>
      </c>
      <c r="CQ208" s="714"/>
      <c r="CR208" s="620">
        <f>IF(CR206=0,0,CR207/CR206)*100</f>
        <v>0</v>
      </c>
      <c r="CS208" s="620">
        <f>IF(CS206=0,0,CS207/CS206)*100</f>
        <v>0</v>
      </c>
      <c r="CT208" s="714"/>
      <c r="CU208" s="620">
        <f>IF(CU206=0,0,CU207/CU206)*100</f>
        <v>0</v>
      </c>
      <c r="CV208" s="620">
        <f>IF(CV206=0,0,CV207/CV206)*100</f>
        <v>0</v>
      </c>
      <c r="CW208" s="714"/>
      <c r="CX208" s="620">
        <f>IF(CX206=0,0,CX207/CX206)*100</f>
        <v>0</v>
      </c>
      <c r="CY208" s="620">
        <f>IF(CY206=0,0,CY207/CY206)*100</f>
        <v>0</v>
      </c>
      <c r="CZ208" s="714"/>
      <c r="DA208" s="620">
        <f>IF(DA206=0,0,DA207/DA206)*100</f>
        <v>0</v>
      </c>
      <c r="DB208" s="620">
        <f>IF(DB206=0,0,DB207/DB206)*100</f>
        <v>0</v>
      </c>
      <c r="DC208" s="714"/>
      <c r="DD208" s="620">
        <f>IF(DD206=0,0,DD207/DD206)*100</f>
        <v>0</v>
      </c>
      <c r="DE208" s="620">
        <f>IF(DE206=0,0,DE207/DE206)*100</f>
        <v>0</v>
      </c>
      <c r="DF208" s="714"/>
      <c r="DG208" s="620">
        <f>IF(DG206=0,0,DG207/DG206)*100</f>
        <v>0</v>
      </c>
      <c r="DH208" s="620">
        <f>IF(DH206=0,0,DH207/DH206)*100</f>
        <v>0</v>
      </c>
      <c r="DI208" s="714"/>
      <c r="DJ208" s="620">
        <f>IF(DJ206=0,0,DJ207/DJ206)*100</f>
        <v>0</v>
      </c>
      <c r="DK208" s="620">
        <f>IF(DK206=0,0,DK207/DK206)*100</f>
        <v>0</v>
      </c>
      <c r="DL208" s="714"/>
      <c r="DM208" s="620">
        <f>IF(DM206=0,0,DM207/DM206)*100</f>
        <v>0</v>
      </c>
      <c r="DN208" s="620">
        <f>IF(DN206=0,0,DN207/DN206)*100</f>
        <v>0</v>
      </c>
      <c r="DO208" s="714"/>
      <c r="DP208" s="620">
        <f>IF(DP206=0,0,DP207/DP206)*100</f>
        <v>0</v>
      </c>
      <c r="DQ208" s="620">
        <f>IF(DQ206=0,0,DQ207/DQ206)*100</f>
        <v>0</v>
      </c>
      <c r="DR208" s="714"/>
      <c r="DS208" s="620">
        <f>IF(DS206=0,0,DS207/DS206)*100</f>
        <v>0</v>
      </c>
      <c r="DT208" s="620">
        <f>IF(DT206=0,0,DT207/DT206)*100</f>
        <v>0</v>
      </c>
      <c r="DU208" s="714"/>
      <c r="DV208" s="620">
        <f>IF(DV206=0,0,DV207/DV206)*100</f>
        <v>0</v>
      </c>
      <c r="DW208" s="620">
        <f>IF(DW206=0,0,DW207/DW206)*100</f>
        <v>0</v>
      </c>
      <c r="DX208" s="714"/>
      <c r="DY208" s="620">
        <f>IF(DY206=0,0,DY207/DY206)*100</f>
        <v>0</v>
      </c>
      <c r="DZ208" s="620">
        <f>IF(DZ206=0,0,DZ207/DZ206)*100</f>
        <v>0</v>
      </c>
      <c r="EA208" s="714"/>
      <c r="EB208" s="620">
        <f>IF(EB206=0,0,EB207/EB206)*100</f>
        <v>0</v>
      </c>
      <c r="EC208" s="620">
        <f>IF(EC206=0,0,EC207/EC206)*100</f>
        <v>0</v>
      </c>
      <c r="ED208" s="714"/>
      <c r="EE208" s="620">
        <f>IF(EE206=0,0,EE207/EE206)*100</f>
        <v>0</v>
      </c>
      <c r="EF208" s="620">
        <f>IF(EF206=0,0,EF207/EF206)*100</f>
        <v>0</v>
      </c>
      <c r="EG208" s="714"/>
      <c r="EH208" s="620">
        <f>IF(EH206=0,0,EH207/EH206)*100</f>
        <v>0</v>
      </c>
      <c r="EI208" s="620">
        <f>IF(EI206=0,0,EI207/EI206)*100</f>
        <v>0</v>
      </c>
      <c r="EJ208" s="714"/>
      <c r="EK208" s="620">
        <f>IF(EK206=0,0,EK207/EK206)*100</f>
        <v>0</v>
      </c>
      <c r="EL208" s="620">
        <f>IF(EL206=0,0,EL207/EL206)*100</f>
        <v>0</v>
      </c>
      <c r="EM208" s="714"/>
      <c r="EN208" s="620">
        <f>IF(EN206=0,0,EN207/EN206)*100</f>
        <v>0</v>
      </c>
      <c r="EO208" s="620">
        <f>IF(EO206=0,0,EO207/EO206)*100</f>
        <v>0</v>
      </c>
      <c r="EP208" s="714"/>
      <c r="EQ208" s="620">
        <f>IF(EQ206=0,0,EQ207/EQ206)*100</f>
        <v>0</v>
      </c>
      <c r="ER208" s="620">
        <f>IF(ER206=0,0,ER207/ER206)*100</f>
        <v>0</v>
      </c>
      <c r="ES208" s="714"/>
      <c r="ET208" s="620">
        <f>IF(ET206=0,0,ET207/ET206)*100</f>
        <v>0</v>
      </c>
      <c r="EU208" s="620">
        <f>IF(EU206=0,0,EU207/EU206)*100</f>
        <v>0</v>
      </c>
      <c r="EV208" s="714"/>
      <c r="EW208" s="620">
        <f>IF(EW206=0,0,EW207/EW206)*100</f>
        <v>0</v>
      </c>
      <c r="EX208" s="620">
        <f>IF(EX206=0,0,EX207/EX206)*100</f>
        <v>0</v>
      </c>
      <c r="EY208" s="714"/>
      <c r="EZ208" s="620">
        <f>IF(EZ206=0,0,EZ207/EZ206)*100</f>
        <v>0</v>
      </c>
      <c r="FA208" s="620">
        <f>IF(FA206=0,0,FA207/FA206)*100</f>
        <v>0</v>
      </c>
      <c r="FB208" s="714"/>
      <c r="FC208" s="620">
        <f>IF(FC206=0,0,FC207/FC206)*100</f>
        <v>0</v>
      </c>
      <c r="FD208" s="620">
        <f>IF(FD206=0,0,FD207/FD206)*100</f>
        <v>0</v>
      </c>
      <c r="FE208" s="714"/>
      <c r="FF208" s="620">
        <f>IF(FF206=0,0,FF207/FF206)*100</f>
        <v>0</v>
      </c>
      <c r="FG208" s="620">
        <f>IF(FG206=0,0,FG207/FG206)*100</f>
        <v>0</v>
      </c>
      <c r="FH208" s="714"/>
      <c r="FI208" s="620">
        <f>IF(FI206=0,0,FI207/FI206)*100</f>
        <v>0</v>
      </c>
      <c r="FJ208" s="620">
        <f>IF(FJ206=0,0,FJ207/FJ206)*100</f>
        <v>0</v>
      </c>
      <c r="FK208" s="714"/>
      <c r="FL208" s="620">
        <f>IF(FL206=0,0,FL207/FL206)*100</f>
        <v>0</v>
      </c>
      <c r="FM208" s="620">
        <f>IF(FM206=0,0,FM207/FM206)*100</f>
        <v>0</v>
      </c>
      <c r="FN208" s="714"/>
      <c r="FO208" s="620">
        <f>IF(FO206=0,0,FO207/FO206)*100</f>
        <v>0</v>
      </c>
      <c r="FP208" s="620">
        <f>IF(FP206=0,0,FP207/FP206)*100</f>
        <v>0</v>
      </c>
      <c r="FQ208" s="714"/>
      <c r="FR208" s="620">
        <f>IF(FR206=0,0,FR207/FR206)*100</f>
        <v>0</v>
      </c>
      <c r="FS208" s="620">
        <f>IF(FS206=0,0,FS207/FS206)*100</f>
        <v>0</v>
      </c>
      <c r="FT208" s="714"/>
      <c r="FU208" s="620">
        <f>IF(FU206=0,0,FU207/FU206)*100</f>
        <v>0</v>
      </c>
      <c r="FV208" s="620">
        <f>IF(FV206=0,0,FV207/FV206)*100</f>
        <v>0</v>
      </c>
      <c r="FW208" s="714"/>
      <c r="FX208" s="204"/>
      <c r="FZ208" s="691" t="s">
        <v>1665</v>
      </c>
    </row>
    <row r="209" spans="1:186" ht="14.25" hidden="1" customHeight="1" x14ac:dyDescent="0.15">
      <c r="A209" s="59"/>
      <c r="B209" s="613" t="b" cm="1">
        <f t="array" ref="B209">B208</f>
        <v>0</v>
      </c>
      <c r="C209" s="59"/>
      <c r="D209" s="59"/>
      <c r="E209" s="462">
        <v>15</v>
      </c>
      <c r="F209" s="3" t="str" cm="1">
        <f t="array" aca="1" ref="F209" ca="1">OFFSET(E209,-1,1)</f>
        <v>3</v>
      </c>
      <c r="G209" s="25" t="s">
        <v>1666</v>
      </c>
      <c r="H209" s="59" t="s">
        <v>489</v>
      </c>
      <c r="I209" s="59" t="s">
        <v>1664</v>
      </c>
      <c r="J209" s="59"/>
      <c r="K209" s="59"/>
      <c r="L209" s="59"/>
      <c r="M209" s="59"/>
      <c r="N209" s="59"/>
      <c r="O209" s="59"/>
      <c r="P209" s="59"/>
      <c r="Q209" s="594"/>
      <c r="R209" s="59"/>
      <c r="S209" s="59"/>
      <c r="T209" s="353" t="b" cm="1">
        <f t="array" ref="T209">T208</f>
        <v>1</v>
      </c>
      <c r="U209" s="59"/>
      <c r="V209" s="59"/>
      <c r="W209" s="59"/>
      <c r="X209" s="1022"/>
      <c r="Y209" s="59"/>
      <c r="Z209" s="966"/>
      <c r="AA209" s="59"/>
      <c r="AB209" s="54" t="s">
        <v>1667</v>
      </c>
      <c r="AC209" s="12" t="s">
        <v>558</v>
      </c>
      <c r="AD209" s="836">
        <f ca="1">IF(AND(method_reg="Метод индексации",god&lt;&gt;first_year),SUMIFS(INDEX('Калькуляция (МИ корр)'!$AJ$25:$BC$603,,MATCH(AD$8,'Калькуляция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(МИ)'!$AJ$25:$BC$603,,MATCH(AD$8,'Калькуляция (МИ)'!$AJ$8:$BC$8,0)),'Калькуляция (МИ)'!$F$25:$F$603,$F209,'Калькуляция (МИ)'!$G$25:$G$603,$G209))))</f>
        <v>0</v>
      </c>
      <c r="AE209" s="836">
        <f ca="1">IF(AND(method_reg="Метод индексации",god&lt;&gt;first_year),SUMIFS(INDEX('Калькуляция (МИ корр)'!$AJ$25:$BC$603,,MATCH(AE$8,'Калькуляция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(МИ)'!$AJ$25:$BC$603,,MATCH(AE$8,'Калькуляция (МИ)'!$AJ$8:$BC$8,0)),'Калькуляция (МИ)'!$F$25:$F$603,$F209,'Калькуляция (МИ)'!$G$25:$G$603,$G209))))</f>
        <v>0</v>
      </c>
      <c r="AF209" s="715">
        <f ca="1">IF(AD209=0,0,(AE209-AD209)/AD209*100)</f>
        <v>0</v>
      </c>
      <c r="AG209" s="836">
        <f ca="1">IF(AND(method_reg="Метод индексации",god&lt;&gt;first_year),SUMIFS(INDEX('Калькуляция (МИ корр)'!$AJ$25:$BC$603,,MATCH(AG$8,'Калькуляция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(МИ)'!$AJ$25:$BC$603,,MATCH(AG$8,'Калькуляция (МИ)'!$AJ$8:$BC$8,0)),'Калькуляция (МИ)'!$F$25:$F$603,$F209,'Калькуляция (МИ)'!$G$25:$G$603,$G209))))</f>
        <v>0</v>
      </c>
      <c r="AH209" s="836">
        <f ca="1">IF(AND(method_reg="Метод индексации",god&lt;&gt;first_year),SUMIFS(INDEX('Калькуляция (МИ корр)'!$AJ$25:$BC$603,,MATCH(AH$8,'Калькуляция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(МИ)'!$AJ$25:$BC$603,,MATCH(AH$8,'Калькуляция (МИ)'!$AJ$8:$BC$8,0)),'Калькуляция (МИ)'!$F$25:$F$603,$F209,'Калькуляция (МИ)'!$G$25:$G$603,$G209))))</f>
        <v>0</v>
      </c>
      <c r="AI209" s="715">
        <f ca="1">IF(AG209=0,0,(AH209-AG209)/AG209*100)</f>
        <v>0</v>
      </c>
      <c r="AJ209" s="836">
        <f ca="1">IF(AND(method_reg="Метод индексации",god&lt;&gt;first_year),SUMIFS(INDEX('Калькуляция (МИ корр)'!$AJ$25:$BC$603,,MATCH(AJ$8,'Калькуляция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(МИ)'!$AJ$25:$BC$603,,MATCH(AJ$8,'Калькуляция (МИ)'!$AJ$8:$BC$8,0)),'Калькуляция (МИ)'!$F$25:$F$603,$F209,'Калькуляция (МИ)'!$G$25:$G$603,$G209))))</f>
        <v>0</v>
      </c>
      <c r="AK209" s="836">
        <f ca="1">IF(AND(method_reg="Метод индексации",god&lt;&gt;first_year),SUMIFS(INDEX('Калькуляция (МИ корр)'!$AJ$25:$BC$603,,MATCH(AK$8,'Калькуляция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(МИ)'!$AJ$25:$BC$603,,MATCH(AK$8,'Калькуляция (МИ)'!$AJ$8:$BC$8,0)),'Калькуляция (МИ)'!$F$25:$F$603,$F209,'Калькуляция (МИ)'!$G$25:$G$603,$G209))))</f>
        <v>0</v>
      </c>
      <c r="AL209" s="715">
        <f ca="1">IF(AJ209=0,0,(AK209-AJ209)/AJ209*100)</f>
        <v>0</v>
      </c>
      <c r="AM209" s="836">
        <f ca="1">IF(AND(method_reg="Метод индексации",god&lt;&gt;first_year),SUMIFS(INDEX('Калькуляция (МИ корр)'!$AJ$25:$BC$603,,MATCH(AM$8,'Калькуляция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(МИ)'!$AJ$25:$BC$603,,MATCH(AM$8,'Калькуляция (МИ)'!$AJ$8:$BC$8,0)),'Калькуляция (МИ)'!$F$25:$F$603,$F209,'Калькуляция (МИ)'!$G$25:$G$603,$G209))))</f>
        <v>0</v>
      </c>
      <c r="AN209" s="836">
        <f ca="1">IF(AND(method_reg="Метод индексации",god&lt;&gt;first_year),SUMIFS(INDEX('Калькуляция (МИ корр)'!$AJ$25:$BC$603,,MATCH(AN$8,'Калькуляция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(МИ)'!$AJ$25:$BC$603,,MATCH(AN$8,'Калькуляция (МИ)'!$AJ$8:$BC$8,0)),'Калькуляция (МИ)'!$F$25:$F$603,$F209,'Калькуляция (МИ)'!$G$25:$G$603,$G209))))</f>
        <v>0</v>
      </c>
      <c r="AO209" s="715">
        <f ca="1">IF(AM209=0,0,(AN209-AM209)/AM209*100)</f>
        <v>0</v>
      </c>
      <c r="AP209" s="836">
        <f ca="1">IF(AND(method_reg="Метод индексации",god&lt;&gt;first_year),SUMIFS(INDEX('Калькуляция (МИ корр)'!$AJ$25:$BC$603,,MATCH(AP$8,'Калькуляция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(МИ)'!$AJ$25:$BC$603,,MATCH(AP$8,'Калькуляция (МИ)'!$AJ$8:$BC$8,0)),'Калькуляция (МИ)'!$F$25:$F$603,$F209,'Калькуляция (МИ)'!$G$25:$G$603,$G209))))</f>
        <v>0</v>
      </c>
      <c r="AQ209" s="836">
        <f ca="1">IF(AND(method_reg="Метод индексации",god&lt;&gt;first_year),SUMIFS(INDEX('Калькуляция (МИ корр)'!$AJ$25:$BC$603,,MATCH(AQ$8,'Калькуляция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(МИ)'!$AJ$25:$BC$603,,MATCH(AQ$8,'Калькуляция (МИ)'!$AJ$8:$BC$8,0)),'Калькуляция (МИ)'!$F$25:$F$603,$F209,'Калькуляция (МИ)'!$G$25:$G$603,$G209))))</f>
        <v>0</v>
      </c>
      <c r="AR209" s="715">
        <f ca="1">IF(AP209=0,0,(AQ209-AP209)/AP209*100)</f>
        <v>0</v>
      </c>
      <c r="AS209" s="836">
        <f ca="1">IF(AND(method_reg="Метод индексации",god&lt;&gt;first_year),SUMIFS(INDEX('Калькуляция (МИ корр)'!$AJ$25:$BC$603,,MATCH(AS$8,'Калькуляция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(МИ)'!$AJ$25:$BC$603,,MATCH(AS$8,'Калькуляция (МИ)'!$AJ$8:$BC$8,0)),'Калькуляция (МИ)'!$F$25:$F$603,$F209,'Калькуляция (МИ)'!$G$25:$G$603,$G209))))</f>
        <v>0</v>
      </c>
      <c r="AT209" s="836">
        <f ca="1">IF(AND(method_reg="Метод индексации",god&lt;&gt;first_year),SUMIFS(INDEX('Калькуляция (МИ корр)'!$AJ$25:$BC$603,,MATCH(AT$8,'Калькуляция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(МИ)'!$AJ$25:$BC$603,,MATCH(AT$8,'Калькуляция (МИ)'!$AJ$8:$BC$8,0)),'Калькуляция (МИ)'!$F$25:$F$603,$F209,'Калькуляция (МИ)'!$G$25:$G$603,$G209))))</f>
        <v>0</v>
      </c>
      <c r="AU209" s="715">
        <f ca="1">IF(AS209=0,0,(AT209-AS209)/AS209*100)</f>
        <v>0</v>
      </c>
      <c r="AV209" s="836">
        <f ca="1">IF(AND(method_reg="Метод индексации",god&lt;&gt;first_year),SUMIFS(INDEX('Калькуляция (МИ корр)'!$AJ$25:$BC$603,,MATCH(AV$8,'Калькуляция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(МИ)'!$AJ$25:$BC$603,,MATCH(AV$8,'Калькуляция (МИ)'!$AJ$8:$BC$8,0)),'Калькуляция (МИ)'!$F$25:$F$603,$F209,'Калькуляция (МИ)'!$G$25:$G$603,$G209))))</f>
        <v>0</v>
      </c>
      <c r="AW209" s="836">
        <f ca="1">IF(AND(method_reg="Метод индексации",god&lt;&gt;first_year),SUMIFS(INDEX('Калькуляция (МИ корр)'!$AJ$25:$BC$603,,MATCH(AW$8,'Калькуляция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(МИ)'!$AJ$25:$BC$603,,MATCH(AW$8,'Калькуляция (МИ)'!$AJ$8:$BC$8,0)),'Калькуляция (МИ)'!$F$25:$F$603,$F209,'Калькуляция (МИ)'!$G$25:$G$603,$G209))))</f>
        <v>0</v>
      </c>
      <c r="AX209" s="715">
        <f ca="1">IF(AV209=0,0,(AW209-AV209)/AV209*100)</f>
        <v>0</v>
      </c>
      <c r="AY209" s="836">
        <f ca="1">IF(AND(method_reg="Метод индексации",god&lt;&gt;first_year),SUMIFS(INDEX('Калькуляция (МИ корр)'!$AJ$25:$BC$603,,MATCH(AY$8,'Калькуляция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(МИ)'!$AJ$25:$BC$603,,MATCH(AY$8,'Калькуляция (МИ)'!$AJ$8:$BC$8,0)),'Калькуляция (МИ)'!$F$25:$F$603,$F209,'Калькуляция (МИ)'!$G$25:$G$603,$G209))))</f>
        <v>0</v>
      </c>
      <c r="AZ209" s="836">
        <f ca="1">IF(AND(method_reg="Метод индексации",god&lt;&gt;first_year),SUMIFS(INDEX('Калькуляция (МИ корр)'!$AJ$25:$BC$603,,MATCH(AZ$8,'Калькуляция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(МИ)'!$AJ$25:$BC$603,,MATCH(AZ$8,'Калькуляция (МИ)'!$AJ$8:$BC$8,0)),'Калькуляция (МИ)'!$F$25:$F$603,$F209,'Калькуляция (МИ)'!$G$25:$G$603,$G209))))</f>
        <v>0</v>
      </c>
      <c r="BA209" s="715">
        <f ca="1">IF(AY209=0,0,(AZ209-AY209)/AY209*100)</f>
        <v>0</v>
      </c>
      <c r="BB209" s="836">
        <f ca="1">IF(AND(method_reg="Метод индексации",god&lt;&gt;first_year),SUMIFS(INDEX('Калькуляция (МИ корр)'!$AJ$25:$BC$603,,MATCH(BB$8,'Калькуляция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(МИ)'!$AJ$25:$BC$603,,MATCH(BB$8,'Калькуляция (МИ)'!$AJ$8:$BC$8,0)),'Калькуляция (МИ)'!$F$25:$F$603,$F209,'Калькуляция (МИ)'!$G$25:$G$603,$G209))))</f>
        <v>0</v>
      </c>
      <c r="BC209" s="836">
        <f ca="1">IF(AND(method_reg="Метод индексации",god&lt;&gt;first_year),SUMIFS(INDEX('Калькуляция (МИ корр)'!$AJ$25:$BC$603,,MATCH(BC$8,'Калькуляция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(МИ)'!$AJ$25:$BC$603,,MATCH(BC$8,'Калькуляция (МИ)'!$AJ$8:$BC$8,0)),'Калькуляция (МИ)'!$F$25:$F$603,$F209,'Калькуляция (МИ)'!$G$25:$G$603,$G209))))</f>
        <v>0</v>
      </c>
      <c r="BD209" s="715">
        <f ca="1">IF(BB209=0,0,(BC209-BB209)/BB209*100)</f>
        <v>0</v>
      </c>
      <c r="BE209" s="836">
        <f ca="1">IF(AND(method_reg="Метод индексации",god&lt;&gt;first_year),SUMIFS(INDEX('Калькуляция (МИ корр)'!$AJ$25:$BC$603,,MATCH(BE$8,'Калькуляция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(МИ)'!$AJ$25:$BC$603,,MATCH(BE$8,'Калькуляция (МИ)'!$AJ$8:$BC$8,0)),'Калькуляция (МИ)'!$F$25:$F$603,$F209,'Калькуляция (МИ)'!$G$25:$G$603,$G209))))</f>
        <v>0</v>
      </c>
      <c r="BF209" s="836">
        <f ca="1">IF(AND(method_reg="Метод индексации",god&lt;&gt;first_year),SUMIFS(INDEX('Калькуляция (МИ корр)'!$AJ$25:$BC$603,,MATCH(BF$8,'Калькуляция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(МИ)'!$AJ$25:$BC$603,,MATCH(BF$8,'Калькуляция (МИ)'!$AJ$8:$BC$8,0)),'Калькуляция (МИ)'!$F$25:$F$603,$F209,'Калькуляция (МИ)'!$G$25:$G$603,$G209))))</f>
        <v>0</v>
      </c>
      <c r="BG209" s="715">
        <f ca="1">IF(BE209=0,0,(BF209-BE209)/BE209*100)</f>
        <v>0</v>
      </c>
      <c r="BH209" s="836"/>
      <c r="BI209" s="836"/>
      <c r="BJ209" s="715">
        <f>IF(BH209=0,0,(BI209-BH209)/BH209*100)</f>
        <v>0</v>
      </c>
      <c r="BK209" s="836"/>
      <c r="BL209" s="836"/>
      <c r="BM209" s="715">
        <f>IF(BK209=0,0,(BL209-BK209)/BK209*100)</f>
        <v>0</v>
      </c>
      <c r="BN209" s="836"/>
      <c r="BO209" s="836"/>
      <c r="BP209" s="715">
        <f>IF(BN209=0,0,(BO209-BN209)/BN209*100)</f>
        <v>0</v>
      </c>
      <c r="BQ209" s="836"/>
      <c r="BR209" s="836"/>
      <c r="BS209" s="715">
        <f>IF(BQ209=0,0,(BR209-BQ209)/BQ209*100)</f>
        <v>0</v>
      </c>
      <c r="BT209" s="836"/>
      <c r="BU209" s="836"/>
      <c r="BV209" s="715">
        <f>IF(BT209=0,0,(BU209-BT209)/BT209*100)</f>
        <v>0</v>
      </c>
      <c r="BW209" s="836"/>
      <c r="BX209" s="836"/>
      <c r="BY209" s="715">
        <f>IF(BW209=0,0,(BX209-BW209)/BW209*100)</f>
        <v>0</v>
      </c>
      <c r="BZ209" s="836"/>
      <c r="CA209" s="836"/>
      <c r="CB209" s="715">
        <f>IF(BZ209=0,0,(CA209-BZ209)/BZ209*100)</f>
        <v>0</v>
      </c>
      <c r="CC209" s="836"/>
      <c r="CD209" s="836"/>
      <c r="CE209" s="715">
        <f>IF(CC209=0,0,(CD209-CC209)/CC209*100)</f>
        <v>0</v>
      </c>
      <c r="CF209" s="836"/>
      <c r="CG209" s="836"/>
      <c r="CH209" s="715">
        <f>IF(CF209=0,0,(CG209-CF209)/CF209*100)</f>
        <v>0</v>
      </c>
      <c r="CI209" s="836"/>
      <c r="CJ209" s="836"/>
      <c r="CK209" s="715">
        <f>IF(CI209=0,0,(CJ209-CI209)/CI209*100)</f>
        <v>0</v>
      </c>
      <c r="CL209" s="836"/>
      <c r="CM209" s="836"/>
      <c r="CN209" s="715">
        <f>IF(CL209=0,0,(CM209-CL209)/CL209*100)</f>
        <v>0</v>
      </c>
      <c r="CO209" s="836"/>
      <c r="CP209" s="836"/>
      <c r="CQ209" s="715">
        <f>IF(CO209=0,0,(CP209-CO209)/CO209*100)</f>
        <v>0</v>
      </c>
      <c r="CR209" s="836"/>
      <c r="CS209" s="836"/>
      <c r="CT209" s="715">
        <f>IF(CR209=0,0,(CS209-CR209)/CR209*100)</f>
        <v>0</v>
      </c>
      <c r="CU209" s="836"/>
      <c r="CV209" s="836"/>
      <c r="CW209" s="715">
        <f>IF(CU209=0,0,(CV209-CU209)/CU209*100)</f>
        <v>0</v>
      </c>
      <c r="CX209" s="836"/>
      <c r="CY209" s="836"/>
      <c r="CZ209" s="715">
        <f>IF(CX209=0,0,(CY209-CX209)/CX209*100)</f>
        <v>0</v>
      </c>
      <c r="DA209" s="836"/>
      <c r="DB209" s="836"/>
      <c r="DC209" s="715">
        <f>IF(DA209=0,0,(DB209-DA209)/DA209*100)</f>
        <v>0</v>
      </c>
      <c r="DD209" s="836"/>
      <c r="DE209" s="836"/>
      <c r="DF209" s="715">
        <f>IF(DD209=0,0,(DE209-DD209)/DD209*100)</f>
        <v>0</v>
      </c>
      <c r="DG209" s="836"/>
      <c r="DH209" s="836"/>
      <c r="DI209" s="715">
        <f>IF(DG209=0,0,(DH209-DG209)/DG209*100)</f>
        <v>0</v>
      </c>
      <c r="DJ209" s="836"/>
      <c r="DK209" s="836"/>
      <c r="DL209" s="715">
        <f>IF(DJ209=0,0,(DK209-DJ209)/DJ209*100)</f>
        <v>0</v>
      </c>
      <c r="DM209" s="836"/>
      <c r="DN209" s="836"/>
      <c r="DO209" s="715">
        <f>IF(DM209=0,0,(DN209-DM209)/DM209*100)</f>
        <v>0</v>
      </c>
      <c r="DP209" s="836"/>
      <c r="DQ209" s="836"/>
      <c r="DR209" s="715">
        <f>IF(DP209=0,0,(DQ209-DP209)/DP209*100)</f>
        <v>0</v>
      </c>
      <c r="DS209" s="836"/>
      <c r="DT209" s="836"/>
      <c r="DU209" s="715">
        <f>IF(DS209=0,0,(DT209-DS209)/DS209*100)</f>
        <v>0</v>
      </c>
      <c r="DV209" s="836"/>
      <c r="DW209" s="836"/>
      <c r="DX209" s="715">
        <f>IF(DV209=0,0,(DW209-DV209)/DV209*100)</f>
        <v>0</v>
      </c>
      <c r="DY209" s="836"/>
      <c r="DZ209" s="836"/>
      <c r="EA209" s="715">
        <f>IF(DY209=0,0,(DZ209-DY209)/DY209*100)</f>
        <v>0</v>
      </c>
      <c r="EB209" s="836"/>
      <c r="EC209" s="836"/>
      <c r="ED209" s="715">
        <f>IF(EB209=0,0,(EC209-EB209)/EB209*100)</f>
        <v>0</v>
      </c>
      <c r="EE209" s="836"/>
      <c r="EF209" s="836"/>
      <c r="EG209" s="715">
        <f>IF(EE209=0,0,(EF209-EE209)/EE209*100)</f>
        <v>0</v>
      </c>
      <c r="EH209" s="836"/>
      <c r="EI209" s="836"/>
      <c r="EJ209" s="715">
        <f>IF(EH209=0,0,(EI209-EH209)/EH209*100)</f>
        <v>0</v>
      </c>
      <c r="EK209" s="836"/>
      <c r="EL209" s="836"/>
      <c r="EM209" s="715">
        <f>IF(EK209=0,0,(EL209-EK209)/EK209*100)</f>
        <v>0</v>
      </c>
      <c r="EN209" s="836"/>
      <c r="EO209" s="836"/>
      <c r="EP209" s="715">
        <f>IF(EN209=0,0,(EO209-EN209)/EN209*100)</f>
        <v>0</v>
      </c>
      <c r="EQ209" s="836"/>
      <c r="ER209" s="836"/>
      <c r="ES209" s="715">
        <f>IF(EQ209=0,0,(ER209-EQ209)/EQ209*100)</f>
        <v>0</v>
      </c>
      <c r="ET209" s="836"/>
      <c r="EU209" s="836"/>
      <c r="EV209" s="715">
        <f>IF(ET209=0,0,(EU209-ET209)/ET209*100)</f>
        <v>0</v>
      </c>
      <c r="EW209" s="836"/>
      <c r="EX209" s="836"/>
      <c r="EY209" s="715">
        <f>IF(EW209=0,0,(EX209-EW209)/EW209*100)</f>
        <v>0</v>
      </c>
      <c r="EZ209" s="836"/>
      <c r="FA209" s="836"/>
      <c r="FB209" s="715">
        <f>IF(EZ209=0,0,(FA209-EZ209)/EZ209*100)</f>
        <v>0</v>
      </c>
      <c r="FC209" s="836"/>
      <c r="FD209" s="836"/>
      <c r="FE209" s="715">
        <f>IF(FC209=0,0,(FD209-FC209)/FC209*100)</f>
        <v>0</v>
      </c>
      <c r="FF209" s="836"/>
      <c r="FG209" s="836"/>
      <c r="FH209" s="715">
        <f>IF(FF209=0,0,(FG209-FF209)/FF209*100)</f>
        <v>0</v>
      </c>
      <c r="FI209" s="836"/>
      <c r="FJ209" s="836"/>
      <c r="FK209" s="715">
        <f>IF(FI209=0,0,(FJ209-FI209)/FI209*100)</f>
        <v>0</v>
      </c>
      <c r="FL209" s="836"/>
      <c r="FM209" s="836"/>
      <c r="FN209" s="715">
        <f>IF(FL209=0,0,(FM209-FL209)/FL209*100)</f>
        <v>0</v>
      </c>
      <c r="FO209" s="836"/>
      <c r="FP209" s="836"/>
      <c r="FQ209" s="715">
        <f>IF(FO209=0,0,(FP209-FO209)/FO209*100)</f>
        <v>0</v>
      </c>
      <c r="FR209" s="836"/>
      <c r="FS209" s="836"/>
      <c r="FT209" s="715">
        <f>IF(FR209=0,0,(FS209-FR209)/FR209*100)</f>
        <v>0</v>
      </c>
      <c r="FU209" s="836"/>
      <c r="FV209" s="836"/>
      <c r="FW209" s="715">
        <f>IF(FU209=0,0,(FV209-FU209)/FU209*100)</f>
        <v>0</v>
      </c>
      <c r="FX209" s="204"/>
      <c r="FZ209" s="691" t="s">
        <v>1668</v>
      </c>
    </row>
    <row r="210" spans="1:186" ht="18" hidden="1" customHeight="1" x14ac:dyDescent="0.15">
      <c r="A210" s="59"/>
      <c r="B210" s="613" t="b" cm="1">
        <f t="array" ref="B210">B209</f>
        <v>0</v>
      </c>
      <c r="C210" s="59"/>
      <c r="D210" s="59"/>
      <c r="E210" s="462">
        <v>18.75</v>
      </c>
      <c r="F210" s="3" t="str" cm="1">
        <f t="array" aca="1" ref="F210" ca="1">OFFSET(E210,-1,1)</f>
        <v>3</v>
      </c>
      <c r="G210" s="59"/>
      <c r="H210" s="59" t="s">
        <v>482</v>
      </c>
      <c r="I210" s="59" cm="1">
        <f t="array" ref="I210">AB210</f>
        <v>0</v>
      </c>
      <c r="J210" s="59"/>
      <c r="K210" s="59"/>
      <c r="L210" s="59"/>
      <c r="M210" s="59"/>
      <c r="N210" s="59"/>
      <c r="O210" s="59"/>
      <c r="P210" s="59"/>
      <c r="Q210" s="594"/>
      <c r="R210" s="59"/>
      <c r="S210" s="59"/>
      <c r="T210" s="353" t="b">
        <f ca="1">AND(F210&gt;0,Y210&gt;0)</f>
        <v>0</v>
      </c>
      <c r="U210" s="59"/>
      <c r="V210" s="59"/>
      <c r="W210" s="59" t="s">
        <v>172</v>
      </c>
      <c r="X210" s="1022"/>
      <c r="Y210" s="1022">
        <v>0</v>
      </c>
      <c r="Z210" s="966"/>
      <c r="AA210" s="913" t="s">
        <v>173</v>
      </c>
      <c r="AB210" s="863"/>
      <c r="AC210" s="12" t="s">
        <v>1644</v>
      </c>
      <c r="AD210" s="820"/>
      <c r="AE210" s="864"/>
      <c r="AF210" s="714">
        <f>IF(AD210=0,0,(AE210-AD210)/AD210*100)</f>
        <v>0</v>
      </c>
      <c r="AG210" s="820"/>
      <c r="AH210" s="864"/>
      <c r="AI210" s="714">
        <f>IF(AG210=0,0,(AH210-AG210)/AG210*100)</f>
        <v>0</v>
      </c>
      <c r="AJ210" s="820"/>
      <c r="AK210" s="864"/>
      <c r="AL210" s="714">
        <f>IF(AJ210=0,0,(AK210-AJ210)/AJ210*100)</f>
        <v>0</v>
      </c>
      <c r="AM210" s="820"/>
      <c r="AN210" s="864"/>
      <c r="AO210" s="714">
        <f>IF(AM210=0,0,(AN210-AM210)/AM210*100)</f>
        <v>0</v>
      </c>
      <c r="AP210" s="820"/>
      <c r="AQ210" s="864"/>
      <c r="AR210" s="714">
        <f>IF(AP210=0,0,(AQ210-AP210)/AP210*100)</f>
        <v>0</v>
      </c>
      <c r="AS210" s="820"/>
      <c r="AT210" s="864"/>
      <c r="AU210" s="714">
        <f>IF(AS210=0,0,(AT210-AS210)/AS210*100)</f>
        <v>0</v>
      </c>
      <c r="AV210" s="820"/>
      <c r="AW210" s="864"/>
      <c r="AX210" s="714">
        <f>IF(AV210=0,0,(AW210-AV210)/AV210*100)</f>
        <v>0</v>
      </c>
      <c r="AY210" s="820"/>
      <c r="AZ210" s="864"/>
      <c r="BA210" s="714">
        <f>IF(AY210=0,0,(AZ210-AY210)/AY210*100)</f>
        <v>0</v>
      </c>
      <c r="BB210" s="820"/>
      <c r="BC210" s="864"/>
      <c r="BD210" s="714">
        <f>IF(BB210=0,0,(BC210-BB210)/BB210*100)</f>
        <v>0</v>
      </c>
      <c r="BE210" s="820"/>
      <c r="BF210" s="864"/>
      <c r="BG210" s="714">
        <f>IF(BE210=0,0,(BF210-BE210)/BE210*100)</f>
        <v>0</v>
      </c>
      <c r="BH210" s="820"/>
      <c r="BI210" s="864"/>
      <c r="BJ210" s="714">
        <f>IF(BH210=0,0,(BI210-BH210)/BH210*100)</f>
        <v>0</v>
      </c>
      <c r="BK210" s="820"/>
      <c r="BL210" s="864"/>
      <c r="BM210" s="714">
        <f>IF(BK210=0,0,(BL210-BK210)/BK210*100)</f>
        <v>0</v>
      </c>
      <c r="BN210" s="820"/>
      <c r="BO210" s="864"/>
      <c r="BP210" s="714">
        <f>IF(BN210=0,0,(BO210-BN210)/BN210*100)</f>
        <v>0</v>
      </c>
      <c r="BQ210" s="820"/>
      <c r="BR210" s="864"/>
      <c r="BS210" s="714">
        <f>IF(BQ210=0,0,(BR210-BQ210)/BQ210*100)</f>
        <v>0</v>
      </c>
      <c r="BT210" s="820"/>
      <c r="BU210" s="864"/>
      <c r="BV210" s="714">
        <f>IF(BT210=0,0,(BU210-BT210)/BT210*100)</f>
        <v>0</v>
      </c>
      <c r="BW210" s="820"/>
      <c r="BX210" s="864"/>
      <c r="BY210" s="714">
        <f>IF(BW210=0,0,(BX210-BW210)/BW210*100)</f>
        <v>0</v>
      </c>
      <c r="BZ210" s="820"/>
      <c r="CA210" s="864"/>
      <c r="CB210" s="714">
        <f>IF(BZ210=0,0,(CA210-BZ210)/BZ210*100)</f>
        <v>0</v>
      </c>
      <c r="CC210" s="820"/>
      <c r="CD210" s="864"/>
      <c r="CE210" s="714">
        <f>IF(CC210=0,0,(CD210-CC210)/CC210*100)</f>
        <v>0</v>
      </c>
      <c r="CF210" s="820"/>
      <c r="CG210" s="864"/>
      <c r="CH210" s="714">
        <f>IF(CF210=0,0,(CG210-CF210)/CF210*100)</f>
        <v>0</v>
      </c>
      <c r="CI210" s="820"/>
      <c r="CJ210" s="864"/>
      <c r="CK210" s="714">
        <f>IF(CI210=0,0,(CJ210-CI210)/CI210*100)</f>
        <v>0</v>
      </c>
      <c r="CL210" s="820"/>
      <c r="CM210" s="864"/>
      <c r="CN210" s="714">
        <f>IF(CL210=0,0,(CM210-CL210)/CL210*100)</f>
        <v>0</v>
      </c>
      <c r="CO210" s="820"/>
      <c r="CP210" s="864"/>
      <c r="CQ210" s="714">
        <f>IF(CO210=0,0,(CP210-CO210)/CO210*100)</f>
        <v>0</v>
      </c>
      <c r="CR210" s="820"/>
      <c r="CS210" s="864"/>
      <c r="CT210" s="714">
        <f>IF(CR210=0,0,(CS210-CR210)/CR210*100)</f>
        <v>0</v>
      </c>
      <c r="CU210" s="820"/>
      <c r="CV210" s="864"/>
      <c r="CW210" s="714">
        <f>IF(CU210=0,0,(CV210-CU210)/CU210*100)</f>
        <v>0</v>
      </c>
      <c r="CX210" s="820"/>
      <c r="CY210" s="864"/>
      <c r="CZ210" s="714">
        <f>IF(CX210=0,0,(CY210-CX210)/CX210*100)</f>
        <v>0</v>
      </c>
      <c r="DA210" s="820"/>
      <c r="DB210" s="864"/>
      <c r="DC210" s="714">
        <f>IF(DA210=0,0,(DB210-DA210)/DA210*100)</f>
        <v>0</v>
      </c>
      <c r="DD210" s="820"/>
      <c r="DE210" s="864"/>
      <c r="DF210" s="714">
        <f>IF(DD210=0,0,(DE210-DD210)/DD210*100)</f>
        <v>0</v>
      </c>
      <c r="DG210" s="820"/>
      <c r="DH210" s="864"/>
      <c r="DI210" s="714">
        <f>IF(DG210=0,0,(DH210-DG210)/DG210*100)</f>
        <v>0</v>
      </c>
      <c r="DJ210" s="820"/>
      <c r="DK210" s="864"/>
      <c r="DL210" s="714">
        <f>IF(DJ210=0,0,(DK210-DJ210)/DJ210*100)</f>
        <v>0</v>
      </c>
      <c r="DM210" s="820"/>
      <c r="DN210" s="864"/>
      <c r="DO210" s="714">
        <f>IF(DM210=0,0,(DN210-DM210)/DM210*100)</f>
        <v>0</v>
      </c>
      <c r="DP210" s="820"/>
      <c r="DQ210" s="864"/>
      <c r="DR210" s="714">
        <f>IF(DP210=0,0,(DQ210-DP210)/DP210*100)</f>
        <v>0</v>
      </c>
      <c r="DS210" s="820"/>
      <c r="DT210" s="864"/>
      <c r="DU210" s="714">
        <f>IF(DS210=0,0,(DT210-DS210)/DS210*100)</f>
        <v>0</v>
      </c>
      <c r="DV210" s="820"/>
      <c r="DW210" s="864"/>
      <c r="DX210" s="714">
        <f>IF(DV210=0,0,(DW210-DV210)/DV210*100)</f>
        <v>0</v>
      </c>
      <c r="DY210" s="820"/>
      <c r="DZ210" s="864"/>
      <c r="EA210" s="714">
        <f>IF(DY210=0,0,(DZ210-DY210)/DY210*100)</f>
        <v>0</v>
      </c>
      <c r="EB210" s="820"/>
      <c r="EC210" s="864"/>
      <c r="ED210" s="714">
        <f>IF(EB210=0,0,(EC210-EB210)/EB210*100)</f>
        <v>0</v>
      </c>
      <c r="EE210" s="820"/>
      <c r="EF210" s="864"/>
      <c r="EG210" s="714">
        <f>IF(EE210=0,0,(EF210-EE210)/EE210*100)</f>
        <v>0</v>
      </c>
      <c r="EH210" s="820"/>
      <c r="EI210" s="864"/>
      <c r="EJ210" s="714">
        <f>IF(EH210=0,0,(EI210-EH210)/EH210*100)</f>
        <v>0</v>
      </c>
      <c r="EK210" s="820"/>
      <c r="EL210" s="864"/>
      <c r="EM210" s="714">
        <f>IF(EK210=0,0,(EL210-EK210)/EK210*100)</f>
        <v>0</v>
      </c>
      <c r="EN210" s="820"/>
      <c r="EO210" s="864"/>
      <c r="EP210" s="714">
        <f>IF(EN210=0,0,(EO210-EN210)/EN210*100)</f>
        <v>0</v>
      </c>
      <c r="EQ210" s="820"/>
      <c r="ER210" s="864"/>
      <c r="ES210" s="714">
        <f>IF(EQ210=0,0,(ER210-EQ210)/EQ210*100)</f>
        <v>0</v>
      </c>
      <c r="ET210" s="820"/>
      <c r="EU210" s="864"/>
      <c r="EV210" s="714">
        <f>IF(ET210=0,0,(EU210-ET210)/ET210*100)</f>
        <v>0</v>
      </c>
      <c r="EW210" s="820"/>
      <c r="EX210" s="864"/>
      <c r="EY210" s="714">
        <f>IF(EW210=0,0,(EX210-EW210)/EW210*100)</f>
        <v>0</v>
      </c>
      <c r="EZ210" s="820"/>
      <c r="FA210" s="864"/>
      <c r="FB210" s="714">
        <f>IF(EZ210=0,0,(FA210-EZ210)/EZ210*100)</f>
        <v>0</v>
      </c>
      <c r="FC210" s="820"/>
      <c r="FD210" s="864"/>
      <c r="FE210" s="714">
        <f>IF(FC210=0,0,(FD210-FC210)/FC210*100)</f>
        <v>0</v>
      </c>
      <c r="FF210" s="820"/>
      <c r="FG210" s="864"/>
      <c r="FH210" s="714">
        <f>IF(FF210=0,0,(FG210-FF210)/FF210*100)</f>
        <v>0</v>
      </c>
      <c r="FI210" s="820"/>
      <c r="FJ210" s="864"/>
      <c r="FK210" s="714">
        <f>IF(FI210=0,0,(FJ210-FI210)/FI210*100)</f>
        <v>0</v>
      </c>
      <c r="FL210" s="820"/>
      <c r="FM210" s="864"/>
      <c r="FN210" s="714">
        <f>IF(FL210=0,0,(FM210-FL210)/FL210*100)</f>
        <v>0</v>
      </c>
      <c r="FO210" s="820"/>
      <c r="FP210" s="864"/>
      <c r="FQ210" s="714">
        <f>IF(FO210=0,0,(FP210-FO210)/FO210*100)</f>
        <v>0</v>
      </c>
      <c r="FR210" s="820"/>
      <c r="FS210" s="864"/>
      <c r="FT210" s="714">
        <f>IF(FR210=0,0,(FS210-FR210)/FR210*100)</f>
        <v>0</v>
      </c>
      <c r="FU210" s="820"/>
      <c r="FV210" s="864"/>
      <c r="FW210" s="714">
        <f>IF(FU210=0,0,(FV210-FU210)/FU210*100)</f>
        <v>0</v>
      </c>
      <c r="FX210" s="204"/>
      <c r="FZ210" s="691" t="s">
        <v>1669</v>
      </c>
      <c r="GA210" s="671" t="s">
        <v>1670</v>
      </c>
      <c r="GB210" s="671" cm="1">
        <f t="array" ref="GB210">AB210</f>
        <v>0</v>
      </c>
      <c r="GD210" s="461" t="b">
        <v>1</v>
      </c>
    </row>
    <row r="211" spans="1:186" ht="14.25" hidden="1" customHeight="1" x14ac:dyDescent="0.15">
      <c r="A211" s="59"/>
      <c r="B211" s="613" t="b" cm="1">
        <f t="array" ref="B211">B210</f>
        <v>0</v>
      </c>
      <c r="C211" s="59"/>
      <c r="D211" s="59"/>
      <c r="E211" s="462">
        <v>15</v>
      </c>
      <c r="F211" s="3" t="str" cm="1">
        <f t="array" aca="1" ref="F211" ca="1">OFFSET(E211,-1,1)</f>
        <v>3</v>
      </c>
      <c r="G211" s="59"/>
      <c r="H211" s="59" t="s">
        <v>489</v>
      </c>
      <c r="I211" s="59" cm="1">
        <f t="array" ref="I211">I210</f>
        <v>0</v>
      </c>
      <c r="J211" s="59"/>
      <c r="K211" s="59"/>
      <c r="L211" s="59"/>
      <c r="M211" s="59"/>
      <c r="N211" s="59"/>
      <c r="O211" s="59"/>
      <c r="P211" s="59"/>
      <c r="Q211" s="594"/>
      <c r="R211" s="59"/>
      <c r="S211" s="59"/>
      <c r="T211" s="353" t="b" cm="1">
        <f t="array" aca="1" ref="T211" ca="1">T210</f>
        <v>0</v>
      </c>
      <c r="U211" s="59"/>
      <c r="V211" s="59"/>
      <c r="W211" s="59"/>
      <c r="X211" s="1022"/>
      <c r="Y211" s="1022"/>
      <c r="Z211" s="966"/>
      <c r="AA211" s="913"/>
      <c r="AB211" s="54" t="s">
        <v>1671</v>
      </c>
      <c r="AC211" s="7" t="s">
        <v>558</v>
      </c>
      <c r="AD211" s="836"/>
      <c r="AE211" s="836"/>
      <c r="AF211" s="715">
        <f>IF(AD211=0,0,(AE211-AD211)/AD211*100)</f>
        <v>0</v>
      </c>
      <c r="AG211" s="836"/>
      <c r="AH211" s="836"/>
      <c r="AI211" s="715">
        <f>IF(AG211=0,0,(AH211-AG211)/AG211*100)</f>
        <v>0</v>
      </c>
      <c r="AJ211" s="836"/>
      <c r="AK211" s="836"/>
      <c r="AL211" s="715">
        <f>IF(AJ211=0,0,(AK211-AJ211)/AJ211*100)</f>
        <v>0</v>
      </c>
      <c r="AM211" s="836"/>
      <c r="AN211" s="836"/>
      <c r="AO211" s="715">
        <f>IF(AM211=0,0,(AN211-AM211)/AM211*100)</f>
        <v>0</v>
      </c>
      <c r="AP211" s="836"/>
      <c r="AQ211" s="836"/>
      <c r="AR211" s="715">
        <f>IF(AP211=0,0,(AQ211-AP211)/AP211*100)</f>
        <v>0</v>
      </c>
      <c r="AS211" s="836"/>
      <c r="AT211" s="836"/>
      <c r="AU211" s="715">
        <f>IF(AS211=0,0,(AT211-AS211)/AS211*100)</f>
        <v>0</v>
      </c>
      <c r="AV211" s="836"/>
      <c r="AW211" s="836"/>
      <c r="AX211" s="715">
        <f>IF(AV211=0,0,(AW211-AV211)/AV211*100)</f>
        <v>0</v>
      </c>
      <c r="AY211" s="836"/>
      <c r="AZ211" s="836"/>
      <c r="BA211" s="715">
        <f>IF(AY211=0,0,(AZ211-AY211)/AY211*100)</f>
        <v>0</v>
      </c>
      <c r="BB211" s="836"/>
      <c r="BC211" s="836"/>
      <c r="BD211" s="715">
        <f>IF(BB211=0,0,(BC211-BB211)/BB211*100)</f>
        <v>0</v>
      </c>
      <c r="BE211" s="836"/>
      <c r="BF211" s="836"/>
      <c r="BG211" s="715">
        <f>IF(BE211=0,0,(BF211-BE211)/BE211*100)</f>
        <v>0</v>
      </c>
      <c r="BH211" s="836"/>
      <c r="BI211" s="836"/>
      <c r="BJ211" s="715">
        <f>IF(BH211=0,0,(BI211-BH211)/BH211*100)</f>
        <v>0</v>
      </c>
      <c r="BK211" s="836"/>
      <c r="BL211" s="836"/>
      <c r="BM211" s="715">
        <f>IF(BK211=0,0,(BL211-BK211)/BK211*100)</f>
        <v>0</v>
      </c>
      <c r="BN211" s="836"/>
      <c r="BO211" s="836"/>
      <c r="BP211" s="715">
        <f>IF(BN211=0,0,(BO211-BN211)/BN211*100)</f>
        <v>0</v>
      </c>
      <c r="BQ211" s="836"/>
      <c r="BR211" s="836"/>
      <c r="BS211" s="715">
        <f>IF(BQ211=0,0,(BR211-BQ211)/BQ211*100)</f>
        <v>0</v>
      </c>
      <c r="BT211" s="836"/>
      <c r="BU211" s="836"/>
      <c r="BV211" s="715">
        <f>IF(BT211=0,0,(BU211-BT211)/BT211*100)</f>
        <v>0</v>
      </c>
      <c r="BW211" s="836"/>
      <c r="BX211" s="836"/>
      <c r="BY211" s="715">
        <f>IF(BW211=0,0,(BX211-BW211)/BW211*100)</f>
        <v>0</v>
      </c>
      <c r="BZ211" s="836"/>
      <c r="CA211" s="836"/>
      <c r="CB211" s="715">
        <f>IF(BZ211=0,0,(CA211-BZ211)/BZ211*100)</f>
        <v>0</v>
      </c>
      <c r="CC211" s="836"/>
      <c r="CD211" s="836"/>
      <c r="CE211" s="715">
        <f>IF(CC211=0,0,(CD211-CC211)/CC211*100)</f>
        <v>0</v>
      </c>
      <c r="CF211" s="836"/>
      <c r="CG211" s="836"/>
      <c r="CH211" s="715">
        <f>IF(CF211=0,0,(CG211-CF211)/CF211*100)</f>
        <v>0</v>
      </c>
      <c r="CI211" s="836"/>
      <c r="CJ211" s="836"/>
      <c r="CK211" s="715">
        <f>IF(CI211=0,0,(CJ211-CI211)/CI211*100)</f>
        <v>0</v>
      </c>
      <c r="CL211" s="836"/>
      <c r="CM211" s="836"/>
      <c r="CN211" s="715">
        <f>IF(CL211=0,0,(CM211-CL211)/CL211*100)</f>
        <v>0</v>
      </c>
      <c r="CO211" s="836"/>
      <c r="CP211" s="836"/>
      <c r="CQ211" s="715">
        <f>IF(CO211=0,0,(CP211-CO211)/CO211*100)</f>
        <v>0</v>
      </c>
      <c r="CR211" s="836"/>
      <c r="CS211" s="836"/>
      <c r="CT211" s="715">
        <f>IF(CR211=0,0,(CS211-CR211)/CR211*100)</f>
        <v>0</v>
      </c>
      <c r="CU211" s="836"/>
      <c r="CV211" s="836"/>
      <c r="CW211" s="715">
        <f>IF(CU211=0,0,(CV211-CU211)/CU211*100)</f>
        <v>0</v>
      </c>
      <c r="CX211" s="836"/>
      <c r="CY211" s="836"/>
      <c r="CZ211" s="715">
        <f>IF(CX211=0,0,(CY211-CX211)/CX211*100)</f>
        <v>0</v>
      </c>
      <c r="DA211" s="836"/>
      <c r="DB211" s="836"/>
      <c r="DC211" s="715">
        <f>IF(DA211=0,0,(DB211-DA211)/DA211*100)</f>
        <v>0</v>
      </c>
      <c r="DD211" s="836"/>
      <c r="DE211" s="836"/>
      <c r="DF211" s="715">
        <f>IF(DD211=0,0,(DE211-DD211)/DD211*100)</f>
        <v>0</v>
      </c>
      <c r="DG211" s="836"/>
      <c r="DH211" s="836"/>
      <c r="DI211" s="715">
        <f>IF(DG211=0,0,(DH211-DG211)/DG211*100)</f>
        <v>0</v>
      </c>
      <c r="DJ211" s="836"/>
      <c r="DK211" s="836"/>
      <c r="DL211" s="715">
        <f>IF(DJ211=0,0,(DK211-DJ211)/DJ211*100)</f>
        <v>0</v>
      </c>
      <c r="DM211" s="836"/>
      <c r="DN211" s="836"/>
      <c r="DO211" s="715">
        <f>IF(DM211=0,0,(DN211-DM211)/DM211*100)</f>
        <v>0</v>
      </c>
      <c r="DP211" s="836"/>
      <c r="DQ211" s="836"/>
      <c r="DR211" s="715">
        <f>IF(DP211=0,0,(DQ211-DP211)/DP211*100)</f>
        <v>0</v>
      </c>
      <c r="DS211" s="836"/>
      <c r="DT211" s="836"/>
      <c r="DU211" s="715">
        <f>IF(DS211=0,0,(DT211-DS211)/DS211*100)</f>
        <v>0</v>
      </c>
      <c r="DV211" s="836"/>
      <c r="DW211" s="836"/>
      <c r="DX211" s="715">
        <f>IF(DV211=0,0,(DW211-DV211)/DV211*100)</f>
        <v>0</v>
      </c>
      <c r="DY211" s="836"/>
      <c r="DZ211" s="836"/>
      <c r="EA211" s="715">
        <f>IF(DY211=0,0,(DZ211-DY211)/DY211*100)</f>
        <v>0</v>
      </c>
      <c r="EB211" s="836"/>
      <c r="EC211" s="836"/>
      <c r="ED211" s="715">
        <f>IF(EB211=0,0,(EC211-EB211)/EB211*100)</f>
        <v>0</v>
      </c>
      <c r="EE211" s="836"/>
      <c r="EF211" s="836"/>
      <c r="EG211" s="715">
        <f>IF(EE211=0,0,(EF211-EE211)/EE211*100)</f>
        <v>0</v>
      </c>
      <c r="EH211" s="836"/>
      <c r="EI211" s="836"/>
      <c r="EJ211" s="715">
        <f>IF(EH211=0,0,(EI211-EH211)/EH211*100)</f>
        <v>0</v>
      </c>
      <c r="EK211" s="836"/>
      <c r="EL211" s="836"/>
      <c r="EM211" s="715">
        <f>IF(EK211=0,0,(EL211-EK211)/EK211*100)</f>
        <v>0</v>
      </c>
      <c r="EN211" s="836"/>
      <c r="EO211" s="836"/>
      <c r="EP211" s="715">
        <f>IF(EN211=0,0,(EO211-EN211)/EN211*100)</f>
        <v>0</v>
      </c>
      <c r="EQ211" s="836"/>
      <c r="ER211" s="836"/>
      <c r="ES211" s="715">
        <f>IF(EQ211=0,0,(ER211-EQ211)/EQ211*100)</f>
        <v>0</v>
      </c>
      <c r="ET211" s="836"/>
      <c r="EU211" s="836"/>
      <c r="EV211" s="715">
        <f>IF(ET211=0,0,(EU211-ET211)/ET211*100)</f>
        <v>0</v>
      </c>
      <c r="EW211" s="836"/>
      <c r="EX211" s="836"/>
      <c r="EY211" s="715">
        <f>IF(EW211=0,0,(EX211-EW211)/EW211*100)</f>
        <v>0</v>
      </c>
      <c r="EZ211" s="836"/>
      <c r="FA211" s="836"/>
      <c r="FB211" s="715">
        <f>IF(EZ211=0,0,(FA211-EZ211)/EZ211*100)</f>
        <v>0</v>
      </c>
      <c r="FC211" s="836"/>
      <c r="FD211" s="836"/>
      <c r="FE211" s="715">
        <f>IF(FC211=0,0,(FD211-FC211)/FC211*100)</f>
        <v>0</v>
      </c>
      <c r="FF211" s="836"/>
      <c r="FG211" s="836"/>
      <c r="FH211" s="715">
        <f>IF(FF211=0,0,(FG211-FF211)/FF211*100)</f>
        <v>0</v>
      </c>
      <c r="FI211" s="836"/>
      <c r="FJ211" s="836"/>
      <c r="FK211" s="715">
        <f>IF(FI211=0,0,(FJ211-FI211)/FI211*100)</f>
        <v>0</v>
      </c>
      <c r="FL211" s="836"/>
      <c r="FM211" s="836"/>
      <c r="FN211" s="715">
        <f>IF(FL211=0,0,(FM211-FL211)/FL211*100)</f>
        <v>0</v>
      </c>
      <c r="FO211" s="836"/>
      <c r="FP211" s="836"/>
      <c r="FQ211" s="715">
        <f>IF(FO211=0,0,(FP211-FO211)/FO211*100)</f>
        <v>0</v>
      </c>
      <c r="FR211" s="836"/>
      <c r="FS211" s="836"/>
      <c r="FT211" s="715">
        <f>IF(FR211=0,0,(FS211-FR211)/FR211*100)</f>
        <v>0</v>
      </c>
      <c r="FU211" s="836"/>
      <c r="FV211" s="836"/>
      <c r="FW211" s="715">
        <f>IF(FU211=0,0,(FV211-FU211)/FU211*100)</f>
        <v>0</v>
      </c>
      <c r="FX211" s="204"/>
      <c r="FZ211" s="691" t="s">
        <v>1672</v>
      </c>
      <c r="GA211" s="671" t="s">
        <v>1670</v>
      </c>
      <c r="GB211" s="671" cm="1">
        <f t="array" ref="GB211">GB210</f>
        <v>0</v>
      </c>
    </row>
    <row r="212" spans="1:186" ht="14.25" hidden="1" customHeight="1" x14ac:dyDescent="0.15">
      <c r="A212" s="59"/>
      <c r="B212" s="613" t="b" cm="1">
        <f t="array" ref="B212">B211</f>
        <v>0</v>
      </c>
      <c r="C212" s="59"/>
      <c r="D212" s="59"/>
      <c r="E212" s="462">
        <v>15</v>
      </c>
      <c r="F212" s="3" t="str" cm="1">
        <f t="array" aca="1" ref="F212" ca="1">OFFSET(E212,-1,1)</f>
        <v>3</v>
      </c>
      <c r="G212" s="59"/>
      <c r="H212" s="59"/>
      <c r="I212" s="17" t="s">
        <v>1673</v>
      </c>
      <c r="J212" s="59"/>
      <c r="K212" s="59"/>
      <c r="L212" s="59"/>
      <c r="M212" s="59"/>
      <c r="N212" s="59"/>
      <c r="O212" s="59"/>
      <c r="P212" s="59"/>
      <c r="Q212" s="59"/>
      <c r="R212" s="4"/>
      <c r="S212" s="59"/>
      <c r="T212" s="353" t="b">
        <f ca="1">F212&gt;0</f>
        <v>1</v>
      </c>
      <c r="U212" s="59"/>
      <c r="W212" s="517" t="s">
        <v>1674</v>
      </c>
      <c r="X212" s="1022"/>
      <c r="Z212" s="966"/>
      <c r="AB212" s="172" t="s">
        <v>176</v>
      </c>
      <c r="AC212" s="176"/>
      <c r="AD212" s="716"/>
      <c r="AE212" s="716"/>
      <c r="AF212" s="716"/>
      <c r="AG212" s="716"/>
      <c r="AH212" s="716"/>
      <c r="AI212" s="716"/>
      <c r="AJ212" s="716"/>
      <c r="AK212" s="716"/>
      <c r="AL212" s="716"/>
      <c r="AM212" s="716"/>
      <c r="AN212" s="716"/>
      <c r="AO212" s="716"/>
      <c r="AP212" s="716"/>
      <c r="AQ212" s="716"/>
      <c r="AR212" s="716"/>
      <c r="AS212" s="716"/>
      <c r="AT212" s="716"/>
      <c r="AU212" s="716"/>
      <c r="AV212" s="716"/>
      <c r="AW212" s="716"/>
      <c r="AX212" s="716"/>
      <c r="AY212" s="716"/>
      <c r="AZ212" s="716"/>
      <c r="BA212" s="716"/>
      <c r="BB212" s="716"/>
      <c r="BC212" s="716"/>
      <c r="BD212" s="716"/>
      <c r="BE212" s="716"/>
      <c r="BF212" s="716"/>
      <c r="BG212" s="716"/>
      <c r="BH212" s="716"/>
      <c r="BI212" s="716"/>
      <c r="BJ212" s="716"/>
      <c r="BK212" s="716"/>
      <c r="BL212" s="716"/>
      <c r="BM212" s="716"/>
      <c r="BN212" s="716"/>
      <c r="BO212" s="716"/>
      <c r="BP212" s="716"/>
      <c r="BQ212" s="716"/>
      <c r="BR212" s="716"/>
      <c r="BS212" s="716"/>
      <c r="BT212" s="716"/>
      <c r="BU212" s="716"/>
      <c r="BV212" s="716"/>
      <c r="BW212" s="716"/>
      <c r="BX212" s="716"/>
      <c r="BY212" s="716"/>
      <c r="BZ212" s="716"/>
      <c r="CA212" s="716"/>
      <c r="CB212" s="716"/>
      <c r="CC212" s="716"/>
      <c r="CD212" s="716"/>
      <c r="CE212" s="716"/>
      <c r="CF212" s="716"/>
      <c r="CG212" s="716"/>
      <c r="CH212" s="716"/>
      <c r="CI212" s="716"/>
      <c r="CJ212" s="716"/>
      <c r="CK212" s="716"/>
      <c r="CL212" s="716"/>
      <c r="CM212" s="716"/>
      <c r="CN212" s="716"/>
      <c r="CO212" s="716"/>
      <c r="CP212" s="716"/>
      <c r="CQ212" s="716"/>
      <c r="CR212" s="716"/>
      <c r="CS212" s="716"/>
      <c r="CT212" s="716"/>
      <c r="CU212" s="716"/>
      <c r="CV212" s="716"/>
      <c r="CW212" s="716"/>
      <c r="CX212" s="716"/>
      <c r="CY212" s="716"/>
      <c r="CZ212" s="716"/>
      <c r="DA212" s="716"/>
      <c r="DB212" s="716"/>
      <c r="DC212" s="716"/>
      <c r="DD212" s="716"/>
      <c r="DE212" s="716"/>
      <c r="DF212" s="716"/>
      <c r="DG212" s="716"/>
      <c r="DH212" s="716"/>
      <c r="DI212" s="716"/>
      <c r="DJ212" s="716"/>
      <c r="DK212" s="716"/>
      <c r="DL212" s="716"/>
      <c r="DM212" s="716"/>
      <c r="DN212" s="716"/>
      <c r="DO212" s="716"/>
      <c r="DP212" s="716"/>
      <c r="DQ212" s="716"/>
      <c r="DR212" s="716"/>
      <c r="DS212" s="716"/>
      <c r="DT212" s="716"/>
      <c r="DU212" s="716"/>
      <c r="DV212" s="716"/>
      <c r="DW212" s="716"/>
      <c r="DX212" s="716"/>
      <c r="DY212" s="716"/>
      <c r="DZ212" s="716"/>
      <c r="EA212" s="716"/>
      <c r="EB212" s="716"/>
      <c r="EC212" s="716"/>
      <c r="ED212" s="716"/>
      <c r="EE212" s="716"/>
      <c r="EF212" s="716"/>
      <c r="EG212" s="716"/>
      <c r="EH212" s="716"/>
      <c r="EI212" s="716"/>
      <c r="EJ212" s="716"/>
      <c r="EK212" s="716"/>
      <c r="EL212" s="716"/>
      <c r="EM212" s="716"/>
      <c r="EN212" s="716"/>
      <c r="EO212" s="716"/>
      <c r="EP212" s="716"/>
      <c r="EQ212" s="716"/>
      <c r="ER212" s="716"/>
      <c r="ES212" s="716"/>
      <c r="ET212" s="716"/>
      <c r="EU212" s="716"/>
      <c r="EV212" s="716"/>
      <c r="EW212" s="716"/>
      <c r="EX212" s="716"/>
      <c r="EY212" s="716"/>
      <c r="EZ212" s="716"/>
      <c r="FA212" s="716"/>
      <c r="FB212" s="716"/>
      <c r="FC212" s="716"/>
      <c r="FD212" s="716"/>
      <c r="FE212" s="716"/>
      <c r="FF212" s="716"/>
      <c r="FG212" s="716"/>
      <c r="FH212" s="716"/>
      <c r="FI212" s="716"/>
      <c r="FJ212" s="716"/>
      <c r="FK212" s="716"/>
      <c r="FL212" s="716"/>
      <c r="FM212" s="716"/>
      <c r="FN212" s="716"/>
      <c r="FO212" s="716"/>
      <c r="FP212" s="716"/>
      <c r="FQ212" s="716"/>
      <c r="FR212" s="716"/>
      <c r="FS212" s="716"/>
      <c r="FT212" s="716"/>
      <c r="FU212" s="716"/>
      <c r="FV212" s="716"/>
      <c r="FW212" s="717"/>
      <c r="FZ212" s="691" t="s">
        <v>225</v>
      </c>
      <c r="GC212" s="461" t="s">
        <v>1670</v>
      </c>
    </row>
    <row r="213" spans="1:186" ht="14.25" hidden="1" customHeight="1" x14ac:dyDescent="0.15">
      <c r="A213" s="59"/>
      <c r="B213" s="613" t="b">
        <f>AND(R197="двухставочный",NOT(S197))</f>
        <v>0</v>
      </c>
      <c r="C213" s="59"/>
      <c r="D213" s="59"/>
      <c r="E213" s="462">
        <v>15</v>
      </c>
      <c r="F213" s="3" t="str" cm="1">
        <f t="array" aca="1" ref="F213" ca="1">OFFSET(E213,-1,1)</f>
        <v>3</v>
      </c>
      <c r="G213" s="59"/>
      <c r="H213" s="59"/>
      <c r="I213" s="59"/>
      <c r="J213" s="59"/>
      <c r="K213" s="59"/>
      <c r="L213" s="59"/>
      <c r="M213" s="59"/>
      <c r="N213" s="59"/>
      <c r="O213" s="59"/>
      <c r="P213" s="59"/>
      <c r="Q213" s="59"/>
      <c r="R213" s="4"/>
      <c r="S213" s="59"/>
      <c r="T213" s="353" t="b" cm="1">
        <f t="array" aca="1" ref="T213" ca="1">T212</f>
        <v>1</v>
      </c>
      <c r="U213" s="59"/>
      <c r="V213" s="59"/>
      <c r="W213" s="59"/>
      <c r="X213" s="1022"/>
      <c r="Y213" s="59"/>
      <c r="Z213" s="966"/>
      <c r="AA213" s="59"/>
      <c r="AB213" s="592" t="s">
        <v>1675</v>
      </c>
      <c r="AC213" s="593"/>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c r="CZ213" s="202"/>
      <c r="DA213" s="202"/>
      <c r="DB213" s="202"/>
      <c r="DC213" s="202"/>
      <c r="DD213" s="202"/>
      <c r="DE213" s="202"/>
      <c r="DF213" s="202"/>
      <c r="DG213" s="202"/>
      <c r="DH213" s="202"/>
      <c r="DI213" s="202"/>
      <c r="DJ213" s="202"/>
      <c r="DK213" s="202"/>
      <c r="DL213" s="202"/>
      <c r="DM213" s="202"/>
      <c r="DN213" s="202"/>
      <c r="DO213" s="202"/>
      <c r="DP213" s="202"/>
      <c r="DQ213" s="202"/>
      <c r="DR213" s="202"/>
      <c r="DS213" s="202"/>
      <c r="DT213" s="202"/>
      <c r="DU213" s="202"/>
      <c r="DV213" s="202"/>
      <c r="DW213" s="202"/>
      <c r="DX213" s="202"/>
      <c r="DY213" s="202"/>
      <c r="DZ213" s="202"/>
      <c r="EA213" s="202"/>
      <c r="EB213" s="202"/>
      <c r="EC213" s="202"/>
      <c r="ED213" s="202"/>
      <c r="EE213" s="202"/>
      <c r="EF213" s="202"/>
      <c r="EG213" s="202"/>
      <c r="EH213" s="202"/>
      <c r="EI213" s="202"/>
      <c r="EJ213" s="202"/>
      <c r="EK213" s="202"/>
      <c r="EL213" s="202"/>
      <c r="EM213" s="202"/>
      <c r="EN213" s="202"/>
      <c r="EO213" s="202"/>
      <c r="EP213" s="202"/>
      <c r="EQ213" s="202"/>
      <c r="ER213" s="202"/>
      <c r="ES213" s="202"/>
      <c r="ET213" s="202"/>
      <c r="EU213" s="202"/>
      <c r="EV213" s="202"/>
      <c r="EW213" s="202"/>
      <c r="EX213" s="202"/>
      <c r="EY213" s="202"/>
      <c r="EZ213" s="202"/>
      <c r="FA213" s="202"/>
      <c r="FB213" s="202"/>
      <c r="FC213" s="202"/>
      <c r="FD213" s="202"/>
      <c r="FE213" s="202"/>
      <c r="FF213" s="202"/>
      <c r="FG213" s="202"/>
      <c r="FH213" s="202"/>
      <c r="FI213" s="202"/>
      <c r="FJ213" s="202"/>
      <c r="FK213" s="202"/>
      <c r="FL213" s="202"/>
      <c r="FM213" s="202"/>
      <c r="FN213" s="202"/>
      <c r="FO213" s="202"/>
      <c r="FP213" s="202"/>
      <c r="FQ213" s="202"/>
      <c r="FR213" s="202"/>
      <c r="FS213" s="202"/>
      <c r="FT213" s="202"/>
      <c r="FU213" s="202"/>
      <c r="FV213" s="202"/>
      <c r="FW213" s="203"/>
      <c r="FZ213" s="691" t="s">
        <v>225</v>
      </c>
    </row>
    <row r="214" spans="1:186" ht="23.25" hidden="1" customHeight="1" x14ac:dyDescent="0.15">
      <c r="A214" s="59"/>
      <c r="B214" s="613" t="b" cm="1">
        <f t="array" ref="B214">B213</f>
        <v>0</v>
      </c>
      <c r="C214" s="59"/>
      <c r="D214" s="59"/>
      <c r="E214" s="462">
        <v>24.5</v>
      </c>
      <c r="F214" s="3" t="str" cm="1">
        <f t="array" aca="1" ref="F214" ca="1">OFFSET(E214,-1,1)</f>
        <v>3</v>
      </c>
      <c r="G214" s="59"/>
      <c r="H214" s="59"/>
      <c r="I214" s="59"/>
      <c r="J214" s="59"/>
      <c r="K214" s="59"/>
      <c r="L214" s="59"/>
      <c r="M214" s="59"/>
      <c r="N214" s="59"/>
      <c r="O214" s="59"/>
      <c r="P214" s="59"/>
      <c r="Q214" s="59"/>
      <c r="R214" s="59"/>
      <c r="S214" s="59"/>
      <c r="T214" s="353" t="b" cm="1">
        <f t="array" aca="1" ref="T214" ca="1">T213</f>
        <v>1</v>
      </c>
      <c r="U214" s="59"/>
      <c r="V214" s="59"/>
      <c r="W214" s="59"/>
      <c r="X214" s="1022"/>
      <c r="Y214" s="59"/>
      <c r="Z214" s="966"/>
      <c r="AA214" s="59"/>
      <c r="AB214" s="205" t="s">
        <v>1676</v>
      </c>
      <c r="AC214" s="597"/>
      <c r="AD214" s="718"/>
      <c r="AE214" s="718"/>
      <c r="AF214" s="718"/>
      <c r="AG214" s="718"/>
      <c r="AH214" s="718"/>
      <c r="AI214" s="718"/>
      <c r="AJ214" s="718"/>
      <c r="AK214" s="718"/>
      <c r="AL214" s="718"/>
      <c r="AM214" s="718"/>
      <c r="AN214" s="718"/>
      <c r="AO214" s="718"/>
      <c r="AP214" s="718"/>
      <c r="AQ214" s="718"/>
      <c r="AR214" s="718"/>
      <c r="AS214" s="718"/>
      <c r="AT214" s="718"/>
      <c r="AU214" s="718"/>
      <c r="AV214" s="718"/>
      <c r="AW214" s="718"/>
      <c r="AX214" s="718"/>
      <c r="AY214" s="718"/>
      <c r="AZ214" s="718"/>
      <c r="BA214" s="718"/>
      <c r="BB214" s="718"/>
      <c r="BC214" s="718"/>
      <c r="BD214" s="718"/>
      <c r="BE214" s="718"/>
      <c r="BF214" s="718"/>
      <c r="BG214" s="718"/>
      <c r="BH214" s="718"/>
      <c r="BI214" s="718"/>
      <c r="BJ214" s="718"/>
      <c r="BK214" s="718"/>
      <c r="BL214" s="718"/>
      <c r="BM214" s="718"/>
      <c r="BN214" s="718"/>
      <c r="BO214" s="718"/>
      <c r="BP214" s="718"/>
      <c r="BQ214" s="718"/>
      <c r="BR214" s="718"/>
      <c r="BS214" s="718"/>
      <c r="BT214" s="718"/>
      <c r="BU214" s="718"/>
      <c r="BV214" s="718"/>
      <c r="BW214" s="718"/>
      <c r="BX214" s="718"/>
      <c r="BY214" s="718"/>
      <c r="BZ214" s="718"/>
      <c r="CA214" s="718"/>
      <c r="CB214" s="718"/>
      <c r="CC214" s="718"/>
      <c r="CD214" s="718"/>
      <c r="CE214" s="718"/>
      <c r="CF214" s="718"/>
      <c r="CG214" s="718"/>
      <c r="CH214" s="718"/>
      <c r="CI214" s="718"/>
      <c r="CJ214" s="718"/>
      <c r="CK214" s="718"/>
      <c r="CL214" s="718"/>
      <c r="CM214" s="718"/>
      <c r="CN214" s="718"/>
      <c r="CO214" s="718"/>
      <c r="CP214" s="718"/>
      <c r="CQ214" s="718"/>
      <c r="CR214" s="718"/>
      <c r="CS214" s="718"/>
      <c r="CT214" s="718"/>
      <c r="CU214" s="718"/>
      <c r="CV214" s="718"/>
      <c r="CW214" s="718"/>
      <c r="CX214" s="718"/>
      <c r="CY214" s="718"/>
      <c r="CZ214" s="718"/>
      <c r="DA214" s="718"/>
      <c r="DB214" s="718"/>
      <c r="DC214" s="718"/>
      <c r="DD214" s="718"/>
      <c r="DE214" s="718"/>
      <c r="DF214" s="718"/>
      <c r="DG214" s="718"/>
      <c r="DH214" s="718"/>
      <c r="DI214" s="718"/>
      <c r="DJ214" s="718"/>
      <c r="DK214" s="718"/>
      <c r="DL214" s="718"/>
      <c r="DM214" s="718"/>
      <c r="DN214" s="718"/>
      <c r="DO214" s="718"/>
      <c r="DP214" s="718"/>
      <c r="DQ214" s="718"/>
      <c r="DR214" s="718"/>
      <c r="DS214" s="718"/>
      <c r="DT214" s="718"/>
      <c r="DU214" s="718"/>
      <c r="DV214" s="718"/>
      <c r="DW214" s="718"/>
      <c r="DX214" s="718"/>
      <c r="DY214" s="718"/>
      <c r="DZ214" s="718"/>
      <c r="EA214" s="718"/>
      <c r="EB214" s="718"/>
      <c r="EC214" s="718"/>
      <c r="ED214" s="718"/>
      <c r="EE214" s="718"/>
      <c r="EF214" s="718"/>
      <c r="EG214" s="718"/>
      <c r="EH214" s="718"/>
      <c r="EI214" s="718"/>
      <c r="EJ214" s="718"/>
      <c r="EK214" s="718"/>
      <c r="EL214" s="718"/>
      <c r="EM214" s="718"/>
      <c r="EN214" s="718"/>
      <c r="EO214" s="718"/>
      <c r="EP214" s="718"/>
      <c r="EQ214" s="718"/>
      <c r="ER214" s="718"/>
      <c r="ES214" s="718"/>
      <c r="ET214" s="718"/>
      <c r="EU214" s="718"/>
      <c r="EV214" s="718"/>
      <c r="EW214" s="718"/>
      <c r="EX214" s="718"/>
      <c r="EY214" s="718"/>
      <c r="EZ214" s="718"/>
      <c r="FA214" s="718"/>
      <c r="FB214" s="718"/>
      <c r="FC214" s="718"/>
      <c r="FD214" s="718"/>
      <c r="FE214" s="718"/>
      <c r="FF214" s="718"/>
      <c r="FG214" s="718"/>
      <c r="FH214" s="718"/>
      <c r="FI214" s="718"/>
      <c r="FJ214" s="718"/>
      <c r="FK214" s="718"/>
      <c r="FL214" s="718"/>
      <c r="FM214" s="718"/>
      <c r="FN214" s="718"/>
      <c r="FO214" s="718"/>
      <c r="FP214" s="718"/>
      <c r="FQ214" s="718"/>
      <c r="FR214" s="718"/>
      <c r="FS214" s="718"/>
      <c r="FT214" s="718"/>
      <c r="FU214" s="718"/>
      <c r="FV214" s="718"/>
      <c r="FW214" s="719"/>
      <c r="FZ214" s="691" t="s">
        <v>225</v>
      </c>
    </row>
    <row r="215" spans="1:186" ht="14.25" hidden="1" customHeight="1" x14ac:dyDescent="0.15">
      <c r="A215" s="59"/>
      <c r="B215" s="613" t="b" cm="1">
        <f t="array" ref="B215">B214</f>
        <v>0</v>
      </c>
      <c r="C215" s="59"/>
      <c r="D215" s="59"/>
      <c r="E215" s="462">
        <v>15</v>
      </c>
      <c r="F215" s="3" t="str" cm="1">
        <f t="array" aca="1" ref="F215" ca="1">OFFSET(E215,-1,1)</f>
        <v>3</v>
      </c>
      <c r="G215" s="59"/>
      <c r="H215" s="59" t="s">
        <v>1570</v>
      </c>
      <c r="I215" s="59" t="s">
        <v>1642</v>
      </c>
      <c r="J215" s="59"/>
      <c r="K215" s="59"/>
      <c r="L215" s="59"/>
      <c r="M215" s="59"/>
      <c r="N215" s="59"/>
      <c r="O215" s="59"/>
      <c r="P215" s="59"/>
      <c r="Q215" s="59"/>
      <c r="R215" s="59"/>
      <c r="S215" s="59"/>
      <c r="T215" s="353" t="b" cm="1">
        <f t="array" aca="1" ref="T215" ca="1">T214</f>
        <v>1</v>
      </c>
      <c r="U215" s="59"/>
      <c r="V215" s="59"/>
      <c r="W215" s="59"/>
      <c r="X215" s="1022"/>
      <c r="Y215" s="59"/>
      <c r="Z215" s="966"/>
      <c r="AA215" s="59"/>
      <c r="AB215" s="105" t="s">
        <v>1677</v>
      </c>
      <c r="AC215" s="12" t="s">
        <v>1644</v>
      </c>
      <c r="AD215" s="820">
        <f ca="1">IF(AD217=0,0,(AD216*AD217+AD218*AD219*IF(god=2026,9,6))/AD217)</f>
        <v>0</v>
      </c>
      <c r="AE215" s="820">
        <f ca="1">IF(AE217=0,0,(AE216*AE217+AE218*AE219*IF(god=2026,9,6))/AE217)</f>
        <v>0</v>
      </c>
      <c r="AF215" s="714">
        <f ca="1">IF(AD215=0,0,(AE215-AD215)/AD215*100)</f>
        <v>0</v>
      </c>
      <c r="AG215" s="820">
        <f ca="1">IF(AG217=0,0,(AG216*AG217+AG218*AG219*IF(god=2025,9,6))/AG217)</f>
        <v>0</v>
      </c>
      <c r="AH215" s="820">
        <f ca="1">IF(AH217=0,0,(AH216*AH217+AH218*AH219*IF(god=2025,9,6))/AH217)</f>
        <v>0</v>
      </c>
      <c r="AI215" s="714">
        <f ca="1">IF(AG215=0,0,(AH215-AG215)/AG215*100)</f>
        <v>0</v>
      </c>
      <c r="AJ215" s="820">
        <f ca="1">IF(AJ217=0,0,(AJ216*AJ217+AJ218*AJ219*6)/AJ217)</f>
        <v>0</v>
      </c>
      <c r="AK215" s="820">
        <f ca="1">IF(AK217=0,0,(AK216*AK217+AK218*AK219*6)/AK217)</f>
        <v>0</v>
      </c>
      <c r="AL215" s="714">
        <f ca="1">IF(AJ215=0,0,(AK215-AJ215)/AJ215*100)</f>
        <v>0</v>
      </c>
      <c r="AM215" s="820">
        <f ca="1">IF(AM217=0,0,(AM216*AM217+AM218*AM219*6)/AM217)</f>
        <v>0</v>
      </c>
      <c r="AN215" s="820">
        <f ca="1">IF(AN217=0,0,(AN216*AN217+AN218*AN219*6)/AN217)</f>
        <v>0</v>
      </c>
      <c r="AO215" s="714">
        <f ca="1">IF(AM215=0,0,(AN215-AM215)/AM215*100)</f>
        <v>0</v>
      </c>
      <c r="AP215" s="820">
        <f ca="1">IF(AP217=0,0,(AP216*AP217+AP218*AP219*6)/AP217)</f>
        <v>0</v>
      </c>
      <c r="AQ215" s="820">
        <f ca="1">IF(AQ217=0,0,(AQ216*AQ217+AQ218*AQ219*6)/AQ217)</f>
        <v>0</v>
      </c>
      <c r="AR215" s="714">
        <f ca="1">IF(AP215=0,0,(AQ215-AP215)/AP215*100)</f>
        <v>0</v>
      </c>
      <c r="AS215" s="820">
        <f ca="1">IF(AS217=0,0,(AS216*AS217+AS218*AS219*6)/AS217)</f>
        <v>0</v>
      </c>
      <c r="AT215" s="820">
        <f ca="1">IF(AT217=0,0,(AT216*AT217+AT218*AT219*6)/AT217)</f>
        <v>0</v>
      </c>
      <c r="AU215" s="714">
        <f ca="1">IF(AS215=0,0,(AT215-AS215)/AS215*100)</f>
        <v>0</v>
      </c>
      <c r="AV215" s="820">
        <f ca="1">IF(AV217=0,0,(AV216*AV217+AV218*AV219*6)/AV217)</f>
        <v>0</v>
      </c>
      <c r="AW215" s="820">
        <f ca="1">IF(AW217=0,0,(AW216*AW217+AW218*AW219*6)/AW217)</f>
        <v>0</v>
      </c>
      <c r="AX215" s="714">
        <f ca="1">IF(AV215=0,0,(AW215-AV215)/AV215*100)</f>
        <v>0</v>
      </c>
      <c r="AY215" s="820">
        <f ca="1">IF(AY217=0,0,(AY216*AY217+AY218*AY219*6)/AY217)</f>
        <v>0</v>
      </c>
      <c r="AZ215" s="820">
        <f ca="1">IF(AZ217=0,0,(AZ216*AZ217+AZ218*AZ219*6)/AZ217)</f>
        <v>0</v>
      </c>
      <c r="BA215" s="714">
        <f ca="1">IF(AY215=0,0,(AZ215-AY215)/AY215*100)</f>
        <v>0</v>
      </c>
      <c r="BB215" s="820">
        <f ca="1">IF(BB217=0,0,(BB216*BB217+BB218*BB219*6)/BB217)</f>
        <v>0</v>
      </c>
      <c r="BC215" s="820">
        <f ca="1">IF(BC217=0,0,(BC216*BC217+BC218*BC219*6)/BC217)</f>
        <v>0</v>
      </c>
      <c r="BD215" s="714">
        <f ca="1">IF(BB215=0,0,(BC215-BB215)/BB215*100)</f>
        <v>0</v>
      </c>
      <c r="BE215" s="820">
        <f ca="1">IF(BE217=0,0,(BE216*BE217+BE218*BE219*6)/BE217)</f>
        <v>0</v>
      </c>
      <c r="BF215" s="820">
        <f ca="1">IF(BF217=0,0,(BF216*BF217+BF218*BF219*6)/BF217)</f>
        <v>0</v>
      </c>
      <c r="BG215" s="714">
        <f ca="1">IF(BE215=0,0,(BF215-BE215)/BE215*100)</f>
        <v>0</v>
      </c>
      <c r="BH215" s="820">
        <f>IF(BH217=0,0,(BH216*BH217+BH218*BH219*6)/BH217)</f>
        <v>0</v>
      </c>
      <c r="BI215" s="820">
        <f>IF(BI217=0,0,(BI216*BI217+BI218*BI219*6)/BI217)</f>
        <v>0</v>
      </c>
      <c r="BJ215" s="714">
        <f>IF(BH215=0,0,(BI215-BH215)/BH215*100)</f>
        <v>0</v>
      </c>
      <c r="BK215" s="820">
        <f>IF(BK217=0,0,(BK216*BK217+BK218*BK219*6)/BK217)</f>
        <v>0</v>
      </c>
      <c r="BL215" s="820">
        <f>IF(BL217=0,0,(BL216*BL217+BL218*BL219*6)/BL217)</f>
        <v>0</v>
      </c>
      <c r="BM215" s="714">
        <f>IF(BK215=0,0,(BL215-BK215)/BK215*100)</f>
        <v>0</v>
      </c>
      <c r="BN215" s="820">
        <f>IF(BN217=0,0,(BN216*BN217+BN218*BN219*6)/BN217)</f>
        <v>0</v>
      </c>
      <c r="BO215" s="820">
        <f>IF(BO217=0,0,(BO216*BO217+BO218*BO219*6)/BO217)</f>
        <v>0</v>
      </c>
      <c r="BP215" s="714">
        <f>IF(BN215=0,0,(BO215-BN215)/BN215*100)</f>
        <v>0</v>
      </c>
      <c r="BQ215" s="820">
        <f>IF(BQ217=0,0,(BQ216*BQ217+BQ218*BQ219*6)/BQ217)</f>
        <v>0</v>
      </c>
      <c r="BR215" s="820">
        <f>IF(BR217=0,0,(BR216*BR217+BR218*BR219*6)/BR217)</f>
        <v>0</v>
      </c>
      <c r="BS215" s="714">
        <f>IF(BQ215=0,0,(BR215-BQ215)/BQ215*100)</f>
        <v>0</v>
      </c>
      <c r="BT215" s="820">
        <f>IF(BT217=0,0,(BT216*BT217+BT218*BT219*6)/BT217)</f>
        <v>0</v>
      </c>
      <c r="BU215" s="820">
        <f>IF(BU217=0,0,(BU216*BU217+BU218*BU219*6)/BU217)</f>
        <v>0</v>
      </c>
      <c r="BV215" s="714">
        <f>IF(BT215=0,0,(BU215-BT215)/BT215*100)</f>
        <v>0</v>
      </c>
      <c r="BW215" s="820">
        <f>IF(BW217=0,0,(BW216*BW217+BW218*BW219*6)/BW217)</f>
        <v>0</v>
      </c>
      <c r="BX215" s="820">
        <f>IF(BX217=0,0,(BX216*BX217+BX218*BX219*6)/BX217)</f>
        <v>0</v>
      </c>
      <c r="BY215" s="714">
        <f>IF(BW215=0,0,(BX215-BW215)/BW215*100)</f>
        <v>0</v>
      </c>
      <c r="BZ215" s="820">
        <f>IF(BZ217=0,0,(BZ216*BZ217+BZ218*BZ219*6)/BZ217)</f>
        <v>0</v>
      </c>
      <c r="CA215" s="820">
        <f>IF(CA217=0,0,(CA216*CA217+CA218*CA219*6)/CA217)</f>
        <v>0</v>
      </c>
      <c r="CB215" s="714">
        <f>IF(BZ215=0,0,(CA215-BZ215)/BZ215*100)</f>
        <v>0</v>
      </c>
      <c r="CC215" s="820">
        <f>IF(CC217=0,0,(CC216*CC217+CC218*CC219*6)/CC217)</f>
        <v>0</v>
      </c>
      <c r="CD215" s="820">
        <f>IF(CD217=0,0,(CD216*CD217+CD218*CD219*6)/CD217)</f>
        <v>0</v>
      </c>
      <c r="CE215" s="714">
        <f>IF(CC215=0,0,(CD215-CC215)/CC215*100)</f>
        <v>0</v>
      </c>
      <c r="CF215" s="820">
        <f>IF(CF217=0,0,(CF216*CF217+CF218*CF219*6)/CF217)</f>
        <v>0</v>
      </c>
      <c r="CG215" s="820">
        <f>IF(CG217=0,0,(CG216*CG217+CG218*CG219*6)/CG217)</f>
        <v>0</v>
      </c>
      <c r="CH215" s="714">
        <f>IF(CF215=0,0,(CG215-CF215)/CF215*100)</f>
        <v>0</v>
      </c>
      <c r="CI215" s="820">
        <f>IF(CI217=0,0,(CI216*CI217+CI218*CI219*6)/CI217)</f>
        <v>0</v>
      </c>
      <c r="CJ215" s="820">
        <f>IF(CJ217=0,0,(CJ216*CJ217+CJ218*CJ219*6)/CJ217)</f>
        <v>0</v>
      </c>
      <c r="CK215" s="714">
        <f>IF(CI215=0,0,(CJ215-CI215)/CI215*100)</f>
        <v>0</v>
      </c>
      <c r="CL215" s="820">
        <f>IF(CL217=0,0,(CL216*CL217+CL218*CL219*6)/CL217)</f>
        <v>0</v>
      </c>
      <c r="CM215" s="820">
        <f>IF(CM217=0,0,(CM216*CM217+CM218*CM219*6)/CM217)</f>
        <v>0</v>
      </c>
      <c r="CN215" s="714">
        <f>IF(CL215=0,0,(CM215-CL215)/CL215*100)</f>
        <v>0</v>
      </c>
      <c r="CO215" s="820">
        <f>IF(CO217=0,0,(CO216*CO217+CO218*CO219*6)/CO217)</f>
        <v>0</v>
      </c>
      <c r="CP215" s="820">
        <f>IF(CP217=0,0,(CP216*CP217+CP218*CP219*6)/CP217)</f>
        <v>0</v>
      </c>
      <c r="CQ215" s="714">
        <f>IF(CO215=0,0,(CP215-CO215)/CO215*100)</f>
        <v>0</v>
      </c>
      <c r="CR215" s="820">
        <f>IF(CR217=0,0,(CR216*CR217+CR218*CR219*6)/CR217)</f>
        <v>0</v>
      </c>
      <c r="CS215" s="820">
        <f>IF(CS217=0,0,(CS216*CS217+CS218*CS219*6)/CS217)</f>
        <v>0</v>
      </c>
      <c r="CT215" s="714">
        <f>IF(CR215=0,0,(CS215-CR215)/CR215*100)</f>
        <v>0</v>
      </c>
      <c r="CU215" s="820">
        <f>IF(CU217=0,0,(CU216*CU217+CU218*CU219*6)/CU217)</f>
        <v>0</v>
      </c>
      <c r="CV215" s="820">
        <f>IF(CV217=0,0,(CV216*CV217+CV218*CV219*6)/CV217)</f>
        <v>0</v>
      </c>
      <c r="CW215" s="714">
        <f>IF(CU215=0,0,(CV215-CU215)/CU215*100)</f>
        <v>0</v>
      </c>
      <c r="CX215" s="820">
        <f>IF(CX217=0,0,(CX216*CX217+CX218*CX219*6)/CX217)</f>
        <v>0</v>
      </c>
      <c r="CY215" s="820">
        <f>IF(CY217=0,0,(CY216*CY217+CY218*CY219*6)/CY217)</f>
        <v>0</v>
      </c>
      <c r="CZ215" s="714">
        <f>IF(CX215=0,0,(CY215-CX215)/CX215*100)</f>
        <v>0</v>
      </c>
      <c r="DA215" s="820">
        <f>IF(DA217=0,0,(DA216*DA217+DA218*DA219*6)/DA217)</f>
        <v>0</v>
      </c>
      <c r="DB215" s="820">
        <f>IF(DB217=0,0,(DB216*DB217+DB218*DB219*6)/DB217)</f>
        <v>0</v>
      </c>
      <c r="DC215" s="714">
        <f>IF(DA215=0,0,(DB215-DA215)/DA215*100)</f>
        <v>0</v>
      </c>
      <c r="DD215" s="820">
        <f>IF(DD217=0,0,(DD216*DD217+DD218*DD219*6)/DD217)</f>
        <v>0</v>
      </c>
      <c r="DE215" s="820">
        <f>IF(DE217=0,0,(DE216*DE217+DE218*DE219*6)/DE217)</f>
        <v>0</v>
      </c>
      <c r="DF215" s="714">
        <f>IF(DD215=0,0,(DE215-DD215)/DD215*100)</f>
        <v>0</v>
      </c>
      <c r="DG215" s="820">
        <f>IF(DG217=0,0,(DG216*DG217+DG218*DG219*6)/DG217)</f>
        <v>0</v>
      </c>
      <c r="DH215" s="820">
        <f>IF(DH217=0,0,(DH216*DH217+DH218*DH219*6)/DH217)</f>
        <v>0</v>
      </c>
      <c r="DI215" s="714">
        <f>IF(DG215=0,0,(DH215-DG215)/DG215*100)</f>
        <v>0</v>
      </c>
      <c r="DJ215" s="820">
        <f>IF(DJ217=0,0,(DJ216*DJ217+DJ218*DJ219*6)/DJ217)</f>
        <v>0</v>
      </c>
      <c r="DK215" s="820">
        <f>IF(DK217=0,0,(DK216*DK217+DK218*DK219*6)/DK217)</f>
        <v>0</v>
      </c>
      <c r="DL215" s="714">
        <f>IF(DJ215=0,0,(DK215-DJ215)/DJ215*100)</f>
        <v>0</v>
      </c>
      <c r="DM215" s="820">
        <f>IF(DM217=0,0,(DM216*DM217+DM218*DM219*6)/DM217)</f>
        <v>0</v>
      </c>
      <c r="DN215" s="820">
        <f>IF(DN217=0,0,(DN216*DN217+DN218*DN219*6)/DN217)</f>
        <v>0</v>
      </c>
      <c r="DO215" s="714">
        <f>IF(DM215=0,0,(DN215-DM215)/DM215*100)</f>
        <v>0</v>
      </c>
      <c r="DP215" s="820">
        <f>IF(DP217=0,0,(DP216*DP217+DP218*DP219*6)/DP217)</f>
        <v>0</v>
      </c>
      <c r="DQ215" s="820">
        <f>IF(DQ217=0,0,(DQ216*DQ217+DQ218*DQ219*6)/DQ217)</f>
        <v>0</v>
      </c>
      <c r="DR215" s="714">
        <f>IF(DP215=0,0,(DQ215-DP215)/DP215*100)</f>
        <v>0</v>
      </c>
      <c r="DS215" s="820">
        <f>IF(DS217=0,0,(DS216*DS217+DS218*DS219*6)/DS217)</f>
        <v>0</v>
      </c>
      <c r="DT215" s="820">
        <f>IF(DT217=0,0,(DT216*DT217+DT218*DT219*6)/DT217)</f>
        <v>0</v>
      </c>
      <c r="DU215" s="714">
        <f>IF(DS215=0,0,(DT215-DS215)/DS215*100)</f>
        <v>0</v>
      </c>
      <c r="DV215" s="820">
        <f>IF(DV217=0,0,(DV216*DV217+DV218*DV219*6)/DV217)</f>
        <v>0</v>
      </c>
      <c r="DW215" s="820">
        <f>IF(DW217=0,0,(DW216*DW217+DW218*DW219*6)/DW217)</f>
        <v>0</v>
      </c>
      <c r="DX215" s="714">
        <f>IF(DV215=0,0,(DW215-DV215)/DV215*100)</f>
        <v>0</v>
      </c>
      <c r="DY215" s="820">
        <f>IF(DY217=0,0,(DY216*DY217+DY218*DY219*6)/DY217)</f>
        <v>0</v>
      </c>
      <c r="DZ215" s="820">
        <f>IF(DZ217=0,0,(DZ216*DZ217+DZ218*DZ219*6)/DZ217)</f>
        <v>0</v>
      </c>
      <c r="EA215" s="714">
        <f>IF(DY215=0,0,(DZ215-DY215)/DY215*100)</f>
        <v>0</v>
      </c>
      <c r="EB215" s="820">
        <f>IF(EB217=0,0,(EB216*EB217+EB218*EB219*6)/EB217)</f>
        <v>0</v>
      </c>
      <c r="EC215" s="820">
        <f>IF(EC217=0,0,(EC216*EC217+EC218*EC219*6)/EC217)</f>
        <v>0</v>
      </c>
      <c r="ED215" s="714">
        <f>IF(EB215=0,0,(EC215-EB215)/EB215*100)</f>
        <v>0</v>
      </c>
      <c r="EE215" s="820">
        <f>IF(EE217=0,0,(EE216*EE217+EE218*EE219*6)/EE217)</f>
        <v>0</v>
      </c>
      <c r="EF215" s="820">
        <f>IF(EF217=0,0,(EF216*EF217+EF218*EF219*6)/EF217)</f>
        <v>0</v>
      </c>
      <c r="EG215" s="714">
        <f>IF(EE215=0,0,(EF215-EE215)/EE215*100)</f>
        <v>0</v>
      </c>
      <c r="EH215" s="820">
        <f>IF(EH217=0,0,(EH216*EH217+EH218*EH219*6)/EH217)</f>
        <v>0</v>
      </c>
      <c r="EI215" s="820">
        <f>IF(EI217=0,0,(EI216*EI217+EI218*EI219*6)/EI217)</f>
        <v>0</v>
      </c>
      <c r="EJ215" s="714">
        <f>IF(EH215=0,0,(EI215-EH215)/EH215*100)</f>
        <v>0</v>
      </c>
      <c r="EK215" s="820">
        <f>IF(EK217=0,0,(EK216*EK217+EK218*EK219*6)/EK217)</f>
        <v>0</v>
      </c>
      <c r="EL215" s="820">
        <f>IF(EL217=0,0,(EL216*EL217+EL218*EL219*6)/EL217)</f>
        <v>0</v>
      </c>
      <c r="EM215" s="714">
        <f>IF(EK215=0,0,(EL215-EK215)/EK215*100)</f>
        <v>0</v>
      </c>
      <c r="EN215" s="820">
        <f>IF(EN217=0,0,(EN216*EN217+EN218*EN219*6)/EN217)</f>
        <v>0</v>
      </c>
      <c r="EO215" s="820">
        <f>IF(EO217=0,0,(EO216*EO217+EO218*EO219*6)/EO217)</f>
        <v>0</v>
      </c>
      <c r="EP215" s="714">
        <f>IF(EN215=0,0,(EO215-EN215)/EN215*100)</f>
        <v>0</v>
      </c>
      <c r="EQ215" s="820">
        <f>IF(EQ217=0,0,(EQ216*EQ217+EQ218*EQ219*6)/EQ217)</f>
        <v>0</v>
      </c>
      <c r="ER215" s="820">
        <f>IF(ER217=0,0,(ER216*ER217+ER218*ER219*6)/ER217)</f>
        <v>0</v>
      </c>
      <c r="ES215" s="714">
        <f>IF(EQ215=0,0,(ER215-EQ215)/EQ215*100)</f>
        <v>0</v>
      </c>
      <c r="ET215" s="820">
        <f>IF(ET217=0,0,(ET216*ET217+ET218*ET219*6)/ET217)</f>
        <v>0</v>
      </c>
      <c r="EU215" s="820">
        <f>IF(EU217=0,0,(EU216*EU217+EU218*EU219*6)/EU217)</f>
        <v>0</v>
      </c>
      <c r="EV215" s="714">
        <f>IF(ET215=0,0,(EU215-ET215)/ET215*100)</f>
        <v>0</v>
      </c>
      <c r="EW215" s="820">
        <f>IF(EW217=0,0,(EW216*EW217+EW218*EW219*6)/EW217)</f>
        <v>0</v>
      </c>
      <c r="EX215" s="820">
        <f>IF(EX217=0,0,(EX216*EX217+EX218*EX219*6)/EX217)</f>
        <v>0</v>
      </c>
      <c r="EY215" s="714">
        <f>IF(EW215=0,0,(EX215-EW215)/EW215*100)</f>
        <v>0</v>
      </c>
      <c r="EZ215" s="820">
        <f>IF(EZ217=0,0,(EZ216*EZ217+EZ218*EZ219*6)/EZ217)</f>
        <v>0</v>
      </c>
      <c r="FA215" s="820">
        <f>IF(FA217=0,0,(FA216*FA217+FA218*FA219*6)/FA217)</f>
        <v>0</v>
      </c>
      <c r="FB215" s="714">
        <f>IF(EZ215=0,0,(FA215-EZ215)/EZ215*100)</f>
        <v>0</v>
      </c>
      <c r="FC215" s="820">
        <f>IF(FC217=0,0,(FC216*FC217+FC218*FC219*6)/FC217)</f>
        <v>0</v>
      </c>
      <c r="FD215" s="820">
        <f>IF(FD217=0,0,(FD216*FD217+FD218*FD219*6)/FD217)</f>
        <v>0</v>
      </c>
      <c r="FE215" s="714">
        <f>IF(FC215=0,0,(FD215-FC215)/FC215*100)</f>
        <v>0</v>
      </c>
      <c r="FF215" s="820">
        <f>IF(FF217=0,0,(FF216*FF217+FF218*FF219*6)/FF217)</f>
        <v>0</v>
      </c>
      <c r="FG215" s="820">
        <f>IF(FG217=0,0,(FG216*FG217+FG218*FG219*6)/FG217)</f>
        <v>0</v>
      </c>
      <c r="FH215" s="714">
        <f>IF(FF215=0,0,(FG215-FF215)/FF215*100)</f>
        <v>0</v>
      </c>
      <c r="FI215" s="820">
        <f>IF(FI217=0,0,(FI216*FI217+FI218*FI219*6)/FI217)</f>
        <v>0</v>
      </c>
      <c r="FJ215" s="820">
        <f>IF(FJ217=0,0,(FJ216*FJ217+FJ218*FJ219*6)/FJ217)</f>
        <v>0</v>
      </c>
      <c r="FK215" s="714">
        <f>IF(FI215=0,0,(FJ215-FI215)/FI215*100)</f>
        <v>0</v>
      </c>
      <c r="FL215" s="820">
        <f>IF(FL217=0,0,(FL216*FL217+FL218*FL219*6)/FL217)</f>
        <v>0</v>
      </c>
      <c r="FM215" s="820">
        <f>IF(FM217=0,0,(FM216*FM217+FM218*FM219*6)/FM217)</f>
        <v>0</v>
      </c>
      <c r="FN215" s="714">
        <f>IF(FL215=0,0,(FM215-FL215)/FL215*100)</f>
        <v>0</v>
      </c>
      <c r="FO215" s="820">
        <f>IF(FO217=0,0,(FO216*FO217+FO218*FO219*6)/FO217)</f>
        <v>0</v>
      </c>
      <c r="FP215" s="820">
        <f>IF(FP217=0,0,(FP216*FP217+FP218*FP219*6)/FP217)</f>
        <v>0</v>
      </c>
      <c r="FQ215" s="714">
        <f>IF(FO215=0,0,(FP215-FO215)/FO215*100)</f>
        <v>0</v>
      </c>
      <c r="FR215" s="820">
        <f>IF(FR217=0,0,(FR216*FR217+FR218*FR219*6)/FR217)</f>
        <v>0</v>
      </c>
      <c r="FS215" s="820">
        <f>IF(FS217=0,0,(FS216*FS217+FS218*FS219*6)/FS217)</f>
        <v>0</v>
      </c>
      <c r="FT215" s="714">
        <f>IF(FR215=0,0,(FS215-FR215)/FR215*100)</f>
        <v>0</v>
      </c>
      <c r="FU215" s="820">
        <f>IF(FU217=0,0,(FU216*FU217+FU218*FU219*6)/FU217)</f>
        <v>0</v>
      </c>
      <c r="FV215" s="820">
        <f>IF(FV217=0,0,(FV216*FV217+FV218*FV219*6)/FV217)</f>
        <v>0</v>
      </c>
      <c r="FW215" s="714">
        <f>IF(FU215=0,0,(FV215-FU215)/FU215*100)</f>
        <v>0</v>
      </c>
      <c r="FZ215" s="691" t="s">
        <v>1678</v>
      </c>
    </row>
    <row r="216" spans="1:186" ht="14.25" hidden="1" customHeight="1" x14ac:dyDescent="0.15">
      <c r="A216" s="59"/>
      <c r="B216" s="613" t="b" cm="1">
        <f t="array" ref="B216">B215</f>
        <v>0</v>
      </c>
      <c r="C216" s="59"/>
      <c r="D216" s="59"/>
      <c r="E216" s="462">
        <v>15</v>
      </c>
      <c r="F216" s="3" t="str" cm="1">
        <f t="array" aca="1" ref="F216" ca="1">OFFSET(E216,-1,1)</f>
        <v>3</v>
      </c>
      <c r="G216" s="59"/>
      <c r="H216" s="59" t="s">
        <v>1574</v>
      </c>
      <c r="I216" s="59" t="s">
        <v>1642</v>
      </c>
      <c r="J216" s="59"/>
      <c r="K216" s="59"/>
      <c r="L216" s="59"/>
      <c r="M216" s="59"/>
      <c r="N216" s="59"/>
      <c r="O216" s="59"/>
      <c r="P216" s="59"/>
      <c r="Q216" s="59"/>
      <c r="R216" s="59"/>
      <c r="S216" s="59"/>
      <c r="T216" s="353" t="b" cm="1">
        <f t="array" aca="1" ref="T216" ca="1">T215</f>
        <v>1</v>
      </c>
      <c r="U216" s="59"/>
      <c r="V216" s="59"/>
      <c r="W216" s="59"/>
      <c r="X216" s="1022"/>
      <c r="Y216" s="59"/>
      <c r="Z216" s="966"/>
      <c r="AA216" s="59"/>
      <c r="AB216" s="105" t="str">
        <f>"ставка платы за "&amp;IF(Q197="Водоснабжение","потребление 1 куб.м холодной воды","объем принятых сточных вод")</f>
        <v>ставка платы за объем принятых сточных вод</v>
      </c>
      <c r="AC216" s="12" t="s">
        <v>1644</v>
      </c>
      <c r="AD216" s="820"/>
      <c r="AE216" s="820"/>
      <c r="AF216" s="714">
        <f>IF(AD216=0,0,(AE216-AD216)/AD216*100)</f>
        <v>0</v>
      </c>
      <c r="AG216" s="820"/>
      <c r="AH216" s="820"/>
      <c r="AI216" s="714">
        <f>IF(AG216=0,0,(AH216-AG216)/AG216*100)</f>
        <v>0</v>
      </c>
      <c r="AJ216" s="820"/>
      <c r="AK216" s="820"/>
      <c r="AL216" s="714">
        <f>IF(AJ216=0,0,(AK216-AJ216)/AJ216*100)</f>
        <v>0</v>
      </c>
      <c r="AM216" s="820"/>
      <c r="AN216" s="820"/>
      <c r="AO216" s="714">
        <f>IF(AM216=0,0,(AN216-AM216)/AM216*100)</f>
        <v>0</v>
      </c>
      <c r="AP216" s="820"/>
      <c r="AQ216" s="820"/>
      <c r="AR216" s="714">
        <f>IF(AP216=0,0,(AQ216-AP216)/AP216*100)</f>
        <v>0</v>
      </c>
      <c r="AS216" s="820"/>
      <c r="AT216" s="820"/>
      <c r="AU216" s="714">
        <f>IF(AS216=0,0,(AT216-AS216)/AS216*100)</f>
        <v>0</v>
      </c>
      <c r="AV216" s="820"/>
      <c r="AW216" s="820"/>
      <c r="AX216" s="714">
        <f>IF(AV216=0,0,(AW216-AV216)/AV216*100)</f>
        <v>0</v>
      </c>
      <c r="AY216" s="820"/>
      <c r="AZ216" s="820"/>
      <c r="BA216" s="714">
        <f>IF(AY216=0,0,(AZ216-AY216)/AY216*100)</f>
        <v>0</v>
      </c>
      <c r="BB216" s="820"/>
      <c r="BC216" s="820"/>
      <c r="BD216" s="714">
        <f>IF(BB216=0,0,(BC216-BB216)/BB216*100)</f>
        <v>0</v>
      </c>
      <c r="BE216" s="820"/>
      <c r="BF216" s="820"/>
      <c r="BG216" s="714">
        <f>IF(BE216=0,0,(BF216-BE216)/BE216*100)</f>
        <v>0</v>
      </c>
      <c r="BH216" s="820"/>
      <c r="BI216" s="820"/>
      <c r="BJ216" s="714">
        <f>IF(BH216=0,0,(BI216-BH216)/BH216*100)</f>
        <v>0</v>
      </c>
      <c r="BK216" s="820"/>
      <c r="BL216" s="820"/>
      <c r="BM216" s="714">
        <f>IF(BK216=0,0,(BL216-BK216)/BK216*100)</f>
        <v>0</v>
      </c>
      <c r="BN216" s="820"/>
      <c r="BO216" s="820"/>
      <c r="BP216" s="714">
        <f>IF(BN216=0,0,(BO216-BN216)/BN216*100)</f>
        <v>0</v>
      </c>
      <c r="BQ216" s="820"/>
      <c r="BR216" s="820"/>
      <c r="BS216" s="714">
        <f>IF(BQ216=0,0,(BR216-BQ216)/BQ216*100)</f>
        <v>0</v>
      </c>
      <c r="BT216" s="820"/>
      <c r="BU216" s="820"/>
      <c r="BV216" s="714">
        <f>IF(BT216=0,0,(BU216-BT216)/BT216*100)</f>
        <v>0</v>
      </c>
      <c r="BW216" s="820"/>
      <c r="BX216" s="820"/>
      <c r="BY216" s="714">
        <f>IF(BW216=0,0,(BX216-BW216)/BW216*100)</f>
        <v>0</v>
      </c>
      <c r="BZ216" s="820"/>
      <c r="CA216" s="820"/>
      <c r="CB216" s="714">
        <f>IF(BZ216=0,0,(CA216-BZ216)/BZ216*100)</f>
        <v>0</v>
      </c>
      <c r="CC216" s="820"/>
      <c r="CD216" s="820"/>
      <c r="CE216" s="714">
        <f>IF(CC216=0,0,(CD216-CC216)/CC216*100)</f>
        <v>0</v>
      </c>
      <c r="CF216" s="820"/>
      <c r="CG216" s="820"/>
      <c r="CH216" s="714">
        <f>IF(CF216=0,0,(CG216-CF216)/CF216*100)</f>
        <v>0</v>
      </c>
      <c r="CI216" s="820"/>
      <c r="CJ216" s="820"/>
      <c r="CK216" s="714">
        <f>IF(CI216=0,0,(CJ216-CI216)/CI216*100)</f>
        <v>0</v>
      </c>
      <c r="CL216" s="820"/>
      <c r="CM216" s="820"/>
      <c r="CN216" s="714">
        <f>IF(CL216=0,0,(CM216-CL216)/CL216*100)</f>
        <v>0</v>
      </c>
      <c r="CO216" s="820"/>
      <c r="CP216" s="820"/>
      <c r="CQ216" s="714">
        <f>IF(CO216=0,0,(CP216-CO216)/CO216*100)</f>
        <v>0</v>
      </c>
      <c r="CR216" s="820"/>
      <c r="CS216" s="820"/>
      <c r="CT216" s="714">
        <f>IF(CR216=0,0,(CS216-CR216)/CR216*100)</f>
        <v>0</v>
      </c>
      <c r="CU216" s="820"/>
      <c r="CV216" s="820"/>
      <c r="CW216" s="714">
        <f>IF(CU216=0,0,(CV216-CU216)/CU216*100)</f>
        <v>0</v>
      </c>
      <c r="CX216" s="820"/>
      <c r="CY216" s="820"/>
      <c r="CZ216" s="714">
        <f>IF(CX216=0,0,(CY216-CX216)/CX216*100)</f>
        <v>0</v>
      </c>
      <c r="DA216" s="820"/>
      <c r="DB216" s="820"/>
      <c r="DC216" s="714">
        <f>IF(DA216=0,0,(DB216-DA216)/DA216*100)</f>
        <v>0</v>
      </c>
      <c r="DD216" s="820"/>
      <c r="DE216" s="820"/>
      <c r="DF216" s="714">
        <f>IF(DD216=0,0,(DE216-DD216)/DD216*100)</f>
        <v>0</v>
      </c>
      <c r="DG216" s="820"/>
      <c r="DH216" s="820"/>
      <c r="DI216" s="714">
        <f>IF(DG216=0,0,(DH216-DG216)/DG216*100)</f>
        <v>0</v>
      </c>
      <c r="DJ216" s="820"/>
      <c r="DK216" s="820"/>
      <c r="DL216" s="714">
        <f>IF(DJ216=0,0,(DK216-DJ216)/DJ216*100)</f>
        <v>0</v>
      </c>
      <c r="DM216" s="820"/>
      <c r="DN216" s="820"/>
      <c r="DO216" s="714">
        <f>IF(DM216=0,0,(DN216-DM216)/DM216*100)</f>
        <v>0</v>
      </c>
      <c r="DP216" s="820"/>
      <c r="DQ216" s="820"/>
      <c r="DR216" s="714">
        <f>IF(DP216=0,0,(DQ216-DP216)/DP216*100)</f>
        <v>0</v>
      </c>
      <c r="DS216" s="820"/>
      <c r="DT216" s="820"/>
      <c r="DU216" s="714">
        <f>IF(DS216=0,0,(DT216-DS216)/DS216*100)</f>
        <v>0</v>
      </c>
      <c r="DV216" s="820"/>
      <c r="DW216" s="820"/>
      <c r="DX216" s="714">
        <f>IF(DV216=0,0,(DW216-DV216)/DV216*100)</f>
        <v>0</v>
      </c>
      <c r="DY216" s="820"/>
      <c r="DZ216" s="820"/>
      <c r="EA216" s="714">
        <f>IF(DY216=0,0,(DZ216-DY216)/DY216*100)</f>
        <v>0</v>
      </c>
      <c r="EB216" s="820"/>
      <c r="EC216" s="820"/>
      <c r="ED216" s="714">
        <f>IF(EB216=0,0,(EC216-EB216)/EB216*100)</f>
        <v>0</v>
      </c>
      <c r="EE216" s="820"/>
      <c r="EF216" s="820"/>
      <c r="EG216" s="714">
        <f>IF(EE216=0,0,(EF216-EE216)/EE216*100)</f>
        <v>0</v>
      </c>
      <c r="EH216" s="820"/>
      <c r="EI216" s="820"/>
      <c r="EJ216" s="714">
        <f>IF(EH216=0,0,(EI216-EH216)/EH216*100)</f>
        <v>0</v>
      </c>
      <c r="EK216" s="820"/>
      <c r="EL216" s="820"/>
      <c r="EM216" s="714">
        <f>IF(EK216=0,0,(EL216-EK216)/EK216*100)</f>
        <v>0</v>
      </c>
      <c r="EN216" s="820"/>
      <c r="EO216" s="820"/>
      <c r="EP216" s="714">
        <f>IF(EN216=0,0,(EO216-EN216)/EN216*100)</f>
        <v>0</v>
      </c>
      <c r="EQ216" s="820"/>
      <c r="ER216" s="820"/>
      <c r="ES216" s="714">
        <f>IF(EQ216=0,0,(ER216-EQ216)/EQ216*100)</f>
        <v>0</v>
      </c>
      <c r="ET216" s="820"/>
      <c r="EU216" s="820"/>
      <c r="EV216" s="714">
        <f>IF(ET216=0,0,(EU216-ET216)/ET216*100)</f>
        <v>0</v>
      </c>
      <c r="EW216" s="820"/>
      <c r="EX216" s="820"/>
      <c r="EY216" s="714">
        <f>IF(EW216=0,0,(EX216-EW216)/EW216*100)</f>
        <v>0</v>
      </c>
      <c r="EZ216" s="820"/>
      <c r="FA216" s="820"/>
      <c r="FB216" s="714">
        <f>IF(EZ216=0,0,(FA216-EZ216)/EZ216*100)</f>
        <v>0</v>
      </c>
      <c r="FC216" s="820"/>
      <c r="FD216" s="820"/>
      <c r="FE216" s="714">
        <f>IF(FC216=0,0,(FD216-FC216)/FC216*100)</f>
        <v>0</v>
      </c>
      <c r="FF216" s="820"/>
      <c r="FG216" s="820"/>
      <c r="FH216" s="714">
        <f>IF(FF216=0,0,(FG216-FF216)/FF216*100)</f>
        <v>0</v>
      </c>
      <c r="FI216" s="820"/>
      <c r="FJ216" s="820"/>
      <c r="FK216" s="714">
        <f>IF(FI216=0,0,(FJ216-FI216)/FI216*100)</f>
        <v>0</v>
      </c>
      <c r="FL216" s="820"/>
      <c r="FM216" s="820"/>
      <c r="FN216" s="714">
        <f>IF(FL216=0,0,(FM216-FL216)/FL216*100)</f>
        <v>0</v>
      </c>
      <c r="FO216" s="820"/>
      <c r="FP216" s="820"/>
      <c r="FQ216" s="714">
        <f>IF(FO216=0,0,(FP216-FO216)/FO216*100)</f>
        <v>0</v>
      </c>
      <c r="FR216" s="820"/>
      <c r="FS216" s="820"/>
      <c r="FT216" s="714">
        <f>IF(FR216=0,0,(FS216-FR216)/FR216*100)</f>
        <v>0</v>
      </c>
      <c r="FU216" s="820"/>
      <c r="FV216" s="820"/>
      <c r="FW216" s="714">
        <f>IF(FU216=0,0,(FV216-FU216)/FU216*100)</f>
        <v>0</v>
      </c>
      <c r="FZ216" s="691" t="s">
        <v>1679</v>
      </c>
    </row>
    <row r="217" spans="1:186" ht="14.25" hidden="1" customHeight="1" x14ac:dyDescent="0.15">
      <c r="A217" s="59"/>
      <c r="B217" s="613" t="b" cm="1">
        <f t="array" ref="B217">B216</f>
        <v>0</v>
      </c>
      <c r="C217" s="59"/>
      <c r="D217" s="59"/>
      <c r="E217" s="462">
        <v>15</v>
      </c>
      <c r="F217" s="3" t="str" cm="1">
        <f t="array" aca="1" ref="F217" ca="1">OFFSET(E217,-1,1)</f>
        <v>3</v>
      </c>
      <c r="G217" s="25" t="s">
        <v>1680</v>
      </c>
      <c r="H217" s="59" t="s">
        <v>1681</v>
      </c>
      <c r="I217" s="59" t="s">
        <v>1642</v>
      </c>
      <c r="J217" s="59"/>
      <c r="K217" s="59"/>
      <c r="L217" s="59"/>
      <c r="M217" s="59"/>
      <c r="N217" s="59"/>
      <c r="O217" s="59"/>
      <c r="P217" s="59"/>
      <c r="Q217" s="59"/>
      <c r="R217" s="59"/>
      <c r="S217" s="59"/>
      <c r="T217" s="353" t="b" cm="1">
        <f t="array" aca="1" ref="T217" ca="1">T216</f>
        <v>1</v>
      </c>
      <c r="U217" s="59"/>
      <c r="V217" s="59"/>
      <c r="W217" s="59"/>
      <c r="X217" s="1022"/>
      <c r="Y217" s="59"/>
      <c r="Z217" s="966"/>
      <c r="AA217" s="59"/>
      <c r="AB217" s="105" t="str">
        <f>"объём "&amp;IF(Q197="Водоснабжение","потребления холодной воды","водоотведения")</f>
        <v>объём водоотведения</v>
      </c>
      <c r="AC217" s="12" t="s">
        <v>558</v>
      </c>
      <c r="AD217" s="836">
        <f ca="1">IF(AND(method_reg="Метод индексации",god&lt;&gt;first_year),SUMIFS(INDEX('Калькуляция (МИ корр)'!$AJ$25:$BC$603,,MATCH(AD$8,'Калькуляция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(МИ)'!$AJ$25:$BC$603,,MATCH(AD$8,'Калькуляция (МИ)'!$AJ$8:$BC$8,0)),'Калькуляция (МИ)'!$F$25:$F$603,$F217,'Калькуляция (МИ)'!$G$25:$G$603,$G217))))</f>
        <v>26346.304</v>
      </c>
      <c r="AE217" s="836">
        <f ca="1">IF(AND(method_reg="Метод индексации",god&lt;&gt;first_year),SUMIFS(INDEX('Калькуляция (МИ корр)'!$AJ$25:$BC$603,,MATCH(AE$8,'Калькуляция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(МИ)'!$AJ$25:$BC$603,,MATCH(AE$8,'Калькуляция (МИ)'!$AJ$8:$BC$8,0)),'Калькуляция (МИ)'!$F$25:$F$603,$F217,'Калькуляция (МИ)'!$G$25:$G$603,$G217))))</f>
        <v>35063.067419999999</v>
      </c>
      <c r="AF217" s="715">
        <f ca="1">IF(AD217=0,0,(AE217-AD217)/AD217*100)</f>
        <v>33.085336827510986</v>
      </c>
      <c r="AG217" s="836">
        <f ca="1">IF(AND(method_reg="Метод индексации",god&lt;&gt;first_year),SUMIFS(INDEX('Калькуляция (МИ корр)'!$AJ$25:$BC$603,,MATCH(AG$8,'Калькуляция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(МИ)'!$AJ$25:$BC$603,,MATCH(AG$8,'Калькуляция (МИ)'!$AJ$8:$BC$8,0)),'Калькуляция (МИ)'!$F$25:$F$603,$F217,'Калькуляция (МИ)'!$G$25:$G$603,$G217))))</f>
        <v>0</v>
      </c>
      <c r="AH217" s="836">
        <f ca="1">IF(AND(method_reg="Метод индексации",god&lt;&gt;first_year),SUMIFS(INDEX('Калькуляция (МИ корр)'!$AJ$25:$BC$603,,MATCH(AH$8,'Калькуляция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(МИ)'!$AJ$25:$BC$603,,MATCH(AH$8,'Калькуляция (МИ)'!$AJ$8:$BC$8,0)),'Калькуляция (МИ)'!$F$25:$F$603,$F217,'Калькуляция (МИ)'!$G$25:$G$603,$G217))))</f>
        <v>0</v>
      </c>
      <c r="AI217" s="715">
        <f ca="1">IF(AG217=0,0,(AH217-AG217)/AG217*100)</f>
        <v>0</v>
      </c>
      <c r="AJ217" s="836">
        <f ca="1">IF(AND(method_reg="Метод индексации",god&lt;&gt;first_year),SUMIFS(INDEX('Калькуляция (МИ корр)'!$AJ$25:$BC$603,,MATCH(AJ$8,'Калькуляция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(МИ)'!$AJ$25:$BC$603,,MATCH(AJ$8,'Калькуляция (МИ)'!$AJ$8:$BC$8,0)),'Калькуляция (МИ)'!$F$25:$F$603,$F217,'Калькуляция (МИ)'!$G$25:$G$603,$G217))))</f>
        <v>0</v>
      </c>
      <c r="AK217" s="836">
        <f ca="1">IF(AND(method_reg="Метод индексации",god&lt;&gt;first_year),SUMIFS(INDEX('Калькуляция (МИ корр)'!$AJ$25:$BC$603,,MATCH(AK$8,'Калькуляция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(МИ)'!$AJ$25:$BC$603,,MATCH(AK$8,'Калькуляция (МИ)'!$AJ$8:$BC$8,0)),'Калькуляция (МИ)'!$F$25:$F$603,$F217,'Калькуляция (МИ)'!$G$25:$G$603,$G217))))</f>
        <v>0</v>
      </c>
      <c r="AL217" s="715">
        <f ca="1">IF(AJ217=0,0,(AK217-AJ217)/AJ217*100)</f>
        <v>0</v>
      </c>
      <c r="AM217" s="836">
        <f ca="1">IF(AND(method_reg="Метод индексации",god&lt;&gt;first_year),SUMIFS(INDEX('Калькуляция (МИ корр)'!$AJ$25:$BC$603,,MATCH(AM$8,'Калькуляция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(МИ)'!$AJ$25:$BC$603,,MATCH(AM$8,'Калькуляция (МИ)'!$AJ$8:$BC$8,0)),'Калькуляция (МИ)'!$F$25:$F$603,$F217,'Калькуляция (МИ)'!$G$25:$G$603,$G217))))</f>
        <v>0</v>
      </c>
      <c r="AN217" s="836">
        <f ca="1">IF(AND(method_reg="Метод индексации",god&lt;&gt;first_year),SUMIFS(INDEX('Калькуляция (МИ корр)'!$AJ$25:$BC$603,,MATCH(AN$8,'Калькуляция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(МИ)'!$AJ$25:$BC$603,,MATCH(AN$8,'Калькуляция (МИ)'!$AJ$8:$BC$8,0)),'Калькуляция (МИ)'!$F$25:$F$603,$F217,'Калькуляция (МИ)'!$G$25:$G$603,$G217))))</f>
        <v>0</v>
      </c>
      <c r="AO217" s="715">
        <f ca="1">IF(AM217=0,0,(AN217-AM217)/AM217*100)</f>
        <v>0</v>
      </c>
      <c r="AP217" s="836">
        <f ca="1">IF(AND(method_reg="Метод индексации",god&lt;&gt;first_year),SUMIFS(INDEX('Калькуляция (МИ корр)'!$AJ$25:$BC$603,,MATCH(AP$8,'Калькуляция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(МИ)'!$AJ$25:$BC$603,,MATCH(AP$8,'Калькуляция (МИ)'!$AJ$8:$BC$8,0)),'Калькуляция (МИ)'!$F$25:$F$603,$F217,'Калькуляция (МИ)'!$G$25:$G$603,$G217))))</f>
        <v>0</v>
      </c>
      <c r="AQ217" s="836">
        <f ca="1">IF(AND(method_reg="Метод индексации",god&lt;&gt;first_year),SUMIFS(INDEX('Калькуляция (МИ корр)'!$AJ$25:$BC$603,,MATCH(AQ$8,'Калькуляция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(МИ)'!$AJ$25:$BC$603,,MATCH(AQ$8,'Калькуляция (МИ)'!$AJ$8:$BC$8,0)),'Калькуляция (МИ)'!$F$25:$F$603,$F217,'Калькуляция (МИ)'!$G$25:$G$603,$G217))))</f>
        <v>0</v>
      </c>
      <c r="AR217" s="715">
        <f ca="1">IF(AP217=0,0,(AQ217-AP217)/AP217*100)</f>
        <v>0</v>
      </c>
      <c r="AS217" s="836">
        <f ca="1">IF(AND(method_reg="Метод индексации",god&lt;&gt;first_year),SUMIFS(INDEX('Калькуляция (МИ корр)'!$AJ$25:$BC$603,,MATCH(AS$8,'Калькуляция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(МИ)'!$AJ$25:$BC$603,,MATCH(AS$8,'Калькуляция (МИ)'!$AJ$8:$BC$8,0)),'Калькуляция (МИ)'!$F$25:$F$603,$F217,'Калькуляция (МИ)'!$G$25:$G$603,$G217))))</f>
        <v>0</v>
      </c>
      <c r="AT217" s="836">
        <f ca="1">IF(AND(method_reg="Метод индексации",god&lt;&gt;first_year),SUMIFS(INDEX('Калькуляция (МИ корр)'!$AJ$25:$BC$603,,MATCH(AT$8,'Калькуляция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(МИ)'!$AJ$25:$BC$603,,MATCH(AT$8,'Калькуляция (МИ)'!$AJ$8:$BC$8,0)),'Калькуляция (МИ)'!$F$25:$F$603,$F217,'Калькуляция (МИ)'!$G$25:$G$603,$G217))))</f>
        <v>0</v>
      </c>
      <c r="AU217" s="715">
        <f ca="1">IF(AS217=0,0,(AT217-AS217)/AS217*100)</f>
        <v>0</v>
      </c>
      <c r="AV217" s="836">
        <f ca="1">IF(AND(method_reg="Метод индексации",god&lt;&gt;first_year),SUMIFS(INDEX('Калькуляция (МИ корр)'!$AJ$25:$BC$603,,MATCH(AV$8,'Калькуляция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(МИ)'!$AJ$25:$BC$603,,MATCH(AV$8,'Калькуляция (МИ)'!$AJ$8:$BC$8,0)),'Калькуляция (МИ)'!$F$25:$F$603,$F217,'Калькуляция (МИ)'!$G$25:$G$603,$G217))))</f>
        <v>0</v>
      </c>
      <c r="AW217" s="836">
        <f ca="1">IF(AND(method_reg="Метод индексации",god&lt;&gt;first_year),SUMIFS(INDEX('Калькуляция (МИ корр)'!$AJ$25:$BC$603,,MATCH(AW$8,'Калькуляция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(МИ)'!$AJ$25:$BC$603,,MATCH(AW$8,'Калькуляция (МИ)'!$AJ$8:$BC$8,0)),'Калькуляция (МИ)'!$F$25:$F$603,$F217,'Калькуляция (МИ)'!$G$25:$G$603,$G217))))</f>
        <v>0</v>
      </c>
      <c r="AX217" s="715">
        <f ca="1">IF(AV217=0,0,(AW217-AV217)/AV217*100)</f>
        <v>0</v>
      </c>
      <c r="AY217" s="836">
        <f ca="1">IF(AND(method_reg="Метод индексации",god&lt;&gt;first_year),SUMIFS(INDEX('Калькуляция (МИ корр)'!$AJ$25:$BC$603,,MATCH(AY$8,'Калькуляция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(МИ)'!$AJ$25:$BC$603,,MATCH(AY$8,'Калькуляция (МИ)'!$AJ$8:$BC$8,0)),'Калькуляция (МИ)'!$F$25:$F$603,$F217,'Калькуляция (МИ)'!$G$25:$G$603,$G217))))</f>
        <v>0</v>
      </c>
      <c r="AZ217" s="836">
        <f ca="1">IF(AND(method_reg="Метод индексации",god&lt;&gt;first_year),SUMIFS(INDEX('Калькуляция (МИ корр)'!$AJ$25:$BC$603,,MATCH(AZ$8,'Калькуляция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(МИ)'!$AJ$25:$BC$603,,MATCH(AZ$8,'Калькуляция (МИ)'!$AJ$8:$BC$8,0)),'Калькуляция (МИ)'!$F$25:$F$603,$F217,'Калькуляция (МИ)'!$G$25:$G$603,$G217))))</f>
        <v>0</v>
      </c>
      <c r="BA217" s="715">
        <f ca="1">IF(AY217=0,0,(AZ217-AY217)/AY217*100)</f>
        <v>0</v>
      </c>
      <c r="BB217" s="836">
        <f ca="1">IF(AND(method_reg="Метод индексации",god&lt;&gt;first_year),SUMIFS(INDEX('Калькуляция (МИ корр)'!$AJ$25:$BC$603,,MATCH(BB$8,'Калькуляция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(МИ)'!$AJ$25:$BC$603,,MATCH(BB$8,'Калькуляция (МИ)'!$AJ$8:$BC$8,0)),'Калькуляция (МИ)'!$F$25:$F$603,$F217,'Калькуляция (МИ)'!$G$25:$G$603,$G217))))</f>
        <v>0</v>
      </c>
      <c r="BC217" s="836">
        <f ca="1">IF(AND(method_reg="Метод индексации",god&lt;&gt;first_year),SUMIFS(INDEX('Калькуляция (МИ корр)'!$AJ$25:$BC$603,,MATCH(BC$8,'Калькуляция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(МИ)'!$AJ$25:$BC$603,,MATCH(BC$8,'Калькуляция (МИ)'!$AJ$8:$BC$8,0)),'Калькуляция (МИ)'!$F$25:$F$603,$F217,'Калькуляция (МИ)'!$G$25:$G$603,$G217))))</f>
        <v>0</v>
      </c>
      <c r="BD217" s="715">
        <f ca="1">IF(BB217=0,0,(BC217-BB217)/BB217*100)</f>
        <v>0</v>
      </c>
      <c r="BE217" s="836">
        <f ca="1">IF(AND(method_reg="Метод индексации",god&lt;&gt;first_year),SUMIFS(INDEX('Калькуляция (МИ корр)'!$AJ$25:$BC$603,,MATCH(BE$8,'Калькуляция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(МИ)'!$AJ$25:$BC$603,,MATCH(BE$8,'Калькуляция (МИ)'!$AJ$8:$BC$8,0)),'Калькуляция (МИ)'!$F$25:$F$603,$F217,'Калькуляция (МИ)'!$G$25:$G$603,$G217))))</f>
        <v>0</v>
      </c>
      <c r="BF217" s="836">
        <f ca="1">IF(AND(method_reg="Метод индексации",god&lt;&gt;first_year),SUMIFS(INDEX('Калькуляция (МИ корр)'!$AJ$25:$BC$603,,MATCH(BF$8,'Калькуляция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(МИ)'!$AJ$25:$BC$603,,MATCH(BF$8,'Калькуляция (МИ)'!$AJ$8:$BC$8,0)),'Калькуляция (МИ)'!$F$25:$F$603,$F217,'Калькуляция (МИ)'!$G$25:$G$603,$G217))))</f>
        <v>0</v>
      </c>
      <c r="BG217" s="715">
        <f ca="1">IF(BE217=0,0,(BF217-BE217)/BE217*100)</f>
        <v>0</v>
      </c>
      <c r="BH217" s="836"/>
      <c r="BI217" s="836"/>
      <c r="BJ217" s="715">
        <f>IF(BH217=0,0,(BI217-BH217)/BH217*100)</f>
        <v>0</v>
      </c>
      <c r="BK217" s="836"/>
      <c r="BL217" s="836"/>
      <c r="BM217" s="715">
        <f>IF(BK217=0,0,(BL217-BK217)/BK217*100)</f>
        <v>0</v>
      </c>
      <c r="BN217" s="836"/>
      <c r="BO217" s="836"/>
      <c r="BP217" s="715">
        <f>IF(BN217=0,0,(BO217-BN217)/BN217*100)</f>
        <v>0</v>
      </c>
      <c r="BQ217" s="836"/>
      <c r="BR217" s="836"/>
      <c r="BS217" s="715">
        <f>IF(BQ217=0,0,(BR217-BQ217)/BQ217*100)</f>
        <v>0</v>
      </c>
      <c r="BT217" s="836"/>
      <c r="BU217" s="836"/>
      <c r="BV217" s="715">
        <f>IF(BT217=0,0,(BU217-BT217)/BT217*100)</f>
        <v>0</v>
      </c>
      <c r="BW217" s="836"/>
      <c r="BX217" s="836"/>
      <c r="BY217" s="715">
        <f>IF(BW217=0,0,(BX217-BW217)/BW217*100)</f>
        <v>0</v>
      </c>
      <c r="BZ217" s="836"/>
      <c r="CA217" s="836"/>
      <c r="CB217" s="715">
        <f>IF(BZ217=0,0,(CA217-BZ217)/BZ217*100)</f>
        <v>0</v>
      </c>
      <c r="CC217" s="836"/>
      <c r="CD217" s="836"/>
      <c r="CE217" s="715">
        <f>IF(CC217=0,0,(CD217-CC217)/CC217*100)</f>
        <v>0</v>
      </c>
      <c r="CF217" s="836"/>
      <c r="CG217" s="836"/>
      <c r="CH217" s="715">
        <f>IF(CF217=0,0,(CG217-CF217)/CF217*100)</f>
        <v>0</v>
      </c>
      <c r="CI217" s="836"/>
      <c r="CJ217" s="836"/>
      <c r="CK217" s="715">
        <f>IF(CI217=0,0,(CJ217-CI217)/CI217*100)</f>
        <v>0</v>
      </c>
      <c r="CL217" s="836"/>
      <c r="CM217" s="836"/>
      <c r="CN217" s="715">
        <f>IF(CL217=0,0,(CM217-CL217)/CL217*100)</f>
        <v>0</v>
      </c>
      <c r="CO217" s="836"/>
      <c r="CP217" s="836"/>
      <c r="CQ217" s="715">
        <f>IF(CO217=0,0,(CP217-CO217)/CO217*100)</f>
        <v>0</v>
      </c>
      <c r="CR217" s="836"/>
      <c r="CS217" s="836"/>
      <c r="CT217" s="715">
        <f>IF(CR217=0,0,(CS217-CR217)/CR217*100)</f>
        <v>0</v>
      </c>
      <c r="CU217" s="836"/>
      <c r="CV217" s="836"/>
      <c r="CW217" s="715">
        <f>IF(CU217=0,0,(CV217-CU217)/CU217*100)</f>
        <v>0</v>
      </c>
      <c r="CX217" s="836"/>
      <c r="CY217" s="836"/>
      <c r="CZ217" s="715">
        <f>IF(CX217=0,0,(CY217-CX217)/CX217*100)</f>
        <v>0</v>
      </c>
      <c r="DA217" s="836"/>
      <c r="DB217" s="836"/>
      <c r="DC217" s="715">
        <f>IF(DA217=0,0,(DB217-DA217)/DA217*100)</f>
        <v>0</v>
      </c>
      <c r="DD217" s="836"/>
      <c r="DE217" s="836"/>
      <c r="DF217" s="715">
        <f>IF(DD217=0,0,(DE217-DD217)/DD217*100)</f>
        <v>0</v>
      </c>
      <c r="DG217" s="836"/>
      <c r="DH217" s="836"/>
      <c r="DI217" s="715">
        <f>IF(DG217=0,0,(DH217-DG217)/DG217*100)</f>
        <v>0</v>
      </c>
      <c r="DJ217" s="836"/>
      <c r="DK217" s="836"/>
      <c r="DL217" s="715">
        <f>IF(DJ217=0,0,(DK217-DJ217)/DJ217*100)</f>
        <v>0</v>
      </c>
      <c r="DM217" s="836"/>
      <c r="DN217" s="836"/>
      <c r="DO217" s="715">
        <f>IF(DM217=0,0,(DN217-DM217)/DM217*100)</f>
        <v>0</v>
      </c>
      <c r="DP217" s="836"/>
      <c r="DQ217" s="836"/>
      <c r="DR217" s="715">
        <f>IF(DP217=0,0,(DQ217-DP217)/DP217*100)</f>
        <v>0</v>
      </c>
      <c r="DS217" s="836"/>
      <c r="DT217" s="836"/>
      <c r="DU217" s="715">
        <f>IF(DS217=0,0,(DT217-DS217)/DS217*100)</f>
        <v>0</v>
      </c>
      <c r="DV217" s="836"/>
      <c r="DW217" s="836"/>
      <c r="DX217" s="715">
        <f>IF(DV217=0,0,(DW217-DV217)/DV217*100)</f>
        <v>0</v>
      </c>
      <c r="DY217" s="836"/>
      <c r="DZ217" s="836"/>
      <c r="EA217" s="715">
        <f>IF(DY217=0,0,(DZ217-DY217)/DY217*100)</f>
        <v>0</v>
      </c>
      <c r="EB217" s="836"/>
      <c r="EC217" s="836"/>
      <c r="ED217" s="715">
        <f>IF(EB217=0,0,(EC217-EB217)/EB217*100)</f>
        <v>0</v>
      </c>
      <c r="EE217" s="836"/>
      <c r="EF217" s="836"/>
      <c r="EG217" s="715">
        <f>IF(EE217=0,0,(EF217-EE217)/EE217*100)</f>
        <v>0</v>
      </c>
      <c r="EH217" s="836"/>
      <c r="EI217" s="836"/>
      <c r="EJ217" s="715">
        <f>IF(EH217=0,0,(EI217-EH217)/EH217*100)</f>
        <v>0</v>
      </c>
      <c r="EK217" s="836"/>
      <c r="EL217" s="836"/>
      <c r="EM217" s="715">
        <f>IF(EK217=0,0,(EL217-EK217)/EK217*100)</f>
        <v>0</v>
      </c>
      <c r="EN217" s="836"/>
      <c r="EO217" s="836"/>
      <c r="EP217" s="715">
        <f>IF(EN217=0,0,(EO217-EN217)/EN217*100)</f>
        <v>0</v>
      </c>
      <c r="EQ217" s="836"/>
      <c r="ER217" s="836"/>
      <c r="ES217" s="715">
        <f>IF(EQ217=0,0,(ER217-EQ217)/EQ217*100)</f>
        <v>0</v>
      </c>
      <c r="ET217" s="836"/>
      <c r="EU217" s="836"/>
      <c r="EV217" s="715">
        <f>IF(ET217=0,0,(EU217-ET217)/ET217*100)</f>
        <v>0</v>
      </c>
      <c r="EW217" s="836"/>
      <c r="EX217" s="836"/>
      <c r="EY217" s="715">
        <f>IF(EW217=0,0,(EX217-EW217)/EW217*100)</f>
        <v>0</v>
      </c>
      <c r="EZ217" s="836"/>
      <c r="FA217" s="836"/>
      <c r="FB217" s="715">
        <f>IF(EZ217=0,0,(FA217-EZ217)/EZ217*100)</f>
        <v>0</v>
      </c>
      <c r="FC217" s="836"/>
      <c r="FD217" s="836"/>
      <c r="FE217" s="715">
        <f>IF(FC217=0,0,(FD217-FC217)/FC217*100)</f>
        <v>0</v>
      </c>
      <c r="FF217" s="836"/>
      <c r="FG217" s="836"/>
      <c r="FH217" s="715">
        <f>IF(FF217=0,0,(FG217-FF217)/FF217*100)</f>
        <v>0</v>
      </c>
      <c r="FI217" s="836"/>
      <c r="FJ217" s="836"/>
      <c r="FK217" s="715">
        <f>IF(FI217=0,0,(FJ217-FI217)/FI217*100)</f>
        <v>0</v>
      </c>
      <c r="FL217" s="836"/>
      <c r="FM217" s="836"/>
      <c r="FN217" s="715">
        <f>IF(FL217=0,0,(FM217-FL217)/FL217*100)</f>
        <v>0</v>
      </c>
      <c r="FO217" s="836"/>
      <c r="FP217" s="836"/>
      <c r="FQ217" s="715">
        <f>IF(FO217=0,0,(FP217-FO217)/FO217*100)</f>
        <v>0</v>
      </c>
      <c r="FR217" s="836"/>
      <c r="FS217" s="836"/>
      <c r="FT217" s="715">
        <f>IF(FR217=0,0,(FS217-FR217)/FR217*100)</f>
        <v>0</v>
      </c>
      <c r="FU217" s="836"/>
      <c r="FV217" s="836"/>
      <c r="FW217" s="715">
        <f>IF(FU217=0,0,(FV217-FU217)/FU217*100)</f>
        <v>0</v>
      </c>
      <c r="FZ217" s="691" t="s">
        <v>1682</v>
      </c>
    </row>
    <row r="218" spans="1:186" ht="24" hidden="1" customHeight="1" x14ac:dyDescent="0.15">
      <c r="A218" s="59"/>
      <c r="B218" s="613" t="b" cm="1">
        <f t="array" ref="B218">B217</f>
        <v>0</v>
      </c>
      <c r="C218" s="59"/>
      <c r="D218" s="59"/>
      <c r="E218" s="462">
        <v>24.75</v>
      </c>
      <c r="F218" s="3" t="str" cm="1">
        <f t="array" aca="1" ref="F218" ca="1">OFFSET(E218,-1,1)</f>
        <v>3</v>
      </c>
      <c r="G218" s="59"/>
      <c r="H218" s="59" t="s">
        <v>1683</v>
      </c>
      <c r="I218" s="59" t="s">
        <v>1642</v>
      </c>
      <c r="J218" s="59"/>
      <c r="K218" s="59"/>
      <c r="L218" s="59"/>
      <c r="M218" s="59"/>
      <c r="N218" s="59"/>
      <c r="O218" s="59"/>
      <c r="P218" s="59"/>
      <c r="Q218" s="59"/>
      <c r="R218" s="59"/>
      <c r="S218" s="59"/>
      <c r="T218" s="353" t="b" cm="1">
        <f t="array" aca="1" ref="T218" ca="1">T217</f>
        <v>1</v>
      </c>
      <c r="U218" s="59"/>
      <c r="V218" s="59"/>
      <c r="W218" s="59"/>
      <c r="X218" s="1022"/>
      <c r="Y218" s="59"/>
      <c r="Z218" s="966"/>
      <c r="AA218" s="59"/>
      <c r="AB218" s="105" t="str">
        <f>"ставка платы за содержание системы "&amp;IF(Q197="Водоснабжение","холодного водоснабжения","водоотведения")</f>
        <v>ставка платы за содержание системы водоотведения</v>
      </c>
      <c r="AC218" s="12" t="s">
        <v>1684</v>
      </c>
      <c r="AD218" s="820"/>
      <c r="AE218" s="820"/>
      <c r="AF218" s="714">
        <f>IF(AD218=0,0,(AE218-AD218)/AD218*100)</f>
        <v>0</v>
      </c>
      <c r="AG218" s="820"/>
      <c r="AH218" s="820"/>
      <c r="AI218" s="714">
        <f>IF(AG218=0,0,(AH218-AG218)/AG218*100)</f>
        <v>0</v>
      </c>
      <c r="AJ218" s="820"/>
      <c r="AK218" s="820"/>
      <c r="AL218" s="714">
        <f>IF(AJ218=0,0,(AK218-AJ218)/AJ218*100)</f>
        <v>0</v>
      </c>
      <c r="AM218" s="820"/>
      <c r="AN218" s="820"/>
      <c r="AO218" s="714">
        <f>IF(AM218=0,0,(AN218-AM218)/AM218*100)</f>
        <v>0</v>
      </c>
      <c r="AP218" s="820"/>
      <c r="AQ218" s="820"/>
      <c r="AR218" s="714">
        <f>IF(AP218=0,0,(AQ218-AP218)/AP218*100)</f>
        <v>0</v>
      </c>
      <c r="AS218" s="820"/>
      <c r="AT218" s="820"/>
      <c r="AU218" s="714">
        <f>IF(AS218=0,0,(AT218-AS218)/AS218*100)</f>
        <v>0</v>
      </c>
      <c r="AV218" s="820"/>
      <c r="AW218" s="820"/>
      <c r="AX218" s="714">
        <f>IF(AV218=0,0,(AW218-AV218)/AV218*100)</f>
        <v>0</v>
      </c>
      <c r="AY218" s="820"/>
      <c r="AZ218" s="820"/>
      <c r="BA218" s="714">
        <f>IF(AY218=0,0,(AZ218-AY218)/AY218*100)</f>
        <v>0</v>
      </c>
      <c r="BB218" s="820"/>
      <c r="BC218" s="820"/>
      <c r="BD218" s="714">
        <f>IF(BB218=0,0,(BC218-BB218)/BB218*100)</f>
        <v>0</v>
      </c>
      <c r="BE218" s="820"/>
      <c r="BF218" s="820"/>
      <c r="BG218" s="714">
        <f>IF(BE218=0,0,(BF218-BE218)/BE218*100)</f>
        <v>0</v>
      </c>
      <c r="BH218" s="820"/>
      <c r="BI218" s="820"/>
      <c r="BJ218" s="714">
        <f>IF(BH218=0,0,(BI218-BH218)/BH218*100)</f>
        <v>0</v>
      </c>
      <c r="BK218" s="820"/>
      <c r="BL218" s="820"/>
      <c r="BM218" s="714">
        <f>IF(BK218=0,0,(BL218-BK218)/BK218*100)</f>
        <v>0</v>
      </c>
      <c r="BN218" s="820"/>
      <c r="BO218" s="820"/>
      <c r="BP218" s="714">
        <f>IF(BN218=0,0,(BO218-BN218)/BN218*100)</f>
        <v>0</v>
      </c>
      <c r="BQ218" s="820"/>
      <c r="BR218" s="820"/>
      <c r="BS218" s="714">
        <f>IF(BQ218=0,0,(BR218-BQ218)/BQ218*100)</f>
        <v>0</v>
      </c>
      <c r="BT218" s="820"/>
      <c r="BU218" s="820"/>
      <c r="BV218" s="714">
        <f>IF(BT218=0,0,(BU218-BT218)/BT218*100)</f>
        <v>0</v>
      </c>
      <c r="BW218" s="820"/>
      <c r="BX218" s="820"/>
      <c r="BY218" s="714">
        <f>IF(BW218=0,0,(BX218-BW218)/BW218*100)</f>
        <v>0</v>
      </c>
      <c r="BZ218" s="820"/>
      <c r="CA218" s="820"/>
      <c r="CB218" s="714">
        <f>IF(BZ218=0,0,(CA218-BZ218)/BZ218*100)</f>
        <v>0</v>
      </c>
      <c r="CC218" s="820"/>
      <c r="CD218" s="820"/>
      <c r="CE218" s="714">
        <f>IF(CC218=0,0,(CD218-CC218)/CC218*100)</f>
        <v>0</v>
      </c>
      <c r="CF218" s="820"/>
      <c r="CG218" s="820"/>
      <c r="CH218" s="714">
        <f>IF(CF218=0,0,(CG218-CF218)/CF218*100)</f>
        <v>0</v>
      </c>
      <c r="CI218" s="820"/>
      <c r="CJ218" s="820"/>
      <c r="CK218" s="714">
        <f>IF(CI218=0,0,(CJ218-CI218)/CI218*100)</f>
        <v>0</v>
      </c>
      <c r="CL218" s="820"/>
      <c r="CM218" s="820"/>
      <c r="CN218" s="714">
        <f>IF(CL218=0,0,(CM218-CL218)/CL218*100)</f>
        <v>0</v>
      </c>
      <c r="CO218" s="820"/>
      <c r="CP218" s="820"/>
      <c r="CQ218" s="714">
        <f>IF(CO218=0,0,(CP218-CO218)/CO218*100)</f>
        <v>0</v>
      </c>
      <c r="CR218" s="820"/>
      <c r="CS218" s="820"/>
      <c r="CT218" s="714">
        <f>IF(CR218=0,0,(CS218-CR218)/CR218*100)</f>
        <v>0</v>
      </c>
      <c r="CU218" s="820"/>
      <c r="CV218" s="820"/>
      <c r="CW218" s="714">
        <f>IF(CU218=0,0,(CV218-CU218)/CU218*100)</f>
        <v>0</v>
      </c>
      <c r="CX218" s="820"/>
      <c r="CY218" s="820"/>
      <c r="CZ218" s="714">
        <f>IF(CX218=0,0,(CY218-CX218)/CX218*100)</f>
        <v>0</v>
      </c>
      <c r="DA218" s="820"/>
      <c r="DB218" s="820"/>
      <c r="DC218" s="714">
        <f>IF(DA218=0,0,(DB218-DA218)/DA218*100)</f>
        <v>0</v>
      </c>
      <c r="DD218" s="820"/>
      <c r="DE218" s="820"/>
      <c r="DF218" s="714">
        <f>IF(DD218=0,0,(DE218-DD218)/DD218*100)</f>
        <v>0</v>
      </c>
      <c r="DG218" s="820"/>
      <c r="DH218" s="820"/>
      <c r="DI218" s="714">
        <f>IF(DG218=0,0,(DH218-DG218)/DG218*100)</f>
        <v>0</v>
      </c>
      <c r="DJ218" s="820"/>
      <c r="DK218" s="820"/>
      <c r="DL218" s="714">
        <f>IF(DJ218=0,0,(DK218-DJ218)/DJ218*100)</f>
        <v>0</v>
      </c>
      <c r="DM218" s="820"/>
      <c r="DN218" s="820"/>
      <c r="DO218" s="714">
        <f>IF(DM218=0,0,(DN218-DM218)/DM218*100)</f>
        <v>0</v>
      </c>
      <c r="DP218" s="820"/>
      <c r="DQ218" s="820"/>
      <c r="DR218" s="714">
        <f>IF(DP218=0,0,(DQ218-DP218)/DP218*100)</f>
        <v>0</v>
      </c>
      <c r="DS218" s="820"/>
      <c r="DT218" s="820"/>
      <c r="DU218" s="714">
        <f>IF(DS218=0,0,(DT218-DS218)/DS218*100)</f>
        <v>0</v>
      </c>
      <c r="DV218" s="820"/>
      <c r="DW218" s="820"/>
      <c r="DX218" s="714">
        <f>IF(DV218=0,0,(DW218-DV218)/DV218*100)</f>
        <v>0</v>
      </c>
      <c r="DY218" s="820"/>
      <c r="DZ218" s="820"/>
      <c r="EA218" s="714">
        <f>IF(DY218=0,0,(DZ218-DY218)/DY218*100)</f>
        <v>0</v>
      </c>
      <c r="EB218" s="820"/>
      <c r="EC218" s="820"/>
      <c r="ED218" s="714">
        <f>IF(EB218=0,0,(EC218-EB218)/EB218*100)</f>
        <v>0</v>
      </c>
      <c r="EE218" s="820"/>
      <c r="EF218" s="820"/>
      <c r="EG218" s="714">
        <f>IF(EE218=0,0,(EF218-EE218)/EE218*100)</f>
        <v>0</v>
      </c>
      <c r="EH218" s="820"/>
      <c r="EI218" s="820"/>
      <c r="EJ218" s="714">
        <f>IF(EH218=0,0,(EI218-EH218)/EH218*100)</f>
        <v>0</v>
      </c>
      <c r="EK218" s="820"/>
      <c r="EL218" s="820"/>
      <c r="EM218" s="714">
        <f>IF(EK218=0,0,(EL218-EK218)/EK218*100)</f>
        <v>0</v>
      </c>
      <c r="EN218" s="820"/>
      <c r="EO218" s="820"/>
      <c r="EP218" s="714">
        <f>IF(EN218=0,0,(EO218-EN218)/EN218*100)</f>
        <v>0</v>
      </c>
      <c r="EQ218" s="820"/>
      <c r="ER218" s="820"/>
      <c r="ES218" s="714">
        <f>IF(EQ218=0,0,(ER218-EQ218)/EQ218*100)</f>
        <v>0</v>
      </c>
      <c r="ET218" s="820"/>
      <c r="EU218" s="820"/>
      <c r="EV218" s="714">
        <f>IF(ET218=0,0,(EU218-ET218)/ET218*100)</f>
        <v>0</v>
      </c>
      <c r="EW218" s="820"/>
      <c r="EX218" s="820"/>
      <c r="EY218" s="714">
        <f>IF(EW218=0,0,(EX218-EW218)/EW218*100)</f>
        <v>0</v>
      </c>
      <c r="EZ218" s="820"/>
      <c r="FA218" s="820"/>
      <c r="FB218" s="714">
        <f>IF(EZ218=0,0,(FA218-EZ218)/EZ218*100)</f>
        <v>0</v>
      </c>
      <c r="FC218" s="820"/>
      <c r="FD218" s="820"/>
      <c r="FE218" s="714">
        <f>IF(FC218=0,0,(FD218-FC218)/FC218*100)</f>
        <v>0</v>
      </c>
      <c r="FF218" s="820"/>
      <c r="FG218" s="820"/>
      <c r="FH218" s="714">
        <f>IF(FF218=0,0,(FG218-FF218)/FF218*100)</f>
        <v>0</v>
      </c>
      <c r="FI218" s="820"/>
      <c r="FJ218" s="820"/>
      <c r="FK218" s="714">
        <f>IF(FI218=0,0,(FJ218-FI218)/FI218*100)</f>
        <v>0</v>
      </c>
      <c r="FL218" s="820"/>
      <c r="FM218" s="820"/>
      <c r="FN218" s="714">
        <f>IF(FL218=0,0,(FM218-FL218)/FL218*100)</f>
        <v>0</v>
      </c>
      <c r="FO218" s="820"/>
      <c r="FP218" s="820"/>
      <c r="FQ218" s="714">
        <f>IF(FO218=0,0,(FP218-FO218)/FO218*100)</f>
        <v>0</v>
      </c>
      <c r="FR218" s="820"/>
      <c r="FS218" s="820"/>
      <c r="FT218" s="714">
        <f>IF(FR218=0,0,(FS218-FR218)/FR218*100)</f>
        <v>0</v>
      </c>
      <c r="FU218" s="820"/>
      <c r="FV218" s="820"/>
      <c r="FW218" s="714">
        <f>IF(FU218=0,0,(FV218-FU218)/FU218*100)</f>
        <v>0</v>
      </c>
      <c r="FZ218" s="691" t="s">
        <v>1685</v>
      </c>
    </row>
    <row r="219" spans="1:186" ht="14.25" hidden="1" customHeight="1" x14ac:dyDescent="0.15">
      <c r="A219" s="59"/>
      <c r="B219" s="613" t="b" cm="1">
        <f t="array" ref="B219">B218</f>
        <v>0</v>
      </c>
      <c r="C219" s="59"/>
      <c r="D219" s="59"/>
      <c r="E219" s="462">
        <v>15</v>
      </c>
      <c r="F219" s="3" t="str" cm="1">
        <f t="array" aca="1" ref="F219" ca="1">OFFSET(E219,-1,1)</f>
        <v>3</v>
      </c>
      <c r="G219" s="59"/>
      <c r="H219" s="59" t="s">
        <v>1686</v>
      </c>
      <c r="I219" s="59" t="s">
        <v>1642</v>
      </c>
      <c r="J219" s="59"/>
      <c r="K219" s="59"/>
      <c r="L219" s="59"/>
      <c r="M219" s="59"/>
      <c r="N219" s="59"/>
      <c r="O219" s="59"/>
      <c r="P219" s="59"/>
      <c r="Q219" s="59"/>
      <c r="R219" s="59"/>
      <c r="S219" s="59"/>
      <c r="T219" s="353" t="b" cm="1">
        <f t="array" aca="1" ref="T219" ca="1">T218</f>
        <v>1</v>
      </c>
      <c r="U219" s="59"/>
      <c r="V219" s="59"/>
      <c r="W219" s="59"/>
      <c r="X219" s="1022"/>
      <c r="Y219" s="59"/>
      <c r="Z219" s="966"/>
      <c r="AA219" s="59"/>
      <c r="AB219" s="105" t="s">
        <v>1687</v>
      </c>
      <c r="AC219" s="12" t="s">
        <v>1688</v>
      </c>
      <c r="AD219" s="820"/>
      <c r="AE219" s="820"/>
      <c r="AF219" s="714">
        <f>IF(AD219=0,0,(AE219-AD219)/AD219*100)</f>
        <v>0</v>
      </c>
      <c r="AG219" s="820"/>
      <c r="AH219" s="820"/>
      <c r="AI219" s="714">
        <f>IF(AG219=0,0,(AH219-AG219)/AG219*100)</f>
        <v>0</v>
      </c>
      <c r="AJ219" s="820"/>
      <c r="AK219" s="820"/>
      <c r="AL219" s="714">
        <f>IF(AJ219=0,0,(AK219-AJ219)/AJ219*100)</f>
        <v>0</v>
      </c>
      <c r="AM219" s="820"/>
      <c r="AN219" s="820"/>
      <c r="AO219" s="714">
        <f>IF(AM219=0,0,(AN219-AM219)/AM219*100)</f>
        <v>0</v>
      </c>
      <c r="AP219" s="820"/>
      <c r="AQ219" s="820"/>
      <c r="AR219" s="714">
        <f>IF(AP219=0,0,(AQ219-AP219)/AP219*100)</f>
        <v>0</v>
      </c>
      <c r="AS219" s="820"/>
      <c r="AT219" s="820"/>
      <c r="AU219" s="714">
        <f>IF(AS219=0,0,(AT219-AS219)/AS219*100)</f>
        <v>0</v>
      </c>
      <c r="AV219" s="820"/>
      <c r="AW219" s="820"/>
      <c r="AX219" s="714">
        <f>IF(AV219=0,0,(AW219-AV219)/AV219*100)</f>
        <v>0</v>
      </c>
      <c r="AY219" s="820"/>
      <c r="AZ219" s="820"/>
      <c r="BA219" s="714">
        <f>IF(AY219=0,0,(AZ219-AY219)/AY219*100)</f>
        <v>0</v>
      </c>
      <c r="BB219" s="820"/>
      <c r="BC219" s="820"/>
      <c r="BD219" s="714">
        <f>IF(BB219=0,0,(BC219-BB219)/BB219*100)</f>
        <v>0</v>
      </c>
      <c r="BE219" s="820"/>
      <c r="BF219" s="820"/>
      <c r="BG219" s="714">
        <f>IF(BE219=0,0,(BF219-BE219)/BE219*100)</f>
        <v>0</v>
      </c>
      <c r="BH219" s="820"/>
      <c r="BI219" s="820"/>
      <c r="BJ219" s="714">
        <f>IF(BH219=0,0,(BI219-BH219)/BH219*100)</f>
        <v>0</v>
      </c>
      <c r="BK219" s="820"/>
      <c r="BL219" s="820"/>
      <c r="BM219" s="714">
        <f>IF(BK219=0,0,(BL219-BK219)/BK219*100)</f>
        <v>0</v>
      </c>
      <c r="BN219" s="820"/>
      <c r="BO219" s="820"/>
      <c r="BP219" s="714">
        <f>IF(BN219=0,0,(BO219-BN219)/BN219*100)</f>
        <v>0</v>
      </c>
      <c r="BQ219" s="820"/>
      <c r="BR219" s="820"/>
      <c r="BS219" s="714">
        <f>IF(BQ219=0,0,(BR219-BQ219)/BQ219*100)</f>
        <v>0</v>
      </c>
      <c r="BT219" s="820"/>
      <c r="BU219" s="820"/>
      <c r="BV219" s="714">
        <f>IF(BT219=0,0,(BU219-BT219)/BT219*100)</f>
        <v>0</v>
      </c>
      <c r="BW219" s="820"/>
      <c r="BX219" s="820"/>
      <c r="BY219" s="714">
        <f>IF(BW219=0,0,(BX219-BW219)/BW219*100)</f>
        <v>0</v>
      </c>
      <c r="BZ219" s="820"/>
      <c r="CA219" s="820"/>
      <c r="CB219" s="714">
        <f>IF(BZ219=0,0,(CA219-BZ219)/BZ219*100)</f>
        <v>0</v>
      </c>
      <c r="CC219" s="820"/>
      <c r="CD219" s="820"/>
      <c r="CE219" s="714">
        <f>IF(CC219=0,0,(CD219-CC219)/CC219*100)</f>
        <v>0</v>
      </c>
      <c r="CF219" s="820"/>
      <c r="CG219" s="820"/>
      <c r="CH219" s="714">
        <f>IF(CF219=0,0,(CG219-CF219)/CF219*100)</f>
        <v>0</v>
      </c>
      <c r="CI219" s="820"/>
      <c r="CJ219" s="820"/>
      <c r="CK219" s="714">
        <f>IF(CI219=0,0,(CJ219-CI219)/CI219*100)</f>
        <v>0</v>
      </c>
      <c r="CL219" s="820"/>
      <c r="CM219" s="820"/>
      <c r="CN219" s="714">
        <f>IF(CL219=0,0,(CM219-CL219)/CL219*100)</f>
        <v>0</v>
      </c>
      <c r="CO219" s="820"/>
      <c r="CP219" s="820"/>
      <c r="CQ219" s="714">
        <f>IF(CO219=0,0,(CP219-CO219)/CO219*100)</f>
        <v>0</v>
      </c>
      <c r="CR219" s="820"/>
      <c r="CS219" s="820"/>
      <c r="CT219" s="714">
        <f>IF(CR219=0,0,(CS219-CR219)/CR219*100)</f>
        <v>0</v>
      </c>
      <c r="CU219" s="820"/>
      <c r="CV219" s="820"/>
      <c r="CW219" s="714">
        <f>IF(CU219=0,0,(CV219-CU219)/CU219*100)</f>
        <v>0</v>
      </c>
      <c r="CX219" s="820"/>
      <c r="CY219" s="820"/>
      <c r="CZ219" s="714">
        <f>IF(CX219=0,0,(CY219-CX219)/CX219*100)</f>
        <v>0</v>
      </c>
      <c r="DA219" s="820"/>
      <c r="DB219" s="820"/>
      <c r="DC219" s="714">
        <f>IF(DA219=0,0,(DB219-DA219)/DA219*100)</f>
        <v>0</v>
      </c>
      <c r="DD219" s="820"/>
      <c r="DE219" s="820"/>
      <c r="DF219" s="714">
        <f>IF(DD219=0,0,(DE219-DD219)/DD219*100)</f>
        <v>0</v>
      </c>
      <c r="DG219" s="820"/>
      <c r="DH219" s="820"/>
      <c r="DI219" s="714">
        <f>IF(DG219=0,0,(DH219-DG219)/DG219*100)</f>
        <v>0</v>
      </c>
      <c r="DJ219" s="820"/>
      <c r="DK219" s="820"/>
      <c r="DL219" s="714">
        <f>IF(DJ219=0,0,(DK219-DJ219)/DJ219*100)</f>
        <v>0</v>
      </c>
      <c r="DM219" s="820"/>
      <c r="DN219" s="820"/>
      <c r="DO219" s="714">
        <f>IF(DM219=0,0,(DN219-DM219)/DM219*100)</f>
        <v>0</v>
      </c>
      <c r="DP219" s="820"/>
      <c r="DQ219" s="820"/>
      <c r="DR219" s="714">
        <f>IF(DP219=0,0,(DQ219-DP219)/DP219*100)</f>
        <v>0</v>
      </c>
      <c r="DS219" s="820"/>
      <c r="DT219" s="820"/>
      <c r="DU219" s="714">
        <f>IF(DS219=0,0,(DT219-DS219)/DS219*100)</f>
        <v>0</v>
      </c>
      <c r="DV219" s="820"/>
      <c r="DW219" s="820"/>
      <c r="DX219" s="714">
        <f>IF(DV219=0,0,(DW219-DV219)/DV219*100)</f>
        <v>0</v>
      </c>
      <c r="DY219" s="820"/>
      <c r="DZ219" s="820"/>
      <c r="EA219" s="714">
        <f>IF(DY219=0,0,(DZ219-DY219)/DY219*100)</f>
        <v>0</v>
      </c>
      <c r="EB219" s="820"/>
      <c r="EC219" s="820"/>
      <c r="ED219" s="714">
        <f>IF(EB219=0,0,(EC219-EB219)/EB219*100)</f>
        <v>0</v>
      </c>
      <c r="EE219" s="820"/>
      <c r="EF219" s="820"/>
      <c r="EG219" s="714">
        <f>IF(EE219=0,0,(EF219-EE219)/EE219*100)</f>
        <v>0</v>
      </c>
      <c r="EH219" s="820"/>
      <c r="EI219" s="820"/>
      <c r="EJ219" s="714">
        <f>IF(EH219=0,0,(EI219-EH219)/EH219*100)</f>
        <v>0</v>
      </c>
      <c r="EK219" s="820"/>
      <c r="EL219" s="820"/>
      <c r="EM219" s="714">
        <f>IF(EK219=0,0,(EL219-EK219)/EK219*100)</f>
        <v>0</v>
      </c>
      <c r="EN219" s="820"/>
      <c r="EO219" s="820"/>
      <c r="EP219" s="714">
        <f>IF(EN219=0,0,(EO219-EN219)/EN219*100)</f>
        <v>0</v>
      </c>
      <c r="EQ219" s="820"/>
      <c r="ER219" s="820"/>
      <c r="ES219" s="714">
        <f>IF(EQ219=0,0,(ER219-EQ219)/EQ219*100)</f>
        <v>0</v>
      </c>
      <c r="ET219" s="820"/>
      <c r="EU219" s="820"/>
      <c r="EV219" s="714">
        <f>IF(ET219=0,0,(EU219-ET219)/ET219*100)</f>
        <v>0</v>
      </c>
      <c r="EW219" s="820"/>
      <c r="EX219" s="820"/>
      <c r="EY219" s="714">
        <f>IF(EW219=0,0,(EX219-EW219)/EW219*100)</f>
        <v>0</v>
      </c>
      <c r="EZ219" s="820"/>
      <c r="FA219" s="820"/>
      <c r="FB219" s="714">
        <f>IF(EZ219=0,0,(FA219-EZ219)/EZ219*100)</f>
        <v>0</v>
      </c>
      <c r="FC219" s="820"/>
      <c r="FD219" s="820"/>
      <c r="FE219" s="714">
        <f>IF(FC219=0,0,(FD219-FC219)/FC219*100)</f>
        <v>0</v>
      </c>
      <c r="FF219" s="820"/>
      <c r="FG219" s="820"/>
      <c r="FH219" s="714">
        <f>IF(FF219=0,0,(FG219-FF219)/FF219*100)</f>
        <v>0</v>
      </c>
      <c r="FI219" s="820"/>
      <c r="FJ219" s="820"/>
      <c r="FK219" s="714">
        <f>IF(FI219=0,0,(FJ219-FI219)/FI219*100)</f>
        <v>0</v>
      </c>
      <c r="FL219" s="820"/>
      <c r="FM219" s="820"/>
      <c r="FN219" s="714">
        <f>IF(FL219=0,0,(FM219-FL219)/FL219*100)</f>
        <v>0</v>
      </c>
      <c r="FO219" s="820"/>
      <c r="FP219" s="820"/>
      <c r="FQ219" s="714">
        <f>IF(FO219=0,0,(FP219-FO219)/FO219*100)</f>
        <v>0</v>
      </c>
      <c r="FR219" s="820"/>
      <c r="FS219" s="820"/>
      <c r="FT219" s="714">
        <f>IF(FR219=0,0,(FS219-FR219)/FR219*100)</f>
        <v>0</v>
      </c>
      <c r="FU219" s="820"/>
      <c r="FV219" s="820"/>
      <c r="FW219" s="714">
        <f>IF(FU219=0,0,(FV219-FU219)/FU219*100)</f>
        <v>0</v>
      </c>
      <c r="FZ219" s="691" t="s">
        <v>1689</v>
      </c>
    </row>
    <row r="220" spans="1:186" ht="23.25" hidden="1" customHeight="1" x14ac:dyDescent="0.15">
      <c r="A220" s="59"/>
      <c r="B220" s="613" t="b" cm="1">
        <f t="array" ref="B220">B219</f>
        <v>0</v>
      </c>
      <c r="C220" s="59"/>
      <c r="D220" s="59"/>
      <c r="E220" s="462">
        <v>24.5</v>
      </c>
      <c r="F220" s="3" t="str" cm="1">
        <f t="array" aca="1" ref="F220" ca="1">OFFSET(E220,-1,1)</f>
        <v>3</v>
      </c>
      <c r="G220" s="59"/>
      <c r="H220" s="59"/>
      <c r="I220" s="59"/>
      <c r="J220" s="59"/>
      <c r="K220" s="59"/>
      <c r="L220" s="59"/>
      <c r="M220" s="59"/>
      <c r="N220" s="59"/>
      <c r="O220" s="59"/>
      <c r="P220" s="59"/>
      <c r="Q220" s="59"/>
      <c r="R220" s="59"/>
      <c r="S220" s="59"/>
      <c r="T220" s="353" t="b" cm="1">
        <f t="array" aca="1" ref="T220" ca="1">T219</f>
        <v>1</v>
      </c>
      <c r="U220" s="59"/>
      <c r="V220" s="59"/>
      <c r="W220" s="59"/>
      <c r="X220" s="1022"/>
      <c r="Y220" s="59"/>
      <c r="Z220" s="966"/>
      <c r="AA220" s="59"/>
      <c r="AB220" s="205" t="s">
        <v>1690</v>
      </c>
      <c r="AC220" s="597"/>
      <c r="AD220" s="718"/>
      <c r="AE220" s="718"/>
      <c r="AF220" s="718"/>
      <c r="AG220" s="718"/>
      <c r="AH220" s="718"/>
      <c r="AI220" s="718"/>
      <c r="AJ220" s="718"/>
      <c r="AK220" s="718"/>
      <c r="AL220" s="718"/>
      <c r="AM220" s="718"/>
      <c r="AN220" s="718"/>
      <c r="AO220" s="718"/>
      <c r="AP220" s="718"/>
      <c r="AQ220" s="718"/>
      <c r="AR220" s="718"/>
      <c r="AS220" s="718"/>
      <c r="AT220" s="718"/>
      <c r="AU220" s="718"/>
      <c r="AV220" s="718"/>
      <c r="AW220" s="718"/>
      <c r="AX220" s="718"/>
      <c r="AY220" s="718"/>
      <c r="AZ220" s="718"/>
      <c r="BA220" s="718"/>
      <c r="BB220" s="718"/>
      <c r="BC220" s="718"/>
      <c r="BD220" s="718"/>
      <c r="BE220" s="718"/>
      <c r="BF220" s="718"/>
      <c r="BG220" s="718"/>
      <c r="BH220" s="718"/>
      <c r="BI220" s="718"/>
      <c r="BJ220" s="718"/>
      <c r="BK220" s="718"/>
      <c r="BL220" s="718"/>
      <c r="BM220" s="718"/>
      <c r="BN220" s="718"/>
      <c r="BO220" s="718"/>
      <c r="BP220" s="718"/>
      <c r="BQ220" s="718"/>
      <c r="BR220" s="718"/>
      <c r="BS220" s="718"/>
      <c r="BT220" s="718"/>
      <c r="BU220" s="718"/>
      <c r="BV220" s="718"/>
      <c r="BW220" s="718"/>
      <c r="BX220" s="718"/>
      <c r="BY220" s="718"/>
      <c r="BZ220" s="718"/>
      <c r="CA220" s="718"/>
      <c r="CB220" s="718"/>
      <c r="CC220" s="718"/>
      <c r="CD220" s="718"/>
      <c r="CE220" s="718"/>
      <c r="CF220" s="718"/>
      <c r="CG220" s="718"/>
      <c r="CH220" s="718"/>
      <c r="CI220" s="718"/>
      <c r="CJ220" s="718"/>
      <c r="CK220" s="718"/>
      <c r="CL220" s="718"/>
      <c r="CM220" s="718"/>
      <c r="CN220" s="718"/>
      <c r="CO220" s="718"/>
      <c r="CP220" s="718"/>
      <c r="CQ220" s="718"/>
      <c r="CR220" s="718"/>
      <c r="CS220" s="718"/>
      <c r="CT220" s="718"/>
      <c r="CU220" s="718"/>
      <c r="CV220" s="718"/>
      <c r="CW220" s="718"/>
      <c r="CX220" s="718"/>
      <c r="CY220" s="718"/>
      <c r="CZ220" s="718"/>
      <c r="DA220" s="718"/>
      <c r="DB220" s="718"/>
      <c r="DC220" s="718"/>
      <c r="DD220" s="718"/>
      <c r="DE220" s="718"/>
      <c r="DF220" s="718"/>
      <c r="DG220" s="718"/>
      <c r="DH220" s="718"/>
      <c r="DI220" s="718"/>
      <c r="DJ220" s="718"/>
      <c r="DK220" s="718"/>
      <c r="DL220" s="718"/>
      <c r="DM220" s="718"/>
      <c r="DN220" s="718"/>
      <c r="DO220" s="718"/>
      <c r="DP220" s="718"/>
      <c r="DQ220" s="718"/>
      <c r="DR220" s="718"/>
      <c r="DS220" s="718"/>
      <c r="DT220" s="718"/>
      <c r="DU220" s="718"/>
      <c r="DV220" s="718"/>
      <c r="DW220" s="718"/>
      <c r="DX220" s="718"/>
      <c r="DY220" s="718"/>
      <c r="DZ220" s="718"/>
      <c r="EA220" s="718"/>
      <c r="EB220" s="718"/>
      <c r="EC220" s="718"/>
      <c r="ED220" s="718"/>
      <c r="EE220" s="718"/>
      <c r="EF220" s="718"/>
      <c r="EG220" s="718"/>
      <c r="EH220" s="718"/>
      <c r="EI220" s="718"/>
      <c r="EJ220" s="718"/>
      <c r="EK220" s="718"/>
      <c r="EL220" s="718"/>
      <c r="EM220" s="718"/>
      <c r="EN220" s="718"/>
      <c r="EO220" s="718"/>
      <c r="EP220" s="718"/>
      <c r="EQ220" s="718"/>
      <c r="ER220" s="718"/>
      <c r="ES220" s="718"/>
      <c r="ET220" s="718"/>
      <c r="EU220" s="718"/>
      <c r="EV220" s="718"/>
      <c r="EW220" s="718"/>
      <c r="EX220" s="718"/>
      <c r="EY220" s="718"/>
      <c r="EZ220" s="718"/>
      <c r="FA220" s="718"/>
      <c r="FB220" s="718"/>
      <c r="FC220" s="718"/>
      <c r="FD220" s="718"/>
      <c r="FE220" s="718"/>
      <c r="FF220" s="718"/>
      <c r="FG220" s="718"/>
      <c r="FH220" s="718"/>
      <c r="FI220" s="718"/>
      <c r="FJ220" s="718"/>
      <c r="FK220" s="718"/>
      <c r="FL220" s="718"/>
      <c r="FM220" s="718"/>
      <c r="FN220" s="718"/>
      <c r="FO220" s="718"/>
      <c r="FP220" s="718"/>
      <c r="FQ220" s="718"/>
      <c r="FR220" s="718"/>
      <c r="FS220" s="718"/>
      <c r="FT220" s="718"/>
      <c r="FU220" s="718"/>
      <c r="FV220" s="718"/>
      <c r="FW220" s="719"/>
      <c r="FZ220" s="691"/>
    </row>
    <row r="221" spans="1:186" ht="14.25" hidden="1" customHeight="1" x14ac:dyDescent="0.15">
      <c r="A221" s="59"/>
      <c r="B221" s="613" t="b" cm="1">
        <f t="array" ref="B221">B220</f>
        <v>0</v>
      </c>
      <c r="C221" s="59"/>
      <c r="D221" s="59"/>
      <c r="E221" s="462">
        <v>15</v>
      </c>
      <c r="F221" s="3" t="str" cm="1">
        <f t="array" aca="1" ref="F221" ca="1">OFFSET(E221,-1,1)</f>
        <v>3</v>
      </c>
      <c r="G221" s="59"/>
      <c r="H221" s="59" t="s">
        <v>1570</v>
      </c>
      <c r="I221" s="59" t="s">
        <v>1647</v>
      </c>
      <c r="J221" s="59"/>
      <c r="K221" s="59"/>
      <c r="L221" s="59"/>
      <c r="M221" s="59"/>
      <c r="N221" s="59"/>
      <c r="O221" s="59"/>
      <c r="P221" s="59"/>
      <c r="Q221" s="59"/>
      <c r="R221" s="59"/>
      <c r="S221" s="59"/>
      <c r="T221" s="353" t="b" cm="1">
        <f t="array" aca="1" ref="T221" ca="1">T220</f>
        <v>1</v>
      </c>
      <c r="U221" s="59"/>
      <c r="V221" s="59"/>
      <c r="W221" s="59"/>
      <c r="X221" s="1022"/>
      <c r="Y221" s="59"/>
      <c r="Z221" s="966"/>
      <c r="AA221" s="59"/>
      <c r="AB221" s="105" t="s">
        <v>1677</v>
      </c>
      <c r="AC221" s="12" t="s">
        <v>1644</v>
      </c>
      <c r="AD221" s="820">
        <f ca="1">IF(AD223=0,0,(AD222*AD223+AD224*AD225*IF(god=2026,3,6))/AD223)</f>
        <v>0</v>
      </c>
      <c r="AE221" s="820">
        <f ca="1">IF(AE223=0,0,(AE222*AE223+AE224*AE225*IF(god=2026,3,6))/AE223)</f>
        <v>0</v>
      </c>
      <c r="AF221" s="714">
        <f ca="1">IF(AD221=0,0,(AE221-AD221)/AD221*100)</f>
        <v>0</v>
      </c>
      <c r="AG221" s="820">
        <f ca="1">IF(AG223=0,0,(AG222*AG223+AG224*AG225*IF(god=2025,3,6))/AG223)</f>
        <v>0</v>
      </c>
      <c r="AH221" s="820">
        <f ca="1">IF(AH223=0,0,(AH222*AH223+AH224*AH225*IF(god=2025,3,6))/AH223)</f>
        <v>0</v>
      </c>
      <c r="AI221" s="714">
        <f ca="1">IF(AG221=0,0,(AH221-AG221)/AG221*100)</f>
        <v>0</v>
      </c>
      <c r="AJ221" s="820">
        <f ca="1">IF(AJ223=0,0,(AJ222*AJ223+AJ224*AJ225*6)/AJ223)</f>
        <v>0</v>
      </c>
      <c r="AK221" s="820">
        <f ca="1">IF(AK223=0,0,(AK222*AK223+AK224*AK225*6)/AK223)</f>
        <v>0</v>
      </c>
      <c r="AL221" s="714">
        <f ca="1">IF(AJ221=0,0,(AK221-AJ221)/AJ221*100)</f>
        <v>0</v>
      </c>
      <c r="AM221" s="820">
        <f ca="1">IF(AM223=0,0,(AM222*AM223+AM224*AM225*6)/AM223)</f>
        <v>0</v>
      </c>
      <c r="AN221" s="820">
        <f ca="1">IF(AN223=0,0,(AN222*AN223+AN224*AN225*6)/AN223)</f>
        <v>0</v>
      </c>
      <c r="AO221" s="714">
        <f ca="1">IF(AM221=0,0,(AN221-AM221)/AM221*100)</f>
        <v>0</v>
      </c>
      <c r="AP221" s="820">
        <f ca="1">IF(AP223=0,0,(AP222*AP223+AP224*AP225*6)/AP223)</f>
        <v>0</v>
      </c>
      <c r="AQ221" s="820">
        <f ca="1">IF(AQ223=0,0,(AQ222*AQ223+AQ224*AQ225*6)/AQ223)</f>
        <v>0</v>
      </c>
      <c r="AR221" s="714">
        <f ca="1">IF(AP221=0,0,(AQ221-AP221)/AP221*100)</f>
        <v>0</v>
      </c>
      <c r="AS221" s="820">
        <f ca="1">IF(AS223=0,0,(AS222*AS223+AS224*AS225*6)/AS223)</f>
        <v>0</v>
      </c>
      <c r="AT221" s="820">
        <f ca="1">IF(AT223=0,0,(AT222*AT223+AT224*AT225*6)/AT223)</f>
        <v>0</v>
      </c>
      <c r="AU221" s="714">
        <f ca="1">IF(AS221=0,0,(AT221-AS221)/AS221*100)</f>
        <v>0</v>
      </c>
      <c r="AV221" s="820">
        <f ca="1">IF(AV223=0,0,(AV222*AV223+AV224*AV225*6)/AV223)</f>
        <v>0</v>
      </c>
      <c r="AW221" s="820">
        <f ca="1">IF(AW223=0,0,(AW222*AW223+AW224*AW225*6)/AW223)</f>
        <v>0</v>
      </c>
      <c r="AX221" s="714">
        <f ca="1">IF(AV221=0,0,(AW221-AV221)/AV221*100)</f>
        <v>0</v>
      </c>
      <c r="AY221" s="820">
        <f ca="1">IF(AY223=0,0,(AY222*AY223+AY224*AY225*6)/AY223)</f>
        <v>0</v>
      </c>
      <c r="AZ221" s="820">
        <f ca="1">IF(AZ223=0,0,(AZ222*AZ223+AZ224*AZ225*6)/AZ223)</f>
        <v>0</v>
      </c>
      <c r="BA221" s="714">
        <f ca="1">IF(AY221=0,0,(AZ221-AY221)/AY221*100)</f>
        <v>0</v>
      </c>
      <c r="BB221" s="820">
        <f ca="1">IF(BB223=0,0,(BB222*BB223+BB224*BB225*6)/BB223)</f>
        <v>0</v>
      </c>
      <c r="BC221" s="820">
        <f ca="1">IF(BC223=0,0,(BC222*BC223+BC224*BC225*6)/BC223)</f>
        <v>0</v>
      </c>
      <c r="BD221" s="714">
        <f ca="1">IF(BB221=0,0,(BC221-BB221)/BB221*100)</f>
        <v>0</v>
      </c>
      <c r="BE221" s="820">
        <f ca="1">IF(BE223=0,0,(BE222*BE223+BE224*BE225*6)/BE223)</f>
        <v>0</v>
      </c>
      <c r="BF221" s="820">
        <f ca="1">IF(BF223=0,0,(BF222*BF223+BF224*BF225*6)/BF223)</f>
        <v>0</v>
      </c>
      <c r="BG221" s="714">
        <f ca="1">IF(BE221=0,0,(BF221-BE221)/BE221*100)</f>
        <v>0</v>
      </c>
      <c r="BH221" s="820">
        <f>IF(BH223=0,0,(BH222*BH223+BH224*BH225*6)/BH223)</f>
        <v>0</v>
      </c>
      <c r="BI221" s="820">
        <f>IF(BI223=0,0,(BI222*BI223+BI224*BI225*6)/BI223)</f>
        <v>0</v>
      </c>
      <c r="BJ221" s="714">
        <f>IF(BH221=0,0,(BI221-BH221)/BH221*100)</f>
        <v>0</v>
      </c>
      <c r="BK221" s="820">
        <f>IF(BK223=0,0,(BK222*BK223+BK224*BK225*6)/BK223)</f>
        <v>0</v>
      </c>
      <c r="BL221" s="820">
        <f>IF(BL223=0,0,(BL222*BL223+BL224*BL225*6)/BL223)</f>
        <v>0</v>
      </c>
      <c r="BM221" s="714">
        <f>IF(BK221=0,0,(BL221-BK221)/BK221*100)</f>
        <v>0</v>
      </c>
      <c r="BN221" s="820">
        <f>IF(BN223=0,0,(BN222*BN223+BN224*BN225*6)/BN223)</f>
        <v>0</v>
      </c>
      <c r="BO221" s="820">
        <f>IF(BO223=0,0,(BO222*BO223+BO224*BO225*6)/BO223)</f>
        <v>0</v>
      </c>
      <c r="BP221" s="714">
        <f>IF(BN221=0,0,(BO221-BN221)/BN221*100)</f>
        <v>0</v>
      </c>
      <c r="BQ221" s="820">
        <f>IF(BQ223=0,0,(BQ222*BQ223+BQ224*BQ225*6)/BQ223)</f>
        <v>0</v>
      </c>
      <c r="BR221" s="820">
        <f>IF(BR223=0,0,(BR222*BR223+BR224*BR225*6)/BR223)</f>
        <v>0</v>
      </c>
      <c r="BS221" s="714">
        <f>IF(BQ221=0,0,(BR221-BQ221)/BQ221*100)</f>
        <v>0</v>
      </c>
      <c r="BT221" s="820">
        <f>IF(BT223=0,0,(BT222*BT223+BT224*BT225*6)/BT223)</f>
        <v>0</v>
      </c>
      <c r="BU221" s="820">
        <f>IF(BU223=0,0,(BU222*BU223+BU224*BU225*6)/BU223)</f>
        <v>0</v>
      </c>
      <c r="BV221" s="714">
        <f>IF(BT221=0,0,(BU221-BT221)/BT221*100)</f>
        <v>0</v>
      </c>
      <c r="BW221" s="820">
        <f>IF(BW223=0,0,(BW222*BW223+BW224*BW225*6)/BW223)</f>
        <v>0</v>
      </c>
      <c r="BX221" s="820">
        <f>IF(BX223=0,0,(BX222*BX223+BX224*BX225*6)/BX223)</f>
        <v>0</v>
      </c>
      <c r="BY221" s="714">
        <f>IF(BW221=0,0,(BX221-BW221)/BW221*100)</f>
        <v>0</v>
      </c>
      <c r="BZ221" s="820">
        <f>IF(BZ223=0,0,(BZ222*BZ223+BZ224*BZ225*6)/BZ223)</f>
        <v>0</v>
      </c>
      <c r="CA221" s="820">
        <f>IF(CA223=0,0,(CA222*CA223+CA224*CA225*6)/CA223)</f>
        <v>0</v>
      </c>
      <c r="CB221" s="714">
        <f>IF(BZ221=0,0,(CA221-BZ221)/BZ221*100)</f>
        <v>0</v>
      </c>
      <c r="CC221" s="820">
        <f>IF(CC223=0,0,(CC222*CC223+CC224*CC225*6)/CC223)</f>
        <v>0</v>
      </c>
      <c r="CD221" s="820">
        <f>IF(CD223=0,0,(CD222*CD223+CD224*CD225*6)/CD223)</f>
        <v>0</v>
      </c>
      <c r="CE221" s="714">
        <f>IF(CC221=0,0,(CD221-CC221)/CC221*100)</f>
        <v>0</v>
      </c>
      <c r="CF221" s="820">
        <f>IF(CF223=0,0,(CF222*CF223+CF224*CF225*6)/CF223)</f>
        <v>0</v>
      </c>
      <c r="CG221" s="820">
        <f>IF(CG223=0,0,(CG222*CG223+CG224*CG225*6)/CG223)</f>
        <v>0</v>
      </c>
      <c r="CH221" s="714">
        <f>IF(CF221=0,0,(CG221-CF221)/CF221*100)</f>
        <v>0</v>
      </c>
      <c r="CI221" s="820">
        <f>IF(CI223=0,0,(CI222*CI223+CI224*CI225*6)/CI223)</f>
        <v>0</v>
      </c>
      <c r="CJ221" s="820">
        <f>IF(CJ223=0,0,(CJ222*CJ223+CJ224*CJ225*6)/CJ223)</f>
        <v>0</v>
      </c>
      <c r="CK221" s="714">
        <f>IF(CI221=0,0,(CJ221-CI221)/CI221*100)</f>
        <v>0</v>
      </c>
      <c r="CL221" s="820">
        <f>IF(CL223=0,0,(CL222*CL223+CL224*CL225*6)/CL223)</f>
        <v>0</v>
      </c>
      <c r="CM221" s="820">
        <f>IF(CM223=0,0,(CM222*CM223+CM224*CM225*6)/CM223)</f>
        <v>0</v>
      </c>
      <c r="CN221" s="714">
        <f>IF(CL221=0,0,(CM221-CL221)/CL221*100)</f>
        <v>0</v>
      </c>
      <c r="CO221" s="820">
        <f>IF(CO223=0,0,(CO222*CO223+CO224*CO225*6)/CO223)</f>
        <v>0</v>
      </c>
      <c r="CP221" s="820">
        <f>IF(CP223=0,0,(CP222*CP223+CP224*CP225*6)/CP223)</f>
        <v>0</v>
      </c>
      <c r="CQ221" s="714">
        <f>IF(CO221=0,0,(CP221-CO221)/CO221*100)</f>
        <v>0</v>
      </c>
      <c r="CR221" s="820">
        <f>IF(CR223=0,0,(CR222*CR223+CR224*CR225*6)/CR223)</f>
        <v>0</v>
      </c>
      <c r="CS221" s="820">
        <f>IF(CS223=0,0,(CS222*CS223+CS224*CS225*6)/CS223)</f>
        <v>0</v>
      </c>
      <c r="CT221" s="714">
        <f>IF(CR221=0,0,(CS221-CR221)/CR221*100)</f>
        <v>0</v>
      </c>
      <c r="CU221" s="820">
        <f>IF(CU223=0,0,(CU222*CU223+CU224*CU225*6)/CU223)</f>
        <v>0</v>
      </c>
      <c r="CV221" s="820">
        <f>IF(CV223=0,0,(CV222*CV223+CV224*CV225*6)/CV223)</f>
        <v>0</v>
      </c>
      <c r="CW221" s="714">
        <f>IF(CU221=0,0,(CV221-CU221)/CU221*100)</f>
        <v>0</v>
      </c>
      <c r="CX221" s="820">
        <f>IF(CX223=0,0,(CX222*CX223+CX224*CX225*6)/CX223)</f>
        <v>0</v>
      </c>
      <c r="CY221" s="820">
        <f>IF(CY223=0,0,(CY222*CY223+CY224*CY225*6)/CY223)</f>
        <v>0</v>
      </c>
      <c r="CZ221" s="714">
        <f>IF(CX221=0,0,(CY221-CX221)/CX221*100)</f>
        <v>0</v>
      </c>
      <c r="DA221" s="820">
        <f>IF(DA223=0,0,(DA222*DA223+DA224*DA225*6)/DA223)</f>
        <v>0</v>
      </c>
      <c r="DB221" s="820">
        <f>IF(DB223=0,0,(DB222*DB223+DB224*DB225*6)/DB223)</f>
        <v>0</v>
      </c>
      <c r="DC221" s="714">
        <f>IF(DA221=0,0,(DB221-DA221)/DA221*100)</f>
        <v>0</v>
      </c>
      <c r="DD221" s="820">
        <f>IF(DD223=0,0,(DD222*DD223+DD224*DD225*6)/DD223)</f>
        <v>0</v>
      </c>
      <c r="DE221" s="820">
        <f>IF(DE223=0,0,(DE222*DE223+DE224*DE225*6)/DE223)</f>
        <v>0</v>
      </c>
      <c r="DF221" s="714">
        <f>IF(DD221=0,0,(DE221-DD221)/DD221*100)</f>
        <v>0</v>
      </c>
      <c r="DG221" s="820">
        <f>IF(DG223=0,0,(DG222*DG223+DG224*DG225*6)/DG223)</f>
        <v>0</v>
      </c>
      <c r="DH221" s="820">
        <f>IF(DH223=0,0,(DH222*DH223+DH224*DH225*6)/DH223)</f>
        <v>0</v>
      </c>
      <c r="DI221" s="714">
        <f>IF(DG221=0,0,(DH221-DG221)/DG221*100)</f>
        <v>0</v>
      </c>
      <c r="DJ221" s="820">
        <f>IF(DJ223=0,0,(DJ222*DJ223+DJ224*DJ225*6)/DJ223)</f>
        <v>0</v>
      </c>
      <c r="DK221" s="820">
        <f>IF(DK223=0,0,(DK222*DK223+DK224*DK225*6)/DK223)</f>
        <v>0</v>
      </c>
      <c r="DL221" s="714">
        <f>IF(DJ221=0,0,(DK221-DJ221)/DJ221*100)</f>
        <v>0</v>
      </c>
      <c r="DM221" s="820">
        <f>IF(DM223=0,0,(DM222*DM223+DM224*DM225*6)/DM223)</f>
        <v>0</v>
      </c>
      <c r="DN221" s="820">
        <f>IF(DN223=0,0,(DN222*DN223+DN224*DN225*6)/DN223)</f>
        <v>0</v>
      </c>
      <c r="DO221" s="714">
        <f>IF(DM221=0,0,(DN221-DM221)/DM221*100)</f>
        <v>0</v>
      </c>
      <c r="DP221" s="820">
        <f>IF(DP223=0,0,(DP222*DP223+DP224*DP225*6)/DP223)</f>
        <v>0</v>
      </c>
      <c r="DQ221" s="820">
        <f>IF(DQ223=0,0,(DQ222*DQ223+DQ224*DQ225*6)/DQ223)</f>
        <v>0</v>
      </c>
      <c r="DR221" s="714">
        <f>IF(DP221=0,0,(DQ221-DP221)/DP221*100)</f>
        <v>0</v>
      </c>
      <c r="DS221" s="820">
        <f>IF(DS223=0,0,(DS222*DS223+DS224*DS225*6)/DS223)</f>
        <v>0</v>
      </c>
      <c r="DT221" s="820">
        <f>IF(DT223=0,0,(DT222*DT223+DT224*DT225*6)/DT223)</f>
        <v>0</v>
      </c>
      <c r="DU221" s="714">
        <f>IF(DS221=0,0,(DT221-DS221)/DS221*100)</f>
        <v>0</v>
      </c>
      <c r="DV221" s="820">
        <f>IF(DV223=0,0,(DV222*DV223+DV224*DV225*6)/DV223)</f>
        <v>0</v>
      </c>
      <c r="DW221" s="820">
        <f>IF(DW223=0,0,(DW222*DW223+DW224*DW225*6)/DW223)</f>
        <v>0</v>
      </c>
      <c r="DX221" s="714">
        <f>IF(DV221=0,0,(DW221-DV221)/DV221*100)</f>
        <v>0</v>
      </c>
      <c r="DY221" s="820">
        <f>IF(DY223=0,0,(DY222*DY223+DY224*DY225*6)/DY223)</f>
        <v>0</v>
      </c>
      <c r="DZ221" s="820">
        <f>IF(DZ223=0,0,(DZ222*DZ223+DZ224*DZ225*6)/DZ223)</f>
        <v>0</v>
      </c>
      <c r="EA221" s="714">
        <f>IF(DY221=0,0,(DZ221-DY221)/DY221*100)</f>
        <v>0</v>
      </c>
      <c r="EB221" s="820">
        <f>IF(EB223=0,0,(EB222*EB223+EB224*EB225*6)/EB223)</f>
        <v>0</v>
      </c>
      <c r="EC221" s="820">
        <f>IF(EC223=0,0,(EC222*EC223+EC224*EC225*6)/EC223)</f>
        <v>0</v>
      </c>
      <c r="ED221" s="714">
        <f>IF(EB221=0,0,(EC221-EB221)/EB221*100)</f>
        <v>0</v>
      </c>
      <c r="EE221" s="820">
        <f>IF(EE223=0,0,(EE222*EE223+EE224*EE225*6)/EE223)</f>
        <v>0</v>
      </c>
      <c r="EF221" s="820">
        <f>IF(EF223=0,0,(EF222*EF223+EF224*EF225*6)/EF223)</f>
        <v>0</v>
      </c>
      <c r="EG221" s="714">
        <f>IF(EE221=0,0,(EF221-EE221)/EE221*100)</f>
        <v>0</v>
      </c>
      <c r="EH221" s="820">
        <f>IF(EH223=0,0,(EH222*EH223+EH224*EH225*6)/EH223)</f>
        <v>0</v>
      </c>
      <c r="EI221" s="820">
        <f>IF(EI223=0,0,(EI222*EI223+EI224*EI225*6)/EI223)</f>
        <v>0</v>
      </c>
      <c r="EJ221" s="714">
        <f>IF(EH221=0,0,(EI221-EH221)/EH221*100)</f>
        <v>0</v>
      </c>
      <c r="EK221" s="820">
        <f>IF(EK223=0,0,(EK222*EK223+EK224*EK225*6)/EK223)</f>
        <v>0</v>
      </c>
      <c r="EL221" s="820">
        <f>IF(EL223=0,0,(EL222*EL223+EL224*EL225*6)/EL223)</f>
        <v>0</v>
      </c>
      <c r="EM221" s="714">
        <f>IF(EK221=0,0,(EL221-EK221)/EK221*100)</f>
        <v>0</v>
      </c>
      <c r="EN221" s="820">
        <f>IF(EN223=0,0,(EN222*EN223+EN224*EN225*6)/EN223)</f>
        <v>0</v>
      </c>
      <c r="EO221" s="820">
        <f>IF(EO223=0,0,(EO222*EO223+EO224*EO225*6)/EO223)</f>
        <v>0</v>
      </c>
      <c r="EP221" s="714">
        <f>IF(EN221=0,0,(EO221-EN221)/EN221*100)</f>
        <v>0</v>
      </c>
      <c r="EQ221" s="820">
        <f>IF(EQ223=0,0,(EQ222*EQ223+EQ224*EQ225*6)/EQ223)</f>
        <v>0</v>
      </c>
      <c r="ER221" s="820">
        <f>IF(ER223=0,0,(ER222*ER223+ER224*ER225*6)/ER223)</f>
        <v>0</v>
      </c>
      <c r="ES221" s="714">
        <f>IF(EQ221=0,0,(ER221-EQ221)/EQ221*100)</f>
        <v>0</v>
      </c>
      <c r="ET221" s="820">
        <f>IF(ET223=0,0,(ET222*ET223+ET224*ET225*6)/ET223)</f>
        <v>0</v>
      </c>
      <c r="EU221" s="820">
        <f>IF(EU223=0,0,(EU222*EU223+EU224*EU225*6)/EU223)</f>
        <v>0</v>
      </c>
      <c r="EV221" s="714">
        <f>IF(ET221=0,0,(EU221-ET221)/ET221*100)</f>
        <v>0</v>
      </c>
      <c r="EW221" s="820">
        <f>IF(EW223=0,0,(EW222*EW223+EW224*EW225*6)/EW223)</f>
        <v>0</v>
      </c>
      <c r="EX221" s="820">
        <f>IF(EX223=0,0,(EX222*EX223+EX224*EX225*6)/EX223)</f>
        <v>0</v>
      </c>
      <c r="EY221" s="714">
        <f>IF(EW221=0,0,(EX221-EW221)/EW221*100)</f>
        <v>0</v>
      </c>
      <c r="EZ221" s="820">
        <f>IF(EZ223=0,0,(EZ222*EZ223+EZ224*EZ225*6)/EZ223)</f>
        <v>0</v>
      </c>
      <c r="FA221" s="820">
        <f>IF(FA223=0,0,(FA222*FA223+FA224*FA225*6)/FA223)</f>
        <v>0</v>
      </c>
      <c r="FB221" s="714">
        <f>IF(EZ221=0,0,(FA221-EZ221)/EZ221*100)</f>
        <v>0</v>
      </c>
      <c r="FC221" s="820">
        <f>IF(FC223=0,0,(FC222*FC223+FC224*FC225*6)/FC223)</f>
        <v>0</v>
      </c>
      <c r="FD221" s="820">
        <f>IF(FD223=0,0,(FD222*FD223+FD224*FD225*6)/FD223)</f>
        <v>0</v>
      </c>
      <c r="FE221" s="714">
        <f>IF(FC221=0,0,(FD221-FC221)/FC221*100)</f>
        <v>0</v>
      </c>
      <c r="FF221" s="820">
        <f>IF(FF223=0,0,(FF222*FF223+FF224*FF225*6)/FF223)</f>
        <v>0</v>
      </c>
      <c r="FG221" s="820">
        <f>IF(FG223=0,0,(FG222*FG223+FG224*FG225*6)/FG223)</f>
        <v>0</v>
      </c>
      <c r="FH221" s="714">
        <f>IF(FF221=0,0,(FG221-FF221)/FF221*100)</f>
        <v>0</v>
      </c>
      <c r="FI221" s="820">
        <f>IF(FI223=0,0,(FI222*FI223+FI224*FI225*6)/FI223)</f>
        <v>0</v>
      </c>
      <c r="FJ221" s="820">
        <f>IF(FJ223=0,0,(FJ222*FJ223+FJ224*FJ225*6)/FJ223)</f>
        <v>0</v>
      </c>
      <c r="FK221" s="714">
        <f>IF(FI221=0,0,(FJ221-FI221)/FI221*100)</f>
        <v>0</v>
      </c>
      <c r="FL221" s="820">
        <f>IF(FL223=0,0,(FL222*FL223+FL224*FL225*6)/FL223)</f>
        <v>0</v>
      </c>
      <c r="FM221" s="820">
        <f>IF(FM223=0,0,(FM222*FM223+FM224*FM225*6)/FM223)</f>
        <v>0</v>
      </c>
      <c r="FN221" s="714">
        <f>IF(FL221=0,0,(FM221-FL221)/FL221*100)</f>
        <v>0</v>
      </c>
      <c r="FO221" s="820">
        <f>IF(FO223=0,0,(FO222*FO223+FO224*FO225*6)/FO223)</f>
        <v>0</v>
      </c>
      <c r="FP221" s="820">
        <f>IF(FP223=0,0,(FP222*FP223+FP224*FP225*6)/FP223)</f>
        <v>0</v>
      </c>
      <c r="FQ221" s="714">
        <f>IF(FO221=0,0,(FP221-FO221)/FO221*100)</f>
        <v>0</v>
      </c>
      <c r="FR221" s="820">
        <f>IF(FR223=0,0,(FR222*FR223+FR224*FR225*6)/FR223)</f>
        <v>0</v>
      </c>
      <c r="FS221" s="820">
        <f>IF(FS223=0,0,(FS222*FS223+FS224*FS225*6)/FS223)</f>
        <v>0</v>
      </c>
      <c r="FT221" s="714">
        <f>IF(FR221=0,0,(FS221-FR221)/FR221*100)</f>
        <v>0</v>
      </c>
      <c r="FU221" s="820">
        <f>IF(FU223=0,0,(FU222*FU223+FU224*FU225*6)/FU223)</f>
        <v>0</v>
      </c>
      <c r="FV221" s="820">
        <f>IF(FV223=0,0,(FV222*FV223+FV224*FV225*6)/FV223)</f>
        <v>0</v>
      </c>
      <c r="FW221" s="714">
        <f>IF(FU221=0,0,(FV221-FU221)/FU221*100)</f>
        <v>0</v>
      </c>
      <c r="FZ221" s="691" t="s">
        <v>1691</v>
      </c>
    </row>
    <row r="222" spans="1:186" ht="14.25" hidden="1" customHeight="1" x14ac:dyDescent="0.15">
      <c r="A222" s="59"/>
      <c r="B222" s="613" t="b" cm="1">
        <f t="array" ref="B222">B221</f>
        <v>0</v>
      </c>
      <c r="C222" s="59"/>
      <c r="D222" s="59"/>
      <c r="E222" s="462">
        <v>15</v>
      </c>
      <c r="F222" s="3" t="str" cm="1">
        <f t="array" aca="1" ref="F222" ca="1">OFFSET(E222,-1,1)</f>
        <v>3</v>
      </c>
      <c r="G222" s="59"/>
      <c r="H222" s="59" t="s">
        <v>1574</v>
      </c>
      <c r="I222" s="59" t="s">
        <v>1647</v>
      </c>
      <c r="J222" s="59"/>
      <c r="K222" s="59"/>
      <c r="L222" s="59"/>
      <c r="M222" s="59"/>
      <c r="N222" s="59"/>
      <c r="O222" s="59"/>
      <c r="P222" s="59"/>
      <c r="Q222" s="59"/>
      <c r="R222" s="59"/>
      <c r="S222" s="59"/>
      <c r="T222" s="353" t="b" cm="1">
        <f t="array" aca="1" ref="T222" ca="1">T221</f>
        <v>1</v>
      </c>
      <c r="U222" s="59"/>
      <c r="V222" s="59"/>
      <c r="W222" s="59"/>
      <c r="X222" s="1022"/>
      <c r="Y222" s="59"/>
      <c r="Z222" s="966"/>
      <c r="AA222" s="59"/>
      <c r="AB222" s="105" t="str">
        <f>"ставка платы за "&amp;IF(Q197="Водоснабжение","потребление 1 куб.м холодной воды","объем принятых сточных вод")</f>
        <v>ставка платы за объем принятых сточных вод</v>
      </c>
      <c r="AC222" s="12" t="s">
        <v>1644</v>
      </c>
      <c r="AD222" s="820"/>
      <c r="AE222" s="820"/>
      <c r="AF222" s="714">
        <f>IF(AD222=0,0,(AE222-AD222)/AD222*100)</f>
        <v>0</v>
      </c>
      <c r="AG222" s="820"/>
      <c r="AH222" s="820"/>
      <c r="AI222" s="714">
        <f>IF(AG222=0,0,(AH222-AG222)/AG222*100)</f>
        <v>0</v>
      </c>
      <c r="AJ222" s="820"/>
      <c r="AK222" s="820"/>
      <c r="AL222" s="714">
        <f>IF(AJ222=0,0,(AK222-AJ222)/AJ222*100)</f>
        <v>0</v>
      </c>
      <c r="AM222" s="820"/>
      <c r="AN222" s="820"/>
      <c r="AO222" s="714">
        <f>IF(AM222=0,0,(AN222-AM222)/AM222*100)</f>
        <v>0</v>
      </c>
      <c r="AP222" s="820"/>
      <c r="AQ222" s="820"/>
      <c r="AR222" s="714">
        <f>IF(AP222=0,0,(AQ222-AP222)/AP222*100)</f>
        <v>0</v>
      </c>
      <c r="AS222" s="820"/>
      <c r="AT222" s="820"/>
      <c r="AU222" s="714">
        <f>IF(AS222=0,0,(AT222-AS222)/AS222*100)</f>
        <v>0</v>
      </c>
      <c r="AV222" s="820"/>
      <c r="AW222" s="820"/>
      <c r="AX222" s="714">
        <f>IF(AV222=0,0,(AW222-AV222)/AV222*100)</f>
        <v>0</v>
      </c>
      <c r="AY222" s="820"/>
      <c r="AZ222" s="820"/>
      <c r="BA222" s="714">
        <f>IF(AY222=0,0,(AZ222-AY222)/AY222*100)</f>
        <v>0</v>
      </c>
      <c r="BB222" s="820"/>
      <c r="BC222" s="820"/>
      <c r="BD222" s="714">
        <f>IF(BB222=0,0,(BC222-BB222)/BB222*100)</f>
        <v>0</v>
      </c>
      <c r="BE222" s="820"/>
      <c r="BF222" s="820"/>
      <c r="BG222" s="714">
        <f>IF(BE222=0,0,(BF222-BE222)/BE222*100)</f>
        <v>0</v>
      </c>
      <c r="BH222" s="820"/>
      <c r="BI222" s="820"/>
      <c r="BJ222" s="714">
        <f>IF(BH222=0,0,(BI222-BH222)/BH222*100)</f>
        <v>0</v>
      </c>
      <c r="BK222" s="820"/>
      <c r="BL222" s="820"/>
      <c r="BM222" s="714">
        <f>IF(BK222=0,0,(BL222-BK222)/BK222*100)</f>
        <v>0</v>
      </c>
      <c r="BN222" s="820"/>
      <c r="BO222" s="820"/>
      <c r="BP222" s="714">
        <f>IF(BN222=0,0,(BO222-BN222)/BN222*100)</f>
        <v>0</v>
      </c>
      <c r="BQ222" s="820"/>
      <c r="BR222" s="820"/>
      <c r="BS222" s="714">
        <f>IF(BQ222=0,0,(BR222-BQ222)/BQ222*100)</f>
        <v>0</v>
      </c>
      <c r="BT222" s="820"/>
      <c r="BU222" s="820"/>
      <c r="BV222" s="714">
        <f>IF(BT222=0,0,(BU222-BT222)/BT222*100)</f>
        <v>0</v>
      </c>
      <c r="BW222" s="820"/>
      <c r="BX222" s="820"/>
      <c r="BY222" s="714">
        <f>IF(BW222=0,0,(BX222-BW222)/BW222*100)</f>
        <v>0</v>
      </c>
      <c r="BZ222" s="820"/>
      <c r="CA222" s="820"/>
      <c r="CB222" s="714">
        <f>IF(BZ222=0,0,(CA222-BZ222)/BZ222*100)</f>
        <v>0</v>
      </c>
      <c r="CC222" s="820"/>
      <c r="CD222" s="820"/>
      <c r="CE222" s="714">
        <f>IF(CC222=0,0,(CD222-CC222)/CC222*100)</f>
        <v>0</v>
      </c>
      <c r="CF222" s="820"/>
      <c r="CG222" s="820"/>
      <c r="CH222" s="714">
        <f>IF(CF222=0,0,(CG222-CF222)/CF222*100)</f>
        <v>0</v>
      </c>
      <c r="CI222" s="820"/>
      <c r="CJ222" s="820"/>
      <c r="CK222" s="714">
        <f>IF(CI222=0,0,(CJ222-CI222)/CI222*100)</f>
        <v>0</v>
      </c>
      <c r="CL222" s="820"/>
      <c r="CM222" s="820"/>
      <c r="CN222" s="714">
        <f>IF(CL222=0,0,(CM222-CL222)/CL222*100)</f>
        <v>0</v>
      </c>
      <c r="CO222" s="820"/>
      <c r="CP222" s="820"/>
      <c r="CQ222" s="714">
        <f>IF(CO222=0,0,(CP222-CO222)/CO222*100)</f>
        <v>0</v>
      </c>
      <c r="CR222" s="820"/>
      <c r="CS222" s="820"/>
      <c r="CT222" s="714">
        <f>IF(CR222=0,0,(CS222-CR222)/CR222*100)</f>
        <v>0</v>
      </c>
      <c r="CU222" s="820"/>
      <c r="CV222" s="820"/>
      <c r="CW222" s="714">
        <f>IF(CU222=0,0,(CV222-CU222)/CU222*100)</f>
        <v>0</v>
      </c>
      <c r="CX222" s="820"/>
      <c r="CY222" s="820"/>
      <c r="CZ222" s="714">
        <f>IF(CX222=0,0,(CY222-CX222)/CX222*100)</f>
        <v>0</v>
      </c>
      <c r="DA222" s="820"/>
      <c r="DB222" s="820"/>
      <c r="DC222" s="714">
        <f>IF(DA222=0,0,(DB222-DA222)/DA222*100)</f>
        <v>0</v>
      </c>
      <c r="DD222" s="820"/>
      <c r="DE222" s="820"/>
      <c r="DF222" s="714">
        <f>IF(DD222=0,0,(DE222-DD222)/DD222*100)</f>
        <v>0</v>
      </c>
      <c r="DG222" s="820"/>
      <c r="DH222" s="820"/>
      <c r="DI222" s="714">
        <f>IF(DG222=0,0,(DH222-DG222)/DG222*100)</f>
        <v>0</v>
      </c>
      <c r="DJ222" s="820"/>
      <c r="DK222" s="820"/>
      <c r="DL222" s="714">
        <f>IF(DJ222=0,0,(DK222-DJ222)/DJ222*100)</f>
        <v>0</v>
      </c>
      <c r="DM222" s="820"/>
      <c r="DN222" s="820"/>
      <c r="DO222" s="714">
        <f>IF(DM222=0,0,(DN222-DM222)/DM222*100)</f>
        <v>0</v>
      </c>
      <c r="DP222" s="820"/>
      <c r="DQ222" s="820"/>
      <c r="DR222" s="714">
        <f>IF(DP222=0,0,(DQ222-DP222)/DP222*100)</f>
        <v>0</v>
      </c>
      <c r="DS222" s="820"/>
      <c r="DT222" s="820"/>
      <c r="DU222" s="714">
        <f>IF(DS222=0,0,(DT222-DS222)/DS222*100)</f>
        <v>0</v>
      </c>
      <c r="DV222" s="820"/>
      <c r="DW222" s="820"/>
      <c r="DX222" s="714">
        <f>IF(DV222=0,0,(DW222-DV222)/DV222*100)</f>
        <v>0</v>
      </c>
      <c r="DY222" s="820"/>
      <c r="DZ222" s="820"/>
      <c r="EA222" s="714">
        <f>IF(DY222=0,0,(DZ222-DY222)/DY222*100)</f>
        <v>0</v>
      </c>
      <c r="EB222" s="820"/>
      <c r="EC222" s="820"/>
      <c r="ED222" s="714">
        <f>IF(EB222=0,0,(EC222-EB222)/EB222*100)</f>
        <v>0</v>
      </c>
      <c r="EE222" s="820"/>
      <c r="EF222" s="820"/>
      <c r="EG222" s="714">
        <f>IF(EE222=0,0,(EF222-EE222)/EE222*100)</f>
        <v>0</v>
      </c>
      <c r="EH222" s="820"/>
      <c r="EI222" s="820"/>
      <c r="EJ222" s="714">
        <f>IF(EH222=0,0,(EI222-EH222)/EH222*100)</f>
        <v>0</v>
      </c>
      <c r="EK222" s="820"/>
      <c r="EL222" s="820"/>
      <c r="EM222" s="714">
        <f>IF(EK222=0,0,(EL222-EK222)/EK222*100)</f>
        <v>0</v>
      </c>
      <c r="EN222" s="820"/>
      <c r="EO222" s="820"/>
      <c r="EP222" s="714">
        <f>IF(EN222=0,0,(EO222-EN222)/EN222*100)</f>
        <v>0</v>
      </c>
      <c r="EQ222" s="820"/>
      <c r="ER222" s="820"/>
      <c r="ES222" s="714">
        <f>IF(EQ222=0,0,(ER222-EQ222)/EQ222*100)</f>
        <v>0</v>
      </c>
      <c r="ET222" s="820"/>
      <c r="EU222" s="820"/>
      <c r="EV222" s="714">
        <f>IF(ET222=0,0,(EU222-ET222)/ET222*100)</f>
        <v>0</v>
      </c>
      <c r="EW222" s="820"/>
      <c r="EX222" s="820"/>
      <c r="EY222" s="714">
        <f>IF(EW222=0,0,(EX222-EW222)/EW222*100)</f>
        <v>0</v>
      </c>
      <c r="EZ222" s="820"/>
      <c r="FA222" s="820"/>
      <c r="FB222" s="714">
        <f>IF(EZ222=0,0,(FA222-EZ222)/EZ222*100)</f>
        <v>0</v>
      </c>
      <c r="FC222" s="820"/>
      <c r="FD222" s="820"/>
      <c r="FE222" s="714">
        <f>IF(FC222=0,0,(FD222-FC222)/FC222*100)</f>
        <v>0</v>
      </c>
      <c r="FF222" s="820"/>
      <c r="FG222" s="820"/>
      <c r="FH222" s="714">
        <f>IF(FF222=0,0,(FG222-FF222)/FF222*100)</f>
        <v>0</v>
      </c>
      <c r="FI222" s="820"/>
      <c r="FJ222" s="820"/>
      <c r="FK222" s="714">
        <f>IF(FI222=0,0,(FJ222-FI222)/FI222*100)</f>
        <v>0</v>
      </c>
      <c r="FL222" s="820"/>
      <c r="FM222" s="820"/>
      <c r="FN222" s="714">
        <f>IF(FL222=0,0,(FM222-FL222)/FL222*100)</f>
        <v>0</v>
      </c>
      <c r="FO222" s="820"/>
      <c r="FP222" s="820"/>
      <c r="FQ222" s="714">
        <f>IF(FO222=0,0,(FP222-FO222)/FO222*100)</f>
        <v>0</v>
      </c>
      <c r="FR222" s="820"/>
      <c r="FS222" s="820"/>
      <c r="FT222" s="714">
        <f>IF(FR222=0,0,(FS222-FR222)/FR222*100)</f>
        <v>0</v>
      </c>
      <c r="FU222" s="820"/>
      <c r="FV222" s="820"/>
      <c r="FW222" s="714">
        <f>IF(FU222=0,0,(FV222-FU222)/FU222*100)</f>
        <v>0</v>
      </c>
      <c r="FZ222" s="691" t="s">
        <v>1692</v>
      </c>
    </row>
    <row r="223" spans="1:186" ht="14.25" hidden="1" customHeight="1" x14ac:dyDescent="0.15">
      <c r="A223" s="59"/>
      <c r="B223" s="613" t="b" cm="1">
        <f t="array" ref="B223">B222</f>
        <v>0</v>
      </c>
      <c r="C223" s="59"/>
      <c r="D223" s="59"/>
      <c r="E223" s="462">
        <v>15</v>
      </c>
      <c r="F223" s="3" t="str" cm="1">
        <f t="array" aca="1" ref="F223" ca="1">OFFSET(E223,-1,1)</f>
        <v>3</v>
      </c>
      <c r="G223" s="25" t="s">
        <v>1693</v>
      </c>
      <c r="H223" s="59" t="s">
        <v>1681</v>
      </c>
      <c r="I223" s="59" t="s">
        <v>1647</v>
      </c>
      <c r="J223" s="59"/>
      <c r="K223" s="59"/>
      <c r="L223" s="59"/>
      <c r="M223" s="59"/>
      <c r="N223" s="59"/>
      <c r="O223" s="59"/>
      <c r="P223" s="59"/>
      <c r="Q223" s="59"/>
      <c r="R223" s="59"/>
      <c r="S223" s="59"/>
      <c r="T223" s="353" t="b" cm="1">
        <f t="array" aca="1" ref="T223" ca="1">T222</f>
        <v>1</v>
      </c>
      <c r="U223" s="59"/>
      <c r="V223" s="59"/>
      <c r="W223" s="59"/>
      <c r="X223" s="1022"/>
      <c r="Y223" s="59"/>
      <c r="Z223" s="966"/>
      <c r="AA223" s="59"/>
      <c r="AB223" s="105" t="str">
        <f>"объём "&amp;IF(Q197="Водоснабжение","потребления холодной воды","водоотведения")</f>
        <v>объём водоотведения</v>
      </c>
      <c r="AC223" s="12" t="s">
        <v>558</v>
      </c>
      <c r="AD223" s="836">
        <f ca="1">IF(AND(method_reg="Метод индексации",god&lt;&gt;first_year),SUMIFS(INDEX('Калькуляция (МИ корр)'!$AJ$25:$BC$603,,MATCH(AD$8,'Калькуляция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(МИ)'!$AJ$25:$BC$603,,MATCH(AD$8,'Калькуляция (МИ)'!$AJ$8:$BC$8,0)),'Калькуляция (МИ)'!$F$25:$F$603,$F223,'Калькуляция (МИ)'!$G$25:$G$603,$G223))))</f>
        <v>26346.304</v>
      </c>
      <c r="AE223" s="836">
        <f ca="1">IF(AND(method_reg="Метод индексации",god&lt;&gt;first_year),SUMIFS(INDEX('Калькуляция (МИ корр)'!$AJ$25:$BC$603,,MATCH(AE$8,'Калькуляция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(МИ)'!$AJ$25:$BC$603,,MATCH(AE$8,'Калькуляция (МИ)'!$AJ$8:$BC$8,0)),'Калькуляция (МИ)'!$F$25:$F$603,$F223,'Калькуляция (МИ)'!$G$25:$G$603,$G223))))</f>
        <v>11687.689140000002</v>
      </c>
      <c r="AF223" s="715">
        <f ca="1">IF(AD223=0,0,(AE223-AD223)/AD223*100)</f>
        <v>-55.638221057496331</v>
      </c>
      <c r="AG223" s="836">
        <f ca="1">IF(AND(method_reg="Метод индексации",god&lt;&gt;first_year),SUMIFS(INDEX('Калькуляция (МИ корр)'!$AJ$25:$BC$603,,MATCH(AG$8,'Калькуляция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(МИ)'!$AJ$25:$BC$603,,MATCH(AG$8,'Калькуляция (МИ)'!$AJ$8:$BC$8,0)),'Калькуляция (МИ)'!$F$25:$F$603,$F223,'Калькуляция (МИ)'!$G$25:$G$603,$G223))))</f>
        <v>0</v>
      </c>
      <c r="AH223" s="836">
        <f ca="1">IF(AND(method_reg="Метод индексации",god&lt;&gt;first_year),SUMIFS(INDEX('Калькуляция (МИ корр)'!$AJ$25:$BC$603,,MATCH(AH$8,'Калькуляция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(МИ)'!$AJ$25:$BC$603,,MATCH(AH$8,'Калькуляция (МИ)'!$AJ$8:$BC$8,0)),'Калькуляция (МИ)'!$F$25:$F$603,$F223,'Калькуляция (МИ)'!$G$25:$G$603,$G223))))</f>
        <v>0</v>
      </c>
      <c r="AI223" s="715">
        <f ca="1">IF(AG223=0,0,(AH223-AG223)/AG223*100)</f>
        <v>0</v>
      </c>
      <c r="AJ223" s="836">
        <f ca="1">IF(AND(method_reg="Метод индексации",god&lt;&gt;first_year),SUMIFS(INDEX('Калькуляция (МИ корр)'!$AJ$25:$BC$603,,MATCH(AJ$8,'Калькуляция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(МИ)'!$AJ$25:$BC$603,,MATCH(AJ$8,'Калькуляция (МИ)'!$AJ$8:$BC$8,0)),'Калькуляция (МИ)'!$F$25:$F$603,$F223,'Калькуляция (МИ)'!$G$25:$G$603,$G223))))</f>
        <v>0</v>
      </c>
      <c r="AK223" s="836">
        <f ca="1">IF(AND(method_reg="Метод индексации",god&lt;&gt;first_year),SUMIFS(INDEX('Калькуляция (МИ корр)'!$AJ$25:$BC$603,,MATCH(AK$8,'Калькуляция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(МИ)'!$AJ$25:$BC$603,,MATCH(AK$8,'Калькуляция (МИ)'!$AJ$8:$BC$8,0)),'Калькуляция (МИ)'!$F$25:$F$603,$F223,'Калькуляция (МИ)'!$G$25:$G$603,$G223))))</f>
        <v>0</v>
      </c>
      <c r="AL223" s="715">
        <f ca="1">IF(AJ223=0,0,(AK223-AJ223)/AJ223*100)</f>
        <v>0</v>
      </c>
      <c r="AM223" s="836">
        <f ca="1">IF(AND(method_reg="Метод индексации",god&lt;&gt;first_year),SUMIFS(INDEX('Калькуляция (МИ корр)'!$AJ$25:$BC$603,,MATCH(AM$8,'Калькуляция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(МИ)'!$AJ$25:$BC$603,,MATCH(AM$8,'Калькуляция (МИ)'!$AJ$8:$BC$8,0)),'Калькуляция (МИ)'!$F$25:$F$603,$F223,'Калькуляция (МИ)'!$G$25:$G$603,$G223))))</f>
        <v>0</v>
      </c>
      <c r="AN223" s="836">
        <f ca="1">IF(AND(method_reg="Метод индексации",god&lt;&gt;first_year),SUMIFS(INDEX('Калькуляция (МИ корр)'!$AJ$25:$BC$603,,MATCH(AN$8,'Калькуляция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(МИ)'!$AJ$25:$BC$603,,MATCH(AN$8,'Калькуляция (МИ)'!$AJ$8:$BC$8,0)),'Калькуляция (МИ)'!$F$25:$F$603,$F223,'Калькуляция (МИ)'!$G$25:$G$603,$G223))))</f>
        <v>0</v>
      </c>
      <c r="AO223" s="715">
        <f ca="1">IF(AM223=0,0,(AN223-AM223)/AM223*100)</f>
        <v>0</v>
      </c>
      <c r="AP223" s="836">
        <f ca="1">IF(AND(method_reg="Метод индексации",god&lt;&gt;first_year),SUMIFS(INDEX('Калькуляция (МИ корр)'!$AJ$25:$BC$603,,MATCH(AP$8,'Калькуляция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(МИ)'!$AJ$25:$BC$603,,MATCH(AP$8,'Калькуляция (МИ)'!$AJ$8:$BC$8,0)),'Калькуляция (МИ)'!$F$25:$F$603,$F223,'Калькуляция (МИ)'!$G$25:$G$603,$G223))))</f>
        <v>0</v>
      </c>
      <c r="AQ223" s="836">
        <f ca="1">IF(AND(method_reg="Метод индексации",god&lt;&gt;first_year),SUMIFS(INDEX('Калькуляция (МИ корр)'!$AJ$25:$BC$603,,MATCH(AQ$8,'Калькуляция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(МИ)'!$AJ$25:$BC$603,,MATCH(AQ$8,'Калькуляция (МИ)'!$AJ$8:$BC$8,0)),'Калькуляция (МИ)'!$F$25:$F$603,$F223,'Калькуляция (МИ)'!$G$25:$G$603,$G223))))</f>
        <v>0</v>
      </c>
      <c r="AR223" s="715">
        <f ca="1">IF(AP223=0,0,(AQ223-AP223)/AP223*100)</f>
        <v>0</v>
      </c>
      <c r="AS223" s="836">
        <f ca="1">IF(AND(method_reg="Метод индексации",god&lt;&gt;first_year),SUMIFS(INDEX('Калькуляция (МИ корр)'!$AJ$25:$BC$603,,MATCH(AS$8,'Калькуляция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(МИ)'!$AJ$25:$BC$603,,MATCH(AS$8,'Калькуляция (МИ)'!$AJ$8:$BC$8,0)),'Калькуляция (МИ)'!$F$25:$F$603,$F223,'Калькуляция (МИ)'!$G$25:$G$603,$G223))))</f>
        <v>0</v>
      </c>
      <c r="AT223" s="836">
        <f ca="1">IF(AND(method_reg="Метод индексации",god&lt;&gt;first_year),SUMIFS(INDEX('Калькуляция (МИ корр)'!$AJ$25:$BC$603,,MATCH(AT$8,'Калькуляция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(МИ)'!$AJ$25:$BC$603,,MATCH(AT$8,'Калькуляция (МИ)'!$AJ$8:$BC$8,0)),'Калькуляция (МИ)'!$F$25:$F$603,$F223,'Калькуляция (МИ)'!$G$25:$G$603,$G223))))</f>
        <v>0</v>
      </c>
      <c r="AU223" s="715">
        <f ca="1">IF(AS223=0,0,(AT223-AS223)/AS223*100)</f>
        <v>0</v>
      </c>
      <c r="AV223" s="836">
        <f ca="1">IF(AND(method_reg="Метод индексации",god&lt;&gt;first_year),SUMIFS(INDEX('Калькуляция (МИ корр)'!$AJ$25:$BC$603,,MATCH(AV$8,'Калькуляция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(МИ)'!$AJ$25:$BC$603,,MATCH(AV$8,'Калькуляция (МИ)'!$AJ$8:$BC$8,0)),'Калькуляция (МИ)'!$F$25:$F$603,$F223,'Калькуляция (МИ)'!$G$25:$G$603,$G223))))</f>
        <v>0</v>
      </c>
      <c r="AW223" s="836">
        <f ca="1">IF(AND(method_reg="Метод индексации",god&lt;&gt;first_year),SUMIFS(INDEX('Калькуляция (МИ корр)'!$AJ$25:$BC$603,,MATCH(AW$8,'Калькуляция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(МИ)'!$AJ$25:$BC$603,,MATCH(AW$8,'Калькуляция (МИ)'!$AJ$8:$BC$8,0)),'Калькуляция (МИ)'!$F$25:$F$603,$F223,'Калькуляция (МИ)'!$G$25:$G$603,$G223))))</f>
        <v>0</v>
      </c>
      <c r="AX223" s="715">
        <f ca="1">IF(AV223=0,0,(AW223-AV223)/AV223*100)</f>
        <v>0</v>
      </c>
      <c r="AY223" s="836">
        <f ca="1">IF(AND(method_reg="Метод индексации",god&lt;&gt;first_year),SUMIFS(INDEX('Калькуляция (МИ корр)'!$AJ$25:$BC$603,,MATCH(AY$8,'Калькуляция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(МИ)'!$AJ$25:$BC$603,,MATCH(AY$8,'Калькуляция (МИ)'!$AJ$8:$BC$8,0)),'Калькуляция (МИ)'!$F$25:$F$603,$F223,'Калькуляция (МИ)'!$G$25:$G$603,$G223))))</f>
        <v>0</v>
      </c>
      <c r="AZ223" s="836">
        <f ca="1">IF(AND(method_reg="Метод индексации",god&lt;&gt;first_year),SUMIFS(INDEX('Калькуляция (МИ корр)'!$AJ$25:$BC$603,,MATCH(AZ$8,'Калькуляция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(МИ)'!$AJ$25:$BC$603,,MATCH(AZ$8,'Калькуляция (МИ)'!$AJ$8:$BC$8,0)),'Калькуляция (МИ)'!$F$25:$F$603,$F223,'Калькуляция (МИ)'!$G$25:$G$603,$G223))))</f>
        <v>0</v>
      </c>
      <c r="BA223" s="715">
        <f ca="1">IF(AY223=0,0,(AZ223-AY223)/AY223*100)</f>
        <v>0</v>
      </c>
      <c r="BB223" s="836">
        <f ca="1">IF(AND(method_reg="Метод индексации",god&lt;&gt;first_year),SUMIFS(INDEX('Калькуляция (МИ корр)'!$AJ$25:$BC$603,,MATCH(BB$8,'Калькуляция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(МИ)'!$AJ$25:$BC$603,,MATCH(BB$8,'Калькуляция (МИ)'!$AJ$8:$BC$8,0)),'Калькуляция (МИ)'!$F$25:$F$603,$F223,'Калькуляция (МИ)'!$G$25:$G$603,$G223))))</f>
        <v>0</v>
      </c>
      <c r="BC223" s="836">
        <f ca="1">IF(AND(method_reg="Метод индексации",god&lt;&gt;first_year),SUMIFS(INDEX('Калькуляция (МИ корр)'!$AJ$25:$BC$603,,MATCH(BC$8,'Калькуляция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(МИ)'!$AJ$25:$BC$603,,MATCH(BC$8,'Калькуляция (МИ)'!$AJ$8:$BC$8,0)),'Калькуляция (МИ)'!$F$25:$F$603,$F223,'Калькуляция (МИ)'!$G$25:$G$603,$G223))))</f>
        <v>0</v>
      </c>
      <c r="BD223" s="715">
        <f ca="1">IF(BB223=0,0,(BC223-BB223)/BB223*100)</f>
        <v>0</v>
      </c>
      <c r="BE223" s="836">
        <f ca="1">IF(AND(method_reg="Метод индексации",god&lt;&gt;first_year),SUMIFS(INDEX('Калькуляция (МИ корр)'!$AJ$25:$BC$603,,MATCH(BE$8,'Калькуляция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(МИ)'!$AJ$25:$BC$603,,MATCH(BE$8,'Калькуляция (МИ)'!$AJ$8:$BC$8,0)),'Калькуляция (МИ)'!$F$25:$F$603,$F223,'Калькуляция (МИ)'!$G$25:$G$603,$G223))))</f>
        <v>0</v>
      </c>
      <c r="BF223" s="836">
        <f ca="1">IF(AND(method_reg="Метод индексации",god&lt;&gt;first_year),SUMIFS(INDEX('Калькуляция (МИ корр)'!$AJ$25:$BC$603,,MATCH(BF$8,'Калькуляция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(МИ)'!$AJ$25:$BC$603,,MATCH(BF$8,'Калькуляция (МИ)'!$AJ$8:$BC$8,0)),'Калькуляция (МИ)'!$F$25:$F$603,$F223,'Калькуляция (МИ)'!$G$25:$G$603,$G223))))</f>
        <v>0</v>
      </c>
      <c r="BG223" s="715">
        <f ca="1">IF(BE223=0,0,(BF223-BE223)/BE223*100)</f>
        <v>0</v>
      </c>
      <c r="BH223" s="836"/>
      <c r="BI223" s="836"/>
      <c r="BJ223" s="715">
        <f>IF(BH223=0,0,(BI223-BH223)/BH223*100)</f>
        <v>0</v>
      </c>
      <c r="BK223" s="836"/>
      <c r="BL223" s="836"/>
      <c r="BM223" s="715">
        <f>IF(BK223=0,0,(BL223-BK223)/BK223*100)</f>
        <v>0</v>
      </c>
      <c r="BN223" s="836"/>
      <c r="BO223" s="836"/>
      <c r="BP223" s="715">
        <f>IF(BN223=0,0,(BO223-BN223)/BN223*100)</f>
        <v>0</v>
      </c>
      <c r="BQ223" s="836"/>
      <c r="BR223" s="836"/>
      <c r="BS223" s="715">
        <f>IF(BQ223=0,0,(BR223-BQ223)/BQ223*100)</f>
        <v>0</v>
      </c>
      <c r="BT223" s="836"/>
      <c r="BU223" s="836"/>
      <c r="BV223" s="715">
        <f>IF(BT223=0,0,(BU223-BT223)/BT223*100)</f>
        <v>0</v>
      </c>
      <c r="BW223" s="836"/>
      <c r="BX223" s="836"/>
      <c r="BY223" s="715">
        <f>IF(BW223=0,0,(BX223-BW223)/BW223*100)</f>
        <v>0</v>
      </c>
      <c r="BZ223" s="836"/>
      <c r="CA223" s="836"/>
      <c r="CB223" s="715">
        <f>IF(BZ223=0,0,(CA223-BZ223)/BZ223*100)</f>
        <v>0</v>
      </c>
      <c r="CC223" s="836"/>
      <c r="CD223" s="836"/>
      <c r="CE223" s="715">
        <f>IF(CC223=0,0,(CD223-CC223)/CC223*100)</f>
        <v>0</v>
      </c>
      <c r="CF223" s="836"/>
      <c r="CG223" s="836"/>
      <c r="CH223" s="715">
        <f>IF(CF223=0,0,(CG223-CF223)/CF223*100)</f>
        <v>0</v>
      </c>
      <c r="CI223" s="836"/>
      <c r="CJ223" s="836"/>
      <c r="CK223" s="715">
        <f>IF(CI223=0,0,(CJ223-CI223)/CI223*100)</f>
        <v>0</v>
      </c>
      <c r="CL223" s="836"/>
      <c r="CM223" s="836"/>
      <c r="CN223" s="715">
        <f>IF(CL223=0,0,(CM223-CL223)/CL223*100)</f>
        <v>0</v>
      </c>
      <c r="CO223" s="836"/>
      <c r="CP223" s="836"/>
      <c r="CQ223" s="715">
        <f>IF(CO223=0,0,(CP223-CO223)/CO223*100)</f>
        <v>0</v>
      </c>
      <c r="CR223" s="836"/>
      <c r="CS223" s="836"/>
      <c r="CT223" s="715">
        <f>IF(CR223=0,0,(CS223-CR223)/CR223*100)</f>
        <v>0</v>
      </c>
      <c r="CU223" s="836"/>
      <c r="CV223" s="836"/>
      <c r="CW223" s="715">
        <f>IF(CU223=0,0,(CV223-CU223)/CU223*100)</f>
        <v>0</v>
      </c>
      <c r="CX223" s="836"/>
      <c r="CY223" s="836"/>
      <c r="CZ223" s="715">
        <f>IF(CX223=0,0,(CY223-CX223)/CX223*100)</f>
        <v>0</v>
      </c>
      <c r="DA223" s="836"/>
      <c r="DB223" s="836"/>
      <c r="DC223" s="715">
        <f>IF(DA223=0,0,(DB223-DA223)/DA223*100)</f>
        <v>0</v>
      </c>
      <c r="DD223" s="836"/>
      <c r="DE223" s="836"/>
      <c r="DF223" s="715">
        <f>IF(DD223=0,0,(DE223-DD223)/DD223*100)</f>
        <v>0</v>
      </c>
      <c r="DG223" s="836"/>
      <c r="DH223" s="836"/>
      <c r="DI223" s="715">
        <f>IF(DG223=0,0,(DH223-DG223)/DG223*100)</f>
        <v>0</v>
      </c>
      <c r="DJ223" s="836"/>
      <c r="DK223" s="836"/>
      <c r="DL223" s="715">
        <f>IF(DJ223=0,0,(DK223-DJ223)/DJ223*100)</f>
        <v>0</v>
      </c>
      <c r="DM223" s="836"/>
      <c r="DN223" s="836"/>
      <c r="DO223" s="715">
        <f>IF(DM223=0,0,(DN223-DM223)/DM223*100)</f>
        <v>0</v>
      </c>
      <c r="DP223" s="836"/>
      <c r="DQ223" s="836"/>
      <c r="DR223" s="715">
        <f>IF(DP223=0,0,(DQ223-DP223)/DP223*100)</f>
        <v>0</v>
      </c>
      <c r="DS223" s="836"/>
      <c r="DT223" s="836"/>
      <c r="DU223" s="715">
        <f>IF(DS223=0,0,(DT223-DS223)/DS223*100)</f>
        <v>0</v>
      </c>
      <c r="DV223" s="836"/>
      <c r="DW223" s="836"/>
      <c r="DX223" s="715">
        <f>IF(DV223=0,0,(DW223-DV223)/DV223*100)</f>
        <v>0</v>
      </c>
      <c r="DY223" s="836"/>
      <c r="DZ223" s="836"/>
      <c r="EA223" s="715">
        <f>IF(DY223=0,0,(DZ223-DY223)/DY223*100)</f>
        <v>0</v>
      </c>
      <c r="EB223" s="836"/>
      <c r="EC223" s="836"/>
      <c r="ED223" s="715">
        <f>IF(EB223=0,0,(EC223-EB223)/EB223*100)</f>
        <v>0</v>
      </c>
      <c r="EE223" s="836"/>
      <c r="EF223" s="836"/>
      <c r="EG223" s="715">
        <f>IF(EE223=0,0,(EF223-EE223)/EE223*100)</f>
        <v>0</v>
      </c>
      <c r="EH223" s="836"/>
      <c r="EI223" s="836"/>
      <c r="EJ223" s="715">
        <f>IF(EH223=0,0,(EI223-EH223)/EH223*100)</f>
        <v>0</v>
      </c>
      <c r="EK223" s="836"/>
      <c r="EL223" s="836"/>
      <c r="EM223" s="715">
        <f>IF(EK223=0,0,(EL223-EK223)/EK223*100)</f>
        <v>0</v>
      </c>
      <c r="EN223" s="836"/>
      <c r="EO223" s="836"/>
      <c r="EP223" s="715">
        <f>IF(EN223=0,0,(EO223-EN223)/EN223*100)</f>
        <v>0</v>
      </c>
      <c r="EQ223" s="836"/>
      <c r="ER223" s="836"/>
      <c r="ES223" s="715">
        <f>IF(EQ223=0,0,(ER223-EQ223)/EQ223*100)</f>
        <v>0</v>
      </c>
      <c r="ET223" s="836"/>
      <c r="EU223" s="836"/>
      <c r="EV223" s="715">
        <f>IF(ET223=0,0,(EU223-ET223)/ET223*100)</f>
        <v>0</v>
      </c>
      <c r="EW223" s="836"/>
      <c r="EX223" s="836"/>
      <c r="EY223" s="715">
        <f>IF(EW223=0,0,(EX223-EW223)/EW223*100)</f>
        <v>0</v>
      </c>
      <c r="EZ223" s="836"/>
      <c r="FA223" s="836"/>
      <c r="FB223" s="715">
        <f>IF(EZ223=0,0,(FA223-EZ223)/EZ223*100)</f>
        <v>0</v>
      </c>
      <c r="FC223" s="836"/>
      <c r="FD223" s="836"/>
      <c r="FE223" s="715">
        <f>IF(FC223=0,0,(FD223-FC223)/FC223*100)</f>
        <v>0</v>
      </c>
      <c r="FF223" s="836"/>
      <c r="FG223" s="836"/>
      <c r="FH223" s="715">
        <f>IF(FF223=0,0,(FG223-FF223)/FF223*100)</f>
        <v>0</v>
      </c>
      <c r="FI223" s="836"/>
      <c r="FJ223" s="836"/>
      <c r="FK223" s="715">
        <f>IF(FI223=0,0,(FJ223-FI223)/FI223*100)</f>
        <v>0</v>
      </c>
      <c r="FL223" s="836"/>
      <c r="FM223" s="836"/>
      <c r="FN223" s="715">
        <f>IF(FL223=0,0,(FM223-FL223)/FL223*100)</f>
        <v>0</v>
      </c>
      <c r="FO223" s="836"/>
      <c r="FP223" s="836"/>
      <c r="FQ223" s="715">
        <f>IF(FO223=0,0,(FP223-FO223)/FO223*100)</f>
        <v>0</v>
      </c>
      <c r="FR223" s="836"/>
      <c r="FS223" s="836"/>
      <c r="FT223" s="715">
        <f>IF(FR223=0,0,(FS223-FR223)/FR223*100)</f>
        <v>0</v>
      </c>
      <c r="FU223" s="836"/>
      <c r="FV223" s="836"/>
      <c r="FW223" s="715">
        <f>IF(FU223=0,0,(FV223-FU223)/FU223*100)</f>
        <v>0</v>
      </c>
      <c r="FZ223" s="691" t="s">
        <v>1694</v>
      </c>
    </row>
    <row r="224" spans="1:186" ht="21.75" hidden="1" customHeight="1" x14ac:dyDescent="0.15">
      <c r="A224" s="59"/>
      <c r="B224" s="613" t="b" cm="1">
        <f t="array" ref="B224">B223</f>
        <v>0</v>
      </c>
      <c r="C224" s="59"/>
      <c r="D224" s="59"/>
      <c r="E224" s="462">
        <v>22.5</v>
      </c>
      <c r="F224" s="3" t="str" cm="1">
        <f t="array" aca="1" ref="F224" ca="1">OFFSET(E224,-1,1)</f>
        <v>3</v>
      </c>
      <c r="G224" s="59"/>
      <c r="H224" s="59" t="s">
        <v>1683</v>
      </c>
      <c r="I224" s="59" t="s">
        <v>1647</v>
      </c>
      <c r="J224" s="59"/>
      <c r="K224" s="59"/>
      <c r="L224" s="59"/>
      <c r="M224" s="59"/>
      <c r="N224" s="59"/>
      <c r="O224" s="59"/>
      <c r="P224" s="59"/>
      <c r="Q224" s="59"/>
      <c r="R224" s="59"/>
      <c r="S224" s="59"/>
      <c r="T224" s="353" t="b" cm="1">
        <f t="array" aca="1" ref="T224" ca="1">T223</f>
        <v>1</v>
      </c>
      <c r="U224" s="59"/>
      <c r="V224" s="59"/>
      <c r="W224" s="59"/>
      <c r="X224" s="1022"/>
      <c r="Y224" s="59"/>
      <c r="Z224" s="966"/>
      <c r="AA224" s="59"/>
      <c r="AB224" s="105" t="str">
        <f>"ставка платы за содержание системы "&amp;IF(Q197="Водоснабжение","холодного водоснабжения","водоотведения")</f>
        <v>ставка платы за содержание системы водоотведения</v>
      </c>
      <c r="AC224" s="12" t="s">
        <v>1684</v>
      </c>
      <c r="AD224" s="820"/>
      <c r="AE224" s="820"/>
      <c r="AF224" s="714">
        <f>IF(AD224=0,0,(AE224-AD224)/AD224*100)</f>
        <v>0</v>
      </c>
      <c r="AG224" s="820"/>
      <c r="AH224" s="820"/>
      <c r="AI224" s="714">
        <f>IF(AG224=0,0,(AH224-AG224)/AG224*100)</f>
        <v>0</v>
      </c>
      <c r="AJ224" s="820"/>
      <c r="AK224" s="820"/>
      <c r="AL224" s="714">
        <f>IF(AJ224=0,0,(AK224-AJ224)/AJ224*100)</f>
        <v>0</v>
      </c>
      <c r="AM224" s="820"/>
      <c r="AN224" s="820"/>
      <c r="AO224" s="714">
        <f>IF(AM224=0,0,(AN224-AM224)/AM224*100)</f>
        <v>0</v>
      </c>
      <c r="AP224" s="820"/>
      <c r="AQ224" s="820"/>
      <c r="AR224" s="714">
        <f>IF(AP224=0,0,(AQ224-AP224)/AP224*100)</f>
        <v>0</v>
      </c>
      <c r="AS224" s="820"/>
      <c r="AT224" s="820"/>
      <c r="AU224" s="714">
        <f>IF(AS224=0,0,(AT224-AS224)/AS224*100)</f>
        <v>0</v>
      </c>
      <c r="AV224" s="820"/>
      <c r="AW224" s="820"/>
      <c r="AX224" s="714">
        <f>IF(AV224=0,0,(AW224-AV224)/AV224*100)</f>
        <v>0</v>
      </c>
      <c r="AY224" s="820"/>
      <c r="AZ224" s="820"/>
      <c r="BA224" s="714">
        <f>IF(AY224=0,0,(AZ224-AY224)/AY224*100)</f>
        <v>0</v>
      </c>
      <c r="BB224" s="820"/>
      <c r="BC224" s="820"/>
      <c r="BD224" s="714">
        <f>IF(BB224=0,0,(BC224-BB224)/BB224*100)</f>
        <v>0</v>
      </c>
      <c r="BE224" s="820"/>
      <c r="BF224" s="820"/>
      <c r="BG224" s="714">
        <f>IF(BE224=0,0,(BF224-BE224)/BE224*100)</f>
        <v>0</v>
      </c>
      <c r="BH224" s="820"/>
      <c r="BI224" s="820"/>
      <c r="BJ224" s="714">
        <f>IF(BH224=0,0,(BI224-BH224)/BH224*100)</f>
        <v>0</v>
      </c>
      <c r="BK224" s="820"/>
      <c r="BL224" s="820"/>
      <c r="BM224" s="714">
        <f>IF(BK224=0,0,(BL224-BK224)/BK224*100)</f>
        <v>0</v>
      </c>
      <c r="BN224" s="820"/>
      <c r="BO224" s="820"/>
      <c r="BP224" s="714">
        <f>IF(BN224=0,0,(BO224-BN224)/BN224*100)</f>
        <v>0</v>
      </c>
      <c r="BQ224" s="820"/>
      <c r="BR224" s="820"/>
      <c r="BS224" s="714">
        <f>IF(BQ224=0,0,(BR224-BQ224)/BQ224*100)</f>
        <v>0</v>
      </c>
      <c r="BT224" s="820"/>
      <c r="BU224" s="820"/>
      <c r="BV224" s="714">
        <f>IF(BT224=0,0,(BU224-BT224)/BT224*100)</f>
        <v>0</v>
      </c>
      <c r="BW224" s="820"/>
      <c r="BX224" s="820"/>
      <c r="BY224" s="714">
        <f>IF(BW224=0,0,(BX224-BW224)/BW224*100)</f>
        <v>0</v>
      </c>
      <c r="BZ224" s="820"/>
      <c r="CA224" s="820"/>
      <c r="CB224" s="714">
        <f>IF(BZ224=0,0,(CA224-BZ224)/BZ224*100)</f>
        <v>0</v>
      </c>
      <c r="CC224" s="820"/>
      <c r="CD224" s="820"/>
      <c r="CE224" s="714">
        <f>IF(CC224=0,0,(CD224-CC224)/CC224*100)</f>
        <v>0</v>
      </c>
      <c r="CF224" s="820"/>
      <c r="CG224" s="820"/>
      <c r="CH224" s="714">
        <f>IF(CF224=0,0,(CG224-CF224)/CF224*100)</f>
        <v>0</v>
      </c>
      <c r="CI224" s="820"/>
      <c r="CJ224" s="820"/>
      <c r="CK224" s="714">
        <f>IF(CI224=0,0,(CJ224-CI224)/CI224*100)</f>
        <v>0</v>
      </c>
      <c r="CL224" s="820"/>
      <c r="CM224" s="820"/>
      <c r="CN224" s="714">
        <f>IF(CL224=0,0,(CM224-CL224)/CL224*100)</f>
        <v>0</v>
      </c>
      <c r="CO224" s="820"/>
      <c r="CP224" s="820"/>
      <c r="CQ224" s="714">
        <f>IF(CO224=0,0,(CP224-CO224)/CO224*100)</f>
        <v>0</v>
      </c>
      <c r="CR224" s="820"/>
      <c r="CS224" s="820"/>
      <c r="CT224" s="714">
        <f>IF(CR224=0,0,(CS224-CR224)/CR224*100)</f>
        <v>0</v>
      </c>
      <c r="CU224" s="820"/>
      <c r="CV224" s="820"/>
      <c r="CW224" s="714">
        <f>IF(CU224=0,0,(CV224-CU224)/CU224*100)</f>
        <v>0</v>
      </c>
      <c r="CX224" s="820"/>
      <c r="CY224" s="820"/>
      <c r="CZ224" s="714">
        <f>IF(CX224=0,0,(CY224-CX224)/CX224*100)</f>
        <v>0</v>
      </c>
      <c r="DA224" s="820"/>
      <c r="DB224" s="820"/>
      <c r="DC224" s="714">
        <f>IF(DA224=0,0,(DB224-DA224)/DA224*100)</f>
        <v>0</v>
      </c>
      <c r="DD224" s="820"/>
      <c r="DE224" s="820"/>
      <c r="DF224" s="714">
        <f>IF(DD224=0,0,(DE224-DD224)/DD224*100)</f>
        <v>0</v>
      </c>
      <c r="DG224" s="820"/>
      <c r="DH224" s="820"/>
      <c r="DI224" s="714">
        <f>IF(DG224=0,0,(DH224-DG224)/DG224*100)</f>
        <v>0</v>
      </c>
      <c r="DJ224" s="820"/>
      <c r="DK224" s="820"/>
      <c r="DL224" s="714">
        <f>IF(DJ224=0,0,(DK224-DJ224)/DJ224*100)</f>
        <v>0</v>
      </c>
      <c r="DM224" s="820"/>
      <c r="DN224" s="820"/>
      <c r="DO224" s="714">
        <f>IF(DM224=0,0,(DN224-DM224)/DM224*100)</f>
        <v>0</v>
      </c>
      <c r="DP224" s="820"/>
      <c r="DQ224" s="820"/>
      <c r="DR224" s="714">
        <f>IF(DP224=0,0,(DQ224-DP224)/DP224*100)</f>
        <v>0</v>
      </c>
      <c r="DS224" s="820"/>
      <c r="DT224" s="820"/>
      <c r="DU224" s="714">
        <f>IF(DS224=0,0,(DT224-DS224)/DS224*100)</f>
        <v>0</v>
      </c>
      <c r="DV224" s="820"/>
      <c r="DW224" s="820"/>
      <c r="DX224" s="714">
        <f>IF(DV224=0,0,(DW224-DV224)/DV224*100)</f>
        <v>0</v>
      </c>
      <c r="DY224" s="820"/>
      <c r="DZ224" s="820"/>
      <c r="EA224" s="714">
        <f>IF(DY224=0,0,(DZ224-DY224)/DY224*100)</f>
        <v>0</v>
      </c>
      <c r="EB224" s="820"/>
      <c r="EC224" s="820"/>
      <c r="ED224" s="714">
        <f>IF(EB224=0,0,(EC224-EB224)/EB224*100)</f>
        <v>0</v>
      </c>
      <c r="EE224" s="820"/>
      <c r="EF224" s="820"/>
      <c r="EG224" s="714">
        <f>IF(EE224=0,0,(EF224-EE224)/EE224*100)</f>
        <v>0</v>
      </c>
      <c r="EH224" s="820"/>
      <c r="EI224" s="820"/>
      <c r="EJ224" s="714">
        <f>IF(EH224=0,0,(EI224-EH224)/EH224*100)</f>
        <v>0</v>
      </c>
      <c r="EK224" s="820"/>
      <c r="EL224" s="820"/>
      <c r="EM224" s="714">
        <f>IF(EK224=0,0,(EL224-EK224)/EK224*100)</f>
        <v>0</v>
      </c>
      <c r="EN224" s="820"/>
      <c r="EO224" s="820"/>
      <c r="EP224" s="714">
        <f>IF(EN224=0,0,(EO224-EN224)/EN224*100)</f>
        <v>0</v>
      </c>
      <c r="EQ224" s="820"/>
      <c r="ER224" s="820"/>
      <c r="ES224" s="714">
        <f>IF(EQ224=0,0,(ER224-EQ224)/EQ224*100)</f>
        <v>0</v>
      </c>
      <c r="ET224" s="820"/>
      <c r="EU224" s="820"/>
      <c r="EV224" s="714">
        <f>IF(ET224=0,0,(EU224-ET224)/ET224*100)</f>
        <v>0</v>
      </c>
      <c r="EW224" s="820"/>
      <c r="EX224" s="820"/>
      <c r="EY224" s="714">
        <f>IF(EW224=0,0,(EX224-EW224)/EW224*100)</f>
        <v>0</v>
      </c>
      <c r="EZ224" s="820"/>
      <c r="FA224" s="820"/>
      <c r="FB224" s="714">
        <f>IF(EZ224=0,0,(FA224-EZ224)/EZ224*100)</f>
        <v>0</v>
      </c>
      <c r="FC224" s="820"/>
      <c r="FD224" s="820"/>
      <c r="FE224" s="714">
        <f>IF(FC224=0,0,(FD224-FC224)/FC224*100)</f>
        <v>0</v>
      </c>
      <c r="FF224" s="820"/>
      <c r="FG224" s="820"/>
      <c r="FH224" s="714">
        <f>IF(FF224=0,0,(FG224-FF224)/FF224*100)</f>
        <v>0</v>
      </c>
      <c r="FI224" s="820"/>
      <c r="FJ224" s="820"/>
      <c r="FK224" s="714">
        <f>IF(FI224=0,0,(FJ224-FI224)/FI224*100)</f>
        <v>0</v>
      </c>
      <c r="FL224" s="820"/>
      <c r="FM224" s="820"/>
      <c r="FN224" s="714">
        <f>IF(FL224=0,0,(FM224-FL224)/FL224*100)</f>
        <v>0</v>
      </c>
      <c r="FO224" s="820"/>
      <c r="FP224" s="820"/>
      <c r="FQ224" s="714">
        <f>IF(FO224=0,0,(FP224-FO224)/FO224*100)</f>
        <v>0</v>
      </c>
      <c r="FR224" s="820"/>
      <c r="FS224" s="820"/>
      <c r="FT224" s="714">
        <f>IF(FR224=0,0,(FS224-FR224)/FR224*100)</f>
        <v>0</v>
      </c>
      <c r="FU224" s="820"/>
      <c r="FV224" s="820"/>
      <c r="FW224" s="714">
        <f>IF(FU224=0,0,(FV224-FU224)/FU224*100)</f>
        <v>0</v>
      </c>
      <c r="FZ224" s="691" t="s">
        <v>1695</v>
      </c>
    </row>
    <row r="225" spans="1:186" ht="14.25" hidden="1" customHeight="1" x14ac:dyDescent="0.15">
      <c r="A225" s="59"/>
      <c r="B225" s="613" t="b" cm="1">
        <f t="array" ref="B225">B224</f>
        <v>0</v>
      </c>
      <c r="C225" s="59"/>
      <c r="D225" s="59"/>
      <c r="E225" s="462">
        <v>15</v>
      </c>
      <c r="F225" s="3" t="str" cm="1">
        <f t="array" aca="1" ref="F225" ca="1">OFFSET(E225,-1,1)</f>
        <v>3</v>
      </c>
      <c r="G225" s="59"/>
      <c r="H225" s="59" t="s">
        <v>1686</v>
      </c>
      <c r="I225" s="59" t="s">
        <v>1647</v>
      </c>
      <c r="J225" s="59"/>
      <c r="K225" s="59"/>
      <c r="L225" s="59"/>
      <c r="M225" s="59"/>
      <c r="N225" s="59"/>
      <c r="O225" s="59"/>
      <c r="P225" s="59"/>
      <c r="Q225" s="59"/>
      <c r="R225" s="59"/>
      <c r="S225" s="59"/>
      <c r="T225" s="353" t="b" cm="1">
        <f t="array" aca="1" ref="T225" ca="1">T224</f>
        <v>1</v>
      </c>
      <c r="U225" s="59"/>
      <c r="V225" s="59"/>
      <c r="W225" s="59"/>
      <c r="X225" s="1022"/>
      <c r="Y225" s="59"/>
      <c r="Z225" s="966"/>
      <c r="AA225" s="59"/>
      <c r="AB225" s="105" t="s">
        <v>1687</v>
      </c>
      <c r="AC225" s="12" t="s">
        <v>1688</v>
      </c>
      <c r="AD225" s="820"/>
      <c r="AE225" s="820"/>
      <c r="AF225" s="714">
        <f>IF(AD225=0,0,(AE225-AD225)/AD225*100)</f>
        <v>0</v>
      </c>
      <c r="AG225" s="820"/>
      <c r="AH225" s="820"/>
      <c r="AI225" s="714">
        <f>IF(AG225=0,0,(AH225-AG225)/AG225*100)</f>
        <v>0</v>
      </c>
      <c r="AJ225" s="820"/>
      <c r="AK225" s="820"/>
      <c r="AL225" s="714">
        <f>IF(AJ225=0,0,(AK225-AJ225)/AJ225*100)</f>
        <v>0</v>
      </c>
      <c r="AM225" s="820"/>
      <c r="AN225" s="820"/>
      <c r="AO225" s="714">
        <f>IF(AM225=0,0,(AN225-AM225)/AM225*100)</f>
        <v>0</v>
      </c>
      <c r="AP225" s="820"/>
      <c r="AQ225" s="820"/>
      <c r="AR225" s="714">
        <f>IF(AP225=0,0,(AQ225-AP225)/AP225*100)</f>
        <v>0</v>
      </c>
      <c r="AS225" s="820"/>
      <c r="AT225" s="820"/>
      <c r="AU225" s="714">
        <f>IF(AS225=0,0,(AT225-AS225)/AS225*100)</f>
        <v>0</v>
      </c>
      <c r="AV225" s="820"/>
      <c r="AW225" s="820"/>
      <c r="AX225" s="714">
        <f>IF(AV225=0,0,(AW225-AV225)/AV225*100)</f>
        <v>0</v>
      </c>
      <c r="AY225" s="820"/>
      <c r="AZ225" s="820"/>
      <c r="BA225" s="714">
        <f>IF(AY225=0,0,(AZ225-AY225)/AY225*100)</f>
        <v>0</v>
      </c>
      <c r="BB225" s="820"/>
      <c r="BC225" s="820"/>
      <c r="BD225" s="714">
        <f>IF(BB225=0,0,(BC225-BB225)/BB225*100)</f>
        <v>0</v>
      </c>
      <c r="BE225" s="820"/>
      <c r="BF225" s="820"/>
      <c r="BG225" s="714">
        <f>IF(BE225=0,0,(BF225-BE225)/BE225*100)</f>
        <v>0</v>
      </c>
      <c r="BH225" s="820"/>
      <c r="BI225" s="820"/>
      <c r="BJ225" s="714">
        <f>IF(BH225=0,0,(BI225-BH225)/BH225*100)</f>
        <v>0</v>
      </c>
      <c r="BK225" s="820"/>
      <c r="BL225" s="820"/>
      <c r="BM225" s="714">
        <f>IF(BK225=0,0,(BL225-BK225)/BK225*100)</f>
        <v>0</v>
      </c>
      <c r="BN225" s="820"/>
      <c r="BO225" s="820"/>
      <c r="BP225" s="714">
        <f>IF(BN225=0,0,(BO225-BN225)/BN225*100)</f>
        <v>0</v>
      </c>
      <c r="BQ225" s="820"/>
      <c r="BR225" s="820"/>
      <c r="BS225" s="714">
        <f>IF(BQ225=0,0,(BR225-BQ225)/BQ225*100)</f>
        <v>0</v>
      </c>
      <c r="BT225" s="820"/>
      <c r="BU225" s="820"/>
      <c r="BV225" s="714">
        <f>IF(BT225=0,0,(BU225-BT225)/BT225*100)</f>
        <v>0</v>
      </c>
      <c r="BW225" s="820"/>
      <c r="BX225" s="820"/>
      <c r="BY225" s="714">
        <f>IF(BW225=0,0,(BX225-BW225)/BW225*100)</f>
        <v>0</v>
      </c>
      <c r="BZ225" s="820"/>
      <c r="CA225" s="820"/>
      <c r="CB225" s="714">
        <f>IF(BZ225=0,0,(CA225-BZ225)/BZ225*100)</f>
        <v>0</v>
      </c>
      <c r="CC225" s="820"/>
      <c r="CD225" s="820"/>
      <c r="CE225" s="714">
        <f>IF(CC225=0,0,(CD225-CC225)/CC225*100)</f>
        <v>0</v>
      </c>
      <c r="CF225" s="820"/>
      <c r="CG225" s="820"/>
      <c r="CH225" s="714">
        <f>IF(CF225=0,0,(CG225-CF225)/CF225*100)</f>
        <v>0</v>
      </c>
      <c r="CI225" s="820"/>
      <c r="CJ225" s="820"/>
      <c r="CK225" s="714">
        <f>IF(CI225=0,0,(CJ225-CI225)/CI225*100)</f>
        <v>0</v>
      </c>
      <c r="CL225" s="820"/>
      <c r="CM225" s="820"/>
      <c r="CN225" s="714">
        <f>IF(CL225=0,0,(CM225-CL225)/CL225*100)</f>
        <v>0</v>
      </c>
      <c r="CO225" s="820"/>
      <c r="CP225" s="820"/>
      <c r="CQ225" s="714">
        <f>IF(CO225=0,0,(CP225-CO225)/CO225*100)</f>
        <v>0</v>
      </c>
      <c r="CR225" s="820"/>
      <c r="CS225" s="820"/>
      <c r="CT225" s="714">
        <f>IF(CR225=0,0,(CS225-CR225)/CR225*100)</f>
        <v>0</v>
      </c>
      <c r="CU225" s="820"/>
      <c r="CV225" s="820"/>
      <c r="CW225" s="714">
        <f>IF(CU225=0,0,(CV225-CU225)/CU225*100)</f>
        <v>0</v>
      </c>
      <c r="CX225" s="820"/>
      <c r="CY225" s="820"/>
      <c r="CZ225" s="714">
        <f>IF(CX225=0,0,(CY225-CX225)/CX225*100)</f>
        <v>0</v>
      </c>
      <c r="DA225" s="820"/>
      <c r="DB225" s="820"/>
      <c r="DC225" s="714">
        <f>IF(DA225=0,0,(DB225-DA225)/DA225*100)</f>
        <v>0</v>
      </c>
      <c r="DD225" s="820"/>
      <c r="DE225" s="820"/>
      <c r="DF225" s="714">
        <f>IF(DD225=0,0,(DE225-DD225)/DD225*100)</f>
        <v>0</v>
      </c>
      <c r="DG225" s="820"/>
      <c r="DH225" s="820"/>
      <c r="DI225" s="714">
        <f>IF(DG225=0,0,(DH225-DG225)/DG225*100)</f>
        <v>0</v>
      </c>
      <c r="DJ225" s="820"/>
      <c r="DK225" s="820"/>
      <c r="DL225" s="714">
        <f>IF(DJ225=0,0,(DK225-DJ225)/DJ225*100)</f>
        <v>0</v>
      </c>
      <c r="DM225" s="820"/>
      <c r="DN225" s="820"/>
      <c r="DO225" s="714">
        <f>IF(DM225=0,0,(DN225-DM225)/DM225*100)</f>
        <v>0</v>
      </c>
      <c r="DP225" s="820"/>
      <c r="DQ225" s="820"/>
      <c r="DR225" s="714">
        <f>IF(DP225=0,0,(DQ225-DP225)/DP225*100)</f>
        <v>0</v>
      </c>
      <c r="DS225" s="820"/>
      <c r="DT225" s="820"/>
      <c r="DU225" s="714">
        <f>IF(DS225=0,0,(DT225-DS225)/DS225*100)</f>
        <v>0</v>
      </c>
      <c r="DV225" s="820"/>
      <c r="DW225" s="820"/>
      <c r="DX225" s="714">
        <f>IF(DV225=0,0,(DW225-DV225)/DV225*100)</f>
        <v>0</v>
      </c>
      <c r="DY225" s="820"/>
      <c r="DZ225" s="820"/>
      <c r="EA225" s="714">
        <f>IF(DY225=0,0,(DZ225-DY225)/DY225*100)</f>
        <v>0</v>
      </c>
      <c r="EB225" s="820"/>
      <c r="EC225" s="820"/>
      <c r="ED225" s="714">
        <f>IF(EB225=0,0,(EC225-EB225)/EB225*100)</f>
        <v>0</v>
      </c>
      <c r="EE225" s="820"/>
      <c r="EF225" s="820"/>
      <c r="EG225" s="714">
        <f>IF(EE225=0,0,(EF225-EE225)/EE225*100)</f>
        <v>0</v>
      </c>
      <c r="EH225" s="820"/>
      <c r="EI225" s="820"/>
      <c r="EJ225" s="714">
        <f>IF(EH225=0,0,(EI225-EH225)/EH225*100)</f>
        <v>0</v>
      </c>
      <c r="EK225" s="820"/>
      <c r="EL225" s="820"/>
      <c r="EM225" s="714">
        <f>IF(EK225=0,0,(EL225-EK225)/EK225*100)</f>
        <v>0</v>
      </c>
      <c r="EN225" s="820"/>
      <c r="EO225" s="820"/>
      <c r="EP225" s="714">
        <f>IF(EN225=0,0,(EO225-EN225)/EN225*100)</f>
        <v>0</v>
      </c>
      <c r="EQ225" s="820"/>
      <c r="ER225" s="820"/>
      <c r="ES225" s="714">
        <f>IF(EQ225=0,0,(ER225-EQ225)/EQ225*100)</f>
        <v>0</v>
      </c>
      <c r="ET225" s="820"/>
      <c r="EU225" s="820"/>
      <c r="EV225" s="714">
        <f>IF(ET225=0,0,(EU225-ET225)/ET225*100)</f>
        <v>0</v>
      </c>
      <c r="EW225" s="820"/>
      <c r="EX225" s="820"/>
      <c r="EY225" s="714">
        <f>IF(EW225=0,0,(EX225-EW225)/EW225*100)</f>
        <v>0</v>
      </c>
      <c r="EZ225" s="820"/>
      <c r="FA225" s="820"/>
      <c r="FB225" s="714">
        <f>IF(EZ225=0,0,(FA225-EZ225)/EZ225*100)</f>
        <v>0</v>
      </c>
      <c r="FC225" s="820"/>
      <c r="FD225" s="820"/>
      <c r="FE225" s="714">
        <f>IF(FC225=0,0,(FD225-FC225)/FC225*100)</f>
        <v>0</v>
      </c>
      <c r="FF225" s="820"/>
      <c r="FG225" s="820"/>
      <c r="FH225" s="714">
        <f>IF(FF225=0,0,(FG225-FF225)/FF225*100)</f>
        <v>0</v>
      </c>
      <c r="FI225" s="820"/>
      <c r="FJ225" s="820"/>
      <c r="FK225" s="714">
        <f>IF(FI225=0,0,(FJ225-FI225)/FI225*100)</f>
        <v>0</v>
      </c>
      <c r="FL225" s="820"/>
      <c r="FM225" s="820"/>
      <c r="FN225" s="714">
        <f>IF(FL225=0,0,(FM225-FL225)/FL225*100)</f>
        <v>0</v>
      </c>
      <c r="FO225" s="820"/>
      <c r="FP225" s="820"/>
      <c r="FQ225" s="714">
        <f>IF(FO225=0,0,(FP225-FO225)/FO225*100)</f>
        <v>0</v>
      </c>
      <c r="FR225" s="820"/>
      <c r="FS225" s="820"/>
      <c r="FT225" s="714">
        <f>IF(FR225=0,0,(FS225-FR225)/FR225*100)</f>
        <v>0</v>
      </c>
      <c r="FU225" s="820"/>
      <c r="FV225" s="820"/>
      <c r="FW225" s="714">
        <f>IF(FU225=0,0,(FV225-FU225)/FU225*100)</f>
        <v>0</v>
      </c>
      <c r="FZ225" s="691" t="s">
        <v>1696</v>
      </c>
    </row>
    <row r="226" spans="1:186" ht="23.25" hidden="1" customHeight="1" x14ac:dyDescent="0.15">
      <c r="A226" s="59"/>
      <c r="B226" s="613" t="b" cm="1">
        <f t="array" ref="B226">B225</f>
        <v>0</v>
      </c>
      <c r="C226" s="59"/>
      <c r="D226" s="59"/>
      <c r="E226" s="462">
        <v>24.5</v>
      </c>
      <c r="F226" s="3" t="str" cm="1">
        <f t="array" aca="1" ref="F226" ca="1">OFFSET(E226,-1,1)</f>
        <v>3</v>
      </c>
      <c r="G226" s="59"/>
      <c r="H226" s="59"/>
      <c r="I226" s="59"/>
      <c r="J226" s="59"/>
      <c r="K226" s="59"/>
      <c r="L226" s="59"/>
      <c r="M226" s="59"/>
      <c r="N226" s="59"/>
      <c r="O226" s="59"/>
      <c r="P226" s="59"/>
      <c r="Q226" s="59"/>
      <c r="R226" s="59"/>
      <c r="S226" s="59"/>
      <c r="T226" s="353" t="b" cm="1">
        <f t="array" aca="1" ref="T226" ca="1">T225</f>
        <v>1</v>
      </c>
      <c r="U226" s="59"/>
      <c r="V226" s="59"/>
      <c r="W226" s="59"/>
      <c r="X226" s="1022"/>
      <c r="Y226" s="59"/>
      <c r="Z226" s="966"/>
      <c r="AA226" s="59"/>
      <c r="AB226" s="205" t="s">
        <v>1697</v>
      </c>
      <c r="AC226" s="597"/>
      <c r="AD226" s="718"/>
      <c r="AE226" s="718"/>
      <c r="AF226" s="718"/>
      <c r="AG226" s="718"/>
      <c r="AH226" s="718"/>
      <c r="AI226" s="718"/>
      <c r="AJ226" s="718"/>
      <c r="AK226" s="718"/>
      <c r="AL226" s="718"/>
      <c r="AM226" s="718"/>
      <c r="AN226" s="718"/>
      <c r="AO226" s="718"/>
      <c r="AP226" s="718"/>
      <c r="AQ226" s="718"/>
      <c r="AR226" s="718"/>
      <c r="AS226" s="718"/>
      <c r="AT226" s="718"/>
      <c r="AU226" s="718"/>
      <c r="AV226" s="718"/>
      <c r="AW226" s="718"/>
      <c r="AX226" s="718"/>
      <c r="AY226" s="718"/>
      <c r="AZ226" s="718"/>
      <c r="BA226" s="718"/>
      <c r="BB226" s="718"/>
      <c r="BC226" s="718"/>
      <c r="BD226" s="718"/>
      <c r="BE226" s="718"/>
      <c r="BF226" s="718"/>
      <c r="BG226" s="718"/>
      <c r="BH226" s="718"/>
      <c r="BI226" s="718"/>
      <c r="BJ226" s="718"/>
      <c r="BK226" s="718"/>
      <c r="BL226" s="718"/>
      <c r="BM226" s="718"/>
      <c r="BN226" s="718"/>
      <c r="BO226" s="718"/>
      <c r="BP226" s="718"/>
      <c r="BQ226" s="718"/>
      <c r="BR226" s="718"/>
      <c r="BS226" s="718"/>
      <c r="BT226" s="718"/>
      <c r="BU226" s="718"/>
      <c r="BV226" s="718"/>
      <c r="BW226" s="718"/>
      <c r="BX226" s="718"/>
      <c r="BY226" s="718"/>
      <c r="BZ226" s="718"/>
      <c r="CA226" s="718"/>
      <c r="CB226" s="718"/>
      <c r="CC226" s="718"/>
      <c r="CD226" s="718"/>
      <c r="CE226" s="718"/>
      <c r="CF226" s="718"/>
      <c r="CG226" s="718"/>
      <c r="CH226" s="718"/>
      <c r="CI226" s="718"/>
      <c r="CJ226" s="718"/>
      <c r="CK226" s="718"/>
      <c r="CL226" s="718"/>
      <c r="CM226" s="718"/>
      <c r="CN226" s="718"/>
      <c r="CO226" s="718"/>
      <c r="CP226" s="718"/>
      <c r="CQ226" s="718"/>
      <c r="CR226" s="718"/>
      <c r="CS226" s="718"/>
      <c r="CT226" s="718"/>
      <c r="CU226" s="718"/>
      <c r="CV226" s="718"/>
      <c r="CW226" s="718"/>
      <c r="CX226" s="718"/>
      <c r="CY226" s="718"/>
      <c r="CZ226" s="718"/>
      <c r="DA226" s="718"/>
      <c r="DB226" s="718"/>
      <c r="DC226" s="718"/>
      <c r="DD226" s="718"/>
      <c r="DE226" s="718"/>
      <c r="DF226" s="718"/>
      <c r="DG226" s="718"/>
      <c r="DH226" s="718"/>
      <c r="DI226" s="718"/>
      <c r="DJ226" s="718"/>
      <c r="DK226" s="718"/>
      <c r="DL226" s="718"/>
      <c r="DM226" s="718"/>
      <c r="DN226" s="718"/>
      <c r="DO226" s="718"/>
      <c r="DP226" s="718"/>
      <c r="DQ226" s="718"/>
      <c r="DR226" s="718"/>
      <c r="DS226" s="718"/>
      <c r="DT226" s="718"/>
      <c r="DU226" s="718"/>
      <c r="DV226" s="718"/>
      <c r="DW226" s="718"/>
      <c r="DX226" s="718"/>
      <c r="DY226" s="718"/>
      <c r="DZ226" s="718"/>
      <c r="EA226" s="718"/>
      <c r="EB226" s="718"/>
      <c r="EC226" s="718"/>
      <c r="ED226" s="718"/>
      <c r="EE226" s="718"/>
      <c r="EF226" s="718"/>
      <c r="EG226" s="718"/>
      <c r="EH226" s="718"/>
      <c r="EI226" s="718"/>
      <c r="EJ226" s="718"/>
      <c r="EK226" s="718"/>
      <c r="EL226" s="718"/>
      <c r="EM226" s="718"/>
      <c r="EN226" s="718"/>
      <c r="EO226" s="718"/>
      <c r="EP226" s="718"/>
      <c r="EQ226" s="718"/>
      <c r="ER226" s="718"/>
      <c r="ES226" s="718"/>
      <c r="ET226" s="718"/>
      <c r="EU226" s="718"/>
      <c r="EV226" s="718"/>
      <c r="EW226" s="718"/>
      <c r="EX226" s="718"/>
      <c r="EY226" s="718"/>
      <c r="EZ226" s="718"/>
      <c r="FA226" s="718"/>
      <c r="FB226" s="718"/>
      <c r="FC226" s="718"/>
      <c r="FD226" s="718"/>
      <c r="FE226" s="718"/>
      <c r="FF226" s="718"/>
      <c r="FG226" s="718"/>
      <c r="FH226" s="718"/>
      <c r="FI226" s="718"/>
      <c r="FJ226" s="718"/>
      <c r="FK226" s="718"/>
      <c r="FL226" s="718"/>
      <c r="FM226" s="718"/>
      <c r="FN226" s="718"/>
      <c r="FO226" s="718"/>
      <c r="FP226" s="718"/>
      <c r="FQ226" s="718"/>
      <c r="FR226" s="718"/>
      <c r="FS226" s="718"/>
      <c r="FT226" s="718"/>
      <c r="FU226" s="718"/>
      <c r="FV226" s="718"/>
      <c r="FW226" s="719"/>
      <c r="FZ226" s="691"/>
    </row>
    <row r="227" spans="1:186" ht="14.25" hidden="1" customHeight="1" x14ac:dyDescent="0.15">
      <c r="A227" s="59"/>
      <c r="B227" s="613" t="b" cm="1">
        <f t="array" ref="B227">B226</f>
        <v>0</v>
      </c>
      <c r="C227" s="59"/>
      <c r="D227" s="59"/>
      <c r="E227" s="462">
        <v>15</v>
      </c>
      <c r="F227" s="3" t="str" cm="1">
        <f t="array" aca="1" ref="F227" ca="1">OFFSET(E227,-1,1)</f>
        <v>3</v>
      </c>
      <c r="G227" s="59"/>
      <c r="H227" s="59" t="s">
        <v>1570</v>
      </c>
      <c r="I227" s="59" t="s">
        <v>1657</v>
      </c>
      <c r="J227" s="59"/>
      <c r="K227" s="59"/>
      <c r="L227" s="59"/>
      <c r="M227" s="59"/>
      <c r="N227" s="59"/>
      <c r="O227" s="59"/>
      <c r="P227" s="59"/>
      <c r="Q227" s="59"/>
      <c r="R227" s="59"/>
      <c r="S227" s="59"/>
      <c r="T227" s="353" t="b" cm="1">
        <f t="array" aca="1" ref="T227" ca="1">T226</f>
        <v>1</v>
      </c>
      <c r="U227" s="59"/>
      <c r="V227" s="59"/>
      <c r="W227" s="59"/>
      <c r="X227" s="1022"/>
      <c r="Y227" s="59"/>
      <c r="Z227" s="966"/>
      <c r="AA227" s="59"/>
      <c r="AB227" s="105" t="s">
        <v>1677</v>
      </c>
      <c r="AC227" s="12" t="s">
        <v>1644</v>
      </c>
      <c r="AD227" s="820">
        <f ca="1">IF(AD229=0,0,(AD228*AD229+AD230*AD231*IF(god=2026,9,6))/AD229)</f>
        <v>0</v>
      </c>
      <c r="AE227" s="820">
        <f ca="1">IF(AE229=0,0,(AE228*AE229+AE230*AE231*IF(god=2026,9,6))/AE229)</f>
        <v>0</v>
      </c>
      <c r="AF227" s="714">
        <f ca="1">IF(AD227=0,0,(AE227-AD227)/AD227*100)</f>
        <v>0</v>
      </c>
      <c r="AG227" s="820">
        <f ca="1">IF(AG229=0,0,(AG228*AG229+AG230*AG231*IF(god=2025,9,6))/AG229)</f>
        <v>0</v>
      </c>
      <c r="AH227" s="820">
        <f ca="1">IF(AH229=0,0,(AH228*AH229+AH230*AH231*IF(god=2025,9,6))/AH229)</f>
        <v>0</v>
      </c>
      <c r="AI227" s="714">
        <f ca="1">IF(AG227=0,0,(AH227-AG227)/AG227*100)</f>
        <v>0</v>
      </c>
      <c r="AJ227" s="820">
        <f ca="1">IF(AJ229=0,0,(AJ228*AJ229+AJ230*AJ231*6)/AJ229)</f>
        <v>0</v>
      </c>
      <c r="AK227" s="820">
        <f ca="1">IF(AK229=0,0,(AK228*AK229+AK230*AK231*6)/AK229)</f>
        <v>0</v>
      </c>
      <c r="AL227" s="714">
        <f ca="1">IF(AJ227=0,0,(AK227-AJ227)/AJ227*100)</f>
        <v>0</v>
      </c>
      <c r="AM227" s="820">
        <f ca="1">IF(AM229=0,0,(AM228*AM229+AM230*AM231*6)/AM229)</f>
        <v>0</v>
      </c>
      <c r="AN227" s="820">
        <f ca="1">IF(AN229=0,0,(AN228*AN229+AN230*AN231*6)/AN229)</f>
        <v>0</v>
      </c>
      <c r="AO227" s="714">
        <f ca="1">IF(AM227=0,0,(AN227-AM227)/AM227*100)</f>
        <v>0</v>
      </c>
      <c r="AP227" s="820">
        <f ca="1">IF(AP229=0,0,(AP228*AP229+AP230*AP231*6)/AP229)</f>
        <v>0</v>
      </c>
      <c r="AQ227" s="820">
        <f ca="1">IF(AQ229=0,0,(AQ228*AQ229+AQ230*AQ231*6)/AQ229)</f>
        <v>0</v>
      </c>
      <c r="AR227" s="714">
        <f ca="1">IF(AP227=0,0,(AQ227-AP227)/AP227*100)</f>
        <v>0</v>
      </c>
      <c r="AS227" s="820">
        <f ca="1">IF(AS229=0,0,(AS228*AS229+AS230*AS231*6)/AS229)</f>
        <v>0</v>
      </c>
      <c r="AT227" s="820">
        <f ca="1">IF(AT229=0,0,(AT228*AT229+AT230*AT231*6)/AT229)</f>
        <v>0</v>
      </c>
      <c r="AU227" s="714">
        <f ca="1">IF(AS227=0,0,(AT227-AS227)/AS227*100)</f>
        <v>0</v>
      </c>
      <c r="AV227" s="820">
        <f ca="1">IF(AV229=0,0,(AV228*AV229+AV230*AV231*6)/AV229)</f>
        <v>0</v>
      </c>
      <c r="AW227" s="820">
        <f ca="1">IF(AW229=0,0,(AW228*AW229+AW230*AW231*6)/AW229)</f>
        <v>0</v>
      </c>
      <c r="AX227" s="714">
        <f ca="1">IF(AV227=0,0,(AW227-AV227)/AV227*100)</f>
        <v>0</v>
      </c>
      <c r="AY227" s="820">
        <f ca="1">IF(AY229=0,0,(AY228*AY229+AY230*AY231*6)/AY229)</f>
        <v>0</v>
      </c>
      <c r="AZ227" s="820">
        <f ca="1">IF(AZ229=0,0,(AZ228*AZ229+AZ230*AZ231*6)/AZ229)</f>
        <v>0</v>
      </c>
      <c r="BA227" s="714">
        <f ca="1">IF(AY227=0,0,(AZ227-AY227)/AY227*100)</f>
        <v>0</v>
      </c>
      <c r="BB227" s="820">
        <f ca="1">IF(BB229=0,0,(BB228*BB229+BB230*BB231*6)/BB229)</f>
        <v>0</v>
      </c>
      <c r="BC227" s="820">
        <f ca="1">IF(BC229=0,0,(BC228*BC229+BC230*BC231*6)/BC229)</f>
        <v>0</v>
      </c>
      <c r="BD227" s="714">
        <f ca="1">IF(BB227=0,0,(BC227-BB227)/BB227*100)</f>
        <v>0</v>
      </c>
      <c r="BE227" s="820">
        <f ca="1">IF(BE229=0,0,(BE228*BE229+BE230*BE231*6)/BE229)</f>
        <v>0</v>
      </c>
      <c r="BF227" s="820">
        <f ca="1">IF(BF229=0,0,(BF228*BF229+BF230*BF231*6)/BF229)</f>
        <v>0</v>
      </c>
      <c r="BG227" s="714">
        <f ca="1">IF(BE227=0,0,(BF227-BE227)/BE227*100)</f>
        <v>0</v>
      </c>
      <c r="BH227" s="820">
        <f>IF(BH229=0,0,(BH228*BH229+BH230*BH231*6)/BH229)</f>
        <v>0</v>
      </c>
      <c r="BI227" s="820">
        <f>IF(BI229=0,0,(BI228*BI229+BI230*BI231*6)/BI229)</f>
        <v>0</v>
      </c>
      <c r="BJ227" s="714">
        <f>IF(BH227=0,0,(BI227-BH227)/BH227*100)</f>
        <v>0</v>
      </c>
      <c r="BK227" s="820">
        <f>IF(BK229=0,0,(BK228*BK229+BK230*BK231*6)/BK229)</f>
        <v>0</v>
      </c>
      <c r="BL227" s="820">
        <f>IF(BL229=0,0,(BL228*BL229+BL230*BL231*6)/BL229)</f>
        <v>0</v>
      </c>
      <c r="BM227" s="714">
        <f>IF(BK227=0,0,(BL227-BK227)/BK227*100)</f>
        <v>0</v>
      </c>
      <c r="BN227" s="820">
        <f>IF(BN229=0,0,(BN228*BN229+BN230*BN231*6)/BN229)</f>
        <v>0</v>
      </c>
      <c r="BO227" s="820">
        <f>IF(BO229=0,0,(BO228*BO229+BO230*BO231*6)/BO229)</f>
        <v>0</v>
      </c>
      <c r="BP227" s="714">
        <f>IF(BN227=0,0,(BO227-BN227)/BN227*100)</f>
        <v>0</v>
      </c>
      <c r="BQ227" s="820">
        <f>IF(BQ229=0,0,(BQ228*BQ229+BQ230*BQ231*6)/BQ229)</f>
        <v>0</v>
      </c>
      <c r="BR227" s="820">
        <f>IF(BR229=0,0,(BR228*BR229+BR230*BR231*6)/BR229)</f>
        <v>0</v>
      </c>
      <c r="BS227" s="714">
        <f>IF(BQ227=0,0,(BR227-BQ227)/BQ227*100)</f>
        <v>0</v>
      </c>
      <c r="BT227" s="820">
        <f>IF(BT229=0,0,(BT228*BT229+BT230*BT231*6)/BT229)</f>
        <v>0</v>
      </c>
      <c r="BU227" s="820">
        <f>IF(BU229=0,0,(BU228*BU229+BU230*BU231*6)/BU229)</f>
        <v>0</v>
      </c>
      <c r="BV227" s="714">
        <f>IF(BT227=0,0,(BU227-BT227)/BT227*100)</f>
        <v>0</v>
      </c>
      <c r="BW227" s="820">
        <f>IF(BW229=0,0,(BW228*BW229+BW230*BW231*6)/BW229)</f>
        <v>0</v>
      </c>
      <c r="BX227" s="820">
        <f>IF(BX229=0,0,(BX228*BX229+BX230*BX231*6)/BX229)</f>
        <v>0</v>
      </c>
      <c r="BY227" s="714">
        <f>IF(BW227=0,0,(BX227-BW227)/BW227*100)</f>
        <v>0</v>
      </c>
      <c r="BZ227" s="820">
        <f>IF(BZ229=0,0,(BZ228*BZ229+BZ230*BZ231*6)/BZ229)</f>
        <v>0</v>
      </c>
      <c r="CA227" s="820">
        <f>IF(CA229=0,0,(CA228*CA229+CA230*CA231*6)/CA229)</f>
        <v>0</v>
      </c>
      <c r="CB227" s="714">
        <f>IF(BZ227=0,0,(CA227-BZ227)/BZ227*100)</f>
        <v>0</v>
      </c>
      <c r="CC227" s="820">
        <f>IF(CC229=0,0,(CC228*CC229+CC230*CC231*6)/CC229)</f>
        <v>0</v>
      </c>
      <c r="CD227" s="820">
        <f>IF(CD229=0,0,(CD228*CD229+CD230*CD231*6)/CD229)</f>
        <v>0</v>
      </c>
      <c r="CE227" s="714">
        <f>IF(CC227=0,0,(CD227-CC227)/CC227*100)</f>
        <v>0</v>
      </c>
      <c r="CF227" s="820">
        <f>IF(CF229=0,0,(CF228*CF229+CF230*CF231*6)/CF229)</f>
        <v>0</v>
      </c>
      <c r="CG227" s="820">
        <f>IF(CG229=0,0,(CG228*CG229+CG230*CG231*6)/CG229)</f>
        <v>0</v>
      </c>
      <c r="CH227" s="714">
        <f>IF(CF227=0,0,(CG227-CF227)/CF227*100)</f>
        <v>0</v>
      </c>
      <c r="CI227" s="820">
        <f>IF(CI229=0,0,(CI228*CI229+CI230*CI231*6)/CI229)</f>
        <v>0</v>
      </c>
      <c r="CJ227" s="820">
        <f>IF(CJ229=0,0,(CJ228*CJ229+CJ230*CJ231*6)/CJ229)</f>
        <v>0</v>
      </c>
      <c r="CK227" s="714">
        <f>IF(CI227=0,0,(CJ227-CI227)/CI227*100)</f>
        <v>0</v>
      </c>
      <c r="CL227" s="820">
        <f>IF(CL229=0,0,(CL228*CL229+CL230*CL231*6)/CL229)</f>
        <v>0</v>
      </c>
      <c r="CM227" s="820">
        <f>IF(CM229=0,0,(CM228*CM229+CM230*CM231*6)/CM229)</f>
        <v>0</v>
      </c>
      <c r="CN227" s="714">
        <f>IF(CL227=0,0,(CM227-CL227)/CL227*100)</f>
        <v>0</v>
      </c>
      <c r="CO227" s="820">
        <f>IF(CO229=0,0,(CO228*CO229+CO230*CO231*6)/CO229)</f>
        <v>0</v>
      </c>
      <c r="CP227" s="820">
        <f>IF(CP229=0,0,(CP228*CP229+CP230*CP231*6)/CP229)</f>
        <v>0</v>
      </c>
      <c r="CQ227" s="714">
        <f>IF(CO227=0,0,(CP227-CO227)/CO227*100)</f>
        <v>0</v>
      </c>
      <c r="CR227" s="820">
        <f>IF(CR229=0,0,(CR228*CR229+CR230*CR231*6)/CR229)</f>
        <v>0</v>
      </c>
      <c r="CS227" s="820">
        <f>IF(CS229=0,0,(CS228*CS229+CS230*CS231*6)/CS229)</f>
        <v>0</v>
      </c>
      <c r="CT227" s="714">
        <f>IF(CR227=0,0,(CS227-CR227)/CR227*100)</f>
        <v>0</v>
      </c>
      <c r="CU227" s="820">
        <f>IF(CU229=0,0,(CU228*CU229+CU230*CU231*6)/CU229)</f>
        <v>0</v>
      </c>
      <c r="CV227" s="820">
        <f>IF(CV229=0,0,(CV228*CV229+CV230*CV231*6)/CV229)</f>
        <v>0</v>
      </c>
      <c r="CW227" s="714">
        <f>IF(CU227=0,0,(CV227-CU227)/CU227*100)</f>
        <v>0</v>
      </c>
      <c r="CX227" s="820">
        <f>IF(CX229=0,0,(CX228*CX229+CX230*CX231*6)/CX229)</f>
        <v>0</v>
      </c>
      <c r="CY227" s="820">
        <f>IF(CY229=0,0,(CY228*CY229+CY230*CY231*6)/CY229)</f>
        <v>0</v>
      </c>
      <c r="CZ227" s="714">
        <f>IF(CX227=0,0,(CY227-CX227)/CX227*100)</f>
        <v>0</v>
      </c>
      <c r="DA227" s="820">
        <f>IF(DA229=0,0,(DA228*DA229+DA230*DA231*6)/DA229)</f>
        <v>0</v>
      </c>
      <c r="DB227" s="820">
        <f>IF(DB229=0,0,(DB228*DB229+DB230*DB231*6)/DB229)</f>
        <v>0</v>
      </c>
      <c r="DC227" s="714">
        <f>IF(DA227=0,0,(DB227-DA227)/DA227*100)</f>
        <v>0</v>
      </c>
      <c r="DD227" s="820">
        <f>IF(DD229=0,0,(DD228*DD229+DD230*DD231*6)/DD229)</f>
        <v>0</v>
      </c>
      <c r="DE227" s="820">
        <f>IF(DE229=0,0,(DE228*DE229+DE230*DE231*6)/DE229)</f>
        <v>0</v>
      </c>
      <c r="DF227" s="714">
        <f>IF(DD227=0,0,(DE227-DD227)/DD227*100)</f>
        <v>0</v>
      </c>
      <c r="DG227" s="820">
        <f>IF(DG229=0,0,(DG228*DG229+DG230*DG231*6)/DG229)</f>
        <v>0</v>
      </c>
      <c r="DH227" s="820">
        <f>IF(DH229=0,0,(DH228*DH229+DH230*DH231*6)/DH229)</f>
        <v>0</v>
      </c>
      <c r="DI227" s="714">
        <f>IF(DG227=0,0,(DH227-DG227)/DG227*100)</f>
        <v>0</v>
      </c>
      <c r="DJ227" s="820">
        <f>IF(DJ229=0,0,(DJ228*DJ229+DJ230*DJ231*6)/DJ229)</f>
        <v>0</v>
      </c>
      <c r="DK227" s="820">
        <f>IF(DK229=0,0,(DK228*DK229+DK230*DK231*6)/DK229)</f>
        <v>0</v>
      </c>
      <c r="DL227" s="714">
        <f>IF(DJ227=0,0,(DK227-DJ227)/DJ227*100)</f>
        <v>0</v>
      </c>
      <c r="DM227" s="820">
        <f>IF(DM229=0,0,(DM228*DM229+DM230*DM231*6)/DM229)</f>
        <v>0</v>
      </c>
      <c r="DN227" s="820">
        <f>IF(DN229=0,0,(DN228*DN229+DN230*DN231*6)/DN229)</f>
        <v>0</v>
      </c>
      <c r="DO227" s="714">
        <f>IF(DM227=0,0,(DN227-DM227)/DM227*100)</f>
        <v>0</v>
      </c>
      <c r="DP227" s="820">
        <f>IF(DP229=0,0,(DP228*DP229+DP230*DP231*6)/DP229)</f>
        <v>0</v>
      </c>
      <c r="DQ227" s="820">
        <f>IF(DQ229=0,0,(DQ228*DQ229+DQ230*DQ231*6)/DQ229)</f>
        <v>0</v>
      </c>
      <c r="DR227" s="714">
        <f>IF(DP227=0,0,(DQ227-DP227)/DP227*100)</f>
        <v>0</v>
      </c>
      <c r="DS227" s="820">
        <f>IF(DS229=0,0,(DS228*DS229+DS230*DS231*6)/DS229)</f>
        <v>0</v>
      </c>
      <c r="DT227" s="820">
        <f>IF(DT229=0,0,(DT228*DT229+DT230*DT231*6)/DT229)</f>
        <v>0</v>
      </c>
      <c r="DU227" s="714">
        <f>IF(DS227=0,0,(DT227-DS227)/DS227*100)</f>
        <v>0</v>
      </c>
      <c r="DV227" s="820">
        <f>IF(DV229=0,0,(DV228*DV229+DV230*DV231*6)/DV229)</f>
        <v>0</v>
      </c>
      <c r="DW227" s="820">
        <f>IF(DW229=0,0,(DW228*DW229+DW230*DW231*6)/DW229)</f>
        <v>0</v>
      </c>
      <c r="DX227" s="714">
        <f>IF(DV227=0,0,(DW227-DV227)/DV227*100)</f>
        <v>0</v>
      </c>
      <c r="DY227" s="820">
        <f>IF(DY229=0,0,(DY228*DY229+DY230*DY231*6)/DY229)</f>
        <v>0</v>
      </c>
      <c r="DZ227" s="820">
        <f>IF(DZ229=0,0,(DZ228*DZ229+DZ230*DZ231*6)/DZ229)</f>
        <v>0</v>
      </c>
      <c r="EA227" s="714">
        <f>IF(DY227=0,0,(DZ227-DY227)/DY227*100)</f>
        <v>0</v>
      </c>
      <c r="EB227" s="820">
        <f>IF(EB229=0,0,(EB228*EB229+EB230*EB231*6)/EB229)</f>
        <v>0</v>
      </c>
      <c r="EC227" s="820">
        <f>IF(EC229=0,0,(EC228*EC229+EC230*EC231*6)/EC229)</f>
        <v>0</v>
      </c>
      <c r="ED227" s="714">
        <f>IF(EB227=0,0,(EC227-EB227)/EB227*100)</f>
        <v>0</v>
      </c>
      <c r="EE227" s="820">
        <f>IF(EE229=0,0,(EE228*EE229+EE230*EE231*6)/EE229)</f>
        <v>0</v>
      </c>
      <c r="EF227" s="820">
        <f>IF(EF229=0,0,(EF228*EF229+EF230*EF231*6)/EF229)</f>
        <v>0</v>
      </c>
      <c r="EG227" s="714">
        <f>IF(EE227=0,0,(EF227-EE227)/EE227*100)</f>
        <v>0</v>
      </c>
      <c r="EH227" s="820">
        <f>IF(EH229=0,0,(EH228*EH229+EH230*EH231*6)/EH229)</f>
        <v>0</v>
      </c>
      <c r="EI227" s="820">
        <f>IF(EI229=0,0,(EI228*EI229+EI230*EI231*6)/EI229)</f>
        <v>0</v>
      </c>
      <c r="EJ227" s="714">
        <f>IF(EH227=0,0,(EI227-EH227)/EH227*100)</f>
        <v>0</v>
      </c>
      <c r="EK227" s="820">
        <f>IF(EK229=0,0,(EK228*EK229+EK230*EK231*6)/EK229)</f>
        <v>0</v>
      </c>
      <c r="EL227" s="820">
        <f>IF(EL229=0,0,(EL228*EL229+EL230*EL231*6)/EL229)</f>
        <v>0</v>
      </c>
      <c r="EM227" s="714">
        <f>IF(EK227=0,0,(EL227-EK227)/EK227*100)</f>
        <v>0</v>
      </c>
      <c r="EN227" s="820">
        <f>IF(EN229=0,0,(EN228*EN229+EN230*EN231*6)/EN229)</f>
        <v>0</v>
      </c>
      <c r="EO227" s="820">
        <f>IF(EO229=0,0,(EO228*EO229+EO230*EO231*6)/EO229)</f>
        <v>0</v>
      </c>
      <c r="EP227" s="714">
        <f>IF(EN227=0,0,(EO227-EN227)/EN227*100)</f>
        <v>0</v>
      </c>
      <c r="EQ227" s="820">
        <f>IF(EQ229=0,0,(EQ228*EQ229+EQ230*EQ231*6)/EQ229)</f>
        <v>0</v>
      </c>
      <c r="ER227" s="820">
        <f>IF(ER229=0,0,(ER228*ER229+ER230*ER231*6)/ER229)</f>
        <v>0</v>
      </c>
      <c r="ES227" s="714">
        <f>IF(EQ227=0,0,(ER227-EQ227)/EQ227*100)</f>
        <v>0</v>
      </c>
      <c r="ET227" s="820">
        <f>IF(ET229=0,0,(ET228*ET229+ET230*ET231*6)/ET229)</f>
        <v>0</v>
      </c>
      <c r="EU227" s="820">
        <f>IF(EU229=0,0,(EU228*EU229+EU230*EU231*6)/EU229)</f>
        <v>0</v>
      </c>
      <c r="EV227" s="714">
        <f>IF(ET227=0,0,(EU227-ET227)/ET227*100)</f>
        <v>0</v>
      </c>
      <c r="EW227" s="820">
        <f>IF(EW229=0,0,(EW228*EW229+EW230*EW231*6)/EW229)</f>
        <v>0</v>
      </c>
      <c r="EX227" s="820">
        <f>IF(EX229=0,0,(EX228*EX229+EX230*EX231*6)/EX229)</f>
        <v>0</v>
      </c>
      <c r="EY227" s="714">
        <f>IF(EW227=0,0,(EX227-EW227)/EW227*100)</f>
        <v>0</v>
      </c>
      <c r="EZ227" s="820">
        <f>IF(EZ229=0,0,(EZ228*EZ229+EZ230*EZ231*6)/EZ229)</f>
        <v>0</v>
      </c>
      <c r="FA227" s="820">
        <f>IF(FA229=0,0,(FA228*FA229+FA230*FA231*6)/FA229)</f>
        <v>0</v>
      </c>
      <c r="FB227" s="714">
        <f>IF(EZ227=0,0,(FA227-EZ227)/EZ227*100)</f>
        <v>0</v>
      </c>
      <c r="FC227" s="820">
        <f>IF(FC229=0,0,(FC228*FC229+FC230*FC231*6)/FC229)</f>
        <v>0</v>
      </c>
      <c r="FD227" s="820">
        <f>IF(FD229=0,0,(FD228*FD229+FD230*FD231*6)/FD229)</f>
        <v>0</v>
      </c>
      <c r="FE227" s="714">
        <f>IF(FC227=0,0,(FD227-FC227)/FC227*100)</f>
        <v>0</v>
      </c>
      <c r="FF227" s="820">
        <f>IF(FF229=0,0,(FF228*FF229+FF230*FF231*6)/FF229)</f>
        <v>0</v>
      </c>
      <c r="FG227" s="820">
        <f>IF(FG229=0,0,(FG228*FG229+FG230*FG231*6)/FG229)</f>
        <v>0</v>
      </c>
      <c r="FH227" s="714">
        <f>IF(FF227=0,0,(FG227-FF227)/FF227*100)</f>
        <v>0</v>
      </c>
      <c r="FI227" s="820">
        <f>IF(FI229=0,0,(FI228*FI229+FI230*FI231*6)/FI229)</f>
        <v>0</v>
      </c>
      <c r="FJ227" s="820">
        <f>IF(FJ229=0,0,(FJ228*FJ229+FJ230*FJ231*6)/FJ229)</f>
        <v>0</v>
      </c>
      <c r="FK227" s="714">
        <f>IF(FI227=0,0,(FJ227-FI227)/FI227*100)</f>
        <v>0</v>
      </c>
      <c r="FL227" s="820">
        <f>IF(FL229=0,0,(FL228*FL229+FL230*FL231*6)/FL229)</f>
        <v>0</v>
      </c>
      <c r="FM227" s="820">
        <f>IF(FM229=0,0,(FM228*FM229+FM230*FM231*6)/FM229)</f>
        <v>0</v>
      </c>
      <c r="FN227" s="714">
        <f>IF(FL227=0,0,(FM227-FL227)/FL227*100)</f>
        <v>0</v>
      </c>
      <c r="FO227" s="820">
        <f>IF(FO229=0,0,(FO228*FO229+FO230*FO231*6)/FO229)</f>
        <v>0</v>
      </c>
      <c r="FP227" s="820">
        <f>IF(FP229=0,0,(FP228*FP229+FP230*FP231*6)/FP229)</f>
        <v>0</v>
      </c>
      <c r="FQ227" s="714">
        <f>IF(FO227=0,0,(FP227-FO227)/FO227*100)</f>
        <v>0</v>
      </c>
      <c r="FR227" s="820">
        <f>IF(FR229=0,0,(FR228*FR229+FR230*FR231*6)/FR229)</f>
        <v>0</v>
      </c>
      <c r="FS227" s="820">
        <f>IF(FS229=0,0,(FS228*FS229+FS230*FS231*6)/FS229)</f>
        <v>0</v>
      </c>
      <c r="FT227" s="714">
        <f>IF(FR227=0,0,(FS227-FR227)/FR227*100)</f>
        <v>0</v>
      </c>
      <c r="FU227" s="820">
        <f>IF(FU229=0,0,(FU228*FU229+FU230*FU231*6)/FU229)</f>
        <v>0</v>
      </c>
      <c r="FV227" s="820">
        <f>IF(FV229=0,0,(FV228*FV229+FV230*FV231*6)/FV229)</f>
        <v>0</v>
      </c>
      <c r="FW227" s="714">
        <f>IF(FU227=0,0,(FV227-FU227)/FU227*100)</f>
        <v>0</v>
      </c>
      <c r="FZ227" s="691" t="s">
        <v>1698</v>
      </c>
    </row>
    <row r="228" spans="1:186" ht="14.25" hidden="1" customHeight="1" x14ac:dyDescent="0.15">
      <c r="A228" s="59"/>
      <c r="B228" s="613" t="b" cm="1">
        <f t="array" ref="B228">B227</f>
        <v>0</v>
      </c>
      <c r="C228" s="59"/>
      <c r="D228" s="59"/>
      <c r="E228" s="462">
        <v>15</v>
      </c>
      <c r="F228" s="3" t="str" cm="1">
        <f t="array" aca="1" ref="F228" ca="1">OFFSET(E228,-1,1)</f>
        <v>3</v>
      </c>
      <c r="G228" s="59"/>
      <c r="H228" s="59" t="s">
        <v>1574</v>
      </c>
      <c r="I228" s="59" t="s">
        <v>1657</v>
      </c>
      <c r="J228" s="59"/>
      <c r="K228" s="59"/>
      <c r="L228" s="59"/>
      <c r="M228" s="59"/>
      <c r="N228" s="59"/>
      <c r="O228" s="59"/>
      <c r="P228" s="59"/>
      <c r="Q228" s="59"/>
      <c r="R228" s="59"/>
      <c r="S228" s="59"/>
      <c r="T228" s="353" t="b" cm="1">
        <f t="array" aca="1" ref="T228" ca="1">T227</f>
        <v>1</v>
      </c>
      <c r="U228" s="59"/>
      <c r="V228" s="59"/>
      <c r="W228" s="59"/>
      <c r="X228" s="1022"/>
      <c r="Y228" s="59"/>
      <c r="Z228" s="966"/>
      <c r="AA228" s="59"/>
      <c r="AB228" s="105" t="str">
        <f>"ставка платы за "&amp;IF(Q197="Водоснабжение","потребление 1 куб.м холодной воды","объем принятых сточных вод")</f>
        <v>ставка платы за объем принятых сточных вод</v>
      </c>
      <c r="AC228" s="12" t="s">
        <v>1644</v>
      </c>
      <c r="AD228" s="820"/>
      <c r="AE228" s="820"/>
      <c r="AF228" s="714">
        <f>IF(AD228=0,0,(AE228-AD228)/AD228*100)</f>
        <v>0</v>
      </c>
      <c r="AG228" s="820"/>
      <c r="AH228" s="820"/>
      <c r="AI228" s="714">
        <f>IF(AG228=0,0,(AH228-AG228)/AG228*100)</f>
        <v>0</v>
      </c>
      <c r="AJ228" s="820"/>
      <c r="AK228" s="820"/>
      <c r="AL228" s="714">
        <f>IF(AJ228=0,0,(AK228-AJ228)/AJ228*100)</f>
        <v>0</v>
      </c>
      <c r="AM228" s="820"/>
      <c r="AN228" s="820"/>
      <c r="AO228" s="714">
        <f>IF(AM228=0,0,(AN228-AM228)/AM228*100)</f>
        <v>0</v>
      </c>
      <c r="AP228" s="820"/>
      <c r="AQ228" s="820"/>
      <c r="AR228" s="714">
        <f>IF(AP228=0,0,(AQ228-AP228)/AP228*100)</f>
        <v>0</v>
      </c>
      <c r="AS228" s="820"/>
      <c r="AT228" s="820"/>
      <c r="AU228" s="714">
        <f>IF(AS228=0,0,(AT228-AS228)/AS228*100)</f>
        <v>0</v>
      </c>
      <c r="AV228" s="820"/>
      <c r="AW228" s="820"/>
      <c r="AX228" s="714">
        <f>IF(AV228=0,0,(AW228-AV228)/AV228*100)</f>
        <v>0</v>
      </c>
      <c r="AY228" s="820"/>
      <c r="AZ228" s="820"/>
      <c r="BA228" s="714">
        <f>IF(AY228=0,0,(AZ228-AY228)/AY228*100)</f>
        <v>0</v>
      </c>
      <c r="BB228" s="820"/>
      <c r="BC228" s="820"/>
      <c r="BD228" s="714">
        <f>IF(BB228=0,0,(BC228-BB228)/BB228*100)</f>
        <v>0</v>
      </c>
      <c r="BE228" s="820"/>
      <c r="BF228" s="820"/>
      <c r="BG228" s="714">
        <f>IF(BE228=0,0,(BF228-BE228)/BE228*100)</f>
        <v>0</v>
      </c>
      <c r="BH228" s="820"/>
      <c r="BI228" s="820"/>
      <c r="BJ228" s="714">
        <f>IF(BH228=0,0,(BI228-BH228)/BH228*100)</f>
        <v>0</v>
      </c>
      <c r="BK228" s="820"/>
      <c r="BL228" s="820"/>
      <c r="BM228" s="714">
        <f>IF(BK228=0,0,(BL228-BK228)/BK228*100)</f>
        <v>0</v>
      </c>
      <c r="BN228" s="820"/>
      <c r="BO228" s="820"/>
      <c r="BP228" s="714">
        <f>IF(BN228=0,0,(BO228-BN228)/BN228*100)</f>
        <v>0</v>
      </c>
      <c r="BQ228" s="820"/>
      <c r="BR228" s="820"/>
      <c r="BS228" s="714">
        <f>IF(BQ228=0,0,(BR228-BQ228)/BQ228*100)</f>
        <v>0</v>
      </c>
      <c r="BT228" s="820"/>
      <c r="BU228" s="820"/>
      <c r="BV228" s="714">
        <f>IF(BT228=0,0,(BU228-BT228)/BT228*100)</f>
        <v>0</v>
      </c>
      <c r="BW228" s="820"/>
      <c r="BX228" s="820"/>
      <c r="BY228" s="714">
        <f>IF(BW228=0,0,(BX228-BW228)/BW228*100)</f>
        <v>0</v>
      </c>
      <c r="BZ228" s="820"/>
      <c r="CA228" s="820"/>
      <c r="CB228" s="714">
        <f>IF(BZ228=0,0,(CA228-BZ228)/BZ228*100)</f>
        <v>0</v>
      </c>
      <c r="CC228" s="820"/>
      <c r="CD228" s="820"/>
      <c r="CE228" s="714">
        <f>IF(CC228=0,0,(CD228-CC228)/CC228*100)</f>
        <v>0</v>
      </c>
      <c r="CF228" s="820"/>
      <c r="CG228" s="820"/>
      <c r="CH228" s="714">
        <f>IF(CF228=0,0,(CG228-CF228)/CF228*100)</f>
        <v>0</v>
      </c>
      <c r="CI228" s="820"/>
      <c r="CJ228" s="820"/>
      <c r="CK228" s="714">
        <f>IF(CI228=0,0,(CJ228-CI228)/CI228*100)</f>
        <v>0</v>
      </c>
      <c r="CL228" s="820"/>
      <c r="CM228" s="820"/>
      <c r="CN228" s="714">
        <f>IF(CL228=0,0,(CM228-CL228)/CL228*100)</f>
        <v>0</v>
      </c>
      <c r="CO228" s="820"/>
      <c r="CP228" s="820"/>
      <c r="CQ228" s="714">
        <f>IF(CO228=0,0,(CP228-CO228)/CO228*100)</f>
        <v>0</v>
      </c>
      <c r="CR228" s="820"/>
      <c r="CS228" s="820"/>
      <c r="CT228" s="714">
        <f>IF(CR228=0,0,(CS228-CR228)/CR228*100)</f>
        <v>0</v>
      </c>
      <c r="CU228" s="820"/>
      <c r="CV228" s="820"/>
      <c r="CW228" s="714">
        <f>IF(CU228=0,0,(CV228-CU228)/CU228*100)</f>
        <v>0</v>
      </c>
      <c r="CX228" s="820"/>
      <c r="CY228" s="820"/>
      <c r="CZ228" s="714">
        <f>IF(CX228=0,0,(CY228-CX228)/CX228*100)</f>
        <v>0</v>
      </c>
      <c r="DA228" s="820"/>
      <c r="DB228" s="820"/>
      <c r="DC228" s="714">
        <f>IF(DA228=0,0,(DB228-DA228)/DA228*100)</f>
        <v>0</v>
      </c>
      <c r="DD228" s="820"/>
      <c r="DE228" s="820"/>
      <c r="DF228" s="714">
        <f>IF(DD228=0,0,(DE228-DD228)/DD228*100)</f>
        <v>0</v>
      </c>
      <c r="DG228" s="820"/>
      <c r="DH228" s="820"/>
      <c r="DI228" s="714">
        <f>IF(DG228=0,0,(DH228-DG228)/DG228*100)</f>
        <v>0</v>
      </c>
      <c r="DJ228" s="820"/>
      <c r="DK228" s="820"/>
      <c r="DL228" s="714">
        <f>IF(DJ228=0,0,(DK228-DJ228)/DJ228*100)</f>
        <v>0</v>
      </c>
      <c r="DM228" s="820"/>
      <c r="DN228" s="820"/>
      <c r="DO228" s="714">
        <f>IF(DM228=0,0,(DN228-DM228)/DM228*100)</f>
        <v>0</v>
      </c>
      <c r="DP228" s="820"/>
      <c r="DQ228" s="820"/>
      <c r="DR228" s="714">
        <f>IF(DP228=0,0,(DQ228-DP228)/DP228*100)</f>
        <v>0</v>
      </c>
      <c r="DS228" s="820"/>
      <c r="DT228" s="820"/>
      <c r="DU228" s="714">
        <f>IF(DS228=0,0,(DT228-DS228)/DS228*100)</f>
        <v>0</v>
      </c>
      <c r="DV228" s="820"/>
      <c r="DW228" s="820"/>
      <c r="DX228" s="714">
        <f>IF(DV228=0,0,(DW228-DV228)/DV228*100)</f>
        <v>0</v>
      </c>
      <c r="DY228" s="820"/>
      <c r="DZ228" s="820"/>
      <c r="EA228" s="714">
        <f>IF(DY228=0,0,(DZ228-DY228)/DY228*100)</f>
        <v>0</v>
      </c>
      <c r="EB228" s="820"/>
      <c r="EC228" s="820"/>
      <c r="ED228" s="714">
        <f>IF(EB228=0,0,(EC228-EB228)/EB228*100)</f>
        <v>0</v>
      </c>
      <c r="EE228" s="820"/>
      <c r="EF228" s="820"/>
      <c r="EG228" s="714">
        <f>IF(EE228=0,0,(EF228-EE228)/EE228*100)</f>
        <v>0</v>
      </c>
      <c r="EH228" s="820"/>
      <c r="EI228" s="820"/>
      <c r="EJ228" s="714">
        <f>IF(EH228=0,0,(EI228-EH228)/EH228*100)</f>
        <v>0</v>
      </c>
      <c r="EK228" s="820"/>
      <c r="EL228" s="820"/>
      <c r="EM228" s="714">
        <f>IF(EK228=0,0,(EL228-EK228)/EK228*100)</f>
        <v>0</v>
      </c>
      <c r="EN228" s="820"/>
      <c r="EO228" s="820"/>
      <c r="EP228" s="714">
        <f>IF(EN228=0,0,(EO228-EN228)/EN228*100)</f>
        <v>0</v>
      </c>
      <c r="EQ228" s="820"/>
      <c r="ER228" s="820"/>
      <c r="ES228" s="714">
        <f>IF(EQ228=0,0,(ER228-EQ228)/EQ228*100)</f>
        <v>0</v>
      </c>
      <c r="ET228" s="820"/>
      <c r="EU228" s="820"/>
      <c r="EV228" s="714">
        <f>IF(ET228=0,0,(EU228-ET228)/ET228*100)</f>
        <v>0</v>
      </c>
      <c r="EW228" s="820"/>
      <c r="EX228" s="820"/>
      <c r="EY228" s="714">
        <f>IF(EW228=0,0,(EX228-EW228)/EW228*100)</f>
        <v>0</v>
      </c>
      <c r="EZ228" s="820"/>
      <c r="FA228" s="820"/>
      <c r="FB228" s="714">
        <f>IF(EZ228=0,0,(FA228-EZ228)/EZ228*100)</f>
        <v>0</v>
      </c>
      <c r="FC228" s="820"/>
      <c r="FD228" s="820"/>
      <c r="FE228" s="714">
        <f>IF(FC228=0,0,(FD228-FC228)/FC228*100)</f>
        <v>0</v>
      </c>
      <c r="FF228" s="820"/>
      <c r="FG228" s="820"/>
      <c r="FH228" s="714">
        <f>IF(FF228=0,0,(FG228-FF228)/FF228*100)</f>
        <v>0</v>
      </c>
      <c r="FI228" s="820"/>
      <c r="FJ228" s="820"/>
      <c r="FK228" s="714">
        <f>IF(FI228=0,0,(FJ228-FI228)/FI228*100)</f>
        <v>0</v>
      </c>
      <c r="FL228" s="820"/>
      <c r="FM228" s="820"/>
      <c r="FN228" s="714">
        <f>IF(FL228=0,0,(FM228-FL228)/FL228*100)</f>
        <v>0</v>
      </c>
      <c r="FO228" s="820"/>
      <c r="FP228" s="820"/>
      <c r="FQ228" s="714">
        <f>IF(FO228=0,0,(FP228-FO228)/FO228*100)</f>
        <v>0</v>
      </c>
      <c r="FR228" s="820"/>
      <c r="FS228" s="820"/>
      <c r="FT228" s="714">
        <f>IF(FR228=0,0,(FS228-FR228)/FR228*100)</f>
        <v>0</v>
      </c>
      <c r="FU228" s="820"/>
      <c r="FV228" s="820"/>
      <c r="FW228" s="714">
        <f>IF(FU228=0,0,(FV228-FU228)/FU228*100)</f>
        <v>0</v>
      </c>
      <c r="FZ228" s="691" t="s">
        <v>1699</v>
      </c>
    </row>
    <row r="229" spans="1:186" ht="14.25" hidden="1" customHeight="1" x14ac:dyDescent="0.15">
      <c r="A229" s="59"/>
      <c r="B229" s="613" t="b" cm="1">
        <f t="array" ref="B229">B228</f>
        <v>0</v>
      </c>
      <c r="C229" s="59"/>
      <c r="D229" s="59"/>
      <c r="E229" s="462">
        <v>15</v>
      </c>
      <c r="F229" s="3" t="str" cm="1">
        <f t="array" aca="1" ref="F229" ca="1">OFFSET(E229,-1,1)</f>
        <v>3</v>
      </c>
      <c r="G229" s="25" t="s">
        <v>1700</v>
      </c>
      <c r="H229" s="59" t="s">
        <v>1681</v>
      </c>
      <c r="I229" s="59" t="s">
        <v>1657</v>
      </c>
      <c r="J229" s="59"/>
      <c r="K229" s="59"/>
      <c r="L229" s="59"/>
      <c r="M229" s="59"/>
      <c r="N229" s="59"/>
      <c r="O229" s="59"/>
      <c r="P229" s="59"/>
      <c r="Q229" s="59"/>
      <c r="R229" s="59"/>
      <c r="S229" s="59"/>
      <c r="T229" s="353" t="b" cm="1">
        <f t="array" aca="1" ref="T229" ca="1">T228</f>
        <v>1</v>
      </c>
      <c r="U229" s="59"/>
      <c r="V229" s="59"/>
      <c r="W229" s="59"/>
      <c r="X229" s="1022"/>
      <c r="Y229" s="59"/>
      <c r="Z229" s="966"/>
      <c r="AA229" s="59"/>
      <c r="AB229" s="105" t="str">
        <f>"объём "&amp;IF(Q197="Водоснабжение","потребления холодной воды","водоотведения")</f>
        <v>объём водоотведения</v>
      </c>
      <c r="AC229" s="12" t="s">
        <v>558</v>
      </c>
      <c r="AD229" s="836">
        <f ca="1">IF(AND(method_reg="Метод индексации",god&lt;&gt;first_year),SUMIFS(INDEX('Калькуляция (МИ корр)'!$AJ$25:$BC$603,,MATCH(AD$8,'Калькуляция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(МИ)'!$AJ$25:$BC$603,,MATCH(AD$8,'Калькуляция (МИ)'!$AJ$8:$BC$8,0)),'Калькуляция (МИ)'!$F$25:$F$603,$F229,'Калькуляция (МИ)'!$G$25:$G$603,$G229))))</f>
        <v>0</v>
      </c>
      <c r="AE229" s="836">
        <f ca="1">IF(AND(method_reg="Метод индексации",god&lt;&gt;first_year),SUMIFS(INDEX('Калькуляция (МИ корр)'!$AJ$25:$BC$603,,MATCH(AE$8,'Калькуляция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(МИ)'!$AJ$25:$BC$603,,MATCH(AE$8,'Калькуляция (МИ)'!$AJ$8:$BC$8,0)),'Калькуляция (МИ)'!$F$25:$F$603,$F229,'Калькуляция (МИ)'!$G$25:$G$603,$G229))))</f>
        <v>0</v>
      </c>
      <c r="AF229" s="715">
        <f ca="1">IF(AD229=0,0,(AE229-AD229)/AD229*100)</f>
        <v>0</v>
      </c>
      <c r="AG229" s="836">
        <f ca="1">IF(AND(method_reg="Метод индексации",god&lt;&gt;first_year),SUMIFS(INDEX('Калькуляция (МИ корр)'!$AJ$25:$BC$603,,MATCH(AG$8,'Калькуляция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(МИ)'!$AJ$25:$BC$603,,MATCH(AG$8,'Калькуляция (МИ)'!$AJ$8:$BC$8,0)),'Калькуляция (МИ)'!$F$25:$F$603,$F229,'Калькуляция (МИ)'!$G$25:$G$603,$G229))))</f>
        <v>0</v>
      </c>
      <c r="AH229" s="836">
        <f ca="1">IF(AND(method_reg="Метод индексации",god&lt;&gt;first_year),SUMIFS(INDEX('Калькуляция (МИ корр)'!$AJ$25:$BC$603,,MATCH(AH$8,'Калькуляция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(МИ)'!$AJ$25:$BC$603,,MATCH(AH$8,'Калькуляция (МИ)'!$AJ$8:$BC$8,0)),'Калькуляция (МИ)'!$F$25:$F$603,$F229,'Калькуляция (МИ)'!$G$25:$G$603,$G229))))</f>
        <v>0</v>
      </c>
      <c r="AI229" s="715">
        <f ca="1">IF(AG229=0,0,(AH229-AG229)/AG229*100)</f>
        <v>0</v>
      </c>
      <c r="AJ229" s="836">
        <f ca="1">IF(AND(method_reg="Метод индексации",god&lt;&gt;first_year),SUMIFS(INDEX('Калькуляция (МИ корр)'!$AJ$25:$BC$603,,MATCH(AJ$8,'Калькуляция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(МИ)'!$AJ$25:$BC$603,,MATCH(AJ$8,'Калькуляция (МИ)'!$AJ$8:$BC$8,0)),'Калькуляция (МИ)'!$F$25:$F$603,$F229,'Калькуляция (МИ)'!$G$25:$G$603,$G229))))</f>
        <v>0</v>
      </c>
      <c r="AK229" s="836">
        <f ca="1">IF(AND(method_reg="Метод индексации",god&lt;&gt;first_year),SUMIFS(INDEX('Калькуляция (МИ корр)'!$AJ$25:$BC$603,,MATCH(AK$8,'Калькуляция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(МИ)'!$AJ$25:$BC$603,,MATCH(AK$8,'Калькуляция (МИ)'!$AJ$8:$BC$8,0)),'Калькуляция (МИ)'!$F$25:$F$603,$F229,'Калькуляция (МИ)'!$G$25:$G$603,$G229))))</f>
        <v>0</v>
      </c>
      <c r="AL229" s="715">
        <f ca="1">IF(AJ229=0,0,(AK229-AJ229)/AJ229*100)</f>
        <v>0</v>
      </c>
      <c r="AM229" s="836">
        <f ca="1">IF(AND(method_reg="Метод индексации",god&lt;&gt;first_year),SUMIFS(INDEX('Калькуляция (МИ корр)'!$AJ$25:$BC$603,,MATCH(AM$8,'Калькуляция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(МИ)'!$AJ$25:$BC$603,,MATCH(AM$8,'Калькуляция (МИ)'!$AJ$8:$BC$8,0)),'Калькуляция (МИ)'!$F$25:$F$603,$F229,'Калькуляция (МИ)'!$G$25:$G$603,$G229))))</f>
        <v>0</v>
      </c>
      <c r="AN229" s="836">
        <f ca="1">IF(AND(method_reg="Метод индексации",god&lt;&gt;first_year),SUMIFS(INDEX('Калькуляция (МИ корр)'!$AJ$25:$BC$603,,MATCH(AN$8,'Калькуляция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(МИ)'!$AJ$25:$BC$603,,MATCH(AN$8,'Калькуляция (МИ)'!$AJ$8:$BC$8,0)),'Калькуляция (МИ)'!$F$25:$F$603,$F229,'Калькуляция (МИ)'!$G$25:$G$603,$G229))))</f>
        <v>0</v>
      </c>
      <c r="AO229" s="715">
        <f ca="1">IF(AM229=0,0,(AN229-AM229)/AM229*100)</f>
        <v>0</v>
      </c>
      <c r="AP229" s="836">
        <f ca="1">IF(AND(method_reg="Метод индексации",god&lt;&gt;first_year),SUMIFS(INDEX('Калькуляция (МИ корр)'!$AJ$25:$BC$603,,MATCH(AP$8,'Калькуляция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(МИ)'!$AJ$25:$BC$603,,MATCH(AP$8,'Калькуляция (МИ)'!$AJ$8:$BC$8,0)),'Калькуляция (МИ)'!$F$25:$F$603,$F229,'Калькуляция (МИ)'!$G$25:$G$603,$G229))))</f>
        <v>0</v>
      </c>
      <c r="AQ229" s="836">
        <f ca="1">IF(AND(method_reg="Метод индексации",god&lt;&gt;first_year),SUMIFS(INDEX('Калькуляция (МИ корр)'!$AJ$25:$BC$603,,MATCH(AQ$8,'Калькуляция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(МИ)'!$AJ$25:$BC$603,,MATCH(AQ$8,'Калькуляция (МИ)'!$AJ$8:$BC$8,0)),'Калькуляция (МИ)'!$F$25:$F$603,$F229,'Калькуляция (МИ)'!$G$25:$G$603,$G229))))</f>
        <v>0</v>
      </c>
      <c r="AR229" s="715">
        <f ca="1">IF(AP229=0,0,(AQ229-AP229)/AP229*100)</f>
        <v>0</v>
      </c>
      <c r="AS229" s="836">
        <f ca="1">IF(AND(method_reg="Метод индексации",god&lt;&gt;first_year),SUMIFS(INDEX('Калькуляция (МИ корр)'!$AJ$25:$BC$603,,MATCH(AS$8,'Калькуляция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(МИ)'!$AJ$25:$BC$603,,MATCH(AS$8,'Калькуляция (МИ)'!$AJ$8:$BC$8,0)),'Калькуляция (МИ)'!$F$25:$F$603,$F229,'Калькуляция (МИ)'!$G$25:$G$603,$G229))))</f>
        <v>0</v>
      </c>
      <c r="AT229" s="836">
        <f ca="1">IF(AND(method_reg="Метод индексации",god&lt;&gt;first_year),SUMIFS(INDEX('Калькуляция (МИ корр)'!$AJ$25:$BC$603,,MATCH(AT$8,'Калькуляция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(МИ)'!$AJ$25:$BC$603,,MATCH(AT$8,'Калькуляция (МИ)'!$AJ$8:$BC$8,0)),'Калькуляция (МИ)'!$F$25:$F$603,$F229,'Калькуляция (МИ)'!$G$25:$G$603,$G229))))</f>
        <v>0</v>
      </c>
      <c r="AU229" s="715">
        <f ca="1">IF(AS229=0,0,(AT229-AS229)/AS229*100)</f>
        <v>0</v>
      </c>
      <c r="AV229" s="836">
        <f ca="1">IF(AND(method_reg="Метод индексации",god&lt;&gt;first_year),SUMIFS(INDEX('Калькуляция (МИ корр)'!$AJ$25:$BC$603,,MATCH(AV$8,'Калькуляция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(МИ)'!$AJ$25:$BC$603,,MATCH(AV$8,'Калькуляция (МИ)'!$AJ$8:$BC$8,0)),'Калькуляция (МИ)'!$F$25:$F$603,$F229,'Калькуляция (МИ)'!$G$25:$G$603,$G229))))</f>
        <v>0</v>
      </c>
      <c r="AW229" s="836">
        <f ca="1">IF(AND(method_reg="Метод индексации",god&lt;&gt;first_year),SUMIFS(INDEX('Калькуляция (МИ корр)'!$AJ$25:$BC$603,,MATCH(AW$8,'Калькуляция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(МИ)'!$AJ$25:$BC$603,,MATCH(AW$8,'Калькуляция (МИ)'!$AJ$8:$BC$8,0)),'Калькуляция (МИ)'!$F$25:$F$603,$F229,'Калькуляция (МИ)'!$G$25:$G$603,$G229))))</f>
        <v>0</v>
      </c>
      <c r="AX229" s="715">
        <f ca="1">IF(AV229=0,0,(AW229-AV229)/AV229*100)</f>
        <v>0</v>
      </c>
      <c r="AY229" s="836">
        <f ca="1">IF(AND(method_reg="Метод индексации",god&lt;&gt;first_year),SUMIFS(INDEX('Калькуляция (МИ корр)'!$AJ$25:$BC$603,,MATCH(AY$8,'Калькуляция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(МИ)'!$AJ$25:$BC$603,,MATCH(AY$8,'Калькуляция (МИ)'!$AJ$8:$BC$8,0)),'Калькуляция (МИ)'!$F$25:$F$603,$F229,'Калькуляция (МИ)'!$G$25:$G$603,$G229))))</f>
        <v>0</v>
      </c>
      <c r="AZ229" s="836">
        <f ca="1">IF(AND(method_reg="Метод индексации",god&lt;&gt;first_year),SUMIFS(INDEX('Калькуляция (МИ корр)'!$AJ$25:$BC$603,,MATCH(AZ$8,'Калькуляция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(МИ)'!$AJ$25:$BC$603,,MATCH(AZ$8,'Калькуляция (МИ)'!$AJ$8:$BC$8,0)),'Калькуляция (МИ)'!$F$25:$F$603,$F229,'Калькуляция (МИ)'!$G$25:$G$603,$G229))))</f>
        <v>0</v>
      </c>
      <c r="BA229" s="715">
        <f ca="1">IF(AY229=0,0,(AZ229-AY229)/AY229*100)</f>
        <v>0</v>
      </c>
      <c r="BB229" s="836">
        <f ca="1">IF(AND(method_reg="Метод индексации",god&lt;&gt;first_year),SUMIFS(INDEX('Калькуляция (МИ корр)'!$AJ$25:$BC$603,,MATCH(BB$8,'Калькуляция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(МИ)'!$AJ$25:$BC$603,,MATCH(BB$8,'Калькуляция (МИ)'!$AJ$8:$BC$8,0)),'Калькуляция (МИ)'!$F$25:$F$603,$F229,'Калькуляция (МИ)'!$G$25:$G$603,$G229))))</f>
        <v>0</v>
      </c>
      <c r="BC229" s="836">
        <f ca="1">IF(AND(method_reg="Метод индексации",god&lt;&gt;first_year),SUMIFS(INDEX('Калькуляция (МИ корр)'!$AJ$25:$BC$603,,MATCH(BC$8,'Калькуляция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(МИ)'!$AJ$25:$BC$603,,MATCH(BC$8,'Калькуляция (МИ)'!$AJ$8:$BC$8,0)),'Калькуляция (МИ)'!$F$25:$F$603,$F229,'Калькуляция (МИ)'!$G$25:$G$603,$G229))))</f>
        <v>0</v>
      </c>
      <c r="BD229" s="715">
        <f ca="1">IF(BB229=0,0,(BC229-BB229)/BB229*100)</f>
        <v>0</v>
      </c>
      <c r="BE229" s="836">
        <f ca="1">IF(AND(method_reg="Метод индексации",god&lt;&gt;first_year),SUMIFS(INDEX('Калькуляция (МИ корр)'!$AJ$25:$BC$603,,MATCH(BE$8,'Калькуляция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(МИ)'!$AJ$25:$BC$603,,MATCH(BE$8,'Калькуляция (МИ)'!$AJ$8:$BC$8,0)),'Калькуляция (МИ)'!$F$25:$F$603,$F229,'Калькуляция (МИ)'!$G$25:$G$603,$G229))))</f>
        <v>0</v>
      </c>
      <c r="BF229" s="836">
        <f ca="1">IF(AND(method_reg="Метод индексации",god&lt;&gt;first_year),SUMIFS(INDEX('Калькуляция (МИ корр)'!$AJ$25:$BC$603,,MATCH(BF$8,'Калькуляция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(МИ)'!$AJ$25:$BC$603,,MATCH(BF$8,'Калькуляция (МИ)'!$AJ$8:$BC$8,0)),'Калькуляция (МИ)'!$F$25:$F$603,$F229,'Калькуляция (МИ)'!$G$25:$G$603,$G229))))</f>
        <v>0</v>
      </c>
      <c r="BG229" s="715">
        <f ca="1">IF(BE229=0,0,(BF229-BE229)/BE229*100)</f>
        <v>0</v>
      </c>
      <c r="BH229" s="836"/>
      <c r="BI229" s="836"/>
      <c r="BJ229" s="715">
        <f>IF(BH229=0,0,(BI229-BH229)/BH229*100)</f>
        <v>0</v>
      </c>
      <c r="BK229" s="836"/>
      <c r="BL229" s="836"/>
      <c r="BM229" s="715">
        <f>IF(BK229=0,0,(BL229-BK229)/BK229*100)</f>
        <v>0</v>
      </c>
      <c r="BN229" s="836"/>
      <c r="BO229" s="836"/>
      <c r="BP229" s="715">
        <f>IF(BN229=0,0,(BO229-BN229)/BN229*100)</f>
        <v>0</v>
      </c>
      <c r="BQ229" s="836"/>
      <c r="BR229" s="836"/>
      <c r="BS229" s="715">
        <f>IF(BQ229=0,0,(BR229-BQ229)/BQ229*100)</f>
        <v>0</v>
      </c>
      <c r="BT229" s="836"/>
      <c r="BU229" s="836"/>
      <c r="BV229" s="715">
        <f>IF(BT229=0,0,(BU229-BT229)/BT229*100)</f>
        <v>0</v>
      </c>
      <c r="BW229" s="836"/>
      <c r="BX229" s="836"/>
      <c r="BY229" s="715">
        <f>IF(BW229=0,0,(BX229-BW229)/BW229*100)</f>
        <v>0</v>
      </c>
      <c r="BZ229" s="836"/>
      <c r="CA229" s="836"/>
      <c r="CB229" s="715">
        <f>IF(BZ229=0,0,(CA229-BZ229)/BZ229*100)</f>
        <v>0</v>
      </c>
      <c r="CC229" s="836"/>
      <c r="CD229" s="836"/>
      <c r="CE229" s="715">
        <f>IF(CC229=0,0,(CD229-CC229)/CC229*100)</f>
        <v>0</v>
      </c>
      <c r="CF229" s="836"/>
      <c r="CG229" s="836"/>
      <c r="CH229" s="715">
        <f>IF(CF229=0,0,(CG229-CF229)/CF229*100)</f>
        <v>0</v>
      </c>
      <c r="CI229" s="836"/>
      <c r="CJ229" s="836"/>
      <c r="CK229" s="715">
        <f>IF(CI229=0,0,(CJ229-CI229)/CI229*100)</f>
        <v>0</v>
      </c>
      <c r="CL229" s="836"/>
      <c r="CM229" s="836"/>
      <c r="CN229" s="715">
        <f>IF(CL229=0,0,(CM229-CL229)/CL229*100)</f>
        <v>0</v>
      </c>
      <c r="CO229" s="836"/>
      <c r="CP229" s="836"/>
      <c r="CQ229" s="715">
        <f>IF(CO229=0,0,(CP229-CO229)/CO229*100)</f>
        <v>0</v>
      </c>
      <c r="CR229" s="836"/>
      <c r="CS229" s="836"/>
      <c r="CT229" s="715">
        <f>IF(CR229=0,0,(CS229-CR229)/CR229*100)</f>
        <v>0</v>
      </c>
      <c r="CU229" s="836"/>
      <c r="CV229" s="836"/>
      <c r="CW229" s="715">
        <f>IF(CU229=0,0,(CV229-CU229)/CU229*100)</f>
        <v>0</v>
      </c>
      <c r="CX229" s="836"/>
      <c r="CY229" s="836"/>
      <c r="CZ229" s="715">
        <f>IF(CX229=0,0,(CY229-CX229)/CX229*100)</f>
        <v>0</v>
      </c>
      <c r="DA229" s="836"/>
      <c r="DB229" s="836"/>
      <c r="DC229" s="715">
        <f>IF(DA229=0,0,(DB229-DA229)/DA229*100)</f>
        <v>0</v>
      </c>
      <c r="DD229" s="836"/>
      <c r="DE229" s="836"/>
      <c r="DF229" s="715">
        <f>IF(DD229=0,0,(DE229-DD229)/DD229*100)</f>
        <v>0</v>
      </c>
      <c r="DG229" s="836"/>
      <c r="DH229" s="836"/>
      <c r="DI229" s="715">
        <f>IF(DG229=0,0,(DH229-DG229)/DG229*100)</f>
        <v>0</v>
      </c>
      <c r="DJ229" s="836"/>
      <c r="DK229" s="836"/>
      <c r="DL229" s="715">
        <f>IF(DJ229=0,0,(DK229-DJ229)/DJ229*100)</f>
        <v>0</v>
      </c>
      <c r="DM229" s="836"/>
      <c r="DN229" s="836"/>
      <c r="DO229" s="715">
        <f>IF(DM229=0,0,(DN229-DM229)/DM229*100)</f>
        <v>0</v>
      </c>
      <c r="DP229" s="836"/>
      <c r="DQ229" s="836"/>
      <c r="DR229" s="715">
        <f>IF(DP229=0,0,(DQ229-DP229)/DP229*100)</f>
        <v>0</v>
      </c>
      <c r="DS229" s="836"/>
      <c r="DT229" s="836"/>
      <c r="DU229" s="715">
        <f>IF(DS229=0,0,(DT229-DS229)/DS229*100)</f>
        <v>0</v>
      </c>
      <c r="DV229" s="836"/>
      <c r="DW229" s="836"/>
      <c r="DX229" s="715">
        <f>IF(DV229=0,0,(DW229-DV229)/DV229*100)</f>
        <v>0</v>
      </c>
      <c r="DY229" s="836"/>
      <c r="DZ229" s="836"/>
      <c r="EA229" s="715">
        <f>IF(DY229=0,0,(DZ229-DY229)/DY229*100)</f>
        <v>0</v>
      </c>
      <c r="EB229" s="836"/>
      <c r="EC229" s="836"/>
      <c r="ED229" s="715">
        <f>IF(EB229=0,0,(EC229-EB229)/EB229*100)</f>
        <v>0</v>
      </c>
      <c r="EE229" s="836"/>
      <c r="EF229" s="836"/>
      <c r="EG229" s="715">
        <f>IF(EE229=0,0,(EF229-EE229)/EE229*100)</f>
        <v>0</v>
      </c>
      <c r="EH229" s="836"/>
      <c r="EI229" s="836"/>
      <c r="EJ229" s="715">
        <f>IF(EH229=0,0,(EI229-EH229)/EH229*100)</f>
        <v>0</v>
      </c>
      <c r="EK229" s="836"/>
      <c r="EL229" s="836"/>
      <c r="EM229" s="715">
        <f>IF(EK229=0,0,(EL229-EK229)/EK229*100)</f>
        <v>0</v>
      </c>
      <c r="EN229" s="836"/>
      <c r="EO229" s="836"/>
      <c r="EP229" s="715">
        <f>IF(EN229=0,0,(EO229-EN229)/EN229*100)</f>
        <v>0</v>
      </c>
      <c r="EQ229" s="836"/>
      <c r="ER229" s="836"/>
      <c r="ES229" s="715">
        <f>IF(EQ229=0,0,(ER229-EQ229)/EQ229*100)</f>
        <v>0</v>
      </c>
      <c r="ET229" s="836"/>
      <c r="EU229" s="836"/>
      <c r="EV229" s="715">
        <f>IF(ET229=0,0,(EU229-ET229)/ET229*100)</f>
        <v>0</v>
      </c>
      <c r="EW229" s="836"/>
      <c r="EX229" s="836"/>
      <c r="EY229" s="715">
        <f>IF(EW229=0,0,(EX229-EW229)/EW229*100)</f>
        <v>0</v>
      </c>
      <c r="EZ229" s="836"/>
      <c r="FA229" s="836"/>
      <c r="FB229" s="715">
        <f>IF(EZ229=0,0,(FA229-EZ229)/EZ229*100)</f>
        <v>0</v>
      </c>
      <c r="FC229" s="836"/>
      <c r="FD229" s="836"/>
      <c r="FE229" s="715">
        <f>IF(FC229=0,0,(FD229-FC229)/FC229*100)</f>
        <v>0</v>
      </c>
      <c r="FF229" s="836"/>
      <c r="FG229" s="836"/>
      <c r="FH229" s="715">
        <f>IF(FF229=0,0,(FG229-FF229)/FF229*100)</f>
        <v>0</v>
      </c>
      <c r="FI229" s="836"/>
      <c r="FJ229" s="836"/>
      <c r="FK229" s="715">
        <f>IF(FI229=0,0,(FJ229-FI229)/FI229*100)</f>
        <v>0</v>
      </c>
      <c r="FL229" s="836"/>
      <c r="FM229" s="836"/>
      <c r="FN229" s="715">
        <f>IF(FL229=0,0,(FM229-FL229)/FL229*100)</f>
        <v>0</v>
      </c>
      <c r="FO229" s="836"/>
      <c r="FP229" s="836"/>
      <c r="FQ229" s="715">
        <f>IF(FO229=0,0,(FP229-FO229)/FO229*100)</f>
        <v>0</v>
      </c>
      <c r="FR229" s="836"/>
      <c r="FS229" s="836"/>
      <c r="FT229" s="715">
        <f>IF(FR229=0,0,(FS229-FR229)/FR229*100)</f>
        <v>0</v>
      </c>
      <c r="FU229" s="836"/>
      <c r="FV229" s="836"/>
      <c r="FW229" s="715">
        <f>IF(FU229=0,0,(FV229-FU229)/FU229*100)</f>
        <v>0</v>
      </c>
      <c r="FZ229" s="691" t="s">
        <v>1701</v>
      </c>
    </row>
    <row r="230" spans="1:186" ht="21.75" hidden="1" customHeight="1" x14ac:dyDescent="0.15">
      <c r="A230" s="59"/>
      <c r="B230" s="613" t="b" cm="1">
        <f t="array" ref="B230">B229</f>
        <v>0</v>
      </c>
      <c r="C230" s="59"/>
      <c r="D230" s="59"/>
      <c r="E230" s="462">
        <v>22.5</v>
      </c>
      <c r="F230" s="3" t="str" cm="1">
        <f t="array" aca="1" ref="F230" ca="1">OFFSET(E230,-1,1)</f>
        <v>3</v>
      </c>
      <c r="G230" s="59"/>
      <c r="H230" s="59" t="s">
        <v>1683</v>
      </c>
      <c r="I230" s="59" t="s">
        <v>1657</v>
      </c>
      <c r="J230" s="59"/>
      <c r="K230" s="59"/>
      <c r="L230" s="59"/>
      <c r="M230" s="59"/>
      <c r="N230" s="59"/>
      <c r="O230" s="59"/>
      <c r="P230" s="59"/>
      <c r="Q230" s="59"/>
      <c r="R230" s="59"/>
      <c r="S230" s="59"/>
      <c r="T230" s="353" t="b" cm="1">
        <f t="array" aca="1" ref="T230" ca="1">T229</f>
        <v>1</v>
      </c>
      <c r="U230" s="59"/>
      <c r="V230" s="59"/>
      <c r="W230" s="59"/>
      <c r="X230" s="1022"/>
      <c r="Y230" s="59"/>
      <c r="Z230" s="966"/>
      <c r="AA230" s="59"/>
      <c r="AB230" s="105" t="str">
        <f>"ставка платы за содержание системы "&amp;IF(Q197="Водоснабжение","холодного водоснабжения","водоотведения")</f>
        <v>ставка платы за содержание системы водоотведения</v>
      </c>
      <c r="AC230" s="12" t="s">
        <v>1684</v>
      </c>
      <c r="AD230" s="820"/>
      <c r="AE230" s="820"/>
      <c r="AF230" s="714">
        <f>IF(AD230=0,0,(AE230-AD230)/AD230*100)</f>
        <v>0</v>
      </c>
      <c r="AG230" s="820"/>
      <c r="AH230" s="820"/>
      <c r="AI230" s="714">
        <f>IF(AG230=0,0,(AH230-AG230)/AG230*100)</f>
        <v>0</v>
      </c>
      <c r="AJ230" s="820"/>
      <c r="AK230" s="820"/>
      <c r="AL230" s="714">
        <f>IF(AJ230=0,0,(AK230-AJ230)/AJ230*100)</f>
        <v>0</v>
      </c>
      <c r="AM230" s="820"/>
      <c r="AN230" s="820"/>
      <c r="AO230" s="714">
        <f>IF(AM230=0,0,(AN230-AM230)/AM230*100)</f>
        <v>0</v>
      </c>
      <c r="AP230" s="820"/>
      <c r="AQ230" s="820"/>
      <c r="AR230" s="714">
        <f>IF(AP230=0,0,(AQ230-AP230)/AP230*100)</f>
        <v>0</v>
      </c>
      <c r="AS230" s="820"/>
      <c r="AT230" s="820"/>
      <c r="AU230" s="714">
        <f>IF(AS230=0,0,(AT230-AS230)/AS230*100)</f>
        <v>0</v>
      </c>
      <c r="AV230" s="820"/>
      <c r="AW230" s="820"/>
      <c r="AX230" s="714">
        <f>IF(AV230=0,0,(AW230-AV230)/AV230*100)</f>
        <v>0</v>
      </c>
      <c r="AY230" s="820"/>
      <c r="AZ230" s="820"/>
      <c r="BA230" s="714">
        <f>IF(AY230=0,0,(AZ230-AY230)/AY230*100)</f>
        <v>0</v>
      </c>
      <c r="BB230" s="820"/>
      <c r="BC230" s="820"/>
      <c r="BD230" s="714">
        <f>IF(BB230=0,0,(BC230-BB230)/BB230*100)</f>
        <v>0</v>
      </c>
      <c r="BE230" s="820"/>
      <c r="BF230" s="820"/>
      <c r="BG230" s="714">
        <f>IF(BE230=0,0,(BF230-BE230)/BE230*100)</f>
        <v>0</v>
      </c>
      <c r="BH230" s="820"/>
      <c r="BI230" s="820"/>
      <c r="BJ230" s="714">
        <f>IF(BH230=0,0,(BI230-BH230)/BH230*100)</f>
        <v>0</v>
      </c>
      <c r="BK230" s="820"/>
      <c r="BL230" s="820"/>
      <c r="BM230" s="714">
        <f>IF(BK230=0,0,(BL230-BK230)/BK230*100)</f>
        <v>0</v>
      </c>
      <c r="BN230" s="820"/>
      <c r="BO230" s="820"/>
      <c r="BP230" s="714">
        <f>IF(BN230=0,0,(BO230-BN230)/BN230*100)</f>
        <v>0</v>
      </c>
      <c r="BQ230" s="820"/>
      <c r="BR230" s="820"/>
      <c r="BS230" s="714">
        <f>IF(BQ230=0,0,(BR230-BQ230)/BQ230*100)</f>
        <v>0</v>
      </c>
      <c r="BT230" s="820"/>
      <c r="BU230" s="820"/>
      <c r="BV230" s="714">
        <f>IF(BT230=0,0,(BU230-BT230)/BT230*100)</f>
        <v>0</v>
      </c>
      <c r="BW230" s="820"/>
      <c r="BX230" s="820"/>
      <c r="BY230" s="714">
        <f>IF(BW230=0,0,(BX230-BW230)/BW230*100)</f>
        <v>0</v>
      </c>
      <c r="BZ230" s="820"/>
      <c r="CA230" s="820"/>
      <c r="CB230" s="714">
        <f>IF(BZ230=0,0,(CA230-BZ230)/BZ230*100)</f>
        <v>0</v>
      </c>
      <c r="CC230" s="820"/>
      <c r="CD230" s="820"/>
      <c r="CE230" s="714">
        <f>IF(CC230=0,0,(CD230-CC230)/CC230*100)</f>
        <v>0</v>
      </c>
      <c r="CF230" s="820"/>
      <c r="CG230" s="820"/>
      <c r="CH230" s="714">
        <f>IF(CF230=0,0,(CG230-CF230)/CF230*100)</f>
        <v>0</v>
      </c>
      <c r="CI230" s="820"/>
      <c r="CJ230" s="820"/>
      <c r="CK230" s="714">
        <f>IF(CI230=0,0,(CJ230-CI230)/CI230*100)</f>
        <v>0</v>
      </c>
      <c r="CL230" s="820"/>
      <c r="CM230" s="820"/>
      <c r="CN230" s="714">
        <f>IF(CL230=0,0,(CM230-CL230)/CL230*100)</f>
        <v>0</v>
      </c>
      <c r="CO230" s="820"/>
      <c r="CP230" s="820"/>
      <c r="CQ230" s="714">
        <f>IF(CO230=0,0,(CP230-CO230)/CO230*100)</f>
        <v>0</v>
      </c>
      <c r="CR230" s="820"/>
      <c r="CS230" s="820"/>
      <c r="CT230" s="714">
        <f>IF(CR230=0,0,(CS230-CR230)/CR230*100)</f>
        <v>0</v>
      </c>
      <c r="CU230" s="820"/>
      <c r="CV230" s="820"/>
      <c r="CW230" s="714">
        <f>IF(CU230=0,0,(CV230-CU230)/CU230*100)</f>
        <v>0</v>
      </c>
      <c r="CX230" s="820"/>
      <c r="CY230" s="820"/>
      <c r="CZ230" s="714">
        <f>IF(CX230=0,0,(CY230-CX230)/CX230*100)</f>
        <v>0</v>
      </c>
      <c r="DA230" s="820"/>
      <c r="DB230" s="820"/>
      <c r="DC230" s="714">
        <f>IF(DA230=0,0,(DB230-DA230)/DA230*100)</f>
        <v>0</v>
      </c>
      <c r="DD230" s="820"/>
      <c r="DE230" s="820"/>
      <c r="DF230" s="714">
        <f>IF(DD230=0,0,(DE230-DD230)/DD230*100)</f>
        <v>0</v>
      </c>
      <c r="DG230" s="820"/>
      <c r="DH230" s="820"/>
      <c r="DI230" s="714">
        <f>IF(DG230=0,0,(DH230-DG230)/DG230*100)</f>
        <v>0</v>
      </c>
      <c r="DJ230" s="820"/>
      <c r="DK230" s="820"/>
      <c r="DL230" s="714">
        <f>IF(DJ230=0,0,(DK230-DJ230)/DJ230*100)</f>
        <v>0</v>
      </c>
      <c r="DM230" s="820"/>
      <c r="DN230" s="820"/>
      <c r="DO230" s="714">
        <f>IF(DM230=0,0,(DN230-DM230)/DM230*100)</f>
        <v>0</v>
      </c>
      <c r="DP230" s="820"/>
      <c r="DQ230" s="820"/>
      <c r="DR230" s="714">
        <f>IF(DP230=0,0,(DQ230-DP230)/DP230*100)</f>
        <v>0</v>
      </c>
      <c r="DS230" s="820"/>
      <c r="DT230" s="820"/>
      <c r="DU230" s="714">
        <f>IF(DS230=0,0,(DT230-DS230)/DS230*100)</f>
        <v>0</v>
      </c>
      <c r="DV230" s="820"/>
      <c r="DW230" s="820"/>
      <c r="DX230" s="714">
        <f>IF(DV230=0,0,(DW230-DV230)/DV230*100)</f>
        <v>0</v>
      </c>
      <c r="DY230" s="820"/>
      <c r="DZ230" s="820"/>
      <c r="EA230" s="714">
        <f>IF(DY230=0,0,(DZ230-DY230)/DY230*100)</f>
        <v>0</v>
      </c>
      <c r="EB230" s="820"/>
      <c r="EC230" s="820"/>
      <c r="ED230" s="714">
        <f>IF(EB230=0,0,(EC230-EB230)/EB230*100)</f>
        <v>0</v>
      </c>
      <c r="EE230" s="820"/>
      <c r="EF230" s="820"/>
      <c r="EG230" s="714">
        <f>IF(EE230=0,0,(EF230-EE230)/EE230*100)</f>
        <v>0</v>
      </c>
      <c r="EH230" s="820"/>
      <c r="EI230" s="820"/>
      <c r="EJ230" s="714">
        <f>IF(EH230=0,0,(EI230-EH230)/EH230*100)</f>
        <v>0</v>
      </c>
      <c r="EK230" s="820"/>
      <c r="EL230" s="820"/>
      <c r="EM230" s="714">
        <f>IF(EK230=0,0,(EL230-EK230)/EK230*100)</f>
        <v>0</v>
      </c>
      <c r="EN230" s="820"/>
      <c r="EO230" s="820"/>
      <c r="EP230" s="714">
        <f>IF(EN230=0,0,(EO230-EN230)/EN230*100)</f>
        <v>0</v>
      </c>
      <c r="EQ230" s="820"/>
      <c r="ER230" s="820"/>
      <c r="ES230" s="714">
        <f>IF(EQ230=0,0,(ER230-EQ230)/EQ230*100)</f>
        <v>0</v>
      </c>
      <c r="ET230" s="820"/>
      <c r="EU230" s="820"/>
      <c r="EV230" s="714">
        <f>IF(ET230=0,0,(EU230-ET230)/ET230*100)</f>
        <v>0</v>
      </c>
      <c r="EW230" s="820"/>
      <c r="EX230" s="820"/>
      <c r="EY230" s="714">
        <f>IF(EW230=0,0,(EX230-EW230)/EW230*100)</f>
        <v>0</v>
      </c>
      <c r="EZ230" s="820"/>
      <c r="FA230" s="820"/>
      <c r="FB230" s="714">
        <f>IF(EZ230=0,0,(FA230-EZ230)/EZ230*100)</f>
        <v>0</v>
      </c>
      <c r="FC230" s="820"/>
      <c r="FD230" s="820"/>
      <c r="FE230" s="714">
        <f>IF(FC230=0,0,(FD230-FC230)/FC230*100)</f>
        <v>0</v>
      </c>
      <c r="FF230" s="820"/>
      <c r="FG230" s="820"/>
      <c r="FH230" s="714">
        <f>IF(FF230=0,0,(FG230-FF230)/FF230*100)</f>
        <v>0</v>
      </c>
      <c r="FI230" s="820"/>
      <c r="FJ230" s="820"/>
      <c r="FK230" s="714">
        <f>IF(FI230=0,0,(FJ230-FI230)/FI230*100)</f>
        <v>0</v>
      </c>
      <c r="FL230" s="820"/>
      <c r="FM230" s="820"/>
      <c r="FN230" s="714">
        <f>IF(FL230=0,0,(FM230-FL230)/FL230*100)</f>
        <v>0</v>
      </c>
      <c r="FO230" s="820"/>
      <c r="FP230" s="820"/>
      <c r="FQ230" s="714">
        <f>IF(FO230=0,0,(FP230-FO230)/FO230*100)</f>
        <v>0</v>
      </c>
      <c r="FR230" s="820"/>
      <c r="FS230" s="820"/>
      <c r="FT230" s="714">
        <f>IF(FR230=0,0,(FS230-FR230)/FR230*100)</f>
        <v>0</v>
      </c>
      <c r="FU230" s="820"/>
      <c r="FV230" s="820"/>
      <c r="FW230" s="714">
        <f>IF(FU230=0,0,(FV230-FU230)/FU230*100)</f>
        <v>0</v>
      </c>
      <c r="FZ230" s="691" t="s">
        <v>1702</v>
      </c>
    </row>
    <row r="231" spans="1:186" ht="14.25" hidden="1" customHeight="1" x14ac:dyDescent="0.15">
      <c r="A231" s="59"/>
      <c r="B231" s="613" t="b" cm="1">
        <f t="array" ref="B231">B230</f>
        <v>0</v>
      </c>
      <c r="C231" s="59"/>
      <c r="D231" s="59"/>
      <c r="E231" s="462">
        <v>15</v>
      </c>
      <c r="F231" s="3" t="str" cm="1">
        <f t="array" aca="1" ref="F231" ca="1">OFFSET(E231,-1,1)</f>
        <v>3</v>
      </c>
      <c r="G231" s="59"/>
      <c r="H231" s="59" t="s">
        <v>1686</v>
      </c>
      <c r="I231" s="59" t="s">
        <v>1657</v>
      </c>
      <c r="J231" s="59"/>
      <c r="K231" s="59"/>
      <c r="L231" s="59"/>
      <c r="M231" s="59"/>
      <c r="N231" s="59"/>
      <c r="O231" s="59"/>
      <c r="P231" s="59"/>
      <c r="Q231" s="59"/>
      <c r="R231" s="59"/>
      <c r="S231" s="59"/>
      <c r="T231" s="353" t="b" cm="1">
        <f t="array" aca="1" ref="T231" ca="1">T230</f>
        <v>1</v>
      </c>
      <c r="U231" s="59"/>
      <c r="V231" s="59"/>
      <c r="W231" s="59"/>
      <c r="X231" s="1022"/>
      <c r="Y231" s="59"/>
      <c r="Z231" s="966"/>
      <c r="AA231" s="59"/>
      <c r="AB231" s="105" t="s">
        <v>1687</v>
      </c>
      <c r="AC231" s="12" t="s">
        <v>1688</v>
      </c>
      <c r="AD231" s="820"/>
      <c r="AE231" s="820"/>
      <c r="AF231" s="714">
        <f>IF(AD231=0,0,(AE231-AD231)/AD231*100)</f>
        <v>0</v>
      </c>
      <c r="AG231" s="820"/>
      <c r="AH231" s="820"/>
      <c r="AI231" s="714">
        <f>IF(AG231=0,0,(AH231-AG231)/AG231*100)</f>
        <v>0</v>
      </c>
      <c r="AJ231" s="820"/>
      <c r="AK231" s="820"/>
      <c r="AL231" s="714">
        <f>IF(AJ231=0,0,(AK231-AJ231)/AJ231*100)</f>
        <v>0</v>
      </c>
      <c r="AM231" s="820"/>
      <c r="AN231" s="820"/>
      <c r="AO231" s="714">
        <f>IF(AM231=0,0,(AN231-AM231)/AM231*100)</f>
        <v>0</v>
      </c>
      <c r="AP231" s="820"/>
      <c r="AQ231" s="820"/>
      <c r="AR231" s="714">
        <f>IF(AP231=0,0,(AQ231-AP231)/AP231*100)</f>
        <v>0</v>
      </c>
      <c r="AS231" s="820"/>
      <c r="AT231" s="820"/>
      <c r="AU231" s="714">
        <f>IF(AS231=0,0,(AT231-AS231)/AS231*100)</f>
        <v>0</v>
      </c>
      <c r="AV231" s="820"/>
      <c r="AW231" s="820"/>
      <c r="AX231" s="714">
        <f>IF(AV231=0,0,(AW231-AV231)/AV231*100)</f>
        <v>0</v>
      </c>
      <c r="AY231" s="820"/>
      <c r="AZ231" s="820"/>
      <c r="BA231" s="714">
        <f>IF(AY231=0,0,(AZ231-AY231)/AY231*100)</f>
        <v>0</v>
      </c>
      <c r="BB231" s="820"/>
      <c r="BC231" s="820"/>
      <c r="BD231" s="714">
        <f>IF(BB231=0,0,(BC231-BB231)/BB231*100)</f>
        <v>0</v>
      </c>
      <c r="BE231" s="820"/>
      <c r="BF231" s="820"/>
      <c r="BG231" s="714">
        <f>IF(BE231=0,0,(BF231-BE231)/BE231*100)</f>
        <v>0</v>
      </c>
      <c r="BH231" s="820"/>
      <c r="BI231" s="820"/>
      <c r="BJ231" s="714">
        <f>IF(BH231=0,0,(BI231-BH231)/BH231*100)</f>
        <v>0</v>
      </c>
      <c r="BK231" s="820"/>
      <c r="BL231" s="820"/>
      <c r="BM231" s="714">
        <f>IF(BK231=0,0,(BL231-BK231)/BK231*100)</f>
        <v>0</v>
      </c>
      <c r="BN231" s="820"/>
      <c r="BO231" s="820"/>
      <c r="BP231" s="714">
        <f>IF(BN231=0,0,(BO231-BN231)/BN231*100)</f>
        <v>0</v>
      </c>
      <c r="BQ231" s="820"/>
      <c r="BR231" s="820"/>
      <c r="BS231" s="714">
        <f>IF(BQ231=0,0,(BR231-BQ231)/BQ231*100)</f>
        <v>0</v>
      </c>
      <c r="BT231" s="820"/>
      <c r="BU231" s="820"/>
      <c r="BV231" s="714">
        <f>IF(BT231=0,0,(BU231-BT231)/BT231*100)</f>
        <v>0</v>
      </c>
      <c r="BW231" s="820"/>
      <c r="BX231" s="820"/>
      <c r="BY231" s="714">
        <f>IF(BW231=0,0,(BX231-BW231)/BW231*100)</f>
        <v>0</v>
      </c>
      <c r="BZ231" s="820"/>
      <c r="CA231" s="820"/>
      <c r="CB231" s="714">
        <f>IF(BZ231=0,0,(CA231-BZ231)/BZ231*100)</f>
        <v>0</v>
      </c>
      <c r="CC231" s="820"/>
      <c r="CD231" s="820"/>
      <c r="CE231" s="714">
        <f>IF(CC231=0,0,(CD231-CC231)/CC231*100)</f>
        <v>0</v>
      </c>
      <c r="CF231" s="820"/>
      <c r="CG231" s="820"/>
      <c r="CH231" s="714">
        <f>IF(CF231=0,0,(CG231-CF231)/CF231*100)</f>
        <v>0</v>
      </c>
      <c r="CI231" s="820"/>
      <c r="CJ231" s="820"/>
      <c r="CK231" s="714">
        <f>IF(CI231=0,0,(CJ231-CI231)/CI231*100)</f>
        <v>0</v>
      </c>
      <c r="CL231" s="820"/>
      <c r="CM231" s="820"/>
      <c r="CN231" s="714">
        <f>IF(CL231=0,0,(CM231-CL231)/CL231*100)</f>
        <v>0</v>
      </c>
      <c r="CO231" s="820"/>
      <c r="CP231" s="820"/>
      <c r="CQ231" s="714">
        <f>IF(CO231=0,0,(CP231-CO231)/CO231*100)</f>
        <v>0</v>
      </c>
      <c r="CR231" s="820"/>
      <c r="CS231" s="820"/>
      <c r="CT231" s="714">
        <f>IF(CR231=0,0,(CS231-CR231)/CR231*100)</f>
        <v>0</v>
      </c>
      <c r="CU231" s="820"/>
      <c r="CV231" s="820"/>
      <c r="CW231" s="714">
        <f>IF(CU231=0,0,(CV231-CU231)/CU231*100)</f>
        <v>0</v>
      </c>
      <c r="CX231" s="820"/>
      <c r="CY231" s="820"/>
      <c r="CZ231" s="714">
        <f>IF(CX231=0,0,(CY231-CX231)/CX231*100)</f>
        <v>0</v>
      </c>
      <c r="DA231" s="820"/>
      <c r="DB231" s="820"/>
      <c r="DC231" s="714">
        <f>IF(DA231=0,0,(DB231-DA231)/DA231*100)</f>
        <v>0</v>
      </c>
      <c r="DD231" s="820"/>
      <c r="DE231" s="820"/>
      <c r="DF231" s="714">
        <f>IF(DD231=0,0,(DE231-DD231)/DD231*100)</f>
        <v>0</v>
      </c>
      <c r="DG231" s="820"/>
      <c r="DH231" s="820"/>
      <c r="DI231" s="714">
        <f>IF(DG231=0,0,(DH231-DG231)/DG231*100)</f>
        <v>0</v>
      </c>
      <c r="DJ231" s="820"/>
      <c r="DK231" s="820"/>
      <c r="DL231" s="714">
        <f>IF(DJ231=0,0,(DK231-DJ231)/DJ231*100)</f>
        <v>0</v>
      </c>
      <c r="DM231" s="820"/>
      <c r="DN231" s="820"/>
      <c r="DO231" s="714">
        <f>IF(DM231=0,0,(DN231-DM231)/DM231*100)</f>
        <v>0</v>
      </c>
      <c r="DP231" s="820"/>
      <c r="DQ231" s="820"/>
      <c r="DR231" s="714">
        <f>IF(DP231=0,0,(DQ231-DP231)/DP231*100)</f>
        <v>0</v>
      </c>
      <c r="DS231" s="820"/>
      <c r="DT231" s="820"/>
      <c r="DU231" s="714">
        <f>IF(DS231=0,0,(DT231-DS231)/DS231*100)</f>
        <v>0</v>
      </c>
      <c r="DV231" s="820"/>
      <c r="DW231" s="820"/>
      <c r="DX231" s="714">
        <f>IF(DV231=0,0,(DW231-DV231)/DV231*100)</f>
        <v>0</v>
      </c>
      <c r="DY231" s="820"/>
      <c r="DZ231" s="820"/>
      <c r="EA231" s="714">
        <f>IF(DY231=0,0,(DZ231-DY231)/DY231*100)</f>
        <v>0</v>
      </c>
      <c r="EB231" s="820"/>
      <c r="EC231" s="820"/>
      <c r="ED231" s="714">
        <f>IF(EB231=0,0,(EC231-EB231)/EB231*100)</f>
        <v>0</v>
      </c>
      <c r="EE231" s="820"/>
      <c r="EF231" s="820"/>
      <c r="EG231" s="714">
        <f>IF(EE231=0,0,(EF231-EE231)/EE231*100)</f>
        <v>0</v>
      </c>
      <c r="EH231" s="820"/>
      <c r="EI231" s="820"/>
      <c r="EJ231" s="714">
        <f>IF(EH231=0,0,(EI231-EH231)/EH231*100)</f>
        <v>0</v>
      </c>
      <c r="EK231" s="820"/>
      <c r="EL231" s="820"/>
      <c r="EM231" s="714">
        <f>IF(EK231=0,0,(EL231-EK231)/EK231*100)</f>
        <v>0</v>
      </c>
      <c r="EN231" s="820"/>
      <c r="EO231" s="820"/>
      <c r="EP231" s="714">
        <f>IF(EN231=0,0,(EO231-EN231)/EN231*100)</f>
        <v>0</v>
      </c>
      <c r="EQ231" s="820"/>
      <c r="ER231" s="820"/>
      <c r="ES231" s="714">
        <f>IF(EQ231=0,0,(ER231-EQ231)/EQ231*100)</f>
        <v>0</v>
      </c>
      <c r="ET231" s="820"/>
      <c r="EU231" s="820"/>
      <c r="EV231" s="714">
        <f>IF(ET231=0,0,(EU231-ET231)/ET231*100)</f>
        <v>0</v>
      </c>
      <c r="EW231" s="820"/>
      <c r="EX231" s="820"/>
      <c r="EY231" s="714">
        <f>IF(EW231=0,0,(EX231-EW231)/EW231*100)</f>
        <v>0</v>
      </c>
      <c r="EZ231" s="820"/>
      <c r="FA231" s="820"/>
      <c r="FB231" s="714">
        <f>IF(EZ231=0,0,(FA231-EZ231)/EZ231*100)</f>
        <v>0</v>
      </c>
      <c r="FC231" s="820"/>
      <c r="FD231" s="820"/>
      <c r="FE231" s="714">
        <f>IF(FC231=0,0,(FD231-FC231)/FC231*100)</f>
        <v>0</v>
      </c>
      <c r="FF231" s="820"/>
      <c r="FG231" s="820"/>
      <c r="FH231" s="714">
        <f>IF(FF231=0,0,(FG231-FF231)/FF231*100)</f>
        <v>0</v>
      </c>
      <c r="FI231" s="820"/>
      <c r="FJ231" s="820"/>
      <c r="FK231" s="714">
        <f>IF(FI231=0,0,(FJ231-FI231)/FI231*100)</f>
        <v>0</v>
      </c>
      <c r="FL231" s="820"/>
      <c r="FM231" s="820"/>
      <c r="FN231" s="714">
        <f>IF(FL231=0,0,(FM231-FL231)/FL231*100)</f>
        <v>0</v>
      </c>
      <c r="FO231" s="820"/>
      <c r="FP231" s="820"/>
      <c r="FQ231" s="714">
        <f>IF(FO231=0,0,(FP231-FO231)/FO231*100)</f>
        <v>0</v>
      </c>
      <c r="FR231" s="820"/>
      <c r="FS231" s="820"/>
      <c r="FT231" s="714">
        <f>IF(FR231=0,0,(FS231-FR231)/FR231*100)</f>
        <v>0</v>
      </c>
      <c r="FU231" s="820"/>
      <c r="FV231" s="820"/>
      <c r="FW231" s="714">
        <f>IF(FU231=0,0,(FV231-FU231)/FU231*100)</f>
        <v>0</v>
      </c>
      <c r="FZ231" s="691" t="s">
        <v>1703</v>
      </c>
    </row>
    <row r="232" spans="1:186" ht="23.25" hidden="1" customHeight="1" x14ac:dyDescent="0.15">
      <c r="A232" s="59"/>
      <c r="B232" s="613" t="b" cm="1">
        <f t="array" ref="B232">B231</f>
        <v>0</v>
      </c>
      <c r="C232" s="59"/>
      <c r="D232" s="59"/>
      <c r="E232" s="462">
        <v>24.5</v>
      </c>
      <c r="F232" s="3" t="str" cm="1">
        <f t="array" aca="1" ref="F232" ca="1">OFFSET(E232,-1,1)</f>
        <v>3</v>
      </c>
      <c r="G232" s="59"/>
      <c r="H232" s="59"/>
      <c r="I232" s="59"/>
      <c r="J232" s="59"/>
      <c r="K232" s="59"/>
      <c r="L232" s="59"/>
      <c r="M232" s="59"/>
      <c r="N232" s="59"/>
      <c r="O232" s="59"/>
      <c r="P232" s="59"/>
      <c r="Q232" s="59"/>
      <c r="R232" s="59"/>
      <c r="S232" s="59"/>
      <c r="T232" s="353" t="b" cm="1">
        <f t="array" aca="1" ref="T232" ca="1">T231</f>
        <v>1</v>
      </c>
      <c r="U232" s="59"/>
      <c r="V232" s="59"/>
      <c r="W232" s="59"/>
      <c r="X232" s="1022"/>
      <c r="Y232" s="59"/>
      <c r="Z232" s="966"/>
      <c r="AA232" s="59"/>
      <c r="AB232" s="205" t="s">
        <v>1704</v>
      </c>
      <c r="AC232" s="597"/>
      <c r="AD232" s="718"/>
      <c r="AE232" s="718"/>
      <c r="AF232" s="718"/>
      <c r="AG232" s="718"/>
      <c r="AH232" s="718"/>
      <c r="AI232" s="718"/>
      <c r="AJ232" s="718"/>
      <c r="AK232" s="718"/>
      <c r="AL232" s="718"/>
      <c r="AM232" s="718"/>
      <c r="AN232" s="718"/>
      <c r="AO232" s="718"/>
      <c r="AP232" s="718"/>
      <c r="AQ232" s="718"/>
      <c r="AR232" s="718"/>
      <c r="AS232" s="718"/>
      <c r="AT232" s="718"/>
      <c r="AU232" s="718"/>
      <c r="AV232" s="718"/>
      <c r="AW232" s="718"/>
      <c r="AX232" s="718"/>
      <c r="AY232" s="718"/>
      <c r="AZ232" s="718"/>
      <c r="BA232" s="718"/>
      <c r="BB232" s="718"/>
      <c r="BC232" s="718"/>
      <c r="BD232" s="718"/>
      <c r="BE232" s="718"/>
      <c r="BF232" s="718"/>
      <c r="BG232" s="718"/>
      <c r="BH232" s="718"/>
      <c r="BI232" s="718"/>
      <c r="BJ232" s="718"/>
      <c r="BK232" s="718"/>
      <c r="BL232" s="718"/>
      <c r="BM232" s="718"/>
      <c r="BN232" s="718"/>
      <c r="BO232" s="718"/>
      <c r="BP232" s="718"/>
      <c r="BQ232" s="718"/>
      <c r="BR232" s="718"/>
      <c r="BS232" s="718"/>
      <c r="BT232" s="718"/>
      <c r="BU232" s="718"/>
      <c r="BV232" s="718"/>
      <c r="BW232" s="718"/>
      <c r="BX232" s="718"/>
      <c r="BY232" s="718"/>
      <c r="BZ232" s="718"/>
      <c r="CA232" s="718"/>
      <c r="CB232" s="718"/>
      <c r="CC232" s="718"/>
      <c r="CD232" s="718"/>
      <c r="CE232" s="718"/>
      <c r="CF232" s="718"/>
      <c r="CG232" s="718"/>
      <c r="CH232" s="718"/>
      <c r="CI232" s="718"/>
      <c r="CJ232" s="718"/>
      <c r="CK232" s="718"/>
      <c r="CL232" s="718"/>
      <c r="CM232" s="718"/>
      <c r="CN232" s="718"/>
      <c r="CO232" s="718"/>
      <c r="CP232" s="718"/>
      <c r="CQ232" s="718"/>
      <c r="CR232" s="718"/>
      <c r="CS232" s="718"/>
      <c r="CT232" s="718"/>
      <c r="CU232" s="718"/>
      <c r="CV232" s="718"/>
      <c r="CW232" s="718"/>
      <c r="CX232" s="718"/>
      <c r="CY232" s="718"/>
      <c r="CZ232" s="718"/>
      <c r="DA232" s="718"/>
      <c r="DB232" s="718"/>
      <c r="DC232" s="718"/>
      <c r="DD232" s="718"/>
      <c r="DE232" s="718"/>
      <c r="DF232" s="718"/>
      <c r="DG232" s="718"/>
      <c r="DH232" s="718"/>
      <c r="DI232" s="718"/>
      <c r="DJ232" s="718"/>
      <c r="DK232" s="718"/>
      <c r="DL232" s="718"/>
      <c r="DM232" s="718"/>
      <c r="DN232" s="718"/>
      <c r="DO232" s="718"/>
      <c r="DP232" s="718"/>
      <c r="DQ232" s="718"/>
      <c r="DR232" s="718"/>
      <c r="DS232" s="718"/>
      <c r="DT232" s="718"/>
      <c r="DU232" s="718"/>
      <c r="DV232" s="718"/>
      <c r="DW232" s="718"/>
      <c r="DX232" s="718"/>
      <c r="DY232" s="718"/>
      <c r="DZ232" s="718"/>
      <c r="EA232" s="718"/>
      <c r="EB232" s="718"/>
      <c r="EC232" s="718"/>
      <c r="ED232" s="718"/>
      <c r="EE232" s="718"/>
      <c r="EF232" s="718"/>
      <c r="EG232" s="718"/>
      <c r="EH232" s="718"/>
      <c r="EI232" s="718"/>
      <c r="EJ232" s="718"/>
      <c r="EK232" s="718"/>
      <c r="EL232" s="718"/>
      <c r="EM232" s="718"/>
      <c r="EN232" s="718"/>
      <c r="EO232" s="718"/>
      <c r="EP232" s="718"/>
      <c r="EQ232" s="718"/>
      <c r="ER232" s="718"/>
      <c r="ES232" s="718"/>
      <c r="ET232" s="718"/>
      <c r="EU232" s="718"/>
      <c r="EV232" s="718"/>
      <c r="EW232" s="718"/>
      <c r="EX232" s="718"/>
      <c r="EY232" s="718"/>
      <c r="EZ232" s="718"/>
      <c r="FA232" s="718"/>
      <c r="FB232" s="718"/>
      <c r="FC232" s="718"/>
      <c r="FD232" s="718"/>
      <c r="FE232" s="718"/>
      <c r="FF232" s="718"/>
      <c r="FG232" s="718"/>
      <c r="FH232" s="718"/>
      <c r="FI232" s="718"/>
      <c r="FJ232" s="718"/>
      <c r="FK232" s="718"/>
      <c r="FL232" s="718"/>
      <c r="FM232" s="718"/>
      <c r="FN232" s="718"/>
      <c r="FO232" s="718"/>
      <c r="FP232" s="718"/>
      <c r="FQ232" s="718"/>
      <c r="FR232" s="718"/>
      <c r="FS232" s="718"/>
      <c r="FT232" s="718"/>
      <c r="FU232" s="718"/>
      <c r="FV232" s="718"/>
      <c r="FW232" s="719"/>
      <c r="FZ232" s="691"/>
    </row>
    <row r="233" spans="1:186" ht="14.25" hidden="1" customHeight="1" x14ac:dyDescent="0.15">
      <c r="A233" s="59"/>
      <c r="B233" s="613" t="b" cm="1">
        <f t="array" ref="B233">B232</f>
        <v>0</v>
      </c>
      <c r="C233" s="59"/>
      <c r="D233" s="59"/>
      <c r="E233" s="462">
        <v>15</v>
      </c>
      <c r="F233" s="3" t="str" cm="1">
        <f t="array" aca="1" ref="F233" ca="1">OFFSET(E233,-1,1)</f>
        <v>3</v>
      </c>
      <c r="G233" s="59"/>
      <c r="H233" s="59" t="s">
        <v>1570</v>
      </c>
      <c r="I233" s="59" t="s">
        <v>1661</v>
      </c>
      <c r="J233" s="59"/>
      <c r="K233" s="59"/>
      <c r="L233" s="59"/>
      <c r="M233" s="59"/>
      <c r="N233" s="59"/>
      <c r="O233" s="59"/>
      <c r="P233" s="59"/>
      <c r="Q233" s="59"/>
      <c r="R233" s="59"/>
      <c r="S233" s="59"/>
      <c r="T233" s="353" t="b" cm="1">
        <f t="array" aca="1" ref="T233" ca="1">T232</f>
        <v>1</v>
      </c>
      <c r="U233" s="59"/>
      <c r="V233" s="59"/>
      <c r="W233" s="59"/>
      <c r="X233" s="1022"/>
      <c r="Y233" s="59"/>
      <c r="Z233" s="966"/>
      <c r="AA233" s="59"/>
      <c r="AB233" s="105" t="s">
        <v>1677</v>
      </c>
      <c r="AC233" s="12" t="s">
        <v>1644</v>
      </c>
      <c r="AD233" s="820">
        <f ca="1">IF(AD235=0,0,(AD234*AD235+AD236*AD237*IF(god=2026,3,6))/AD235)</f>
        <v>0</v>
      </c>
      <c r="AE233" s="820">
        <f ca="1">IF(AE235=0,0,(AE234*AE235+AE236*AE237*IF(god=2026,3,6))/AE235)</f>
        <v>0</v>
      </c>
      <c r="AF233" s="714">
        <f ca="1">IF(AD233=0,0,(AE233-AD233)/AD233*100)</f>
        <v>0</v>
      </c>
      <c r="AG233" s="820">
        <f ca="1">IF(AG235=0,0,(AG234*AG235+AG236*AG237*IF(god=2025,3,6))/AG235)</f>
        <v>0</v>
      </c>
      <c r="AH233" s="820">
        <f ca="1">IF(AH235=0,0,(AH234*AH235+AH236*AH237*IF(god=2025,3,6))/AH235)</f>
        <v>0</v>
      </c>
      <c r="AI233" s="714">
        <f ca="1">IF(AG233=0,0,(AH233-AG233)/AG233*100)</f>
        <v>0</v>
      </c>
      <c r="AJ233" s="820">
        <f ca="1">IF(AJ235=0,0,(AJ234*AJ235+AJ236*AJ237*6)/AJ235)</f>
        <v>0</v>
      </c>
      <c r="AK233" s="820">
        <f ca="1">IF(AK235=0,0,(AK234*AK235+AK236*AK237*6)/AK235)</f>
        <v>0</v>
      </c>
      <c r="AL233" s="714">
        <f ca="1">IF(AJ233=0,0,(AK233-AJ233)/AJ233*100)</f>
        <v>0</v>
      </c>
      <c r="AM233" s="820">
        <f ca="1">IF(AM235=0,0,(AM234*AM235+AM236*AM237*6)/AM235)</f>
        <v>0</v>
      </c>
      <c r="AN233" s="820">
        <f ca="1">IF(AN235=0,0,(AN234*AN235+AN236*AN237*6)/AN235)</f>
        <v>0</v>
      </c>
      <c r="AO233" s="714">
        <f ca="1">IF(AM233=0,0,(AN233-AM233)/AM233*100)</f>
        <v>0</v>
      </c>
      <c r="AP233" s="820">
        <f ca="1">IF(AP235=0,0,(AP234*AP235+AP236*AP237*6)/AP235)</f>
        <v>0</v>
      </c>
      <c r="AQ233" s="820">
        <f ca="1">IF(AQ235=0,0,(AQ234*AQ235+AQ236*AQ237*6)/AQ235)</f>
        <v>0</v>
      </c>
      <c r="AR233" s="714">
        <f ca="1">IF(AP233=0,0,(AQ233-AP233)/AP233*100)</f>
        <v>0</v>
      </c>
      <c r="AS233" s="820">
        <f ca="1">IF(AS235=0,0,(AS234*AS235+AS236*AS237*6)/AS235)</f>
        <v>0</v>
      </c>
      <c r="AT233" s="820">
        <f ca="1">IF(AT235=0,0,(AT234*AT235+AT236*AT237*6)/AT235)</f>
        <v>0</v>
      </c>
      <c r="AU233" s="714">
        <f ca="1">IF(AS233=0,0,(AT233-AS233)/AS233*100)</f>
        <v>0</v>
      </c>
      <c r="AV233" s="820">
        <f ca="1">IF(AV235=0,0,(AV234*AV235+AV236*AV237*6)/AV235)</f>
        <v>0</v>
      </c>
      <c r="AW233" s="820">
        <f ca="1">IF(AW235=0,0,(AW234*AW235+AW236*AW237*6)/AW235)</f>
        <v>0</v>
      </c>
      <c r="AX233" s="714">
        <f ca="1">IF(AV233=0,0,(AW233-AV233)/AV233*100)</f>
        <v>0</v>
      </c>
      <c r="AY233" s="820">
        <f ca="1">IF(AY235=0,0,(AY234*AY235+AY236*AY237*6)/AY235)</f>
        <v>0</v>
      </c>
      <c r="AZ233" s="820">
        <f ca="1">IF(AZ235=0,0,(AZ234*AZ235+AZ236*AZ237*6)/AZ235)</f>
        <v>0</v>
      </c>
      <c r="BA233" s="714">
        <f ca="1">IF(AY233=0,0,(AZ233-AY233)/AY233*100)</f>
        <v>0</v>
      </c>
      <c r="BB233" s="820">
        <f ca="1">IF(BB235=0,0,(BB234*BB235+BB236*BB237*6)/BB235)</f>
        <v>0</v>
      </c>
      <c r="BC233" s="820">
        <f ca="1">IF(BC235=0,0,(BC234*BC235+BC236*BC237*6)/BC235)</f>
        <v>0</v>
      </c>
      <c r="BD233" s="714">
        <f ca="1">IF(BB233=0,0,(BC233-BB233)/BB233*100)</f>
        <v>0</v>
      </c>
      <c r="BE233" s="820">
        <f ca="1">IF(BE235=0,0,(BE234*BE235+BE236*BE237*6)/BE235)</f>
        <v>0</v>
      </c>
      <c r="BF233" s="820">
        <f ca="1">IF(BF235=0,0,(BF234*BF235+BF236*BF237*6)/BF235)</f>
        <v>0</v>
      </c>
      <c r="BG233" s="714">
        <f ca="1">IF(BE233=0,0,(BF233-BE233)/BE233*100)</f>
        <v>0</v>
      </c>
      <c r="BH233" s="820">
        <f>IF(BH235=0,0,(BH234*BH235+BH236*BH237*6)/BH235)</f>
        <v>0</v>
      </c>
      <c r="BI233" s="820">
        <f>IF(BI235=0,0,(BI234*BI235+BI236*BI237*6)/BI235)</f>
        <v>0</v>
      </c>
      <c r="BJ233" s="714">
        <f>IF(BH233=0,0,(BI233-BH233)/BH233*100)</f>
        <v>0</v>
      </c>
      <c r="BK233" s="820">
        <f>IF(BK235=0,0,(BK234*BK235+BK236*BK237*6)/BK235)</f>
        <v>0</v>
      </c>
      <c r="BL233" s="820">
        <f>IF(BL235=0,0,(BL234*BL235+BL236*BL237*6)/BL235)</f>
        <v>0</v>
      </c>
      <c r="BM233" s="714">
        <f>IF(BK233=0,0,(BL233-BK233)/BK233*100)</f>
        <v>0</v>
      </c>
      <c r="BN233" s="820">
        <f>IF(BN235=0,0,(BN234*BN235+BN236*BN237*6)/BN235)</f>
        <v>0</v>
      </c>
      <c r="BO233" s="820">
        <f>IF(BO235=0,0,(BO234*BO235+BO236*BO237*6)/BO235)</f>
        <v>0</v>
      </c>
      <c r="BP233" s="714">
        <f>IF(BN233=0,0,(BO233-BN233)/BN233*100)</f>
        <v>0</v>
      </c>
      <c r="BQ233" s="820">
        <f>IF(BQ235=0,0,(BQ234*BQ235+BQ236*BQ237*6)/BQ235)</f>
        <v>0</v>
      </c>
      <c r="BR233" s="820">
        <f>IF(BR235=0,0,(BR234*BR235+BR236*BR237*6)/BR235)</f>
        <v>0</v>
      </c>
      <c r="BS233" s="714">
        <f>IF(BQ233=0,0,(BR233-BQ233)/BQ233*100)</f>
        <v>0</v>
      </c>
      <c r="BT233" s="820">
        <f>IF(BT235=0,0,(BT234*BT235+BT236*BT237*6)/BT235)</f>
        <v>0</v>
      </c>
      <c r="BU233" s="820">
        <f>IF(BU235=0,0,(BU234*BU235+BU236*BU237*6)/BU235)</f>
        <v>0</v>
      </c>
      <c r="BV233" s="714">
        <f>IF(BT233=0,0,(BU233-BT233)/BT233*100)</f>
        <v>0</v>
      </c>
      <c r="BW233" s="820">
        <f>IF(BW235=0,0,(BW234*BW235+BW236*BW237*6)/BW235)</f>
        <v>0</v>
      </c>
      <c r="BX233" s="820">
        <f>IF(BX235=0,0,(BX234*BX235+BX236*BX237*6)/BX235)</f>
        <v>0</v>
      </c>
      <c r="BY233" s="714">
        <f>IF(BW233=0,0,(BX233-BW233)/BW233*100)</f>
        <v>0</v>
      </c>
      <c r="BZ233" s="820">
        <f>IF(BZ235=0,0,(BZ234*BZ235+BZ236*BZ237*6)/BZ235)</f>
        <v>0</v>
      </c>
      <c r="CA233" s="820">
        <f>IF(CA235=0,0,(CA234*CA235+CA236*CA237*6)/CA235)</f>
        <v>0</v>
      </c>
      <c r="CB233" s="714">
        <f>IF(BZ233=0,0,(CA233-BZ233)/BZ233*100)</f>
        <v>0</v>
      </c>
      <c r="CC233" s="820">
        <f>IF(CC235=0,0,(CC234*CC235+CC236*CC237*6)/CC235)</f>
        <v>0</v>
      </c>
      <c r="CD233" s="820">
        <f>IF(CD235=0,0,(CD234*CD235+CD236*CD237*6)/CD235)</f>
        <v>0</v>
      </c>
      <c r="CE233" s="714">
        <f>IF(CC233=0,0,(CD233-CC233)/CC233*100)</f>
        <v>0</v>
      </c>
      <c r="CF233" s="820">
        <f>IF(CF235=0,0,(CF234*CF235+CF236*CF237*6)/CF235)</f>
        <v>0</v>
      </c>
      <c r="CG233" s="820">
        <f>IF(CG235=0,0,(CG234*CG235+CG236*CG237*6)/CG235)</f>
        <v>0</v>
      </c>
      <c r="CH233" s="714">
        <f>IF(CF233=0,0,(CG233-CF233)/CF233*100)</f>
        <v>0</v>
      </c>
      <c r="CI233" s="820">
        <f>IF(CI235=0,0,(CI234*CI235+CI236*CI237*6)/CI235)</f>
        <v>0</v>
      </c>
      <c r="CJ233" s="820">
        <f>IF(CJ235=0,0,(CJ234*CJ235+CJ236*CJ237*6)/CJ235)</f>
        <v>0</v>
      </c>
      <c r="CK233" s="714">
        <f>IF(CI233=0,0,(CJ233-CI233)/CI233*100)</f>
        <v>0</v>
      </c>
      <c r="CL233" s="820">
        <f>IF(CL235=0,0,(CL234*CL235+CL236*CL237*6)/CL235)</f>
        <v>0</v>
      </c>
      <c r="CM233" s="820">
        <f>IF(CM235=0,0,(CM234*CM235+CM236*CM237*6)/CM235)</f>
        <v>0</v>
      </c>
      <c r="CN233" s="714">
        <f>IF(CL233=0,0,(CM233-CL233)/CL233*100)</f>
        <v>0</v>
      </c>
      <c r="CO233" s="820">
        <f>IF(CO235=0,0,(CO234*CO235+CO236*CO237*6)/CO235)</f>
        <v>0</v>
      </c>
      <c r="CP233" s="820">
        <f>IF(CP235=0,0,(CP234*CP235+CP236*CP237*6)/CP235)</f>
        <v>0</v>
      </c>
      <c r="CQ233" s="714">
        <f>IF(CO233=0,0,(CP233-CO233)/CO233*100)</f>
        <v>0</v>
      </c>
      <c r="CR233" s="820">
        <f>IF(CR235=0,0,(CR234*CR235+CR236*CR237*6)/CR235)</f>
        <v>0</v>
      </c>
      <c r="CS233" s="820">
        <f>IF(CS235=0,0,(CS234*CS235+CS236*CS237*6)/CS235)</f>
        <v>0</v>
      </c>
      <c r="CT233" s="714">
        <f>IF(CR233=0,0,(CS233-CR233)/CR233*100)</f>
        <v>0</v>
      </c>
      <c r="CU233" s="820">
        <f>IF(CU235=0,0,(CU234*CU235+CU236*CU237*6)/CU235)</f>
        <v>0</v>
      </c>
      <c r="CV233" s="820">
        <f>IF(CV235=0,0,(CV234*CV235+CV236*CV237*6)/CV235)</f>
        <v>0</v>
      </c>
      <c r="CW233" s="714">
        <f>IF(CU233=0,0,(CV233-CU233)/CU233*100)</f>
        <v>0</v>
      </c>
      <c r="CX233" s="820">
        <f>IF(CX235=0,0,(CX234*CX235+CX236*CX237*6)/CX235)</f>
        <v>0</v>
      </c>
      <c r="CY233" s="820">
        <f>IF(CY235=0,0,(CY234*CY235+CY236*CY237*6)/CY235)</f>
        <v>0</v>
      </c>
      <c r="CZ233" s="714">
        <f>IF(CX233=0,0,(CY233-CX233)/CX233*100)</f>
        <v>0</v>
      </c>
      <c r="DA233" s="820">
        <f>IF(DA235=0,0,(DA234*DA235+DA236*DA237*6)/DA235)</f>
        <v>0</v>
      </c>
      <c r="DB233" s="820">
        <f>IF(DB235=0,0,(DB234*DB235+DB236*DB237*6)/DB235)</f>
        <v>0</v>
      </c>
      <c r="DC233" s="714">
        <f>IF(DA233=0,0,(DB233-DA233)/DA233*100)</f>
        <v>0</v>
      </c>
      <c r="DD233" s="820">
        <f>IF(DD235=0,0,(DD234*DD235+DD236*DD237*6)/DD235)</f>
        <v>0</v>
      </c>
      <c r="DE233" s="820">
        <f>IF(DE235=0,0,(DE234*DE235+DE236*DE237*6)/DE235)</f>
        <v>0</v>
      </c>
      <c r="DF233" s="714">
        <f>IF(DD233=0,0,(DE233-DD233)/DD233*100)</f>
        <v>0</v>
      </c>
      <c r="DG233" s="820">
        <f>IF(DG235=0,0,(DG234*DG235+DG236*DG237*6)/DG235)</f>
        <v>0</v>
      </c>
      <c r="DH233" s="820">
        <f>IF(DH235=0,0,(DH234*DH235+DH236*DH237*6)/DH235)</f>
        <v>0</v>
      </c>
      <c r="DI233" s="714">
        <f>IF(DG233=0,0,(DH233-DG233)/DG233*100)</f>
        <v>0</v>
      </c>
      <c r="DJ233" s="820">
        <f>IF(DJ235=0,0,(DJ234*DJ235+DJ236*DJ237*6)/DJ235)</f>
        <v>0</v>
      </c>
      <c r="DK233" s="820">
        <f>IF(DK235=0,0,(DK234*DK235+DK236*DK237*6)/DK235)</f>
        <v>0</v>
      </c>
      <c r="DL233" s="714">
        <f>IF(DJ233=0,0,(DK233-DJ233)/DJ233*100)</f>
        <v>0</v>
      </c>
      <c r="DM233" s="820">
        <f>IF(DM235=0,0,(DM234*DM235+DM236*DM237*6)/DM235)</f>
        <v>0</v>
      </c>
      <c r="DN233" s="820">
        <f>IF(DN235=0,0,(DN234*DN235+DN236*DN237*6)/DN235)</f>
        <v>0</v>
      </c>
      <c r="DO233" s="714">
        <f>IF(DM233=0,0,(DN233-DM233)/DM233*100)</f>
        <v>0</v>
      </c>
      <c r="DP233" s="820">
        <f>IF(DP235=0,0,(DP234*DP235+DP236*DP237*6)/DP235)</f>
        <v>0</v>
      </c>
      <c r="DQ233" s="820">
        <f>IF(DQ235=0,0,(DQ234*DQ235+DQ236*DQ237*6)/DQ235)</f>
        <v>0</v>
      </c>
      <c r="DR233" s="714">
        <f>IF(DP233=0,0,(DQ233-DP233)/DP233*100)</f>
        <v>0</v>
      </c>
      <c r="DS233" s="820">
        <f>IF(DS235=0,0,(DS234*DS235+DS236*DS237*6)/DS235)</f>
        <v>0</v>
      </c>
      <c r="DT233" s="820">
        <f>IF(DT235=0,0,(DT234*DT235+DT236*DT237*6)/DT235)</f>
        <v>0</v>
      </c>
      <c r="DU233" s="714">
        <f>IF(DS233=0,0,(DT233-DS233)/DS233*100)</f>
        <v>0</v>
      </c>
      <c r="DV233" s="820">
        <f>IF(DV235=0,0,(DV234*DV235+DV236*DV237*6)/DV235)</f>
        <v>0</v>
      </c>
      <c r="DW233" s="820">
        <f>IF(DW235=0,0,(DW234*DW235+DW236*DW237*6)/DW235)</f>
        <v>0</v>
      </c>
      <c r="DX233" s="714">
        <f>IF(DV233=0,0,(DW233-DV233)/DV233*100)</f>
        <v>0</v>
      </c>
      <c r="DY233" s="820">
        <f>IF(DY235=0,0,(DY234*DY235+DY236*DY237*6)/DY235)</f>
        <v>0</v>
      </c>
      <c r="DZ233" s="820">
        <f>IF(DZ235=0,0,(DZ234*DZ235+DZ236*DZ237*6)/DZ235)</f>
        <v>0</v>
      </c>
      <c r="EA233" s="714">
        <f>IF(DY233=0,0,(DZ233-DY233)/DY233*100)</f>
        <v>0</v>
      </c>
      <c r="EB233" s="820">
        <f>IF(EB235=0,0,(EB234*EB235+EB236*EB237*6)/EB235)</f>
        <v>0</v>
      </c>
      <c r="EC233" s="820">
        <f>IF(EC235=0,0,(EC234*EC235+EC236*EC237*6)/EC235)</f>
        <v>0</v>
      </c>
      <c r="ED233" s="714">
        <f>IF(EB233=0,0,(EC233-EB233)/EB233*100)</f>
        <v>0</v>
      </c>
      <c r="EE233" s="820">
        <f>IF(EE235=0,0,(EE234*EE235+EE236*EE237*6)/EE235)</f>
        <v>0</v>
      </c>
      <c r="EF233" s="820">
        <f>IF(EF235=0,0,(EF234*EF235+EF236*EF237*6)/EF235)</f>
        <v>0</v>
      </c>
      <c r="EG233" s="714">
        <f>IF(EE233=0,0,(EF233-EE233)/EE233*100)</f>
        <v>0</v>
      </c>
      <c r="EH233" s="820">
        <f>IF(EH235=0,0,(EH234*EH235+EH236*EH237*6)/EH235)</f>
        <v>0</v>
      </c>
      <c r="EI233" s="820">
        <f>IF(EI235=0,0,(EI234*EI235+EI236*EI237*6)/EI235)</f>
        <v>0</v>
      </c>
      <c r="EJ233" s="714">
        <f>IF(EH233=0,0,(EI233-EH233)/EH233*100)</f>
        <v>0</v>
      </c>
      <c r="EK233" s="820">
        <f>IF(EK235=0,0,(EK234*EK235+EK236*EK237*6)/EK235)</f>
        <v>0</v>
      </c>
      <c r="EL233" s="820">
        <f>IF(EL235=0,0,(EL234*EL235+EL236*EL237*6)/EL235)</f>
        <v>0</v>
      </c>
      <c r="EM233" s="714">
        <f>IF(EK233=0,0,(EL233-EK233)/EK233*100)</f>
        <v>0</v>
      </c>
      <c r="EN233" s="820">
        <f>IF(EN235=0,0,(EN234*EN235+EN236*EN237*6)/EN235)</f>
        <v>0</v>
      </c>
      <c r="EO233" s="820">
        <f>IF(EO235=0,0,(EO234*EO235+EO236*EO237*6)/EO235)</f>
        <v>0</v>
      </c>
      <c r="EP233" s="714">
        <f>IF(EN233=0,0,(EO233-EN233)/EN233*100)</f>
        <v>0</v>
      </c>
      <c r="EQ233" s="820">
        <f>IF(EQ235=0,0,(EQ234*EQ235+EQ236*EQ237*6)/EQ235)</f>
        <v>0</v>
      </c>
      <c r="ER233" s="820">
        <f>IF(ER235=0,0,(ER234*ER235+ER236*ER237*6)/ER235)</f>
        <v>0</v>
      </c>
      <c r="ES233" s="714">
        <f>IF(EQ233=0,0,(ER233-EQ233)/EQ233*100)</f>
        <v>0</v>
      </c>
      <c r="ET233" s="820">
        <f>IF(ET235=0,0,(ET234*ET235+ET236*ET237*6)/ET235)</f>
        <v>0</v>
      </c>
      <c r="EU233" s="820">
        <f>IF(EU235=0,0,(EU234*EU235+EU236*EU237*6)/EU235)</f>
        <v>0</v>
      </c>
      <c r="EV233" s="714">
        <f>IF(ET233=0,0,(EU233-ET233)/ET233*100)</f>
        <v>0</v>
      </c>
      <c r="EW233" s="820">
        <f>IF(EW235=0,0,(EW234*EW235+EW236*EW237*6)/EW235)</f>
        <v>0</v>
      </c>
      <c r="EX233" s="820">
        <f>IF(EX235=0,0,(EX234*EX235+EX236*EX237*6)/EX235)</f>
        <v>0</v>
      </c>
      <c r="EY233" s="714">
        <f>IF(EW233=0,0,(EX233-EW233)/EW233*100)</f>
        <v>0</v>
      </c>
      <c r="EZ233" s="820">
        <f>IF(EZ235=0,0,(EZ234*EZ235+EZ236*EZ237*6)/EZ235)</f>
        <v>0</v>
      </c>
      <c r="FA233" s="820">
        <f>IF(FA235=0,0,(FA234*FA235+FA236*FA237*6)/FA235)</f>
        <v>0</v>
      </c>
      <c r="FB233" s="714">
        <f>IF(EZ233=0,0,(FA233-EZ233)/EZ233*100)</f>
        <v>0</v>
      </c>
      <c r="FC233" s="820">
        <f>IF(FC235=0,0,(FC234*FC235+FC236*FC237*6)/FC235)</f>
        <v>0</v>
      </c>
      <c r="FD233" s="820">
        <f>IF(FD235=0,0,(FD234*FD235+FD236*FD237*6)/FD235)</f>
        <v>0</v>
      </c>
      <c r="FE233" s="714">
        <f>IF(FC233=0,0,(FD233-FC233)/FC233*100)</f>
        <v>0</v>
      </c>
      <c r="FF233" s="820">
        <f>IF(FF235=0,0,(FF234*FF235+FF236*FF237*6)/FF235)</f>
        <v>0</v>
      </c>
      <c r="FG233" s="820">
        <f>IF(FG235=0,0,(FG234*FG235+FG236*FG237*6)/FG235)</f>
        <v>0</v>
      </c>
      <c r="FH233" s="714">
        <f>IF(FF233=0,0,(FG233-FF233)/FF233*100)</f>
        <v>0</v>
      </c>
      <c r="FI233" s="820">
        <f>IF(FI235=0,0,(FI234*FI235+FI236*FI237*6)/FI235)</f>
        <v>0</v>
      </c>
      <c r="FJ233" s="820">
        <f>IF(FJ235=0,0,(FJ234*FJ235+FJ236*FJ237*6)/FJ235)</f>
        <v>0</v>
      </c>
      <c r="FK233" s="714">
        <f>IF(FI233=0,0,(FJ233-FI233)/FI233*100)</f>
        <v>0</v>
      </c>
      <c r="FL233" s="820">
        <f>IF(FL235=0,0,(FL234*FL235+FL236*FL237*6)/FL235)</f>
        <v>0</v>
      </c>
      <c r="FM233" s="820">
        <f>IF(FM235=0,0,(FM234*FM235+FM236*FM237*6)/FM235)</f>
        <v>0</v>
      </c>
      <c r="FN233" s="714">
        <f>IF(FL233=0,0,(FM233-FL233)/FL233*100)</f>
        <v>0</v>
      </c>
      <c r="FO233" s="820">
        <f>IF(FO235=0,0,(FO234*FO235+FO236*FO237*6)/FO235)</f>
        <v>0</v>
      </c>
      <c r="FP233" s="820">
        <f>IF(FP235=0,0,(FP234*FP235+FP236*FP237*6)/FP235)</f>
        <v>0</v>
      </c>
      <c r="FQ233" s="714">
        <f>IF(FO233=0,0,(FP233-FO233)/FO233*100)</f>
        <v>0</v>
      </c>
      <c r="FR233" s="820">
        <f>IF(FR235=0,0,(FR234*FR235+FR236*FR237*6)/FR235)</f>
        <v>0</v>
      </c>
      <c r="FS233" s="820">
        <f>IF(FS235=0,0,(FS234*FS235+FS236*FS237*6)/FS235)</f>
        <v>0</v>
      </c>
      <c r="FT233" s="714">
        <f>IF(FR233=0,0,(FS233-FR233)/FR233*100)</f>
        <v>0</v>
      </c>
      <c r="FU233" s="820">
        <f>IF(FU235=0,0,(FU234*FU235+FU236*FU237*6)/FU235)</f>
        <v>0</v>
      </c>
      <c r="FV233" s="820">
        <f>IF(FV235=0,0,(FV234*FV235+FV236*FV237*6)/FV235)</f>
        <v>0</v>
      </c>
      <c r="FW233" s="714">
        <f>IF(FU233=0,0,(FV233-FU233)/FU233*100)</f>
        <v>0</v>
      </c>
      <c r="FZ233" s="691" t="s">
        <v>1705</v>
      </c>
    </row>
    <row r="234" spans="1:186" ht="14.25" hidden="1" customHeight="1" x14ac:dyDescent="0.15">
      <c r="A234" s="59"/>
      <c r="B234" s="613" t="b" cm="1">
        <f t="array" ref="B234">B233</f>
        <v>0</v>
      </c>
      <c r="C234" s="59"/>
      <c r="D234" s="59"/>
      <c r="E234" s="462">
        <v>15</v>
      </c>
      <c r="F234" s="3" t="str" cm="1">
        <f t="array" aca="1" ref="F234" ca="1">OFFSET(E234,-1,1)</f>
        <v>3</v>
      </c>
      <c r="G234" s="59"/>
      <c r="H234" s="59" t="s">
        <v>1574</v>
      </c>
      <c r="I234" s="59" t="s">
        <v>1661</v>
      </c>
      <c r="J234" s="59"/>
      <c r="K234" s="59"/>
      <c r="L234" s="59"/>
      <c r="M234" s="59"/>
      <c r="N234" s="59"/>
      <c r="O234" s="59"/>
      <c r="P234" s="59"/>
      <c r="Q234" s="59"/>
      <c r="R234" s="59"/>
      <c r="S234" s="59"/>
      <c r="T234" s="353" t="b" cm="1">
        <f t="array" aca="1" ref="T234" ca="1">T233</f>
        <v>1</v>
      </c>
      <c r="U234" s="59"/>
      <c r="V234" s="59"/>
      <c r="W234" s="59"/>
      <c r="X234" s="1022"/>
      <c r="Y234" s="59"/>
      <c r="Z234" s="966"/>
      <c r="AA234" s="59"/>
      <c r="AB234" s="105" t="str">
        <f>"ставка платы за "&amp;IF(Q197="Водоснабжение","потребление 1 куб.м холодной воды","объем принятых сточных вод")</f>
        <v>ставка платы за объем принятых сточных вод</v>
      </c>
      <c r="AC234" s="12" t="s">
        <v>1644</v>
      </c>
      <c r="AD234" s="820"/>
      <c r="AE234" s="820"/>
      <c r="AF234" s="714">
        <f>IF(AD234=0,0,(AE234-AD234)/AD234*100)</f>
        <v>0</v>
      </c>
      <c r="AG234" s="820"/>
      <c r="AH234" s="820"/>
      <c r="AI234" s="714">
        <f>IF(AG234=0,0,(AH234-AG234)/AG234*100)</f>
        <v>0</v>
      </c>
      <c r="AJ234" s="820"/>
      <c r="AK234" s="820"/>
      <c r="AL234" s="714">
        <f>IF(AJ234=0,0,(AK234-AJ234)/AJ234*100)</f>
        <v>0</v>
      </c>
      <c r="AM234" s="820"/>
      <c r="AN234" s="820"/>
      <c r="AO234" s="714">
        <f>IF(AM234=0,0,(AN234-AM234)/AM234*100)</f>
        <v>0</v>
      </c>
      <c r="AP234" s="820"/>
      <c r="AQ234" s="820"/>
      <c r="AR234" s="714">
        <f>IF(AP234=0,0,(AQ234-AP234)/AP234*100)</f>
        <v>0</v>
      </c>
      <c r="AS234" s="820"/>
      <c r="AT234" s="820"/>
      <c r="AU234" s="714">
        <f>IF(AS234=0,0,(AT234-AS234)/AS234*100)</f>
        <v>0</v>
      </c>
      <c r="AV234" s="820"/>
      <c r="AW234" s="820"/>
      <c r="AX234" s="714">
        <f>IF(AV234=0,0,(AW234-AV234)/AV234*100)</f>
        <v>0</v>
      </c>
      <c r="AY234" s="820"/>
      <c r="AZ234" s="820"/>
      <c r="BA234" s="714">
        <f>IF(AY234=0,0,(AZ234-AY234)/AY234*100)</f>
        <v>0</v>
      </c>
      <c r="BB234" s="820"/>
      <c r="BC234" s="820"/>
      <c r="BD234" s="714">
        <f>IF(BB234=0,0,(BC234-BB234)/BB234*100)</f>
        <v>0</v>
      </c>
      <c r="BE234" s="820"/>
      <c r="BF234" s="820"/>
      <c r="BG234" s="714">
        <f>IF(BE234=0,0,(BF234-BE234)/BE234*100)</f>
        <v>0</v>
      </c>
      <c r="BH234" s="820"/>
      <c r="BI234" s="820"/>
      <c r="BJ234" s="714">
        <f>IF(BH234=0,0,(BI234-BH234)/BH234*100)</f>
        <v>0</v>
      </c>
      <c r="BK234" s="820"/>
      <c r="BL234" s="820"/>
      <c r="BM234" s="714">
        <f>IF(BK234=0,0,(BL234-BK234)/BK234*100)</f>
        <v>0</v>
      </c>
      <c r="BN234" s="820"/>
      <c r="BO234" s="820"/>
      <c r="BP234" s="714">
        <f>IF(BN234=0,0,(BO234-BN234)/BN234*100)</f>
        <v>0</v>
      </c>
      <c r="BQ234" s="820"/>
      <c r="BR234" s="820"/>
      <c r="BS234" s="714">
        <f>IF(BQ234=0,0,(BR234-BQ234)/BQ234*100)</f>
        <v>0</v>
      </c>
      <c r="BT234" s="820"/>
      <c r="BU234" s="820"/>
      <c r="BV234" s="714">
        <f>IF(BT234=0,0,(BU234-BT234)/BT234*100)</f>
        <v>0</v>
      </c>
      <c r="BW234" s="820"/>
      <c r="BX234" s="820"/>
      <c r="BY234" s="714">
        <f>IF(BW234=0,0,(BX234-BW234)/BW234*100)</f>
        <v>0</v>
      </c>
      <c r="BZ234" s="820"/>
      <c r="CA234" s="820"/>
      <c r="CB234" s="714">
        <f>IF(BZ234=0,0,(CA234-BZ234)/BZ234*100)</f>
        <v>0</v>
      </c>
      <c r="CC234" s="820"/>
      <c r="CD234" s="820"/>
      <c r="CE234" s="714">
        <f>IF(CC234=0,0,(CD234-CC234)/CC234*100)</f>
        <v>0</v>
      </c>
      <c r="CF234" s="820"/>
      <c r="CG234" s="820"/>
      <c r="CH234" s="714">
        <f>IF(CF234=0,0,(CG234-CF234)/CF234*100)</f>
        <v>0</v>
      </c>
      <c r="CI234" s="820"/>
      <c r="CJ234" s="820"/>
      <c r="CK234" s="714">
        <f>IF(CI234=0,0,(CJ234-CI234)/CI234*100)</f>
        <v>0</v>
      </c>
      <c r="CL234" s="820"/>
      <c r="CM234" s="820"/>
      <c r="CN234" s="714">
        <f>IF(CL234=0,0,(CM234-CL234)/CL234*100)</f>
        <v>0</v>
      </c>
      <c r="CO234" s="820"/>
      <c r="CP234" s="820"/>
      <c r="CQ234" s="714">
        <f>IF(CO234=0,0,(CP234-CO234)/CO234*100)</f>
        <v>0</v>
      </c>
      <c r="CR234" s="820"/>
      <c r="CS234" s="820"/>
      <c r="CT234" s="714">
        <f>IF(CR234=0,0,(CS234-CR234)/CR234*100)</f>
        <v>0</v>
      </c>
      <c r="CU234" s="820"/>
      <c r="CV234" s="820"/>
      <c r="CW234" s="714">
        <f>IF(CU234=0,0,(CV234-CU234)/CU234*100)</f>
        <v>0</v>
      </c>
      <c r="CX234" s="820"/>
      <c r="CY234" s="820"/>
      <c r="CZ234" s="714">
        <f>IF(CX234=0,0,(CY234-CX234)/CX234*100)</f>
        <v>0</v>
      </c>
      <c r="DA234" s="820"/>
      <c r="DB234" s="820"/>
      <c r="DC234" s="714">
        <f>IF(DA234=0,0,(DB234-DA234)/DA234*100)</f>
        <v>0</v>
      </c>
      <c r="DD234" s="820"/>
      <c r="DE234" s="820"/>
      <c r="DF234" s="714">
        <f>IF(DD234=0,0,(DE234-DD234)/DD234*100)</f>
        <v>0</v>
      </c>
      <c r="DG234" s="820"/>
      <c r="DH234" s="820"/>
      <c r="DI234" s="714">
        <f>IF(DG234=0,0,(DH234-DG234)/DG234*100)</f>
        <v>0</v>
      </c>
      <c r="DJ234" s="820"/>
      <c r="DK234" s="820"/>
      <c r="DL234" s="714">
        <f>IF(DJ234=0,0,(DK234-DJ234)/DJ234*100)</f>
        <v>0</v>
      </c>
      <c r="DM234" s="820"/>
      <c r="DN234" s="820"/>
      <c r="DO234" s="714">
        <f>IF(DM234=0,0,(DN234-DM234)/DM234*100)</f>
        <v>0</v>
      </c>
      <c r="DP234" s="820"/>
      <c r="DQ234" s="820"/>
      <c r="DR234" s="714">
        <f>IF(DP234=0,0,(DQ234-DP234)/DP234*100)</f>
        <v>0</v>
      </c>
      <c r="DS234" s="820"/>
      <c r="DT234" s="820"/>
      <c r="DU234" s="714">
        <f>IF(DS234=0,0,(DT234-DS234)/DS234*100)</f>
        <v>0</v>
      </c>
      <c r="DV234" s="820"/>
      <c r="DW234" s="820"/>
      <c r="DX234" s="714">
        <f>IF(DV234=0,0,(DW234-DV234)/DV234*100)</f>
        <v>0</v>
      </c>
      <c r="DY234" s="820"/>
      <c r="DZ234" s="820"/>
      <c r="EA234" s="714">
        <f>IF(DY234=0,0,(DZ234-DY234)/DY234*100)</f>
        <v>0</v>
      </c>
      <c r="EB234" s="820"/>
      <c r="EC234" s="820"/>
      <c r="ED234" s="714">
        <f>IF(EB234=0,0,(EC234-EB234)/EB234*100)</f>
        <v>0</v>
      </c>
      <c r="EE234" s="820"/>
      <c r="EF234" s="820"/>
      <c r="EG234" s="714">
        <f>IF(EE234=0,0,(EF234-EE234)/EE234*100)</f>
        <v>0</v>
      </c>
      <c r="EH234" s="820"/>
      <c r="EI234" s="820"/>
      <c r="EJ234" s="714">
        <f>IF(EH234=0,0,(EI234-EH234)/EH234*100)</f>
        <v>0</v>
      </c>
      <c r="EK234" s="820"/>
      <c r="EL234" s="820"/>
      <c r="EM234" s="714">
        <f>IF(EK234=0,0,(EL234-EK234)/EK234*100)</f>
        <v>0</v>
      </c>
      <c r="EN234" s="820"/>
      <c r="EO234" s="820"/>
      <c r="EP234" s="714">
        <f>IF(EN234=0,0,(EO234-EN234)/EN234*100)</f>
        <v>0</v>
      </c>
      <c r="EQ234" s="820"/>
      <c r="ER234" s="820"/>
      <c r="ES234" s="714">
        <f>IF(EQ234=0,0,(ER234-EQ234)/EQ234*100)</f>
        <v>0</v>
      </c>
      <c r="ET234" s="820"/>
      <c r="EU234" s="820"/>
      <c r="EV234" s="714">
        <f>IF(ET234=0,0,(EU234-ET234)/ET234*100)</f>
        <v>0</v>
      </c>
      <c r="EW234" s="820"/>
      <c r="EX234" s="820"/>
      <c r="EY234" s="714">
        <f>IF(EW234=0,0,(EX234-EW234)/EW234*100)</f>
        <v>0</v>
      </c>
      <c r="EZ234" s="820"/>
      <c r="FA234" s="820"/>
      <c r="FB234" s="714">
        <f>IF(EZ234=0,0,(FA234-EZ234)/EZ234*100)</f>
        <v>0</v>
      </c>
      <c r="FC234" s="820"/>
      <c r="FD234" s="820"/>
      <c r="FE234" s="714">
        <f>IF(FC234=0,0,(FD234-FC234)/FC234*100)</f>
        <v>0</v>
      </c>
      <c r="FF234" s="820"/>
      <c r="FG234" s="820"/>
      <c r="FH234" s="714">
        <f>IF(FF234=0,0,(FG234-FF234)/FF234*100)</f>
        <v>0</v>
      </c>
      <c r="FI234" s="820"/>
      <c r="FJ234" s="820"/>
      <c r="FK234" s="714">
        <f>IF(FI234=0,0,(FJ234-FI234)/FI234*100)</f>
        <v>0</v>
      </c>
      <c r="FL234" s="820"/>
      <c r="FM234" s="820"/>
      <c r="FN234" s="714">
        <f>IF(FL234=0,0,(FM234-FL234)/FL234*100)</f>
        <v>0</v>
      </c>
      <c r="FO234" s="820"/>
      <c r="FP234" s="820"/>
      <c r="FQ234" s="714">
        <f>IF(FO234=0,0,(FP234-FO234)/FO234*100)</f>
        <v>0</v>
      </c>
      <c r="FR234" s="820"/>
      <c r="FS234" s="820"/>
      <c r="FT234" s="714">
        <f>IF(FR234=0,0,(FS234-FR234)/FR234*100)</f>
        <v>0</v>
      </c>
      <c r="FU234" s="820"/>
      <c r="FV234" s="820"/>
      <c r="FW234" s="714">
        <f>IF(FU234=0,0,(FV234-FU234)/FU234*100)</f>
        <v>0</v>
      </c>
      <c r="FZ234" s="691" t="s">
        <v>1706</v>
      </c>
    </row>
    <row r="235" spans="1:186" ht="14.25" hidden="1" customHeight="1" x14ac:dyDescent="0.15">
      <c r="A235" s="59"/>
      <c r="B235" s="613" t="b" cm="1">
        <f t="array" ref="B235">B234</f>
        <v>0</v>
      </c>
      <c r="C235" s="59"/>
      <c r="D235" s="59"/>
      <c r="E235" s="462">
        <v>15</v>
      </c>
      <c r="F235" s="3" t="str" cm="1">
        <f t="array" aca="1" ref="F235" ca="1">OFFSET(E235,-1,1)</f>
        <v>3</v>
      </c>
      <c r="G235" s="25" t="s">
        <v>1707</v>
      </c>
      <c r="H235" s="59" t="s">
        <v>1681</v>
      </c>
      <c r="I235" s="59" t="s">
        <v>1661</v>
      </c>
      <c r="J235" s="59"/>
      <c r="K235" s="59"/>
      <c r="L235" s="59"/>
      <c r="M235" s="59"/>
      <c r="N235" s="59"/>
      <c r="O235" s="59"/>
      <c r="P235" s="59"/>
      <c r="Q235" s="59"/>
      <c r="R235" s="59"/>
      <c r="S235" s="59"/>
      <c r="T235" s="353" t="b" cm="1">
        <f t="array" aca="1" ref="T235" ca="1">T234</f>
        <v>1</v>
      </c>
      <c r="U235" s="59"/>
      <c r="V235" s="59"/>
      <c r="W235" s="59"/>
      <c r="X235" s="1022"/>
      <c r="Y235" s="59"/>
      <c r="Z235" s="966"/>
      <c r="AA235" s="59"/>
      <c r="AB235" s="105" t="str">
        <f>"объём "&amp;IF(Q197="Водоснабжение","потребления холодной воды","водоотведения")</f>
        <v>объём водоотведения</v>
      </c>
      <c r="AC235" s="12" t="s">
        <v>558</v>
      </c>
      <c r="AD235" s="836">
        <f ca="1">IF(AND(method_reg="Метод индексации",god&lt;&gt;first_year),SUMIFS(INDEX('Калькуляция (МИ корр)'!$AJ$25:$BC$603,,MATCH(AD$8,'Калькуляция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(МИ)'!$AJ$25:$BC$603,,MATCH(AD$8,'Калькуляция (МИ)'!$AJ$8:$BC$8,0)),'Калькуляция (МИ)'!$F$25:$F$603,$F235,'Калькуляция (МИ)'!$G$25:$G$603,$G235))))</f>
        <v>0</v>
      </c>
      <c r="AE235" s="836">
        <f ca="1">IF(AND(method_reg="Метод индексации",god&lt;&gt;first_year),SUMIFS(INDEX('Калькуляция (МИ корр)'!$AJ$25:$BC$603,,MATCH(AE$8,'Калькуляция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(МИ)'!$AJ$25:$BC$603,,MATCH(AE$8,'Калькуляция (МИ)'!$AJ$8:$BC$8,0)),'Калькуляция (МИ)'!$F$25:$F$603,$F235,'Калькуляция (МИ)'!$G$25:$G$603,$G235))))</f>
        <v>0</v>
      </c>
      <c r="AF235" s="715">
        <f ca="1">IF(AD235=0,0,(AE235-AD235)/AD235*100)</f>
        <v>0</v>
      </c>
      <c r="AG235" s="836">
        <f ca="1">IF(AND(method_reg="Метод индексации",god&lt;&gt;first_year),SUMIFS(INDEX('Калькуляция (МИ корр)'!$AJ$25:$BC$603,,MATCH(AG$8,'Калькуляция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(МИ)'!$AJ$25:$BC$603,,MATCH(AG$8,'Калькуляция (МИ)'!$AJ$8:$BC$8,0)),'Калькуляция (МИ)'!$F$25:$F$603,$F235,'Калькуляция (МИ)'!$G$25:$G$603,$G235))))</f>
        <v>0</v>
      </c>
      <c r="AH235" s="836">
        <f ca="1">IF(AND(method_reg="Метод индексации",god&lt;&gt;first_year),SUMIFS(INDEX('Калькуляция (МИ корр)'!$AJ$25:$BC$603,,MATCH(AH$8,'Калькуляция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(МИ)'!$AJ$25:$BC$603,,MATCH(AH$8,'Калькуляция (МИ)'!$AJ$8:$BC$8,0)),'Калькуляция (МИ)'!$F$25:$F$603,$F235,'Калькуляция (МИ)'!$G$25:$G$603,$G235))))</f>
        <v>0</v>
      </c>
      <c r="AI235" s="715">
        <f ca="1">IF(AG235=0,0,(AH235-AG235)/AG235*100)</f>
        <v>0</v>
      </c>
      <c r="AJ235" s="836">
        <f ca="1">IF(AND(method_reg="Метод индексации",god&lt;&gt;first_year),SUMIFS(INDEX('Калькуляция (МИ корр)'!$AJ$25:$BC$603,,MATCH(AJ$8,'Калькуляция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(МИ)'!$AJ$25:$BC$603,,MATCH(AJ$8,'Калькуляция (МИ)'!$AJ$8:$BC$8,0)),'Калькуляция (МИ)'!$F$25:$F$603,$F235,'Калькуляция (МИ)'!$G$25:$G$603,$G235))))</f>
        <v>0</v>
      </c>
      <c r="AK235" s="836">
        <f ca="1">IF(AND(method_reg="Метод индексации",god&lt;&gt;first_year),SUMIFS(INDEX('Калькуляция (МИ корр)'!$AJ$25:$BC$603,,MATCH(AK$8,'Калькуляция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(МИ)'!$AJ$25:$BC$603,,MATCH(AK$8,'Калькуляция (МИ)'!$AJ$8:$BC$8,0)),'Калькуляция (МИ)'!$F$25:$F$603,$F235,'Калькуляция (МИ)'!$G$25:$G$603,$G235))))</f>
        <v>0</v>
      </c>
      <c r="AL235" s="715">
        <f ca="1">IF(AJ235=0,0,(AK235-AJ235)/AJ235*100)</f>
        <v>0</v>
      </c>
      <c r="AM235" s="836">
        <f ca="1">IF(AND(method_reg="Метод индексации",god&lt;&gt;first_year),SUMIFS(INDEX('Калькуляция (МИ корр)'!$AJ$25:$BC$603,,MATCH(AM$8,'Калькуляция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(МИ)'!$AJ$25:$BC$603,,MATCH(AM$8,'Калькуляция (МИ)'!$AJ$8:$BC$8,0)),'Калькуляция (МИ)'!$F$25:$F$603,$F235,'Калькуляция (МИ)'!$G$25:$G$603,$G235))))</f>
        <v>0</v>
      </c>
      <c r="AN235" s="836">
        <f ca="1">IF(AND(method_reg="Метод индексации",god&lt;&gt;first_year),SUMIFS(INDEX('Калькуляция (МИ корр)'!$AJ$25:$BC$603,,MATCH(AN$8,'Калькуляция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(МИ)'!$AJ$25:$BC$603,,MATCH(AN$8,'Калькуляция (МИ)'!$AJ$8:$BC$8,0)),'Калькуляция (МИ)'!$F$25:$F$603,$F235,'Калькуляция (МИ)'!$G$25:$G$603,$G235))))</f>
        <v>0</v>
      </c>
      <c r="AO235" s="715">
        <f ca="1">IF(AM235=0,0,(AN235-AM235)/AM235*100)</f>
        <v>0</v>
      </c>
      <c r="AP235" s="836">
        <f ca="1">IF(AND(method_reg="Метод индексации",god&lt;&gt;first_year),SUMIFS(INDEX('Калькуляция (МИ корр)'!$AJ$25:$BC$603,,MATCH(AP$8,'Калькуляция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(МИ)'!$AJ$25:$BC$603,,MATCH(AP$8,'Калькуляция (МИ)'!$AJ$8:$BC$8,0)),'Калькуляция (МИ)'!$F$25:$F$603,$F235,'Калькуляция (МИ)'!$G$25:$G$603,$G235))))</f>
        <v>0</v>
      </c>
      <c r="AQ235" s="836">
        <f ca="1">IF(AND(method_reg="Метод индексации",god&lt;&gt;first_year),SUMIFS(INDEX('Калькуляция (МИ корр)'!$AJ$25:$BC$603,,MATCH(AQ$8,'Калькуляция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(МИ)'!$AJ$25:$BC$603,,MATCH(AQ$8,'Калькуляция (МИ)'!$AJ$8:$BC$8,0)),'Калькуляция (МИ)'!$F$25:$F$603,$F235,'Калькуляция (МИ)'!$G$25:$G$603,$G235))))</f>
        <v>0</v>
      </c>
      <c r="AR235" s="715">
        <f ca="1">IF(AP235=0,0,(AQ235-AP235)/AP235*100)</f>
        <v>0</v>
      </c>
      <c r="AS235" s="836">
        <f ca="1">IF(AND(method_reg="Метод индексации",god&lt;&gt;first_year),SUMIFS(INDEX('Калькуляция (МИ корр)'!$AJ$25:$BC$603,,MATCH(AS$8,'Калькуляция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(МИ)'!$AJ$25:$BC$603,,MATCH(AS$8,'Калькуляция (МИ)'!$AJ$8:$BC$8,0)),'Калькуляция (МИ)'!$F$25:$F$603,$F235,'Калькуляция (МИ)'!$G$25:$G$603,$G235))))</f>
        <v>0</v>
      </c>
      <c r="AT235" s="836">
        <f ca="1">IF(AND(method_reg="Метод индексации",god&lt;&gt;first_year),SUMIFS(INDEX('Калькуляция (МИ корр)'!$AJ$25:$BC$603,,MATCH(AT$8,'Калькуляция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(МИ)'!$AJ$25:$BC$603,,MATCH(AT$8,'Калькуляция (МИ)'!$AJ$8:$BC$8,0)),'Калькуляция (МИ)'!$F$25:$F$603,$F235,'Калькуляция (МИ)'!$G$25:$G$603,$G235))))</f>
        <v>0</v>
      </c>
      <c r="AU235" s="715">
        <f ca="1">IF(AS235=0,0,(AT235-AS235)/AS235*100)</f>
        <v>0</v>
      </c>
      <c r="AV235" s="836">
        <f ca="1">IF(AND(method_reg="Метод индексации",god&lt;&gt;first_year),SUMIFS(INDEX('Калькуляция (МИ корр)'!$AJ$25:$BC$603,,MATCH(AV$8,'Калькуляция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(МИ)'!$AJ$25:$BC$603,,MATCH(AV$8,'Калькуляция (МИ)'!$AJ$8:$BC$8,0)),'Калькуляция (МИ)'!$F$25:$F$603,$F235,'Калькуляция (МИ)'!$G$25:$G$603,$G235))))</f>
        <v>0</v>
      </c>
      <c r="AW235" s="836">
        <f ca="1">IF(AND(method_reg="Метод индексации",god&lt;&gt;first_year),SUMIFS(INDEX('Калькуляция (МИ корр)'!$AJ$25:$BC$603,,MATCH(AW$8,'Калькуляция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(МИ)'!$AJ$25:$BC$603,,MATCH(AW$8,'Калькуляция (МИ)'!$AJ$8:$BC$8,0)),'Калькуляция (МИ)'!$F$25:$F$603,$F235,'Калькуляция (МИ)'!$G$25:$G$603,$G235))))</f>
        <v>0</v>
      </c>
      <c r="AX235" s="715">
        <f ca="1">IF(AV235=0,0,(AW235-AV235)/AV235*100)</f>
        <v>0</v>
      </c>
      <c r="AY235" s="836">
        <f ca="1">IF(AND(method_reg="Метод индексации",god&lt;&gt;first_year),SUMIFS(INDEX('Калькуляция (МИ корр)'!$AJ$25:$BC$603,,MATCH(AY$8,'Калькуляция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(МИ)'!$AJ$25:$BC$603,,MATCH(AY$8,'Калькуляция (МИ)'!$AJ$8:$BC$8,0)),'Калькуляция (МИ)'!$F$25:$F$603,$F235,'Калькуляция (МИ)'!$G$25:$G$603,$G235))))</f>
        <v>0</v>
      </c>
      <c r="AZ235" s="836">
        <f ca="1">IF(AND(method_reg="Метод индексации",god&lt;&gt;first_year),SUMIFS(INDEX('Калькуляция (МИ корр)'!$AJ$25:$BC$603,,MATCH(AZ$8,'Калькуляция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(МИ)'!$AJ$25:$BC$603,,MATCH(AZ$8,'Калькуляция (МИ)'!$AJ$8:$BC$8,0)),'Калькуляция (МИ)'!$F$25:$F$603,$F235,'Калькуляция (МИ)'!$G$25:$G$603,$G235))))</f>
        <v>0</v>
      </c>
      <c r="BA235" s="715">
        <f ca="1">IF(AY235=0,0,(AZ235-AY235)/AY235*100)</f>
        <v>0</v>
      </c>
      <c r="BB235" s="836">
        <f ca="1">IF(AND(method_reg="Метод индексации",god&lt;&gt;first_year),SUMIFS(INDEX('Калькуляция (МИ корр)'!$AJ$25:$BC$603,,MATCH(BB$8,'Калькуляция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(МИ)'!$AJ$25:$BC$603,,MATCH(BB$8,'Калькуляция (МИ)'!$AJ$8:$BC$8,0)),'Калькуляция (МИ)'!$F$25:$F$603,$F235,'Калькуляция (МИ)'!$G$25:$G$603,$G235))))</f>
        <v>0</v>
      </c>
      <c r="BC235" s="836">
        <f ca="1">IF(AND(method_reg="Метод индексации",god&lt;&gt;first_year),SUMIFS(INDEX('Калькуляция (МИ корр)'!$AJ$25:$BC$603,,MATCH(BC$8,'Калькуляция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(МИ)'!$AJ$25:$BC$603,,MATCH(BC$8,'Калькуляция (МИ)'!$AJ$8:$BC$8,0)),'Калькуляция (МИ)'!$F$25:$F$603,$F235,'Калькуляция (МИ)'!$G$25:$G$603,$G235))))</f>
        <v>0</v>
      </c>
      <c r="BD235" s="715">
        <f ca="1">IF(BB235=0,0,(BC235-BB235)/BB235*100)</f>
        <v>0</v>
      </c>
      <c r="BE235" s="836">
        <f ca="1">IF(AND(method_reg="Метод индексации",god&lt;&gt;first_year),SUMIFS(INDEX('Калькуляция (МИ корр)'!$AJ$25:$BC$603,,MATCH(BE$8,'Калькуляция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(МИ)'!$AJ$25:$BC$603,,MATCH(BE$8,'Калькуляция (МИ)'!$AJ$8:$BC$8,0)),'Калькуляция (МИ)'!$F$25:$F$603,$F235,'Калькуляция (МИ)'!$G$25:$G$603,$G235))))</f>
        <v>0</v>
      </c>
      <c r="BF235" s="836">
        <f ca="1">IF(AND(method_reg="Метод индексации",god&lt;&gt;first_year),SUMIFS(INDEX('Калькуляция (МИ корр)'!$AJ$25:$BC$603,,MATCH(BF$8,'Калькуляция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(МИ)'!$AJ$25:$BC$603,,MATCH(BF$8,'Калькуляция (МИ)'!$AJ$8:$BC$8,0)),'Калькуляция (МИ)'!$F$25:$F$603,$F235,'Калькуляция (МИ)'!$G$25:$G$603,$G235))))</f>
        <v>0</v>
      </c>
      <c r="BG235" s="715">
        <f ca="1">IF(BE235=0,0,(BF235-BE235)/BE235*100)</f>
        <v>0</v>
      </c>
      <c r="BH235" s="836"/>
      <c r="BI235" s="836"/>
      <c r="BJ235" s="715">
        <f>IF(BH235=0,0,(BI235-BH235)/BH235*100)</f>
        <v>0</v>
      </c>
      <c r="BK235" s="836"/>
      <c r="BL235" s="836"/>
      <c r="BM235" s="715">
        <f>IF(BK235=0,0,(BL235-BK235)/BK235*100)</f>
        <v>0</v>
      </c>
      <c r="BN235" s="836"/>
      <c r="BO235" s="836"/>
      <c r="BP235" s="715">
        <f>IF(BN235=0,0,(BO235-BN235)/BN235*100)</f>
        <v>0</v>
      </c>
      <c r="BQ235" s="836"/>
      <c r="BR235" s="836"/>
      <c r="BS235" s="715">
        <f>IF(BQ235=0,0,(BR235-BQ235)/BQ235*100)</f>
        <v>0</v>
      </c>
      <c r="BT235" s="836"/>
      <c r="BU235" s="836"/>
      <c r="BV235" s="715">
        <f>IF(BT235=0,0,(BU235-BT235)/BT235*100)</f>
        <v>0</v>
      </c>
      <c r="BW235" s="836"/>
      <c r="BX235" s="836"/>
      <c r="BY235" s="715">
        <f>IF(BW235=0,0,(BX235-BW235)/BW235*100)</f>
        <v>0</v>
      </c>
      <c r="BZ235" s="836"/>
      <c r="CA235" s="836"/>
      <c r="CB235" s="715">
        <f>IF(BZ235=0,0,(CA235-BZ235)/BZ235*100)</f>
        <v>0</v>
      </c>
      <c r="CC235" s="836"/>
      <c r="CD235" s="836"/>
      <c r="CE235" s="715">
        <f>IF(CC235=0,0,(CD235-CC235)/CC235*100)</f>
        <v>0</v>
      </c>
      <c r="CF235" s="836"/>
      <c r="CG235" s="836"/>
      <c r="CH235" s="715">
        <f>IF(CF235=0,0,(CG235-CF235)/CF235*100)</f>
        <v>0</v>
      </c>
      <c r="CI235" s="836"/>
      <c r="CJ235" s="836"/>
      <c r="CK235" s="715">
        <f>IF(CI235=0,0,(CJ235-CI235)/CI235*100)</f>
        <v>0</v>
      </c>
      <c r="CL235" s="836"/>
      <c r="CM235" s="836"/>
      <c r="CN235" s="715">
        <f>IF(CL235=0,0,(CM235-CL235)/CL235*100)</f>
        <v>0</v>
      </c>
      <c r="CO235" s="836"/>
      <c r="CP235" s="836"/>
      <c r="CQ235" s="715">
        <f>IF(CO235=0,0,(CP235-CO235)/CO235*100)</f>
        <v>0</v>
      </c>
      <c r="CR235" s="836"/>
      <c r="CS235" s="836"/>
      <c r="CT235" s="715">
        <f>IF(CR235=0,0,(CS235-CR235)/CR235*100)</f>
        <v>0</v>
      </c>
      <c r="CU235" s="836"/>
      <c r="CV235" s="836"/>
      <c r="CW235" s="715">
        <f>IF(CU235=0,0,(CV235-CU235)/CU235*100)</f>
        <v>0</v>
      </c>
      <c r="CX235" s="836"/>
      <c r="CY235" s="836"/>
      <c r="CZ235" s="715">
        <f>IF(CX235=0,0,(CY235-CX235)/CX235*100)</f>
        <v>0</v>
      </c>
      <c r="DA235" s="836"/>
      <c r="DB235" s="836"/>
      <c r="DC235" s="715">
        <f>IF(DA235=0,0,(DB235-DA235)/DA235*100)</f>
        <v>0</v>
      </c>
      <c r="DD235" s="836"/>
      <c r="DE235" s="836"/>
      <c r="DF235" s="715">
        <f>IF(DD235=0,0,(DE235-DD235)/DD235*100)</f>
        <v>0</v>
      </c>
      <c r="DG235" s="836"/>
      <c r="DH235" s="836"/>
      <c r="DI235" s="715">
        <f>IF(DG235=0,0,(DH235-DG235)/DG235*100)</f>
        <v>0</v>
      </c>
      <c r="DJ235" s="836"/>
      <c r="DK235" s="836"/>
      <c r="DL235" s="715">
        <f>IF(DJ235=0,0,(DK235-DJ235)/DJ235*100)</f>
        <v>0</v>
      </c>
      <c r="DM235" s="836"/>
      <c r="DN235" s="836"/>
      <c r="DO235" s="715">
        <f>IF(DM235=0,0,(DN235-DM235)/DM235*100)</f>
        <v>0</v>
      </c>
      <c r="DP235" s="836"/>
      <c r="DQ235" s="836"/>
      <c r="DR235" s="715">
        <f>IF(DP235=0,0,(DQ235-DP235)/DP235*100)</f>
        <v>0</v>
      </c>
      <c r="DS235" s="836"/>
      <c r="DT235" s="836"/>
      <c r="DU235" s="715">
        <f>IF(DS235=0,0,(DT235-DS235)/DS235*100)</f>
        <v>0</v>
      </c>
      <c r="DV235" s="836"/>
      <c r="DW235" s="836"/>
      <c r="DX235" s="715">
        <f>IF(DV235=0,0,(DW235-DV235)/DV235*100)</f>
        <v>0</v>
      </c>
      <c r="DY235" s="836"/>
      <c r="DZ235" s="836"/>
      <c r="EA235" s="715">
        <f>IF(DY235=0,0,(DZ235-DY235)/DY235*100)</f>
        <v>0</v>
      </c>
      <c r="EB235" s="836"/>
      <c r="EC235" s="836"/>
      <c r="ED235" s="715">
        <f>IF(EB235=0,0,(EC235-EB235)/EB235*100)</f>
        <v>0</v>
      </c>
      <c r="EE235" s="836"/>
      <c r="EF235" s="836"/>
      <c r="EG235" s="715">
        <f>IF(EE235=0,0,(EF235-EE235)/EE235*100)</f>
        <v>0</v>
      </c>
      <c r="EH235" s="836"/>
      <c r="EI235" s="836"/>
      <c r="EJ235" s="715">
        <f>IF(EH235=0,0,(EI235-EH235)/EH235*100)</f>
        <v>0</v>
      </c>
      <c r="EK235" s="836"/>
      <c r="EL235" s="836"/>
      <c r="EM235" s="715">
        <f>IF(EK235=0,0,(EL235-EK235)/EK235*100)</f>
        <v>0</v>
      </c>
      <c r="EN235" s="836"/>
      <c r="EO235" s="836"/>
      <c r="EP235" s="715">
        <f>IF(EN235=0,0,(EO235-EN235)/EN235*100)</f>
        <v>0</v>
      </c>
      <c r="EQ235" s="836"/>
      <c r="ER235" s="836"/>
      <c r="ES235" s="715">
        <f>IF(EQ235=0,0,(ER235-EQ235)/EQ235*100)</f>
        <v>0</v>
      </c>
      <c r="ET235" s="836"/>
      <c r="EU235" s="836"/>
      <c r="EV235" s="715">
        <f>IF(ET235=0,0,(EU235-ET235)/ET235*100)</f>
        <v>0</v>
      </c>
      <c r="EW235" s="836"/>
      <c r="EX235" s="836"/>
      <c r="EY235" s="715">
        <f>IF(EW235=0,0,(EX235-EW235)/EW235*100)</f>
        <v>0</v>
      </c>
      <c r="EZ235" s="836"/>
      <c r="FA235" s="836"/>
      <c r="FB235" s="715">
        <f>IF(EZ235=0,0,(FA235-EZ235)/EZ235*100)</f>
        <v>0</v>
      </c>
      <c r="FC235" s="836"/>
      <c r="FD235" s="836"/>
      <c r="FE235" s="715">
        <f>IF(FC235=0,0,(FD235-FC235)/FC235*100)</f>
        <v>0</v>
      </c>
      <c r="FF235" s="836"/>
      <c r="FG235" s="836"/>
      <c r="FH235" s="715">
        <f>IF(FF235=0,0,(FG235-FF235)/FF235*100)</f>
        <v>0</v>
      </c>
      <c r="FI235" s="836"/>
      <c r="FJ235" s="836"/>
      <c r="FK235" s="715">
        <f>IF(FI235=0,0,(FJ235-FI235)/FI235*100)</f>
        <v>0</v>
      </c>
      <c r="FL235" s="836"/>
      <c r="FM235" s="836"/>
      <c r="FN235" s="715">
        <f>IF(FL235=0,0,(FM235-FL235)/FL235*100)</f>
        <v>0</v>
      </c>
      <c r="FO235" s="836"/>
      <c r="FP235" s="836"/>
      <c r="FQ235" s="715">
        <f>IF(FO235=0,0,(FP235-FO235)/FO235*100)</f>
        <v>0</v>
      </c>
      <c r="FR235" s="836"/>
      <c r="FS235" s="836"/>
      <c r="FT235" s="715">
        <f>IF(FR235=0,0,(FS235-FR235)/FR235*100)</f>
        <v>0</v>
      </c>
      <c r="FU235" s="836"/>
      <c r="FV235" s="836"/>
      <c r="FW235" s="715">
        <f>IF(FU235=0,0,(FV235-FU235)/FU235*100)</f>
        <v>0</v>
      </c>
      <c r="FZ235" s="691" t="s">
        <v>1708</v>
      </c>
    </row>
    <row r="236" spans="1:186" ht="21.75" hidden="1" customHeight="1" x14ac:dyDescent="0.15">
      <c r="A236" s="59"/>
      <c r="B236" s="613" t="b" cm="1">
        <f t="array" ref="B236">B235</f>
        <v>0</v>
      </c>
      <c r="C236" s="59"/>
      <c r="D236" s="59"/>
      <c r="E236" s="462">
        <v>22.5</v>
      </c>
      <c r="F236" s="3" t="str" cm="1">
        <f t="array" aca="1" ref="F236" ca="1">OFFSET(E236,-1,1)</f>
        <v>3</v>
      </c>
      <c r="G236" s="59"/>
      <c r="H236" s="59" t="s">
        <v>1683</v>
      </c>
      <c r="I236" s="59" t="s">
        <v>1661</v>
      </c>
      <c r="J236" s="59"/>
      <c r="K236" s="59"/>
      <c r="L236" s="59"/>
      <c r="M236" s="59"/>
      <c r="N236" s="59"/>
      <c r="O236" s="59"/>
      <c r="P236" s="59"/>
      <c r="Q236" s="59"/>
      <c r="R236" s="59"/>
      <c r="S236" s="59"/>
      <c r="T236" s="353" t="b" cm="1">
        <f t="array" aca="1" ref="T236" ca="1">T235</f>
        <v>1</v>
      </c>
      <c r="U236" s="59"/>
      <c r="V236" s="59"/>
      <c r="W236" s="59"/>
      <c r="X236" s="1022"/>
      <c r="Y236" s="59"/>
      <c r="Z236" s="966"/>
      <c r="AA236" s="59"/>
      <c r="AB236" s="105" t="str">
        <f>"ставка платы за содержание системы "&amp;IF(Q197="Водоснабжение","холодного водоснабжения","водоотведения")</f>
        <v>ставка платы за содержание системы водоотведения</v>
      </c>
      <c r="AC236" s="12" t="s">
        <v>1684</v>
      </c>
      <c r="AD236" s="820"/>
      <c r="AE236" s="820"/>
      <c r="AF236" s="714">
        <f>IF(AD236=0,0,(AE236-AD236)/AD236*100)</f>
        <v>0</v>
      </c>
      <c r="AG236" s="820"/>
      <c r="AH236" s="820"/>
      <c r="AI236" s="714">
        <f>IF(AG236=0,0,(AH236-AG236)/AG236*100)</f>
        <v>0</v>
      </c>
      <c r="AJ236" s="820"/>
      <c r="AK236" s="820"/>
      <c r="AL236" s="714">
        <f>IF(AJ236=0,0,(AK236-AJ236)/AJ236*100)</f>
        <v>0</v>
      </c>
      <c r="AM236" s="820"/>
      <c r="AN236" s="820"/>
      <c r="AO236" s="714">
        <f>IF(AM236=0,0,(AN236-AM236)/AM236*100)</f>
        <v>0</v>
      </c>
      <c r="AP236" s="820"/>
      <c r="AQ236" s="820"/>
      <c r="AR236" s="714">
        <f>IF(AP236=0,0,(AQ236-AP236)/AP236*100)</f>
        <v>0</v>
      </c>
      <c r="AS236" s="820"/>
      <c r="AT236" s="820"/>
      <c r="AU236" s="714">
        <f>IF(AS236=0,0,(AT236-AS236)/AS236*100)</f>
        <v>0</v>
      </c>
      <c r="AV236" s="820"/>
      <c r="AW236" s="820"/>
      <c r="AX236" s="714">
        <f>IF(AV236=0,0,(AW236-AV236)/AV236*100)</f>
        <v>0</v>
      </c>
      <c r="AY236" s="820"/>
      <c r="AZ236" s="820"/>
      <c r="BA236" s="714">
        <f>IF(AY236=0,0,(AZ236-AY236)/AY236*100)</f>
        <v>0</v>
      </c>
      <c r="BB236" s="820"/>
      <c r="BC236" s="820"/>
      <c r="BD236" s="714">
        <f>IF(BB236=0,0,(BC236-BB236)/BB236*100)</f>
        <v>0</v>
      </c>
      <c r="BE236" s="820"/>
      <c r="BF236" s="820"/>
      <c r="BG236" s="714">
        <f>IF(BE236=0,0,(BF236-BE236)/BE236*100)</f>
        <v>0</v>
      </c>
      <c r="BH236" s="820"/>
      <c r="BI236" s="820"/>
      <c r="BJ236" s="714">
        <f>IF(BH236=0,0,(BI236-BH236)/BH236*100)</f>
        <v>0</v>
      </c>
      <c r="BK236" s="820"/>
      <c r="BL236" s="820"/>
      <c r="BM236" s="714">
        <f>IF(BK236=0,0,(BL236-BK236)/BK236*100)</f>
        <v>0</v>
      </c>
      <c r="BN236" s="820"/>
      <c r="BO236" s="820"/>
      <c r="BP236" s="714">
        <f>IF(BN236=0,0,(BO236-BN236)/BN236*100)</f>
        <v>0</v>
      </c>
      <c r="BQ236" s="820"/>
      <c r="BR236" s="820"/>
      <c r="BS236" s="714">
        <f>IF(BQ236=0,0,(BR236-BQ236)/BQ236*100)</f>
        <v>0</v>
      </c>
      <c r="BT236" s="820"/>
      <c r="BU236" s="820"/>
      <c r="BV236" s="714">
        <f>IF(BT236=0,0,(BU236-BT236)/BT236*100)</f>
        <v>0</v>
      </c>
      <c r="BW236" s="820"/>
      <c r="BX236" s="820"/>
      <c r="BY236" s="714">
        <f>IF(BW236=0,0,(BX236-BW236)/BW236*100)</f>
        <v>0</v>
      </c>
      <c r="BZ236" s="820"/>
      <c r="CA236" s="820"/>
      <c r="CB236" s="714">
        <f>IF(BZ236=0,0,(CA236-BZ236)/BZ236*100)</f>
        <v>0</v>
      </c>
      <c r="CC236" s="820"/>
      <c r="CD236" s="820"/>
      <c r="CE236" s="714">
        <f>IF(CC236=0,0,(CD236-CC236)/CC236*100)</f>
        <v>0</v>
      </c>
      <c r="CF236" s="820"/>
      <c r="CG236" s="820"/>
      <c r="CH236" s="714">
        <f>IF(CF236=0,0,(CG236-CF236)/CF236*100)</f>
        <v>0</v>
      </c>
      <c r="CI236" s="820"/>
      <c r="CJ236" s="820"/>
      <c r="CK236" s="714">
        <f>IF(CI236=0,0,(CJ236-CI236)/CI236*100)</f>
        <v>0</v>
      </c>
      <c r="CL236" s="820"/>
      <c r="CM236" s="820"/>
      <c r="CN236" s="714">
        <f>IF(CL236=0,0,(CM236-CL236)/CL236*100)</f>
        <v>0</v>
      </c>
      <c r="CO236" s="820"/>
      <c r="CP236" s="820"/>
      <c r="CQ236" s="714">
        <f>IF(CO236=0,0,(CP236-CO236)/CO236*100)</f>
        <v>0</v>
      </c>
      <c r="CR236" s="820"/>
      <c r="CS236" s="820"/>
      <c r="CT236" s="714">
        <f>IF(CR236=0,0,(CS236-CR236)/CR236*100)</f>
        <v>0</v>
      </c>
      <c r="CU236" s="820"/>
      <c r="CV236" s="820"/>
      <c r="CW236" s="714">
        <f>IF(CU236=0,0,(CV236-CU236)/CU236*100)</f>
        <v>0</v>
      </c>
      <c r="CX236" s="820"/>
      <c r="CY236" s="820"/>
      <c r="CZ236" s="714">
        <f>IF(CX236=0,0,(CY236-CX236)/CX236*100)</f>
        <v>0</v>
      </c>
      <c r="DA236" s="820"/>
      <c r="DB236" s="820"/>
      <c r="DC236" s="714">
        <f>IF(DA236=0,0,(DB236-DA236)/DA236*100)</f>
        <v>0</v>
      </c>
      <c r="DD236" s="820"/>
      <c r="DE236" s="820"/>
      <c r="DF236" s="714">
        <f>IF(DD236=0,0,(DE236-DD236)/DD236*100)</f>
        <v>0</v>
      </c>
      <c r="DG236" s="820"/>
      <c r="DH236" s="820"/>
      <c r="DI236" s="714">
        <f>IF(DG236=0,0,(DH236-DG236)/DG236*100)</f>
        <v>0</v>
      </c>
      <c r="DJ236" s="820"/>
      <c r="DK236" s="820"/>
      <c r="DL236" s="714">
        <f>IF(DJ236=0,0,(DK236-DJ236)/DJ236*100)</f>
        <v>0</v>
      </c>
      <c r="DM236" s="820"/>
      <c r="DN236" s="820"/>
      <c r="DO236" s="714">
        <f>IF(DM236=0,0,(DN236-DM236)/DM236*100)</f>
        <v>0</v>
      </c>
      <c r="DP236" s="820"/>
      <c r="DQ236" s="820"/>
      <c r="DR236" s="714">
        <f>IF(DP236=0,0,(DQ236-DP236)/DP236*100)</f>
        <v>0</v>
      </c>
      <c r="DS236" s="820"/>
      <c r="DT236" s="820"/>
      <c r="DU236" s="714">
        <f>IF(DS236=0,0,(DT236-DS236)/DS236*100)</f>
        <v>0</v>
      </c>
      <c r="DV236" s="820"/>
      <c r="DW236" s="820"/>
      <c r="DX236" s="714">
        <f>IF(DV236=0,0,(DW236-DV236)/DV236*100)</f>
        <v>0</v>
      </c>
      <c r="DY236" s="820"/>
      <c r="DZ236" s="820"/>
      <c r="EA236" s="714">
        <f>IF(DY236=0,0,(DZ236-DY236)/DY236*100)</f>
        <v>0</v>
      </c>
      <c r="EB236" s="820"/>
      <c r="EC236" s="820"/>
      <c r="ED236" s="714">
        <f>IF(EB236=0,0,(EC236-EB236)/EB236*100)</f>
        <v>0</v>
      </c>
      <c r="EE236" s="820"/>
      <c r="EF236" s="820"/>
      <c r="EG236" s="714">
        <f>IF(EE236=0,0,(EF236-EE236)/EE236*100)</f>
        <v>0</v>
      </c>
      <c r="EH236" s="820"/>
      <c r="EI236" s="820"/>
      <c r="EJ236" s="714">
        <f>IF(EH236=0,0,(EI236-EH236)/EH236*100)</f>
        <v>0</v>
      </c>
      <c r="EK236" s="820"/>
      <c r="EL236" s="820"/>
      <c r="EM236" s="714">
        <f>IF(EK236=0,0,(EL236-EK236)/EK236*100)</f>
        <v>0</v>
      </c>
      <c r="EN236" s="820"/>
      <c r="EO236" s="820"/>
      <c r="EP236" s="714">
        <f>IF(EN236=0,0,(EO236-EN236)/EN236*100)</f>
        <v>0</v>
      </c>
      <c r="EQ236" s="820"/>
      <c r="ER236" s="820"/>
      <c r="ES236" s="714">
        <f>IF(EQ236=0,0,(ER236-EQ236)/EQ236*100)</f>
        <v>0</v>
      </c>
      <c r="ET236" s="820"/>
      <c r="EU236" s="820"/>
      <c r="EV236" s="714">
        <f>IF(ET236=0,0,(EU236-ET236)/ET236*100)</f>
        <v>0</v>
      </c>
      <c r="EW236" s="820"/>
      <c r="EX236" s="820"/>
      <c r="EY236" s="714">
        <f>IF(EW236=0,0,(EX236-EW236)/EW236*100)</f>
        <v>0</v>
      </c>
      <c r="EZ236" s="820"/>
      <c r="FA236" s="820"/>
      <c r="FB236" s="714">
        <f>IF(EZ236=0,0,(FA236-EZ236)/EZ236*100)</f>
        <v>0</v>
      </c>
      <c r="FC236" s="820"/>
      <c r="FD236" s="820"/>
      <c r="FE236" s="714">
        <f>IF(FC236=0,0,(FD236-FC236)/FC236*100)</f>
        <v>0</v>
      </c>
      <c r="FF236" s="820"/>
      <c r="FG236" s="820"/>
      <c r="FH236" s="714">
        <f>IF(FF236=0,0,(FG236-FF236)/FF236*100)</f>
        <v>0</v>
      </c>
      <c r="FI236" s="820"/>
      <c r="FJ236" s="820"/>
      <c r="FK236" s="714">
        <f>IF(FI236=0,0,(FJ236-FI236)/FI236*100)</f>
        <v>0</v>
      </c>
      <c r="FL236" s="820"/>
      <c r="FM236" s="820"/>
      <c r="FN236" s="714">
        <f>IF(FL236=0,0,(FM236-FL236)/FL236*100)</f>
        <v>0</v>
      </c>
      <c r="FO236" s="820"/>
      <c r="FP236" s="820"/>
      <c r="FQ236" s="714">
        <f>IF(FO236=0,0,(FP236-FO236)/FO236*100)</f>
        <v>0</v>
      </c>
      <c r="FR236" s="820"/>
      <c r="FS236" s="820"/>
      <c r="FT236" s="714">
        <f>IF(FR236=0,0,(FS236-FR236)/FR236*100)</f>
        <v>0</v>
      </c>
      <c r="FU236" s="820"/>
      <c r="FV236" s="820"/>
      <c r="FW236" s="714">
        <f>IF(FU236=0,0,(FV236-FU236)/FU236*100)</f>
        <v>0</v>
      </c>
      <c r="FZ236" s="691" t="s">
        <v>1709</v>
      </c>
    </row>
    <row r="237" spans="1:186" ht="14.25" hidden="1" customHeight="1" x14ac:dyDescent="0.15">
      <c r="A237" s="59"/>
      <c r="B237" s="613" t="b" cm="1">
        <f t="array" ref="B237">B236</f>
        <v>0</v>
      </c>
      <c r="C237" s="59"/>
      <c r="D237" s="59"/>
      <c r="E237" s="462">
        <v>15</v>
      </c>
      <c r="F237" s="3" t="str" cm="1">
        <f t="array" aca="1" ref="F237" ca="1">OFFSET(E237,-1,1)</f>
        <v>3</v>
      </c>
      <c r="G237" s="59"/>
      <c r="H237" s="59" t="s">
        <v>1686</v>
      </c>
      <c r="I237" s="59" t="s">
        <v>1661</v>
      </c>
      <c r="J237" s="59"/>
      <c r="K237" s="59"/>
      <c r="L237" s="59"/>
      <c r="M237" s="59"/>
      <c r="N237" s="59"/>
      <c r="O237" s="59"/>
      <c r="P237" s="59"/>
      <c r="Q237" s="59"/>
      <c r="R237" s="59"/>
      <c r="S237" s="59"/>
      <c r="T237" s="353" t="b" cm="1">
        <f t="array" aca="1" ref="T237" ca="1">T236</f>
        <v>1</v>
      </c>
      <c r="U237" s="59"/>
      <c r="V237" s="59"/>
      <c r="W237" s="59"/>
      <c r="X237" s="1022"/>
      <c r="Y237" s="59"/>
      <c r="Z237" s="966"/>
      <c r="AA237" s="59"/>
      <c r="AB237" s="105" t="s">
        <v>1687</v>
      </c>
      <c r="AC237" s="12" t="s">
        <v>1688</v>
      </c>
      <c r="AD237" s="820"/>
      <c r="AE237" s="820"/>
      <c r="AF237" s="714">
        <f>IF(AD237=0,0,(AE237-AD237)/AD237*100)</f>
        <v>0</v>
      </c>
      <c r="AG237" s="820"/>
      <c r="AH237" s="820"/>
      <c r="AI237" s="714">
        <f>IF(AG237=0,0,(AH237-AG237)/AG237*100)</f>
        <v>0</v>
      </c>
      <c r="AJ237" s="820"/>
      <c r="AK237" s="820"/>
      <c r="AL237" s="714">
        <f>IF(AJ237=0,0,(AK237-AJ237)/AJ237*100)</f>
        <v>0</v>
      </c>
      <c r="AM237" s="820"/>
      <c r="AN237" s="820"/>
      <c r="AO237" s="714">
        <f>IF(AM237=0,0,(AN237-AM237)/AM237*100)</f>
        <v>0</v>
      </c>
      <c r="AP237" s="820"/>
      <c r="AQ237" s="820"/>
      <c r="AR237" s="714">
        <f>IF(AP237=0,0,(AQ237-AP237)/AP237*100)</f>
        <v>0</v>
      </c>
      <c r="AS237" s="820"/>
      <c r="AT237" s="820"/>
      <c r="AU237" s="714">
        <f>IF(AS237=0,0,(AT237-AS237)/AS237*100)</f>
        <v>0</v>
      </c>
      <c r="AV237" s="820"/>
      <c r="AW237" s="820"/>
      <c r="AX237" s="714">
        <f>IF(AV237=0,0,(AW237-AV237)/AV237*100)</f>
        <v>0</v>
      </c>
      <c r="AY237" s="820"/>
      <c r="AZ237" s="820"/>
      <c r="BA237" s="714">
        <f>IF(AY237=0,0,(AZ237-AY237)/AY237*100)</f>
        <v>0</v>
      </c>
      <c r="BB237" s="820"/>
      <c r="BC237" s="820"/>
      <c r="BD237" s="714">
        <f>IF(BB237=0,0,(BC237-BB237)/BB237*100)</f>
        <v>0</v>
      </c>
      <c r="BE237" s="820"/>
      <c r="BF237" s="820"/>
      <c r="BG237" s="714">
        <f>IF(BE237=0,0,(BF237-BE237)/BE237*100)</f>
        <v>0</v>
      </c>
      <c r="BH237" s="820"/>
      <c r="BI237" s="820"/>
      <c r="BJ237" s="714">
        <f>IF(BH237=0,0,(BI237-BH237)/BH237*100)</f>
        <v>0</v>
      </c>
      <c r="BK237" s="820"/>
      <c r="BL237" s="820"/>
      <c r="BM237" s="714">
        <f>IF(BK237=0,0,(BL237-BK237)/BK237*100)</f>
        <v>0</v>
      </c>
      <c r="BN237" s="820"/>
      <c r="BO237" s="820"/>
      <c r="BP237" s="714">
        <f>IF(BN237=0,0,(BO237-BN237)/BN237*100)</f>
        <v>0</v>
      </c>
      <c r="BQ237" s="820"/>
      <c r="BR237" s="820"/>
      <c r="BS237" s="714">
        <f>IF(BQ237=0,0,(BR237-BQ237)/BQ237*100)</f>
        <v>0</v>
      </c>
      <c r="BT237" s="820"/>
      <c r="BU237" s="820"/>
      <c r="BV237" s="714">
        <f>IF(BT237=0,0,(BU237-BT237)/BT237*100)</f>
        <v>0</v>
      </c>
      <c r="BW237" s="820"/>
      <c r="BX237" s="820"/>
      <c r="BY237" s="714">
        <f>IF(BW237=0,0,(BX237-BW237)/BW237*100)</f>
        <v>0</v>
      </c>
      <c r="BZ237" s="820"/>
      <c r="CA237" s="820"/>
      <c r="CB237" s="714">
        <f>IF(BZ237=0,0,(CA237-BZ237)/BZ237*100)</f>
        <v>0</v>
      </c>
      <c r="CC237" s="820"/>
      <c r="CD237" s="820"/>
      <c r="CE237" s="714">
        <f>IF(CC237=0,0,(CD237-CC237)/CC237*100)</f>
        <v>0</v>
      </c>
      <c r="CF237" s="820"/>
      <c r="CG237" s="820"/>
      <c r="CH237" s="714">
        <f>IF(CF237=0,0,(CG237-CF237)/CF237*100)</f>
        <v>0</v>
      </c>
      <c r="CI237" s="820"/>
      <c r="CJ237" s="820"/>
      <c r="CK237" s="714">
        <f>IF(CI237=0,0,(CJ237-CI237)/CI237*100)</f>
        <v>0</v>
      </c>
      <c r="CL237" s="820"/>
      <c r="CM237" s="820"/>
      <c r="CN237" s="714">
        <f>IF(CL237=0,0,(CM237-CL237)/CL237*100)</f>
        <v>0</v>
      </c>
      <c r="CO237" s="820"/>
      <c r="CP237" s="820"/>
      <c r="CQ237" s="714">
        <f>IF(CO237=0,0,(CP237-CO237)/CO237*100)</f>
        <v>0</v>
      </c>
      <c r="CR237" s="820"/>
      <c r="CS237" s="820"/>
      <c r="CT237" s="714">
        <f>IF(CR237=0,0,(CS237-CR237)/CR237*100)</f>
        <v>0</v>
      </c>
      <c r="CU237" s="820"/>
      <c r="CV237" s="820"/>
      <c r="CW237" s="714">
        <f>IF(CU237=0,0,(CV237-CU237)/CU237*100)</f>
        <v>0</v>
      </c>
      <c r="CX237" s="820"/>
      <c r="CY237" s="820"/>
      <c r="CZ237" s="714">
        <f>IF(CX237=0,0,(CY237-CX237)/CX237*100)</f>
        <v>0</v>
      </c>
      <c r="DA237" s="820"/>
      <c r="DB237" s="820"/>
      <c r="DC237" s="714">
        <f>IF(DA237=0,0,(DB237-DA237)/DA237*100)</f>
        <v>0</v>
      </c>
      <c r="DD237" s="820"/>
      <c r="DE237" s="820"/>
      <c r="DF237" s="714">
        <f>IF(DD237=0,0,(DE237-DD237)/DD237*100)</f>
        <v>0</v>
      </c>
      <c r="DG237" s="820"/>
      <c r="DH237" s="820"/>
      <c r="DI237" s="714">
        <f>IF(DG237=0,0,(DH237-DG237)/DG237*100)</f>
        <v>0</v>
      </c>
      <c r="DJ237" s="820"/>
      <c r="DK237" s="820"/>
      <c r="DL237" s="714">
        <f>IF(DJ237=0,0,(DK237-DJ237)/DJ237*100)</f>
        <v>0</v>
      </c>
      <c r="DM237" s="820"/>
      <c r="DN237" s="820"/>
      <c r="DO237" s="714">
        <f>IF(DM237=0,0,(DN237-DM237)/DM237*100)</f>
        <v>0</v>
      </c>
      <c r="DP237" s="820"/>
      <c r="DQ237" s="820"/>
      <c r="DR237" s="714">
        <f>IF(DP237=0,0,(DQ237-DP237)/DP237*100)</f>
        <v>0</v>
      </c>
      <c r="DS237" s="820"/>
      <c r="DT237" s="820"/>
      <c r="DU237" s="714">
        <f>IF(DS237=0,0,(DT237-DS237)/DS237*100)</f>
        <v>0</v>
      </c>
      <c r="DV237" s="820"/>
      <c r="DW237" s="820"/>
      <c r="DX237" s="714">
        <f>IF(DV237=0,0,(DW237-DV237)/DV237*100)</f>
        <v>0</v>
      </c>
      <c r="DY237" s="820"/>
      <c r="DZ237" s="820"/>
      <c r="EA237" s="714">
        <f>IF(DY237=0,0,(DZ237-DY237)/DY237*100)</f>
        <v>0</v>
      </c>
      <c r="EB237" s="820"/>
      <c r="EC237" s="820"/>
      <c r="ED237" s="714">
        <f>IF(EB237=0,0,(EC237-EB237)/EB237*100)</f>
        <v>0</v>
      </c>
      <c r="EE237" s="820"/>
      <c r="EF237" s="820"/>
      <c r="EG237" s="714">
        <f>IF(EE237=0,0,(EF237-EE237)/EE237*100)</f>
        <v>0</v>
      </c>
      <c r="EH237" s="820"/>
      <c r="EI237" s="820"/>
      <c r="EJ237" s="714">
        <f>IF(EH237=0,0,(EI237-EH237)/EH237*100)</f>
        <v>0</v>
      </c>
      <c r="EK237" s="820"/>
      <c r="EL237" s="820"/>
      <c r="EM237" s="714">
        <f>IF(EK237=0,0,(EL237-EK237)/EK237*100)</f>
        <v>0</v>
      </c>
      <c r="EN237" s="820"/>
      <c r="EO237" s="820"/>
      <c r="EP237" s="714">
        <f>IF(EN237=0,0,(EO237-EN237)/EN237*100)</f>
        <v>0</v>
      </c>
      <c r="EQ237" s="820"/>
      <c r="ER237" s="820"/>
      <c r="ES237" s="714">
        <f>IF(EQ237=0,0,(ER237-EQ237)/EQ237*100)</f>
        <v>0</v>
      </c>
      <c r="ET237" s="820"/>
      <c r="EU237" s="820"/>
      <c r="EV237" s="714">
        <f>IF(ET237=0,0,(EU237-ET237)/ET237*100)</f>
        <v>0</v>
      </c>
      <c r="EW237" s="820"/>
      <c r="EX237" s="820"/>
      <c r="EY237" s="714">
        <f>IF(EW237=0,0,(EX237-EW237)/EW237*100)</f>
        <v>0</v>
      </c>
      <c r="EZ237" s="820"/>
      <c r="FA237" s="820"/>
      <c r="FB237" s="714">
        <f>IF(EZ237=0,0,(FA237-EZ237)/EZ237*100)</f>
        <v>0</v>
      </c>
      <c r="FC237" s="820"/>
      <c r="FD237" s="820"/>
      <c r="FE237" s="714">
        <f>IF(FC237=0,0,(FD237-FC237)/FC237*100)</f>
        <v>0</v>
      </c>
      <c r="FF237" s="820"/>
      <c r="FG237" s="820"/>
      <c r="FH237" s="714">
        <f>IF(FF237=0,0,(FG237-FF237)/FF237*100)</f>
        <v>0</v>
      </c>
      <c r="FI237" s="820"/>
      <c r="FJ237" s="820"/>
      <c r="FK237" s="714">
        <f>IF(FI237=0,0,(FJ237-FI237)/FI237*100)</f>
        <v>0</v>
      </c>
      <c r="FL237" s="820"/>
      <c r="FM237" s="820"/>
      <c r="FN237" s="714">
        <f>IF(FL237=0,0,(FM237-FL237)/FL237*100)</f>
        <v>0</v>
      </c>
      <c r="FO237" s="820"/>
      <c r="FP237" s="820"/>
      <c r="FQ237" s="714">
        <f>IF(FO237=0,0,(FP237-FO237)/FO237*100)</f>
        <v>0</v>
      </c>
      <c r="FR237" s="820"/>
      <c r="FS237" s="820"/>
      <c r="FT237" s="714">
        <f>IF(FR237=0,0,(FS237-FR237)/FR237*100)</f>
        <v>0</v>
      </c>
      <c r="FU237" s="820"/>
      <c r="FV237" s="820"/>
      <c r="FW237" s="714">
        <f>IF(FU237=0,0,(FV237-FU237)/FU237*100)</f>
        <v>0</v>
      </c>
      <c r="FZ237" s="691" t="s">
        <v>1710</v>
      </c>
    </row>
    <row r="238" spans="1:186" ht="18" hidden="1" customHeight="1" x14ac:dyDescent="0.15">
      <c r="A238" s="59"/>
      <c r="B238" s="613" t="b" cm="1">
        <f t="array" ref="B238">B237</f>
        <v>0</v>
      </c>
      <c r="C238" s="59"/>
      <c r="D238" s="59"/>
      <c r="E238" s="462">
        <v>18.75</v>
      </c>
      <c r="F238" s="3" t="str" cm="1">
        <f t="array" aca="1" ref="F238" ca="1">OFFSET(E238,-1,1)</f>
        <v>3</v>
      </c>
      <c r="G238" s="59"/>
      <c r="H238" s="59"/>
      <c r="I238" s="59"/>
      <c r="J238" s="59"/>
      <c r="K238" s="59"/>
      <c r="L238" s="59"/>
      <c r="M238" s="59"/>
      <c r="N238" s="59"/>
      <c r="O238" s="59"/>
      <c r="P238" s="59"/>
      <c r="Q238" s="59"/>
      <c r="R238" s="59"/>
      <c r="S238" s="59"/>
      <c r="T238" s="353" t="b">
        <f ca="1">AND(F238&gt;0,Y238&gt;0)</f>
        <v>0</v>
      </c>
      <c r="U238" s="59"/>
      <c r="V238" s="59"/>
      <c r="W238" s="59" t="s">
        <v>172</v>
      </c>
      <c r="X238" s="1022"/>
      <c r="Y238" s="1022">
        <v>0</v>
      </c>
      <c r="Z238" s="966"/>
      <c r="AA238" s="913" t="s">
        <v>173</v>
      </c>
      <c r="AB238" s="863"/>
      <c r="AC238" s="584"/>
      <c r="AD238" s="720"/>
      <c r="AE238" s="721"/>
      <c r="AF238" s="721"/>
      <c r="AG238" s="720"/>
      <c r="AH238" s="721"/>
      <c r="AI238" s="721"/>
      <c r="AJ238" s="720"/>
      <c r="AK238" s="721"/>
      <c r="AL238" s="721"/>
      <c r="AM238" s="720"/>
      <c r="AN238" s="721"/>
      <c r="AO238" s="721"/>
      <c r="AP238" s="720"/>
      <c r="AQ238" s="721"/>
      <c r="AR238" s="721"/>
      <c r="AS238" s="720"/>
      <c r="AT238" s="721"/>
      <c r="AU238" s="721"/>
      <c r="AV238" s="720"/>
      <c r="AW238" s="721"/>
      <c r="AX238" s="721"/>
      <c r="AY238" s="720"/>
      <c r="AZ238" s="721"/>
      <c r="BA238" s="721"/>
      <c r="BB238" s="720"/>
      <c r="BC238" s="721"/>
      <c r="BD238" s="721"/>
      <c r="BE238" s="720"/>
      <c r="BF238" s="721"/>
      <c r="BG238" s="721"/>
      <c r="BH238" s="720"/>
      <c r="BI238" s="721"/>
      <c r="BJ238" s="721"/>
      <c r="BK238" s="720"/>
      <c r="BL238" s="721"/>
      <c r="BM238" s="721"/>
      <c r="BN238" s="720"/>
      <c r="BO238" s="721"/>
      <c r="BP238" s="721"/>
      <c r="BQ238" s="720"/>
      <c r="BR238" s="721"/>
      <c r="BS238" s="721"/>
      <c r="BT238" s="720"/>
      <c r="BU238" s="721"/>
      <c r="BV238" s="721"/>
      <c r="BW238" s="720"/>
      <c r="BX238" s="721"/>
      <c r="BY238" s="721"/>
      <c r="BZ238" s="720"/>
      <c r="CA238" s="721"/>
      <c r="CB238" s="721"/>
      <c r="CC238" s="720"/>
      <c r="CD238" s="721"/>
      <c r="CE238" s="721"/>
      <c r="CF238" s="720"/>
      <c r="CG238" s="721"/>
      <c r="CH238" s="721"/>
      <c r="CI238" s="720"/>
      <c r="CJ238" s="721"/>
      <c r="CK238" s="721"/>
      <c r="CL238" s="720"/>
      <c r="CM238" s="721"/>
      <c r="CN238" s="721"/>
      <c r="CO238" s="720"/>
      <c r="CP238" s="721"/>
      <c r="CQ238" s="721"/>
      <c r="CR238" s="720"/>
      <c r="CS238" s="721"/>
      <c r="CT238" s="721"/>
      <c r="CU238" s="720"/>
      <c r="CV238" s="721"/>
      <c r="CW238" s="721"/>
      <c r="CX238" s="720"/>
      <c r="CY238" s="721"/>
      <c r="CZ238" s="721"/>
      <c r="DA238" s="720"/>
      <c r="DB238" s="721"/>
      <c r="DC238" s="721"/>
      <c r="DD238" s="720"/>
      <c r="DE238" s="721"/>
      <c r="DF238" s="721"/>
      <c r="DG238" s="720"/>
      <c r="DH238" s="721"/>
      <c r="DI238" s="721"/>
      <c r="DJ238" s="720"/>
      <c r="DK238" s="721"/>
      <c r="DL238" s="721"/>
      <c r="DM238" s="720"/>
      <c r="DN238" s="721"/>
      <c r="DO238" s="721"/>
      <c r="DP238" s="720"/>
      <c r="DQ238" s="721"/>
      <c r="DR238" s="721"/>
      <c r="DS238" s="720"/>
      <c r="DT238" s="721"/>
      <c r="DU238" s="721"/>
      <c r="DV238" s="720"/>
      <c r="DW238" s="721"/>
      <c r="DX238" s="721"/>
      <c r="DY238" s="720"/>
      <c r="DZ238" s="721"/>
      <c r="EA238" s="721"/>
      <c r="EB238" s="720"/>
      <c r="EC238" s="721"/>
      <c r="ED238" s="721"/>
      <c r="EE238" s="720"/>
      <c r="EF238" s="721"/>
      <c r="EG238" s="721"/>
      <c r="EH238" s="720"/>
      <c r="EI238" s="721"/>
      <c r="EJ238" s="721"/>
      <c r="EK238" s="720"/>
      <c r="EL238" s="721"/>
      <c r="EM238" s="721"/>
      <c r="EN238" s="720"/>
      <c r="EO238" s="721"/>
      <c r="EP238" s="721"/>
      <c r="EQ238" s="720"/>
      <c r="ER238" s="721"/>
      <c r="ES238" s="721"/>
      <c r="ET238" s="720"/>
      <c r="EU238" s="721"/>
      <c r="EV238" s="721"/>
      <c r="EW238" s="720"/>
      <c r="EX238" s="721"/>
      <c r="EY238" s="721"/>
      <c r="EZ238" s="720"/>
      <c r="FA238" s="721"/>
      <c r="FB238" s="721"/>
      <c r="FC238" s="720"/>
      <c r="FD238" s="721"/>
      <c r="FE238" s="721"/>
      <c r="FF238" s="720"/>
      <c r="FG238" s="721"/>
      <c r="FH238" s="721"/>
      <c r="FI238" s="720"/>
      <c r="FJ238" s="721"/>
      <c r="FK238" s="721"/>
      <c r="FL238" s="720"/>
      <c r="FM238" s="721"/>
      <c r="FN238" s="721"/>
      <c r="FO238" s="720"/>
      <c r="FP238" s="721"/>
      <c r="FQ238" s="721"/>
      <c r="FR238" s="720"/>
      <c r="FS238" s="721"/>
      <c r="FT238" s="721"/>
      <c r="FU238" s="720"/>
      <c r="FV238" s="721"/>
      <c r="FW238" s="722"/>
      <c r="FZ238" s="691"/>
      <c r="GD238" s="461" t="b">
        <v>1</v>
      </c>
    </row>
    <row r="239" spans="1:186" ht="14.25" hidden="1" customHeight="1" x14ac:dyDescent="0.15">
      <c r="A239" s="59"/>
      <c r="B239" s="613" t="b" cm="1">
        <f t="array" ref="B239">B238</f>
        <v>0</v>
      </c>
      <c r="C239" s="59"/>
      <c r="D239" s="59"/>
      <c r="E239" s="462">
        <v>15</v>
      </c>
      <c r="F239" s="3" t="str" cm="1">
        <f t="array" aca="1" ref="F239" ca="1">OFFSET(E239,-1,1)</f>
        <v>3</v>
      </c>
      <c r="G239" s="59"/>
      <c r="H239" s="59" t="s">
        <v>1570</v>
      </c>
      <c r="I239" s="59" cm="1">
        <f t="array" ref="I239">AB238</f>
        <v>0</v>
      </c>
      <c r="J239" s="59"/>
      <c r="K239" s="59"/>
      <c r="L239" s="59"/>
      <c r="M239" s="59"/>
      <c r="N239" s="59"/>
      <c r="O239" s="59"/>
      <c r="P239" s="59"/>
      <c r="Q239" s="59"/>
      <c r="R239" s="59"/>
      <c r="S239" s="59"/>
      <c r="T239" s="353" t="b" cm="1">
        <f t="array" aca="1" ref="T239" ca="1">T238</f>
        <v>0</v>
      </c>
      <c r="U239" s="59"/>
      <c r="V239" s="59"/>
      <c r="W239" s="59"/>
      <c r="X239" s="1022"/>
      <c r="Y239" s="1022"/>
      <c r="Z239" s="966"/>
      <c r="AA239" s="913"/>
      <c r="AB239" s="105" t="s">
        <v>1677</v>
      </c>
      <c r="AC239" s="12" t="s">
        <v>1644</v>
      </c>
      <c r="AD239" s="820">
        <f>IF(AD241=0,0,(AD240*AD241+AD242*AD243*IF(god=2026,3,6))/AD241)</f>
        <v>0</v>
      </c>
      <c r="AE239" s="820">
        <f>IF(AE241=0,0,(AE240*AE241+AE242*AE243*IF(god=2026,3,6))/AE241)</f>
        <v>0</v>
      </c>
      <c r="AF239" s="714">
        <f>IF(AD239=0,0,(AE239-AD239)/AD239*100)</f>
        <v>0</v>
      </c>
      <c r="AG239" s="820">
        <f>IF(AG241=0,0,(AG240*AG241+AG242*AG243*IF(god=2025,3,6))/AG241)</f>
        <v>0</v>
      </c>
      <c r="AH239" s="820">
        <f>IF(AH241=0,0,(AH240*AH241+AH242*AH243*IF(god=2025,3,6))/AH241)</f>
        <v>0</v>
      </c>
      <c r="AI239" s="714">
        <f>IF(AG239=0,0,(AH239-AG239)/AG239*100)</f>
        <v>0</v>
      </c>
      <c r="AJ239" s="820">
        <f>IF(AJ241=0,0,(AJ240*AJ241+AJ242*AJ243*6)/AJ241)</f>
        <v>0</v>
      </c>
      <c r="AK239" s="820">
        <f>IF(AK241=0,0,(AK240*AK241+AK242*AK243*6)/AK241)</f>
        <v>0</v>
      </c>
      <c r="AL239" s="714">
        <f>IF(AJ239=0,0,(AK239-AJ239)/AJ239*100)</f>
        <v>0</v>
      </c>
      <c r="AM239" s="820">
        <f>IF(AM241=0,0,(AM240*AM241+AM242*AM243*6)/AM241)</f>
        <v>0</v>
      </c>
      <c r="AN239" s="820">
        <f>IF(AN241=0,0,(AN240*AN241+AN242*AN243*6)/AN241)</f>
        <v>0</v>
      </c>
      <c r="AO239" s="714">
        <f>IF(AM239=0,0,(AN239-AM239)/AM239*100)</f>
        <v>0</v>
      </c>
      <c r="AP239" s="820">
        <f>IF(AP241=0,0,(AP240*AP241+AP242*AP243*6)/AP241)</f>
        <v>0</v>
      </c>
      <c r="AQ239" s="820">
        <f>IF(AQ241=0,0,(AQ240*AQ241+AQ242*AQ243*6)/AQ241)</f>
        <v>0</v>
      </c>
      <c r="AR239" s="714">
        <f>IF(AP239=0,0,(AQ239-AP239)/AP239*100)</f>
        <v>0</v>
      </c>
      <c r="AS239" s="820">
        <f>IF(AS241=0,0,(AS240*AS241+AS242*AS243*6)/AS241)</f>
        <v>0</v>
      </c>
      <c r="AT239" s="820">
        <f>IF(AT241=0,0,(AT240*AT241+AT242*AT243*6)/AT241)</f>
        <v>0</v>
      </c>
      <c r="AU239" s="714">
        <f>IF(AS239=0,0,(AT239-AS239)/AS239*100)</f>
        <v>0</v>
      </c>
      <c r="AV239" s="820">
        <f>IF(AV241=0,0,(AV240*AV241+AV242*AV243*6)/AV241)</f>
        <v>0</v>
      </c>
      <c r="AW239" s="820">
        <f>IF(AW241=0,0,(AW240*AW241+AW242*AW243*6)/AW241)</f>
        <v>0</v>
      </c>
      <c r="AX239" s="714">
        <f>IF(AV239=0,0,(AW239-AV239)/AV239*100)</f>
        <v>0</v>
      </c>
      <c r="AY239" s="820">
        <f>IF(AY241=0,0,(AY240*AY241+AY242*AY243*6)/AY241)</f>
        <v>0</v>
      </c>
      <c r="AZ239" s="820">
        <f>IF(AZ241=0,0,(AZ240*AZ241+AZ242*AZ243*6)/AZ241)</f>
        <v>0</v>
      </c>
      <c r="BA239" s="714">
        <f>IF(AY239=0,0,(AZ239-AY239)/AY239*100)</f>
        <v>0</v>
      </c>
      <c r="BB239" s="820">
        <f>IF(BB241=0,0,(BB240*BB241+BB242*BB243*6)/BB241)</f>
        <v>0</v>
      </c>
      <c r="BC239" s="820">
        <f>IF(BC241=0,0,(BC240*BC241+BC242*BC243*6)/BC241)</f>
        <v>0</v>
      </c>
      <c r="BD239" s="714">
        <f>IF(BB239=0,0,(BC239-BB239)/BB239*100)</f>
        <v>0</v>
      </c>
      <c r="BE239" s="820">
        <f>IF(BE241=0,0,(BE240*BE241+BE242*BE243*6)/BE241)</f>
        <v>0</v>
      </c>
      <c r="BF239" s="820">
        <f>IF(BF241=0,0,(BF240*BF241+BF242*BF243*6)/BF241)</f>
        <v>0</v>
      </c>
      <c r="BG239" s="714">
        <f>IF(BE239=0,0,(BF239-BE239)/BE239*100)</f>
        <v>0</v>
      </c>
      <c r="BH239" s="820">
        <f>IF(BH241=0,0,(BH240*BH241+BH242*BH243*6)/BH241)</f>
        <v>0</v>
      </c>
      <c r="BI239" s="820">
        <f>IF(BI241=0,0,(BI240*BI241+BI242*BI243*6)/BI241)</f>
        <v>0</v>
      </c>
      <c r="BJ239" s="714">
        <f>IF(BH239=0,0,(BI239-BH239)/BH239*100)</f>
        <v>0</v>
      </c>
      <c r="BK239" s="820">
        <f>IF(BK241=0,0,(BK240*BK241+BK242*BK243*6)/BK241)</f>
        <v>0</v>
      </c>
      <c r="BL239" s="820">
        <f>IF(BL241=0,0,(BL240*BL241+BL242*BL243*6)/BL241)</f>
        <v>0</v>
      </c>
      <c r="BM239" s="714">
        <f>IF(BK239=0,0,(BL239-BK239)/BK239*100)</f>
        <v>0</v>
      </c>
      <c r="BN239" s="820">
        <f>IF(BN241=0,0,(BN240*BN241+BN242*BN243*6)/BN241)</f>
        <v>0</v>
      </c>
      <c r="BO239" s="820">
        <f>IF(BO241=0,0,(BO240*BO241+BO242*BO243*6)/BO241)</f>
        <v>0</v>
      </c>
      <c r="BP239" s="714">
        <f>IF(BN239=0,0,(BO239-BN239)/BN239*100)</f>
        <v>0</v>
      </c>
      <c r="BQ239" s="820">
        <f>IF(BQ241=0,0,(BQ240*BQ241+BQ242*BQ243*6)/BQ241)</f>
        <v>0</v>
      </c>
      <c r="BR239" s="820">
        <f>IF(BR241=0,0,(BR240*BR241+BR242*BR243*6)/BR241)</f>
        <v>0</v>
      </c>
      <c r="BS239" s="714">
        <f>IF(BQ239=0,0,(BR239-BQ239)/BQ239*100)</f>
        <v>0</v>
      </c>
      <c r="BT239" s="820">
        <f>IF(BT241=0,0,(BT240*BT241+BT242*BT243*6)/BT241)</f>
        <v>0</v>
      </c>
      <c r="BU239" s="820">
        <f>IF(BU241=0,0,(BU240*BU241+BU242*BU243*6)/BU241)</f>
        <v>0</v>
      </c>
      <c r="BV239" s="714">
        <f>IF(BT239=0,0,(BU239-BT239)/BT239*100)</f>
        <v>0</v>
      </c>
      <c r="BW239" s="820">
        <f>IF(BW241=0,0,(BW240*BW241+BW242*BW243*6)/BW241)</f>
        <v>0</v>
      </c>
      <c r="BX239" s="820">
        <f>IF(BX241=0,0,(BX240*BX241+BX242*BX243*6)/BX241)</f>
        <v>0</v>
      </c>
      <c r="BY239" s="714">
        <f>IF(BW239=0,0,(BX239-BW239)/BW239*100)</f>
        <v>0</v>
      </c>
      <c r="BZ239" s="820">
        <f>IF(BZ241=0,0,(BZ240*BZ241+BZ242*BZ243*6)/BZ241)</f>
        <v>0</v>
      </c>
      <c r="CA239" s="820">
        <f>IF(CA241=0,0,(CA240*CA241+CA242*CA243*6)/CA241)</f>
        <v>0</v>
      </c>
      <c r="CB239" s="714">
        <f>IF(BZ239=0,0,(CA239-BZ239)/BZ239*100)</f>
        <v>0</v>
      </c>
      <c r="CC239" s="820">
        <f>IF(CC241=0,0,(CC240*CC241+CC242*CC243*6)/CC241)</f>
        <v>0</v>
      </c>
      <c r="CD239" s="820">
        <f>IF(CD241=0,0,(CD240*CD241+CD242*CD243*6)/CD241)</f>
        <v>0</v>
      </c>
      <c r="CE239" s="714">
        <f>IF(CC239=0,0,(CD239-CC239)/CC239*100)</f>
        <v>0</v>
      </c>
      <c r="CF239" s="820">
        <f>IF(CF241=0,0,(CF240*CF241+CF242*CF243*6)/CF241)</f>
        <v>0</v>
      </c>
      <c r="CG239" s="820">
        <f>IF(CG241=0,0,(CG240*CG241+CG242*CG243*6)/CG241)</f>
        <v>0</v>
      </c>
      <c r="CH239" s="714">
        <f>IF(CF239=0,0,(CG239-CF239)/CF239*100)</f>
        <v>0</v>
      </c>
      <c r="CI239" s="820">
        <f>IF(CI241=0,0,(CI240*CI241+CI242*CI243*6)/CI241)</f>
        <v>0</v>
      </c>
      <c r="CJ239" s="820">
        <f>IF(CJ241=0,0,(CJ240*CJ241+CJ242*CJ243*6)/CJ241)</f>
        <v>0</v>
      </c>
      <c r="CK239" s="714">
        <f>IF(CI239=0,0,(CJ239-CI239)/CI239*100)</f>
        <v>0</v>
      </c>
      <c r="CL239" s="820">
        <f>IF(CL241=0,0,(CL240*CL241+CL242*CL243*6)/CL241)</f>
        <v>0</v>
      </c>
      <c r="CM239" s="820">
        <f>IF(CM241=0,0,(CM240*CM241+CM242*CM243*6)/CM241)</f>
        <v>0</v>
      </c>
      <c r="CN239" s="714">
        <f>IF(CL239=0,0,(CM239-CL239)/CL239*100)</f>
        <v>0</v>
      </c>
      <c r="CO239" s="820">
        <f>IF(CO241=0,0,(CO240*CO241+CO242*CO243*6)/CO241)</f>
        <v>0</v>
      </c>
      <c r="CP239" s="820">
        <f>IF(CP241=0,0,(CP240*CP241+CP242*CP243*6)/CP241)</f>
        <v>0</v>
      </c>
      <c r="CQ239" s="714">
        <f>IF(CO239=0,0,(CP239-CO239)/CO239*100)</f>
        <v>0</v>
      </c>
      <c r="CR239" s="820">
        <f>IF(CR241=0,0,(CR240*CR241+CR242*CR243*6)/CR241)</f>
        <v>0</v>
      </c>
      <c r="CS239" s="820">
        <f>IF(CS241=0,0,(CS240*CS241+CS242*CS243*6)/CS241)</f>
        <v>0</v>
      </c>
      <c r="CT239" s="714">
        <f>IF(CR239=0,0,(CS239-CR239)/CR239*100)</f>
        <v>0</v>
      </c>
      <c r="CU239" s="820">
        <f>IF(CU241=0,0,(CU240*CU241+CU242*CU243*6)/CU241)</f>
        <v>0</v>
      </c>
      <c r="CV239" s="820">
        <f>IF(CV241=0,0,(CV240*CV241+CV242*CV243*6)/CV241)</f>
        <v>0</v>
      </c>
      <c r="CW239" s="714">
        <f>IF(CU239=0,0,(CV239-CU239)/CU239*100)</f>
        <v>0</v>
      </c>
      <c r="CX239" s="820">
        <f>IF(CX241=0,0,(CX240*CX241+CX242*CX243*6)/CX241)</f>
        <v>0</v>
      </c>
      <c r="CY239" s="820">
        <f>IF(CY241=0,0,(CY240*CY241+CY242*CY243*6)/CY241)</f>
        <v>0</v>
      </c>
      <c r="CZ239" s="714">
        <f>IF(CX239=0,0,(CY239-CX239)/CX239*100)</f>
        <v>0</v>
      </c>
      <c r="DA239" s="820">
        <f>IF(DA241=0,0,(DA240*DA241+DA242*DA243*6)/DA241)</f>
        <v>0</v>
      </c>
      <c r="DB239" s="820">
        <f>IF(DB241=0,0,(DB240*DB241+DB242*DB243*6)/DB241)</f>
        <v>0</v>
      </c>
      <c r="DC239" s="714">
        <f>IF(DA239=0,0,(DB239-DA239)/DA239*100)</f>
        <v>0</v>
      </c>
      <c r="DD239" s="820">
        <f>IF(DD241=0,0,(DD240*DD241+DD242*DD243*6)/DD241)</f>
        <v>0</v>
      </c>
      <c r="DE239" s="820">
        <f>IF(DE241=0,0,(DE240*DE241+DE242*DE243*6)/DE241)</f>
        <v>0</v>
      </c>
      <c r="DF239" s="714">
        <f>IF(DD239=0,0,(DE239-DD239)/DD239*100)</f>
        <v>0</v>
      </c>
      <c r="DG239" s="820">
        <f>IF(DG241=0,0,(DG240*DG241+DG242*DG243*6)/DG241)</f>
        <v>0</v>
      </c>
      <c r="DH239" s="820">
        <f>IF(DH241=0,0,(DH240*DH241+DH242*DH243*6)/DH241)</f>
        <v>0</v>
      </c>
      <c r="DI239" s="714">
        <f>IF(DG239=0,0,(DH239-DG239)/DG239*100)</f>
        <v>0</v>
      </c>
      <c r="DJ239" s="820">
        <f>IF(DJ241=0,0,(DJ240*DJ241+DJ242*DJ243*6)/DJ241)</f>
        <v>0</v>
      </c>
      <c r="DK239" s="820">
        <f>IF(DK241=0,0,(DK240*DK241+DK242*DK243*6)/DK241)</f>
        <v>0</v>
      </c>
      <c r="DL239" s="714">
        <f>IF(DJ239=0,0,(DK239-DJ239)/DJ239*100)</f>
        <v>0</v>
      </c>
      <c r="DM239" s="820">
        <f>IF(DM241=0,0,(DM240*DM241+DM242*DM243*6)/DM241)</f>
        <v>0</v>
      </c>
      <c r="DN239" s="820">
        <f>IF(DN241=0,0,(DN240*DN241+DN242*DN243*6)/DN241)</f>
        <v>0</v>
      </c>
      <c r="DO239" s="714">
        <f>IF(DM239=0,0,(DN239-DM239)/DM239*100)</f>
        <v>0</v>
      </c>
      <c r="DP239" s="820">
        <f>IF(DP241=0,0,(DP240*DP241+DP242*DP243*6)/DP241)</f>
        <v>0</v>
      </c>
      <c r="DQ239" s="820">
        <f>IF(DQ241=0,0,(DQ240*DQ241+DQ242*DQ243*6)/DQ241)</f>
        <v>0</v>
      </c>
      <c r="DR239" s="714">
        <f>IF(DP239=0,0,(DQ239-DP239)/DP239*100)</f>
        <v>0</v>
      </c>
      <c r="DS239" s="820">
        <f>IF(DS241=0,0,(DS240*DS241+DS242*DS243*6)/DS241)</f>
        <v>0</v>
      </c>
      <c r="DT239" s="820">
        <f>IF(DT241=0,0,(DT240*DT241+DT242*DT243*6)/DT241)</f>
        <v>0</v>
      </c>
      <c r="DU239" s="714">
        <f>IF(DS239=0,0,(DT239-DS239)/DS239*100)</f>
        <v>0</v>
      </c>
      <c r="DV239" s="820">
        <f>IF(DV241=0,0,(DV240*DV241+DV242*DV243*6)/DV241)</f>
        <v>0</v>
      </c>
      <c r="DW239" s="820">
        <f>IF(DW241=0,0,(DW240*DW241+DW242*DW243*6)/DW241)</f>
        <v>0</v>
      </c>
      <c r="DX239" s="714">
        <f>IF(DV239=0,0,(DW239-DV239)/DV239*100)</f>
        <v>0</v>
      </c>
      <c r="DY239" s="820">
        <f>IF(DY241=0,0,(DY240*DY241+DY242*DY243*6)/DY241)</f>
        <v>0</v>
      </c>
      <c r="DZ239" s="820">
        <f>IF(DZ241=0,0,(DZ240*DZ241+DZ242*DZ243*6)/DZ241)</f>
        <v>0</v>
      </c>
      <c r="EA239" s="714">
        <f>IF(DY239=0,0,(DZ239-DY239)/DY239*100)</f>
        <v>0</v>
      </c>
      <c r="EB239" s="820">
        <f>IF(EB241=0,0,(EB240*EB241+EB242*EB243*6)/EB241)</f>
        <v>0</v>
      </c>
      <c r="EC239" s="820">
        <f>IF(EC241=0,0,(EC240*EC241+EC242*EC243*6)/EC241)</f>
        <v>0</v>
      </c>
      <c r="ED239" s="714">
        <f>IF(EB239=0,0,(EC239-EB239)/EB239*100)</f>
        <v>0</v>
      </c>
      <c r="EE239" s="820">
        <f>IF(EE241=0,0,(EE240*EE241+EE242*EE243*6)/EE241)</f>
        <v>0</v>
      </c>
      <c r="EF239" s="820">
        <f>IF(EF241=0,0,(EF240*EF241+EF242*EF243*6)/EF241)</f>
        <v>0</v>
      </c>
      <c r="EG239" s="714">
        <f>IF(EE239=0,0,(EF239-EE239)/EE239*100)</f>
        <v>0</v>
      </c>
      <c r="EH239" s="820">
        <f>IF(EH241=0,0,(EH240*EH241+EH242*EH243*6)/EH241)</f>
        <v>0</v>
      </c>
      <c r="EI239" s="820">
        <f>IF(EI241=0,0,(EI240*EI241+EI242*EI243*6)/EI241)</f>
        <v>0</v>
      </c>
      <c r="EJ239" s="714">
        <f>IF(EH239=0,0,(EI239-EH239)/EH239*100)</f>
        <v>0</v>
      </c>
      <c r="EK239" s="820">
        <f>IF(EK241=0,0,(EK240*EK241+EK242*EK243*6)/EK241)</f>
        <v>0</v>
      </c>
      <c r="EL239" s="820">
        <f>IF(EL241=0,0,(EL240*EL241+EL242*EL243*6)/EL241)</f>
        <v>0</v>
      </c>
      <c r="EM239" s="714">
        <f>IF(EK239=0,0,(EL239-EK239)/EK239*100)</f>
        <v>0</v>
      </c>
      <c r="EN239" s="820">
        <f>IF(EN241=0,0,(EN240*EN241+EN242*EN243*6)/EN241)</f>
        <v>0</v>
      </c>
      <c r="EO239" s="820">
        <f>IF(EO241=0,0,(EO240*EO241+EO242*EO243*6)/EO241)</f>
        <v>0</v>
      </c>
      <c r="EP239" s="714">
        <f>IF(EN239=0,0,(EO239-EN239)/EN239*100)</f>
        <v>0</v>
      </c>
      <c r="EQ239" s="820">
        <f>IF(EQ241=0,0,(EQ240*EQ241+EQ242*EQ243*6)/EQ241)</f>
        <v>0</v>
      </c>
      <c r="ER239" s="820">
        <f>IF(ER241=0,0,(ER240*ER241+ER242*ER243*6)/ER241)</f>
        <v>0</v>
      </c>
      <c r="ES239" s="714">
        <f>IF(EQ239=0,0,(ER239-EQ239)/EQ239*100)</f>
        <v>0</v>
      </c>
      <c r="ET239" s="820">
        <f>IF(ET241=0,0,(ET240*ET241+ET242*ET243*6)/ET241)</f>
        <v>0</v>
      </c>
      <c r="EU239" s="820">
        <f>IF(EU241=0,0,(EU240*EU241+EU242*EU243*6)/EU241)</f>
        <v>0</v>
      </c>
      <c r="EV239" s="714">
        <f>IF(ET239=0,0,(EU239-ET239)/ET239*100)</f>
        <v>0</v>
      </c>
      <c r="EW239" s="820">
        <f>IF(EW241=0,0,(EW240*EW241+EW242*EW243*6)/EW241)</f>
        <v>0</v>
      </c>
      <c r="EX239" s="820">
        <f>IF(EX241=0,0,(EX240*EX241+EX242*EX243*6)/EX241)</f>
        <v>0</v>
      </c>
      <c r="EY239" s="714">
        <f>IF(EW239=0,0,(EX239-EW239)/EW239*100)</f>
        <v>0</v>
      </c>
      <c r="EZ239" s="820">
        <f>IF(EZ241=0,0,(EZ240*EZ241+EZ242*EZ243*6)/EZ241)</f>
        <v>0</v>
      </c>
      <c r="FA239" s="820">
        <f>IF(FA241=0,0,(FA240*FA241+FA242*FA243*6)/FA241)</f>
        <v>0</v>
      </c>
      <c r="FB239" s="714">
        <f>IF(EZ239=0,0,(FA239-EZ239)/EZ239*100)</f>
        <v>0</v>
      </c>
      <c r="FC239" s="820">
        <f>IF(FC241=0,0,(FC240*FC241+FC242*FC243*6)/FC241)</f>
        <v>0</v>
      </c>
      <c r="FD239" s="820">
        <f>IF(FD241=0,0,(FD240*FD241+FD242*FD243*6)/FD241)</f>
        <v>0</v>
      </c>
      <c r="FE239" s="714">
        <f>IF(FC239=0,0,(FD239-FC239)/FC239*100)</f>
        <v>0</v>
      </c>
      <c r="FF239" s="820">
        <f>IF(FF241=0,0,(FF240*FF241+FF242*FF243*6)/FF241)</f>
        <v>0</v>
      </c>
      <c r="FG239" s="820">
        <f>IF(FG241=0,0,(FG240*FG241+FG242*FG243*6)/FG241)</f>
        <v>0</v>
      </c>
      <c r="FH239" s="714">
        <f>IF(FF239=0,0,(FG239-FF239)/FF239*100)</f>
        <v>0</v>
      </c>
      <c r="FI239" s="820">
        <f>IF(FI241=0,0,(FI240*FI241+FI242*FI243*6)/FI241)</f>
        <v>0</v>
      </c>
      <c r="FJ239" s="820">
        <f>IF(FJ241=0,0,(FJ240*FJ241+FJ242*FJ243*6)/FJ241)</f>
        <v>0</v>
      </c>
      <c r="FK239" s="714">
        <f>IF(FI239=0,0,(FJ239-FI239)/FI239*100)</f>
        <v>0</v>
      </c>
      <c r="FL239" s="820">
        <f>IF(FL241=0,0,(FL240*FL241+FL242*FL243*6)/FL241)</f>
        <v>0</v>
      </c>
      <c r="FM239" s="820">
        <f>IF(FM241=0,0,(FM240*FM241+FM242*FM243*6)/FM241)</f>
        <v>0</v>
      </c>
      <c r="FN239" s="714">
        <f>IF(FL239=0,0,(FM239-FL239)/FL239*100)</f>
        <v>0</v>
      </c>
      <c r="FO239" s="820">
        <f>IF(FO241=0,0,(FO240*FO241+FO242*FO243*6)/FO241)</f>
        <v>0</v>
      </c>
      <c r="FP239" s="820">
        <f>IF(FP241=0,0,(FP240*FP241+FP242*FP243*6)/FP241)</f>
        <v>0</v>
      </c>
      <c r="FQ239" s="714">
        <f>IF(FO239=0,0,(FP239-FO239)/FO239*100)</f>
        <v>0</v>
      </c>
      <c r="FR239" s="820">
        <f>IF(FR241=0,0,(FR240*FR241+FR242*FR243*6)/FR241)</f>
        <v>0</v>
      </c>
      <c r="FS239" s="820">
        <f>IF(FS241=0,0,(FS240*FS241+FS242*FS243*6)/FS241)</f>
        <v>0</v>
      </c>
      <c r="FT239" s="714">
        <f>IF(FR239=0,0,(FS239-FR239)/FR239*100)</f>
        <v>0</v>
      </c>
      <c r="FU239" s="820">
        <f>IF(FU241=0,0,(FU240*FU241+FU242*FU243*6)/FU241)</f>
        <v>0</v>
      </c>
      <c r="FV239" s="820">
        <f>IF(FV241=0,0,(FV240*FV241+FV242*FV243*6)/FV241)</f>
        <v>0</v>
      </c>
      <c r="FW239" s="714">
        <f>IF(FU239=0,0,(FV239-FU239)/FU239*100)</f>
        <v>0</v>
      </c>
      <c r="FZ239" s="691" t="s">
        <v>1711</v>
      </c>
      <c r="GA239" s="671" t="s">
        <v>900</v>
      </c>
      <c r="GB239" s="693" cm="1">
        <f t="array" ref="GB239">AB238</f>
        <v>0</v>
      </c>
    </row>
    <row r="240" spans="1:186" ht="14.25" hidden="1" customHeight="1" x14ac:dyDescent="0.15">
      <c r="A240" s="59"/>
      <c r="B240" s="613" t="b" cm="1">
        <f t="array" ref="B240">B239</f>
        <v>0</v>
      </c>
      <c r="C240" s="59"/>
      <c r="D240" s="59"/>
      <c r="E240" s="462">
        <v>15</v>
      </c>
      <c r="F240" s="3" t="str" cm="1">
        <f t="array" aca="1" ref="F240" ca="1">OFFSET(E240,-1,1)</f>
        <v>3</v>
      </c>
      <c r="G240" s="59"/>
      <c r="H240" s="59" t="s">
        <v>1574</v>
      </c>
      <c r="I240" s="59" cm="1">
        <f t="array" ref="I240">I239</f>
        <v>0</v>
      </c>
      <c r="J240" s="59"/>
      <c r="K240" s="59"/>
      <c r="L240" s="59"/>
      <c r="M240" s="59"/>
      <c r="N240" s="59"/>
      <c r="O240" s="59"/>
      <c r="P240" s="59"/>
      <c r="Q240" s="59"/>
      <c r="R240" s="59"/>
      <c r="S240" s="59"/>
      <c r="T240" s="353" t="b" cm="1">
        <f t="array" aca="1" ref="T240" ca="1">T239</f>
        <v>0</v>
      </c>
      <c r="U240" s="59"/>
      <c r="V240" s="59"/>
      <c r="W240" s="59"/>
      <c r="X240" s="1022"/>
      <c r="Y240" s="1022"/>
      <c r="Z240" s="966"/>
      <c r="AA240" s="913"/>
      <c r="AB240" s="105" t="str">
        <f>"ставка платы за "&amp;IF(Q197="Водоснабжение","потребление 1 куб.м холодной воды","объем принятых сточных вод")</f>
        <v>ставка платы за объем принятых сточных вод</v>
      </c>
      <c r="AC240" s="12" t="s">
        <v>1644</v>
      </c>
      <c r="AD240" s="820"/>
      <c r="AE240" s="820"/>
      <c r="AF240" s="714">
        <f>IF(AD240=0,0,(AE240-AD240)/AD240*100)</f>
        <v>0</v>
      </c>
      <c r="AG240" s="820"/>
      <c r="AH240" s="820"/>
      <c r="AI240" s="714">
        <f>IF(AG240=0,0,(AH240-AG240)/AG240*100)</f>
        <v>0</v>
      </c>
      <c r="AJ240" s="820"/>
      <c r="AK240" s="820"/>
      <c r="AL240" s="714">
        <f>IF(AJ240=0,0,(AK240-AJ240)/AJ240*100)</f>
        <v>0</v>
      </c>
      <c r="AM240" s="820"/>
      <c r="AN240" s="820"/>
      <c r="AO240" s="714">
        <f>IF(AM240=0,0,(AN240-AM240)/AM240*100)</f>
        <v>0</v>
      </c>
      <c r="AP240" s="820"/>
      <c r="AQ240" s="820"/>
      <c r="AR240" s="714">
        <f>IF(AP240=0,0,(AQ240-AP240)/AP240*100)</f>
        <v>0</v>
      </c>
      <c r="AS240" s="820"/>
      <c r="AT240" s="820"/>
      <c r="AU240" s="714">
        <f>IF(AS240=0,0,(AT240-AS240)/AS240*100)</f>
        <v>0</v>
      </c>
      <c r="AV240" s="820"/>
      <c r="AW240" s="820"/>
      <c r="AX240" s="714">
        <f>IF(AV240=0,0,(AW240-AV240)/AV240*100)</f>
        <v>0</v>
      </c>
      <c r="AY240" s="820"/>
      <c r="AZ240" s="820"/>
      <c r="BA240" s="714">
        <f>IF(AY240=0,0,(AZ240-AY240)/AY240*100)</f>
        <v>0</v>
      </c>
      <c r="BB240" s="820"/>
      <c r="BC240" s="820"/>
      <c r="BD240" s="714">
        <f>IF(BB240=0,0,(BC240-BB240)/BB240*100)</f>
        <v>0</v>
      </c>
      <c r="BE240" s="820"/>
      <c r="BF240" s="820"/>
      <c r="BG240" s="714">
        <f>IF(BE240=0,0,(BF240-BE240)/BE240*100)</f>
        <v>0</v>
      </c>
      <c r="BH240" s="820"/>
      <c r="BI240" s="820"/>
      <c r="BJ240" s="714">
        <f>IF(BH240=0,0,(BI240-BH240)/BH240*100)</f>
        <v>0</v>
      </c>
      <c r="BK240" s="820"/>
      <c r="BL240" s="820"/>
      <c r="BM240" s="714">
        <f>IF(BK240=0,0,(BL240-BK240)/BK240*100)</f>
        <v>0</v>
      </c>
      <c r="BN240" s="820"/>
      <c r="BO240" s="820"/>
      <c r="BP240" s="714">
        <f>IF(BN240=0,0,(BO240-BN240)/BN240*100)</f>
        <v>0</v>
      </c>
      <c r="BQ240" s="820"/>
      <c r="BR240" s="820"/>
      <c r="BS240" s="714">
        <f>IF(BQ240=0,0,(BR240-BQ240)/BQ240*100)</f>
        <v>0</v>
      </c>
      <c r="BT240" s="820"/>
      <c r="BU240" s="820"/>
      <c r="BV240" s="714">
        <f>IF(BT240=0,0,(BU240-BT240)/BT240*100)</f>
        <v>0</v>
      </c>
      <c r="BW240" s="820"/>
      <c r="BX240" s="820"/>
      <c r="BY240" s="714">
        <f>IF(BW240=0,0,(BX240-BW240)/BW240*100)</f>
        <v>0</v>
      </c>
      <c r="BZ240" s="820"/>
      <c r="CA240" s="820"/>
      <c r="CB240" s="714">
        <f>IF(BZ240=0,0,(CA240-BZ240)/BZ240*100)</f>
        <v>0</v>
      </c>
      <c r="CC240" s="820"/>
      <c r="CD240" s="820"/>
      <c r="CE240" s="714">
        <f>IF(CC240=0,0,(CD240-CC240)/CC240*100)</f>
        <v>0</v>
      </c>
      <c r="CF240" s="820"/>
      <c r="CG240" s="820"/>
      <c r="CH240" s="714">
        <f>IF(CF240=0,0,(CG240-CF240)/CF240*100)</f>
        <v>0</v>
      </c>
      <c r="CI240" s="820"/>
      <c r="CJ240" s="820"/>
      <c r="CK240" s="714">
        <f>IF(CI240=0,0,(CJ240-CI240)/CI240*100)</f>
        <v>0</v>
      </c>
      <c r="CL240" s="820"/>
      <c r="CM240" s="820"/>
      <c r="CN240" s="714">
        <f>IF(CL240=0,0,(CM240-CL240)/CL240*100)</f>
        <v>0</v>
      </c>
      <c r="CO240" s="820"/>
      <c r="CP240" s="820"/>
      <c r="CQ240" s="714">
        <f>IF(CO240=0,0,(CP240-CO240)/CO240*100)</f>
        <v>0</v>
      </c>
      <c r="CR240" s="820"/>
      <c r="CS240" s="820"/>
      <c r="CT240" s="714">
        <f>IF(CR240=0,0,(CS240-CR240)/CR240*100)</f>
        <v>0</v>
      </c>
      <c r="CU240" s="820"/>
      <c r="CV240" s="820"/>
      <c r="CW240" s="714">
        <f>IF(CU240=0,0,(CV240-CU240)/CU240*100)</f>
        <v>0</v>
      </c>
      <c r="CX240" s="820"/>
      <c r="CY240" s="820"/>
      <c r="CZ240" s="714">
        <f>IF(CX240=0,0,(CY240-CX240)/CX240*100)</f>
        <v>0</v>
      </c>
      <c r="DA240" s="820"/>
      <c r="DB240" s="820"/>
      <c r="DC240" s="714">
        <f>IF(DA240=0,0,(DB240-DA240)/DA240*100)</f>
        <v>0</v>
      </c>
      <c r="DD240" s="820"/>
      <c r="DE240" s="820"/>
      <c r="DF240" s="714">
        <f>IF(DD240=0,0,(DE240-DD240)/DD240*100)</f>
        <v>0</v>
      </c>
      <c r="DG240" s="820"/>
      <c r="DH240" s="820"/>
      <c r="DI240" s="714">
        <f>IF(DG240=0,0,(DH240-DG240)/DG240*100)</f>
        <v>0</v>
      </c>
      <c r="DJ240" s="820"/>
      <c r="DK240" s="820"/>
      <c r="DL240" s="714">
        <f>IF(DJ240=0,0,(DK240-DJ240)/DJ240*100)</f>
        <v>0</v>
      </c>
      <c r="DM240" s="820"/>
      <c r="DN240" s="820"/>
      <c r="DO240" s="714">
        <f>IF(DM240=0,0,(DN240-DM240)/DM240*100)</f>
        <v>0</v>
      </c>
      <c r="DP240" s="820"/>
      <c r="DQ240" s="820"/>
      <c r="DR240" s="714">
        <f>IF(DP240=0,0,(DQ240-DP240)/DP240*100)</f>
        <v>0</v>
      </c>
      <c r="DS240" s="820"/>
      <c r="DT240" s="820"/>
      <c r="DU240" s="714">
        <f>IF(DS240=0,0,(DT240-DS240)/DS240*100)</f>
        <v>0</v>
      </c>
      <c r="DV240" s="820"/>
      <c r="DW240" s="820"/>
      <c r="DX240" s="714">
        <f>IF(DV240=0,0,(DW240-DV240)/DV240*100)</f>
        <v>0</v>
      </c>
      <c r="DY240" s="820"/>
      <c r="DZ240" s="820"/>
      <c r="EA240" s="714">
        <f>IF(DY240=0,0,(DZ240-DY240)/DY240*100)</f>
        <v>0</v>
      </c>
      <c r="EB240" s="820"/>
      <c r="EC240" s="820"/>
      <c r="ED240" s="714">
        <f>IF(EB240=0,0,(EC240-EB240)/EB240*100)</f>
        <v>0</v>
      </c>
      <c r="EE240" s="820"/>
      <c r="EF240" s="820"/>
      <c r="EG240" s="714">
        <f>IF(EE240=0,0,(EF240-EE240)/EE240*100)</f>
        <v>0</v>
      </c>
      <c r="EH240" s="820"/>
      <c r="EI240" s="820"/>
      <c r="EJ240" s="714">
        <f>IF(EH240=0,0,(EI240-EH240)/EH240*100)</f>
        <v>0</v>
      </c>
      <c r="EK240" s="820"/>
      <c r="EL240" s="820"/>
      <c r="EM240" s="714">
        <f>IF(EK240=0,0,(EL240-EK240)/EK240*100)</f>
        <v>0</v>
      </c>
      <c r="EN240" s="820"/>
      <c r="EO240" s="820"/>
      <c r="EP240" s="714">
        <f>IF(EN240=0,0,(EO240-EN240)/EN240*100)</f>
        <v>0</v>
      </c>
      <c r="EQ240" s="820"/>
      <c r="ER240" s="820"/>
      <c r="ES240" s="714">
        <f>IF(EQ240=0,0,(ER240-EQ240)/EQ240*100)</f>
        <v>0</v>
      </c>
      <c r="ET240" s="820"/>
      <c r="EU240" s="820"/>
      <c r="EV240" s="714">
        <f>IF(ET240=0,0,(EU240-ET240)/ET240*100)</f>
        <v>0</v>
      </c>
      <c r="EW240" s="820"/>
      <c r="EX240" s="820"/>
      <c r="EY240" s="714">
        <f>IF(EW240=0,0,(EX240-EW240)/EW240*100)</f>
        <v>0</v>
      </c>
      <c r="EZ240" s="820"/>
      <c r="FA240" s="820"/>
      <c r="FB240" s="714">
        <f>IF(EZ240=0,0,(FA240-EZ240)/EZ240*100)</f>
        <v>0</v>
      </c>
      <c r="FC240" s="820"/>
      <c r="FD240" s="820"/>
      <c r="FE240" s="714">
        <f>IF(FC240=0,0,(FD240-FC240)/FC240*100)</f>
        <v>0</v>
      </c>
      <c r="FF240" s="820"/>
      <c r="FG240" s="820"/>
      <c r="FH240" s="714">
        <f>IF(FF240=0,0,(FG240-FF240)/FF240*100)</f>
        <v>0</v>
      </c>
      <c r="FI240" s="820"/>
      <c r="FJ240" s="820"/>
      <c r="FK240" s="714">
        <f>IF(FI240=0,0,(FJ240-FI240)/FI240*100)</f>
        <v>0</v>
      </c>
      <c r="FL240" s="820"/>
      <c r="FM240" s="820"/>
      <c r="FN240" s="714">
        <f>IF(FL240=0,0,(FM240-FL240)/FL240*100)</f>
        <v>0</v>
      </c>
      <c r="FO240" s="820"/>
      <c r="FP240" s="820"/>
      <c r="FQ240" s="714">
        <f>IF(FO240=0,0,(FP240-FO240)/FO240*100)</f>
        <v>0</v>
      </c>
      <c r="FR240" s="820"/>
      <c r="FS240" s="820"/>
      <c r="FT240" s="714">
        <f>IF(FR240=0,0,(FS240-FR240)/FR240*100)</f>
        <v>0</v>
      </c>
      <c r="FU240" s="820"/>
      <c r="FV240" s="820"/>
      <c r="FW240" s="714">
        <f>IF(FU240=0,0,(FV240-FU240)/FU240*100)</f>
        <v>0</v>
      </c>
      <c r="FZ240" s="691" t="s">
        <v>1712</v>
      </c>
      <c r="GA240" s="671" t="s">
        <v>900</v>
      </c>
      <c r="GB240" s="671" cm="1">
        <f t="array" ref="GB240">GB239</f>
        <v>0</v>
      </c>
    </row>
    <row r="241" spans="1:186" ht="14.25" hidden="1" customHeight="1" x14ac:dyDescent="0.15">
      <c r="A241" s="59"/>
      <c r="B241" s="613" t="b" cm="1">
        <f t="array" ref="B241">B240</f>
        <v>0</v>
      </c>
      <c r="C241" s="59"/>
      <c r="D241" s="59"/>
      <c r="E241" s="462">
        <v>15</v>
      </c>
      <c r="F241" s="3" t="str" cm="1">
        <f t="array" aca="1" ref="F241" ca="1">OFFSET(E241,-1,1)</f>
        <v>3</v>
      </c>
      <c r="G241" s="59"/>
      <c r="H241" s="59" t="s">
        <v>1681</v>
      </c>
      <c r="I241" s="59" cm="1">
        <f t="array" ref="I241">I240</f>
        <v>0</v>
      </c>
      <c r="J241" s="59"/>
      <c r="K241" s="59"/>
      <c r="L241" s="59"/>
      <c r="M241" s="59"/>
      <c r="N241" s="59"/>
      <c r="O241" s="59"/>
      <c r="P241" s="59"/>
      <c r="Q241" s="59"/>
      <c r="R241" s="59"/>
      <c r="S241" s="59"/>
      <c r="T241" s="353" t="b" cm="1">
        <f t="array" aca="1" ref="T241" ca="1">T240</f>
        <v>0</v>
      </c>
      <c r="U241" s="59"/>
      <c r="V241" s="59"/>
      <c r="W241" s="59"/>
      <c r="X241" s="1022"/>
      <c r="Y241" s="1022"/>
      <c r="Z241" s="966"/>
      <c r="AA241" s="913"/>
      <c r="AB241" s="105" t="str">
        <f>"объём "&amp;IF(Q197="Водоснабжение","потребления холодной воды","водоотведения")</f>
        <v>объём водоотведения</v>
      </c>
      <c r="AC241" s="12" t="s">
        <v>558</v>
      </c>
      <c r="AD241" s="836"/>
      <c r="AE241" s="836"/>
      <c r="AF241" s="715">
        <f>IF(AD241=0,0,(AE241-AD241)/AD241*100)</f>
        <v>0</v>
      </c>
      <c r="AG241" s="836"/>
      <c r="AH241" s="836"/>
      <c r="AI241" s="715">
        <f>IF(AG241=0,0,(AH241-AG241)/AG241*100)</f>
        <v>0</v>
      </c>
      <c r="AJ241" s="836"/>
      <c r="AK241" s="836"/>
      <c r="AL241" s="715">
        <f>IF(AJ241=0,0,(AK241-AJ241)/AJ241*100)</f>
        <v>0</v>
      </c>
      <c r="AM241" s="836"/>
      <c r="AN241" s="836"/>
      <c r="AO241" s="715">
        <f>IF(AM241=0,0,(AN241-AM241)/AM241*100)</f>
        <v>0</v>
      </c>
      <c r="AP241" s="836"/>
      <c r="AQ241" s="836"/>
      <c r="AR241" s="715">
        <f>IF(AP241=0,0,(AQ241-AP241)/AP241*100)</f>
        <v>0</v>
      </c>
      <c r="AS241" s="836"/>
      <c r="AT241" s="836"/>
      <c r="AU241" s="715">
        <f>IF(AS241=0,0,(AT241-AS241)/AS241*100)</f>
        <v>0</v>
      </c>
      <c r="AV241" s="836"/>
      <c r="AW241" s="836"/>
      <c r="AX241" s="715">
        <f>IF(AV241=0,0,(AW241-AV241)/AV241*100)</f>
        <v>0</v>
      </c>
      <c r="AY241" s="836"/>
      <c r="AZ241" s="836"/>
      <c r="BA241" s="715">
        <f>IF(AY241=0,0,(AZ241-AY241)/AY241*100)</f>
        <v>0</v>
      </c>
      <c r="BB241" s="836"/>
      <c r="BC241" s="836"/>
      <c r="BD241" s="715">
        <f>IF(BB241=0,0,(BC241-BB241)/BB241*100)</f>
        <v>0</v>
      </c>
      <c r="BE241" s="836"/>
      <c r="BF241" s="836"/>
      <c r="BG241" s="715">
        <f>IF(BE241=0,0,(BF241-BE241)/BE241*100)</f>
        <v>0</v>
      </c>
      <c r="BH241" s="836"/>
      <c r="BI241" s="836"/>
      <c r="BJ241" s="715">
        <f>IF(BH241=0,0,(BI241-BH241)/BH241*100)</f>
        <v>0</v>
      </c>
      <c r="BK241" s="836"/>
      <c r="BL241" s="836"/>
      <c r="BM241" s="715">
        <f>IF(BK241=0,0,(BL241-BK241)/BK241*100)</f>
        <v>0</v>
      </c>
      <c r="BN241" s="836"/>
      <c r="BO241" s="836"/>
      <c r="BP241" s="715">
        <f>IF(BN241=0,0,(BO241-BN241)/BN241*100)</f>
        <v>0</v>
      </c>
      <c r="BQ241" s="836"/>
      <c r="BR241" s="836"/>
      <c r="BS241" s="715">
        <f>IF(BQ241=0,0,(BR241-BQ241)/BQ241*100)</f>
        <v>0</v>
      </c>
      <c r="BT241" s="836"/>
      <c r="BU241" s="836"/>
      <c r="BV241" s="715">
        <f>IF(BT241=0,0,(BU241-BT241)/BT241*100)</f>
        <v>0</v>
      </c>
      <c r="BW241" s="836"/>
      <c r="BX241" s="836"/>
      <c r="BY241" s="715">
        <f>IF(BW241=0,0,(BX241-BW241)/BW241*100)</f>
        <v>0</v>
      </c>
      <c r="BZ241" s="836"/>
      <c r="CA241" s="836"/>
      <c r="CB241" s="715">
        <f>IF(BZ241=0,0,(CA241-BZ241)/BZ241*100)</f>
        <v>0</v>
      </c>
      <c r="CC241" s="836"/>
      <c r="CD241" s="836"/>
      <c r="CE241" s="715">
        <f>IF(CC241=0,0,(CD241-CC241)/CC241*100)</f>
        <v>0</v>
      </c>
      <c r="CF241" s="836"/>
      <c r="CG241" s="836"/>
      <c r="CH241" s="715">
        <f>IF(CF241=0,0,(CG241-CF241)/CF241*100)</f>
        <v>0</v>
      </c>
      <c r="CI241" s="836"/>
      <c r="CJ241" s="836"/>
      <c r="CK241" s="715">
        <f>IF(CI241=0,0,(CJ241-CI241)/CI241*100)</f>
        <v>0</v>
      </c>
      <c r="CL241" s="836"/>
      <c r="CM241" s="836"/>
      <c r="CN241" s="715">
        <f>IF(CL241=0,0,(CM241-CL241)/CL241*100)</f>
        <v>0</v>
      </c>
      <c r="CO241" s="836"/>
      <c r="CP241" s="836"/>
      <c r="CQ241" s="715">
        <f>IF(CO241=0,0,(CP241-CO241)/CO241*100)</f>
        <v>0</v>
      </c>
      <c r="CR241" s="836"/>
      <c r="CS241" s="836"/>
      <c r="CT241" s="715">
        <f>IF(CR241=0,0,(CS241-CR241)/CR241*100)</f>
        <v>0</v>
      </c>
      <c r="CU241" s="836"/>
      <c r="CV241" s="836"/>
      <c r="CW241" s="715">
        <f>IF(CU241=0,0,(CV241-CU241)/CU241*100)</f>
        <v>0</v>
      </c>
      <c r="CX241" s="836"/>
      <c r="CY241" s="836"/>
      <c r="CZ241" s="715">
        <f>IF(CX241=0,0,(CY241-CX241)/CX241*100)</f>
        <v>0</v>
      </c>
      <c r="DA241" s="836"/>
      <c r="DB241" s="836"/>
      <c r="DC241" s="715">
        <f>IF(DA241=0,0,(DB241-DA241)/DA241*100)</f>
        <v>0</v>
      </c>
      <c r="DD241" s="836"/>
      <c r="DE241" s="836"/>
      <c r="DF241" s="715">
        <f>IF(DD241=0,0,(DE241-DD241)/DD241*100)</f>
        <v>0</v>
      </c>
      <c r="DG241" s="836"/>
      <c r="DH241" s="836"/>
      <c r="DI241" s="715">
        <f>IF(DG241=0,0,(DH241-DG241)/DG241*100)</f>
        <v>0</v>
      </c>
      <c r="DJ241" s="836"/>
      <c r="DK241" s="836"/>
      <c r="DL241" s="715">
        <f>IF(DJ241=0,0,(DK241-DJ241)/DJ241*100)</f>
        <v>0</v>
      </c>
      <c r="DM241" s="836"/>
      <c r="DN241" s="836"/>
      <c r="DO241" s="715">
        <f>IF(DM241=0,0,(DN241-DM241)/DM241*100)</f>
        <v>0</v>
      </c>
      <c r="DP241" s="836"/>
      <c r="DQ241" s="836"/>
      <c r="DR241" s="715">
        <f>IF(DP241=0,0,(DQ241-DP241)/DP241*100)</f>
        <v>0</v>
      </c>
      <c r="DS241" s="836"/>
      <c r="DT241" s="836"/>
      <c r="DU241" s="715">
        <f>IF(DS241=0,0,(DT241-DS241)/DS241*100)</f>
        <v>0</v>
      </c>
      <c r="DV241" s="836"/>
      <c r="DW241" s="836"/>
      <c r="DX241" s="715">
        <f>IF(DV241=0,0,(DW241-DV241)/DV241*100)</f>
        <v>0</v>
      </c>
      <c r="DY241" s="836"/>
      <c r="DZ241" s="836"/>
      <c r="EA241" s="715">
        <f>IF(DY241=0,0,(DZ241-DY241)/DY241*100)</f>
        <v>0</v>
      </c>
      <c r="EB241" s="836"/>
      <c r="EC241" s="836"/>
      <c r="ED241" s="715">
        <f>IF(EB241=0,0,(EC241-EB241)/EB241*100)</f>
        <v>0</v>
      </c>
      <c r="EE241" s="836"/>
      <c r="EF241" s="836"/>
      <c r="EG241" s="715">
        <f>IF(EE241=0,0,(EF241-EE241)/EE241*100)</f>
        <v>0</v>
      </c>
      <c r="EH241" s="836"/>
      <c r="EI241" s="836"/>
      <c r="EJ241" s="715">
        <f>IF(EH241=0,0,(EI241-EH241)/EH241*100)</f>
        <v>0</v>
      </c>
      <c r="EK241" s="836"/>
      <c r="EL241" s="836"/>
      <c r="EM241" s="715">
        <f>IF(EK241=0,0,(EL241-EK241)/EK241*100)</f>
        <v>0</v>
      </c>
      <c r="EN241" s="836"/>
      <c r="EO241" s="836"/>
      <c r="EP241" s="715">
        <f>IF(EN241=0,0,(EO241-EN241)/EN241*100)</f>
        <v>0</v>
      </c>
      <c r="EQ241" s="836"/>
      <c r="ER241" s="836"/>
      <c r="ES241" s="715">
        <f>IF(EQ241=0,0,(ER241-EQ241)/EQ241*100)</f>
        <v>0</v>
      </c>
      <c r="ET241" s="836"/>
      <c r="EU241" s="836"/>
      <c r="EV241" s="715">
        <f>IF(ET241=0,0,(EU241-ET241)/ET241*100)</f>
        <v>0</v>
      </c>
      <c r="EW241" s="836"/>
      <c r="EX241" s="836"/>
      <c r="EY241" s="715">
        <f>IF(EW241=0,0,(EX241-EW241)/EW241*100)</f>
        <v>0</v>
      </c>
      <c r="EZ241" s="836"/>
      <c r="FA241" s="836"/>
      <c r="FB241" s="715">
        <f>IF(EZ241=0,0,(FA241-EZ241)/EZ241*100)</f>
        <v>0</v>
      </c>
      <c r="FC241" s="836"/>
      <c r="FD241" s="836"/>
      <c r="FE241" s="715">
        <f>IF(FC241=0,0,(FD241-FC241)/FC241*100)</f>
        <v>0</v>
      </c>
      <c r="FF241" s="836"/>
      <c r="FG241" s="836"/>
      <c r="FH241" s="715">
        <f>IF(FF241=0,0,(FG241-FF241)/FF241*100)</f>
        <v>0</v>
      </c>
      <c r="FI241" s="836"/>
      <c r="FJ241" s="836"/>
      <c r="FK241" s="715">
        <f>IF(FI241=0,0,(FJ241-FI241)/FI241*100)</f>
        <v>0</v>
      </c>
      <c r="FL241" s="836"/>
      <c r="FM241" s="836"/>
      <c r="FN241" s="715">
        <f>IF(FL241=0,0,(FM241-FL241)/FL241*100)</f>
        <v>0</v>
      </c>
      <c r="FO241" s="836"/>
      <c r="FP241" s="836"/>
      <c r="FQ241" s="715">
        <f>IF(FO241=0,0,(FP241-FO241)/FO241*100)</f>
        <v>0</v>
      </c>
      <c r="FR241" s="836"/>
      <c r="FS241" s="836"/>
      <c r="FT241" s="715">
        <f>IF(FR241=0,0,(FS241-FR241)/FR241*100)</f>
        <v>0</v>
      </c>
      <c r="FU241" s="836"/>
      <c r="FV241" s="836"/>
      <c r="FW241" s="715">
        <f>IF(FU241=0,0,(FV241-FU241)/FU241*100)</f>
        <v>0</v>
      </c>
      <c r="FZ241" s="691" t="s">
        <v>1713</v>
      </c>
      <c r="GA241" s="671" t="s">
        <v>900</v>
      </c>
      <c r="GB241" s="671" cm="1">
        <f t="array" ref="GB241">GB240</f>
        <v>0</v>
      </c>
    </row>
    <row r="242" spans="1:186" ht="21.75" hidden="1" customHeight="1" x14ac:dyDescent="0.15">
      <c r="A242" s="59"/>
      <c r="B242" s="613" t="b" cm="1">
        <f t="array" ref="B242">B241</f>
        <v>0</v>
      </c>
      <c r="C242" s="59"/>
      <c r="D242" s="59"/>
      <c r="E242" s="462">
        <v>22.5</v>
      </c>
      <c r="F242" s="3" t="str" cm="1">
        <f t="array" aca="1" ref="F242" ca="1">OFFSET(E242,-1,1)</f>
        <v>3</v>
      </c>
      <c r="G242" s="59"/>
      <c r="H242" s="59" t="s">
        <v>1683</v>
      </c>
      <c r="I242" s="59" cm="1">
        <f t="array" ref="I242">I241</f>
        <v>0</v>
      </c>
      <c r="J242" s="59"/>
      <c r="K242" s="59"/>
      <c r="L242" s="59"/>
      <c r="M242" s="59"/>
      <c r="N242" s="59"/>
      <c r="O242" s="59"/>
      <c r="P242" s="59"/>
      <c r="Q242" s="59"/>
      <c r="R242" s="59"/>
      <c r="S242" s="59"/>
      <c r="T242" s="353" t="b" cm="1">
        <f t="array" aca="1" ref="T242" ca="1">T241</f>
        <v>0</v>
      </c>
      <c r="U242" s="59"/>
      <c r="V242" s="59"/>
      <c r="W242" s="59"/>
      <c r="X242" s="1022"/>
      <c r="Y242" s="1022"/>
      <c r="Z242" s="966"/>
      <c r="AA242" s="913"/>
      <c r="AB242" s="105" t="str">
        <f>"ставка платы за содержание системы "&amp;IF(Q197="Водоснабжение","холодного водоснабжения","водоотведения")</f>
        <v>ставка платы за содержание системы водоотведения</v>
      </c>
      <c r="AC242" s="12" t="s">
        <v>1684</v>
      </c>
      <c r="AD242" s="820"/>
      <c r="AE242" s="820"/>
      <c r="AF242" s="714">
        <f>IF(AD242=0,0,(AE242-AD242)/AD242*100)</f>
        <v>0</v>
      </c>
      <c r="AG242" s="820"/>
      <c r="AH242" s="820"/>
      <c r="AI242" s="714">
        <f>IF(AG242=0,0,(AH242-AG242)/AG242*100)</f>
        <v>0</v>
      </c>
      <c r="AJ242" s="820"/>
      <c r="AK242" s="820"/>
      <c r="AL242" s="714">
        <f>IF(AJ242=0,0,(AK242-AJ242)/AJ242*100)</f>
        <v>0</v>
      </c>
      <c r="AM242" s="820"/>
      <c r="AN242" s="820"/>
      <c r="AO242" s="714">
        <f>IF(AM242=0,0,(AN242-AM242)/AM242*100)</f>
        <v>0</v>
      </c>
      <c r="AP242" s="820"/>
      <c r="AQ242" s="820"/>
      <c r="AR242" s="714">
        <f>IF(AP242=0,0,(AQ242-AP242)/AP242*100)</f>
        <v>0</v>
      </c>
      <c r="AS242" s="820"/>
      <c r="AT242" s="820"/>
      <c r="AU242" s="714">
        <f>IF(AS242=0,0,(AT242-AS242)/AS242*100)</f>
        <v>0</v>
      </c>
      <c r="AV242" s="820"/>
      <c r="AW242" s="820"/>
      <c r="AX242" s="714">
        <f>IF(AV242=0,0,(AW242-AV242)/AV242*100)</f>
        <v>0</v>
      </c>
      <c r="AY242" s="820"/>
      <c r="AZ242" s="820"/>
      <c r="BA242" s="714">
        <f>IF(AY242=0,0,(AZ242-AY242)/AY242*100)</f>
        <v>0</v>
      </c>
      <c r="BB242" s="820"/>
      <c r="BC242" s="820"/>
      <c r="BD242" s="714">
        <f>IF(BB242=0,0,(BC242-BB242)/BB242*100)</f>
        <v>0</v>
      </c>
      <c r="BE242" s="820"/>
      <c r="BF242" s="820"/>
      <c r="BG242" s="714">
        <f>IF(BE242=0,0,(BF242-BE242)/BE242*100)</f>
        <v>0</v>
      </c>
      <c r="BH242" s="820"/>
      <c r="BI242" s="820"/>
      <c r="BJ242" s="714">
        <f>IF(BH242=0,0,(BI242-BH242)/BH242*100)</f>
        <v>0</v>
      </c>
      <c r="BK242" s="820"/>
      <c r="BL242" s="820"/>
      <c r="BM242" s="714">
        <f>IF(BK242=0,0,(BL242-BK242)/BK242*100)</f>
        <v>0</v>
      </c>
      <c r="BN242" s="820"/>
      <c r="BO242" s="820"/>
      <c r="BP242" s="714">
        <f>IF(BN242=0,0,(BO242-BN242)/BN242*100)</f>
        <v>0</v>
      </c>
      <c r="BQ242" s="820"/>
      <c r="BR242" s="820"/>
      <c r="BS242" s="714">
        <f>IF(BQ242=0,0,(BR242-BQ242)/BQ242*100)</f>
        <v>0</v>
      </c>
      <c r="BT242" s="820"/>
      <c r="BU242" s="820"/>
      <c r="BV242" s="714">
        <f>IF(BT242=0,0,(BU242-BT242)/BT242*100)</f>
        <v>0</v>
      </c>
      <c r="BW242" s="820"/>
      <c r="BX242" s="820"/>
      <c r="BY242" s="714">
        <f>IF(BW242=0,0,(BX242-BW242)/BW242*100)</f>
        <v>0</v>
      </c>
      <c r="BZ242" s="820"/>
      <c r="CA242" s="820"/>
      <c r="CB242" s="714">
        <f>IF(BZ242=0,0,(CA242-BZ242)/BZ242*100)</f>
        <v>0</v>
      </c>
      <c r="CC242" s="820"/>
      <c r="CD242" s="820"/>
      <c r="CE242" s="714">
        <f>IF(CC242=0,0,(CD242-CC242)/CC242*100)</f>
        <v>0</v>
      </c>
      <c r="CF242" s="820"/>
      <c r="CG242" s="820"/>
      <c r="CH242" s="714">
        <f>IF(CF242=0,0,(CG242-CF242)/CF242*100)</f>
        <v>0</v>
      </c>
      <c r="CI242" s="820"/>
      <c r="CJ242" s="820"/>
      <c r="CK242" s="714">
        <f>IF(CI242=0,0,(CJ242-CI242)/CI242*100)</f>
        <v>0</v>
      </c>
      <c r="CL242" s="820"/>
      <c r="CM242" s="820"/>
      <c r="CN242" s="714">
        <f>IF(CL242=0,0,(CM242-CL242)/CL242*100)</f>
        <v>0</v>
      </c>
      <c r="CO242" s="820"/>
      <c r="CP242" s="820"/>
      <c r="CQ242" s="714">
        <f>IF(CO242=0,0,(CP242-CO242)/CO242*100)</f>
        <v>0</v>
      </c>
      <c r="CR242" s="820"/>
      <c r="CS242" s="820"/>
      <c r="CT242" s="714">
        <f>IF(CR242=0,0,(CS242-CR242)/CR242*100)</f>
        <v>0</v>
      </c>
      <c r="CU242" s="820"/>
      <c r="CV242" s="820"/>
      <c r="CW242" s="714">
        <f>IF(CU242=0,0,(CV242-CU242)/CU242*100)</f>
        <v>0</v>
      </c>
      <c r="CX242" s="820"/>
      <c r="CY242" s="820"/>
      <c r="CZ242" s="714">
        <f>IF(CX242=0,0,(CY242-CX242)/CX242*100)</f>
        <v>0</v>
      </c>
      <c r="DA242" s="820"/>
      <c r="DB242" s="820"/>
      <c r="DC242" s="714">
        <f>IF(DA242=0,0,(DB242-DA242)/DA242*100)</f>
        <v>0</v>
      </c>
      <c r="DD242" s="820"/>
      <c r="DE242" s="820"/>
      <c r="DF242" s="714">
        <f>IF(DD242=0,0,(DE242-DD242)/DD242*100)</f>
        <v>0</v>
      </c>
      <c r="DG242" s="820"/>
      <c r="DH242" s="820"/>
      <c r="DI242" s="714">
        <f>IF(DG242=0,0,(DH242-DG242)/DG242*100)</f>
        <v>0</v>
      </c>
      <c r="DJ242" s="820"/>
      <c r="DK242" s="820"/>
      <c r="DL242" s="714">
        <f>IF(DJ242=0,0,(DK242-DJ242)/DJ242*100)</f>
        <v>0</v>
      </c>
      <c r="DM242" s="820"/>
      <c r="DN242" s="820"/>
      <c r="DO242" s="714">
        <f>IF(DM242=0,0,(DN242-DM242)/DM242*100)</f>
        <v>0</v>
      </c>
      <c r="DP242" s="820"/>
      <c r="DQ242" s="820"/>
      <c r="DR242" s="714">
        <f>IF(DP242=0,0,(DQ242-DP242)/DP242*100)</f>
        <v>0</v>
      </c>
      <c r="DS242" s="820"/>
      <c r="DT242" s="820"/>
      <c r="DU242" s="714">
        <f>IF(DS242=0,0,(DT242-DS242)/DS242*100)</f>
        <v>0</v>
      </c>
      <c r="DV242" s="820"/>
      <c r="DW242" s="820"/>
      <c r="DX242" s="714">
        <f>IF(DV242=0,0,(DW242-DV242)/DV242*100)</f>
        <v>0</v>
      </c>
      <c r="DY242" s="820"/>
      <c r="DZ242" s="820"/>
      <c r="EA242" s="714">
        <f>IF(DY242=0,0,(DZ242-DY242)/DY242*100)</f>
        <v>0</v>
      </c>
      <c r="EB242" s="820"/>
      <c r="EC242" s="820"/>
      <c r="ED242" s="714">
        <f>IF(EB242=0,0,(EC242-EB242)/EB242*100)</f>
        <v>0</v>
      </c>
      <c r="EE242" s="820"/>
      <c r="EF242" s="820"/>
      <c r="EG242" s="714">
        <f>IF(EE242=0,0,(EF242-EE242)/EE242*100)</f>
        <v>0</v>
      </c>
      <c r="EH242" s="820"/>
      <c r="EI242" s="820"/>
      <c r="EJ242" s="714">
        <f>IF(EH242=0,0,(EI242-EH242)/EH242*100)</f>
        <v>0</v>
      </c>
      <c r="EK242" s="820"/>
      <c r="EL242" s="820"/>
      <c r="EM242" s="714">
        <f>IF(EK242=0,0,(EL242-EK242)/EK242*100)</f>
        <v>0</v>
      </c>
      <c r="EN242" s="820"/>
      <c r="EO242" s="820"/>
      <c r="EP242" s="714">
        <f>IF(EN242=0,0,(EO242-EN242)/EN242*100)</f>
        <v>0</v>
      </c>
      <c r="EQ242" s="820"/>
      <c r="ER242" s="820"/>
      <c r="ES242" s="714">
        <f>IF(EQ242=0,0,(ER242-EQ242)/EQ242*100)</f>
        <v>0</v>
      </c>
      <c r="ET242" s="820"/>
      <c r="EU242" s="820"/>
      <c r="EV242" s="714">
        <f>IF(ET242=0,0,(EU242-ET242)/ET242*100)</f>
        <v>0</v>
      </c>
      <c r="EW242" s="820"/>
      <c r="EX242" s="820"/>
      <c r="EY242" s="714">
        <f>IF(EW242=0,0,(EX242-EW242)/EW242*100)</f>
        <v>0</v>
      </c>
      <c r="EZ242" s="820"/>
      <c r="FA242" s="820"/>
      <c r="FB242" s="714">
        <f>IF(EZ242=0,0,(FA242-EZ242)/EZ242*100)</f>
        <v>0</v>
      </c>
      <c r="FC242" s="820"/>
      <c r="FD242" s="820"/>
      <c r="FE242" s="714">
        <f>IF(FC242=0,0,(FD242-FC242)/FC242*100)</f>
        <v>0</v>
      </c>
      <c r="FF242" s="820"/>
      <c r="FG242" s="820"/>
      <c r="FH242" s="714">
        <f>IF(FF242=0,0,(FG242-FF242)/FF242*100)</f>
        <v>0</v>
      </c>
      <c r="FI242" s="820"/>
      <c r="FJ242" s="820"/>
      <c r="FK242" s="714">
        <f>IF(FI242=0,0,(FJ242-FI242)/FI242*100)</f>
        <v>0</v>
      </c>
      <c r="FL242" s="820"/>
      <c r="FM242" s="820"/>
      <c r="FN242" s="714">
        <f>IF(FL242=0,0,(FM242-FL242)/FL242*100)</f>
        <v>0</v>
      </c>
      <c r="FO242" s="820"/>
      <c r="FP242" s="820"/>
      <c r="FQ242" s="714">
        <f>IF(FO242=0,0,(FP242-FO242)/FO242*100)</f>
        <v>0</v>
      </c>
      <c r="FR242" s="820"/>
      <c r="FS242" s="820"/>
      <c r="FT242" s="714">
        <f>IF(FR242=0,0,(FS242-FR242)/FR242*100)</f>
        <v>0</v>
      </c>
      <c r="FU242" s="820"/>
      <c r="FV242" s="820"/>
      <c r="FW242" s="714">
        <f>IF(FU242=0,0,(FV242-FU242)/FU242*100)</f>
        <v>0</v>
      </c>
      <c r="FZ242" s="691" t="s">
        <v>1714</v>
      </c>
      <c r="GA242" s="671" t="s">
        <v>900</v>
      </c>
      <c r="GB242" s="671" cm="1">
        <f t="array" ref="GB242">GB241</f>
        <v>0</v>
      </c>
    </row>
    <row r="243" spans="1:186" ht="14.25" hidden="1" customHeight="1" x14ac:dyDescent="0.15">
      <c r="A243" s="59"/>
      <c r="B243" s="613" t="b" cm="1">
        <f t="array" ref="B243">B242</f>
        <v>0</v>
      </c>
      <c r="C243" s="59"/>
      <c r="D243" s="59"/>
      <c r="E243" s="462">
        <v>15</v>
      </c>
      <c r="F243" s="3" t="str" cm="1">
        <f t="array" aca="1" ref="F243" ca="1">OFFSET(E243,-1,1)</f>
        <v>3</v>
      </c>
      <c r="G243" s="59"/>
      <c r="H243" s="59" t="s">
        <v>1686</v>
      </c>
      <c r="I243" s="59" cm="1">
        <f t="array" ref="I243">I242</f>
        <v>0</v>
      </c>
      <c r="J243" s="59"/>
      <c r="K243" s="59"/>
      <c r="L243" s="59"/>
      <c r="M243" s="59"/>
      <c r="N243" s="59"/>
      <c r="O243" s="59"/>
      <c r="P243" s="59"/>
      <c r="Q243" s="59"/>
      <c r="R243" s="59"/>
      <c r="S243" s="59"/>
      <c r="T243" s="353" t="b" cm="1">
        <f t="array" aca="1" ref="T243" ca="1">T242</f>
        <v>0</v>
      </c>
      <c r="U243" s="59"/>
      <c r="V243" s="59"/>
      <c r="W243" s="59"/>
      <c r="X243" s="1022"/>
      <c r="Y243" s="1022"/>
      <c r="Z243" s="966"/>
      <c r="AA243" s="913"/>
      <c r="AB243" s="105" t="s">
        <v>1687</v>
      </c>
      <c r="AC243" s="12" t="s">
        <v>1688</v>
      </c>
      <c r="AD243" s="820"/>
      <c r="AE243" s="820"/>
      <c r="AF243" s="714">
        <f>IF(AD243=0,0,(AE243-AD243)/AD243*100)</f>
        <v>0</v>
      </c>
      <c r="AG243" s="820"/>
      <c r="AH243" s="820"/>
      <c r="AI243" s="714">
        <f>IF(AG243=0,0,(AH243-AG243)/AG243*100)</f>
        <v>0</v>
      </c>
      <c r="AJ243" s="820"/>
      <c r="AK243" s="820"/>
      <c r="AL243" s="714">
        <f>IF(AJ243=0,0,(AK243-AJ243)/AJ243*100)</f>
        <v>0</v>
      </c>
      <c r="AM243" s="820"/>
      <c r="AN243" s="820"/>
      <c r="AO243" s="714">
        <f>IF(AM243=0,0,(AN243-AM243)/AM243*100)</f>
        <v>0</v>
      </c>
      <c r="AP243" s="820"/>
      <c r="AQ243" s="820"/>
      <c r="AR243" s="714">
        <f>IF(AP243=0,0,(AQ243-AP243)/AP243*100)</f>
        <v>0</v>
      </c>
      <c r="AS243" s="820"/>
      <c r="AT243" s="820"/>
      <c r="AU243" s="714">
        <f>IF(AS243=0,0,(AT243-AS243)/AS243*100)</f>
        <v>0</v>
      </c>
      <c r="AV243" s="820"/>
      <c r="AW243" s="820"/>
      <c r="AX243" s="714">
        <f>IF(AV243=0,0,(AW243-AV243)/AV243*100)</f>
        <v>0</v>
      </c>
      <c r="AY243" s="820"/>
      <c r="AZ243" s="820"/>
      <c r="BA243" s="714">
        <f>IF(AY243=0,0,(AZ243-AY243)/AY243*100)</f>
        <v>0</v>
      </c>
      <c r="BB243" s="820"/>
      <c r="BC243" s="820"/>
      <c r="BD243" s="714">
        <f>IF(BB243=0,0,(BC243-BB243)/BB243*100)</f>
        <v>0</v>
      </c>
      <c r="BE243" s="820"/>
      <c r="BF243" s="820"/>
      <c r="BG243" s="714">
        <f>IF(BE243=0,0,(BF243-BE243)/BE243*100)</f>
        <v>0</v>
      </c>
      <c r="BH243" s="820"/>
      <c r="BI243" s="820"/>
      <c r="BJ243" s="714">
        <f>IF(BH243=0,0,(BI243-BH243)/BH243*100)</f>
        <v>0</v>
      </c>
      <c r="BK243" s="820"/>
      <c r="BL243" s="820"/>
      <c r="BM243" s="714">
        <f>IF(BK243=0,0,(BL243-BK243)/BK243*100)</f>
        <v>0</v>
      </c>
      <c r="BN243" s="820"/>
      <c r="BO243" s="820"/>
      <c r="BP243" s="714">
        <f>IF(BN243=0,0,(BO243-BN243)/BN243*100)</f>
        <v>0</v>
      </c>
      <c r="BQ243" s="820"/>
      <c r="BR243" s="820"/>
      <c r="BS243" s="714">
        <f>IF(BQ243=0,0,(BR243-BQ243)/BQ243*100)</f>
        <v>0</v>
      </c>
      <c r="BT243" s="820"/>
      <c r="BU243" s="820"/>
      <c r="BV243" s="714">
        <f>IF(BT243=0,0,(BU243-BT243)/BT243*100)</f>
        <v>0</v>
      </c>
      <c r="BW243" s="820"/>
      <c r="BX243" s="820"/>
      <c r="BY243" s="714">
        <f>IF(BW243=0,0,(BX243-BW243)/BW243*100)</f>
        <v>0</v>
      </c>
      <c r="BZ243" s="820"/>
      <c r="CA243" s="820"/>
      <c r="CB243" s="714">
        <f>IF(BZ243=0,0,(CA243-BZ243)/BZ243*100)</f>
        <v>0</v>
      </c>
      <c r="CC243" s="820"/>
      <c r="CD243" s="820"/>
      <c r="CE243" s="714">
        <f>IF(CC243=0,0,(CD243-CC243)/CC243*100)</f>
        <v>0</v>
      </c>
      <c r="CF243" s="820"/>
      <c r="CG243" s="820"/>
      <c r="CH243" s="714">
        <f>IF(CF243=0,0,(CG243-CF243)/CF243*100)</f>
        <v>0</v>
      </c>
      <c r="CI243" s="820"/>
      <c r="CJ243" s="820"/>
      <c r="CK243" s="714">
        <f>IF(CI243=0,0,(CJ243-CI243)/CI243*100)</f>
        <v>0</v>
      </c>
      <c r="CL243" s="820"/>
      <c r="CM243" s="820"/>
      <c r="CN243" s="714">
        <f>IF(CL243=0,0,(CM243-CL243)/CL243*100)</f>
        <v>0</v>
      </c>
      <c r="CO243" s="820"/>
      <c r="CP243" s="820"/>
      <c r="CQ243" s="714">
        <f>IF(CO243=0,0,(CP243-CO243)/CO243*100)</f>
        <v>0</v>
      </c>
      <c r="CR243" s="820"/>
      <c r="CS243" s="820"/>
      <c r="CT243" s="714">
        <f>IF(CR243=0,0,(CS243-CR243)/CR243*100)</f>
        <v>0</v>
      </c>
      <c r="CU243" s="820"/>
      <c r="CV243" s="820"/>
      <c r="CW243" s="714">
        <f>IF(CU243=0,0,(CV243-CU243)/CU243*100)</f>
        <v>0</v>
      </c>
      <c r="CX243" s="820"/>
      <c r="CY243" s="820"/>
      <c r="CZ243" s="714">
        <f>IF(CX243=0,0,(CY243-CX243)/CX243*100)</f>
        <v>0</v>
      </c>
      <c r="DA243" s="820"/>
      <c r="DB243" s="820"/>
      <c r="DC243" s="714">
        <f>IF(DA243=0,0,(DB243-DA243)/DA243*100)</f>
        <v>0</v>
      </c>
      <c r="DD243" s="820"/>
      <c r="DE243" s="820"/>
      <c r="DF243" s="714">
        <f>IF(DD243=0,0,(DE243-DD243)/DD243*100)</f>
        <v>0</v>
      </c>
      <c r="DG243" s="820"/>
      <c r="DH243" s="820"/>
      <c r="DI243" s="714">
        <f>IF(DG243=0,0,(DH243-DG243)/DG243*100)</f>
        <v>0</v>
      </c>
      <c r="DJ243" s="820"/>
      <c r="DK243" s="820"/>
      <c r="DL243" s="714">
        <f>IF(DJ243=0,0,(DK243-DJ243)/DJ243*100)</f>
        <v>0</v>
      </c>
      <c r="DM243" s="820"/>
      <c r="DN243" s="820"/>
      <c r="DO243" s="714">
        <f>IF(DM243=0,0,(DN243-DM243)/DM243*100)</f>
        <v>0</v>
      </c>
      <c r="DP243" s="820"/>
      <c r="DQ243" s="820"/>
      <c r="DR243" s="714">
        <f>IF(DP243=0,0,(DQ243-DP243)/DP243*100)</f>
        <v>0</v>
      </c>
      <c r="DS243" s="820"/>
      <c r="DT243" s="820"/>
      <c r="DU243" s="714">
        <f>IF(DS243=0,0,(DT243-DS243)/DS243*100)</f>
        <v>0</v>
      </c>
      <c r="DV243" s="820"/>
      <c r="DW243" s="820"/>
      <c r="DX243" s="714">
        <f>IF(DV243=0,0,(DW243-DV243)/DV243*100)</f>
        <v>0</v>
      </c>
      <c r="DY243" s="820"/>
      <c r="DZ243" s="820"/>
      <c r="EA243" s="714">
        <f>IF(DY243=0,0,(DZ243-DY243)/DY243*100)</f>
        <v>0</v>
      </c>
      <c r="EB243" s="820"/>
      <c r="EC243" s="820"/>
      <c r="ED243" s="714">
        <f>IF(EB243=0,0,(EC243-EB243)/EB243*100)</f>
        <v>0</v>
      </c>
      <c r="EE243" s="820"/>
      <c r="EF243" s="820"/>
      <c r="EG243" s="714">
        <f>IF(EE243=0,0,(EF243-EE243)/EE243*100)</f>
        <v>0</v>
      </c>
      <c r="EH243" s="820"/>
      <c r="EI243" s="820"/>
      <c r="EJ243" s="714">
        <f>IF(EH243=0,0,(EI243-EH243)/EH243*100)</f>
        <v>0</v>
      </c>
      <c r="EK243" s="820"/>
      <c r="EL243" s="820"/>
      <c r="EM243" s="714">
        <f>IF(EK243=0,0,(EL243-EK243)/EK243*100)</f>
        <v>0</v>
      </c>
      <c r="EN243" s="820"/>
      <c r="EO243" s="820"/>
      <c r="EP243" s="714">
        <f>IF(EN243=0,0,(EO243-EN243)/EN243*100)</f>
        <v>0</v>
      </c>
      <c r="EQ243" s="820"/>
      <c r="ER243" s="820"/>
      <c r="ES243" s="714">
        <f>IF(EQ243=0,0,(ER243-EQ243)/EQ243*100)</f>
        <v>0</v>
      </c>
      <c r="ET243" s="820"/>
      <c r="EU243" s="820"/>
      <c r="EV243" s="714">
        <f>IF(ET243=0,0,(EU243-ET243)/ET243*100)</f>
        <v>0</v>
      </c>
      <c r="EW243" s="820"/>
      <c r="EX243" s="820"/>
      <c r="EY243" s="714">
        <f>IF(EW243=0,0,(EX243-EW243)/EW243*100)</f>
        <v>0</v>
      </c>
      <c r="EZ243" s="820"/>
      <c r="FA243" s="820"/>
      <c r="FB243" s="714">
        <f>IF(EZ243=0,0,(FA243-EZ243)/EZ243*100)</f>
        <v>0</v>
      </c>
      <c r="FC243" s="820"/>
      <c r="FD243" s="820"/>
      <c r="FE243" s="714">
        <f>IF(FC243=0,0,(FD243-FC243)/FC243*100)</f>
        <v>0</v>
      </c>
      <c r="FF243" s="820"/>
      <c r="FG243" s="820"/>
      <c r="FH243" s="714">
        <f>IF(FF243=0,0,(FG243-FF243)/FF243*100)</f>
        <v>0</v>
      </c>
      <c r="FI243" s="820"/>
      <c r="FJ243" s="820"/>
      <c r="FK243" s="714">
        <f>IF(FI243=0,0,(FJ243-FI243)/FI243*100)</f>
        <v>0</v>
      </c>
      <c r="FL243" s="820"/>
      <c r="FM243" s="820"/>
      <c r="FN243" s="714">
        <f>IF(FL243=0,0,(FM243-FL243)/FL243*100)</f>
        <v>0</v>
      </c>
      <c r="FO243" s="820"/>
      <c r="FP243" s="820"/>
      <c r="FQ243" s="714">
        <f>IF(FO243=0,0,(FP243-FO243)/FO243*100)</f>
        <v>0</v>
      </c>
      <c r="FR243" s="820"/>
      <c r="FS243" s="820"/>
      <c r="FT243" s="714">
        <f>IF(FR243=0,0,(FS243-FR243)/FR243*100)</f>
        <v>0</v>
      </c>
      <c r="FU243" s="820"/>
      <c r="FV243" s="820"/>
      <c r="FW243" s="714">
        <f>IF(FU243=0,0,(FV243-FU243)/FU243*100)</f>
        <v>0</v>
      </c>
      <c r="FZ243" s="691" t="s">
        <v>1715</v>
      </c>
      <c r="GA243" s="671" t="s">
        <v>900</v>
      </c>
      <c r="GB243" s="671" cm="1">
        <f t="array" ref="GB243">GB242</f>
        <v>0</v>
      </c>
    </row>
    <row r="244" spans="1:186" ht="14.25" hidden="1" customHeight="1" x14ac:dyDescent="0.15">
      <c r="A244" s="59"/>
      <c r="B244" s="613" t="b" cm="1">
        <f t="array" ref="B244">B243</f>
        <v>0</v>
      </c>
      <c r="C244" s="59"/>
      <c r="D244" s="59"/>
      <c r="E244" s="462">
        <v>15</v>
      </c>
      <c r="F244" s="3" t="str" cm="1">
        <f t="array" aca="1" ref="F244" ca="1">OFFSET(E244,-1,1)</f>
        <v>3</v>
      </c>
      <c r="G244" s="59"/>
      <c r="H244" s="59"/>
      <c r="I244" s="17" t="s">
        <v>1716</v>
      </c>
      <c r="J244" s="59"/>
      <c r="K244" s="59"/>
      <c r="L244" s="59"/>
      <c r="M244" s="59"/>
      <c r="N244" s="59"/>
      <c r="O244" s="59"/>
      <c r="P244" s="59"/>
      <c r="Q244" s="59"/>
      <c r="R244" s="59"/>
      <c r="S244" s="59"/>
      <c r="T244" s="353" t="b">
        <f ca="1">F244&gt;0</f>
        <v>1</v>
      </c>
      <c r="U244" s="59"/>
      <c r="W244" s="517" t="s">
        <v>1674</v>
      </c>
      <c r="X244" s="1022"/>
      <c r="Z244" s="966"/>
      <c r="AB244" s="172" t="s">
        <v>176</v>
      </c>
      <c r="AC244" s="176"/>
      <c r="AD244" s="716"/>
      <c r="AE244" s="716"/>
      <c r="AF244" s="716"/>
      <c r="AG244" s="716"/>
      <c r="AH244" s="716"/>
      <c r="AI244" s="716"/>
      <c r="AJ244" s="716"/>
      <c r="AK244" s="716"/>
      <c r="AL244" s="716"/>
      <c r="AM244" s="716"/>
      <c r="AN244" s="716"/>
      <c r="AO244" s="716"/>
      <c r="AP244" s="716"/>
      <c r="AQ244" s="716"/>
      <c r="AR244" s="716"/>
      <c r="AS244" s="716"/>
      <c r="AT244" s="716"/>
      <c r="AU244" s="716"/>
      <c r="AV244" s="716"/>
      <c r="AW244" s="716"/>
      <c r="AX244" s="716"/>
      <c r="AY244" s="716"/>
      <c r="AZ244" s="716"/>
      <c r="BA244" s="716"/>
      <c r="BB244" s="716"/>
      <c r="BC244" s="716"/>
      <c r="BD244" s="716"/>
      <c r="BE244" s="716"/>
      <c r="BF244" s="716"/>
      <c r="BG244" s="716"/>
      <c r="BH244" s="716"/>
      <c r="BI244" s="716"/>
      <c r="BJ244" s="716"/>
      <c r="BK244" s="716"/>
      <c r="BL244" s="716"/>
      <c r="BM244" s="716"/>
      <c r="BN244" s="716"/>
      <c r="BO244" s="716"/>
      <c r="BP244" s="716"/>
      <c r="BQ244" s="716"/>
      <c r="BR244" s="716"/>
      <c r="BS244" s="716"/>
      <c r="BT244" s="716"/>
      <c r="BU244" s="716"/>
      <c r="BV244" s="716"/>
      <c r="BW244" s="716"/>
      <c r="BX244" s="716"/>
      <c r="BY244" s="716"/>
      <c r="BZ244" s="716"/>
      <c r="CA244" s="716"/>
      <c r="CB244" s="716"/>
      <c r="CC244" s="716"/>
      <c r="CD244" s="716"/>
      <c r="CE244" s="716"/>
      <c r="CF244" s="716"/>
      <c r="CG244" s="716"/>
      <c r="CH244" s="716"/>
      <c r="CI244" s="716"/>
      <c r="CJ244" s="716"/>
      <c r="CK244" s="716"/>
      <c r="CL244" s="716"/>
      <c r="CM244" s="716"/>
      <c r="CN244" s="716"/>
      <c r="CO244" s="716"/>
      <c r="CP244" s="716"/>
      <c r="CQ244" s="716"/>
      <c r="CR244" s="716"/>
      <c r="CS244" s="716"/>
      <c r="CT244" s="716"/>
      <c r="CU244" s="716"/>
      <c r="CV244" s="716"/>
      <c r="CW244" s="716"/>
      <c r="CX244" s="716"/>
      <c r="CY244" s="716"/>
      <c r="CZ244" s="716"/>
      <c r="DA244" s="716"/>
      <c r="DB244" s="716"/>
      <c r="DC244" s="716"/>
      <c r="DD244" s="716"/>
      <c r="DE244" s="716"/>
      <c r="DF244" s="716"/>
      <c r="DG244" s="716"/>
      <c r="DH244" s="716"/>
      <c r="DI244" s="716"/>
      <c r="DJ244" s="716"/>
      <c r="DK244" s="716"/>
      <c r="DL244" s="716"/>
      <c r="DM244" s="716"/>
      <c r="DN244" s="716"/>
      <c r="DO244" s="716"/>
      <c r="DP244" s="716"/>
      <c r="DQ244" s="716"/>
      <c r="DR244" s="716"/>
      <c r="DS244" s="716"/>
      <c r="DT244" s="716"/>
      <c r="DU244" s="716"/>
      <c r="DV244" s="716"/>
      <c r="DW244" s="716"/>
      <c r="DX244" s="716"/>
      <c r="DY244" s="716"/>
      <c r="DZ244" s="716"/>
      <c r="EA244" s="716"/>
      <c r="EB244" s="716"/>
      <c r="EC244" s="716"/>
      <c r="ED244" s="716"/>
      <c r="EE244" s="716"/>
      <c r="EF244" s="716"/>
      <c r="EG244" s="716"/>
      <c r="EH244" s="716"/>
      <c r="EI244" s="716"/>
      <c r="EJ244" s="716"/>
      <c r="EK244" s="716"/>
      <c r="EL244" s="716"/>
      <c r="EM244" s="716"/>
      <c r="EN244" s="716"/>
      <c r="EO244" s="716"/>
      <c r="EP244" s="716"/>
      <c r="EQ244" s="716"/>
      <c r="ER244" s="716"/>
      <c r="ES244" s="716"/>
      <c r="ET244" s="716"/>
      <c r="EU244" s="716"/>
      <c r="EV244" s="716"/>
      <c r="EW244" s="716"/>
      <c r="EX244" s="716"/>
      <c r="EY244" s="716"/>
      <c r="EZ244" s="716"/>
      <c r="FA244" s="716"/>
      <c r="FB244" s="716"/>
      <c r="FC244" s="716"/>
      <c r="FD244" s="716"/>
      <c r="FE244" s="716"/>
      <c r="FF244" s="716"/>
      <c r="FG244" s="716"/>
      <c r="FH244" s="716"/>
      <c r="FI244" s="716"/>
      <c r="FJ244" s="716"/>
      <c r="FK244" s="716"/>
      <c r="FL244" s="716"/>
      <c r="FM244" s="716"/>
      <c r="FN244" s="716"/>
      <c r="FO244" s="716"/>
      <c r="FP244" s="716"/>
      <c r="FQ244" s="716"/>
      <c r="FR244" s="716"/>
      <c r="FS244" s="716"/>
      <c r="FT244" s="716"/>
      <c r="FU244" s="716"/>
      <c r="FV244" s="716"/>
      <c r="FW244" s="717"/>
      <c r="FZ244" s="691" t="s">
        <v>225</v>
      </c>
      <c r="GC244" s="461" t="s">
        <v>900</v>
      </c>
    </row>
    <row r="245" spans="1:186" ht="11.25" hidden="1" customHeight="1" x14ac:dyDescent="0.15">
      <c r="A245" s="315"/>
      <c r="B245" s="613"/>
      <c r="C245" s="315"/>
      <c r="D245" s="315"/>
      <c r="E245" s="480">
        <v>0</v>
      </c>
      <c r="F245" s="765" t="str" cm="1">
        <f t="array" aca="1" ref="F245" ca="1">OFFSET(E245,-1,1)</f>
        <v>3</v>
      </c>
      <c r="G245" s="315"/>
      <c r="H245" s="315"/>
      <c r="I245" s="315"/>
      <c r="J245" s="315"/>
      <c r="K245" s="315"/>
      <c r="L245" s="315"/>
      <c r="M245" s="315"/>
      <c r="N245" s="315"/>
      <c r="O245" s="315"/>
      <c r="P245" s="315"/>
      <c r="Q245" s="315"/>
      <c r="R245" s="315"/>
      <c r="S245" s="315"/>
      <c r="T245" s="353" t="b">
        <v>0</v>
      </c>
      <c r="U245" s="315"/>
      <c r="V245" s="315"/>
      <c r="W245" s="315"/>
      <c r="X245" s="1022"/>
      <c r="Y245" s="315"/>
      <c r="Z245" s="966"/>
      <c r="AA245" s="315"/>
      <c r="AB245"/>
      <c r="AC245" s="315"/>
      <c r="AD245" s="315"/>
      <c r="AE245" s="315"/>
      <c r="AF245" s="31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s="691" t="s">
        <v>225</v>
      </c>
      <c r="GA245" s="661"/>
      <c r="GB245" s="655"/>
      <c r="GC245" s="454"/>
      <c r="GD245" s="454"/>
    </row>
    <row r="246" spans="1:186" s="866" customFormat="1" ht="23.25" customHeight="1" x14ac:dyDescent="0.15">
      <c r="A246" s="594"/>
      <c r="B246" s="613" t="b" cm="1">
        <f t="array" ref="B246">S197</f>
        <v>1</v>
      </c>
      <c r="C246" s="594"/>
      <c r="D246" s="594"/>
      <c r="E246" s="462">
        <v>24.5</v>
      </c>
      <c r="F246" s="3" t="str" cm="1">
        <f t="array" aca="1" ref="F246" ca="1">OFFSET(E246,-1,1)</f>
        <v>3</v>
      </c>
      <c r="G246" s="25" t="s">
        <v>1641</v>
      </c>
      <c r="H246" s="59" t="s">
        <v>482</v>
      </c>
      <c r="I246" s="59" t="s">
        <v>1717</v>
      </c>
      <c r="J246" s="594"/>
      <c r="K246" s="594"/>
      <c r="L246" s="594"/>
      <c r="M246" s="594"/>
      <c r="N246" s="594"/>
      <c r="O246" s="594"/>
      <c r="P246" s="594"/>
      <c r="Q246" s="594"/>
      <c r="R246" s="594"/>
      <c r="S246" s="59"/>
      <c r="T246" s="353" t="b" cm="1">
        <f t="array" aca="1" ref="T246" ca="1">T244</f>
        <v>1</v>
      </c>
      <c r="U246" s="594"/>
      <c r="V246" s="594"/>
      <c r="W246" s="594"/>
      <c r="X246" s="1022"/>
      <c r="Y246" s="594"/>
      <c r="Z246" s="966"/>
      <c r="AA246" s="594"/>
      <c r="AB246" s="132" t="s">
        <v>1718</v>
      </c>
      <c r="AC246" s="147" t="s">
        <v>1644</v>
      </c>
      <c r="AD246" s="210">
        <f ca="1">IF(AND(method_reg="Метод индексации",god&lt;&gt;first_year),SUMIFS(INDEX('Калькуляция (МИ корр)'!$AJ$25:$BC$603,,MATCH(AD$8,'Калькуляция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(МИ)'!$AJ$25:$BC$603,,MATCH(AD$8,'Калькуляция (МИ)'!$AJ$8:$BC$8,0)),'Калькуляция (МИ)'!$F$25:$F$603,$F246,'Калькуляция (МИ)'!$G$25:$G$603,$G246))))</f>
        <v>1.3436110617999999</v>
      </c>
      <c r="AE246" s="210">
        <f ca="1">IF(AND(method_reg="Метод индексации",god&lt;&gt;first_year),SUMIFS(INDEX('Калькуляция (МИ корр)'!$AJ$25:$BC$603,,MATCH(AE$8,'Калькуляция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(МИ)'!$AJ$25:$BC$603,,MATCH(AE$8,'Калькуляция (МИ)'!$AJ$8:$BC$8,0)),'Калькуляция (МИ)'!$F$25:$F$603,$F246,'Калькуляция (МИ)'!$G$25:$G$603,$G246))))</f>
        <v>0.52200009970000005</v>
      </c>
      <c r="AF246" s="208">
        <f ca="1">IF(AD246=0,0,(AE246-AD246)/AD246*100)</f>
        <v>-61.14946396759413</v>
      </c>
      <c r="AG246" s="865">
        <f ca="1">IF(AND(method_reg="Метод индексации",god&lt;&gt;first_year),SUMIFS(INDEX('Калькуляция (МИ корр)'!$AJ$25:$BC$603,,MATCH(AG$8,'Калькуляция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(МИ)'!$AJ$25:$BC$603,,MATCH(AG$8,'Калькуляция (МИ)'!$AJ$8:$BC$8,0)),'Калькуляция (МИ)'!$F$25:$F$603,$F246,'Калькуляция (МИ)'!$G$25:$G$603,$G246))))</f>
        <v>0</v>
      </c>
      <c r="AH246" s="865">
        <f ca="1">IF(AND(method_reg="Метод индексации",god&lt;&gt;first_year),SUMIFS(INDEX('Калькуляция (МИ корр)'!$AJ$25:$BC$603,,MATCH(AH$8,'Калькуляция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(МИ)'!$AJ$25:$BC$603,,MATCH(AH$8,'Калькуляция (МИ)'!$AJ$8:$BC$8,0)),'Калькуляция (МИ)'!$F$25:$F$603,$F246,'Калькуляция (МИ)'!$G$25:$G$603,$G246))))</f>
        <v>0.52200009970000005</v>
      </c>
      <c r="AI246" s="208">
        <f ca="1">IF(AG246=0,0,(AH246-AG246)/AG246*100)</f>
        <v>0</v>
      </c>
      <c r="AJ246" s="865">
        <f ca="1">IF(AND(method_reg="Метод индексации",god&lt;&gt;first_year),SUMIFS(INDEX('Калькуляция (МИ корр)'!$AJ$25:$BC$603,,MATCH(AJ$8,'Калькуляция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(МИ)'!$AJ$25:$BC$603,,MATCH(AJ$8,'Калькуляция (МИ)'!$AJ$8:$BC$8,0)),'Калькуляция (МИ)'!$F$25:$F$603,$F246,'Калькуляция (МИ)'!$G$25:$G$603,$G246))))</f>
        <v>0</v>
      </c>
      <c r="AK246" s="865">
        <f ca="1">IF(AND(method_reg="Метод индексации",god&lt;&gt;first_year),SUMIFS(INDEX('Калькуляция (МИ корр)'!$AJ$25:$BC$603,,MATCH(AK$8,'Калькуляция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(МИ)'!$AJ$25:$BC$603,,MATCH(AK$8,'Калькуляция (МИ)'!$AJ$8:$BC$8,0)),'Калькуляция (МИ)'!$F$25:$F$603,$F246,'Калькуляция (МИ)'!$G$25:$G$603,$G246))))</f>
        <v>0</v>
      </c>
      <c r="AL246" s="208">
        <f ca="1">IF(AJ246=0,0,(AK246-AJ246)/AJ246*100)</f>
        <v>0</v>
      </c>
      <c r="AM246" s="210">
        <f ca="1">IF(AND(method_reg="Метод индексации",god&lt;&gt;first_year),SUMIFS(INDEX('Калькуляция (МИ корр)'!$AJ$25:$BC$603,,MATCH(AM$8,'Калькуляция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(МИ)'!$AJ$25:$BC$603,,MATCH(AM$8,'Калькуляция (МИ)'!$AJ$8:$BC$8,0)),'Калькуляция (МИ)'!$F$25:$F$603,$F246,'Калькуляция (МИ)'!$G$25:$G$603,$G246))))</f>
        <v>0</v>
      </c>
      <c r="AN246" s="210">
        <f ca="1">IF(AND(method_reg="Метод индексации",god&lt;&gt;first_year),SUMIFS(INDEX('Калькуляция (МИ корр)'!$AJ$25:$BC$603,,MATCH(AN$8,'Калькуляция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(МИ)'!$AJ$25:$BC$603,,MATCH(AN$8,'Калькуляция (МИ)'!$AJ$8:$BC$8,0)),'Калькуляция (МИ)'!$F$25:$F$603,$F246,'Калькуляция (МИ)'!$G$25:$G$603,$G246))))</f>
        <v>0</v>
      </c>
      <c r="AO246" s="208">
        <f ca="1">IF(AM246=0,0,(AN246-AM246)/AM246*100)</f>
        <v>0</v>
      </c>
      <c r="AP246" s="210">
        <f ca="1">IF(AND(method_reg="Метод индексации",god&lt;&gt;first_year),SUMIFS(INDEX('Калькуляция (МИ корр)'!$AJ$25:$BC$603,,MATCH(AP$8,'Калькуляция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(МИ)'!$AJ$25:$BC$603,,MATCH(AP$8,'Калькуляция (МИ)'!$AJ$8:$BC$8,0)),'Калькуляция (МИ)'!$F$25:$F$603,$F246,'Калькуляция (МИ)'!$G$25:$G$603,$G246))))</f>
        <v>0</v>
      </c>
      <c r="AQ246" s="210">
        <f ca="1">IF(AND(method_reg="Метод индексации",god&lt;&gt;first_year),SUMIFS(INDEX('Калькуляция (МИ корр)'!$AJ$25:$BC$603,,MATCH(AQ$8,'Калькуляция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(МИ)'!$AJ$25:$BC$603,,MATCH(AQ$8,'Калькуляция (МИ)'!$AJ$8:$BC$8,0)),'Калькуляция (МИ)'!$F$25:$F$603,$F246,'Калькуляция (МИ)'!$G$25:$G$603,$G246))))</f>
        <v>0</v>
      </c>
      <c r="AR246" s="208">
        <f ca="1">IF(AP246=0,0,(AQ246-AP246)/AP246*100)</f>
        <v>0</v>
      </c>
      <c r="AS246" s="210">
        <f ca="1">IF(AND(method_reg="Метод индексации",god&lt;&gt;first_year),SUMIFS(INDEX('Калькуляция (МИ корр)'!$AJ$25:$BC$603,,MATCH(AS$8,'Калькуляция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(МИ)'!$AJ$25:$BC$603,,MATCH(AS$8,'Калькуляция (МИ)'!$AJ$8:$BC$8,0)),'Калькуляция (МИ)'!$F$25:$F$603,$F246,'Калькуляция (МИ)'!$G$25:$G$603,$G246))))</f>
        <v>0</v>
      </c>
      <c r="AT246" s="210">
        <f ca="1">IF(AND(method_reg="Метод индексации",god&lt;&gt;first_year),SUMIFS(INDEX('Калькуляция (МИ корр)'!$AJ$25:$BC$603,,MATCH(AT$8,'Калькуляция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(МИ)'!$AJ$25:$BC$603,,MATCH(AT$8,'Калькуляция (МИ)'!$AJ$8:$BC$8,0)),'Калькуляция (МИ)'!$F$25:$F$603,$F246,'Калькуляция (МИ)'!$G$25:$G$603,$G246))))</f>
        <v>0</v>
      </c>
      <c r="AU246" s="208">
        <f ca="1">IF(AS246=0,0,(AT246-AS246)/AS246*100)</f>
        <v>0</v>
      </c>
      <c r="AV246" s="210">
        <f ca="1">IF(AND(method_reg="Метод индексации",god&lt;&gt;first_year),SUMIFS(INDEX('Калькуляция (МИ корр)'!$AJ$25:$BC$603,,MATCH(AV$8,'Калькуляция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(МИ)'!$AJ$25:$BC$603,,MATCH(AV$8,'Калькуляция (МИ)'!$AJ$8:$BC$8,0)),'Калькуляция (МИ)'!$F$25:$F$603,$F246,'Калькуляция (МИ)'!$G$25:$G$603,$G246))))</f>
        <v>0</v>
      </c>
      <c r="AW246" s="210">
        <f ca="1">IF(AND(method_reg="Метод индексации",god&lt;&gt;first_year),SUMIFS(INDEX('Калькуляция (МИ корр)'!$AJ$25:$BC$603,,MATCH(AW$8,'Калькуляция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(МИ)'!$AJ$25:$BC$603,,MATCH(AW$8,'Калькуляция (МИ)'!$AJ$8:$BC$8,0)),'Калькуляция (МИ)'!$F$25:$F$603,$F246,'Калькуляция (МИ)'!$G$25:$G$603,$G246))))</f>
        <v>0</v>
      </c>
      <c r="AX246" s="208">
        <f ca="1">IF(AV246=0,0,(AW246-AV246)/AV246*100)</f>
        <v>0</v>
      </c>
      <c r="AY246" s="210">
        <f ca="1">IF(AND(method_reg="Метод индексации",god&lt;&gt;first_year),SUMIFS(INDEX('Калькуляция (МИ корр)'!$AJ$25:$BC$603,,MATCH(AY$8,'Калькуляция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(МИ)'!$AJ$25:$BC$603,,MATCH(AY$8,'Калькуляция (МИ)'!$AJ$8:$BC$8,0)),'Калькуляция (МИ)'!$F$25:$F$603,$F246,'Калькуляция (МИ)'!$G$25:$G$603,$G246))))</f>
        <v>0</v>
      </c>
      <c r="AZ246" s="210">
        <f ca="1">IF(AND(method_reg="Метод индексации",god&lt;&gt;first_year),SUMIFS(INDEX('Калькуляция (МИ корр)'!$AJ$25:$BC$603,,MATCH(AZ$8,'Калькуляция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(МИ)'!$AJ$25:$BC$603,,MATCH(AZ$8,'Калькуляция (МИ)'!$AJ$8:$BC$8,0)),'Калькуляция (МИ)'!$F$25:$F$603,$F246,'Калькуляция (МИ)'!$G$25:$G$603,$G246))))</f>
        <v>0</v>
      </c>
      <c r="BA246" s="208">
        <f ca="1">IF(AY246=0,0,(AZ246-AY246)/AY246*100)</f>
        <v>0</v>
      </c>
      <c r="BB246" s="210">
        <f ca="1">IF(AND(method_reg="Метод индексации",god&lt;&gt;first_year),SUMIFS(INDEX('Калькуляция (МИ корр)'!$AJ$25:$BC$603,,MATCH(BB$8,'Калькуляция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(МИ)'!$AJ$25:$BC$603,,MATCH(BB$8,'Калькуляция (МИ)'!$AJ$8:$BC$8,0)),'Калькуляция (МИ)'!$F$25:$F$603,$F246,'Калькуляция (МИ)'!$G$25:$G$603,$G246))))</f>
        <v>0</v>
      </c>
      <c r="BC246" s="210">
        <f ca="1">IF(AND(method_reg="Метод индексации",god&lt;&gt;first_year),SUMIFS(INDEX('Калькуляция (МИ корр)'!$AJ$25:$BC$603,,MATCH(BC$8,'Калькуляция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(МИ)'!$AJ$25:$BC$603,,MATCH(BC$8,'Калькуляция (МИ)'!$AJ$8:$BC$8,0)),'Калькуляция (МИ)'!$F$25:$F$603,$F246,'Калькуляция (МИ)'!$G$25:$G$603,$G246))))</f>
        <v>0</v>
      </c>
      <c r="BD246" s="208">
        <f ca="1">IF(BB246=0,0,(BC246-BB246)/BB246*100)</f>
        <v>0</v>
      </c>
      <c r="BE246" s="210">
        <f ca="1">IF(AND(method_reg="Метод индексации",god&lt;&gt;first_year),SUMIFS(INDEX('Калькуляция (МИ корр)'!$AJ$25:$BC$603,,MATCH(BE$8,'Калькуляция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(МИ)'!$AJ$25:$BC$603,,MATCH(BE$8,'Калькуляция (МИ)'!$AJ$8:$BC$8,0)),'Калькуляция (МИ)'!$F$25:$F$603,$F246,'Калькуляция (МИ)'!$G$25:$G$603,$G246))))</f>
        <v>0</v>
      </c>
      <c r="BF246" s="210">
        <f ca="1">IF(AND(method_reg="Метод индексации",god&lt;&gt;first_year),SUMIFS(INDEX('Калькуляция (МИ корр)'!$AJ$25:$BC$603,,MATCH(BF$8,'Калькуляция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(МИ)'!$AJ$25:$BC$603,,MATCH(BF$8,'Калькуляция (МИ)'!$AJ$8:$BC$8,0)),'Калькуляция (МИ)'!$F$25:$F$603,$F246,'Калькуляция (МИ)'!$G$25:$G$603,$G246))))</f>
        <v>0</v>
      </c>
      <c r="BG246" s="208">
        <f ca="1">IF(BE246=0,0,(BF246-BE246)/BE246*100)</f>
        <v>0</v>
      </c>
      <c r="BH246" s="210"/>
      <c r="BI246" s="210"/>
      <c r="BJ246" s="208">
        <f>IF(BH246=0,0,(BI246-BH246)/BH246*100)</f>
        <v>0</v>
      </c>
      <c r="BK246" s="210"/>
      <c r="BL246" s="210"/>
      <c r="BM246" s="208">
        <f>IF(BK246=0,0,(BL246-BK246)/BK246*100)</f>
        <v>0</v>
      </c>
      <c r="BN246" s="210"/>
      <c r="BO246" s="210"/>
      <c r="BP246" s="208">
        <f>IF(BN246=0,0,(BO246-BN246)/BN246*100)</f>
        <v>0</v>
      </c>
      <c r="BQ246" s="210"/>
      <c r="BR246" s="210"/>
      <c r="BS246" s="208">
        <f>IF(BQ246=0,0,(BR246-BQ246)/BQ246*100)</f>
        <v>0</v>
      </c>
      <c r="BT246" s="210"/>
      <c r="BU246" s="210"/>
      <c r="BV246" s="208">
        <f>IF(BT246=0,0,(BU246-BT246)/BT246*100)</f>
        <v>0</v>
      </c>
      <c r="BW246" s="210"/>
      <c r="BX246" s="210"/>
      <c r="BY246" s="208">
        <f>IF(BW246=0,0,(BX246-BW246)/BW246*100)</f>
        <v>0</v>
      </c>
      <c r="BZ246" s="210"/>
      <c r="CA246" s="210"/>
      <c r="CB246" s="208">
        <f>IF(BZ246=0,0,(CA246-BZ246)/BZ246*100)</f>
        <v>0</v>
      </c>
      <c r="CC246" s="210"/>
      <c r="CD246" s="210"/>
      <c r="CE246" s="208">
        <f>IF(CC246=0,0,(CD246-CC246)/CC246*100)</f>
        <v>0</v>
      </c>
      <c r="CF246" s="210"/>
      <c r="CG246" s="210"/>
      <c r="CH246" s="208">
        <f>IF(CF246=0,0,(CG246-CF246)/CF246*100)</f>
        <v>0</v>
      </c>
      <c r="CI246" s="210"/>
      <c r="CJ246" s="210"/>
      <c r="CK246" s="208">
        <f>IF(CI246=0,0,(CJ246-CI246)/CI246*100)</f>
        <v>0</v>
      </c>
      <c r="CL246" s="210"/>
      <c r="CM246" s="210"/>
      <c r="CN246" s="208">
        <f>IF(CL246=0,0,(CM246-CL246)/CL246*100)</f>
        <v>0</v>
      </c>
      <c r="CO246" s="210"/>
      <c r="CP246" s="210"/>
      <c r="CQ246" s="208">
        <f>IF(CO246=0,0,(CP246-CO246)/CO246*100)</f>
        <v>0</v>
      </c>
      <c r="CR246" s="210"/>
      <c r="CS246" s="210"/>
      <c r="CT246" s="208">
        <f>IF(CR246=0,0,(CS246-CR246)/CR246*100)</f>
        <v>0</v>
      </c>
      <c r="CU246" s="210"/>
      <c r="CV246" s="210"/>
      <c r="CW246" s="208">
        <f>IF(CU246=0,0,(CV246-CU246)/CU246*100)</f>
        <v>0</v>
      </c>
      <c r="CX246" s="210"/>
      <c r="CY246" s="210"/>
      <c r="CZ246" s="208">
        <f>IF(CX246=0,0,(CY246-CX246)/CX246*100)</f>
        <v>0</v>
      </c>
      <c r="DA246" s="210"/>
      <c r="DB246" s="210"/>
      <c r="DC246" s="208">
        <f>IF(DA246=0,0,(DB246-DA246)/DA246*100)</f>
        <v>0</v>
      </c>
      <c r="DD246" s="210"/>
      <c r="DE246" s="210"/>
      <c r="DF246" s="208">
        <f>IF(DD246=0,0,(DE246-DD246)/DD246*100)</f>
        <v>0</v>
      </c>
      <c r="DG246" s="210"/>
      <c r="DH246" s="210"/>
      <c r="DI246" s="208">
        <f>IF(DG246=0,0,(DH246-DG246)/DG246*100)</f>
        <v>0</v>
      </c>
      <c r="DJ246" s="210"/>
      <c r="DK246" s="210"/>
      <c r="DL246" s="208">
        <f>IF(DJ246=0,0,(DK246-DJ246)/DJ246*100)</f>
        <v>0</v>
      </c>
      <c r="DM246" s="210"/>
      <c r="DN246" s="210"/>
      <c r="DO246" s="208">
        <f>IF(DM246=0,0,(DN246-DM246)/DM246*100)</f>
        <v>0</v>
      </c>
      <c r="DP246" s="210"/>
      <c r="DQ246" s="210"/>
      <c r="DR246" s="208">
        <f>IF(DP246=0,0,(DQ246-DP246)/DP246*100)</f>
        <v>0</v>
      </c>
      <c r="DS246" s="210"/>
      <c r="DT246" s="210"/>
      <c r="DU246" s="208">
        <f>IF(DS246=0,0,(DT246-DS246)/DS246*100)</f>
        <v>0</v>
      </c>
      <c r="DV246" s="210"/>
      <c r="DW246" s="210"/>
      <c r="DX246" s="208">
        <f>IF(DV246=0,0,(DW246-DV246)/DV246*100)</f>
        <v>0</v>
      </c>
      <c r="DY246" s="210"/>
      <c r="DZ246" s="210"/>
      <c r="EA246" s="208">
        <f>IF(DY246=0,0,(DZ246-DY246)/DY246*100)</f>
        <v>0</v>
      </c>
      <c r="EB246" s="210"/>
      <c r="EC246" s="210"/>
      <c r="ED246" s="208">
        <f>IF(EB246=0,0,(EC246-EB246)/EB246*100)</f>
        <v>0</v>
      </c>
      <c r="EE246" s="210"/>
      <c r="EF246" s="210"/>
      <c r="EG246" s="208">
        <f>IF(EE246=0,0,(EF246-EE246)/EE246*100)</f>
        <v>0</v>
      </c>
      <c r="EH246" s="210"/>
      <c r="EI246" s="210"/>
      <c r="EJ246" s="208">
        <f>IF(EH246=0,0,(EI246-EH246)/EH246*100)</f>
        <v>0</v>
      </c>
      <c r="EK246" s="210"/>
      <c r="EL246" s="210"/>
      <c r="EM246" s="208">
        <f>IF(EK246=0,0,(EL246-EK246)/EK246*100)</f>
        <v>0</v>
      </c>
      <c r="EN246" s="210"/>
      <c r="EO246" s="210"/>
      <c r="EP246" s="208">
        <f>IF(EN246=0,0,(EO246-EN246)/EN246*100)</f>
        <v>0</v>
      </c>
      <c r="EQ246" s="210"/>
      <c r="ER246" s="210"/>
      <c r="ES246" s="208">
        <f>IF(EQ246=0,0,(ER246-EQ246)/EQ246*100)</f>
        <v>0</v>
      </c>
      <c r="ET246" s="210"/>
      <c r="EU246" s="210"/>
      <c r="EV246" s="208">
        <f>IF(ET246=0,0,(EU246-ET246)/ET246*100)</f>
        <v>0</v>
      </c>
      <c r="EW246" s="210"/>
      <c r="EX246" s="210"/>
      <c r="EY246" s="208">
        <f>IF(EW246=0,0,(EX246-EW246)/EW246*100)</f>
        <v>0</v>
      </c>
      <c r="EZ246" s="210"/>
      <c r="FA246" s="210"/>
      <c r="FB246" s="208">
        <f>IF(EZ246=0,0,(FA246-EZ246)/EZ246*100)</f>
        <v>0</v>
      </c>
      <c r="FC246" s="210"/>
      <c r="FD246" s="210"/>
      <c r="FE246" s="208">
        <f>IF(FC246=0,0,(FD246-FC246)/FC246*100)</f>
        <v>0</v>
      </c>
      <c r="FF246" s="210"/>
      <c r="FG246" s="210"/>
      <c r="FH246" s="208">
        <f>IF(FF246=0,0,(FG246-FF246)/FF246*100)</f>
        <v>0</v>
      </c>
      <c r="FI246" s="210"/>
      <c r="FJ246" s="210"/>
      <c r="FK246" s="208">
        <f>IF(FI246=0,0,(FJ246-FI246)/FI246*100)</f>
        <v>0</v>
      </c>
      <c r="FL246" s="210"/>
      <c r="FM246" s="210"/>
      <c r="FN246" s="208">
        <f>IF(FL246=0,0,(FM246-FL246)/FL246*100)</f>
        <v>0</v>
      </c>
      <c r="FO246" s="210"/>
      <c r="FP246" s="210"/>
      <c r="FQ246" s="208">
        <f>IF(FO246=0,0,(FP246-FO246)/FO246*100)</f>
        <v>0</v>
      </c>
      <c r="FR246" s="210"/>
      <c r="FS246" s="210"/>
      <c r="FT246" s="208">
        <f>IF(FR246=0,0,(FS246-FR246)/FR246*100)</f>
        <v>0</v>
      </c>
      <c r="FU246" s="210"/>
      <c r="FV246" s="210"/>
      <c r="FW246" s="208">
        <f>IF(FU246=0,0,(FV246-FU246)/FU246*100)</f>
        <v>0</v>
      </c>
      <c r="FX246" s="204"/>
      <c r="FY246" s="204"/>
      <c r="FZ246" s="691" t="s">
        <v>1719</v>
      </c>
      <c r="GA246" s="691"/>
      <c r="GB246" s="691"/>
      <c r="GC246" s="692"/>
      <c r="GD246" s="692"/>
    </row>
    <row r="247" spans="1:186" s="866" customFormat="1" ht="23.25" customHeight="1" x14ac:dyDescent="0.15">
      <c r="A247" s="594"/>
      <c r="B247" s="613" t="b" cm="1">
        <f t="array" ref="B247">B246</f>
        <v>1</v>
      </c>
      <c r="C247" s="594"/>
      <c r="D247" s="594"/>
      <c r="E247" s="462">
        <v>24.5</v>
      </c>
      <c r="F247" s="3" t="str" cm="1">
        <f t="array" aca="1" ref="F247" ca="1">OFFSET(E247,-1,1)</f>
        <v>3</v>
      </c>
      <c r="G247" s="25" t="s">
        <v>1646</v>
      </c>
      <c r="H247" s="59" t="s">
        <v>482</v>
      </c>
      <c r="I247" s="59" t="s">
        <v>1720</v>
      </c>
      <c r="J247" s="594"/>
      <c r="K247" s="594"/>
      <c r="L247" s="594"/>
      <c r="M247" s="594"/>
      <c r="N247" s="594"/>
      <c r="O247" s="594"/>
      <c r="P247" s="594"/>
      <c r="Q247" s="594"/>
      <c r="R247" s="594"/>
      <c r="S247" s="59"/>
      <c r="T247" s="353" t="b" cm="1">
        <f t="array" aca="1" ref="T247" ca="1">T246</f>
        <v>1</v>
      </c>
      <c r="U247" s="594"/>
      <c r="V247" s="594"/>
      <c r="W247" s="594"/>
      <c r="X247" s="1022"/>
      <c r="Y247" s="594"/>
      <c r="Z247" s="966"/>
      <c r="AA247" s="594"/>
      <c r="AB247" s="132" t="s">
        <v>1721</v>
      </c>
      <c r="AC247" s="147" t="s">
        <v>1644</v>
      </c>
      <c r="AD247" s="210">
        <f ca="1">IF(AND(method_reg="Метод индексации",god&lt;&gt;first_year),SUMIFS(INDEX('Калькуляция (МИ корр)'!$AJ$25:$BC$603,,MATCH(AD$8,'Калькуляция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(МИ)'!$AJ$25:$BC$603,,MATCH(AD$8,'Калькуляция (МИ)'!$AJ$8:$BC$8,0)),'Калькуляция (МИ)'!$F$25:$F$603,$F247,'Калькуляция (МИ)'!$G$25:$G$603,$G247))))</f>
        <v>1.3436110617999999</v>
      </c>
      <c r="AE247" s="210">
        <f ca="1">IF(AND(method_reg="Метод индексации",god&lt;&gt;first_year),SUMIFS(INDEX('Калькуляция (МИ корр)'!$AJ$25:$BC$603,,MATCH(AE$8,'Калькуляция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(МИ)'!$AJ$25:$BC$603,,MATCH(AE$8,'Калькуляция (МИ)'!$AJ$8:$BC$8,0)),'Калькуляция (МИ)'!$F$25:$F$603,$F247,'Калькуляция (МИ)'!$G$25:$G$603,$G247))))</f>
        <v>0.52200009970000005</v>
      </c>
      <c r="AF247" s="208">
        <f ca="1">IF(AD247=0,0,(AE247-AD247)/AD247*100)</f>
        <v>-61.14946396759413</v>
      </c>
      <c r="AG247" s="865">
        <f ca="1">IF(AND(method_reg="Метод индексации",god&lt;&gt;first_year),SUMIFS(INDEX('Калькуляция (МИ корр)'!$AJ$25:$BC$603,,MATCH(AG$8,'Калькуляция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(МИ)'!$AJ$25:$BC$603,,MATCH(AG$8,'Калькуляция (МИ)'!$AJ$8:$BC$8,0)),'Калькуляция (МИ)'!$F$25:$F$603,$F247,'Калькуляция (МИ)'!$G$25:$G$603,$G247))))</f>
        <v>0</v>
      </c>
      <c r="AH247" s="865">
        <f ca="1">IF(AND(method_reg="Метод индексации",god&lt;&gt;first_year),SUMIFS(INDEX('Калькуляция (МИ корр)'!$AJ$25:$BC$603,,MATCH(AH$8,'Калькуляция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(МИ)'!$AJ$25:$BC$603,,MATCH(AH$8,'Калькуляция (МИ)'!$AJ$8:$BC$8,0)),'Калькуляция (МИ)'!$F$25:$F$603,$F247,'Калькуляция (МИ)'!$G$25:$G$603,$G247))))</f>
        <v>0</v>
      </c>
      <c r="AI247" s="208">
        <f ca="1">IF(AG247=0,0,(AH247-AG247)/AG247*100)</f>
        <v>0</v>
      </c>
      <c r="AJ247" s="865">
        <f ca="1">IF(AND(method_reg="Метод индексации",god&lt;&gt;first_year),SUMIFS(INDEX('Калькуляция (МИ корр)'!$AJ$25:$BC$603,,MATCH(AJ$8,'Калькуляция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(МИ)'!$AJ$25:$BC$603,,MATCH(AJ$8,'Калькуляция (МИ)'!$AJ$8:$BC$8,0)),'Калькуляция (МИ)'!$F$25:$F$603,$F247,'Калькуляция (МИ)'!$G$25:$G$603,$G247))))</f>
        <v>0</v>
      </c>
      <c r="AK247" s="865">
        <f ca="1">IF(AND(method_reg="Метод индексации",god&lt;&gt;first_year),SUMIFS(INDEX('Калькуляция (МИ корр)'!$AJ$25:$BC$603,,MATCH(AK$8,'Калькуляция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(МИ)'!$AJ$25:$BC$603,,MATCH(AK$8,'Калькуляция (МИ)'!$AJ$8:$BC$8,0)),'Калькуляция (МИ)'!$F$25:$F$603,$F247,'Калькуляция (МИ)'!$G$25:$G$603,$G247))))</f>
        <v>0</v>
      </c>
      <c r="AL247" s="208">
        <f ca="1">IF(AJ247=0,0,(AK247-AJ247)/AJ247*100)</f>
        <v>0</v>
      </c>
      <c r="AM247" s="210">
        <f ca="1">IF(AND(method_reg="Метод индексации",god&lt;&gt;first_year),SUMIFS(INDEX('Калькуляция (МИ корр)'!$AJ$25:$BC$603,,MATCH(AM$8,'Калькуляция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(МИ)'!$AJ$25:$BC$603,,MATCH(AM$8,'Калькуляция (МИ)'!$AJ$8:$BC$8,0)),'Калькуляция (МИ)'!$F$25:$F$603,$F247,'Калькуляция (МИ)'!$G$25:$G$603,$G247))))</f>
        <v>0</v>
      </c>
      <c r="AN247" s="210">
        <f ca="1">IF(AND(method_reg="Метод индексации",god&lt;&gt;first_year),SUMIFS(INDEX('Калькуляция (МИ корр)'!$AJ$25:$BC$603,,MATCH(AN$8,'Калькуляция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(МИ)'!$AJ$25:$BC$603,,MATCH(AN$8,'Калькуляция (МИ)'!$AJ$8:$BC$8,0)),'Калькуляция (МИ)'!$F$25:$F$603,$F247,'Калькуляция (МИ)'!$G$25:$G$603,$G247))))</f>
        <v>0</v>
      </c>
      <c r="AO247" s="208">
        <f ca="1">IF(AM247=0,0,(AN247-AM247)/AM247*100)</f>
        <v>0</v>
      </c>
      <c r="AP247" s="210">
        <f ca="1">IF(AND(method_reg="Метод индексации",god&lt;&gt;first_year),SUMIFS(INDEX('Калькуляция (МИ корр)'!$AJ$25:$BC$603,,MATCH(AP$8,'Калькуляция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(МИ)'!$AJ$25:$BC$603,,MATCH(AP$8,'Калькуляция (МИ)'!$AJ$8:$BC$8,0)),'Калькуляция (МИ)'!$F$25:$F$603,$F247,'Калькуляция (МИ)'!$G$25:$G$603,$G247))))</f>
        <v>0</v>
      </c>
      <c r="AQ247" s="210">
        <f ca="1">IF(AND(method_reg="Метод индексации",god&lt;&gt;first_year),SUMIFS(INDEX('Калькуляция (МИ корр)'!$AJ$25:$BC$603,,MATCH(AQ$8,'Калькуляция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(МИ)'!$AJ$25:$BC$603,,MATCH(AQ$8,'Калькуляция (МИ)'!$AJ$8:$BC$8,0)),'Калькуляция (МИ)'!$F$25:$F$603,$F247,'Калькуляция (МИ)'!$G$25:$G$603,$G247))))</f>
        <v>0</v>
      </c>
      <c r="AR247" s="208">
        <f ca="1">IF(AP247=0,0,(AQ247-AP247)/AP247*100)</f>
        <v>0</v>
      </c>
      <c r="AS247" s="210">
        <f ca="1">IF(AND(method_reg="Метод индексации",god&lt;&gt;first_year),SUMIFS(INDEX('Калькуляция (МИ корр)'!$AJ$25:$BC$603,,MATCH(AS$8,'Калькуляция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(МИ)'!$AJ$25:$BC$603,,MATCH(AS$8,'Калькуляция (МИ)'!$AJ$8:$BC$8,0)),'Калькуляция (МИ)'!$F$25:$F$603,$F247,'Калькуляция (МИ)'!$G$25:$G$603,$G247))))</f>
        <v>0</v>
      </c>
      <c r="AT247" s="210">
        <f ca="1">IF(AND(method_reg="Метод индексации",god&lt;&gt;first_year),SUMIFS(INDEX('Калькуляция (МИ корр)'!$AJ$25:$BC$603,,MATCH(AT$8,'Калькуляция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(МИ)'!$AJ$25:$BC$603,,MATCH(AT$8,'Калькуляция (МИ)'!$AJ$8:$BC$8,0)),'Калькуляция (МИ)'!$F$25:$F$603,$F247,'Калькуляция (МИ)'!$G$25:$G$603,$G247))))</f>
        <v>0</v>
      </c>
      <c r="AU247" s="208">
        <f ca="1">IF(AS247=0,0,(AT247-AS247)/AS247*100)</f>
        <v>0</v>
      </c>
      <c r="AV247" s="210">
        <f ca="1">IF(AND(method_reg="Метод индексации",god&lt;&gt;first_year),SUMIFS(INDEX('Калькуляция (МИ корр)'!$AJ$25:$BC$603,,MATCH(AV$8,'Калькуляция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(МИ)'!$AJ$25:$BC$603,,MATCH(AV$8,'Калькуляция (МИ)'!$AJ$8:$BC$8,0)),'Калькуляция (МИ)'!$F$25:$F$603,$F247,'Калькуляция (МИ)'!$G$25:$G$603,$G247))))</f>
        <v>0</v>
      </c>
      <c r="AW247" s="210">
        <f ca="1">IF(AND(method_reg="Метод индексации",god&lt;&gt;first_year),SUMIFS(INDEX('Калькуляция (МИ корр)'!$AJ$25:$BC$603,,MATCH(AW$8,'Калькуляция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(МИ)'!$AJ$25:$BC$603,,MATCH(AW$8,'Калькуляция (МИ)'!$AJ$8:$BC$8,0)),'Калькуляция (МИ)'!$F$25:$F$603,$F247,'Калькуляция (МИ)'!$G$25:$G$603,$G247))))</f>
        <v>0</v>
      </c>
      <c r="AX247" s="208">
        <f ca="1">IF(AV247=0,0,(AW247-AV247)/AV247*100)</f>
        <v>0</v>
      </c>
      <c r="AY247" s="210">
        <f ca="1">IF(AND(method_reg="Метод индексации",god&lt;&gt;first_year),SUMIFS(INDEX('Калькуляция (МИ корр)'!$AJ$25:$BC$603,,MATCH(AY$8,'Калькуляция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(МИ)'!$AJ$25:$BC$603,,MATCH(AY$8,'Калькуляция (МИ)'!$AJ$8:$BC$8,0)),'Калькуляция (МИ)'!$F$25:$F$603,$F247,'Калькуляция (МИ)'!$G$25:$G$603,$G247))))</f>
        <v>0</v>
      </c>
      <c r="AZ247" s="210">
        <f ca="1">IF(AND(method_reg="Метод индексации",god&lt;&gt;first_year),SUMIFS(INDEX('Калькуляция (МИ корр)'!$AJ$25:$BC$603,,MATCH(AZ$8,'Калькуляция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(МИ)'!$AJ$25:$BC$603,,MATCH(AZ$8,'Калькуляция (МИ)'!$AJ$8:$BC$8,0)),'Калькуляция (МИ)'!$F$25:$F$603,$F247,'Калькуляция (МИ)'!$G$25:$G$603,$G247))))</f>
        <v>0</v>
      </c>
      <c r="BA247" s="208">
        <f ca="1">IF(AY247=0,0,(AZ247-AY247)/AY247*100)</f>
        <v>0</v>
      </c>
      <c r="BB247" s="210">
        <f ca="1">IF(AND(method_reg="Метод индексации",god&lt;&gt;first_year),SUMIFS(INDEX('Калькуляция (МИ корр)'!$AJ$25:$BC$603,,MATCH(BB$8,'Калькуляция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(МИ)'!$AJ$25:$BC$603,,MATCH(BB$8,'Калькуляция (МИ)'!$AJ$8:$BC$8,0)),'Калькуляция (МИ)'!$F$25:$F$603,$F247,'Калькуляция (МИ)'!$G$25:$G$603,$G247))))</f>
        <v>0</v>
      </c>
      <c r="BC247" s="210">
        <f ca="1">IF(AND(method_reg="Метод индексации",god&lt;&gt;first_year),SUMIFS(INDEX('Калькуляция (МИ корр)'!$AJ$25:$BC$603,,MATCH(BC$8,'Калькуляция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(МИ)'!$AJ$25:$BC$603,,MATCH(BC$8,'Калькуляция (МИ)'!$AJ$8:$BC$8,0)),'Калькуляция (МИ)'!$F$25:$F$603,$F247,'Калькуляция (МИ)'!$G$25:$G$603,$G247))))</f>
        <v>0</v>
      </c>
      <c r="BD247" s="208">
        <f ca="1">IF(BB247=0,0,(BC247-BB247)/BB247*100)</f>
        <v>0</v>
      </c>
      <c r="BE247" s="210">
        <f ca="1">IF(AND(method_reg="Метод индексации",god&lt;&gt;first_year),SUMIFS(INDEX('Калькуляция (МИ корр)'!$AJ$25:$BC$603,,MATCH(BE$8,'Калькуляция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(МИ)'!$AJ$25:$BC$603,,MATCH(BE$8,'Калькуляция (МИ)'!$AJ$8:$BC$8,0)),'Калькуляция (МИ)'!$F$25:$F$603,$F247,'Калькуляция (МИ)'!$G$25:$G$603,$G247))))</f>
        <v>0</v>
      </c>
      <c r="BF247" s="210">
        <f ca="1">IF(AND(method_reg="Метод индексации",god&lt;&gt;first_year),SUMIFS(INDEX('Калькуляция (МИ корр)'!$AJ$25:$BC$603,,MATCH(BF$8,'Калькуляция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(МИ)'!$AJ$25:$BC$603,,MATCH(BF$8,'Калькуляция (МИ)'!$AJ$8:$BC$8,0)),'Калькуляция (МИ)'!$F$25:$F$603,$F247,'Калькуляция (МИ)'!$G$25:$G$603,$G247))))</f>
        <v>0</v>
      </c>
      <c r="BG247" s="208">
        <f ca="1">IF(BE247=0,0,(BF247-BE247)/BE247*100)</f>
        <v>0</v>
      </c>
      <c r="BH247" s="210"/>
      <c r="BI247" s="210"/>
      <c r="BJ247" s="208">
        <f>IF(BH247=0,0,(BI247-BH247)/BH247*100)</f>
        <v>0</v>
      </c>
      <c r="BK247" s="210"/>
      <c r="BL247" s="210"/>
      <c r="BM247" s="208">
        <f>IF(BK247=0,0,(BL247-BK247)/BK247*100)</f>
        <v>0</v>
      </c>
      <c r="BN247" s="210"/>
      <c r="BO247" s="210"/>
      <c r="BP247" s="208">
        <f>IF(BN247=0,0,(BO247-BN247)/BN247*100)</f>
        <v>0</v>
      </c>
      <c r="BQ247" s="210"/>
      <c r="BR247" s="210"/>
      <c r="BS247" s="208">
        <f>IF(BQ247=0,0,(BR247-BQ247)/BQ247*100)</f>
        <v>0</v>
      </c>
      <c r="BT247" s="210"/>
      <c r="BU247" s="210"/>
      <c r="BV247" s="208">
        <f>IF(BT247=0,0,(BU247-BT247)/BT247*100)</f>
        <v>0</v>
      </c>
      <c r="BW247" s="210"/>
      <c r="BX247" s="210"/>
      <c r="BY247" s="208">
        <f>IF(BW247=0,0,(BX247-BW247)/BW247*100)</f>
        <v>0</v>
      </c>
      <c r="BZ247" s="210"/>
      <c r="CA247" s="210"/>
      <c r="CB247" s="208">
        <f>IF(BZ247=0,0,(CA247-BZ247)/BZ247*100)</f>
        <v>0</v>
      </c>
      <c r="CC247" s="210"/>
      <c r="CD247" s="210"/>
      <c r="CE247" s="208">
        <f>IF(CC247=0,0,(CD247-CC247)/CC247*100)</f>
        <v>0</v>
      </c>
      <c r="CF247" s="210"/>
      <c r="CG247" s="210"/>
      <c r="CH247" s="208">
        <f>IF(CF247=0,0,(CG247-CF247)/CF247*100)</f>
        <v>0</v>
      </c>
      <c r="CI247" s="210"/>
      <c r="CJ247" s="210"/>
      <c r="CK247" s="208">
        <f>IF(CI247=0,0,(CJ247-CI247)/CI247*100)</f>
        <v>0</v>
      </c>
      <c r="CL247" s="210"/>
      <c r="CM247" s="210"/>
      <c r="CN247" s="208">
        <f>IF(CL247=0,0,(CM247-CL247)/CL247*100)</f>
        <v>0</v>
      </c>
      <c r="CO247" s="210"/>
      <c r="CP247" s="210"/>
      <c r="CQ247" s="208">
        <f>IF(CO247=0,0,(CP247-CO247)/CO247*100)</f>
        <v>0</v>
      </c>
      <c r="CR247" s="210"/>
      <c r="CS247" s="210"/>
      <c r="CT247" s="208">
        <f>IF(CR247=0,0,(CS247-CR247)/CR247*100)</f>
        <v>0</v>
      </c>
      <c r="CU247" s="210"/>
      <c r="CV247" s="210"/>
      <c r="CW247" s="208">
        <f>IF(CU247=0,0,(CV247-CU247)/CU247*100)</f>
        <v>0</v>
      </c>
      <c r="CX247" s="210"/>
      <c r="CY247" s="210"/>
      <c r="CZ247" s="208">
        <f>IF(CX247=0,0,(CY247-CX247)/CX247*100)</f>
        <v>0</v>
      </c>
      <c r="DA247" s="210"/>
      <c r="DB247" s="210"/>
      <c r="DC247" s="208">
        <f>IF(DA247=0,0,(DB247-DA247)/DA247*100)</f>
        <v>0</v>
      </c>
      <c r="DD247" s="210"/>
      <c r="DE247" s="210"/>
      <c r="DF247" s="208">
        <f>IF(DD247=0,0,(DE247-DD247)/DD247*100)</f>
        <v>0</v>
      </c>
      <c r="DG247" s="210"/>
      <c r="DH247" s="210"/>
      <c r="DI247" s="208">
        <f>IF(DG247=0,0,(DH247-DG247)/DG247*100)</f>
        <v>0</v>
      </c>
      <c r="DJ247" s="210"/>
      <c r="DK247" s="210"/>
      <c r="DL247" s="208">
        <f>IF(DJ247=0,0,(DK247-DJ247)/DJ247*100)</f>
        <v>0</v>
      </c>
      <c r="DM247" s="210"/>
      <c r="DN247" s="210"/>
      <c r="DO247" s="208">
        <f>IF(DM247=0,0,(DN247-DM247)/DM247*100)</f>
        <v>0</v>
      </c>
      <c r="DP247" s="210"/>
      <c r="DQ247" s="210"/>
      <c r="DR247" s="208">
        <f>IF(DP247=0,0,(DQ247-DP247)/DP247*100)</f>
        <v>0</v>
      </c>
      <c r="DS247" s="210"/>
      <c r="DT247" s="210"/>
      <c r="DU247" s="208">
        <f>IF(DS247=0,0,(DT247-DS247)/DS247*100)</f>
        <v>0</v>
      </c>
      <c r="DV247" s="210"/>
      <c r="DW247" s="210"/>
      <c r="DX247" s="208">
        <f>IF(DV247=0,0,(DW247-DV247)/DV247*100)</f>
        <v>0</v>
      </c>
      <c r="DY247" s="210"/>
      <c r="DZ247" s="210"/>
      <c r="EA247" s="208">
        <f>IF(DY247=0,0,(DZ247-DY247)/DY247*100)</f>
        <v>0</v>
      </c>
      <c r="EB247" s="210"/>
      <c r="EC247" s="210"/>
      <c r="ED247" s="208">
        <f>IF(EB247=0,0,(EC247-EB247)/EB247*100)</f>
        <v>0</v>
      </c>
      <c r="EE247" s="210"/>
      <c r="EF247" s="210"/>
      <c r="EG247" s="208">
        <f>IF(EE247=0,0,(EF247-EE247)/EE247*100)</f>
        <v>0</v>
      </c>
      <c r="EH247" s="210"/>
      <c r="EI247" s="210"/>
      <c r="EJ247" s="208">
        <f>IF(EH247=0,0,(EI247-EH247)/EH247*100)</f>
        <v>0</v>
      </c>
      <c r="EK247" s="210"/>
      <c r="EL247" s="210"/>
      <c r="EM247" s="208">
        <f>IF(EK247=0,0,(EL247-EK247)/EK247*100)</f>
        <v>0</v>
      </c>
      <c r="EN247" s="210"/>
      <c r="EO247" s="210"/>
      <c r="EP247" s="208">
        <f>IF(EN247=0,0,(EO247-EN247)/EN247*100)</f>
        <v>0</v>
      </c>
      <c r="EQ247" s="210"/>
      <c r="ER247" s="210"/>
      <c r="ES247" s="208">
        <f>IF(EQ247=0,0,(ER247-EQ247)/EQ247*100)</f>
        <v>0</v>
      </c>
      <c r="ET247" s="210"/>
      <c r="EU247" s="210"/>
      <c r="EV247" s="208">
        <f>IF(ET247=0,0,(EU247-ET247)/ET247*100)</f>
        <v>0</v>
      </c>
      <c r="EW247" s="210"/>
      <c r="EX247" s="210"/>
      <c r="EY247" s="208">
        <f>IF(EW247=0,0,(EX247-EW247)/EW247*100)</f>
        <v>0</v>
      </c>
      <c r="EZ247" s="210"/>
      <c r="FA247" s="210"/>
      <c r="FB247" s="208">
        <f>IF(EZ247=0,0,(FA247-EZ247)/EZ247*100)</f>
        <v>0</v>
      </c>
      <c r="FC247" s="210"/>
      <c r="FD247" s="210"/>
      <c r="FE247" s="208">
        <f>IF(FC247=0,0,(FD247-FC247)/FC247*100)</f>
        <v>0</v>
      </c>
      <c r="FF247" s="210"/>
      <c r="FG247" s="210"/>
      <c r="FH247" s="208">
        <f>IF(FF247=0,0,(FG247-FF247)/FF247*100)</f>
        <v>0</v>
      </c>
      <c r="FI247" s="210"/>
      <c r="FJ247" s="210"/>
      <c r="FK247" s="208">
        <f>IF(FI247=0,0,(FJ247-FI247)/FI247*100)</f>
        <v>0</v>
      </c>
      <c r="FL247" s="210"/>
      <c r="FM247" s="210"/>
      <c r="FN247" s="208">
        <f>IF(FL247=0,0,(FM247-FL247)/FL247*100)</f>
        <v>0</v>
      </c>
      <c r="FO247" s="210"/>
      <c r="FP247" s="210"/>
      <c r="FQ247" s="208">
        <f>IF(FO247=0,0,(FP247-FO247)/FO247*100)</f>
        <v>0</v>
      </c>
      <c r="FR247" s="210"/>
      <c r="FS247" s="210"/>
      <c r="FT247" s="208">
        <f>IF(FR247=0,0,(FS247-FR247)/FR247*100)</f>
        <v>0</v>
      </c>
      <c r="FU247" s="210"/>
      <c r="FV247" s="210"/>
      <c r="FW247" s="208">
        <f>IF(FU247=0,0,(FV247-FU247)/FU247*100)</f>
        <v>0</v>
      </c>
      <c r="FX247" s="204"/>
      <c r="FY247" s="204"/>
      <c r="FZ247" s="691" t="s">
        <v>1722</v>
      </c>
      <c r="GA247" s="691"/>
      <c r="GB247" s="691"/>
      <c r="GC247" s="692"/>
      <c r="GD247" s="692"/>
    </row>
    <row r="248" spans="1:186" ht="26.1" customHeight="1" x14ac:dyDescent="0.15">
      <c r="A248" s="59"/>
      <c r="B248" s="613" t="b" cm="1">
        <f t="array" ref="B248">B247</f>
        <v>1</v>
      </c>
      <c r="C248" s="59"/>
      <c r="D248" s="59"/>
      <c r="E248" s="462">
        <v>15</v>
      </c>
      <c r="F248" s="3" t="str" cm="1">
        <f t="array" aca="1" ref="F248" ca="1">OFFSET(E248,-1,1)</f>
        <v>3</v>
      </c>
      <c r="G248" s="59"/>
      <c r="H248" s="59" t="s">
        <v>486</v>
      </c>
      <c r="I248" s="59"/>
      <c r="J248" s="59"/>
      <c r="K248" s="59"/>
      <c r="L248" s="59"/>
      <c r="M248" s="59"/>
      <c r="N248" s="59"/>
      <c r="O248" s="59"/>
      <c r="P248" s="59"/>
      <c r="Q248" s="59"/>
      <c r="R248" s="59"/>
      <c r="S248" s="59"/>
      <c r="T248" s="353" t="b" cm="1">
        <f t="array" aca="1" ref="T248" ca="1">T247</f>
        <v>1</v>
      </c>
      <c r="U248" s="59"/>
      <c r="V248" s="59"/>
      <c r="W248" s="59"/>
      <c r="X248" s="1022"/>
      <c r="Y248" s="59"/>
      <c r="Z248" s="966"/>
      <c r="AA248" s="59"/>
      <c r="AB248" s="346" t="s">
        <v>1723</v>
      </c>
      <c r="AC248" s="9" t="s">
        <v>476</v>
      </c>
      <c r="AD248" s="620">
        <f ca="1">IF(AD246=0,0,AD247/AD246)*100</f>
        <v>100</v>
      </c>
      <c r="AE248" s="620">
        <f ca="1">IF(AE246=0,0,AE247/AE246)*100</f>
        <v>100</v>
      </c>
      <c r="AF248" s="723"/>
      <c r="AG248" s="620">
        <f ca="1">IF(AG246=0,0,AG247/AG246)*100</f>
        <v>0</v>
      </c>
      <c r="AH248" s="620">
        <f ca="1">IF(AH246=0,0,AH247/AH246)*100</f>
        <v>0</v>
      </c>
      <c r="AI248" s="723"/>
      <c r="AJ248" s="620">
        <f ca="1">IF(AJ246=0,0,AJ247/AJ246)*100</f>
        <v>0</v>
      </c>
      <c r="AK248" s="620">
        <f ca="1">IF(AK246=0,0,AK247/AK246)*100</f>
        <v>0</v>
      </c>
      <c r="AL248" s="723"/>
      <c r="AM248" s="620">
        <f ca="1">IF(AM246=0,0,AM247/AM246)*100</f>
        <v>0</v>
      </c>
      <c r="AN248" s="620">
        <f ca="1">IF(AN246=0,0,AN247/AN246)*100</f>
        <v>0</v>
      </c>
      <c r="AO248" s="723"/>
      <c r="AP248" s="620">
        <f ca="1">IF(AP246=0,0,AP247/AP246)*100</f>
        <v>0</v>
      </c>
      <c r="AQ248" s="620">
        <f ca="1">IF(AQ246=0,0,AQ247/AQ246)*100</f>
        <v>0</v>
      </c>
      <c r="AR248" s="723"/>
      <c r="AS248" s="620">
        <f ca="1">IF(AS246=0,0,AS247/AS246)*100</f>
        <v>0</v>
      </c>
      <c r="AT248" s="620">
        <f ca="1">IF(AT246=0,0,AT247/AT246)*100</f>
        <v>0</v>
      </c>
      <c r="AU248" s="723"/>
      <c r="AV248" s="620">
        <f ca="1">IF(AV246=0,0,AV247/AV246)*100</f>
        <v>0</v>
      </c>
      <c r="AW248" s="620">
        <f ca="1">IF(AW246=0,0,AW247/AW246)*100</f>
        <v>0</v>
      </c>
      <c r="AX248" s="723"/>
      <c r="AY248" s="620">
        <f ca="1">IF(AY246=0,0,AY247/AY246)*100</f>
        <v>0</v>
      </c>
      <c r="AZ248" s="620">
        <f ca="1">IF(AZ246=0,0,AZ247/AZ246)*100</f>
        <v>0</v>
      </c>
      <c r="BA248" s="723"/>
      <c r="BB248" s="620">
        <f ca="1">IF(BB246=0,0,BB247/BB246)*100</f>
        <v>0</v>
      </c>
      <c r="BC248" s="620">
        <f ca="1">IF(BC246=0,0,BC247/BC246)*100</f>
        <v>0</v>
      </c>
      <c r="BD248" s="723"/>
      <c r="BE248" s="620">
        <f ca="1">IF(BE246=0,0,BE247/BE246)*100</f>
        <v>0</v>
      </c>
      <c r="BF248" s="620">
        <f ca="1">IF(BF246=0,0,BF247/BF246)*100</f>
        <v>0</v>
      </c>
      <c r="BG248" s="723"/>
      <c r="BH248" s="620">
        <f>IF(BH246=0,0,BH247/BH246)*100</f>
        <v>0</v>
      </c>
      <c r="BI248" s="620">
        <f>IF(BI246=0,0,BI247/BI246)*100</f>
        <v>0</v>
      </c>
      <c r="BJ248" s="723"/>
      <c r="BK248" s="620">
        <f>IF(BK246=0,0,BK247/BK246)*100</f>
        <v>0</v>
      </c>
      <c r="BL248" s="620">
        <f>IF(BL246=0,0,BL247/BL246)*100</f>
        <v>0</v>
      </c>
      <c r="BM248" s="723"/>
      <c r="BN248" s="620">
        <f>IF(BN246=0,0,BN247/BN246)*100</f>
        <v>0</v>
      </c>
      <c r="BO248" s="620">
        <f>IF(BO246=0,0,BO247/BO246)*100</f>
        <v>0</v>
      </c>
      <c r="BP248" s="723"/>
      <c r="BQ248" s="620">
        <f>IF(BQ246=0,0,BQ247/BQ246)*100</f>
        <v>0</v>
      </c>
      <c r="BR248" s="620">
        <f>IF(BR246=0,0,BR247/BR246)*100</f>
        <v>0</v>
      </c>
      <c r="BS248" s="723"/>
      <c r="BT248" s="620">
        <f>IF(BT246=0,0,BT247/BT246)*100</f>
        <v>0</v>
      </c>
      <c r="BU248" s="620">
        <f>IF(BU246=0,0,BU247/BU246)*100</f>
        <v>0</v>
      </c>
      <c r="BV248" s="723"/>
      <c r="BW248" s="620">
        <f>IF(BW246=0,0,BW247/BW246)*100</f>
        <v>0</v>
      </c>
      <c r="BX248" s="620">
        <f>IF(BX246=0,0,BX247/BX246)*100</f>
        <v>0</v>
      </c>
      <c r="BY248" s="723"/>
      <c r="BZ248" s="620">
        <f>IF(BZ246=0,0,BZ247/BZ246)*100</f>
        <v>0</v>
      </c>
      <c r="CA248" s="620">
        <f>IF(CA246=0,0,CA247/CA246)*100</f>
        <v>0</v>
      </c>
      <c r="CB248" s="723"/>
      <c r="CC248" s="620">
        <f>IF(CC246=0,0,CC247/CC246)*100</f>
        <v>0</v>
      </c>
      <c r="CD248" s="620">
        <f>IF(CD246=0,0,CD247/CD246)*100</f>
        <v>0</v>
      </c>
      <c r="CE248" s="723"/>
      <c r="CF248" s="620">
        <f>IF(CF246=0,0,CF247/CF246)*100</f>
        <v>0</v>
      </c>
      <c r="CG248" s="620">
        <f>IF(CG246=0,0,CG247/CG246)*100</f>
        <v>0</v>
      </c>
      <c r="CH248" s="723"/>
      <c r="CI248" s="620">
        <f>IF(CI246=0,0,CI247/CI246)*100</f>
        <v>0</v>
      </c>
      <c r="CJ248" s="620">
        <f>IF(CJ246=0,0,CJ247/CJ246)*100</f>
        <v>0</v>
      </c>
      <c r="CK248" s="723"/>
      <c r="CL248" s="620">
        <f>IF(CL246=0,0,CL247/CL246)*100</f>
        <v>0</v>
      </c>
      <c r="CM248" s="620">
        <f>IF(CM246=0,0,CM247/CM246)*100</f>
        <v>0</v>
      </c>
      <c r="CN248" s="723"/>
      <c r="CO248" s="620">
        <f>IF(CO246=0,0,CO247/CO246)*100</f>
        <v>0</v>
      </c>
      <c r="CP248" s="620">
        <f>IF(CP246=0,0,CP247/CP246)*100</f>
        <v>0</v>
      </c>
      <c r="CQ248" s="723"/>
      <c r="CR248" s="620">
        <f>IF(CR246=0,0,CR247/CR246)*100</f>
        <v>0</v>
      </c>
      <c r="CS248" s="620">
        <f>IF(CS246=0,0,CS247/CS246)*100</f>
        <v>0</v>
      </c>
      <c r="CT248" s="723"/>
      <c r="CU248" s="620">
        <f>IF(CU246=0,0,CU247/CU246)*100</f>
        <v>0</v>
      </c>
      <c r="CV248" s="620">
        <f>IF(CV246=0,0,CV247/CV246)*100</f>
        <v>0</v>
      </c>
      <c r="CW248" s="723"/>
      <c r="CX248" s="620">
        <f>IF(CX246=0,0,CX247/CX246)*100</f>
        <v>0</v>
      </c>
      <c r="CY248" s="620">
        <f>IF(CY246=0,0,CY247/CY246)*100</f>
        <v>0</v>
      </c>
      <c r="CZ248" s="723"/>
      <c r="DA248" s="620">
        <f>IF(DA246=0,0,DA247/DA246)*100</f>
        <v>0</v>
      </c>
      <c r="DB248" s="620">
        <f>IF(DB246=0,0,DB247/DB246)*100</f>
        <v>0</v>
      </c>
      <c r="DC248" s="723"/>
      <c r="DD248" s="620">
        <f>IF(DD246=0,0,DD247/DD246)*100</f>
        <v>0</v>
      </c>
      <c r="DE248" s="620">
        <f>IF(DE246=0,0,DE247/DE246)*100</f>
        <v>0</v>
      </c>
      <c r="DF248" s="723"/>
      <c r="DG248" s="620">
        <f>IF(DG246=0,0,DG247/DG246)*100</f>
        <v>0</v>
      </c>
      <c r="DH248" s="620">
        <f>IF(DH246=0,0,DH247/DH246)*100</f>
        <v>0</v>
      </c>
      <c r="DI248" s="723"/>
      <c r="DJ248" s="620">
        <f>IF(DJ246=0,0,DJ247/DJ246)*100</f>
        <v>0</v>
      </c>
      <c r="DK248" s="620">
        <f>IF(DK246=0,0,DK247/DK246)*100</f>
        <v>0</v>
      </c>
      <c r="DL248" s="723"/>
      <c r="DM248" s="620">
        <f>IF(DM246=0,0,DM247/DM246)*100</f>
        <v>0</v>
      </c>
      <c r="DN248" s="620">
        <f>IF(DN246=0,0,DN247/DN246)*100</f>
        <v>0</v>
      </c>
      <c r="DO248" s="723"/>
      <c r="DP248" s="620">
        <f>IF(DP246=0,0,DP247/DP246)*100</f>
        <v>0</v>
      </c>
      <c r="DQ248" s="620">
        <f>IF(DQ246=0,0,DQ247/DQ246)*100</f>
        <v>0</v>
      </c>
      <c r="DR248" s="723"/>
      <c r="DS248" s="620">
        <f>IF(DS246=0,0,DS247/DS246)*100</f>
        <v>0</v>
      </c>
      <c r="DT248" s="620">
        <f>IF(DT246=0,0,DT247/DT246)*100</f>
        <v>0</v>
      </c>
      <c r="DU248" s="723"/>
      <c r="DV248" s="620">
        <f>IF(DV246=0,0,DV247/DV246)*100</f>
        <v>0</v>
      </c>
      <c r="DW248" s="620">
        <f>IF(DW246=0,0,DW247/DW246)*100</f>
        <v>0</v>
      </c>
      <c r="DX248" s="723"/>
      <c r="DY248" s="620">
        <f>IF(DY246=0,0,DY247/DY246)*100</f>
        <v>0</v>
      </c>
      <c r="DZ248" s="620">
        <f>IF(DZ246=0,0,DZ247/DZ246)*100</f>
        <v>0</v>
      </c>
      <c r="EA248" s="723"/>
      <c r="EB248" s="620">
        <f>IF(EB246=0,0,EB247/EB246)*100</f>
        <v>0</v>
      </c>
      <c r="EC248" s="620">
        <f>IF(EC246=0,0,EC247/EC246)*100</f>
        <v>0</v>
      </c>
      <c r="ED248" s="723"/>
      <c r="EE248" s="620">
        <f>IF(EE246=0,0,EE247/EE246)*100</f>
        <v>0</v>
      </c>
      <c r="EF248" s="620">
        <f>IF(EF246=0,0,EF247/EF246)*100</f>
        <v>0</v>
      </c>
      <c r="EG248" s="723"/>
      <c r="EH248" s="620">
        <f>IF(EH246=0,0,EH247/EH246)*100</f>
        <v>0</v>
      </c>
      <c r="EI248" s="620">
        <f>IF(EI246=0,0,EI247/EI246)*100</f>
        <v>0</v>
      </c>
      <c r="EJ248" s="723"/>
      <c r="EK248" s="620">
        <f>IF(EK246=0,0,EK247/EK246)*100</f>
        <v>0</v>
      </c>
      <c r="EL248" s="620">
        <f>IF(EL246=0,0,EL247/EL246)*100</f>
        <v>0</v>
      </c>
      <c r="EM248" s="723"/>
      <c r="EN248" s="620">
        <f>IF(EN246=0,0,EN247/EN246)*100</f>
        <v>0</v>
      </c>
      <c r="EO248" s="620">
        <f>IF(EO246=0,0,EO247/EO246)*100</f>
        <v>0</v>
      </c>
      <c r="EP248" s="723"/>
      <c r="EQ248" s="620">
        <f>IF(EQ246=0,0,EQ247/EQ246)*100</f>
        <v>0</v>
      </c>
      <c r="ER248" s="620">
        <f>IF(ER246=0,0,ER247/ER246)*100</f>
        <v>0</v>
      </c>
      <c r="ES248" s="723"/>
      <c r="ET248" s="620">
        <f>IF(ET246=0,0,ET247/ET246)*100</f>
        <v>0</v>
      </c>
      <c r="EU248" s="620">
        <f>IF(EU246=0,0,EU247/EU246)*100</f>
        <v>0</v>
      </c>
      <c r="EV248" s="723"/>
      <c r="EW248" s="620">
        <f>IF(EW246=0,0,EW247/EW246)*100</f>
        <v>0</v>
      </c>
      <c r="EX248" s="620">
        <f>IF(EX246=0,0,EX247/EX246)*100</f>
        <v>0</v>
      </c>
      <c r="EY248" s="723"/>
      <c r="EZ248" s="620">
        <f>IF(EZ246=0,0,EZ247/EZ246)*100</f>
        <v>0</v>
      </c>
      <c r="FA248" s="620">
        <f>IF(FA246=0,0,FA247/FA246)*100</f>
        <v>0</v>
      </c>
      <c r="FB248" s="723"/>
      <c r="FC248" s="620">
        <f>IF(FC246=0,0,FC247/FC246)*100</f>
        <v>0</v>
      </c>
      <c r="FD248" s="620">
        <f>IF(FD246=0,0,FD247/FD246)*100</f>
        <v>0</v>
      </c>
      <c r="FE248" s="723"/>
      <c r="FF248" s="620">
        <f>IF(FF246=0,0,FF247/FF246)*100</f>
        <v>0</v>
      </c>
      <c r="FG248" s="620">
        <f>IF(FG246=0,0,FG247/FG246)*100</f>
        <v>0</v>
      </c>
      <c r="FH248" s="723"/>
      <c r="FI248" s="620">
        <f>IF(FI246=0,0,FI247/FI246)*100</f>
        <v>0</v>
      </c>
      <c r="FJ248" s="620">
        <f>IF(FJ246=0,0,FJ247/FJ246)*100</f>
        <v>0</v>
      </c>
      <c r="FK248" s="723"/>
      <c r="FL248" s="620">
        <f>IF(FL246=0,0,FL247/FL246)*100</f>
        <v>0</v>
      </c>
      <c r="FM248" s="620">
        <f>IF(FM246=0,0,FM247/FM246)*100</f>
        <v>0</v>
      </c>
      <c r="FN248" s="723"/>
      <c r="FO248" s="620">
        <f>IF(FO246=0,0,FO247/FO246)*100</f>
        <v>0</v>
      </c>
      <c r="FP248" s="620">
        <f>IF(FP246=0,0,FP247/FP246)*100</f>
        <v>0</v>
      </c>
      <c r="FQ248" s="723"/>
      <c r="FR248" s="620">
        <f>IF(FR246=0,0,FR247/FR246)*100</f>
        <v>0</v>
      </c>
      <c r="FS248" s="620">
        <f>IF(FS246=0,0,FS247/FS246)*100</f>
        <v>0</v>
      </c>
      <c r="FT248" s="723"/>
      <c r="FU248" s="620">
        <f>IF(FU246=0,0,FU247/FU246)*100</f>
        <v>0</v>
      </c>
      <c r="FV248" s="620">
        <f>IF(FV246=0,0,FV247/FV246)*100</f>
        <v>0</v>
      </c>
      <c r="FW248" s="724"/>
      <c r="FX248" s="204"/>
      <c r="FZ248" s="691" t="s">
        <v>1724</v>
      </c>
    </row>
    <row r="249" spans="1:186" ht="27.2" customHeight="1" x14ac:dyDescent="0.15">
      <c r="A249" s="59"/>
      <c r="B249" s="613" t="b" cm="1">
        <f t="array" ref="B249">B248</f>
        <v>1</v>
      </c>
      <c r="C249" s="59"/>
      <c r="D249" s="59"/>
      <c r="E249" s="462">
        <v>15</v>
      </c>
      <c r="F249" s="3" t="str" cm="1">
        <f t="array" aca="1" ref="F249" ca="1">OFFSET(E249,-1,1)</f>
        <v>3</v>
      </c>
      <c r="G249" s="25" t="s">
        <v>1653</v>
      </c>
      <c r="H249" s="59"/>
      <c r="I249" s="59"/>
      <c r="J249" s="59"/>
      <c r="K249" s="59"/>
      <c r="L249" s="59"/>
      <c r="M249" s="59"/>
      <c r="N249" s="59"/>
      <c r="O249" s="59"/>
      <c r="P249" s="59"/>
      <c r="Q249" s="59"/>
      <c r="R249" s="59"/>
      <c r="S249" s="59"/>
      <c r="T249" s="353" t="b" cm="1">
        <f t="array" aca="1" ref="T249" ca="1">T248</f>
        <v>1</v>
      </c>
      <c r="U249" s="59"/>
      <c r="V249" s="59"/>
      <c r="W249" s="59"/>
      <c r="X249" s="1022"/>
      <c r="Y249" s="59"/>
      <c r="Z249" s="966"/>
      <c r="AA249" s="59"/>
      <c r="AB249" s="54" t="s">
        <v>1654</v>
      </c>
      <c r="AC249" s="12" t="s">
        <v>558</v>
      </c>
      <c r="AD249" s="191">
        <f ca="1">IF(AND(method_reg="Метод индексации",god&lt;&gt;first_year),SUMIFS(INDEX('Калькуляция (МИ корр)'!$AJ$25:$BC$603,,MATCH(AD$8,'Калькуляция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(МИ)'!$AJ$25:$BC$603,,MATCH(AD$8,'Калькуляция (МИ)'!$AJ$8:$BC$8,0)),'Калькуляция (МИ)'!$F$25:$F$603,$F249,'Калькуляция (МИ)'!$G$25:$G$603,$G249))))</f>
        <v>52692.608</v>
      </c>
      <c r="AE249" s="191">
        <f ca="1">IF(AND(method_reg="Метод индексации",god&lt;&gt;first_year),SUMIFS(INDEX('Калькуляция (МИ корр)'!$AJ$25:$BC$603,,MATCH(AE$8,'Калькуляция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(МИ)'!$AJ$25:$BC$603,,MATCH(AE$8,'Калькуляция (МИ)'!$AJ$8:$BC$8,0)),'Калькуляция (МИ)'!$F$25:$F$603,$F249,'Калькуляция (МИ)'!$G$25:$G$603,$G249))))</f>
        <v>46750.756560000002</v>
      </c>
      <c r="AF249" s="715">
        <f ca="1">IF(AD249=0,0,(AE249-AD249)/AD249*100)</f>
        <v>-11.276442114992673</v>
      </c>
      <c r="AG249" s="836">
        <f ca="1">IF(AND(method_reg="Метод индексации",god&lt;&gt;first_year),SUMIFS(INDEX('Калькуляция (МИ корр)'!$AJ$25:$BC$603,,MATCH(AG$8,'Калькуляция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(МИ)'!$AJ$25:$BC$603,,MATCH(AG$8,'Калькуляция (МИ)'!$AJ$8:$BC$8,0)),'Калькуляция (МИ)'!$F$25:$F$603,$F249,'Калькуляция (МИ)'!$G$25:$G$603,$G249))))</f>
        <v>0</v>
      </c>
      <c r="AH249" s="836">
        <f ca="1">IF(AND(method_reg="Метод индексации",god&lt;&gt;first_year),SUMIFS(INDEX('Калькуляция (МИ корр)'!$AJ$25:$BC$603,,MATCH(AH$8,'Калькуляция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(МИ)'!$AJ$25:$BC$603,,MATCH(AH$8,'Калькуляция (МИ)'!$AJ$8:$BC$8,0)),'Калькуляция (МИ)'!$F$25:$F$603,$F249,'Калькуляция (МИ)'!$G$25:$G$603,$G249))))</f>
        <v>0</v>
      </c>
      <c r="AI249" s="715">
        <f ca="1">IF(AG249=0,0,(AH249-AG249)/AG249*100)</f>
        <v>0</v>
      </c>
      <c r="AJ249" s="836">
        <f ca="1">IF(AND(method_reg="Метод индексации",god&lt;&gt;first_year),SUMIFS(INDEX('Калькуляция (МИ корр)'!$AJ$25:$BC$603,,MATCH(AJ$8,'Калькуляция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(МИ)'!$AJ$25:$BC$603,,MATCH(AJ$8,'Калькуляция (МИ)'!$AJ$8:$BC$8,0)),'Калькуляция (МИ)'!$F$25:$F$603,$F249,'Калькуляция (МИ)'!$G$25:$G$603,$G249))))</f>
        <v>0</v>
      </c>
      <c r="AK249" s="836">
        <f ca="1">IF(AND(method_reg="Метод индексации",god&lt;&gt;first_year),SUMIFS(INDEX('Калькуляция (МИ корр)'!$AJ$25:$BC$603,,MATCH(AK$8,'Калькуляция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(МИ)'!$AJ$25:$BC$603,,MATCH(AK$8,'Калькуляция (МИ)'!$AJ$8:$BC$8,0)),'Калькуляция (МИ)'!$F$25:$F$603,$F249,'Калькуляция (МИ)'!$G$25:$G$603,$G249))))</f>
        <v>0</v>
      </c>
      <c r="AL249" s="715">
        <f ca="1">IF(AJ249=0,0,(AK249-AJ249)/AJ249*100)</f>
        <v>0</v>
      </c>
      <c r="AM249" s="191">
        <f ca="1">IF(AND(method_reg="Метод индексации",god&lt;&gt;first_year),SUMIFS(INDEX('Калькуляция (МИ корр)'!$AJ$25:$BC$603,,MATCH(AM$8,'Калькуляция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(МИ)'!$AJ$25:$BC$603,,MATCH(AM$8,'Калькуляция (МИ)'!$AJ$8:$BC$8,0)),'Калькуляция (МИ)'!$F$25:$F$603,$F249,'Калькуляция (МИ)'!$G$25:$G$603,$G249))))</f>
        <v>0</v>
      </c>
      <c r="AN249" s="191">
        <f ca="1">IF(AND(method_reg="Метод индексации",god&lt;&gt;first_year),SUMIFS(INDEX('Калькуляция (МИ корр)'!$AJ$25:$BC$603,,MATCH(AN$8,'Калькуляция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(МИ)'!$AJ$25:$BC$603,,MATCH(AN$8,'Калькуляция (МИ)'!$AJ$8:$BC$8,0)),'Калькуляция (МИ)'!$F$25:$F$603,$F249,'Калькуляция (МИ)'!$G$25:$G$603,$G249))))</f>
        <v>0</v>
      </c>
      <c r="AO249" s="715">
        <f ca="1">IF(AM249=0,0,(AN249-AM249)/AM249*100)</f>
        <v>0</v>
      </c>
      <c r="AP249" s="191">
        <f ca="1">IF(AND(method_reg="Метод индексации",god&lt;&gt;first_year),SUMIFS(INDEX('Калькуляция (МИ корр)'!$AJ$25:$BC$603,,MATCH(AP$8,'Калькуляция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(МИ)'!$AJ$25:$BC$603,,MATCH(AP$8,'Калькуляция (МИ)'!$AJ$8:$BC$8,0)),'Калькуляция (МИ)'!$F$25:$F$603,$F249,'Калькуляция (МИ)'!$G$25:$G$603,$G249))))</f>
        <v>0</v>
      </c>
      <c r="AQ249" s="191">
        <f ca="1">IF(AND(method_reg="Метод индексации",god&lt;&gt;first_year),SUMIFS(INDEX('Калькуляция (МИ корр)'!$AJ$25:$BC$603,,MATCH(AQ$8,'Калькуляция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(МИ)'!$AJ$25:$BC$603,,MATCH(AQ$8,'Калькуляция (МИ)'!$AJ$8:$BC$8,0)),'Калькуляция (МИ)'!$F$25:$F$603,$F249,'Калькуляция (МИ)'!$G$25:$G$603,$G249))))</f>
        <v>0</v>
      </c>
      <c r="AR249" s="715">
        <f ca="1">IF(AP249=0,0,(AQ249-AP249)/AP249*100)</f>
        <v>0</v>
      </c>
      <c r="AS249" s="191">
        <f ca="1">IF(AND(method_reg="Метод индексации",god&lt;&gt;first_year),SUMIFS(INDEX('Калькуляция (МИ корр)'!$AJ$25:$BC$603,,MATCH(AS$8,'Калькуляция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(МИ)'!$AJ$25:$BC$603,,MATCH(AS$8,'Калькуляция (МИ)'!$AJ$8:$BC$8,0)),'Калькуляция (МИ)'!$F$25:$F$603,$F249,'Калькуляция (МИ)'!$G$25:$G$603,$G249))))</f>
        <v>0</v>
      </c>
      <c r="AT249" s="191">
        <f ca="1">IF(AND(method_reg="Метод индексации",god&lt;&gt;first_year),SUMIFS(INDEX('Калькуляция (МИ корр)'!$AJ$25:$BC$603,,MATCH(AT$8,'Калькуляция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(МИ)'!$AJ$25:$BC$603,,MATCH(AT$8,'Калькуляция (МИ)'!$AJ$8:$BC$8,0)),'Калькуляция (МИ)'!$F$25:$F$603,$F249,'Калькуляция (МИ)'!$G$25:$G$603,$G249))))</f>
        <v>0</v>
      </c>
      <c r="AU249" s="715">
        <f ca="1">IF(AS249=0,0,(AT249-AS249)/AS249*100)</f>
        <v>0</v>
      </c>
      <c r="AV249" s="191">
        <f ca="1">IF(AND(method_reg="Метод индексации",god&lt;&gt;first_year),SUMIFS(INDEX('Калькуляция (МИ корр)'!$AJ$25:$BC$603,,MATCH(AV$8,'Калькуляция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(МИ)'!$AJ$25:$BC$603,,MATCH(AV$8,'Калькуляция (МИ)'!$AJ$8:$BC$8,0)),'Калькуляция (МИ)'!$F$25:$F$603,$F249,'Калькуляция (МИ)'!$G$25:$G$603,$G249))))</f>
        <v>0</v>
      </c>
      <c r="AW249" s="191">
        <f ca="1">IF(AND(method_reg="Метод индексации",god&lt;&gt;first_year),SUMIFS(INDEX('Калькуляция (МИ корр)'!$AJ$25:$BC$603,,MATCH(AW$8,'Калькуляция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(МИ)'!$AJ$25:$BC$603,,MATCH(AW$8,'Калькуляция (МИ)'!$AJ$8:$BC$8,0)),'Калькуляция (МИ)'!$F$25:$F$603,$F249,'Калькуляция (МИ)'!$G$25:$G$603,$G249))))</f>
        <v>0</v>
      </c>
      <c r="AX249" s="715">
        <f ca="1">IF(AV249=0,0,(AW249-AV249)/AV249*100)</f>
        <v>0</v>
      </c>
      <c r="AY249" s="191">
        <f ca="1">IF(AND(method_reg="Метод индексации",god&lt;&gt;first_year),SUMIFS(INDEX('Калькуляция (МИ корр)'!$AJ$25:$BC$603,,MATCH(AY$8,'Калькуляция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(МИ)'!$AJ$25:$BC$603,,MATCH(AY$8,'Калькуляция (МИ)'!$AJ$8:$BC$8,0)),'Калькуляция (МИ)'!$F$25:$F$603,$F249,'Калькуляция (МИ)'!$G$25:$G$603,$G249))))</f>
        <v>0</v>
      </c>
      <c r="AZ249" s="191">
        <f ca="1">IF(AND(method_reg="Метод индексации",god&lt;&gt;first_year),SUMIFS(INDEX('Калькуляция (МИ корр)'!$AJ$25:$BC$603,,MATCH(AZ$8,'Калькуляция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(МИ)'!$AJ$25:$BC$603,,MATCH(AZ$8,'Калькуляция (МИ)'!$AJ$8:$BC$8,0)),'Калькуляция (МИ)'!$F$25:$F$603,$F249,'Калькуляция (МИ)'!$G$25:$G$603,$G249))))</f>
        <v>0</v>
      </c>
      <c r="BA249" s="715">
        <f ca="1">IF(AY249=0,0,(AZ249-AY249)/AY249*100)</f>
        <v>0</v>
      </c>
      <c r="BB249" s="191">
        <f ca="1">IF(AND(method_reg="Метод индексации",god&lt;&gt;first_year),SUMIFS(INDEX('Калькуляция (МИ корр)'!$AJ$25:$BC$603,,MATCH(BB$8,'Калькуляция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(МИ)'!$AJ$25:$BC$603,,MATCH(BB$8,'Калькуляция (МИ)'!$AJ$8:$BC$8,0)),'Калькуляция (МИ)'!$F$25:$F$603,$F249,'Калькуляция (МИ)'!$G$25:$G$603,$G249))))</f>
        <v>0</v>
      </c>
      <c r="BC249" s="191">
        <f ca="1">IF(AND(method_reg="Метод индексации",god&lt;&gt;first_year),SUMIFS(INDEX('Калькуляция (МИ корр)'!$AJ$25:$BC$603,,MATCH(BC$8,'Калькуляция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(МИ)'!$AJ$25:$BC$603,,MATCH(BC$8,'Калькуляция (МИ)'!$AJ$8:$BC$8,0)),'Калькуляция (МИ)'!$F$25:$F$603,$F249,'Калькуляция (МИ)'!$G$25:$G$603,$G249))))</f>
        <v>0</v>
      </c>
      <c r="BD249" s="715">
        <f ca="1">IF(BB249=0,0,(BC249-BB249)/BB249*100)</f>
        <v>0</v>
      </c>
      <c r="BE249" s="191">
        <f ca="1">IF(AND(method_reg="Метод индексации",god&lt;&gt;first_year),SUMIFS(INDEX('Калькуляция (МИ корр)'!$AJ$25:$BC$603,,MATCH(BE$8,'Калькуляция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(МИ)'!$AJ$25:$BC$603,,MATCH(BE$8,'Калькуляция (МИ)'!$AJ$8:$BC$8,0)),'Калькуляция (МИ)'!$F$25:$F$603,$F249,'Калькуляция (МИ)'!$G$25:$G$603,$G249))))</f>
        <v>0</v>
      </c>
      <c r="BF249" s="191">
        <f ca="1">IF(AND(method_reg="Метод индексации",god&lt;&gt;first_year),SUMIFS(INDEX('Калькуляция (МИ корр)'!$AJ$25:$BC$603,,MATCH(BF$8,'Калькуляция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(МИ)'!$AJ$25:$BC$603,,MATCH(BF$8,'Калькуляция (МИ)'!$AJ$8:$BC$8,0)),'Калькуляция (МИ)'!$F$25:$F$603,$F249,'Калькуляция (МИ)'!$G$25:$G$603,$G249))))</f>
        <v>0</v>
      </c>
      <c r="BG249" s="715">
        <f ca="1">IF(BE249=0,0,(BF249-BE249)/BE249*100)</f>
        <v>0</v>
      </c>
      <c r="BH249" s="191"/>
      <c r="BI249" s="191"/>
      <c r="BJ249" s="715">
        <f>IF(BH249=0,0,(BI249-BH249)/BH249*100)</f>
        <v>0</v>
      </c>
      <c r="BK249" s="191"/>
      <c r="BL249" s="191"/>
      <c r="BM249" s="715">
        <f>IF(BK249=0,0,(BL249-BK249)/BK249*100)</f>
        <v>0</v>
      </c>
      <c r="BN249" s="191"/>
      <c r="BO249" s="191"/>
      <c r="BP249" s="715">
        <f>IF(BN249=0,0,(BO249-BN249)/BN249*100)</f>
        <v>0</v>
      </c>
      <c r="BQ249" s="191"/>
      <c r="BR249" s="191"/>
      <c r="BS249" s="715">
        <f>IF(BQ249=0,0,(BR249-BQ249)/BQ249*100)</f>
        <v>0</v>
      </c>
      <c r="BT249" s="191"/>
      <c r="BU249" s="191"/>
      <c r="BV249" s="715">
        <f>IF(BT249=0,0,(BU249-BT249)/BT249*100)</f>
        <v>0</v>
      </c>
      <c r="BW249" s="191"/>
      <c r="BX249" s="191"/>
      <c r="BY249" s="715">
        <f>IF(BW249=0,0,(BX249-BW249)/BW249*100)</f>
        <v>0</v>
      </c>
      <c r="BZ249" s="191"/>
      <c r="CA249" s="191"/>
      <c r="CB249" s="715">
        <f>IF(BZ249=0,0,(CA249-BZ249)/BZ249*100)</f>
        <v>0</v>
      </c>
      <c r="CC249" s="191"/>
      <c r="CD249" s="191"/>
      <c r="CE249" s="715">
        <f>IF(CC249=0,0,(CD249-CC249)/CC249*100)</f>
        <v>0</v>
      </c>
      <c r="CF249" s="191"/>
      <c r="CG249" s="191"/>
      <c r="CH249" s="715">
        <f>IF(CF249=0,0,(CG249-CF249)/CF249*100)</f>
        <v>0</v>
      </c>
      <c r="CI249" s="191"/>
      <c r="CJ249" s="191"/>
      <c r="CK249" s="715">
        <f>IF(CI249=0,0,(CJ249-CI249)/CI249*100)</f>
        <v>0</v>
      </c>
      <c r="CL249" s="191"/>
      <c r="CM249" s="191"/>
      <c r="CN249" s="715">
        <f>IF(CL249=0,0,(CM249-CL249)/CL249*100)</f>
        <v>0</v>
      </c>
      <c r="CO249" s="191"/>
      <c r="CP249" s="191"/>
      <c r="CQ249" s="715">
        <f>IF(CO249=0,0,(CP249-CO249)/CO249*100)</f>
        <v>0</v>
      </c>
      <c r="CR249" s="191"/>
      <c r="CS249" s="191"/>
      <c r="CT249" s="715">
        <f>IF(CR249=0,0,(CS249-CR249)/CR249*100)</f>
        <v>0</v>
      </c>
      <c r="CU249" s="191"/>
      <c r="CV249" s="191"/>
      <c r="CW249" s="715">
        <f>IF(CU249=0,0,(CV249-CU249)/CU249*100)</f>
        <v>0</v>
      </c>
      <c r="CX249" s="191"/>
      <c r="CY249" s="191"/>
      <c r="CZ249" s="715">
        <f>IF(CX249=0,0,(CY249-CX249)/CX249*100)</f>
        <v>0</v>
      </c>
      <c r="DA249" s="191"/>
      <c r="DB249" s="191"/>
      <c r="DC249" s="715">
        <f>IF(DA249=0,0,(DB249-DA249)/DA249*100)</f>
        <v>0</v>
      </c>
      <c r="DD249" s="191"/>
      <c r="DE249" s="191"/>
      <c r="DF249" s="715">
        <f>IF(DD249=0,0,(DE249-DD249)/DD249*100)</f>
        <v>0</v>
      </c>
      <c r="DG249" s="191"/>
      <c r="DH249" s="191"/>
      <c r="DI249" s="715">
        <f>IF(DG249=0,0,(DH249-DG249)/DG249*100)</f>
        <v>0</v>
      </c>
      <c r="DJ249" s="191"/>
      <c r="DK249" s="191"/>
      <c r="DL249" s="715">
        <f>IF(DJ249=0,0,(DK249-DJ249)/DJ249*100)</f>
        <v>0</v>
      </c>
      <c r="DM249" s="191"/>
      <c r="DN249" s="191"/>
      <c r="DO249" s="715">
        <f>IF(DM249=0,0,(DN249-DM249)/DM249*100)</f>
        <v>0</v>
      </c>
      <c r="DP249" s="191"/>
      <c r="DQ249" s="191"/>
      <c r="DR249" s="715">
        <f>IF(DP249=0,0,(DQ249-DP249)/DP249*100)</f>
        <v>0</v>
      </c>
      <c r="DS249" s="191"/>
      <c r="DT249" s="191"/>
      <c r="DU249" s="715">
        <f>IF(DS249=0,0,(DT249-DS249)/DS249*100)</f>
        <v>0</v>
      </c>
      <c r="DV249" s="191"/>
      <c r="DW249" s="191"/>
      <c r="DX249" s="715">
        <f>IF(DV249=0,0,(DW249-DV249)/DV249*100)</f>
        <v>0</v>
      </c>
      <c r="DY249" s="191"/>
      <c r="DZ249" s="191"/>
      <c r="EA249" s="715">
        <f>IF(DY249=0,0,(DZ249-DY249)/DY249*100)</f>
        <v>0</v>
      </c>
      <c r="EB249" s="191"/>
      <c r="EC249" s="191"/>
      <c r="ED249" s="715">
        <f>IF(EB249=0,0,(EC249-EB249)/EB249*100)</f>
        <v>0</v>
      </c>
      <c r="EE249" s="191"/>
      <c r="EF249" s="191"/>
      <c r="EG249" s="715">
        <f>IF(EE249=0,0,(EF249-EE249)/EE249*100)</f>
        <v>0</v>
      </c>
      <c r="EH249" s="191"/>
      <c r="EI249" s="191"/>
      <c r="EJ249" s="715">
        <f>IF(EH249=0,0,(EI249-EH249)/EH249*100)</f>
        <v>0</v>
      </c>
      <c r="EK249" s="191"/>
      <c r="EL249" s="191"/>
      <c r="EM249" s="715">
        <f>IF(EK249=0,0,(EL249-EK249)/EK249*100)</f>
        <v>0</v>
      </c>
      <c r="EN249" s="191"/>
      <c r="EO249" s="191"/>
      <c r="EP249" s="715">
        <f>IF(EN249=0,0,(EO249-EN249)/EN249*100)</f>
        <v>0</v>
      </c>
      <c r="EQ249" s="191"/>
      <c r="ER249" s="191"/>
      <c r="ES249" s="715">
        <f>IF(EQ249=0,0,(ER249-EQ249)/EQ249*100)</f>
        <v>0</v>
      </c>
      <c r="ET249" s="191"/>
      <c r="EU249" s="191"/>
      <c r="EV249" s="715">
        <f>IF(ET249=0,0,(EU249-ET249)/ET249*100)</f>
        <v>0</v>
      </c>
      <c r="EW249" s="191"/>
      <c r="EX249" s="191"/>
      <c r="EY249" s="715">
        <f>IF(EW249=0,0,(EX249-EW249)/EW249*100)</f>
        <v>0</v>
      </c>
      <c r="EZ249" s="191"/>
      <c r="FA249" s="191"/>
      <c r="FB249" s="715">
        <f>IF(EZ249=0,0,(FA249-EZ249)/EZ249*100)</f>
        <v>0</v>
      </c>
      <c r="FC249" s="191"/>
      <c r="FD249" s="191"/>
      <c r="FE249" s="715">
        <f>IF(FC249=0,0,(FD249-FC249)/FC249*100)</f>
        <v>0</v>
      </c>
      <c r="FF249" s="191"/>
      <c r="FG249" s="191"/>
      <c r="FH249" s="715">
        <f>IF(FF249=0,0,(FG249-FF249)/FF249*100)</f>
        <v>0</v>
      </c>
      <c r="FI249" s="191"/>
      <c r="FJ249" s="191"/>
      <c r="FK249" s="715">
        <f>IF(FI249=0,0,(FJ249-FI249)/FI249*100)</f>
        <v>0</v>
      </c>
      <c r="FL249" s="191"/>
      <c r="FM249" s="191"/>
      <c r="FN249" s="715">
        <f>IF(FL249=0,0,(FM249-FL249)/FL249*100)</f>
        <v>0</v>
      </c>
      <c r="FO249" s="191"/>
      <c r="FP249" s="191"/>
      <c r="FQ249" s="715">
        <f>IF(FO249=0,0,(FP249-FO249)/FO249*100)</f>
        <v>0</v>
      </c>
      <c r="FR249" s="191"/>
      <c r="FS249" s="191"/>
      <c r="FT249" s="715">
        <f>IF(FR249=0,0,(FS249-FR249)/FR249*100)</f>
        <v>0</v>
      </c>
      <c r="FU249" s="191"/>
      <c r="FV249" s="191"/>
      <c r="FW249" s="715">
        <f>IF(FU249=0,0,(FV249-FU249)/FU249*100)</f>
        <v>0</v>
      </c>
      <c r="FX249" s="204"/>
      <c r="FZ249" s="691" t="s">
        <v>1725</v>
      </c>
    </row>
    <row r="250" spans="1:186" ht="18" hidden="1" customHeight="1" x14ac:dyDescent="0.15">
      <c r="A250" s="59"/>
      <c r="B250" s="613" t="b" cm="1">
        <f t="array" ref="B250">B249</f>
        <v>1</v>
      </c>
      <c r="C250" s="59"/>
      <c r="D250" s="59"/>
      <c r="E250" s="462">
        <v>18.75</v>
      </c>
      <c r="F250" s="3" t="str" cm="1">
        <f t="array" aca="1" ref="F250" ca="1">OFFSET(E250,-1,1)</f>
        <v>3</v>
      </c>
      <c r="G250" s="59"/>
      <c r="H250" s="59" t="s">
        <v>482</v>
      </c>
      <c r="I250" s="59" cm="1">
        <f t="array" ref="I250">AB250</f>
        <v>0</v>
      </c>
      <c r="J250" s="59"/>
      <c r="K250" s="59"/>
      <c r="L250" s="59"/>
      <c r="M250" s="59"/>
      <c r="N250" s="59"/>
      <c r="O250" s="59"/>
      <c r="P250" s="59"/>
      <c r="Q250" s="59"/>
      <c r="R250" s="59"/>
      <c r="S250" s="59"/>
      <c r="T250" s="353" t="b">
        <f ca="1">AND(F250&gt;0,Y250&gt;0)</f>
        <v>0</v>
      </c>
      <c r="U250" s="59"/>
      <c r="V250" s="59"/>
      <c r="W250" s="59" t="s">
        <v>172</v>
      </c>
      <c r="X250" s="1022"/>
      <c r="Y250" s="59">
        <v>0</v>
      </c>
      <c r="Z250" s="966"/>
      <c r="AA250" s="482" t="s">
        <v>173</v>
      </c>
      <c r="AB250" s="851"/>
      <c r="AC250" s="12" t="s">
        <v>1644</v>
      </c>
      <c r="AD250" s="820"/>
      <c r="AE250" s="864"/>
      <c r="AF250" s="714">
        <f>IF(AD250=0,0,(AE250-AD250)/AD250*100)</f>
        <v>0</v>
      </c>
      <c r="AG250" s="864"/>
      <c r="AH250" s="864"/>
      <c r="AI250" s="714">
        <f>IF(AG250=0,0,(AH250-AG250)/AG250*100)</f>
        <v>0</v>
      </c>
      <c r="AJ250" s="864"/>
      <c r="AK250" s="864"/>
      <c r="AL250" s="714">
        <f>IF(AJ250=0,0,(AK250-AJ250)/AJ250*100)</f>
        <v>0</v>
      </c>
      <c r="AM250" s="864"/>
      <c r="AN250" s="864"/>
      <c r="AO250" s="714">
        <f>IF(AM250=0,0,(AN250-AM250)/AM250*100)</f>
        <v>0</v>
      </c>
      <c r="AP250" s="864"/>
      <c r="AQ250" s="864"/>
      <c r="AR250" s="714">
        <f>IF(AP250=0,0,(AQ250-AP250)/AP250*100)</f>
        <v>0</v>
      </c>
      <c r="AS250" s="864"/>
      <c r="AT250" s="864"/>
      <c r="AU250" s="714">
        <f>IF(AS250=0,0,(AT250-AS250)/AS250*100)</f>
        <v>0</v>
      </c>
      <c r="AV250" s="864"/>
      <c r="AW250" s="864"/>
      <c r="AX250" s="714">
        <f>IF(AV250=0,0,(AW250-AV250)/AV250*100)</f>
        <v>0</v>
      </c>
      <c r="AY250" s="864"/>
      <c r="AZ250" s="864"/>
      <c r="BA250" s="714">
        <f>IF(AY250=0,0,(AZ250-AY250)/AY250*100)</f>
        <v>0</v>
      </c>
      <c r="BB250" s="864"/>
      <c r="BC250" s="864"/>
      <c r="BD250" s="714">
        <f>IF(BB250=0,0,(BC250-BB250)/BB250*100)</f>
        <v>0</v>
      </c>
      <c r="BE250" s="864"/>
      <c r="BF250" s="864"/>
      <c r="BG250" s="714">
        <f>IF(BE250=0,0,(BF250-BE250)/BE250*100)</f>
        <v>0</v>
      </c>
      <c r="BH250" s="864"/>
      <c r="BI250" s="864"/>
      <c r="BJ250" s="714">
        <f>IF(BH250=0,0,(BI250-BH250)/BH250*100)</f>
        <v>0</v>
      </c>
      <c r="BK250" s="864"/>
      <c r="BL250" s="864"/>
      <c r="BM250" s="714">
        <f>IF(BK250=0,0,(BL250-BK250)/BK250*100)</f>
        <v>0</v>
      </c>
      <c r="BN250" s="864"/>
      <c r="BO250" s="864"/>
      <c r="BP250" s="714">
        <f>IF(BN250=0,0,(BO250-BN250)/BN250*100)</f>
        <v>0</v>
      </c>
      <c r="BQ250" s="864"/>
      <c r="BR250" s="864"/>
      <c r="BS250" s="714">
        <f>IF(BQ250=0,0,(BR250-BQ250)/BQ250*100)</f>
        <v>0</v>
      </c>
      <c r="BT250" s="864"/>
      <c r="BU250" s="864"/>
      <c r="BV250" s="714">
        <f>IF(BT250=0,0,(BU250-BT250)/BT250*100)</f>
        <v>0</v>
      </c>
      <c r="BW250" s="864"/>
      <c r="BX250" s="864"/>
      <c r="BY250" s="714">
        <f>IF(BW250=0,0,(BX250-BW250)/BW250*100)</f>
        <v>0</v>
      </c>
      <c r="BZ250" s="864"/>
      <c r="CA250" s="864"/>
      <c r="CB250" s="714">
        <f>IF(BZ250=0,0,(CA250-BZ250)/BZ250*100)</f>
        <v>0</v>
      </c>
      <c r="CC250" s="864"/>
      <c r="CD250" s="864"/>
      <c r="CE250" s="714">
        <f>IF(CC250=0,0,(CD250-CC250)/CC250*100)</f>
        <v>0</v>
      </c>
      <c r="CF250" s="864"/>
      <c r="CG250" s="864"/>
      <c r="CH250" s="714">
        <f>IF(CF250=0,0,(CG250-CF250)/CF250*100)</f>
        <v>0</v>
      </c>
      <c r="CI250" s="864"/>
      <c r="CJ250" s="864"/>
      <c r="CK250" s="714">
        <f>IF(CI250=0,0,(CJ250-CI250)/CI250*100)</f>
        <v>0</v>
      </c>
      <c r="CL250" s="864"/>
      <c r="CM250" s="864"/>
      <c r="CN250" s="714">
        <f>IF(CL250=0,0,(CM250-CL250)/CL250*100)</f>
        <v>0</v>
      </c>
      <c r="CO250" s="864"/>
      <c r="CP250" s="864"/>
      <c r="CQ250" s="714">
        <f>IF(CO250=0,0,(CP250-CO250)/CO250*100)</f>
        <v>0</v>
      </c>
      <c r="CR250" s="864"/>
      <c r="CS250" s="864"/>
      <c r="CT250" s="714">
        <f>IF(CR250=0,0,(CS250-CR250)/CR250*100)</f>
        <v>0</v>
      </c>
      <c r="CU250" s="864"/>
      <c r="CV250" s="864"/>
      <c r="CW250" s="714">
        <f>IF(CU250=0,0,(CV250-CU250)/CU250*100)</f>
        <v>0</v>
      </c>
      <c r="CX250" s="864"/>
      <c r="CY250" s="864"/>
      <c r="CZ250" s="714">
        <f>IF(CX250=0,0,(CY250-CX250)/CX250*100)</f>
        <v>0</v>
      </c>
      <c r="DA250" s="864"/>
      <c r="DB250" s="864"/>
      <c r="DC250" s="714">
        <f>IF(DA250=0,0,(DB250-DA250)/DA250*100)</f>
        <v>0</v>
      </c>
      <c r="DD250" s="864"/>
      <c r="DE250" s="864"/>
      <c r="DF250" s="714">
        <f>IF(DD250=0,0,(DE250-DD250)/DD250*100)</f>
        <v>0</v>
      </c>
      <c r="DG250" s="864"/>
      <c r="DH250" s="864"/>
      <c r="DI250" s="714">
        <f>IF(DG250=0,0,(DH250-DG250)/DG250*100)</f>
        <v>0</v>
      </c>
      <c r="DJ250" s="864"/>
      <c r="DK250" s="864"/>
      <c r="DL250" s="714">
        <f>IF(DJ250=0,0,(DK250-DJ250)/DJ250*100)</f>
        <v>0</v>
      </c>
      <c r="DM250" s="864"/>
      <c r="DN250" s="864"/>
      <c r="DO250" s="714">
        <f>IF(DM250=0,0,(DN250-DM250)/DM250*100)</f>
        <v>0</v>
      </c>
      <c r="DP250" s="864"/>
      <c r="DQ250" s="864"/>
      <c r="DR250" s="714">
        <f>IF(DP250=0,0,(DQ250-DP250)/DP250*100)</f>
        <v>0</v>
      </c>
      <c r="DS250" s="864"/>
      <c r="DT250" s="864"/>
      <c r="DU250" s="714">
        <f>IF(DS250=0,0,(DT250-DS250)/DS250*100)</f>
        <v>0</v>
      </c>
      <c r="DV250" s="864"/>
      <c r="DW250" s="864"/>
      <c r="DX250" s="714">
        <f>IF(DV250=0,0,(DW250-DV250)/DV250*100)</f>
        <v>0</v>
      </c>
      <c r="DY250" s="864"/>
      <c r="DZ250" s="864"/>
      <c r="EA250" s="714">
        <f>IF(DY250=0,0,(DZ250-DY250)/DY250*100)</f>
        <v>0</v>
      </c>
      <c r="EB250" s="864"/>
      <c r="EC250" s="864"/>
      <c r="ED250" s="714">
        <f>IF(EB250=0,0,(EC250-EB250)/EB250*100)</f>
        <v>0</v>
      </c>
      <c r="EE250" s="864"/>
      <c r="EF250" s="864"/>
      <c r="EG250" s="714">
        <f>IF(EE250=0,0,(EF250-EE250)/EE250*100)</f>
        <v>0</v>
      </c>
      <c r="EH250" s="864"/>
      <c r="EI250" s="864"/>
      <c r="EJ250" s="714">
        <f>IF(EH250=0,0,(EI250-EH250)/EH250*100)</f>
        <v>0</v>
      </c>
      <c r="EK250" s="864"/>
      <c r="EL250" s="864"/>
      <c r="EM250" s="714">
        <f>IF(EK250=0,0,(EL250-EK250)/EK250*100)</f>
        <v>0</v>
      </c>
      <c r="EN250" s="864"/>
      <c r="EO250" s="864"/>
      <c r="EP250" s="714">
        <f>IF(EN250=0,0,(EO250-EN250)/EN250*100)</f>
        <v>0</v>
      </c>
      <c r="EQ250" s="864"/>
      <c r="ER250" s="864"/>
      <c r="ES250" s="714">
        <f>IF(EQ250=0,0,(ER250-EQ250)/EQ250*100)</f>
        <v>0</v>
      </c>
      <c r="ET250" s="864"/>
      <c r="EU250" s="864"/>
      <c r="EV250" s="714">
        <f>IF(ET250=0,0,(EU250-ET250)/ET250*100)</f>
        <v>0</v>
      </c>
      <c r="EW250" s="864"/>
      <c r="EX250" s="864"/>
      <c r="EY250" s="714">
        <f>IF(EW250=0,0,(EX250-EW250)/EW250*100)</f>
        <v>0</v>
      </c>
      <c r="EZ250" s="864"/>
      <c r="FA250" s="864"/>
      <c r="FB250" s="714">
        <f>IF(EZ250=0,0,(FA250-EZ250)/EZ250*100)</f>
        <v>0</v>
      </c>
      <c r="FC250" s="864"/>
      <c r="FD250" s="864"/>
      <c r="FE250" s="714">
        <f>IF(FC250=0,0,(FD250-FC250)/FC250*100)</f>
        <v>0</v>
      </c>
      <c r="FF250" s="864"/>
      <c r="FG250" s="864"/>
      <c r="FH250" s="714">
        <f>IF(FF250=0,0,(FG250-FF250)/FF250*100)</f>
        <v>0</v>
      </c>
      <c r="FI250" s="864"/>
      <c r="FJ250" s="864"/>
      <c r="FK250" s="714">
        <f>IF(FI250=0,0,(FJ250-FI250)/FI250*100)</f>
        <v>0</v>
      </c>
      <c r="FL250" s="864"/>
      <c r="FM250" s="864"/>
      <c r="FN250" s="714">
        <f>IF(FL250=0,0,(FM250-FL250)/FL250*100)</f>
        <v>0</v>
      </c>
      <c r="FO250" s="864"/>
      <c r="FP250" s="864"/>
      <c r="FQ250" s="714">
        <f>IF(FO250=0,0,(FP250-FO250)/FO250*100)</f>
        <v>0</v>
      </c>
      <c r="FR250" s="864"/>
      <c r="FS250" s="864"/>
      <c r="FT250" s="714">
        <f>IF(FR250=0,0,(FS250-FR250)/FR250*100)</f>
        <v>0</v>
      </c>
      <c r="FU250" s="864"/>
      <c r="FV250" s="864"/>
      <c r="FW250" s="714">
        <f>IF(FU250=0,0,(FV250-FU250)/FU250*100)</f>
        <v>0</v>
      </c>
      <c r="FX250" s="204"/>
      <c r="FZ250" s="691" t="s">
        <v>1726</v>
      </c>
      <c r="GA250" s="671" t="s">
        <v>1727</v>
      </c>
      <c r="GB250" s="671" cm="1">
        <f t="array" ref="GB250">AB250</f>
        <v>0</v>
      </c>
      <c r="GD250" s="461" t="b">
        <v>1</v>
      </c>
    </row>
    <row r="251" spans="1:186" ht="14.25" customHeight="1" x14ac:dyDescent="0.15">
      <c r="B251" s="613" t="b" cm="1">
        <f t="array" ref="B251">B250</f>
        <v>1</v>
      </c>
      <c r="D251" s="59"/>
      <c r="E251" s="462">
        <v>15</v>
      </c>
      <c r="F251" s="3" t="str" cm="1">
        <f t="array" aca="1" ref="F251" ca="1">OFFSET(E251,-1,1)</f>
        <v>3</v>
      </c>
      <c r="G251" s="59"/>
      <c r="I251" s="17" t="s">
        <v>1728</v>
      </c>
      <c r="T251" s="353" t="b">
        <f ca="1">F251&gt;0</f>
        <v>1</v>
      </c>
      <c r="W251" s="517" t="s">
        <v>1674</v>
      </c>
      <c r="X251" s="1022"/>
      <c r="Z251" s="966"/>
      <c r="AB251" s="172" t="s">
        <v>176</v>
      </c>
      <c r="AC251" s="176"/>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174"/>
      <c r="CC251" s="174"/>
      <c r="CD251" s="174"/>
      <c r="CE251" s="174"/>
      <c r="CF251" s="174"/>
      <c r="CG251" s="174"/>
      <c r="CH251" s="174"/>
      <c r="CI251" s="174"/>
      <c r="CJ251" s="174"/>
      <c r="CK251" s="174"/>
      <c r="CL251" s="174"/>
      <c r="CM251" s="174"/>
      <c r="CN251" s="174"/>
      <c r="CO251" s="174"/>
      <c r="CP251" s="174"/>
      <c r="CQ251" s="174"/>
      <c r="CR251" s="174"/>
      <c r="CS251" s="174"/>
      <c r="CT251" s="174"/>
      <c r="CU251" s="174"/>
      <c r="CV251" s="174"/>
      <c r="CW251" s="174"/>
      <c r="CX251" s="174"/>
      <c r="CY251" s="174"/>
      <c r="CZ251" s="174"/>
      <c r="DA251" s="174"/>
      <c r="DB251" s="174"/>
      <c r="DC251" s="174"/>
      <c r="DD251" s="174"/>
      <c r="DE251" s="174"/>
      <c r="DF251" s="174"/>
      <c r="DG251" s="174"/>
      <c r="DH251" s="174"/>
      <c r="DI251" s="174"/>
      <c r="DJ251" s="174"/>
      <c r="DK251" s="174"/>
      <c r="DL251" s="174"/>
      <c r="DM251" s="174"/>
      <c r="DN251" s="174"/>
      <c r="DO251" s="174"/>
      <c r="DP251" s="174"/>
      <c r="DQ251" s="174"/>
      <c r="DR251" s="174"/>
      <c r="DS251" s="174"/>
      <c r="DT251" s="174"/>
      <c r="DU251" s="174"/>
      <c r="DV251" s="174"/>
      <c r="DW251" s="174"/>
      <c r="DX251" s="174"/>
      <c r="DY251" s="174"/>
      <c r="DZ251" s="174"/>
      <c r="EA251" s="174"/>
      <c r="EB251" s="174"/>
      <c r="EC251" s="174"/>
      <c r="ED251" s="174"/>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5"/>
      <c r="GC251" s="461" t="s">
        <v>1727</v>
      </c>
    </row>
    <row r="252" spans="1:186" ht="10.5" customHeight="1" x14ac:dyDescent="0.15">
      <c r="B252" s="598"/>
      <c r="D252" s="59"/>
      <c r="E252" s="462">
        <v>11.5</v>
      </c>
      <c r="G252" s="59"/>
      <c r="T252" s="353" t="b" cm="1">
        <f t="array" aca="1" ref="T252" ca="1">T251</f>
        <v>1</v>
      </c>
      <c r="W252" s="517"/>
      <c r="X252" s="1022"/>
      <c r="Z252" s="966"/>
      <c r="FZ252" s="661"/>
      <c r="GA252" s="661"/>
      <c r="GB252" s="655"/>
      <c r="GC252" s="454"/>
      <c r="GD252" s="454"/>
    </row>
    <row r="253" spans="1:186" ht="10.9" customHeight="1" x14ac:dyDescent="0.15">
      <c r="A253" s="315"/>
      <c r="B253" s="614"/>
      <c r="C253" s="315"/>
      <c r="D253" s="315"/>
      <c r="E253" s="480">
        <v>11.25</v>
      </c>
      <c r="F253" s="616"/>
      <c r="G253" s="315"/>
      <c r="H253" s="315"/>
      <c r="I253" s="315"/>
      <c r="J253" s="315"/>
      <c r="K253" s="315"/>
      <c r="L253" s="315"/>
      <c r="M253" s="315"/>
      <c r="N253" s="315"/>
      <c r="O253" s="315"/>
      <c r="P253" s="315"/>
      <c r="Q253" s="315"/>
      <c r="R253" s="315"/>
      <c r="S253" s="315"/>
      <c r="T253" s="315"/>
      <c r="U253" s="315" t="s">
        <v>176</v>
      </c>
      <c r="V253" s="56" t="s">
        <v>1729</v>
      </c>
      <c r="W253" s="315"/>
      <c r="X253" s="315"/>
      <c r="Y253" s="315"/>
      <c r="Z253" s="315"/>
      <c r="AA253" s="315"/>
      <c r="AB253"/>
      <c r="AC253" s="18"/>
      <c r="AD253" s="18"/>
      <c r="AE253" s="18"/>
      <c r="AF253" s="18"/>
      <c r="AG253"/>
      <c r="AH253"/>
      <c r="AI253"/>
      <c r="AJ253"/>
      <c r="AK253"/>
      <c r="AL253"/>
      <c r="AM253"/>
      <c r="AN253"/>
      <c r="AO253"/>
      <c r="AP253"/>
      <c r="AQ253" s="19"/>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s="661"/>
      <c r="GA253" s="661"/>
      <c r="GB253" s="655"/>
      <c r="GC253" s="454"/>
      <c r="GD253" s="454"/>
    </row>
    <row r="254" spans="1:186" ht="14.65" customHeight="1" x14ac:dyDescent="0.15">
      <c r="E254" s="461">
        <v>15</v>
      </c>
      <c r="AB254" s="993" t="s">
        <v>408</v>
      </c>
      <c r="AC254" s="993"/>
      <c r="AD254" s="993"/>
      <c r="AE254" s="993"/>
      <c r="AF254" s="993"/>
      <c r="AG254" s="993"/>
      <c r="AH254" s="993"/>
      <c r="AI254" s="993"/>
      <c r="AJ254" s="993"/>
      <c r="AK254" s="993"/>
      <c r="AL254" s="993"/>
      <c r="AM254" s="993"/>
      <c r="AN254" s="993"/>
      <c r="AO254" s="993"/>
      <c r="AP254" s="993"/>
      <c r="AQ254" s="993"/>
      <c r="AR254" s="993"/>
      <c r="AS254" s="993"/>
      <c r="AT254" s="993"/>
      <c r="AU254" s="993"/>
      <c r="AV254" s="993"/>
      <c r="AW254" s="993"/>
      <c r="AX254" s="993"/>
      <c r="AY254" s="993"/>
      <c r="AZ254" s="993"/>
      <c r="BA254" s="993"/>
      <c r="BB254" s="993"/>
      <c r="BC254" s="993"/>
      <c r="BD254" s="993"/>
      <c r="BE254" s="993"/>
      <c r="BF254" s="993"/>
      <c r="BG254" s="993"/>
    </row>
    <row r="255" spans="1:186" ht="39.75" customHeight="1" x14ac:dyDescent="0.15">
      <c r="E255" s="461">
        <v>15</v>
      </c>
      <c r="AA255" s="481"/>
      <c r="AB255" s="1074" t="s">
        <v>1730</v>
      </c>
      <c r="AC255" s="1074"/>
      <c r="AD255" s="1074"/>
      <c r="AE255" s="1074"/>
      <c r="AF255" s="1074"/>
      <c r="AG255" s="1075"/>
      <c r="AH255" s="1075"/>
      <c r="AI255" s="1075"/>
      <c r="AJ255" s="1075"/>
      <c r="AK255" s="1075"/>
      <c r="AL255" s="1075"/>
      <c r="AM255" s="1075"/>
      <c r="AN255" s="1075"/>
      <c r="AO255" s="1075"/>
      <c r="AP255" s="1075"/>
      <c r="AQ255" s="1075"/>
      <c r="AR255" s="1075"/>
      <c r="AS255" s="1075"/>
      <c r="AT255" s="1075"/>
      <c r="AU255" s="1075"/>
      <c r="AV255" s="1075"/>
      <c r="AW255" s="1075"/>
      <c r="AX255" s="1075"/>
      <c r="AY255" s="1075"/>
      <c r="AZ255" s="1075"/>
      <c r="BA255" s="1075"/>
      <c r="BB255" s="1075"/>
      <c r="BC255" s="1075"/>
      <c r="BD255" s="1075"/>
      <c r="BE255" s="1075"/>
      <c r="BF255" s="1075"/>
      <c r="BG255" s="1075"/>
    </row>
    <row r="256" spans="1:186" ht="14.65" hidden="1" customHeight="1" x14ac:dyDescent="0.15">
      <c r="E256" s="461">
        <v>15</v>
      </c>
      <c r="T256" s="353" t="b">
        <f>ROW(W256)&gt;ROW(W$256)</f>
        <v>0</v>
      </c>
      <c r="W256" s="17" t="s">
        <v>172</v>
      </c>
      <c r="AA256" s="482" t="s">
        <v>173</v>
      </c>
      <c r="AB256" s="1020"/>
      <c r="AC256" s="978"/>
      <c r="AD256" s="978"/>
      <c r="AE256" s="978"/>
      <c r="AF256" s="978"/>
      <c r="AG256" s="978"/>
      <c r="AH256" s="978"/>
      <c r="AI256" s="978"/>
      <c r="AJ256" s="978"/>
      <c r="AK256" s="978"/>
      <c r="AL256" s="978"/>
      <c r="AM256" s="978"/>
      <c r="AN256" s="978"/>
      <c r="AO256" s="978"/>
      <c r="AP256" s="978"/>
      <c r="AQ256" s="978"/>
      <c r="AR256" s="978"/>
      <c r="AS256" s="978"/>
      <c r="AT256" s="978"/>
      <c r="AU256" s="978"/>
      <c r="AV256" s="978"/>
      <c r="AW256" s="978"/>
      <c r="AX256" s="978"/>
      <c r="AY256" s="978"/>
      <c r="AZ256" s="978"/>
      <c r="BA256" s="978"/>
      <c r="BB256" s="978"/>
      <c r="BC256" s="978"/>
      <c r="BD256" s="978"/>
      <c r="BE256" s="978"/>
      <c r="BF256" s="978"/>
      <c r="BG256" s="1021"/>
    </row>
    <row r="257" spans="5:180" ht="65.45" customHeight="1" x14ac:dyDescent="0.15">
      <c r="E257" s="461">
        <v>15</v>
      </c>
      <c r="T257" s="353" t="b">
        <f>ROW(W257)&gt;ROW(W$256)</f>
        <v>1</v>
      </c>
      <c r="Y257" s="17" t="s">
        <v>225</v>
      </c>
      <c r="AA257" s="482" t="s">
        <v>173</v>
      </c>
      <c r="AB257" s="1076" t="s">
        <v>1731</v>
      </c>
      <c r="AC257" s="988"/>
      <c r="AD257" s="988"/>
      <c r="AE257" s="988"/>
      <c r="AF257" s="988"/>
      <c r="AG257" s="978"/>
      <c r="AH257" s="978"/>
      <c r="AI257" s="978"/>
      <c r="AJ257" s="978"/>
      <c r="AK257" s="978"/>
      <c r="AL257" s="978"/>
      <c r="AM257" s="988"/>
      <c r="AN257" s="988"/>
      <c r="AO257" s="988"/>
      <c r="AP257" s="988"/>
      <c r="AQ257" s="988"/>
      <c r="AR257" s="988"/>
      <c r="AS257" s="988"/>
      <c r="AT257" s="988"/>
      <c r="AU257" s="988"/>
      <c r="AV257" s="988"/>
      <c r="AW257" s="988"/>
      <c r="AX257" s="988"/>
      <c r="AY257" s="988"/>
      <c r="AZ257" s="988"/>
      <c r="BA257" s="988"/>
      <c r="BB257" s="988"/>
      <c r="BC257" s="988"/>
      <c r="BD257" s="988"/>
      <c r="BE257" s="988"/>
      <c r="BF257" s="988"/>
      <c r="BG257" s="1077"/>
    </row>
    <row r="258" spans="5:180" ht="14.65" customHeight="1" x14ac:dyDescent="0.15">
      <c r="E258" s="461">
        <v>15</v>
      </c>
      <c r="W258" s="517" t="s">
        <v>419</v>
      </c>
      <c r="AB258" s="1072" t="s">
        <v>420</v>
      </c>
      <c r="AC258" s="1073"/>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187"/>
    </row>
    <row r="259" spans="5:180" ht="10.9" customHeight="1" x14ac:dyDescent="0.15">
      <c r="E259" s="461">
        <v>11.25</v>
      </c>
      <c r="FX259" s="22"/>
    </row>
  </sheetData>
  <sheetProtection formatColumns="0" formatRows="0" insertRows="0" deleteColumns="0" deleteRows="0" sort="0" autoFilter="0"/>
  <mergeCells count="97">
    <mergeCell ref="X197:X252"/>
    <mergeCell ref="Z197:Z252"/>
    <mergeCell ref="AA210:AA211"/>
    <mergeCell ref="Y210:Y211"/>
    <mergeCell ref="AB197:AC197"/>
    <mergeCell ref="AB198:AC198"/>
    <mergeCell ref="AB199:AC199"/>
    <mergeCell ref="AB200:AC200"/>
    <mergeCell ref="Y238:Y243"/>
    <mergeCell ref="AA238:AA243"/>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58:AC258"/>
    <mergeCell ref="AB255:BG255"/>
    <mergeCell ref="AB254:BG254"/>
    <mergeCell ref="Y70:Y75"/>
    <mergeCell ref="AA70:AA75"/>
    <mergeCell ref="AB256:BG256"/>
    <mergeCell ref="AB257:BG257"/>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AD210 AE210 AG210 AH210 AJ210 AK210 AM210 AN210 AP210 AQ210 AS210 AT210 AV210 AW210 AY210 AZ210 BB210 BC210 BE210 BF210 BH210 BI210 BK210 BL210 BN210 BO210 BQ210 BR210 BT210 BU210 BW210 BX210 BZ210 CA210 CC210 CD210 CF210 CG210 CI210 CJ210 CL210 CM210 CO210 CP210 CR210 CS210 CU210 CV210 CX210 CY210 DA210 DB210 DD210 DE210 DG210 DH210 DJ210 DK210 DM210 DN210 DP210 DQ210 DS210 DT210 DV210 DW210 DY210 DZ210 EB210 EC210 EE210 EF210 EH210 EI210 EK210 EL210 EN210 EO210 EQ210 ER210 ET210 EU210 EW210 EX210 EZ210 FA210 FC210 FD210 FF210 FG210 FI210 FJ210 FL210 FM210 FO210 FP210 FR210 FS210 FU210 FV210 AD215 AE215 AG215 AH215 AJ215 AK215 AM215 AN215 AP215 AQ215 AS215 AT215 AV215 AW215 AY215 AZ215 BB215 BC215 BE215 BF215 BH215 BI215 BK215 BL215 BN215 BO215 BQ215 BR215 BT215 BU215 BW215 BX215 BZ215 CA215 CC215 CD215 CF215 CG215 CI215 CJ215 CL215 CM215 CO215 CP215 CR215 CS215 CU215 CV215 CX215 CY215 DA215 DB215 DD215 DE215 DG215 DH215 DJ215 DK215 DM215 DN215 DP215 DQ215 DS215 DT215 DV215 DW215 DY215 DZ215 EB215 EC215 EE215 EF215 EH215 EI215 EK215 EL215 EN215 EO215 EQ215 ER215 ET215 EU215 EW215 EX215 EZ215 FA215 FC215 FD215 FF215 FG215 FI215 FJ215 FL215 FM215 FO215 FP215 FR215 FS215 FU215 FV215 AD216 AE216 AG216 AH216 AJ216 AK216 AM216 AN216 AP216 AQ216 AS216 AT216 AV216 AW216 AY216 AZ216 BB216 BC216 BE216 BF216 BH216 BI216 BK216 BL216 BN216 BO216 BQ216 BR216 BT216 BU216 BW216 BX216 BZ216 CA216 CC216 CD216 CF216 CG216 CI216 CJ216 CL216 CM216 CO216 CP216 CR216 CS216 CU216 CV216 CX216 CY216 DA216 DB216 DD216 DE216 DG216 DH216 DJ216 DK216 DM216 DN216 DP216 DQ216 DS216 DT216 DV216 DW216 DY216 DZ216 EB216 EC216 EE216 EF216 EH216 EI216 EK216 EL216 EN216 EO216 EQ216 ER216 ET216 EU216 EW216 EX216 EZ216 FA216 FC216 FD216 FF216 FG216 FI216 FJ216 FL216 FM216 FO216 FP216 FR216 FS216 FU216 FV216 AD218 AE218 AG218 AH218 AJ218 AK218 AM218 AN218 AP218 AQ218 AS218 AT218 AV218 AW218 AY218 AZ218 BB218 BC218 BE218 BF218 BH218 BI218 BK218 BL218 BN218 BO218 BQ218 BR218 BT218 BU218 BW218 BX218 BZ218 CA218 CC218 CD218 CF218 CG218 CI218 CJ218 CL218 CM218 CO218 CP218 CR218 CS218 CU218 CV218 CX218 CY218 DA218 DB218 DD218 DE218 DG218 DH218 DJ218 DK218 DM218 DN218 DP218 DQ218 DS218 DT218 DV218 DW218 DY218 DZ218 EB218 EC218 EE218 EF218 EH218 EI218 EK218 EL218 EN218 EO218 EQ218 ER218 ET218 EU218 EW218 EX218 EZ218 FA218 FC218 FD218 FF218 FG218 FI218 FJ218 FL218 FM218 FO218 FP218 FR218 FS218 FU218 FV218 AD219 AE219 AG219 AH219 AJ219 AK219 AM219 AN219 AP219 AQ219 AS219 AT219 AV219 AW219 AY219 AZ219 BB219 BC219 BE219 BF219 BH219 BI219 BK219 BL219 BN219 BO219 BQ219 BR219 BT219 BU219 BW219 BX219 BZ219 CA219 CC219 CD219 CF219 CG219 CI219 CJ219 CL219 CM219 CO219 CP219 CR219 CS219 CU219 CV219 CX219 CY219 DA219 DB219 DD219 DE219 DG219 DH219 DJ219 DK219 DM219 DN219 DP219 DQ219 DS219 DT219 DV219 DW219 DY219 DZ219 EB219 EC219 EE219 EF219 EH219 EI219 EK219 EL219 EN219 EO219 EQ219 ER219 ET219 EU219 EW219 EX219 EZ219 FA219 FC219 FD219 FF219 FG219 FI219 FJ219 FL219 FM219 FO219 FP219 FR219 FS219 FU219 FV219 AD221 AE221 AG221 AH221 AJ221 AK221 AM221 AN221 AP221 AQ221 AS221 AT221 AV221 AW221 AY221 AZ221 BB221 BC221 BE221 BF221 BH221 BI221 BK221 BL221 BN221 BO221 BQ221 BR221 BT221 BU221 BW221 BX221 BZ221 CA221 CC221 CD221 CF221 CG221 CI221 CJ221 CL221 CM221 CO221 CP221 CR221 CS221 CU221 CV221 CX221 CY221 DA221 DB221 DD221 DE221 DG221 DH221 DJ221 DK221 DM221 DN221 DP221 DQ221 DS221 DT221 DV221 DW221 DY221 DZ221 EB221 EC221 EE221 EF221 EH221 EI221 EK221 EL221 EN221 EO221 EQ221 ER221 ET221 EU221 EW221 EX221 EZ221 FA221 FC221 FD221 FF221 FG221 FI221 FJ221 FL221 FM221 FO221 FP221 FR221 FS221 FU221 FV221 AD222 AE222 AG222 AH222 AJ222 AK222 AM222 AN222 AP222 AQ222 AS222 AT222 AV222 AW222 AY222 AZ222 BB222 BC222 BE222 BF222 BH222 BI222 BK222 BL222 BN222 BO222 BQ222 BR222 BT222 BU222 BW222 BX222 BZ222 CA222 CC222 CD222 CF222 CG222 CI222 CJ222 CL222 CM222 CO222 CP222 CR222 CS222 CU222 CV222 CX222 CY222 DA222 DB222 DD222 DE222 DG222 DH222 DJ222 DK222 DM222 DN222 DP222 DQ222 DS222 DT222 DV222 DW222 DY222 DZ222 EB222 EC222 EE222 EF222 EH222 EI222 EK222 EL222 EN222 EO222 EQ222 ER222 ET222 EU222 EW222 EX222 EZ222 FA222 FC222 FD222 FF222 FG222 FI222 FJ222 FL222 FM222 FO222 FP222 FR222 FS222 FU222 FV222 AD224 AE224 AG224 AH224 AJ224 AK224 AM224 AN224 AP224 AQ224 AS224 AT224 AV224 AW224 AY224 AZ224 BB224 BC224 BE224 BF224 BH224 BI224 BK224 BL224 BN224 BO224 BQ224 BR224 BT224 BU224 BW224 BX224 BZ224 CA224 CC224 CD224 CF224 CG224 CI224 CJ224 CL224 CM224 CO224 CP224 CR224 CS224 CU224 CV224 CX224 CY224 DA224 DB224 DD224 DE224 DG224 DH224 DJ224 DK224 DM224 DN224 DP224 DQ224 DS224 DT224 DV224 DW224 DY224 DZ224 EB224 EC224 EE224 EF224 EH224 EI224 EK224 EL224 EN224 EO224 EQ224 ER224 ET224 EU224 EW224 EX224 EZ224 FA224 FC224 FD224 FF224 FG224 FI224 FJ224 FL224 FM224 FO224 FP224 FR224 FS224 FU224 FV224 AD225 AE225 AG225 AH225 AJ225 AK225 AM225 AN225 AP225 AQ225 AS225 AT225 AV225 AW225 AY225 AZ225 BB225 BC225 BE225 BF225 BH225 BI225 BK225 BL225 BN225 BO225 BQ225 BR225 BT225 BU225 BW225 BX225 BZ225 CA225 CC225 CD225 CF225 CG225 CI225 CJ225 CL225 CM225 CO225 CP225 CR225 CS225 CU225 CV225 CX225 CY225 DA225 DB225 DD225 DE225 DG225 DH225 DJ225 DK225 DM225 DN225 DP225 DQ225 DS225 DT225 DV225 DW225 DY225 DZ225 EB225 EC225 EE225 EF225 EH225 EI225 EK225 EL225 EN225 EO225 EQ225 ER225 ET225 EU225 EW225 EX225 EZ225 FA225 FC225 FD225 FF225 FG225 FI225 FJ225 FL225 FM225 FO225 FP225 FR225 FS225 FU225 FV225 AD227 AE227 AG227 AH227 AJ227 AK227 AM227 AN227 AP227 AQ227 AS227 AT227 AV227 AW227 AY227 AZ227 BB227 BC227 BE227 BF227 BH227 BI227 BK227 BL227 BN227 BO227 BQ227 BR227 BT227 BU227 BW227 BX227 BZ227 CA227 CC227 CD227 CF227 CG227 CI227 CJ227 CL227 CM227 CO227 CP227 CR227 CS227 CU227 CV227 CX227 CY227 DA227 DB227 DD227 DE227 DG227 DH227 DJ227 DK227 DM227 DN227 DP227 DQ227 DS227 DT227 DV227 DW227 DY227 DZ227 EB227 EC227 EE227 EF227 EH227 EI227 EK227 EL227 EN227 EO227 EQ227 ER227 ET227 EU227 EW227 EX227 EZ227 FA227 FC227 FD227 FF227 FG227 FI227 FJ227 FL227 FM227 FO227 FP227 FR227 FS227 FU227 FV227 AD228 AE228 AG228 AH228 AJ228 AK228 AM228 AN228 AP228 AQ228 AS228 AT228 AV228 AW228 AY228 AZ228 BB228 BC228 BE228 BF228 BH228 BI228 BK228 BL228 BN228 BO228 BQ228 BR228 BT228 BU228 BW228 BX228 BZ228 CA228 CC228 CD228 CF228 CG228 CI228 CJ228 CL228 CM228 CO228 CP228 CR228 CS228 CU228 CV228 CX228 CY228 DA228 DB228 DD228 DE228 DG228 DH228 DJ228 DK228 DM228 DN228 DP228 DQ228 DS228 DT228 DV228 DW228 DY228 DZ228 EB228 EC228 EE228 EF228 EH228 EI228 EK228 EL228 EN228 EO228 EQ228 ER228 ET228 EU228 EW228 EX228 EZ228 FA228 FC228 FD228 FF228 FG228 FI228 FJ228 FL228 FM228 FO228 FP228 FR228 FS228 FU228 FV228 AD230 AE230 AG230 AH230 AJ230 AK230 AM230 AN230 AP230 AQ230 AS230 AT230 AV230 AW230 AY230 AZ230 BB230 BC230 BE230 BF230 BH230 BI230 BK230 BL230 BN230 BO230 BQ230 BR230 BT230 BU230 BW230 BX230 BZ230 CA230 CC230 CD230 CF230 CG230 CI230 CJ230 CL230 CM230 CO230 CP230 CR230 CS230 CU230 CV230 CX230 CY230 DA230 DB230 DD230 DE230 DG230 DH230 DJ230 DK230 DM230 DN230 DP230 DQ230 DS230 DT230 DV230 DW230 DY230 DZ230 EB230 EC230 EE230 EF230 EH230 EI230 EK230 EL230 EN230 EO230 EQ230 ER230 ET230 EU230 EW230 EX230 EZ230 FA230 FC230 FD230 FF230 FG230 FI230 FJ230 FL230 FM230 FO230 FP230 FR230 FS230 FU230 FV230 AD231 AE231 AG231 AH231 AJ231 AK231 AM231 AN231 AP231 AQ231 AS231 AT231 AV231 AW231 AY231 AZ231 BB231 BC231 BE231 BF231 BH231 BI231 BK231 BL231 BN231 BO231 BQ231 BR231 BT231 BU231 BW231 BX231 BZ231 CA231 CC231 CD231 CF231 CG231 CI231 CJ231 CL231 CM231 CO231 CP231 CR231 CS231 CU231 CV231 CX231 CY231 DA231 DB231 DD231 DE231 DG231 DH231 DJ231 DK231 DM231 DN231 DP231 DQ231 DS231 DT231 DV231 DW231 DY231 DZ231 EB231 EC231 EE231 EF231 EH231 EI231 EK231 EL231 EN231 EO231 EQ231 ER231 ET231 EU231 EW231 EX231 EZ231 FA231 FC231 FD231 FF231 FG231 FI231 FJ231 FL231 FM231 FO231 FP231 FR231 FS231 FU231 FV231 AD233 AE233 AG233 AH233 AJ233 AK233 AM233 AN233 AP233 AQ233 AS233 AT233 AV233 AW233 AY233 AZ233 BB233 BC233 BE233 BF233 BH233 BI233 BK233 BL233 BN233 BO233 BQ233 BR233 BT233 BU233 BW233 BX233 BZ233 CA233 CC233 CD233 CF233 CG233 CI233 CJ233 CL233 CM233 CO233 CP233 CR233 CS233 CU233 CV233 CX233 CY233 DA233 DB233 DD233 DE233 DG233 DH233 DJ233 DK233 DM233 DN233 DP233 DQ233 DS233 DT233 DV233 DW233 DY233 DZ233 EB233 EC233 EE233 EF233 EH233 EI233 EK233 EL233 EN233 EO233 EQ233 ER233 ET233 EU233 EW233 EX233 EZ233 FA233 FC233 FD233 FF233 FG233 FI233 FJ233 FL233 FM233 FO233 FP233 FR233 FS233 FU233 FV233 AD234 AE234 AG234 AH234 AJ234 AK234 AM234 AN234 AP234 AQ234 AS234 AT234 AV234 AW234 AY234 AZ234 BB234 BC234 BE234 BF234 BH234 BI234 BK234 BL234 BN234 BO234 BQ234 BR234 BT234 BU234 BW234 BX234 BZ234 CA234 CC234 CD234 CF234 CG234 CI234 CJ234 CL234 CM234 CO234 CP234 CR234 CS234 CU234 CV234 CX234 CY234 DA234 DB234 DD234 DE234 DG234 DH234 DJ234 DK234 DM234 DN234 DP234 DQ234 DS234 DT234 DV234 DW234 DY234 DZ234 EB234 EC234 EE234 EF234 EH234 EI234 EK234 EL234 EN234 EO234 EQ234 ER234 ET234 EU234 EW234 EX234 EZ234 FA234 FC234 FD234 FF234 FG234 FI234 FJ234 FL234 FM234 FO234 FP234 FR234 FS234 FU234 FV234 AD236 AE236 AG236 AH236 AJ236 AK236 AM236 AN236 AP236 AQ236 AS236 AT236 AV236 AW236 AY236 AZ236 BB236 BC236 BE236 BF236 BH236 BI236 BK236 BL236 BN236 BO236 BQ236 BR236 BT236 BU236 BW236 BX236 BZ236 CA236 CC236 CD236 CF236 CG236 CI236 CJ236 CL236 CM236 CO236 CP236 CR236 CS236 CU236 CV236 CX236 CY236 DA236 DB236 DD236 DE236 DG236 DH236 DJ236 DK236 DM236 DN236 DP236 DQ236 DS236 DT236 DV236 DW236 DY236 DZ236 EB236 EC236 EE236 EF236 EH236 EI236 EK236 EL236 EN236 EO236 EQ236 ER236 ET236 EU236 EW236 EX236 EZ236 FA236 FC236 FD236 FF236 FG236 FI236 FJ236 FL236 FM236 FO236 FP236 FR236 FS236 FU236 FV236 AD237 AE237 AG237 AH237 AJ237 AK237 AM237 AN237 AP237 AQ237 AS237 AT237 AV237 AW237 AY237 AZ237 BB237 BC237 BE237 BF237 BH237 BI237 BK237 BL237 BN237 BO237 BQ237 BR237 BT237 BU237 BW237 BX237 BZ237 CA237 CC237 CD237 CF237 CG237 CI237 CJ237 CL237 CM237 CO237 CP237 CR237 CS237 CU237 CV237 CX237 CY237 DA237 DB237 DD237 DE237 DG237 DH237 DJ237 DK237 DM237 DN237 DP237 DQ237 DS237 DT237 DV237 DW237 DY237 DZ237 EB237 EC237 EE237 EF237 EH237 EI237 EK237 EL237 EN237 EO237 EQ237 ER237 ET237 EU237 EW237 EX237 EZ237 FA237 FC237 FD237 FF237 FG237 FI237 FJ237 FL237 FM237 FO237 FP237 FR237 FS237 FU237 FV237 AD238 AE238 AG238 AH238 AJ238 AK238 AM238 AN238 AP238 AQ238 AS238 AT238 AV238 AW238 AY238 AZ238 BB238 BC238 BE238 BF238 BH238 BI238 BK238 BL238 BN238 BO238 BQ238 BR238 BT238 BU238 BW238 BX238 BZ238 CA238 CC238 CD238 CF238 CG238 CI238 CJ238 CL238 CM238 CO238 CP238 CR238 CS238 CU238 CV238 CX238 CY238 DA238 DB238 DD238 DE238 DG238 DH238 DJ238 DK238 DM238 DN238 DP238 DQ238 DS238 DT238 DV238 DW238 DY238 DZ238 EB238 EC238 EE238 EF238 EH238 EI238 EK238 EL238 EN238 EO238 EQ238 ER238 ET238 EU238 EW238 EX238 EZ238 FA238 FC238 FD238 FF238 FG238 FI238 FJ238 FL238 FM238 FO238 FP238 FR238 FS238 FU238 FV238 AD239 AE239 AG239 AH239 AJ239 AK239 AM239 AN239 AP239 AQ239 AS239 AT239 AV239 AW239 AY239 AZ239 BB239 BC239 BE239 BF239 BH239 BI239 BK239 BL239 BN239 BO239 BQ239 BR239 BT239 BU239 BW239 BX239 BZ239 CA239 CC239 CD239 CF239 CG239 CI239 CJ239 CL239 CM239 CO239 CP239 CR239 CS239 CU239 CV239 CX239 CY239 DA239 DB239 DD239 DE239 DG239 DH239 DJ239 DK239 DM239 DN239 DP239 DQ239 DS239 DT239 DV239 DW239 DY239 DZ239 EB239 EC239 EE239 EF239 EH239 EI239 EK239 EL239 EN239 EO239 EQ239 ER239 ET239 EU239 EW239 EX239 EZ239 FA239 FC239 FD239 FF239 FG239 FI239 FJ239 FL239 FM239 FO239 FP239 FR239 FS239 FU239 FV239 AD240 AE240 AG240 AH240 AJ240 AK240 AM240 AN240 AP240 AQ240 AS240 AT240 AV240 AW240 AY240 AZ240 BB240 BC240 BE240 BF240 BH240 BI240 BK240 BL240 BN240 BO240 BQ240 BR240 BT240 BU240 BW240 BX240 BZ240 CA240 CC240 CD240 CF240 CG240 CI240 CJ240 CL240 CM240 CO240 CP240 CR240 CS240 CU240 CV240 CX240 CY240 DA240 DB240 DD240 DE240 DG240 DH240 DJ240 DK240 DM240 DN240 DP240 DQ240 DS240 DT240 DV240 DW240 DY240 DZ240 EB240 EC240 EE240 EF240 EH240 EI240 EK240 EL240 EN240 EO240 EQ240 ER240 ET240 EU240 EW240 EX240 EZ240 FA240 FC240 FD240 FF240 FG240 FI240 FJ240 FL240 FM240 FO240 FP240 FR240 FS240 FU240 FV240 AD242 AE242 AG242 AH242 AJ242 AK242 AM242 AN242 AP242 AQ242 AS242 AT242 AV242 AW242 AY242 AZ242 BB242 BC242 BE242 BF242 BH242 BI242 BK242 BL242 BN242 BO242 BQ242 BR242 BT242 BU242 BW242 BX242 BZ242 CA242 CC242 CD242 CF242 CG242 CI242 CJ242 CL242 CM242 CO242 CP242 CR242 CS242 CU242 CV242 CX242 CY242 DA242 DB242 DD242 DE242 DG242 DH242 DJ242 DK242 DM242 DN242 DP242 DQ242 DS242 DT242 DV242 DW242 DY242 DZ242 EB242 EC242 EE242 EF242 EH242 EI242 EK242 EL242 EN242 EO242 EQ242 ER242 ET242 EU242 EW242 EX242 EZ242 FA242 FC242 FD242 FF242 FG242 FI242 FJ242 FL242 FM242 FO242 FP242 FR242 FS242 FU242 FV242 AD243 AE243 AG243 AH243 AJ243 AK243 AM243 AN243 AP243 AQ243 AS243 AT243 AV243 AW243 AY243 AZ243 BB243 BC243 BE243 BF243 BH243 BI243 BK243 BL243 BN243 BO243 BQ243 BR243 BT243 BU243 BW243 BX243 BZ243 CA243 CC243 CD243 CF243 CG243 CI243 CJ243 CL243 CM243 CO243 CP243 CR243 CS243 CU243 CV243 CX243 CY243 DA243 DB243 DD243 DE243 DG243 DH243 DJ243 DK243 DM243 DN243 DP243 DQ243 DS243 DT243 DV243 DW243 DY243 DZ243 EB243 EC243 EE243 EF243 EH243 EI243 EK243 EL243 EN243 EO243 EQ243 ER243 ET243 EU243 EW243 EX243 EZ243 FA243 FC243 FD243 FF243 FG243 FI243 FJ243 FL243 FM243 FO243 FP243 FR243 FS243 FU243 FV243 AD246 AE246 AG246 AH246 AJ246 AK246 AM246 AN246 AP246 AQ246 AS246 AT246 AV246 AW246 AY246 AZ246 BB246 BC246 BE246 BF246 BH246 BI246 BK246 BL246 BN246 BO246 BQ246 BR246 BT246 BU246 BW246 BX246 BZ246 CA246 CC246 CD246 CF246 CG246 CI246 CJ246 CL246 CM246 CO246 CP246 CR246 CS246 CU246 CV246 CX246 CY246 DA246 DB246 DD246 DE246 DG246 DH246 DJ246 DK246 DM246 DN246 DP246 DQ246 DS246 DT246 DV246 DW246 DY246 DZ246 EB246 EC246 EE246 EF246 EH246 EI246 EK246 EL246 EN246 EO246 EQ246 ER246 ET246 EU246 EW246 EX246 EZ246 FA246 FC246 FD246 FF246 FG246 FI246 FJ246 FL246 FM246 FO246 FP246 FR246 FS246 FU246 FV246 AD247 AE247 AG247 AH247 AJ247 AK247 AM247 AN247 AP247 AQ247 AS247 AT247 AV247 AW247 AY247 AZ247 BB247 BC247 BE247 BF247 BH247 BI247 BK247 BL247 BN247 BO247 BQ247 BR247 BT247 BU247 BW247 BX247 BZ247 CA247 CC247 CD247 CF247 CG247 CI247 CJ247 CL247 CM247 CO247 CP247 CR247 CS247 CU247 CV247 CX247 CY247 DA247 DB247 DD247 DE247 DG247 DH247 DJ247 DK247 DM247 DN247 DP247 DQ247 DS247 DT247 DV247 DW247 DY247 DZ247 EB247 EC247 EE247 EF247 EH247 EI247 EK247 EL247 EN247 EO247 EQ247 ER247 ET247 EU247 EW247 EX247 EZ247 FA247 FC247 FD247 FF247 FG247 FI247 FJ247 FL247 FM247 FO247 FP247 FR247 FS247 FU247 FV247 AD250 AE250 AG250 AH250 AJ250 AK250 AM250 AN250 AP250 AQ250 AS250 AT250 AV250 AW250 AY250 AZ250 BB250 BC250 BE250 BF250 BH250 BI250 BK250 BL250 BN250 BO250 BQ250 BR250 BT250 BU250 BW250 BX250 BZ250 CA250 CC250 CD250 CF250 CG250 CI250 CJ250 CL250 CM250 CO250 CP250 CR250 CS250 CU250 CV250 CX250 CY250 DA250 DB250 DD250 DE250 DG250 DH250 DJ250 DK250 DM250 DN250 DP250 DQ250 DS250 DT250 DV250 DW250 DY250 DZ250 EB250 EC250 EE250 EF250 EH250 EI250 EK250 EL250 EN250 EO250 EQ250 ER250 ET250 EU250 EW250 EX250 EZ250 FA250 FC250 FD250 FF250 FG250 FI250 FJ250 FL250 FM250 FO250 FP250 FR250 FS250 FU250 FV250"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11ED3-5D98-DB88-7CC8-1F8C673F8ADE}">
  <sheetPr>
    <tabColor rgb="FF92D050"/>
    <outlinePr summaryBelow="0"/>
  </sheetPr>
  <dimension ref="A1:AV3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8" hidden="1" customWidth="1"/>
    <col min="2" max="2" width="11" style="278" hidden="1" customWidth="1"/>
    <col min="3" max="4" width="4" style="278" hidden="1" customWidth="1"/>
    <col min="5" max="5" width="4" style="504"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4" hidden="1"/>
    <col min="47" max="48" width="9.140625" style="504" hidden="1"/>
  </cols>
  <sheetData>
    <row r="1" spans="1:48" ht="15" hidden="1" customHeight="1" x14ac:dyDescent="0.25">
      <c r="E1" s="278"/>
      <c r="F1" s="278" t="s">
        <v>320</v>
      </c>
      <c r="I1" s="278" t="s">
        <v>330</v>
      </c>
      <c r="J1" s="278" t="s">
        <v>355</v>
      </c>
      <c r="T1" s="353" t="s">
        <v>92</v>
      </c>
      <c r="U1" s="353" t="s">
        <v>97</v>
      </c>
      <c r="V1" s="353" t="s">
        <v>93</v>
      </c>
      <c r="W1" s="353" t="s">
        <v>94</v>
      </c>
      <c r="X1" s="353" t="s">
        <v>95</v>
      </c>
      <c r="Y1" s="355" t="s">
        <v>322</v>
      </c>
      <c r="Z1" s="353" t="s">
        <v>99</v>
      </c>
      <c r="AA1" s="355" t="s">
        <v>96</v>
      </c>
      <c r="AC1" s="354" t="s">
        <v>98</v>
      </c>
      <c r="AR1" s="694" t="s">
        <v>323</v>
      </c>
      <c r="AS1" s="694" t="s">
        <v>324</v>
      </c>
      <c r="AT1" s="694" t="s">
        <v>325</v>
      </c>
      <c r="AU1" s="504" t="s">
        <v>328</v>
      </c>
      <c r="AV1" s="504" t="s">
        <v>329</v>
      </c>
    </row>
    <row r="2" spans="1:48" ht="15" hidden="1" customHeight="1" x14ac:dyDescent="0.25">
      <c r="B2" s="341"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8"/>
    </row>
    <row r="4" spans="1:48" ht="15" hidden="1" customHeight="1" x14ac:dyDescent="0.25">
      <c r="E4" s="278"/>
    </row>
    <row r="5" spans="1:48" s="504" customFormat="1" ht="15" hidden="1" customHeight="1" x14ac:dyDescent="0.25">
      <c r="A5" s="278"/>
      <c r="B5" s="278"/>
      <c r="C5" s="278"/>
      <c r="D5" s="278"/>
      <c r="E5" s="504" t="s">
        <v>19</v>
      </c>
      <c r="AA5" s="504">
        <v>3</v>
      </c>
      <c r="AB5" s="504">
        <v>11</v>
      </c>
      <c r="AC5" s="504">
        <v>75</v>
      </c>
      <c r="AD5" s="504">
        <v>11.29</v>
      </c>
      <c r="AE5" s="504">
        <v>13</v>
      </c>
      <c r="AF5" s="504">
        <v>13</v>
      </c>
      <c r="AG5" s="504">
        <v>13</v>
      </c>
      <c r="AH5" s="504">
        <v>15.14</v>
      </c>
      <c r="AI5" s="504">
        <v>13</v>
      </c>
      <c r="AJ5" s="504">
        <v>13</v>
      </c>
      <c r="AK5" s="504">
        <v>13</v>
      </c>
      <c r="AL5" s="504">
        <v>23.57</v>
      </c>
      <c r="AM5" s="504">
        <v>20</v>
      </c>
      <c r="AN5" s="504">
        <v>20</v>
      </c>
      <c r="AO5" s="504">
        <v>32.71</v>
      </c>
      <c r="AP5" s="504">
        <v>3</v>
      </c>
      <c r="AR5" s="694"/>
      <c r="AS5" s="694"/>
      <c r="AT5" s="694"/>
    </row>
    <row r="6" spans="1:48" ht="11.25" hidden="1" customHeight="1" x14ac:dyDescent="0.25">
      <c r="A6" s="278" t="s">
        <v>1732</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8" t="s">
        <v>358</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8" t="s">
        <v>359</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4" customFormat="1" ht="11.25" hidden="1" customHeight="1" x14ac:dyDescent="0.25">
      <c r="A10" s="656" t="s">
        <v>363</v>
      </c>
      <c r="AE10" s="671" cm="1">
        <f t="array" ref="AE10">AE7</f>
        <v>2024</v>
      </c>
      <c r="AF10" s="671" cm="1">
        <f t="array" ref="AF10">AF7</f>
        <v>2024</v>
      </c>
      <c r="AG10" s="671" cm="1">
        <f t="array" ref="AG10">AG7</f>
        <v>2024</v>
      </c>
      <c r="AH10" s="671" cm="1">
        <f t="array" ref="AH10">AH7</f>
        <v>2024</v>
      </c>
      <c r="AI10" s="671" cm="1">
        <f t="array" ref="AI10">AI7</f>
        <v>2025</v>
      </c>
      <c r="AJ10" s="671" cm="1">
        <f t="array" ref="AJ10">AJ7</f>
        <v>2026</v>
      </c>
      <c r="AK10" s="671" cm="1">
        <f t="array" ref="AK10">AK7</f>
        <v>2026</v>
      </c>
      <c r="AL10" s="671"/>
      <c r="AU10" s="504"/>
      <c r="AV10" s="504"/>
    </row>
    <row r="11" spans="1:48" s="694" customFormat="1" ht="11.25" hidden="1" customHeight="1" x14ac:dyDescent="0.25">
      <c r="A11" s="656" t="s">
        <v>364</v>
      </c>
      <c r="AE11" s="671" t="str" cm="1">
        <f t="array" ref="AE11">AE25</f>
        <v>Принято органом регулирования</v>
      </c>
      <c r="AF11" s="671" t="str" cm="1">
        <f t="array" ref="AF11">AF25</f>
        <v>Факт по данным организации</v>
      </c>
      <c r="AG11" s="671" t="str" cm="1">
        <f t="array" ref="AG11">AG25</f>
        <v>Факт, принятый органом регулирования</v>
      </c>
      <c r="AH11" s="671" t="str" cm="1">
        <f t="array" ref="AH11">AH25</f>
        <v>отклонение факта по данным организации к факту принятому органом регулирования</v>
      </c>
      <c r="AI11" s="671" t="str" cm="1">
        <f t="array" ref="AI11">AI25</f>
        <v>Принято органом регулирования</v>
      </c>
      <c r="AJ11" s="671" t="str" cm="1">
        <f t="array" ref="AJ11">AJ25</f>
        <v>Предложение организации</v>
      </c>
      <c r="AK11" s="671" t="str" cm="1">
        <f t="array" ref="AK11">AK25</f>
        <v>Принято органом регулирования</v>
      </c>
      <c r="AL11" s="67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4"/>
      <c r="AV11" s="504"/>
    </row>
    <row r="12" spans="1:48" s="694" customFormat="1" ht="11.25" hidden="1" customHeight="1" x14ac:dyDescent="0.25">
      <c r="A12" s="656" t="s">
        <v>365</v>
      </c>
      <c r="AE12" s="671"/>
      <c r="AF12" s="671"/>
      <c r="AG12" s="671"/>
      <c r="AH12" s="671"/>
      <c r="AI12" s="671"/>
      <c r="AJ12" s="671"/>
      <c r="AK12" s="671"/>
      <c r="AM12" s="694" t="str" cm="1">
        <f t="array" ref="AM12">AM24</f>
        <v>Указание на подтверждающие документы / URL-ссылка на копии подтверждающих документов</v>
      </c>
      <c r="AN12" s="694" t="str" cm="1">
        <f t="array" ref="AN12">AN24</f>
        <v>Ссылка на правовую норму (основание для принятия показателя в расчет тарифа)</v>
      </c>
      <c r="AO12" s="694"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4"/>
      <c r="AV12" s="504"/>
    </row>
    <row r="13" spans="1:48" s="694" customFormat="1" ht="11.25" hidden="1" customHeight="1" x14ac:dyDescent="0.25">
      <c r="A13" s="694" t="s">
        <v>337</v>
      </c>
      <c r="AC13" s="694" t="s">
        <v>325</v>
      </c>
      <c r="AE13" s="671"/>
      <c r="AF13" s="671"/>
      <c r="AG13" s="671"/>
      <c r="AH13" s="671"/>
      <c r="AI13" s="671"/>
      <c r="AJ13" s="671"/>
      <c r="AK13" s="671"/>
      <c r="AU13" s="504"/>
      <c r="AV13" s="504"/>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8" t="s">
        <v>366</v>
      </c>
      <c r="AC18" s="278" t="s">
        <v>367</v>
      </c>
    </row>
    <row r="19" spans="1:48" ht="11.25" hidden="1" customHeight="1" x14ac:dyDescent="0.25"/>
    <row r="20" spans="1:48" ht="11.25" hidden="1" customHeight="1" x14ac:dyDescent="0.25"/>
    <row r="21" spans="1:48" ht="14.65" customHeight="1" x14ac:dyDescent="0.25">
      <c r="E21" s="504">
        <v>15</v>
      </c>
      <c r="AC21" s="422" t="str" cm="1">
        <f t="array" ref="AC21">tpl_title</f>
        <v>Кемеровская область / 2026 / КАО "Азот" (ИНН:4205000908, КПП:997550001) / ДПР: 2024-2028</v>
      </c>
    </row>
    <row r="22" spans="1:48" ht="19.5" customHeight="1" x14ac:dyDescent="0.25">
      <c r="E22" s="504">
        <v>20</v>
      </c>
      <c r="AB22" s="226" t="s">
        <v>1733</v>
      </c>
      <c r="AC22" s="164"/>
      <c r="AD22" s="164"/>
      <c r="AE22" s="164"/>
      <c r="AF22" s="164"/>
      <c r="AG22" s="164"/>
      <c r="AH22" s="164"/>
      <c r="AI22" s="164"/>
      <c r="AJ22" s="164"/>
      <c r="AK22" s="164"/>
      <c r="AL22" s="164"/>
      <c r="AM22" s="164"/>
      <c r="AN22" s="164"/>
      <c r="AO22" s="164"/>
    </row>
    <row r="23" spans="1:48" ht="14.65" customHeight="1" x14ac:dyDescent="0.25">
      <c r="E23" s="504">
        <v>15</v>
      </c>
      <c r="AB23" s="73"/>
      <c r="AC23" s="73"/>
      <c r="AD23" s="73"/>
      <c r="AE23" s="73"/>
      <c r="AF23" s="73"/>
      <c r="AG23" s="73"/>
      <c r="AH23" s="73"/>
      <c r="AI23" s="73"/>
      <c r="AJ23" s="73"/>
      <c r="AK23" s="73"/>
      <c r="AL23" s="73"/>
      <c r="AM23" s="73"/>
      <c r="AN23" s="73"/>
      <c r="AO23" s="73"/>
    </row>
    <row r="24" spans="1:48" ht="25.5" customHeight="1" x14ac:dyDescent="0.25">
      <c r="E24" s="504">
        <v>26.25</v>
      </c>
      <c r="AB24" s="996" t="s">
        <v>21</v>
      </c>
      <c r="AC24" s="996" t="s">
        <v>367</v>
      </c>
      <c r="AD24" s="996" t="s">
        <v>368</v>
      </c>
      <c r="AE24" s="10" t="str">
        <f>god-2&amp;" год"</f>
        <v>2024 год</v>
      </c>
      <c r="AF24" s="727" t="str">
        <f>god-2&amp;" год"</f>
        <v>2024 год</v>
      </c>
      <c r="AG24" s="10" t="str">
        <f>god-2&amp;" год"</f>
        <v>2024 год</v>
      </c>
      <c r="AH24" s="10" t="str">
        <f>god-2&amp;" год"</f>
        <v>2024 год</v>
      </c>
      <c r="AI24" s="10" t="str">
        <f>god-1&amp;" год"</f>
        <v>2025 год</v>
      </c>
      <c r="AJ24" s="728" t="str">
        <f>god&amp;" год"</f>
        <v>2026 год</v>
      </c>
      <c r="AK24" s="10" t="str">
        <f>god&amp;" год"</f>
        <v>2026 год</v>
      </c>
      <c r="AL24" s="993" t="s">
        <v>1734</v>
      </c>
      <c r="AM24" s="1018" t="s">
        <v>1735</v>
      </c>
      <c r="AN24" s="1016" t="s">
        <v>553</v>
      </c>
      <c r="AO24" s="1016" t="s">
        <v>1736</v>
      </c>
    </row>
    <row r="25" spans="1:48" ht="77.45" customHeight="1" x14ac:dyDescent="0.25">
      <c r="E25" s="504">
        <v>79.5</v>
      </c>
      <c r="AB25" s="996"/>
      <c r="AC25" s="996"/>
      <c r="AD25" s="996"/>
      <c r="AE25" s="10" t="s">
        <v>360</v>
      </c>
      <c r="AF25" s="727" t="s">
        <v>470</v>
      </c>
      <c r="AG25" s="10" t="s">
        <v>471</v>
      </c>
      <c r="AH25" s="10" t="s">
        <v>1737</v>
      </c>
      <c r="AI25" s="10" t="s">
        <v>360</v>
      </c>
      <c r="AJ25" s="729" t="s">
        <v>361</v>
      </c>
      <c r="AK25" s="10" t="s">
        <v>360</v>
      </c>
      <c r="AL25" s="993"/>
      <c r="AM25" s="1018"/>
      <c r="AN25" s="1016"/>
      <c r="AO25" s="1016"/>
    </row>
    <row r="26" spans="1:48" ht="11.25" hidden="1" customHeight="1" x14ac:dyDescent="0.25">
      <c r="E26" s="504">
        <v>0</v>
      </c>
      <c r="AB26" s="531"/>
      <c r="AC26" s="522"/>
      <c r="AD26" s="522"/>
      <c r="AE26" s="62"/>
      <c r="AF26" s="62"/>
      <c r="AG26" s="62"/>
      <c r="AH26" s="62"/>
      <c r="AI26" s="62"/>
      <c r="AJ26" s="62"/>
      <c r="AK26" s="62"/>
      <c r="AL26" s="209"/>
      <c r="AM26" s="62"/>
      <c r="AN26" s="62"/>
      <c r="AO26" s="62"/>
    </row>
    <row r="27" spans="1:48" ht="14.65" hidden="1" customHeight="1" x14ac:dyDescent="0.25">
      <c r="E27" s="504">
        <v>15</v>
      </c>
      <c r="F27" s="17" cm="1">
        <f t="array" ref="F27">X27</f>
        <v>0</v>
      </c>
      <c r="G27" s="17" cm="1">
        <f t="array" ref="G27">INDEX('Общие сведения'!$AK$179:$AK$236,MATCH($X27,'Общие сведения'!$Z$179:$Z$236,0))</f>
        <v>0</v>
      </c>
      <c r="T27" s="353" t="b">
        <f>X27&gt;0</f>
        <v>0</v>
      </c>
      <c r="V27" s="278" t="s">
        <v>264</v>
      </c>
      <c r="X27" s="1078">
        <v>0</v>
      </c>
      <c r="Z27" s="1079"/>
      <c r="AB27" s="97" t="str" cm="1">
        <f t="array" ref="AB27">INDEX('Общие сведения'!$AG$179:$AG$236,MATCH($X27,'Общие сведения'!$Z$179:$Z$236,0))</f>
        <v xml:space="preserve">Тариф 0 () - </v>
      </c>
      <c r="AC27" s="165"/>
      <c r="AD27" s="165"/>
      <c r="AE27" s="165"/>
      <c r="AF27" s="165"/>
      <c r="AG27" s="165"/>
      <c r="AH27" s="165"/>
      <c r="AI27" s="165"/>
      <c r="AJ27" s="165"/>
      <c r="AK27" s="165"/>
      <c r="AL27" s="165"/>
      <c r="AM27" s="165"/>
      <c r="AN27" s="165"/>
      <c r="AO27" s="165"/>
    </row>
    <row r="28" spans="1:48" ht="14.65" hidden="1" customHeight="1" x14ac:dyDescent="0.25">
      <c r="E28" s="504">
        <v>15</v>
      </c>
      <c r="F28" s="3" cm="1">
        <f t="array" aca="1" ref="F28" ca="1">OFFSET(E28,-1,1)</f>
        <v>0</v>
      </c>
      <c r="I28" s="38" t="s">
        <v>331</v>
      </c>
      <c r="J28" s="38"/>
      <c r="K28" s="38"/>
      <c r="L28" s="38"/>
      <c r="M28" s="38"/>
      <c r="N28" s="38"/>
      <c r="O28" s="38"/>
      <c r="P28" s="38"/>
      <c r="Q28" s="38"/>
      <c r="R28" s="38"/>
      <c r="S28" s="38"/>
      <c r="T28" s="353" t="b" cm="1">
        <f t="array" ref="T28">T27</f>
        <v>0</v>
      </c>
      <c r="X28" s="1078"/>
      <c r="Z28" s="1079"/>
      <c r="AB28" s="160" t="s">
        <v>275</v>
      </c>
      <c r="AC28" s="132" t="s">
        <v>1738</v>
      </c>
      <c r="AD28" s="9" t="s">
        <v>828</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5"/>
      <c r="AN28" s="779"/>
      <c r="AO28" s="775"/>
      <c r="AR28" s="694" t="s">
        <v>538</v>
      </c>
    </row>
    <row r="29" spans="1:48" s="423" customFormat="1" ht="21.95" hidden="1" customHeight="1" x14ac:dyDescent="0.25">
      <c r="E29" s="505">
        <v>22.5</v>
      </c>
      <c r="F29" s="3" cm="1">
        <f t="array" aca="1" ref="F29" ca="1">OFFSET(E29,-1,1)</f>
        <v>0</v>
      </c>
      <c r="I29" s="154" t="s">
        <v>482</v>
      </c>
      <c r="J29" s="154"/>
      <c r="K29" s="154"/>
      <c r="L29" s="154"/>
      <c r="M29" s="154"/>
      <c r="N29" s="154"/>
      <c r="O29" s="154"/>
      <c r="P29" s="154"/>
      <c r="Q29" s="154"/>
      <c r="R29" s="154"/>
      <c r="S29" s="154"/>
      <c r="T29" s="353" t="b" cm="1">
        <f t="array" ref="T29">T28</f>
        <v>0</v>
      </c>
      <c r="X29" s="1078"/>
      <c r="Z29" s="1079"/>
      <c r="AB29" s="131" t="s">
        <v>939</v>
      </c>
      <c r="AC29" s="263" t="s">
        <v>1739</v>
      </c>
      <c r="AD29" s="147" t="s">
        <v>828</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7"/>
      <c r="AN29" s="777"/>
      <c r="AO29" s="777"/>
      <c r="AR29" s="695" t="s">
        <v>1740</v>
      </c>
      <c r="AS29" s="695"/>
      <c r="AT29" s="695"/>
      <c r="AU29" s="505"/>
      <c r="AV29" s="505"/>
    </row>
    <row r="30" spans="1:48" ht="14.65" hidden="1" customHeight="1" x14ac:dyDescent="0.25">
      <c r="E30" s="504">
        <v>15</v>
      </c>
      <c r="F30" s="3" cm="1">
        <f t="array" aca="1" ref="F30" ca="1">OFFSET(E30,-1,1)</f>
        <v>0</v>
      </c>
      <c r="I30" s="38" t="s">
        <v>1070</v>
      </c>
      <c r="J30" s="38"/>
      <c r="K30" s="38"/>
      <c r="L30" s="38"/>
      <c r="M30" s="38"/>
      <c r="N30" s="38"/>
      <c r="O30" s="38"/>
      <c r="P30" s="38"/>
      <c r="Q30" s="38"/>
      <c r="R30" s="38"/>
      <c r="S30" s="38"/>
      <c r="T30" s="353" t="b" cm="1">
        <f t="array" ref="T30">T29</f>
        <v>0</v>
      </c>
      <c r="X30" s="1078"/>
      <c r="Z30" s="1079"/>
      <c r="AB30" s="133" t="s">
        <v>1071</v>
      </c>
      <c r="AC30" s="134" t="s">
        <v>1741</v>
      </c>
      <c r="AD30" s="9" t="s">
        <v>828</v>
      </c>
      <c r="AE30" s="171">
        <f ca="1">SUMIFS('Сырье и материалы'!AE$25:AE$48,'Сырье и материалы'!$F$25:$F$48,$F30,'Сырье и материалы'!$AC$25:$AC$48,"Всего по тарифу")</f>
        <v>0</v>
      </c>
      <c r="AF30" s="171">
        <f ca="1">SUMIFS('Сырье и материалы'!AF$25:AF$48,'Сырье и материалы'!$F$25:$F$48,$F30,'Сырье и материалы'!$AC$25:$AC$48,"Всего по тарифу")</f>
        <v>0</v>
      </c>
      <c r="AG30" s="171">
        <f ca="1">SUMIFS('Сырье и материалы'!AG$25:AG$48,'Сырье и материалы'!$F$25:$F$48,$F30,'Сырье и материалы'!$AC$25:$AC$48,"Всего по тарифу")</f>
        <v>0</v>
      </c>
      <c r="AH30" s="171">
        <f t="shared" ca="1" si="1"/>
        <v>0</v>
      </c>
      <c r="AI30" s="171">
        <f ca="1">SUMIFS('Сырье и материалы'!AH$25:AH$48,'Сырье и материалы'!$F$25:$F$48,$F30,'Сырье и материалы'!$AC$25:$AC$48,"Всего по тарифу")</f>
        <v>0</v>
      </c>
      <c r="AJ30" s="171">
        <f ca="1">SUMIFS('Сырье и материалы'!AI$25:AI$48,'Сырье и материалы'!$F$25:$F$48,$F30,'Сырье и материалы'!$AC$25:$AC$48,"Всего по тарифу")</f>
        <v>0</v>
      </c>
      <c r="AK30" s="171">
        <f ca="1">SUMIFS('Сырье и материалы'!AS$25:AS$48,'Сырье и материалы'!$F$25:$F$48,$F30,'Сырье и материалы'!$AC$25:$AC$48,"Всего по тарифу")</f>
        <v>0</v>
      </c>
      <c r="AL30" s="171">
        <f t="shared" ca="1" si="2"/>
        <v>0</v>
      </c>
      <c r="AM30" s="775"/>
      <c r="AN30" s="779" t="str">
        <f ca="1">IF(IFERROR(INDEX('Сырье и материалы'!$K$26:$L$48,MATCH($F30&amp;"komm",'Сырье и материалы'!$K$26:$K$48,0),2),"")=0,"",IFERROR(INDEX('Сырье и материалы'!$K$26:$L$48,MATCH($F30&amp;"komm",'Сырье и материалы'!$K$26:$K$48,0),2),""))</f>
        <v/>
      </c>
      <c r="AO30" s="775"/>
      <c r="AR30" s="694" t="s">
        <v>1742</v>
      </c>
    </row>
    <row r="31" spans="1:48" ht="14.65" hidden="1" customHeight="1" x14ac:dyDescent="0.25">
      <c r="E31" s="504">
        <v>15</v>
      </c>
      <c r="F31" s="3" cm="1">
        <f t="array" aca="1" ref="F31" ca="1">OFFSET(E31,-1,1)</f>
        <v>0</v>
      </c>
      <c r="I31" s="38" t="s">
        <v>1074</v>
      </c>
      <c r="J31" s="38"/>
      <c r="K31" s="38"/>
      <c r="L31" s="38"/>
      <c r="M31" s="38"/>
      <c r="N31" s="38"/>
      <c r="O31" s="38"/>
      <c r="P31" s="38"/>
      <c r="Q31" s="38"/>
      <c r="R31" s="38"/>
      <c r="S31" s="38"/>
      <c r="T31" s="353" t="b" cm="1">
        <f t="array" ref="T31">T30</f>
        <v>0</v>
      </c>
      <c r="X31" s="1078"/>
      <c r="Z31" s="1079"/>
      <c r="AB31" s="133" t="s">
        <v>1075</v>
      </c>
      <c r="AC31" s="134" t="s">
        <v>1743</v>
      </c>
      <c r="AD31" s="9" t="s">
        <v>828</v>
      </c>
      <c r="AE31" s="128"/>
      <c r="AF31" s="128"/>
      <c r="AG31" s="128"/>
      <c r="AH31" s="171">
        <f t="shared" si="1"/>
        <v>0</v>
      </c>
      <c r="AI31" s="128"/>
      <c r="AJ31" s="778"/>
      <c r="AK31" s="778"/>
      <c r="AL31" s="171">
        <f t="shared" si="2"/>
        <v>0</v>
      </c>
      <c r="AM31" s="775"/>
      <c r="AN31" s="775"/>
      <c r="AO31" s="775"/>
      <c r="AR31" s="694" t="s">
        <v>1744</v>
      </c>
    </row>
    <row r="32" spans="1:48" ht="14.65" hidden="1" customHeight="1" x14ac:dyDescent="0.25">
      <c r="E32" s="504">
        <v>15</v>
      </c>
      <c r="F32" s="3" cm="1">
        <f t="array" aca="1" ref="F32" ca="1">OFFSET(E32,-1,1)</f>
        <v>0</v>
      </c>
      <c r="I32" s="38" t="s">
        <v>1319</v>
      </c>
      <c r="J32" s="38"/>
      <c r="K32" s="38"/>
      <c r="L32" s="38"/>
      <c r="M32" s="38"/>
      <c r="N32" s="38"/>
      <c r="O32" s="38"/>
      <c r="P32" s="38"/>
      <c r="Q32" s="38"/>
      <c r="R32" s="38"/>
      <c r="S32" s="38"/>
      <c r="T32" s="353" t="b" cm="1">
        <f t="array" ref="T32">T31</f>
        <v>0</v>
      </c>
      <c r="X32" s="1078"/>
      <c r="Z32" s="1079"/>
      <c r="AB32" s="133" t="s">
        <v>1320</v>
      </c>
      <c r="AC32" s="134" t="s">
        <v>1745</v>
      </c>
      <c r="AD32" s="9" t="s">
        <v>828</v>
      </c>
      <c r="AE32" s="128"/>
      <c r="AF32" s="128"/>
      <c r="AG32" s="128"/>
      <c r="AH32" s="171">
        <f t="shared" si="1"/>
        <v>0</v>
      </c>
      <c r="AI32" s="128"/>
      <c r="AJ32" s="778"/>
      <c r="AK32" s="778"/>
      <c r="AL32" s="171">
        <f t="shared" si="2"/>
        <v>0</v>
      </c>
      <c r="AM32" s="775"/>
      <c r="AN32" s="775"/>
      <c r="AO32" s="775"/>
      <c r="AR32" s="694" t="s">
        <v>1746</v>
      </c>
    </row>
    <row r="33" spans="5:48" s="423" customFormat="1" ht="21.95" hidden="1" customHeight="1" x14ac:dyDescent="0.25">
      <c r="E33" s="505">
        <v>22.5</v>
      </c>
      <c r="F33" s="3" cm="1">
        <f t="array" aca="1" ref="F33" ca="1">OFFSET(E33,-1,1)</f>
        <v>0</v>
      </c>
      <c r="I33" s="154" t="s">
        <v>486</v>
      </c>
      <c r="J33" s="154"/>
      <c r="K33" s="154"/>
      <c r="L33" s="154"/>
      <c r="M33" s="154"/>
      <c r="N33" s="154"/>
      <c r="O33" s="154"/>
      <c r="P33" s="154"/>
      <c r="Q33" s="154"/>
      <c r="R33" s="154"/>
      <c r="S33" s="154"/>
      <c r="T33" s="353" t="b" cm="1">
        <f t="array" ref="T33">T32</f>
        <v>0</v>
      </c>
      <c r="X33" s="1078"/>
      <c r="Z33" s="1079"/>
      <c r="AB33" s="131" t="s">
        <v>942</v>
      </c>
      <c r="AC33" s="263" t="s">
        <v>1747</v>
      </c>
      <c r="AD33" s="147" t="s">
        <v>828</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7"/>
      <c r="AN33" s="777"/>
      <c r="AO33" s="777"/>
      <c r="AR33" s="695" t="s">
        <v>1748</v>
      </c>
      <c r="AS33" s="695"/>
      <c r="AT33" s="695"/>
      <c r="AU33" s="505"/>
      <c r="AV33" s="505"/>
    </row>
    <row r="34" spans="5:48" ht="14.65" hidden="1" customHeight="1" x14ac:dyDescent="0.25">
      <c r="E34" s="504">
        <v>15</v>
      </c>
      <c r="F34" s="3" cm="1">
        <f t="array" aca="1" ref="F34" ca="1">OFFSET(E34,-1,1)</f>
        <v>0</v>
      </c>
      <c r="I34" s="38" t="s">
        <v>1344</v>
      </c>
      <c r="J34" s="38"/>
      <c r="K34" s="38"/>
      <c r="L34" s="38"/>
      <c r="M34" s="38"/>
      <c r="N34" s="38"/>
      <c r="O34" s="38"/>
      <c r="P34" s="38"/>
      <c r="Q34" s="38"/>
      <c r="R34" s="38"/>
      <c r="S34" s="38"/>
      <c r="T34" s="353" t="b" cm="1">
        <f t="array" ref="T34">T33</f>
        <v>0</v>
      </c>
      <c r="X34" s="1078"/>
      <c r="Z34" s="1079"/>
      <c r="AB34" s="133" t="s">
        <v>1345</v>
      </c>
      <c r="AC34" s="134" t="s">
        <v>1749</v>
      </c>
      <c r="AD34" s="9" t="s">
        <v>828</v>
      </c>
      <c r="AE34" s="171">
        <f ca="1">SUMIFS(ЭЭ!AE$25:AE$116,ЭЭ!$F$25:$F$116,$F34,ЭЭ!$AC$25:$AC$116,"Всего по тарифу")</f>
        <v>0</v>
      </c>
      <c r="AF34" s="171">
        <f ca="1">SUMIFS(ЭЭ!AF$25:AF$116,ЭЭ!$F$25:$F$116,$F34,ЭЭ!$AC$25:$AC$116,"Всего по тарифу")</f>
        <v>0</v>
      </c>
      <c r="AG34" s="171">
        <f ca="1">SUMIFS(ЭЭ!AG$25:AG$116,ЭЭ!$F$25:$F$116,$F34,ЭЭ!$AC$25:$AC$116,"Всего по тарифу")</f>
        <v>0</v>
      </c>
      <c r="AH34" s="171">
        <f t="shared" ca="1" si="1"/>
        <v>0</v>
      </c>
      <c r="AI34" s="171">
        <f ca="1">SUMIFS(ЭЭ!AH$25:AH$116,ЭЭ!$F$25:$F$116,$F34,ЭЭ!$AC$25:$AC$116,"Всего по тарифу")</f>
        <v>0</v>
      </c>
      <c r="AJ34" s="171">
        <f ca="1">SUMIFS(ЭЭ!AI$25:AI$116,ЭЭ!$F$25:$F$116,$F34,ЭЭ!$AC$25:$AC$116,"Всего по тарифу")</f>
        <v>0</v>
      </c>
      <c r="AK34" s="171">
        <f ca="1">SUMIFS(ЭЭ!AS$25:AS$116,ЭЭ!$F$25:$F$116,$F34,ЭЭ!$AC$25:$AC$116,"Всего по тарифу")</f>
        <v>0</v>
      </c>
      <c r="AL34" s="171">
        <f t="shared" ca="1" si="2"/>
        <v>0</v>
      </c>
      <c r="AM34" s="775"/>
      <c r="AN34" s="779" t="str">
        <f ca="1">IF(IFERROR(INDEX(ЭЭ!$K$26:$L$116,MATCH($F34&amp;"komm",ЭЭ!$K$26:$K$116,0),2),"")=0,"",IFERROR(INDEX(ЭЭ!$K$26:$L$116,MATCH($F34&amp;"komm",ЭЭ!$K$26:$K$116,0),2),""))</f>
        <v/>
      </c>
      <c r="AO34" s="775"/>
      <c r="AR34" s="694" t="s">
        <v>1750</v>
      </c>
    </row>
    <row r="35" spans="5:48" ht="14.65" hidden="1" customHeight="1" x14ac:dyDescent="0.25">
      <c r="E35" s="504">
        <v>15</v>
      </c>
      <c r="F35" s="3" cm="1">
        <f t="array" aca="1" ref="F35" ca="1">OFFSET(E35,-1,1)</f>
        <v>0</v>
      </c>
      <c r="G35" s="278" t="s">
        <v>1148</v>
      </c>
      <c r="I35" s="38" t="s">
        <v>1347</v>
      </c>
      <c r="J35" s="38"/>
      <c r="K35" s="38"/>
      <c r="L35" s="38"/>
      <c r="M35" s="38"/>
      <c r="N35" s="38"/>
      <c r="O35" s="38"/>
      <c r="P35" s="38"/>
      <c r="Q35" s="38"/>
      <c r="R35" s="38"/>
      <c r="S35" s="38"/>
      <c r="T35" s="353" t="b" cm="1">
        <f t="array" ref="T35">T34</f>
        <v>0</v>
      </c>
      <c r="X35" s="1078"/>
      <c r="Z35" s="1079"/>
      <c r="AB35" s="133" t="s">
        <v>1348</v>
      </c>
      <c r="AC35" s="134" t="s">
        <v>1751</v>
      </c>
      <c r="AD35" s="9" t="s">
        <v>828</v>
      </c>
      <c r="AE35" s="171">
        <f ca="1">SUMIFS(Покупка!AE$25:AE$150,Покупка!$F$25:$F$150,$F35,Покупка!$AC$25:$AC$150,$G35)</f>
        <v>0</v>
      </c>
      <c r="AF35" s="171">
        <f ca="1">SUMIFS(Покупка!AF$25:AF$150,Покупка!$F$25:$F$150,$F35,Покупка!$AC$25:$AC$150,$G35)</f>
        <v>0</v>
      </c>
      <c r="AG35" s="171">
        <f ca="1">SUMIFS(Покупка!AG$25:AG$150,Покупка!$F$25:$F$150,$F35,Покупка!$AC$25:$AC$150,$G35)</f>
        <v>0</v>
      </c>
      <c r="AH35" s="171">
        <f t="shared" ca="1" si="1"/>
        <v>0</v>
      </c>
      <c r="AI35" s="171">
        <f ca="1">SUMIFS(Покупка!AH$25:AH$150,Покупка!$F$25:$F$150,$F35,Покупка!$AC$25:$AC$150,$G35)</f>
        <v>0</v>
      </c>
      <c r="AJ35" s="171">
        <f ca="1">SUMIFS(Покупка!AI$25:AI$150,Покупка!$F$25:$F$150,$F35,Покупка!$AC$25:$AC$150,$G35)</f>
        <v>0</v>
      </c>
      <c r="AK35" s="171">
        <f ca="1">SUMIFS(Покупка!AS$25:AS$150,Покупка!$F$25:$F$150,$F35,Покупка!$AC$25:$AC$150,$G35)</f>
        <v>0</v>
      </c>
      <c r="AL35" s="171">
        <f t="shared" ca="1" si="2"/>
        <v>0</v>
      </c>
      <c r="AM35" s="775"/>
      <c r="AN35" s="779" t="str">
        <f ca="1">IF(IFERROR(INDEX(Покупка!$K$26:$L$150,MATCH($F35&amp;"6komm",Покупка!$K$26:$K$150,0),2),"")=0,"",IFERROR(INDEX(Покупка!$K$26:$L$150,MATCH($F35&amp;"6komm",Покупка!$K$26:$K$150,0),2),""))</f>
        <v/>
      </c>
      <c r="AO35" s="775"/>
      <c r="AR35" s="694" t="s">
        <v>1149</v>
      </c>
    </row>
    <row r="36" spans="5:48" ht="14.65" hidden="1" customHeight="1" x14ac:dyDescent="0.25">
      <c r="E36" s="504">
        <v>15</v>
      </c>
      <c r="F36" s="3" cm="1">
        <f t="array" aca="1" ref="F36" ca="1">OFFSET(E36,-1,1)</f>
        <v>0</v>
      </c>
      <c r="G36" s="278" t="s">
        <v>1150</v>
      </c>
      <c r="I36" s="38" t="s">
        <v>1351</v>
      </c>
      <c r="J36" s="38"/>
      <c r="K36" s="38"/>
      <c r="L36" s="38"/>
      <c r="M36" s="38"/>
      <c r="N36" s="38"/>
      <c r="O36" s="38"/>
      <c r="P36" s="38"/>
      <c r="Q36" s="38"/>
      <c r="R36" s="38"/>
      <c r="S36" s="38"/>
      <c r="T36" s="353" t="b" cm="1">
        <f t="array" ref="T36">T35</f>
        <v>0</v>
      </c>
      <c r="X36" s="1078"/>
      <c r="Z36" s="1079"/>
      <c r="AB36" s="133" t="s">
        <v>1352</v>
      </c>
      <c r="AC36" s="134" t="s">
        <v>1752</v>
      </c>
      <c r="AD36" s="9" t="s">
        <v>828</v>
      </c>
      <c r="AE36" s="171">
        <f ca="1">SUMIFS(Покупка!AE$25:AE$150,Покупка!$F$25:$F$150,$F36,Покупка!$AC$25:$AC$150,$G36)</f>
        <v>0</v>
      </c>
      <c r="AF36" s="171">
        <f ca="1">SUMIFS(Покупка!AF$25:AF$150,Покупка!$F$25:$F$150,$F36,Покупка!$AC$25:$AC$150,$G36)</f>
        <v>0</v>
      </c>
      <c r="AG36" s="171">
        <f ca="1">SUMIFS(Покупка!AG$25:AG$150,Покупка!$F$25:$F$150,$F36,Покупка!$AC$25:$AC$150,$G36)</f>
        <v>0</v>
      </c>
      <c r="AH36" s="171">
        <f t="shared" ca="1" si="1"/>
        <v>0</v>
      </c>
      <c r="AI36" s="171">
        <f ca="1">SUMIFS(Покупка!AH$25:AH$150,Покупка!$F$25:$F$150,$F36,Покупка!$AC$25:$AC$150,$G36)</f>
        <v>0</v>
      </c>
      <c r="AJ36" s="171">
        <f ca="1">SUMIFS(Покупка!AI$25:AI$150,Покупка!$F$25:$F$150,$F36,Покупка!$AC$25:$AC$150,$G36)</f>
        <v>0</v>
      </c>
      <c r="AK36" s="171">
        <f ca="1">SUMIFS(Покупка!AS$25:AS$150,Покупка!$F$25:$F$150,$F36,Покупка!$AC$25:$AC$150,$G36)</f>
        <v>0</v>
      </c>
      <c r="AL36" s="171">
        <f t="shared" ca="1" si="2"/>
        <v>0</v>
      </c>
      <c r="AM36" s="775"/>
      <c r="AN36" s="779" t="str">
        <f ca="1">IF(IFERROR(INDEX(Покупка!$K$26:$L$150,MATCH($F36&amp;"7komm",Покупка!$K$26:$K$150,0),2),"")=0,"",IFERROR(INDEX(Покупка!$K$26:$L$150,MATCH($F36&amp;"7komm",Покупка!$K$26:$K$150,0),2),""))</f>
        <v/>
      </c>
      <c r="AO36" s="775"/>
      <c r="AR36" s="694" t="s">
        <v>1151</v>
      </c>
    </row>
    <row r="37" spans="5:48" ht="14.65" hidden="1" customHeight="1" x14ac:dyDescent="0.25">
      <c r="E37" s="504">
        <v>15</v>
      </c>
      <c r="F37" s="3" cm="1">
        <f t="array" aca="1" ref="F37" ca="1">OFFSET(E37,-1,1)</f>
        <v>0</v>
      </c>
      <c r="G37" s="278" t="s">
        <v>1154</v>
      </c>
      <c r="I37" s="38" t="s">
        <v>1510</v>
      </c>
      <c r="J37" s="38"/>
      <c r="K37" s="38"/>
      <c r="L37" s="38"/>
      <c r="M37" s="38"/>
      <c r="N37" s="38"/>
      <c r="O37" s="38"/>
      <c r="P37" s="38"/>
      <c r="Q37" s="38"/>
      <c r="R37" s="38"/>
      <c r="S37" s="38"/>
      <c r="T37" s="353" t="b" cm="1">
        <f t="array" ref="T37">T36</f>
        <v>0</v>
      </c>
      <c r="X37" s="1078"/>
      <c r="Z37" s="1079"/>
      <c r="AB37" s="133" t="s">
        <v>1753</v>
      </c>
      <c r="AC37" s="134" t="s">
        <v>1754</v>
      </c>
      <c r="AD37" s="9" t="s">
        <v>828</v>
      </c>
      <c r="AE37" s="171">
        <f ca="1">SUMIFS(Покупка!AE$25:AE$150,Покупка!$F$25:$F$150,$F37,Покупка!$AC$25:$AC$150,$G37)</f>
        <v>0</v>
      </c>
      <c r="AF37" s="171">
        <f ca="1">SUMIFS(Покупка!AF$25:AF$150,Покупка!$F$25:$F$150,$F37,Покупка!$AC$25:$AC$150,$G37)</f>
        <v>0</v>
      </c>
      <c r="AG37" s="171">
        <f ca="1">SUMIFS(Покупка!AG$25:AG$150,Покупка!$F$25:$F$150,$F37,Покупка!$AC$25:$AC$150,$G37)</f>
        <v>0</v>
      </c>
      <c r="AH37" s="171">
        <f t="shared" ca="1" si="1"/>
        <v>0</v>
      </c>
      <c r="AI37" s="171">
        <f ca="1">SUMIFS(Покупка!AH$25:AH$150,Покупка!$F$25:$F$150,$F37,Покупка!$AC$25:$AC$150,$G37)</f>
        <v>0</v>
      </c>
      <c r="AJ37" s="171">
        <f ca="1">SUMIFS(Покупка!AI$25:AI$150,Покупка!$F$25:$F$150,$F37,Покупка!$AC$25:$AC$150,$G37)</f>
        <v>0</v>
      </c>
      <c r="AK37" s="171">
        <f ca="1">SUMIFS(Покупка!AS$25:AS$150,Покупка!$F$25:$F$150,$F37,Покупка!$AC$25:$AC$150,$G37)</f>
        <v>0</v>
      </c>
      <c r="AL37" s="171">
        <f t="shared" ca="1" si="2"/>
        <v>0</v>
      </c>
      <c r="AM37" s="775"/>
      <c r="AN37" s="779" t="str">
        <f ca="1">IF(IFERROR(INDEX(Покупка!$K$26:$L$150,MATCH($F37&amp;"9komm",Покупка!$K$26:$K$150,0),2),"")=0,"",IFERROR(INDEX(Покупка!$K$26:$L$150,MATCH($F37&amp;"9komm",Покупка!$K$26:$K$150,0),2),""))</f>
        <v/>
      </c>
      <c r="AO37" s="775"/>
      <c r="AR37" s="694" t="s">
        <v>1155</v>
      </c>
    </row>
    <row r="38" spans="5:48" ht="14.65" hidden="1" customHeight="1" x14ac:dyDescent="0.25">
      <c r="E38" s="504">
        <v>15</v>
      </c>
      <c r="F38" s="3" cm="1">
        <f t="array" aca="1" ref="F38" ca="1">OFFSET(E38,-1,1)</f>
        <v>0</v>
      </c>
      <c r="G38" s="278" t="s">
        <v>1116</v>
      </c>
      <c r="I38" s="38" t="s">
        <v>1514</v>
      </c>
      <c r="J38" s="38"/>
      <c r="K38" s="38"/>
      <c r="L38" s="38"/>
      <c r="M38" s="38"/>
      <c r="N38" s="38"/>
      <c r="O38" s="38"/>
      <c r="P38" s="38"/>
      <c r="Q38" s="38"/>
      <c r="R38" s="38"/>
      <c r="S38" s="38"/>
      <c r="T38" s="353" t="b" cm="1">
        <f t="array" ref="T38">T37</f>
        <v>0</v>
      </c>
      <c r="X38" s="1078"/>
      <c r="Z38" s="1079"/>
      <c r="AB38" s="133" t="s">
        <v>1755</v>
      </c>
      <c r="AC38" s="134" t="s">
        <v>1756</v>
      </c>
      <c r="AD38" s="9" t="s">
        <v>828</v>
      </c>
      <c r="AE38" s="171">
        <f ca="1">SUMIFS(Покупка!AE$25:AE$150,Покупка!$F$25:$F$150,$F38,Покупка!$AC$25:$AC$150,$G38)</f>
        <v>0</v>
      </c>
      <c r="AF38" s="171">
        <f ca="1">SUMIFS(Покупка!AF$25:AF$150,Покупка!$F$25:$F$150,$F38,Покупка!$AC$25:$AC$150,$G38)</f>
        <v>0</v>
      </c>
      <c r="AG38" s="171">
        <f ca="1">SUMIFS(Покупка!AG$25:AG$150,Покупка!$F$25:$F$150,$F38,Покупка!$AC$25:$AC$150,$G38)</f>
        <v>0</v>
      </c>
      <c r="AH38" s="171">
        <f t="shared" ca="1" si="1"/>
        <v>0</v>
      </c>
      <c r="AI38" s="171">
        <f ca="1">SUMIFS(Покупка!AH$25:AH$150,Покупка!$F$25:$F$150,$F38,Покупка!$AC$25:$AC$150,$G38)</f>
        <v>0</v>
      </c>
      <c r="AJ38" s="171">
        <f ca="1">SUMIFS(Покупка!AI$25:AI$150,Покупка!$F$25:$F$150,$F38,Покупка!$AC$25:$AC$150,$G38)</f>
        <v>0</v>
      </c>
      <c r="AK38" s="171">
        <f ca="1">SUMIFS(Покупка!AS$25:AS$150,Покупка!$F$25:$F$150,$F38,Покупка!$AC$25:$AC$150,$G38)</f>
        <v>0</v>
      </c>
      <c r="AL38" s="171">
        <f t="shared" ca="1" si="2"/>
        <v>0</v>
      </c>
      <c r="AM38" s="775"/>
      <c r="AN38" s="779" t="str">
        <f ca="1">IF(IFERROR(INDEX(Покупка!$K$26:$L$150,MATCH($F38&amp;"1komm",Покупка!$K$26:$K$150,0),2),"")=0,"",IFERROR(INDEX(Покупка!$K$26:$L$150,MATCH($F38&amp;"1komm",Покупка!$K$26:$K$150,0),2),""))</f>
        <v/>
      </c>
      <c r="AO38" s="775"/>
      <c r="AR38" s="694" t="s">
        <v>1757</v>
      </c>
    </row>
    <row r="39" spans="5:48" ht="14.65" hidden="1" customHeight="1" x14ac:dyDescent="0.25">
      <c r="E39" s="504">
        <v>15</v>
      </c>
      <c r="F39" s="3" cm="1">
        <f t="array" aca="1" ref="F39" ca="1">OFFSET(E39,-1,1)</f>
        <v>0</v>
      </c>
      <c r="G39" s="278" t="s">
        <v>1125</v>
      </c>
      <c r="I39" s="38" t="s">
        <v>1519</v>
      </c>
      <c r="J39" s="38"/>
      <c r="K39" s="38"/>
      <c r="L39" s="38"/>
      <c r="M39" s="38"/>
      <c r="N39" s="38"/>
      <c r="O39" s="38"/>
      <c r="P39" s="38"/>
      <c r="Q39" s="38"/>
      <c r="R39" s="38"/>
      <c r="S39" s="38"/>
      <c r="T39" s="353" t="b" cm="1">
        <f t="array" ref="T39">T38</f>
        <v>0</v>
      </c>
      <c r="X39" s="1078"/>
      <c r="Z39" s="1079"/>
      <c r="AB39" s="133" t="s">
        <v>1758</v>
      </c>
      <c r="AC39" s="134" t="s">
        <v>1759</v>
      </c>
      <c r="AD39" s="9" t="s">
        <v>828</v>
      </c>
      <c r="AE39" s="171">
        <f ca="1">SUMIFS(Покупка!AE$25:AE$150,Покупка!$F$25:$F$150,$F39,Покупка!$AC$25:$AC$150,$G39)</f>
        <v>0</v>
      </c>
      <c r="AF39" s="171">
        <f ca="1">SUMIFS(Покупка!AF$25:AF$150,Покупка!$F$25:$F$150,$F39,Покупка!$AC$25:$AC$150,$G39)</f>
        <v>0</v>
      </c>
      <c r="AG39" s="171">
        <f ca="1">SUMIFS(Покупка!AG$25:AG$150,Покупка!$F$25:$F$150,$F39,Покупка!$AC$25:$AC$150,$G39)</f>
        <v>0</v>
      </c>
      <c r="AH39" s="171">
        <f t="shared" ca="1" si="1"/>
        <v>0</v>
      </c>
      <c r="AI39" s="171">
        <f ca="1">SUMIFS(Покупка!AH$25:AH$150,Покупка!$F$25:$F$150,$F39,Покупка!$AC$25:$AC$150,$G39)</f>
        <v>0</v>
      </c>
      <c r="AJ39" s="171">
        <f ca="1">SUMIFS(Покупка!AI$25:AI$150,Покупка!$F$25:$F$150,$F39,Покупка!$AC$25:$AC$150,$G39)</f>
        <v>0</v>
      </c>
      <c r="AK39" s="171">
        <f ca="1">SUMIFS(Покупка!AS$25:AS$150,Покупка!$F$25:$F$150,$F39,Покупка!$AC$25:$AC$150,$G39)</f>
        <v>0</v>
      </c>
      <c r="AL39" s="171">
        <f t="shared" ca="1" si="2"/>
        <v>0</v>
      </c>
      <c r="AM39" s="775"/>
      <c r="AN39" s="779" t="str">
        <f ca="1">IF(IFERROR(INDEX(Покупка!$K$26:$L$150,MATCH($F39&amp;"2komm",Покупка!$K$26:$K$150,0),2),"")=0,"",IFERROR(INDEX(Покупка!$K$26:$L$150,MATCH($F39&amp;"2komm",Покупка!$K$26:$K$150,0),2),""))</f>
        <v/>
      </c>
      <c r="AO39" s="775"/>
      <c r="AR39" s="694" t="s">
        <v>1760</v>
      </c>
    </row>
    <row r="40" spans="5:48" ht="14.65" hidden="1" customHeight="1" x14ac:dyDescent="0.25">
      <c r="E40" s="504">
        <v>15</v>
      </c>
      <c r="F40" s="3" cm="1">
        <f t="array" aca="1" ref="F40" ca="1">OFFSET(E40,-1,1)</f>
        <v>0</v>
      </c>
      <c r="G40" s="278" t="s">
        <v>1130</v>
      </c>
      <c r="I40" s="38" t="s">
        <v>1528</v>
      </c>
      <c r="J40" s="38"/>
      <c r="K40" s="38"/>
      <c r="L40" s="38"/>
      <c r="M40" s="38"/>
      <c r="N40" s="38"/>
      <c r="O40" s="38"/>
      <c r="P40" s="38"/>
      <c r="Q40" s="38"/>
      <c r="R40" s="38"/>
      <c r="S40" s="38"/>
      <c r="T40" s="353" t="b" cm="1">
        <f t="array" ref="T40">T39</f>
        <v>0</v>
      </c>
      <c r="X40" s="1078"/>
      <c r="Z40" s="1079"/>
      <c r="AB40" s="133" t="s">
        <v>1761</v>
      </c>
      <c r="AC40" s="134" t="s">
        <v>1762</v>
      </c>
      <c r="AD40" s="9" t="s">
        <v>828</v>
      </c>
      <c r="AE40" s="171">
        <f ca="1">SUMIFS(Покупка!AE$25:AE$150,Покупка!$F$25:$F$150,$F40,Покупка!$AC$25:$AC$150,$G40)</f>
        <v>0</v>
      </c>
      <c r="AF40" s="171">
        <f ca="1">SUMIFS(Покупка!AF$25:AF$150,Покупка!$F$25:$F$150,$F40,Покупка!$AC$25:$AC$150,$G40)</f>
        <v>0</v>
      </c>
      <c r="AG40" s="171">
        <f ca="1">SUMIFS(Покупка!AG$25:AG$150,Покупка!$F$25:$F$150,$F40,Покупка!$AC$25:$AC$150,$G40)</f>
        <v>0</v>
      </c>
      <c r="AH40" s="171">
        <f t="shared" ca="1" si="1"/>
        <v>0</v>
      </c>
      <c r="AI40" s="171">
        <f ca="1">SUMIFS(Покупка!AH$25:AH$150,Покупка!$F$25:$F$150,$F40,Покупка!$AC$25:$AC$150,$G40)</f>
        <v>0</v>
      </c>
      <c r="AJ40" s="171">
        <f ca="1">SUMIFS(Покупка!AI$25:AI$150,Покупка!$F$25:$F$150,$F40,Покупка!$AC$25:$AC$150,$G40)</f>
        <v>0</v>
      </c>
      <c r="AK40" s="171">
        <f ca="1">SUMIFS(Покупка!AS$25:AS$150,Покупка!$F$25:$F$150,$F40,Покупка!$AC$25:$AC$150,$G40)</f>
        <v>0</v>
      </c>
      <c r="AL40" s="171">
        <f t="shared" ca="1" si="2"/>
        <v>0</v>
      </c>
      <c r="AM40" s="775"/>
      <c r="AN40" s="779" t="str">
        <f ca="1">IF(IFERROR(INDEX(Покупка!$K$26:$L$150,MATCH($F40&amp;"3komm",Покупка!$K$26:$K$150,0),2),"")=0,"",IFERROR(INDEX(Покупка!$K$26:$L$150,MATCH($F40&amp;"3komm",Покупка!$K$26:$K$150,0),2),""))</f>
        <v/>
      </c>
      <c r="AO40" s="775"/>
      <c r="AR40" s="694" t="s">
        <v>1763</v>
      </c>
    </row>
    <row r="41" spans="5:48" ht="14.65" hidden="1" customHeight="1" x14ac:dyDescent="0.25">
      <c r="E41" s="504">
        <v>15</v>
      </c>
      <c r="F41" s="3" cm="1">
        <f t="array" aca="1" ref="F41" ca="1">OFFSET(E41,-1,1)</f>
        <v>0</v>
      </c>
      <c r="G41" s="278" t="s">
        <v>1136</v>
      </c>
      <c r="I41" s="38" t="s">
        <v>1533</v>
      </c>
      <c r="J41" s="38"/>
      <c r="K41" s="38"/>
      <c r="L41" s="38"/>
      <c r="M41" s="38"/>
      <c r="N41" s="38"/>
      <c r="O41" s="38"/>
      <c r="P41" s="38"/>
      <c r="Q41" s="38"/>
      <c r="R41" s="38"/>
      <c r="S41" s="38"/>
      <c r="T41" s="353" t="b" cm="1">
        <f t="array" ref="T41">T40</f>
        <v>0</v>
      </c>
      <c r="X41" s="1078"/>
      <c r="Z41" s="1079"/>
      <c r="AB41" s="133" t="s">
        <v>1764</v>
      </c>
      <c r="AC41" s="134" t="s">
        <v>1765</v>
      </c>
      <c r="AD41" s="9" t="s">
        <v>828</v>
      </c>
      <c r="AE41" s="171">
        <f ca="1">SUMIFS(Покупка!AE$25:AE$150,Покупка!$F$25:$F$150,$F41,Покупка!$AC$25:$AC$150,$G41)</f>
        <v>0</v>
      </c>
      <c r="AF41" s="171">
        <f ca="1">SUMIFS(Покупка!AF$25:AF$150,Покупка!$F$25:$F$150,$F41,Покупка!$AC$25:$AC$150,$G41)</f>
        <v>0</v>
      </c>
      <c r="AG41" s="171">
        <f ca="1">SUMIFS(Покупка!AG$25:AG$150,Покупка!$F$25:$F$150,$F41,Покупка!$AC$25:$AC$150,$G41)</f>
        <v>0</v>
      </c>
      <c r="AH41" s="171">
        <f t="shared" ca="1" si="1"/>
        <v>0</v>
      </c>
      <c r="AI41" s="171">
        <f ca="1">SUMIFS(Покупка!AH$25:AH$150,Покупка!$F$25:$F$150,$F41,Покупка!$AC$25:$AC$150,$G41)</f>
        <v>0</v>
      </c>
      <c r="AJ41" s="171">
        <f ca="1">SUMIFS(Покупка!AI$25:AI$150,Покупка!$F$25:$F$150,$F41,Покупка!$AC$25:$AC$150,$G41)</f>
        <v>0</v>
      </c>
      <c r="AK41" s="171">
        <f ca="1">SUMIFS(Покупка!AS$25:AS$150,Покупка!$F$25:$F$150,$F41,Покупка!$AC$25:$AC$150,$G41)</f>
        <v>0</v>
      </c>
      <c r="AL41" s="171">
        <f t="shared" ca="1" si="2"/>
        <v>0</v>
      </c>
      <c r="AM41" s="775"/>
      <c r="AN41" s="779" t="str">
        <f ca="1">IF(IFERROR(INDEX(Покупка!$K$26:$L$150,MATCH($F41&amp;"4komm",Покупка!$K$26:$K$150,0),2),"")=0,"",IFERROR(INDEX(Покупка!$K$26:$L$150,MATCH($F41&amp;"4komm",Покупка!$K$26:$K$150,0),2),""))</f>
        <v/>
      </c>
      <c r="AO41" s="775"/>
      <c r="AR41" s="694" t="s">
        <v>1766</v>
      </c>
    </row>
    <row r="42" spans="5:48" ht="14.65" hidden="1" customHeight="1" x14ac:dyDescent="0.25">
      <c r="E42" s="504">
        <v>15</v>
      </c>
      <c r="F42" s="3" cm="1">
        <f t="array" aca="1" ref="F42" ca="1">OFFSET(E42,-1,1)</f>
        <v>0</v>
      </c>
      <c r="G42" s="278" t="s">
        <v>1142</v>
      </c>
      <c r="I42" s="38" t="s">
        <v>1543</v>
      </c>
      <c r="J42" s="38"/>
      <c r="K42" s="38"/>
      <c r="L42" s="38"/>
      <c r="M42" s="38"/>
      <c r="N42" s="38"/>
      <c r="O42" s="38"/>
      <c r="P42" s="38"/>
      <c r="Q42" s="38"/>
      <c r="R42" s="38"/>
      <c r="S42" s="38"/>
      <c r="T42" s="353" t="b" cm="1">
        <f t="array" ref="T42">T41</f>
        <v>0</v>
      </c>
      <c r="X42" s="1078"/>
      <c r="Z42" s="1079"/>
      <c r="AB42" s="133" t="s">
        <v>1767</v>
      </c>
      <c r="AC42" s="134" t="s">
        <v>1768</v>
      </c>
      <c r="AD42" s="9" t="s">
        <v>828</v>
      </c>
      <c r="AE42" s="171">
        <f ca="1">SUMIFS(Покупка!AE$25:AE$150,Покупка!$F$25:$F$150,$F42,Покупка!$AC$25:$AC$150,$G42)</f>
        <v>0</v>
      </c>
      <c r="AF42" s="171">
        <f ca="1">SUMIFS(Покупка!AF$25:AF$150,Покупка!$F$25:$F$150,$F42,Покупка!$AC$25:$AC$150,$G42)</f>
        <v>0</v>
      </c>
      <c r="AG42" s="171">
        <f ca="1">SUMIFS(Покупка!AG$25:AG$150,Покупка!$F$25:$F$150,$F42,Покупка!$AC$25:$AC$150,$G42)</f>
        <v>0</v>
      </c>
      <c r="AH42" s="171">
        <f t="shared" ca="1" si="1"/>
        <v>0</v>
      </c>
      <c r="AI42" s="171">
        <f ca="1">SUMIFS(Покупка!AH$25:AH$150,Покупка!$F$25:$F$150,$F42,Покупка!$AC$25:$AC$150,$G42)</f>
        <v>0</v>
      </c>
      <c r="AJ42" s="171">
        <f ca="1">SUMIFS(Покупка!AI$25:AI$150,Покупка!$F$25:$F$150,$F42,Покупка!$AC$25:$AC$150,$G42)</f>
        <v>0</v>
      </c>
      <c r="AK42" s="171">
        <f ca="1">SUMIFS(Покупка!AS$25:AS$150,Покупка!$F$25:$F$150,$F42,Покупка!$AC$25:$AC$150,$G42)</f>
        <v>0</v>
      </c>
      <c r="AL42" s="171">
        <f t="shared" ca="1" si="2"/>
        <v>0</v>
      </c>
      <c r="AM42" s="775"/>
      <c r="AN42" s="779" t="str">
        <f ca="1">IF(IFERROR(INDEX(Покупка!$K$26:$L$150,MATCH($F42&amp;"5komm",Покупка!$K$26:$K$150,0),2),"")=0,"",IFERROR(INDEX(Покупка!$K$26:$L$150,MATCH($F42&amp;"5komm",Покупка!$K$26:$K$150,0),2),""))</f>
        <v/>
      </c>
      <c r="AO42" s="775"/>
      <c r="AR42" s="694" t="s">
        <v>1769</v>
      </c>
    </row>
    <row r="43" spans="5:48" s="423" customFormat="1" ht="43.9" hidden="1" customHeight="1" x14ac:dyDescent="0.25">
      <c r="E43" s="505">
        <v>45</v>
      </c>
      <c r="F43" s="3" cm="1">
        <f t="array" aca="1" ref="F43" ca="1">OFFSET(E43,-1,1)</f>
        <v>0</v>
      </c>
      <c r="I43" s="154" t="s">
        <v>489</v>
      </c>
      <c r="J43" s="154"/>
      <c r="K43" s="154"/>
      <c r="L43" s="154"/>
      <c r="M43" s="154"/>
      <c r="N43" s="154"/>
      <c r="O43" s="154"/>
      <c r="P43" s="154"/>
      <c r="Q43" s="154"/>
      <c r="R43" s="154"/>
      <c r="S43" s="154"/>
      <c r="T43" s="353" t="b" cm="1">
        <f t="array" ref="T43">T42</f>
        <v>0</v>
      </c>
      <c r="X43" s="1078"/>
      <c r="Z43" s="1079"/>
      <c r="AB43" s="131" t="s">
        <v>945</v>
      </c>
      <c r="AC43" s="263" t="s">
        <v>1770</v>
      </c>
      <c r="AD43" s="147" t="s">
        <v>828</v>
      </c>
      <c r="AE43" s="138"/>
      <c r="AF43" s="138"/>
      <c r="AG43" s="138"/>
      <c r="AH43" s="126">
        <f t="shared" si="1"/>
        <v>0</v>
      </c>
      <c r="AI43" s="138"/>
      <c r="AJ43" s="774"/>
      <c r="AK43" s="774"/>
      <c r="AL43" s="126">
        <f t="shared" si="2"/>
        <v>0</v>
      </c>
      <c r="AM43" s="777"/>
      <c r="AN43" s="777"/>
      <c r="AO43" s="777"/>
      <c r="AR43" s="695" t="s">
        <v>1771</v>
      </c>
      <c r="AS43" s="695"/>
      <c r="AT43" s="695"/>
      <c r="AU43" s="505"/>
      <c r="AV43" s="505"/>
    </row>
    <row r="44" spans="5:48" s="423" customFormat="1" ht="43.9" hidden="1" customHeight="1" x14ac:dyDescent="0.25">
      <c r="E44" s="505">
        <v>45</v>
      </c>
      <c r="F44" s="3" cm="1">
        <f t="array" aca="1" ref="F44" ca="1">OFFSET(E44,-1,1)</f>
        <v>0</v>
      </c>
      <c r="I44" s="154" t="s">
        <v>493</v>
      </c>
      <c r="J44" s="154"/>
      <c r="K44" s="154"/>
      <c r="L44" s="154"/>
      <c r="M44" s="154"/>
      <c r="N44" s="154"/>
      <c r="O44" s="154"/>
      <c r="P44" s="154"/>
      <c r="Q44" s="154"/>
      <c r="R44" s="154"/>
      <c r="S44" s="154"/>
      <c r="T44" s="353" t="b" cm="1">
        <f t="array" ref="T44">T43</f>
        <v>0</v>
      </c>
      <c r="X44" s="1078"/>
      <c r="Z44" s="1079"/>
      <c r="AB44" s="131" t="s">
        <v>948</v>
      </c>
      <c r="AC44" s="263" t="s">
        <v>1772</v>
      </c>
      <c r="AD44" s="147" t="s">
        <v>828</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7"/>
      <c r="AN44" s="777"/>
      <c r="AO44" s="777"/>
      <c r="AR44" s="695" t="s">
        <v>1773</v>
      </c>
      <c r="AS44" s="695"/>
      <c r="AT44" s="695"/>
      <c r="AU44" s="505"/>
      <c r="AV44" s="505"/>
    </row>
    <row r="45" spans="5:48" ht="14.65" hidden="1" customHeight="1" x14ac:dyDescent="0.25">
      <c r="E45" s="504">
        <v>15</v>
      </c>
      <c r="F45" s="3" cm="1">
        <f t="array" aca="1" ref="F45" ca="1">OFFSET(E45,-1,1)</f>
        <v>0</v>
      </c>
      <c r="G45" s="253" t="s">
        <v>1162</v>
      </c>
      <c r="I45" s="38" t="s">
        <v>1371</v>
      </c>
      <c r="J45" s="38"/>
      <c r="K45" s="38"/>
      <c r="L45" s="38"/>
      <c r="M45" s="38"/>
      <c r="N45" s="38"/>
      <c r="O45" s="38"/>
      <c r="P45" s="154"/>
      <c r="Q45" s="38"/>
      <c r="R45" s="38"/>
      <c r="S45" s="38"/>
      <c r="T45" s="353" t="b" cm="1">
        <f t="array" ref="T45">T44</f>
        <v>0</v>
      </c>
      <c r="X45" s="1078"/>
      <c r="Z45" s="1079"/>
      <c r="AB45" s="133" t="s">
        <v>1087</v>
      </c>
      <c r="AC45" s="134" t="s">
        <v>1774</v>
      </c>
      <c r="AD45" s="9" t="s">
        <v>828</v>
      </c>
      <c r="AE45" s="171">
        <f ca="1">SUMIFS(ФОТ!AE$25:AE$127,ФОТ!$F$25:$F$127,$F45,ФОТ!$G$25:$G$127,$G45)</f>
        <v>0</v>
      </c>
      <c r="AF45" s="171">
        <f ca="1">SUMIFS(ФОТ!AF$25:AF$127,ФОТ!$F$25:$F$127,$F45,ФОТ!$G$25:$G$127,$G45)</f>
        <v>0</v>
      </c>
      <c r="AG45" s="171">
        <f ca="1">SUMIFS(ФОТ!AG$25:AG$127,ФОТ!$F$25:$F$127,$F45,ФОТ!$G$25:$G$127,$G45)</f>
        <v>0</v>
      </c>
      <c r="AH45" s="171">
        <f t="shared" ca="1" si="1"/>
        <v>0</v>
      </c>
      <c r="AI45" s="171">
        <f ca="1">SUMIFS(ФОТ!AH$25:AH$127,ФОТ!$F$25:$F$127,$F45,ФОТ!$G$25:$G$127,$G45)</f>
        <v>0</v>
      </c>
      <c r="AJ45" s="171">
        <f ca="1">SUMIFS(ФОТ!AI$25:AI$127,ФОТ!$F$25:$F$127,$F45,ФОТ!$G$25:$G$127,$G45)</f>
        <v>0</v>
      </c>
      <c r="AK45" s="171">
        <f ca="1">SUMIFS(ФОТ!AJ$25:AJ$127,ФОТ!$F$25:$F$127,$F45,ФОТ!$G$25:$G$127,$G45)</f>
        <v>0</v>
      </c>
      <c r="AL45" s="171">
        <f t="shared" ca="1" si="2"/>
        <v>0</v>
      </c>
      <c r="AM45" s="775"/>
      <c r="AN45" s="779" t="str">
        <f ca="1">IF(IFERROR(INDEX(ФОТ!$K$26:$L$127,MATCH($F45&amp;"1komm",ФОТ!$K$26:$K$127,0),2),"")=0,"",IFERROR(INDEX(ФОТ!$K$26:$L$127,MATCH($F45&amp;"1komm",ФОТ!$K$26:$K$127,0),2),""))</f>
        <v/>
      </c>
      <c r="AO45" s="775"/>
      <c r="AR45" s="694" t="s">
        <v>1775</v>
      </c>
    </row>
    <row r="46" spans="5:48" ht="21.95" hidden="1" customHeight="1" x14ac:dyDescent="0.25">
      <c r="E46" s="504">
        <v>22.5</v>
      </c>
      <c r="F46" s="3" cm="1">
        <f t="array" aca="1" ref="F46" ca="1">OFFSET(E46,-1,1)</f>
        <v>0</v>
      </c>
      <c r="G46" s="253" t="s">
        <v>1174</v>
      </c>
      <c r="I46" s="38" t="s">
        <v>1372</v>
      </c>
      <c r="J46" s="38"/>
      <c r="K46" s="38"/>
      <c r="L46" s="38"/>
      <c r="M46" s="38"/>
      <c r="N46" s="38"/>
      <c r="O46" s="38"/>
      <c r="P46" s="154"/>
      <c r="Q46" s="38"/>
      <c r="R46" s="38"/>
      <c r="S46" s="38"/>
      <c r="T46" s="353" t="b" cm="1">
        <f t="array" ref="T46">T45</f>
        <v>0</v>
      </c>
      <c r="X46" s="1078"/>
      <c r="Z46" s="1079"/>
      <c r="AB46" s="133" t="s">
        <v>1090</v>
      </c>
      <c r="AC46" s="134" t="s">
        <v>1776</v>
      </c>
      <c r="AD46" s="9" t="s">
        <v>828</v>
      </c>
      <c r="AE46" s="171">
        <f ca="1">SUMIFS(ФОТ!AE$25:AE$127,ФОТ!$F$25:$F$127,$F46,ФОТ!$G$25:$G$127,$G46)</f>
        <v>0</v>
      </c>
      <c r="AF46" s="171">
        <f ca="1">SUMIFS(ФОТ!AF$25:AF$127,ФОТ!$F$25:$F$127,$F46,ФОТ!$G$25:$G$127,$G46)</f>
        <v>0</v>
      </c>
      <c r="AG46" s="171">
        <f ca="1">SUMIFS(ФОТ!AG$25:AG$127,ФОТ!$F$25:$F$127,$F46,ФОТ!$G$25:$G$127,$G46)</f>
        <v>0</v>
      </c>
      <c r="AH46" s="171">
        <f t="shared" ca="1" si="1"/>
        <v>0</v>
      </c>
      <c r="AI46" s="171">
        <f ca="1">SUMIFS(ФОТ!AH$25:AH$127,ФОТ!$F$25:$F$127,$F46,ФОТ!$G$25:$G$127,$G46)</f>
        <v>0</v>
      </c>
      <c r="AJ46" s="171">
        <f ca="1">SUMIFS(ФОТ!AI$25:AI$127,ФОТ!$F$25:$F$127,$F46,ФОТ!$G$25:$G$127,$G46)</f>
        <v>0</v>
      </c>
      <c r="AK46" s="171">
        <f ca="1">SUMIFS(ФОТ!AJ$25:AJ$127,ФОТ!$F$25:$F$127,$F46,ФОТ!$G$25:$G$127,$G46)</f>
        <v>0</v>
      </c>
      <c r="AL46" s="171">
        <f t="shared" ca="1" si="2"/>
        <v>0</v>
      </c>
      <c r="AM46" s="775"/>
      <c r="AN46" s="779" t="str">
        <f ca="1">IF(IFERROR(INDEX(ФОТ!$K$26:$L$127,MATCH($F46&amp;"2komm",ФОТ!$K$26:$K$127,0),2),"")=0,"",IFERROR(INDEX(ФОТ!$K$26:$L$127,MATCH($F46&amp;"2komm",ФОТ!$K$26:$K$127,0),2),""))</f>
        <v/>
      </c>
      <c r="AO46" s="775"/>
      <c r="AR46" s="694" t="s">
        <v>1777</v>
      </c>
    </row>
    <row r="47" spans="5:48" s="423" customFormat="1" ht="14.65" hidden="1" customHeight="1" x14ac:dyDescent="0.25">
      <c r="E47" s="505">
        <v>15</v>
      </c>
      <c r="F47" s="3" cm="1">
        <f t="array" aca="1" ref="F47" ca="1">OFFSET(E47,-1,1)</f>
        <v>0</v>
      </c>
      <c r="I47" s="154" t="s">
        <v>951</v>
      </c>
      <c r="J47" s="154"/>
      <c r="K47" s="154"/>
      <c r="L47" s="154"/>
      <c r="M47" s="154"/>
      <c r="N47" s="154"/>
      <c r="O47" s="154"/>
      <c r="P47" s="154"/>
      <c r="Q47" s="154"/>
      <c r="R47" s="154"/>
      <c r="S47" s="154"/>
      <c r="T47" s="353" t="b" cm="1">
        <f t="array" ref="T47">T46</f>
        <v>0</v>
      </c>
      <c r="X47" s="1078"/>
      <c r="Z47" s="1079"/>
      <c r="AB47" s="131" t="s">
        <v>952</v>
      </c>
      <c r="AC47" s="263" t="s">
        <v>1778</v>
      </c>
      <c r="AD47" s="147" t="s">
        <v>828</v>
      </c>
      <c r="AE47" s="138"/>
      <c r="AF47" s="138"/>
      <c r="AG47" s="138"/>
      <c r="AH47" s="126">
        <f t="shared" si="1"/>
        <v>0</v>
      </c>
      <c r="AI47" s="138"/>
      <c r="AJ47" s="774"/>
      <c r="AK47" s="774"/>
      <c r="AL47" s="126">
        <f t="shared" si="2"/>
        <v>0</v>
      </c>
      <c r="AM47" s="777"/>
      <c r="AN47" s="777"/>
      <c r="AO47" s="777"/>
      <c r="AR47" s="695" t="s">
        <v>1350</v>
      </c>
      <c r="AS47" s="695"/>
      <c r="AT47" s="695"/>
      <c r="AU47" s="505"/>
      <c r="AV47" s="505"/>
    </row>
    <row r="48" spans="5:48" s="423" customFormat="1" ht="14.65" hidden="1" customHeight="1" x14ac:dyDescent="0.25">
      <c r="E48" s="505">
        <v>15</v>
      </c>
      <c r="F48" s="3" cm="1">
        <f t="array" aca="1" ref="F48" ca="1">OFFSET(E48,-1,1)</f>
        <v>0</v>
      </c>
      <c r="I48" s="154" t="s">
        <v>1779</v>
      </c>
      <c r="J48" s="154"/>
      <c r="K48" s="154"/>
      <c r="L48" s="154"/>
      <c r="M48" s="154"/>
      <c r="N48" s="154"/>
      <c r="O48" s="154"/>
      <c r="P48" s="154"/>
      <c r="Q48" s="154"/>
      <c r="R48" s="154"/>
      <c r="S48" s="154"/>
      <c r="T48" s="353" t="b" cm="1">
        <f t="array" ref="T48">T47</f>
        <v>0</v>
      </c>
      <c r="X48" s="1078"/>
      <c r="Z48" s="1079"/>
      <c r="AB48" s="131" t="s">
        <v>1780</v>
      </c>
      <c r="AC48" s="263" t="s">
        <v>1781</v>
      </c>
      <c r="AD48" s="147" t="s">
        <v>828</v>
      </c>
      <c r="AE48" s="138"/>
      <c r="AF48" s="138"/>
      <c r="AG48" s="138"/>
      <c r="AH48" s="126">
        <f t="shared" si="1"/>
        <v>0</v>
      </c>
      <c r="AI48" s="138"/>
      <c r="AJ48" s="774"/>
      <c r="AK48" s="774"/>
      <c r="AL48" s="126">
        <f t="shared" si="2"/>
        <v>0</v>
      </c>
      <c r="AM48" s="777"/>
      <c r="AN48" s="777"/>
      <c r="AO48" s="777"/>
      <c r="AR48" s="695" t="s">
        <v>1782</v>
      </c>
      <c r="AS48" s="695"/>
      <c r="AT48" s="695"/>
      <c r="AU48" s="505"/>
      <c r="AV48" s="505"/>
    </row>
    <row r="49" spans="5:48" s="423" customFormat="1" ht="14.65" hidden="1" customHeight="1" x14ac:dyDescent="0.25">
      <c r="E49" s="505">
        <v>15</v>
      </c>
      <c r="F49" s="3" cm="1">
        <f t="array" aca="1" ref="F49" ca="1">OFFSET(E49,-1,1)</f>
        <v>0</v>
      </c>
      <c r="I49" s="154" t="s">
        <v>1783</v>
      </c>
      <c r="J49" s="154"/>
      <c r="K49" s="154"/>
      <c r="L49" s="154"/>
      <c r="M49" s="154"/>
      <c r="N49" s="154"/>
      <c r="O49" s="154"/>
      <c r="P49" s="154"/>
      <c r="Q49" s="154"/>
      <c r="R49" s="154"/>
      <c r="S49" s="154"/>
      <c r="T49" s="353" t="b" cm="1">
        <f t="array" ref="T49">T48</f>
        <v>0</v>
      </c>
      <c r="X49" s="1078"/>
      <c r="Z49" s="1079"/>
      <c r="AB49" s="131" t="s">
        <v>1784</v>
      </c>
      <c r="AC49" s="263" t="s">
        <v>1785</v>
      </c>
      <c r="AD49" s="147" t="s">
        <v>828</v>
      </c>
      <c r="AE49" s="126">
        <f>SUM(AE50:AE55)</f>
        <v>0</v>
      </c>
      <c r="AF49" s="126">
        <f>SUM(AF50:AF55)</f>
        <v>0</v>
      </c>
      <c r="AG49" s="126">
        <f>SUM(AG50:AG55)</f>
        <v>0</v>
      </c>
      <c r="AH49" s="126">
        <f t="shared" si="1"/>
        <v>0</v>
      </c>
      <c r="AI49" s="126">
        <f>SUM(AI50:AI55)</f>
        <v>0</v>
      </c>
      <c r="AJ49" s="126">
        <f>SUM(AJ50:AJ55)</f>
        <v>0</v>
      </c>
      <c r="AK49" s="126">
        <f>SUM(AK50:AK55)</f>
        <v>0</v>
      </c>
      <c r="AL49" s="126">
        <f t="shared" si="2"/>
        <v>0</v>
      </c>
      <c r="AM49" s="777"/>
      <c r="AN49" s="777"/>
      <c r="AO49" s="777"/>
      <c r="AR49" s="695" t="s">
        <v>1786</v>
      </c>
      <c r="AS49" s="695"/>
      <c r="AT49" s="695"/>
      <c r="AU49" s="505"/>
      <c r="AV49" s="505"/>
    </row>
    <row r="50" spans="5:48" ht="14.65" hidden="1" customHeight="1" x14ac:dyDescent="0.25">
      <c r="E50" s="504">
        <v>15</v>
      </c>
      <c r="F50" s="3" cm="1">
        <f t="array" aca="1" ref="F50" ca="1">OFFSET(E50,-1,1)</f>
        <v>0</v>
      </c>
      <c r="I50" s="38" t="s">
        <v>1783</v>
      </c>
      <c r="J50" s="278" t="s">
        <v>1787</v>
      </c>
      <c r="L50" s="38"/>
      <c r="M50" s="38"/>
      <c r="N50" s="38"/>
      <c r="O50" s="38"/>
      <c r="P50" s="38"/>
      <c r="Q50" s="38"/>
      <c r="R50" s="38"/>
      <c r="S50" s="38"/>
      <c r="T50" s="353" t="b" cm="1">
        <f t="array" ref="T50">T49</f>
        <v>0</v>
      </c>
      <c r="X50" s="1078"/>
      <c r="Z50" s="1079"/>
      <c r="AB50" s="133" t="s">
        <v>1788</v>
      </c>
      <c r="AC50" s="134" t="s">
        <v>1789</v>
      </c>
      <c r="AD50" s="9" t="s">
        <v>828</v>
      </c>
      <c r="AE50" s="128"/>
      <c r="AF50" s="128"/>
      <c r="AG50" s="128"/>
      <c r="AH50" s="171">
        <f t="shared" si="1"/>
        <v>0</v>
      </c>
      <c r="AI50" s="128"/>
      <c r="AJ50" s="778"/>
      <c r="AK50" s="778"/>
      <c r="AL50" s="171">
        <f t="shared" si="2"/>
        <v>0</v>
      </c>
      <c r="AM50" s="775"/>
      <c r="AN50" s="775"/>
      <c r="AO50" s="775"/>
      <c r="AR50" s="694" t="s">
        <v>1790</v>
      </c>
    </row>
    <row r="51" spans="5:48" ht="14.65" hidden="1" customHeight="1" x14ac:dyDescent="0.25">
      <c r="E51" s="504">
        <v>15</v>
      </c>
      <c r="F51" s="3" cm="1">
        <f t="array" aca="1" ref="F51" ca="1">OFFSET(E51,-1,1)</f>
        <v>0</v>
      </c>
      <c r="I51" s="38" t="s">
        <v>1783</v>
      </c>
      <c r="J51" s="278" t="s">
        <v>1791</v>
      </c>
      <c r="L51" s="38"/>
      <c r="M51" s="38"/>
      <c r="N51" s="38"/>
      <c r="O51" s="38"/>
      <c r="P51" s="38"/>
      <c r="Q51" s="38"/>
      <c r="R51" s="38"/>
      <c r="S51" s="38"/>
      <c r="T51" s="353" t="b" cm="1">
        <f t="array" ref="T51">T50</f>
        <v>0</v>
      </c>
      <c r="X51" s="1078"/>
      <c r="Z51" s="1079"/>
      <c r="AB51" s="133" t="s">
        <v>1792</v>
      </c>
      <c r="AC51" s="134" t="s">
        <v>1793</v>
      </c>
      <c r="AD51" s="9" t="s">
        <v>828</v>
      </c>
      <c r="AE51" s="128"/>
      <c r="AF51" s="128"/>
      <c r="AG51" s="128"/>
      <c r="AH51" s="171">
        <f t="shared" si="1"/>
        <v>0</v>
      </c>
      <c r="AI51" s="128"/>
      <c r="AJ51" s="778"/>
      <c r="AK51" s="778"/>
      <c r="AL51" s="171">
        <f t="shared" si="2"/>
        <v>0</v>
      </c>
      <c r="AM51" s="775"/>
      <c r="AN51" s="775"/>
      <c r="AO51" s="775"/>
      <c r="AR51" s="694" t="s">
        <v>1794</v>
      </c>
    </row>
    <row r="52" spans="5:48" ht="14.65" hidden="1" customHeight="1" x14ac:dyDescent="0.25">
      <c r="E52" s="504">
        <v>15</v>
      </c>
      <c r="F52" s="3" cm="1">
        <f t="array" aca="1" ref="F52" ca="1">OFFSET(E52,-1,1)</f>
        <v>0</v>
      </c>
      <c r="I52" s="38" t="s">
        <v>1783</v>
      </c>
      <c r="J52" s="278" t="s">
        <v>1795</v>
      </c>
      <c r="L52" s="38"/>
      <c r="M52" s="38"/>
      <c r="N52" s="38"/>
      <c r="O52" s="38"/>
      <c r="P52" s="38"/>
      <c r="Q52" s="38"/>
      <c r="R52" s="38"/>
      <c r="S52" s="38"/>
      <c r="T52" s="353" t="b" cm="1">
        <f t="array" ref="T52">T51</f>
        <v>0</v>
      </c>
      <c r="X52" s="1078"/>
      <c r="Z52" s="1079"/>
      <c r="AB52" s="133" t="s">
        <v>1796</v>
      </c>
      <c r="AC52" s="134" t="s">
        <v>1797</v>
      </c>
      <c r="AD52" s="9" t="s">
        <v>828</v>
      </c>
      <c r="AE52" s="128"/>
      <c r="AF52" s="128"/>
      <c r="AG52" s="128"/>
      <c r="AH52" s="171">
        <f t="shared" si="1"/>
        <v>0</v>
      </c>
      <c r="AI52" s="128"/>
      <c r="AJ52" s="778"/>
      <c r="AK52" s="778"/>
      <c r="AL52" s="171">
        <f t="shared" si="2"/>
        <v>0</v>
      </c>
      <c r="AM52" s="775"/>
      <c r="AN52" s="775"/>
      <c r="AO52" s="775"/>
      <c r="AR52" s="694" t="s">
        <v>1798</v>
      </c>
    </row>
    <row r="53" spans="5:48" ht="14.65" hidden="1" customHeight="1" x14ac:dyDescent="0.25">
      <c r="E53" s="504">
        <v>15</v>
      </c>
      <c r="F53" s="3" cm="1">
        <f t="array" aca="1" ref="F53" ca="1">OFFSET(E53,-1,1)</f>
        <v>0</v>
      </c>
      <c r="I53" s="38" t="s">
        <v>1783</v>
      </c>
      <c r="J53" s="278" t="s">
        <v>1799</v>
      </c>
      <c r="L53" s="38"/>
      <c r="M53" s="38"/>
      <c r="N53" s="38"/>
      <c r="O53" s="38"/>
      <c r="P53" s="38"/>
      <c r="Q53" s="38"/>
      <c r="R53" s="38"/>
      <c r="S53" s="38"/>
      <c r="T53" s="353" t="b" cm="1">
        <f t="array" ref="T53">T52</f>
        <v>0</v>
      </c>
      <c r="X53" s="1078"/>
      <c r="Z53" s="1079"/>
      <c r="AB53" s="133" t="s">
        <v>1800</v>
      </c>
      <c r="AC53" s="134" t="s">
        <v>1801</v>
      </c>
      <c r="AD53" s="9" t="s">
        <v>828</v>
      </c>
      <c r="AE53" s="128"/>
      <c r="AF53" s="128"/>
      <c r="AG53" s="128"/>
      <c r="AH53" s="171">
        <f t="shared" si="1"/>
        <v>0</v>
      </c>
      <c r="AI53" s="128"/>
      <c r="AJ53" s="778"/>
      <c r="AK53" s="778"/>
      <c r="AL53" s="171">
        <f t="shared" si="2"/>
        <v>0</v>
      </c>
      <c r="AM53" s="775"/>
      <c r="AN53" s="775"/>
      <c r="AO53" s="775"/>
      <c r="AR53" s="694" t="s">
        <v>1802</v>
      </c>
    </row>
    <row r="54" spans="5:48" ht="14.65" hidden="1" customHeight="1" x14ac:dyDescent="0.25">
      <c r="E54" s="504">
        <v>15</v>
      </c>
      <c r="F54" s="3" cm="1">
        <f t="array" aca="1" ref="F54" ca="1">OFFSET(E54,-1,1)</f>
        <v>0</v>
      </c>
      <c r="I54" s="38" t="s">
        <v>1783</v>
      </c>
      <c r="J54" s="278" cm="1">
        <f t="array" ref="J54">AC54</f>
        <v>0</v>
      </c>
      <c r="L54" s="38"/>
      <c r="M54" s="38"/>
      <c r="N54" s="38"/>
      <c r="O54" s="38"/>
      <c r="P54" s="38"/>
      <c r="Q54" s="38"/>
      <c r="R54" s="38"/>
      <c r="S54" s="38"/>
      <c r="T54" s="353" t="b">
        <f ca="1">AND(F54&gt;0,Y54&gt;4)</f>
        <v>0</v>
      </c>
      <c r="W54" s="517" t="s">
        <v>172</v>
      </c>
      <c r="X54" s="1078"/>
      <c r="Y54" s="278">
        <v>4</v>
      </c>
      <c r="Z54" s="1079"/>
      <c r="AA54" s="482" t="s">
        <v>173</v>
      </c>
      <c r="AB54" s="500" t="str">
        <f>"1.7."&amp;Y54</f>
        <v>1.7.4</v>
      </c>
      <c r="AC54" s="780"/>
      <c r="AD54" s="9" t="s">
        <v>828</v>
      </c>
      <c r="AE54" s="128"/>
      <c r="AF54" s="128"/>
      <c r="AG54" s="128"/>
      <c r="AH54" s="171">
        <f t="shared" si="1"/>
        <v>0</v>
      </c>
      <c r="AI54" s="128"/>
      <c r="AJ54" s="778"/>
      <c r="AK54" s="778"/>
      <c r="AL54" s="171">
        <f t="shared" si="2"/>
        <v>0</v>
      </c>
      <c r="AM54" s="775"/>
      <c r="AN54" s="775"/>
      <c r="AO54" s="775"/>
      <c r="AR54" s="694" t="s">
        <v>1803</v>
      </c>
      <c r="AS54" s="694" t="s">
        <v>1804</v>
      </c>
      <c r="AT54" s="694" cm="1">
        <f t="array" ref="AT54">AC54</f>
        <v>0</v>
      </c>
      <c r="AV54" s="504" t="b">
        <v>1</v>
      </c>
    </row>
    <row r="55" spans="5:48" ht="14.65" hidden="1" customHeight="1" x14ac:dyDescent="0.25">
      <c r="E55" s="504">
        <v>15</v>
      </c>
      <c r="F55" s="3" cm="1">
        <f t="array" aca="1" ref="F55" ca="1">OFFSET(E55,-1,1)</f>
        <v>0</v>
      </c>
      <c r="I55" s="17"/>
      <c r="J55" s="17" t="s">
        <v>1805</v>
      </c>
      <c r="K55" s="17"/>
      <c r="L55" s="17"/>
      <c r="M55" s="17"/>
      <c r="N55" s="17"/>
      <c r="O55" s="17"/>
      <c r="P55" s="17"/>
      <c r="Q55" s="17"/>
      <c r="R55" s="17"/>
      <c r="S55" s="17"/>
      <c r="T55" s="353" t="b">
        <f ca="1">F55&gt;0</f>
        <v>0</v>
      </c>
      <c r="W55" s="506" t="s">
        <v>397</v>
      </c>
      <c r="X55" s="1078"/>
      <c r="Z55" s="1079"/>
      <c r="AB55" s="546"/>
      <c r="AC55" s="172" t="s">
        <v>176</v>
      </c>
      <c r="AD55" s="547"/>
      <c r="AE55" s="547"/>
      <c r="AF55" s="547"/>
      <c r="AG55" s="547"/>
      <c r="AH55" s="547"/>
      <c r="AI55" s="547"/>
      <c r="AJ55" s="547"/>
      <c r="AK55" s="547"/>
      <c r="AL55" s="547"/>
      <c r="AM55" s="547"/>
      <c r="AN55" s="547"/>
      <c r="AO55" s="548"/>
      <c r="AU55" s="504" t="s">
        <v>1804</v>
      </c>
    </row>
    <row r="56" spans="5:48" s="423" customFormat="1" ht="14.65" hidden="1" customHeight="1" x14ac:dyDescent="0.25">
      <c r="E56" s="505">
        <v>15</v>
      </c>
      <c r="F56" s="3" cm="1">
        <f t="array" aca="1" ref="F56" ca="1">OFFSET(E56,-1,1)</f>
        <v>0</v>
      </c>
      <c r="I56" s="154" t="s">
        <v>332</v>
      </c>
      <c r="J56" s="154"/>
      <c r="K56" s="154"/>
      <c r="L56" s="154"/>
      <c r="M56" s="154"/>
      <c r="N56" s="154"/>
      <c r="O56" s="154"/>
      <c r="P56" s="154"/>
      <c r="Q56" s="154"/>
      <c r="R56" s="154"/>
      <c r="S56" s="154"/>
      <c r="T56" s="353" t="b" cm="1">
        <f t="array" aca="1" ref="T56" ca="1">T55</f>
        <v>0</v>
      </c>
      <c r="X56" s="1078"/>
      <c r="Z56" s="1079"/>
      <c r="AB56" s="131" t="s">
        <v>285</v>
      </c>
      <c r="AC56" s="132" t="s">
        <v>1806</v>
      </c>
      <c r="AD56" s="124" t="s">
        <v>828</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7"/>
      <c r="AN56" s="777"/>
      <c r="AO56" s="777"/>
      <c r="AR56" s="695" t="s">
        <v>1807</v>
      </c>
      <c r="AS56" s="695"/>
      <c r="AT56" s="695"/>
      <c r="AU56" s="505"/>
      <c r="AV56" s="505"/>
    </row>
    <row r="57" spans="5:48" ht="32.85" hidden="1" customHeight="1" x14ac:dyDescent="0.25">
      <c r="E57" s="504">
        <v>33.75</v>
      </c>
      <c r="F57" s="3" cm="1">
        <f t="array" aca="1" ref="F57" ca="1">OFFSET(E57,-1,1)</f>
        <v>0</v>
      </c>
      <c r="I57" s="38" t="s">
        <v>500</v>
      </c>
      <c r="J57" s="38"/>
      <c r="K57" s="38"/>
      <c r="L57" s="38"/>
      <c r="M57" s="38"/>
      <c r="N57" s="38"/>
      <c r="O57" s="38"/>
      <c r="P57" s="38"/>
      <c r="Q57" s="38"/>
      <c r="R57" s="38"/>
      <c r="S57" s="38"/>
      <c r="T57" s="353" t="b" cm="1">
        <f t="array" aca="1" ref="T57" ca="1">T56</f>
        <v>0</v>
      </c>
      <c r="X57" s="1078"/>
      <c r="Z57" s="1079"/>
      <c r="AB57" s="133" t="s">
        <v>561</v>
      </c>
      <c r="AC57" s="127" t="s">
        <v>1808</v>
      </c>
      <c r="AD57" s="7" t="s">
        <v>828</v>
      </c>
      <c r="AE57" s="128"/>
      <c r="AF57" s="128"/>
      <c r="AG57" s="128"/>
      <c r="AH57" s="171">
        <f t="shared" si="3"/>
        <v>0</v>
      </c>
      <c r="AI57" s="128"/>
      <c r="AJ57" s="778"/>
      <c r="AK57" s="778"/>
      <c r="AL57" s="171">
        <f t="shared" si="4"/>
        <v>0</v>
      </c>
      <c r="AM57" s="775"/>
      <c r="AN57" s="775"/>
      <c r="AO57" s="775"/>
      <c r="AR57" s="694" t="s">
        <v>1809</v>
      </c>
    </row>
    <row r="58" spans="5:48" ht="35.1" hidden="1" customHeight="1" x14ac:dyDescent="0.25">
      <c r="E58" s="504">
        <v>36</v>
      </c>
      <c r="F58" s="3" cm="1">
        <f t="array" aca="1" ref="F58" ca="1">OFFSET(E58,-1,1)</f>
        <v>0</v>
      </c>
      <c r="I58" s="38" t="s">
        <v>503</v>
      </c>
      <c r="J58" s="38"/>
      <c r="K58" s="38"/>
      <c r="L58" s="38"/>
      <c r="M58" s="38"/>
      <c r="N58" s="38"/>
      <c r="O58" s="38"/>
      <c r="P58" s="38"/>
      <c r="Q58" s="38"/>
      <c r="R58" s="38"/>
      <c r="S58" s="38"/>
      <c r="T58" s="353" t="b" cm="1">
        <f t="array" aca="1" ref="T58" ca="1">T57</f>
        <v>0</v>
      </c>
      <c r="X58" s="1078"/>
      <c r="Z58" s="1079"/>
      <c r="AB58" s="133" t="s">
        <v>565</v>
      </c>
      <c r="AC58" s="127" t="s">
        <v>1810</v>
      </c>
      <c r="AD58" s="7" t="s">
        <v>828</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5"/>
      <c r="AN58" s="775"/>
      <c r="AO58" s="775"/>
      <c r="AR58" s="694" t="s">
        <v>1811</v>
      </c>
    </row>
    <row r="59" spans="5:48" ht="14.65" hidden="1" customHeight="1" x14ac:dyDescent="0.25">
      <c r="E59" s="504">
        <v>15</v>
      </c>
      <c r="F59" s="3" cm="1">
        <f t="array" aca="1" ref="F59" ca="1">OFFSET(E59,-1,1)</f>
        <v>0</v>
      </c>
      <c r="G59" s="278" t="s">
        <v>1177</v>
      </c>
      <c r="I59" s="38" t="s">
        <v>1812</v>
      </c>
      <c r="J59" s="38"/>
      <c r="K59" s="38"/>
      <c r="L59" s="38"/>
      <c r="M59" s="38"/>
      <c r="N59" s="38"/>
      <c r="O59" s="38"/>
      <c r="P59" s="38"/>
      <c r="Q59" s="38"/>
      <c r="R59" s="38"/>
      <c r="S59" s="38"/>
      <c r="T59" s="353" t="b" cm="1">
        <f t="array" aca="1" ref="T59" ca="1">T58</f>
        <v>0</v>
      </c>
      <c r="X59" s="1078"/>
      <c r="Z59" s="1079"/>
      <c r="AB59" s="133" t="s">
        <v>514</v>
      </c>
      <c r="AC59" s="134" t="s">
        <v>1813</v>
      </c>
      <c r="AD59" s="7" t="s">
        <v>828</v>
      </c>
      <c r="AE59" s="171">
        <f ca="1">SUMIFS(ФОТ!AE$25:AE$127,ФОТ!$F$25:$F$127,$F59,ФОТ!$G$25:$G$127,$G59)</f>
        <v>0</v>
      </c>
      <c r="AF59" s="171">
        <f ca="1">SUMIFS(ФОТ!AF$25:AF$127,ФОТ!$F$25:$F$127,$F59,ФОТ!$G$25:$G$127,$G59)</f>
        <v>0</v>
      </c>
      <c r="AG59" s="171">
        <f ca="1">SUMIFS(ФОТ!AG$25:AG$127,ФОТ!$F$25:$F$127,$F59,ФОТ!$G$25:$G$127,$G59)</f>
        <v>0</v>
      </c>
      <c r="AH59" s="171">
        <f t="shared" ca="1" si="3"/>
        <v>0</v>
      </c>
      <c r="AI59" s="171">
        <f ca="1">SUMIFS(ФОТ!AH$25:AH$127,ФОТ!$F$25:$F$127,$F59,ФОТ!$G$25:$G$127,$G59)</f>
        <v>0</v>
      </c>
      <c r="AJ59" s="171">
        <f ca="1">SUMIFS(ФОТ!AI$25:AI$127,ФОТ!$F$25:$F$127,$F59,ФОТ!$G$25:$G$127,$G59)</f>
        <v>0</v>
      </c>
      <c r="AK59" s="171">
        <f ca="1">SUMIFS(ФОТ!AJ$25:AJ$127,ФОТ!$F$25:$F$127,$F59,ФОТ!$G$25:$G$127,$G59)</f>
        <v>0</v>
      </c>
      <c r="AL59" s="171">
        <f t="shared" ca="1" si="4"/>
        <v>0</v>
      </c>
      <c r="AM59" s="775"/>
      <c r="AN59" s="779" t="str">
        <f ca="1">IF(IFERROR(INDEX(ФОТ!$K$26:$L$127,MATCH($F59&amp;"3komm",ФОТ!$K$26:$K$127,0),2),"")=0,"",IFERROR(INDEX(ФОТ!$K$26:$L$127,MATCH($F59&amp;"3komm",ФОТ!$K$26:$K$127,0),2),""))</f>
        <v/>
      </c>
      <c r="AO59" s="775"/>
      <c r="AR59" s="694" t="s">
        <v>1814</v>
      </c>
    </row>
    <row r="60" spans="5:48" ht="21.95" hidden="1" customHeight="1" x14ac:dyDescent="0.25">
      <c r="E60" s="504">
        <v>22.5</v>
      </c>
      <c r="F60" s="3" cm="1">
        <f t="array" aca="1" ref="F60" ca="1">OFFSET(E60,-1,1)</f>
        <v>0</v>
      </c>
      <c r="G60" s="278" t="s">
        <v>1182</v>
      </c>
      <c r="I60" s="38" t="s">
        <v>1815</v>
      </c>
      <c r="J60" s="38"/>
      <c r="K60" s="38"/>
      <c r="L60" s="38"/>
      <c r="M60" s="38"/>
      <c r="N60" s="38"/>
      <c r="O60" s="38"/>
      <c r="P60" s="38"/>
      <c r="Q60" s="38"/>
      <c r="R60" s="38"/>
      <c r="S60" s="38"/>
      <c r="T60" s="353" t="b" cm="1">
        <f t="array" aca="1" ref="T60" ca="1">T59</f>
        <v>0</v>
      </c>
      <c r="X60" s="1078"/>
      <c r="Z60" s="1079"/>
      <c r="AB60" s="133" t="s">
        <v>1446</v>
      </c>
      <c r="AC60" s="134" t="s">
        <v>1816</v>
      </c>
      <c r="AD60" s="7" t="s">
        <v>828</v>
      </c>
      <c r="AE60" s="171">
        <f ca="1">SUMIFS(ФОТ!AE$25:AE$127,ФОТ!$F$25:$F$127,$F60,ФОТ!$G$25:$G$127,$G60)</f>
        <v>0</v>
      </c>
      <c r="AF60" s="171">
        <f ca="1">SUMIFS(ФОТ!AF$25:AF$127,ФОТ!$F$25:$F$127,$F60,ФОТ!$G$25:$G$127,$G60)</f>
        <v>0</v>
      </c>
      <c r="AG60" s="171">
        <f ca="1">SUMIFS(ФОТ!AG$25:AG$127,ФОТ!$F$25:$F$127,$F60,ФОТ!$G$25:$G$127,$G60)</f>
        <v>0</v>
      </c>
      <c r="AH60" s="171">
        <f t="shared" ca="1" si="3"/>
        <v>0</v>
      </c>
      <c r="AI60" s="171">
        <f ca="1">SUMIFS(ФОТ!AH$25:AH$127,ФОТ!$F$25:$F$127,$F60,ФОТ!$G$25:$G$127,$G60)</f>
        <v>0</v>
      </c>
      <c r="AJ60" s="171">
        <f ca="1">SUMIFS(ФОТ!AI$25:AI$127,ФОТ!$F$25:$F$127,$F60,ФОТ!$G$25:$G$127,$G60)</f>
        <v>0</v>
      </c>
      <c r="AK60" s="171">
        <f ca="1">SUMIFS(ФОТ!AJ$25:AJ$127,ФОТ!$F$25:$F$127,$F60,ФОТ!$G$25:$G$127,$G60)</f>
        <v>0</v>
      </c>
      <c r="AL60" s="171">
        <f t="shared" ca="1" si="4"/>
        <v>0</v>
      </c>
      <c r="AM60" s="775"/>
      <c r="AN60" s="779" t="str">
        <f ca="1">IF(IFERROR(INDEX(ФОТ!$K$26:$L$127,MATCH($F60&amp;"4komm",ФОТ!$K$26:$K$127,0),2),"")=0,"",IFERROR(INDEX(ФОТ!$K$26:$L$127,MATCH($F60&amp;"4komm",ФОТ!$K$26:$K$127,0),2),""))</f>
        <v/>
      </c>
      <c r="AO60" s="775"/>
      <c r="AR60" s="694" t="s">
        <v>1817</v>
      </c>
    </row>
    <row r="61" spans="5:48" s="423" customFormat="1" ht="14.65" hidden="1" customHeight="1" x14ac:dyDescent="0.25">
      <c r="E61" s="505">
        <v>15</v>
      </c>
      <c r="F61" s="3" cm="1">
        <f t="array" aca="1" ref="F61" ca="1">OFFSET(E61,-1,1)</f>
        <v>0</v>
      </c>
      <c r="I61" s="154" t="s">
        <v>333</v>
      </c>
      <c r="J61" s="154"/>
      <c r="K61" s="154"/>
      <c r="L61" s="154"/>
      <c r="M61" s="154"/>
      <c r="N61" s="154"/>
      <c r="O61" s="154"/>
      <c r="P61" s="154"/>
      <c r="Q61" s="154"/>
      <c r="R61" s="154"/>
      <c r="S61" s="154"/>
      <c r="T61" s="353" t="b" cm="1">
        <f t="array" aca="1" ref="T61" ca="1">T60</f>
        <v>0</v>
      </c>
      <c r="X61" s="1078"/>
      <c r="Z61" s="1079"/>
      <c r="AB61" s="131" t="s">
        <v>291</v>
      </c>
      <c r="AC61" s="132" t="s">
        <v>1818</v>
      </c>
      <c r="AD61" s="124" t="s">
        <v>828</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7"/>
      <c r="AN61" s="777"/>
      <c r="AO61" s="777"/>
      <c r="AR61" s="695" t="s">
        <v>1819</v>
      </c>
      <c r="AS61" s="695"/>
      <c r="AT61" s="695"/>
      <c r="AU61" s="505"/>
      <c r="AV61" s="505"/>
    </row>
    <row r="62" spans="5:48" ht="21.95" hidden="1" customHeight="1" x14ac:dyDescent="0.25">
      <c r="E62" s="504">
        <v>22.5</v>
      </c>
      <c r="F62" s="3" cm="1">
        <f t="array" aca="1" ref="F62" ca="1">OFFSET(E62,-1,1)</f>
        <v>0</v>
      </c>
      <c r="G62" s="278" t="s">
        <v>1203</v>
      </c>
      <c r="I62" s="38" t="s">
        <v>969</v>
      </c>
      <c r="J62" s="38"/>
      <c r="K62" s="38"/>
      <c r="L62" s="38"/>
      <c r="M62" s="38"/>
      <c r="N62" s="38"/>
      <c r="O62" s="38"/>
      <c r="P62" s="38"/>
      <c r="Q62" s="38"/>
      <c r="R62" s="38"/>
      <c r="S62" s="38"/>
      <c r="T62" s="353" t="b" cm="1">
        <f t="array" aca="1" ref="T62" ca="1">T61</f>
        <v>0</v>
      </c>
      <c r="X62" s="1078"/>
      <c r="Z62" s="1079"/>
      <c r="AB62" s="133" t="s">
        <v>575</v>
      </c>
      <c r="AC62" s="127" t="s">
        <v>1820</v>
      </c>
      <c r="AD62" s="7" t="s">
        <v>828</v>
      </c>
      <c r="AE62" s="171">
        <f ca="1">SUMIFS(Административные!AE$25:AE$103,Административные!$F$25:$F$103,$F62,Административные!$G$25:$G$103,$G62)</f>
        <v>0</v>
      </c>
      <c r="AF62" s="171">
        <f ca="1">SUMIFS(Административные!AF$25:AF$103,Административные!$F$25:$F$103,$F62,Административные!$G$25:$G$103,$G62)</f>
        <v>0</v>
      </c>
      <c r="AG62" s="171">
        <f ca="1">SUMIFS(Административные!AG$25:AG$103,Административные!$F$25:$F$103,$F62,Административные!$G$25:$G$103,$G62)</f>
        <v>0</v>
      </c>
      <c r="AH62" s="171">
        <f t="shared" ca="1" si="3"/>
        <v>0</v>
      </c>
      <c r="AI62" s="171">
        <f ca="1">SUMIFS(Административные!AH$25:AH$103,Административные!$F$25:$F$103,$F62,Административные!$G$25:$G$103,$G62)</f>
        <v>0</v>
      </c>
      <c r="AJ62" s="171">
        <f ca="1">SUMIFS(Административные!AI$25:AI$103,Административные!$F$25:$F$103,$F62,Административные!$G$25:$G$103,$G62)</f>
        <v>0</v>
      </c>
      <c r="AK62" s="171">
        <f ca="1">SUMIFS(Административные!AJ$25:AJ$103,Административные!$F$25:$F$103,$F62,Административные!$G$25:$G$103,$G62)</f>
        <v>0</v>
      </c>
      <c r="AL62" s="171">
        <f t="shared" ca="1" si="4"/>
        <v>0</v>
      </c>
      <c r="AM62" s="775"/>
      <c r="AN62" s="779" t="str">
        <f ca="1">IF(IFERROR(INDEX(Административные!$K$26:$L$103,MATCH($F62&amp;"17komm",Административные!$K$26:$K$103,0),2),"")=0,"",IFERROR(INDEX(Административные!$K$26:$L$103,MATCH($F62&amp;"17komm",Административные!$K$26:$K$103,0),2),""))</f>
        <v/>
      </c>
      <c r="AO62" s="775"/>
      <c r="AR62" s="694" t="s">
        <v>1205</v>
      </c>
    </row>
    <row r="63" spans="5:48" ht="32.85" hidden="1" customHeight="1" x14ac:dyDescent="0.25">
      <c r="E63" s="504">
        <v>33.75</v>
      </c>
      <c r="F63" s="3" cm="1">
        <f t="array" aca="1" ref="F63" ca="1">OFFSET(E63,-1,1)</f>
        <v>0</v>
      </c>
      <c r="I63" s="38" t="s">
        <v>971</v>
      </c>
      <c r="J63" s="38"/>
      <c r="K63" s="38"/>
      <c r="L63" s="38"/>
      <c r="M63" s="38"/>
      <c r="N63" s="38"/>
      <c r="O63" s="38"/>
      <c r="P63" s="38"/>
      <c r="Q63" s="38"/>
      <c r="R63" s="38"/>
      <c r="S63" s="38"/>
      <c r="T63" s="353" t="b" cm="1">
        <f t="array" aca="1" ref="T63" ca="1">T62</f>
        <v>0</v>
      </c>
      <c r="X63" s="1078"/>
      <c r="Z63" s="1079"/>
      <c r="AB63" s="133" t="s">
        <v>579</v>
      </c>
      <c r="AC63" s="127" t="s">
        <v>1821</v>
      </c>
      <c r="AD63" s="7" t="s">
        <v>828</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5"/>
      <c r="AN63" s="775"/>
      <c r="AO63" s="775"/>
      <c r="AR63" s="694" t="s">
        <v>1822</v>
      </c>
    </row>
    <row r="64" spans="5:48" ht="21.95" hidden="1" customHeight="1" x14ac:dyDescent="0.25">
      <c r="E64" s="504">
        <v>22.5</v>
      </c>
      <c r="F64" s="3" cm="1">
        <f t="array" aca="1" ref="F64" ca="1">OFFSET(E64,-1,1)</f>
        <v>0</v>
      </c>
      <c r="G64" s="376" t="s">
        <v>1185</v>
      </c>
      <c r="I64" s="38" t="s">
        <v>518</v>
      </c>
      <c r="J64" s="38"/>
      <c r="K64" s="38"/>
      <c r="L64" s="38"/>
      <c r="M64" s="38"/>
      <c r="N64" s="38"/>
      <c r="O64" s="38"/>
      <c r="P64" s="38"/>
      <c r="Q64" s="38"/>
      <c r="R64" s="38"/>
      <c r="S64" s="38"/>
      <c r="T64" s="353" t="b" cm="1">
        <f t="array" aca="1" ref="T64" ca="1">T63</f>
        <v>0</v>
      </c>
      <c r="X64" s="1078"/>
      <c r="Z64" s="1079"/>
      <c r="AB64" s="133" t="s">
        <v>789</v>
      </c>
      <c r="AC64" s="134" t="s">
        <v>1823</v>
      </c>
      <c r="AD64" s="7" t="s">
        <v>828</v>
      </c>
      <c r="AE64" s="171">
        <f ca="1">SUMIFS(ФОТ!AE$25:AE$127,ФОТ!$F$25:$F$127,$F64,ФОТ!$G$25:$G$127,$G64)</f>
        <v>0</v>
      </c>
      <c r="AF64" s="171">
        <f ca="1">SUMIFS(ФОТ!AF$25:AF$127,ФОТ!$F$25:$F$127,$F64,ФОТ!$G$25:$G$127,$G64)</f>
        <v>0</v>
      </c>
      <c r="AG64" s="171">
        <f ca="1">SUMIFS(ФОТ!AG$25:AG$127,ФОТ!$F$25:$F$127,$F64,ФОТ!$G$25:$G$127,$G64)</f>
        <v>0</v>
      </c>
      <c r="AH64" s="171">
        <f t="shared" ca="1" si="3"/>
        <v>0</v>
      </c>
      <c r="AI64" s="171">
        <f ca="1">SUMIFS(ФОТ!AH$25:AH$127,ФОТ!$F$25:$F$127,$F64,ФОТ!$G$25:$G$127,$G64)</f>
        <v>0</v>
      </c>
      <c r="AJ64" s="171">
        <f ca="1">SUMIFS(ФОТ!AI$25:AI$127,ФОТ!$F$25:$F$127,$F64,ФОТ!$G$25:$G$127,$G64)</f>
        <v>0</v>
      </c>
      <c r="AK64" s="171">
        <f ca="1">SUMIFS(ФОТ!AJ$25:AJ$127,ФОТ!$F$25:$F$127,$F64,ФОТ!$G$25:$G$127,$G64)</f>
        <v>0</v>
      </c>
      <c r="AL64" s="171">
        <f t="shared" ca="1" si="4"/>
        <v>0</v>
      </c>
      <c r="AM64" s="775"/>
      <c r="AN64" s="779" t="str">
        <f ca="1">IF(IFERROR(INDEX(ФОТ!$K$26:$L$127,MATCH($F64&amp;"5komm",ФОТ!$K$26:$K$127,0),2),"")=0,"",IFERROR(INDEX(ФОТ!$K$26:$L$127,MATCH($F64&amp;"5komm",ФОТ!$K$26:$K$127,0),2),""))</f>
        <v/>
      </c>
      <c r="AO64" s="775"/>
      <c r="AR64" s="694" t="s">
        <v>1202</v>
      </c>
    </row>
    <row r="65" spans="2:48" ht="32.85" hidden="1" customHeight="1" x14ac:dyDescent="0.25">
      <c r="E65" s="504">
        <v>33.75</v>
      </c>
      <c r="F65" s="3" cm="1">
        <f t="array" aca="1" ref="F65" ca="1">OFFSET(E65,-1,1)</f>
        <v>0</v>
      </c>
      <c r="G65" s="376" t="s">
        <v>1190</v>
      </c>
      <c r="I65" s="38" t="s">
        <v>523</v>
      </c>
      <c r="J65" s="38"/>
      <c r="K65" s="38"/>
      <c r="L65" s="38"/>
      <c r="M65" s="38"/>
      <c r="N65" s="38"/>
      <c r="O65" s="38"/>
      <c r="P65" s="38"/>
      <c r="Q65" s="38"/>
      <c r="R65" s="38"/>
      <c r="S65" s="38"/>
      <c r="T65" s="353" t="b" cm="1">
        <f t="array" aca="1" ref="T65" ca="1">T64</f>
        <v>0</v>
      </c>
      <c r="X65" s="1078"/>
      <c r="Z65" s="1079"/>
      <c r="AB65" s="133" t="s">
        <v>792</v>
      </c>
      <c r="AC65" s="134" t="s">
        <v>1824</v>
      </c>
      <c r="AD65" s="7" t="s">
        <v>828</v>
      </c>
      <c r="AE65" s="171">
        <f ca="1">SUMIFS(ФОТ!AE$25:AE$127,ФОТ!$F$25:$F$127,$F65,ФОТ!$G$25:$G$127,$G65)</f>
        <v>0</v>
      </c>
      <c r="AF65" s="171">
        <f ca="1">SUMIFS(ФОТ!AF$25:AF$127,ФОТ!$F$25:$F$127,$F65,ФОТ!$G$25:$G$127,$G65)</f>
        <v>0</v>
      </c>
      <c r="AG65" s="171">
        <f ca="1">SUMIFS(ФОТ!AG$25:AG$127,ФОТ!$F$25:$F$127,$F65,ФОТ!$G$25:$G$127,$G65)</f>
        <v>0</v>
      </c>
      <c r="AH65" s="171">
        <f t="shared" ca="1" si="3"/>
        <v>0</v>
      </c>
      <c r="AI65" s="171">
        <f ca="1">SUMIFS(ФОТ!AH$25:AH$127,ФОТ!$F$25:$F$127,$F65,ФОТ!$G$25:$G$127,$G65)</f>
        <v>0</v>
      </c>
      <c r="AJ65" s="171">
        <f ca="1">SUMIFS(ФОТ!AI$25:AI$127,ФОТ!$F$25:$F$127,$F65,ФОТ!$G$25:$G$127,$G65)</f>
        <v>0</v>
      </c>
      <c r="AK65" s="171">
        <f ca="1">SUMIFS(ФОТ!AJ$25:AJ$127,ФОТ!$F$25:$F$127,$F65,ФОТ!$G$25:$G$127,$G65)</f>
        <v>0</v>
      </c>
      <c r="AL65" s="171">
        <f t="shared" ca="1" si="4"/>
        <v>0</v>
      </c>
      <c r="AM65" s="775"/>
      <c r="AN65" s="779" t="str">
        <f ca="1">IF(IFERROR(INDEX(ФОТ!$K$26:$L$127,MATCH($F65&amp;"6komm",ФОТ!$K$26:$K$127,0),2),"")=0,"",IFERROR(INDEX(ФОТ!$K$26:$L$127,MATCH($F65&amp;"6komm",ФОТ!$K$26:$K$127,0),2),""))</f>
        <v/>
      </c>
      <c r="AO65" s="775"/>
      <c r="AR65" s="694" t="s">
        <v>1825</v>
      </c>
    </row>
    <row r="66" spans="2:48" ht="32.85" hidden="1" customHeight="1" x14ac:dyDescent="0.25">
      <c r="E66" s="504">
        <v>33.75</v>
      </c>
      <c r="F66" s="3" cm="1">
        <f t="array" aca="1" ref="F66" ca="1">OFFSET(E66,-1,1)</f>
        <v>0</v>
      </c>
      <c r="G66" s="278" t="s">
        <v>1231</v>
      </c>
      <c r="I66" s="38" t="s">
        <v>973</v>
      </c>
      <c r="J66" s="38"/>
      <c r="K66" s="38"/>
      <c r="L66" s="38"/>
      <c r="M66" s="38"/>
      <c r="N66" s="38"/>
      <c r="O66" s="38"/>
      <c r="P66" s="38"/>
      <c r="Q66" s="38"/>
      <c r="R66" s="38"/>
      <c r="S66" s="38"/>
      <c r="T66" s="353" t="b" cm="1">
        <f t="array" aca="1" ref="T66" ca="1">T65</f>
        <v>0</v>
      </c>
      <c r="X66" s="1078"/>
      <c r="Z66" s="1079"/>
      <c r="AB66" s="133" t="s">
        <v>795</v>
      </c>
      <c r="AC66" s="127" t="s">
        <v>1826</v>
      </c>
      <c r="AD66" s="7" t="s">
        <v>828</v>
      </c>
      <c r="AE66" s="171">
        <f ca="1">SUMIFS(Административные!AE$25:AE$103,Административные!$F$25:$F$103,$F66,Административные!$G$25:$G$103,$G66)</f>
        <v>0</v>
      </c>
      <c r="AF66" s="171">
        <f ca="1">SUMIFS(Административные!AF$25:AF$103,Административные!$F$25:$F$103,$F66,Административные!$G$25:$G$103,$G66)</f>
        <v>0</v>
      </c>
      <c r="AG66" s="171">
        <f ca="1">SUMIFS(Административные!AG$25:AG$103,Административные!$F$25:$F$103,$F66,Административные!$G$25:$G$103,$G66)</f>
        <v>0</v>
      </c>
      <c r="AH66" s="171">
        <f t="shared" ca="1" si="3"/>
        <v>0</v>
      </c>
      <c r="AI66" s="171">
        <f ca="1">SUMIFS(Административные!AH$25:AH$103,Административные!$F$25:$F$103,$F66,Административные!$G$25:$G$103,$G66)</f>
        <v>0</v>
      </c>
      <c r="AJ66" s="171">
        <f ca="1">SUMIFS(Административные!AI$25:AI$103,Административные!$F$25:$F$103,$F66,Административные!$G$25:$G$103,$G66)</f>
        <v>0</v>
      </c>
      <c r="AK66" s="171">
        <f ca="1">SUMIFS(Административные!AJ$25:AJ$103,Административные!$F$25:$F$103,$F66,Административные!$G$25:$G$103,$G66)</f>
        <v>0</v>
      </c>
      <c r="AL66" s="171">
        <f t="shared" ca="1" si="4"/>
        <v>0</v>
      </c>
      <c r="AM66" s="775"/>
      <c r="AN66" s="779" t="str">
        <f ca="1">IF(IFERROR(INDEX(Административные!$K$26:$L$103,MATCH($F66&amp;"2komm",Административные!$K$26:$K$103,0),2),"")=0,"",IFERROR(INDEX(Административные!$K$26:$L$103,MATCH($F66&amp;"2komm",Административные!$K$26:$K$103,0),2),""))</f>
        <v/>
      </c>
      <c r="AO66" s="775"/>
      <c r="AR66" s="694" t="s">
        <v>1233</v>
      </c>
    </row>
    <row r="67" spans="2:48" ht="14.65" hidden="1" customHeight="1" x14ac:dyDescent="0.25">
      <c r="E67" s="504">
        <v>15</v>
      </c>
      <c r="F67" s="3" cm="1">
        <f t="array" aca="1" ref="F67" ca="1">OFFSET(E67,-1,1)</f>
        <v>0</v>
      </c>
      <c r="G67" s="278" t="s">
        <v>1234</v>
      </c>
      <c r="I67" s="38" t="s">
        <v>975</v>
      </c>
      <c r="J67" s="38"/>
      <c r="K67" s="38"/>
      <c r="L67" s="38"/>
      <c r="M67" s="38"/>
      <c r="N67" s="38"/>
      <c r="O67" s="38"/>
      <c r="P67" s="38"/>
      <c r="Q67" s="38"/>
      <c r="R67" s="38"/>
      <c r="S67" s="38"/>
      <c r="T67" s="353" t="b" cm="1">
        <f t="array" aca="1" ref="T67" ca="1">T66</f>
        <v>0</v>
      </c>
      <c r="X67" s="1078"/>
      <c r="Z67" s="1079"/>
      <c r="AB67" s="133" t="s">
        <v>976</v>
      </c>
      <c r="AC67" s="127" t="s">
        <v>1235</v>
      </c>
      <c r="AD67" s="7" t="s">
        <v>828</v>
      </c>
      <c r="AE67" s="171">
        <f ca="1">SUMIFS(Административные!AE$25:AE$103,Административные!$F$25:$F$103,$F67,Административные!$G$25:$G$103,$G67)</f>
        <v>0</v>
      </c>
      <c r="AF67" s="171">
        <f ca="1">SUMIFS(Административные!AF$25:AF$103,Административные!$F$25:$F$103,$F67,Административные!$G$25:$G$103,$G67)</f>
        <v>0</v>
      </c>
      <c r="AG67" s="171">
        <f ca="1">SUMIFS(Административные!AG$25:AG$103,Административные!$F$25:$F$103,$F67,Административные!$G$25:$G$103,$G67)</f>
        <v>0</v>
      </c>
      <c r="AH67" s="171">
        <f t="shared" ca="1" si="3"/>
        <v>0</v>
      </c>
      <c r="AI67" s="171">
        <f ca="1">SUMIFS(Административные!AH$25:AH$103,Административные!$F$25:$F$103,$F67,Административные!$G$25:$G$103,$G67)</f>
        <v>0</v>
      </c>
      <c r="AJ67" s="171">
        <f ca="1">SUMIFS(Административные!AI$25:AI$103,Административные!$F$25:$F$103,$F67,Административные!$G$25:$G$103,$G67)</f>
        <v>0</v>
      </c>
      <c r="AK67" s="171">
        <f ca="1">SUMIFS(Административные!AJ$25:AJ$103,Административные!$F$25:$F$103,$F67,Административные!$G$25:$G$103,$G67)</f>
        <v>0</v>
      </c>
      <c r="AL67" s="171">
        <f t="shared" ca="1" si="4"/>
        <v>0</v>
      </c>
      <c r="AM67" s="775"/>
      <c r="AN67" s="779" t="str">
        <f ca="1">IF(IFERROR(INDEX(Административные!$K$26:$L$103,MATCH($F67&amp;"3komm",Административные!$K$26:$K$103,0),2),"")=0,"",IFERROR(INDEX(Административные!$K$26:$L$103,MATCH($F67&amp;"3komm",Административные!$K$26:$K$103,0),2),""))</f>
        <v/>
      </c>
      <c r="AO67" s="775"/>
      <c r="AR67" s="694" t="s">
        <v>1236</v>
      </c>
    </row>
    <row r="68" spans="2:48" ht="14.65" hidden="1" customHeight="1" x14ac:dyDescent="0.25">
      <c r="E68" s="504">
        <v>15</v>
      </c>
      <c r="F68" s="3" cm="1">
        <f t="array" aca="1" ref="F68" ca="1">OFFSET(E68,-1,1)</f>
        <v>0</v>
      </c>
      <c r="G68" s="278" t="s">
        <v>1237</v>
      </c>
      <c r="I68" s="38" t="s">
        <v>978</v>
      </c>
      <c r="J68" s="38"/>
      <c r="K68" s="38"/>
      <c r="L68" s="38"/>
      <c r="M68" s="38"/>
      <c r="N68" s="38"/>
      <c r="O68" s="38"/>
      <c r="P68" s="38"/>
      <c r="Q68" s="38"/>
      <c r="R68" s="38"/>
      <c r="S68" s="38"/>
      <c r="T68" s="353" t="b" cm="1">
        <f t="array" aca="1" ref="T68" ca="1">T67</f>
        <v>0</v>
      </c>
      <c r="X68" s="1078"/>
      <c r="Z68" s="1079"/>
      <c r="AB68" s="133" t="s">
        <v>979</v>
      </c>
      <c r="AC68" s="127" t="s">
        <v>1238</v>
      </c>
      <c r="AD68" s="7" t="s">
        <v>828</v>
      </c>
      <c r="AE68" s="171">
        <f ca="1">SUMIFS(Административные!AE$25:AE$103,Административные!$F$25:$F$103,$F68,Административные!$G$25:$G$103,$G68)</f>
        <v>0</v>
      </c>
      <c r="AF68" s="171">
        <f ca="1">SUMIFS(Административные!AF$25:AF$103,Административные!$F$25:$F$103,$F68,Административные!$G$25:$G$103,$G68)</f>
        <v>0</v>
      </c>
      <c r="AG68" s="171">
        <f ca="1">SUMIFS(Административные!AG$25:AG$103,Административные!$F$25:$F$103,$F68,Административные!$G$25:$G$103,$G68)</f>
        <v>0</v>
      </c>
      <c r="AH68" s="171">
        <f t="shared" ca="1" si="3"/>
        <v>0</v>
      </c>
      <c r="AI68" s="171">
        <f ca="1">SUMIFS(Административные!AH$25:AH$103,Административные!$F$25:$F$103,$F68,Административные!$G$25:$G$103,$G68)</f>
        <v>0</v>
      </c>
      <c r="AJ68" s="171">
        <f ca="1">SUMIFS(Административные!AI$25:AI$103,Административные!$F$25:$F$103,$F68,Административные!$G$25:$G$103,$G68)</f>
        <v>0</v>
      </c>
      <c r="AK68" s="171">
        <f ca="1">SUMIFS(Административные!AJ$25:AJ$103,Административные!$F$25:$F$103,$F68,Административные!$G$25:$G$103,$G68)</f>
        <v>0</v>
      </c>
      <c r="AL68" s="171">
        <f t="shared" ca="1" si="4"/>
        <v>0</v>
      </c>
      <c r="AM68" s="775"/>
      <c r="AN68" s="779" t="str">
        <f ca="1">IF(IFERROR(INDEX(Административные!$K$26:$L$103,MATCH($F68&amp;"4komm",Административные!$K$26:$K$103,0),2),"")=0,"",IFERROR(INDEX(Административные!$K$26:$L$103,MATCH($F68&amp;"4komm",Административные!$K$26:$K$103,0),2),""))</f>
        <v/>
      </c>
      <c r="AO68" s="775"/>
      <c r="AR68" s="694" t="s">
        <v>1239</v>
      </c>
    </row>
    <row r="69" spans="2:48" ht="14.65" hidden="1" customHeight="1" x14ac:dyDescent="0.25">
      <c r="E69" s="504">
        <v>15</v>
      </c>
      <c r="F69" s="3" cm="1">
        <f t="array" aca="1" ref="F69" ca="1">OFFSET(E69,-1,1)</f>
        <v>0</v>
      </c>
      <c r="G69" s="278" t="s">
        <v>1240</v>
      </c>
      <c r="I69" s="38" t="s">
        <v>1222</v>
      </c>
      <c r="J69" s="38"/>
      <c r="K69" s="38"/>
      <c r="L69" s="38"/>
      <c r="M69" s="38"/>
      <c r="N69" s="38"/>
      <c r="O69" s="38"/>
      <c r="P69" s="38"/>
      <c r="Q69" s="38"/>
      <c r="R69" s="38"/>
      <c r="S69" s="38"/>
      <c r="T69" s="353" t="b" cm="1">
        <f t="array" aca="1" ref="T69" ca="1">T68</f>
        <v>0</v>
      </c>
      <c r="X69" s="1078"/>
      <c r="Z69" s="1079"/>
      <c r="AB69" s="133" t="s">
        <v>1223</v>
      </c>
      <c r="AC69" s="127" t="s">
        <v>1241</v>
      </c>
      <c r="AD69" s="7" t="s">
        <v>828</v>
      </c>
      <c r="AE69" s="171">
        <f ca="1">SUMIFS(Административные!AE$25:AE$103,Административные!$F$25:$F$103,$F69,Административные!$G$25:$G$103,$G69)</f>
        <v>0</v>
      </c>
      <c r="AF69" s="171">
        <f ca="1">SUMIFS(Административные!AF$25:AF$103,Административные!$F$25:$F$103,$F69,Административные!$G$25:$G$103,$G69)</f>
        <v>0</v>
      </c>
      <c r="AG69" s="171">
        <f ca="1">SUMIFS(Административные!AG$25:AG$103,Административные!$F$25:$F$103,$F69,Административные!$G$25:$G$103,$G69)</f>
        <v>0</v>
      </c>
      <c r="AH69" s="171">
        <f t="shared" ca="1" si="3"/>
        <v>0</v>
      </c>
      <c r="AI69" s="171">
        <f ca="1">SUMIFS(Административные!AH$25:AH$103,Административные!$F$25:$F$103,$F69,Административные!$G$25:$G$103,$G69)</f>
        <v>0</v>
      </c>
      <c r="AJ69" s="171">
        <f ca="1">SUMIFS(Административные!AI$25:AI$103,Административные!$F$25:$F$103,$F69,Административные!$G$25:$G$103,$G69)</f>
        <v>0</v>
      </c>
      <c r="AK69" s="171">
        <f ca="1">SUMIFS(Административные!AJ$25:AJ$103,Административные!$F$25:$F$103,$F69,Административные!$G$25:$G$103,$G69)</f>
        <v>0</v>
      </c>
      <c r="AL69" s="171">
        <f t="shared" ca="1" si="4"/>
        <v>0</v>
      </c>
      <c r="AM69" s="775"/>
      <c r="AN69" s="779" t="str">
        <f ca="1">IF(IFERROR(INDEX(Административные!$K$26:$L$103,MATCH($F65&amp;"5komm",Административные!$K$26:$K$103,0),2),"")=0,"",IFERROR(INDEX(Административные!$K$26:$L$103,MATCH($F65&amp;"5komm",Административные!$K$26:$K$103,0),2),""))</f>
        <v/>
      </c>
      <c r="AO69" s="775"/>
      <c r="AR69" s="694" t="s">
        <v>1827</v>
      </c>
    </row>
    <row r="70" spans="2:48" ht="14.65" hidden="1" customHeight="1" x14ac:dyDescent="0.25">
      <c r="E70" s="504">
        <v>15</v>
      </c>
      <c r="F70" s="3" cm="1">
        <f t="array" aca="1" ref="F70" ca="1">OFFSET(E70,-1,1)</f>
        <v>0</v>
      </c>
      <c r="G70" s="278" t="s">
        <v>1243</v>
      </c>
      <c r="I70" s="38" t="s">
        <v>1227</v>
      </c>
      <c r="J70" s="38"/>
      <c r="K70" s="38"/>
      <c r="L70" s="38"/>
      <c r="M70" s="38"/>
      <c r="N70" s="38"/>
      <c r="O70" s="38"/>
      <c r="P70" s="38"/>
      <c r="Q70" s="38"/>
      <c r="R70" s="38"/>
      <c r="S70" s="38"/>
      <c r="T70" s="353" t="b" cm="1">
        <f t="array" aca="1" ref="T70" ca="1">T69</f>
        <v>0</v>
      </c>
      <c r="X70" s="1078"/>
      <c r="Z70" s="1079"/>
      <c r="AB70" s="133" t="s">
        <v>1228</v>
      </c>
      <c r="AC70" s="127" t="s">
        <v>1828</v>
      </c>
      <c r="AD70" s="7" t="s">
        <v>828</v>
      </c>
      <c r="AE70" s="171">
        <f ca="1">SUMIFS(Административные!AE$25:AE$103,Административные!$F$25:$F$103,$F70,Административные!$G$25:$G$103,$G70)</f>
        <v>0</v>
      </c>
      <c r="AF70" s="171">
        <f ca="1">SUMIFS(Административные!AF$25:AF$103,Административные!$F$25:$F$103,$F70,Административные!$G$25:$G$103,$G70)</f>
        <v>0</v>
      </c>
      <c r="AG70" s="171">
        <f ca="1">SUMIFS(Административные!AG$25:AG$103,Административные!$F$25:$F$103,$F70,Административные!$G$25:$G$103,$G70)</f>
        <v>0</v>
      </c>
      <c r="AH70" s="171">
        <f t="shared" ca="1" si="3"/>
        <v>0</v>
      </c>
      <c r="AI70" s="171">
        <f ca="1">SUMIFS(Административные!AH$25:AH$103,Административные!$F$25:$F$103,$F70,Административные!$G$25:$G$103,$G70)</f>
        <v>0</v>
      </c>
      <c r="AJ70" s="171">
        <f ca="1">SUMIFS(Административные!AI$25:AI$103,Административные!$F$25:$F$103,$F70,Административные!$G$25:$G$103,$G70)</f>
        <v>0</v>
      </c>
      <c r="AK70" s="171">
        <f ca="1">SUMIFS(Административные!AJ$25:AJ$103,Административные!$F$25:$F$103,$F70,Административные!$G$25:$G$103,$G70)</f>
        <v>0</v>
      </c>
      <c r="AL70" s="171">
        <f t="shared" ca="1" si="4"/>
        <v>0</v>
      </c>
      <c r="AM70" s="775"/>
      <c r="AN70" s="779" t="str">
        <f ca="1">IF(IFERROR(INDEX(Административные!$K$26:$L$103,MATCH($F70&amp;"6komm",Административные!$K$26:$K$103,0),2),"")=0,"",IFERROR(INDEX(Административные!$K$26:$L$103,MATCH($F65&amp;"6komm",Административные!$K$26:$K$103,0),2),""))</f>
        <v/>
      </c>
      <c r="AO70" s="775"/>
      <c r="AR70" s="694" t="s">
        <v>1829</v>
      </c>
    </row>
    <row r="71" spans="2:48" ht="14.65" hidden="1" customHeight="1" x14ac:dyDescent="0.25">
      <c r="E71" s="504">
        <v>15</v>
      </c>
      <c r="F71" s="3" cm="1">
        <f t="array" aca="1" ref="F71" ca="1">OFFSET(E71,-1,1)</f>
        <v>0</v>
      </c>
      <c r="G71" s="278" t="s">
        <v>1245</v>
      </c>
      <c r="I71" s="38" t="s">
        <v>1830</v>
      </c>
      <c r="J71" s="38"/>
      <c r="K71" s="38"/>
      <c r="L71" s="38"/>
      <c r="M71" s="38"/>
      <c r="N71" s="38"/>
      <c r="O71" s="38"/>
      <c r="P71" s="38"/>
      <c r="Q71" s="38"/>
      <c r="R71" s="38"/>
      <c r="S71" s="38"/>
      <c r="T71" s="353" t="b" cm="1">
        <f t="array" aca="1" ref="T71" ca="1">T70</f>
        <v>0</v>
      </c>
      <c r="X71" s="1078"/>
      <c r="Z71" s="1079"/>
      <c r="AB71" s="133" t="s">
        <v>1831</v>
      </c>
      <c r="AC71" s="134" t="s">
        <v>1832</v>
      </c>
      <c r="AD71" s="7" t="s">
        <v>828</v>
      </c>
      <c r="AE71" s="171">
        <f ca="1">SUMIFS(Административные!AE$25:AE$103,Административные!$F$25:$F$103,$F71,Административные!$G$25:$G$103,$G71)</f>
        <v>0</v>
      </c>
      <c r="AF71" s="171">
        <f ca="1">SUMIFS(Административные!AF$25:AF$103,Административные!$F$25:$F$103,$F71,Административные!$G$25:$G$103,$G71)</f>
        <v>0</v>
      </c>
      <c r="AG71" s="171">
        <f ca="1">SUMIFS(Административные!AG$25:AG$103,Административные!$F$25:$F$103,$F71,Административные!$G$25:$G$103,$G71)</f>
        <v>0</v>
      </c>
      <c r="AH71" s="171">
        <f t="shared" ca="1" si="3"/>
        <v>0</v>
      </c>
      <c r="AI71" s="171">
        <f ca="1">SUMIFS(Административные!AH$25:AH$103,Административные!$F$25:$F$103,$F71,Административные!$G$25:$G$103,$G71)</f>
        <v>0</v>
      </c>
      <c r="AJ71" s="171">
        <f ca="1">SUMIFS(Административные!AI$25:AI$103,Административные!$F$25:$F$103,$F71,Административные!$G$25:$G$103,$G71)</f>
        <v>0</v>
      </c>
      <c r="AK71" s="171">
        <f ca="1">SUMIFS(Административные!AJ$25:AJ$103,Административные!$F$25:$F$103,$F71,Административные!$G$25:$G$103,$G71)</f>
        <v>0</v>
      </c>
      <c r="AL71" s="171">
        <f t="shared" ca="1" si="4"/>
        <v>0</v>
      </c>
      <c r="AM71" s="775"/>
      <c r="AN71" s="779" t="str">
        <f ca="1">IF(IFERROR(INDEX(Административные!$K$26:$L$103,MATCH($F71&amp;"7komm",Административные!$K$26:$K$103,0),2),"")=0,"",IFERROR(INDEX(Административные!$K$26:$L$103,MATCH($F66&amp;"7komm",Административные!$K$26:$K$103,0),2),""))</f>
        <v/>
      </c>
      <c r="AO71" s="775"/>
      <c r="AR71" s="694" t="s">
        <v>1833</v>
      </c>
    </row>
    <row r="72" spans="2:48" ht="43.9" hidden="1" customHeight="1" x14ac:dyDescent="0.25">
      <c r="E72" s="504">
        <v>45</v>
      </c>
      <c r="F72" s="3" cm="1">
        <f t="array" aca="1" ref="F72" ca="1">OFFSET(E72,-1,1)</f>
        <v>0</v>
      </c>
      <c r="G72" s="278" t="s">
        <v>1248</v>
      </c>
      <c r="I72" s="38" t="s">
        <v>1834</v>
      </c>
      <c r="J72" s="38"/>
      <c r="K72" s="38"/>
      <c r="L72" s="38"/>
      <c r="M72" s="38"/>
      <c r="N72" s="38"/>
      <c r="O72" s="38"/>
      <c r="P72" s="38"/>
      <c r="Q72" s="38"/>
      <c r="R72" s="38"/>
      <c r="S72" s="38"/>
      <c r="T72" s="353" t="b" cm="1">
        <f t="array" aca="1" ref="T72" ca="1">T71</f>
        <v>0</v>
      </c>
      <c r="X72" s="1078"/>
      <c r="Z72" s="1079"/>
      <c r="AB72" s="133" t="s">
        <v>1835</v>
      </c>
      <c r="AC72" s="127" t="s">
        <v>1249</v>
      </c>
      <c r="AD72" s="7" t="s">
        <v>828</v>
      </c>
      <c r="AE72" s="171">
        <f ca="1">SUMIFS(Административные!AE$25:AE$103,Административные!$F$25:$F$103,$F72,Административные!$G$25:$G$103,$G72)</f>
        <v>0</v>
      </c>
      <c r="AF72" s="171">
        <f ca="1">SUMIFS(Административные!AF$25:AF$103,Административные!$F$25:$F$103,$F72,Административные!$G$25:$G$103,$G72)</f>
        <v>0</v>
      </c>
      <c r="AG72" s="171">
        <f ca="1">SUMIFS(Административные!AG$25:AG$103,Административные!$F$25:$F$103,$F72,Административные!$G$25:$G$103,$G72)</f>
        <v>0</v>
      </c>
      <c r="AH72" s="171">
        <f t="shared" ca="1" si="3"/>
        <v>0</v>
      </c>
      <c r="AI72" s="171">
        <f ca="1">SUMIFS(Административные!AH$25:AH$103,Административные!$F$25:$F$103,$F72,Административные!$G$25:$G$103,$G72)</f>
        <v>0</v>
      </c>
      <c r="AJ72" s="171">
        <f ca="1">SUMIFS(Административные!AI$25:AI$103,Административные!$F$25:$F$103,$F72,Административные!$G$25:$G$103,$G72)</f>
        <v>0</v>
      </c>
      <c r="AK72" s="171">
        <f ca="1">SUMIFS(Административные!AJ$25:AJ$103,Административные!$F$25:$F$103,$F72,Административные!$G$25:$G$103,$G72)</f>
        <v>0</v>
      </c>
      <c r="AL72" s="171">
        <f t="shared" ca="1" si="4"/>
        <v>0</v>
      </c>
      <c r="AM72" s="775"/>
      <c r="AN72" s="779" t="str">
        <f ca="1">IF(IFERROR(INDEX(Административные!$K$26:$L$103,MATCH($F72&amp;"8komm",Административные!$K$26:$K$103,0),2),"")=0,"",IFERROR(INDEX(Административные!$K$26:$L$103,MATCH($F67&amp;"8komm",Административные!$K$26:$K$103,0),2),""))</f>
        <v/>
      </c>
      <c r="AO72" s="775"/>
      <c r="AR72" s="694" t="s">
        <v>1836</v>
      </c>
    </row>
    <row r="73" spans="2:48" ht="14.65" hidden="1" customHeight="1" x14ac:dyDescent="0.25">
      <c r="E73" s="504">
        <v>15</v>
      </c>
      <c r="F73" s="3" cm="1">
        <f t="array" aca="1" ref="F73" ca="1">OFFSET(E73,-1,1)</f>
        <v>0</v>
      </c>
      <c r="G73" s="278" t="s">
        <v>1251</v>
      </c>
      <c r="I73" s="38" t="s">
        <v>1837</v>
      </c>
      <c r="J73" s="38"/>
      <c r="K73" s="38"/>
      <c r="L73" s="38"/>
      <c r="M73" s="38"/>
      <c r="N73" s="38"/>
      <c r="O73" s="38"/>
      <c r="P73" s="38"/>
      <c r="Q73" s="38"/>
      <c r="R73" s="38"/>
      <c r="S73" s="38"/>
      <c r="T73" s="353" t="b" cm="1">
        <f t="array" aca="1" ref="T73" ca="1">T72</f>
        <v>0</v>
      </c>
      <c r="X73" s="1078"/>
      <c r="Z73" s="1079"/>
      <c r="AB73" s="133" t="s">
        <v>1838</v>
      </c>
      <c r="AC73" s="134" t="s">
        <v>1252</v>
      </c>
      <c r="AD73" s="7" t="s">
        <v>828</v>
      </c>
      <c r="AE73" s="171">
        <f ca="1">SUMIFS(Административные!AE$25:AE$103,Административные!$F$25:$F$103,$F73,Административные!$G$25:$G$103,$G73)</f>
        <v>0</v>
      </c>
      <c r="AF73" s="171">
        <f ca="1">SUMIFS(Административные!AF$25:AF$103,Административные!$F$25:$F$103,$F73,Административные!$G$25:$G$103,$G73)</f>
        <v>0</v>
      </c>
      <c r="AG73" s="171">
        <f ca="1">SUMIFS(Административные!AG$25:AG$103,Административные!$F$25:$F$103,$F73,Административные!$G$25:$G$103,$G73)</f>
        <v>0</v>
      </c>
      <c r="AH73" s="171">
        <f t="shared" ca="1" si="3"/>
        <v>0</v>
      </c>
      <c r="AI73" s="171">
        <f ca="1">SUMIFS(Административные!AH$25:AH$103,Административные!$F$25:$F$103,$F73,Административные!$G$25:$G$103,$G73)</f>
        <v>0</v>
      </c>
      <c r="AJ73" s="171">
        <f ca="1">SUMIFS(Административные!AI$25:AI$103,Административные!$F$25:$F$103,$F73,Административные!$G$25:$G$103,$G73)</f>
        <v>0</v>
      </c>
      <c r="AK73" s="171">
        <f ca="1">SUMIFS(Административные!AJ$25:AJ$103,Административные!$F$25:$F$103,$F73,Административные!$G$25:$G$103,$G73)</f>
        <v>0</v>
      </c>
      <c r="AL73" s="171">
        <f t="shared" ca="1" si="4"/>
        <v>0</v>
      </c>
      <c r="AM73" s="775"/>
      <c r="AN73" s="779" t="str">
        <f ca="1">IF(IFERROR(INDEX(Административные!$K$26:$L$103,MATCH($F73&amp;"9komm",Административные!$K$26:$K$103,0),2),"")=0,"",IFERROR(INDEX(Административные!$K$26:$L$103,MATCH($F68&amp;"9komm",Административные!$K$26:$K$103,0),2),""))</f>
        <v/>
      </c>
      <c r="AO73" s="775"/>
      <c r="AR73" s="694" t="s">
        <v>1839</v>
      </c>
    </row>
    <row r="74" spans="2:48" s="423" customFormat="1" ht="14.65" hidden="1" customHeight="1" x14ac:dyDescent="0.25">
      <c r="B74" s="423" t="b">
        <f>STATUS_GO="да"</f>
        <v>0</v>
      </c>
      <c r="E74" s="505">
        <v>15</v>
      </c>
      <c r="F74" s="3" cm="1">
        <f t="array" aca="1" ref="F74" ca="1">OFFSET(E74,-1,1)</f>
        <v>0</v>
      </c>
      <c r="I74" s="154" t="s">
        <v>335</v>
      </c>
      <c r="J74" s="154"/>
      <c r="K74" s="154"/>
      <c r="L74" s="154"/>
      <c r="M74" s="154"/>
      <c r="N74" s="154"/>
      <c r="O74" s="154"/>
      <c r="P74" s="154"/>
      <c r="Q74" s="154"/>
      <c r="R74" s="154"/>
      <c r="S74" s="154"/>
      <c r="T74" s="353" t="b" cm="1">
        <f t="array" aca="1" ref="T74" ca="1">T73</f>
        <v>0</v>
      </c>
      <c r="X74" s="1078"/>
      <c r="Z74" s="1079"/>
      <c r="AB74" s="131" t="s">
        <v>454</v>
      </c>
      <c r="AC74" s="132" t="s">
        <v>1840</v>
      </c>
      <c r="AD74" s="124" t="s">
        <v>828</v>
      </c>
      <c r="AE74" s="126">
        <f ca="1">SUMIFS('Сбытовые расходы ГО'!AE$25:AE$75,'Сбытовые расходы ГО'!$F$25:$F$75,$F74,'Сбытовые расходы ГО'!$G$25:$G$75,"l0")</f>
        <v>0</v>
      </c>
      <c r="AF74" s="126">
        <f ca="1">SUMIFS('Сбытовые расходы ГО'!AF$25:AF$75,'Сбытовые расходы ГО'!$F$25:$F$75,$F74,'Сбытовые расходы ГО'!$G$25:$G$75,"l0")</f>
        <v>0</v>
      </c>
      <c r="AG74" s="126">
        <f ca="1">SUMIFS('Сбытовые расходы ГО'!AG$25:AG$75,'Сбытовые расходы ГО'!$F$25:$F$75,$F74,'Сбытовые расходы ГО'!$G$25:$G$75,"l0")</f>
        <v>0</v>
      </c>
      <c r="AH74" s="126">
        <f t="shared" ca="1" si="3"/>
        <v>0</v>
      </c>
      <c r="AI74" s="126">
        <f ca="1">SUMIFS('Сбытовые расходы ГО'!AH$25:AH$75,'Сбытовые расходы ГО'!$F$25:$F$75,$F74,'Сбытовые расходы ГО'!$G$25:$G$75,"l0")</f>
        <v>0</v>
      </c>
      <c r="AJ74" s="126">
        <f ca="1">SUMIFS('Сбытовые расходы ГО'!AI$25:AI$75,'Сбытовые расходы ГО'!$F$25:$F$75,$F74,'Сбытовые расходы ГО'!$G$25:$G$75,"l0")</f>
        <v>0</v>
      </c>
      <c r="AK74" s="126">
        <f ca="1">SUMIFS('Сбытовые расходы ГО'!AJ$25:AJ$75,'Сбытовые расходы ГО'!$F$25:$F$75,$F74,'Сбытовые расходы ГО'!$G$25:$G$75,"l0")</f>
        <v>0</v>
      </c>
      <c r="AL74" s="126">
        <f t="shared" ca="1" si="4"/>
        <v>0</v>
      </c>
      <c r="AM74" s="777"/>
      <c r="AN74" s="779"/>
      <c r="AO74" s="777"/>
      <c r="AR74" s="695" t="s">
        <v>1841</v>
      </c>
      <c r="AS74" s="695"/>
      <c r="AT74" s="695"/>
      <c r="AU74" s="505"/>
      <c r="AV74" s="505"/>
    </row>
    <row r="75" spans="2:48" s="423" customFormat="1" ht="14.65" hidden="1" customHeight="1" x14ac:dyDescent="0.25">
      <c r="E75" s="505">
        <v>15</v>
      </c>
      <c r="F75" s="3" cm="1">
        <f t="array" aca="1" ref="F75" ca="1">OFFSET(E75,-1,1)</f>
        <v>0</v>
      </c>
      <c r="I75" s="154" t="s">
        <v>334</v>
      </c>
      <c r="J75" s="154"/>
      <c r="K75" s="154"/>
      <c r="L75" s="154"/>
      <c r="M75" s="154"/>
      <c r="N75" s="154"/>
      <c r="O75" s="154"/>
      <c r="P75" s="154"/>
      <c r="Q75" s="154"/>
      <c r="R75" s="154"/>
      <c r="S75" s="154"/>
      <c r="T75" s="353" t="b" cm="1">
        <f t="array" aca="1" ref="T75" ca="1">T74</f>
        <v>0</v>
      </c>
      <c r="X75" s="1078"/>
      <c r="Z75" s="1079"/>
      <c r="AB75" s="131" t="s">
        <v>460</v>
      </c>
      <c r="AC75" s="125" t="s">
        <v>1842</v>
      </c>
      <c r="AD75" s="124" t="s">
        <v>828</v>
      </c>
      <c r="AE75" s="126">
        <f ca="1">SUMIFS(Амортизация!AE$25:AE$223,Амортизация!$F$25:$F$223,$F75,Амортизация!$AC$25:$AC$223,"Сумма амортизационных отчислений")</f>
        <v>0</v>
      </c>
      <c r="AF75" s="126">
        <f ca="1">SUMIFS(Амортизация!AF$25:AF$223,Амортизация!$F$25:$F$223,$F75,Амортизация!$AC$25:$AC$223,"Сумма амортизационных отчислений")</f>
        <v>0</v>
      </c>
      <c r="AG75" s="126">
        <f ca="1">SUMIFS(Амортизация!AG$25:AG$223,Амортизация!$F$25:$F$223,$F75,Амортизация!$AC$25:$AC$223,"Сумма амортизационных отчислений")</f>
        <v>0</v>
      </c>
      <c r="AH75" s="126">
        <f t="shared" ca="1" si="3"/>
        <v>0</v>
      </c>
      <c r="AI75" s="126">
        <f ca="1">SUMIFS(Амортизация!AH$25:AH$223,Амортизация!$F$25:$F$223,$F75,Амортизация!$AC$25:$AC$223,"Сумма амортизационных отчислений")</f>
        <v>0</v>
      </c>
      <c r="AJ75" s="126">
        <f ca="1">SUMIFS(Амортизация!AI$25:AI$223,Амортизация!$F$25:$F$223,$F75,Амортизация!$AC$25:$AC$223,"Сумма амортизационных отчислений")</f>
        <v>0</v>
      </c>
      <c r="AK75" s="126">
        <f ca="1">SUMIFS(Амортизация!AS$25:AS$223,Амортизация!$F$25:$F$223,$F75,Амортизация!$AC$25:$AC$223,"Сумма амортизационных отчислений")</f>
        <v>0</v>
      </c>
      <c r="AL75" s="126">
        <f t="shared" ca="1" si="4"/>
        <v>0</v>
      </c>
      <c r="AM75" s="777"/>
      <c r="AN75" s="779" t="str">
        <f ca="1">IF(IFERROR(INDEX(Амортизация!$K$26:$L$223,MATCH($F75&amp;"komm",Амортизация!$K$26:$K$627,0),2),"")=0,"",IFERROR(INDEX(Амортизация!$K$26:$L$223,MATCH($F75&amp;"komm",Амортизация!$K$26:$K$627,0),2),""))</f>
        <v/>
      </c>
      <c r="AO75" s="777"/>
      <c r="AR75" s="695" t="s">
        <v>1247</v>
      </c>
      <c r="AS75" s="695"/>
      <c r="AT75" s="695"/>
      <c r="AU75" s="505"/>
      <c r="AV75" s="505"/>
    </row>
    <row r="76" spans="2:48" ht="14.65" hidden="1" customHeight="1" x14ac:dyDescent="0.25">
      <c r="E76" s="504">
        <v>15</v>
      </c>
      <c r="F76" s="3" cm="1">
        <f t="array" aca="1" ref="F76" ca="1">OFFSET(E76,-1,1)</f>
        <v>0</v>
      </c>
      <c r="I76" s="38" t="s">
        <v>574</v>
      </c>
      <c r="J76" s="38"/>
      <c r="K76" s="38"/>
      <c r="L76" s="38"/>
      <c r="M76" s="38"/>
      <c r="N76" s="38"/>
      <c r="O76" s="38"/>
      <c r="P76" s="38"/>
      <c r="Q76" s="38"/>
      <c r="R76" s="38"/>
      <c r="S76" s="38"/>
      <c r="T76" s="353" t="b" cm="1">
        <f t="array" aca="1" ref="T76" ca="1">T75</f>
        <v>0</v>
      </c>
      <c r="X76" s="1078"/>
      <c r="Z76" s="1079"/>
      <c r="AB76" s="133" t="s">
        <v>704</v>
      </c>
      <c r="AC76" s="127" t="s">
        <v>1843</v>
      </c>
      <c r="AD76" s="7" t="s">
        <v>828</v>
      </c>
      <c r="AE76" s="128">
        <f ca="1">SUMIFS('ИП + источники'!AF$27:AF$145,'ИП + источники'!$F$27:$F$145,$F76,'ИП + источники'!$AC$27:$AC$145,"Амортизационные отчисления")+SUMIFS('ИП + источники'!AF$27:AF$145,'ИП + источники'!$F$27:$F$145,$F76,'ИП + источники'!$AC$27:$AC$145,"погашение займов и кредитов из амортизации")</f>
        <v>0</v>
      </c>
      <c r="AF76" s="128">
        <f ca="1">SUMIFS('ИП + источники'!AG$27:AG$145,'ИП + источники'!$F$27:$F$145,$F76,'ИП + источники'!$AC$27:$AC$145,"Амортизационные отчисления")+SUMIFS('ИП + источники'!AG$27:AG$145,'ИП + источники'!$F$27:$F$145,$F76,'ИП + источники'!$AC$27:$AC$145,"погашение займов и кредитов из амортизации")</f>
        <v>0</v>
      </c>
      <c r="AG76" s="128">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H76" s="171">
        <f t="shared" ca="1" si="3"/>
        <v>0</v>
      </c>
      <c r="AI76" s="128">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J76" s="778">
        <f ca="1">SUMIFS('ИП + источники'!AI$27:AI$145,'ИП + источники'!$F$27:$F$145,$F76,'ИП + источники'!$AC$27:$AC$145,"Амортизационные отчисления")+SUMIFS('ИП + источники'!AI$27:AI$145,'ИП + источники'!$F$27:$F$145,$F76,'ИП + источники'!$AC$27:$AC$145,"погашение займов и кредитов из амортизации")</f>
        <v>0</v>
      </c>
      <c r="AK76" s="778">
        <f ca="1">SUMIFS('ИП + источники'!AJ$27:AJ$145,'ИП + источники'!$F$27:$F$145,$F76,'ИП + источники'!$AC$27:$AC$145,"Амортизационные отчисления")+SUMIFS('ИП + источники'!AJ$27:AJ$145,'ИП + источники'!$F$27:$F$145,$F76,'ИП + источники'!$AC$27:$AC$145,"погашение займов и кредитов из амортизации")</f>
        <v>0</v>
      </c>
      <c r="AL76" s="171">
        <f t="shared" ca="1" si="4"/>
        <v>0</v>
      </c>
      <c r="AM76" s="775"/>
      <c r="AN76" s="775"/>
      <c r="AO76" s="775"/>
      <c r="AR76" s="694" t="s">
        <v>1844</v>
      </c>
    </row>
    <row r="77" spans="2:48" s="423" customFormat="1" ht="21.95" hidden="1" customHeight="1" x14ac:dyDescent="0.25">
      <c r="E77" s="505">
        <v>22.5</v>
      </c>
      <c r="F77" s="3" cm="1">
        <f t="array" aca="1" ref="F77" ca="1">OFFSET(E77,-1,1)</f>
        <v>0</v>
      </c>
      <c r="I77" s="154" t="s">
        <v>532</v>
      </c>
      <c r="J77" s="154"/>
      <c r="K77" s="154"/>
      <c r="L77" s="154"/>
      <c r="M77" s="154"/>
      <c r="N77" s="154"/>
      <c r="O77" s="154"/>
      <c r="P77" s="154"/>
      <c r="Q77" s="154"/>
      <c r="R77" s="154"/>
      <c r="S77" s="154"/>
      <c r="T77" s="353" t="b" cm="1">
        <f t="array" aca="1" ref="T77" ca="1">T76</f>
        <v>0</v>
      </c>
      <c r="X77" s="1078"/>
      <c r="Z77" s="1079"/>
      <c r="AB77" s="131" t="s">
        <v>536</v>
      </c>
      <c r="AC77" s="125" t="s">
        <v>1845</v>
      </c>
      <c r="AD77" s="124" t="s">
        <v>828</v>
      </c>
      <c r="AE77" s="126">
        <f ca="1">SUMIFS(Аренда!AE$25:AE$67,Аренда!$F$25:$F$67,$F77,Аренда!$G$25:$G$67,"Арендная и концессионная плата, лизинговые платежи")</f>
        <v>0</v>
      </c>
      <c r="AF77" s="126">
        <f ca="1">SUMIFS(Аренда!AF$25:AF$67,Аренда!$F$25:$F$67,$F77,Аренда!$G$25:$G$67,"Арендная и концессионная плата, лизинговые платежи")</f>
        <v>0</v>
      </c>
      <c r="AG77" s="126">
        <f ca="1">SUMIFS(Аренда!AG$25:AG$67,Аренда!$F$25:$F$67,$F77,Аренда!$G$25:$G$67,"Арендная и концессионная плата, лизинговые платежи")</f>
        <v>0</v>
      </c>
      <c r="AH77" s="126">
        <f t="shared" ca="1" si="3"/>
        <v>0</v>
      </c>
      <c r="AI77" s="126">
        <f ca="1">SUMIFS(Аренда!AH$25:AH$67,Аренда!$F$25:$F$67,$F77,Аренда!$G$25:$G$67,"Арендная и концессионная плата, лизинговые платежи")</f>
        <v>0</v>
      </c>
      <c r="AJ77" s="126">
        <f ca="1">SUMIFS(Аренда!AI$25:AI$67,Аренда!$F$25:$F$67,$F77,Аренда!$G$25:$G$67,"Арендная и концессионная плата, лизинговые платежи")</f>
        <v>0</v>
      </c>
      <c r="AK77" s="126">
        <f ca="1">SUMIFS(Аренда!AS$25:AS$67,Аренда!$F$25:$F$67,$F77,Аренда!$G$25:$G$67,"Арендная и концессионная плата, лизинговые платежи")</f>
        <v>0</v>
      </c>
      <c r="AL77" s="126">
        <f t="shared" ca="1" si="4"/>
        <v>0</v>
      </c>
      <c r="AM77" s="777"/>
      <c r="AN77" s="779" t="str">
        <f ca="1">IF(IFERROR(INDEX(Аренда!$K$26:$L$67,MATCH($F77&amp;"komm",Аренда!$K$26:$K$67,0),2),"")=0,"",IFERROR(INDEX(Аренда!$K$26:$L$67,MATCH($F77&amp;"komm",Аренда!$K$26:$K$67,0),2),""))</f>
        <v/>
      </c>
      <c r="AO77" s="777"/>
      <c r="AR77" s="695" t="s">
        <v>1846</v>
      </c>
      <c r="AS77" s="695"/>
      <c r="AT77" s="695"/>
      <c r="AU77" s="505"/>
      <c r="AV77" s="505"/>
    </row>
    <row r="78" spans="2:48" s="423" customFormat="1" ht="14.65" hidden="1" customHeight="1" x14ac:dyDescent="0.25">
      <c r="E78" s="505">
        <v>15</v>
      </c>
      <c r="F78" s="3" cm="1">
        <f t="array" aca="1" ref="F78" ca="1">OFFSET(E78,-1,1)</f>
        <v>0</v>
      </c>
      <c r="I78" s="154" t="s">
        <v>535</v>
      </c>
      <c r="J78" s="154"/>
      <c r="K78" s="154"/>
      <c r="L78" s="154"/>
      <c r="M78" s="154"/>
      <c r="N78" s="154"/>
      <c r="O78" s="154"/>
      <c r="P78" s="154"/>
      <c r="Q78" s="154"/>
      <c r="R78" s="154"/>
      <c r="S78" s="154"/>
      <c r="T78" s="353" t="b" cm="1">
        <f t="array" aca="1" ref="T78" ca="1">T77</f>
        <v>0</v>
      </c>
      <c r="X78" s="1078"/>
      <c r="Z78" s="1079"/>
      <c r="AB78" s="131" t="s">
        <v>602</v>
      </c>
      <c r="AC78" s="125" t="s">
        <v>1847</v>
      </c>
      <c r="AD78" s="124" t="s">
        <v>828</v>
      </c>
      <c r="AE78" s="126">
        <f ca="1">SUMIFS(Налоги!AE$25:AE$83,Налоги!$F$25:$F$83,$F78,Налоги!$AC$25:$AC$83,"Налоги и платежи, относимые на указанный вид деятельности")</f>
        <v>0</v>
      </c>
      <c r="AF78" s="126">
        <f ca="1">SUMIFS(Налоги!AF$25:AF$83,Налоги!$F$25:$F$83,$F78,Налоги!$AC$25:$AC$83,"Налоги и платежи, относимые на указанный вид деятельности")</f>
        <v>0</v>
      </c>
      <c r="AG78" s="126">
        <f ca="1">SUMIFS(Налоги!AG$25:AG$83,Налоги!$F$25:$F$83,$F78,Налоги!$AC$25:$AC$83,"Налоги и платежи, относимые на указанный вид деятельности")</f>
        <v>0</v>
      </c>
      <c r="AH78" s="126">
        <f t="shared" ca="1" si="3"/>
        <v>0</v>
      </c>
      <c r="AI78" s="126">
        <f ca="1">SUMIFS(Налоги!AH$25:AH$83,Налоги!$F$25:$F$83,$F78,Налоги!$AC$25:$AC$83,"Налоги и платежи, относимые на указанный вид деятельности")</f>
        <v>0</v>
      </c>
      <c r="AJ78" s="126">
        <f ca="1">SUMIFS(Налоги!AI$25:AI$83,Налоги!$F$25:$F$83,$F78,Налоги!$AC$25:$AC$83,"Налоги и платежи, относимые на указанный вид деятельности")</f>
        <v>0</v>
      </c>
      <c r="AK78" s="126">
        <f ca="1">SUMIFS(Налоги!AS$25:AS$83,Налоги!$F$25:$F$83,$F78,Налоги!$AC$25:$AC$83,"Налоги и платежи, относимые на указанный вид деятельности")</f>
        <v>0</v>
      </c>
      <c r="AL78" s="126">
        <f t="shared" ca="1" si="4"/>
        <v>0</v>
      </c>
      <c r="AM78" s="777"/>
      <c r="AN78" s="779" t="str">
        <f ca="1">IF(IFERROR(INDEX(Налоги!$K$26:$L$83,MATCH($F78&amp;"komm",Налоги!$K$26:$K$83,0),2),"")=0,"",IFERROR(INDEX(Налоги!$K$26:$L$83,MATCH($F78&amp;"komm",Налоги!$K$26:$K$83,0),2),""))</f>
        <v/>
      </c>
      <c r="AO78" s="777"/>
      <c r="AR78" s="695" t="s">
        <v>1275</v>
      </c>
      <c r="AS78" s="695"/>
      <c r="AT78" s="695"/>
      <c r="AU78" s="505"/>
      <c r="AV78" s="505"/>
    </row>
    <row r="79" spans="2:48" s="423" customFormat="1" ht="14.65" hidden="1" customHeight="1" x14ac:dyDescent="0.25">
      <c r="E79" s="505">
        <v>15</v>
      </c>
      <c r="F79" s="3" cm="1">
        <f t="array" aca="1" ref="F79" ca="1">OFFSET(E79,-1,1)</f>
        <v>0</v>
      </c>
      <c r="I79" s="154" t="s">
        <v>586</v>
      </c>
      <c r="J79" s="154"/>
      <c r="K79" s="154"/>
      <c r="L79" s="154"/>
      <c r="M79" s="154"/>
      <c r="N79" s="154"/>
      <c r="O79" s="154"/>
      <c r="P79" s="154"/>
      <c r="Q79" s="154"/>
      <c r="R79" s="154"/>
      <c r="S79" s="154"/>
      <c r="T79" s="353" t="b" cm="1">
        <f t="array" aca="1" ref="T79" ca="1">T78</f>
        <v>0</v>
      </c>
      <c r="X79" s="1078"/>
      <c r="Z79" s="1079"/>
      <c r="AB79" s="131" t="s">
        <v>610</v>
      </c>
      <c r="AC79" s="125" t="s">
        <v>1848</v>
      </c>
      <c r="AD79" s="147" t="s">
        <v>828</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7"/>
      <c r="AN79" s="779"/>
      <c r="AO79" s="777"/>
      <c r="AR79" s="695" t="s">
        <v>1517</v>
      </c>
      <c r="AS79" s="695"/>
      <c r="AT79" s="695"/>
      <c r="AU79" s="505"/>
      <c r="AV79" s="505"/>
    </row>
    <row r="80" spans="2:48" ht="14.65" hidden="1" customHeight="1" x14ac:dyDescent="0.25">
      <c r="E80" s="504">
        <v>15</v>
      </c>
      <c r="F80" s="3" cm="1">
        <f t="array" aca="1" ref="F80" ca="1">OFFSET(E80,-1,1)</f>
        <v>0</v>
      </c>
      <c r="I80" s="38" t="s">
        <v>589</v>
      </c>
      <c r="J80" s="38"/>
      <c r="K80" s="38"/>
      <c r="L80" s="38"/>
      <c r="M80" s="38"/>
      <c r="N80" s="38"/>
      <c r="O80" s="38"/>
      <c r="P80" s="38"/>
      <c r="Q80" s="38"/>
      <c r="R80" s="38"/>
      <c r="S80" s="38"/>
      <c r="T80" s="353" t="b" cm="1">
        <f t="array" aca="1" ref="T80" ca="1">T79</f>
        <v>0</v>
      </c>
      <c r="X80" s="1078"/>
      <c r="Z80" s="1079"/>
      <c r="AB80" s="133" t="s">
        <v>614</v>
      </c>
      <c r="AC80" s="127" t="s">
        <v>1849</v>
      </c>
      <c r="AD80" s="7" t="s">
        <v>828</v>
      </c>
      <c r="AE80" s="128">
        <f ca="1">SUMIFS('ИП + источники'!AF$26:AF$145,'ИП + источники'!$F$26:$F$145,$F80,'ИП + источники'!$AC$26:$AC$145,"погашение займов и кредитов из нормативной прибыли")+SUMIFS('ИП + источники'!AF$26:AF$145,'ИП + источники'!$F$26:$F$145,$F80,'ИП + источники'!$AC$26:$AC$145,"уплата процентов по кредитам из нормативной прибыли")</f>
        <v>0</v>
      </c>
      <c r="AF80" s="128">
        <f ca="1">SUMIFS('ИП + источники'!AG$26:AG$145,'ИП + источники'!$F$26:$F$145,$F80,'ИП + источники'!$AC$26:$AC$145,"погашение займов и кредитов из нормативной прибыли")+SUMIFS('ИП + источники'!AG$26:AG$145,'ИП + источники'!$F$26:$F$145,$F80,'ИП + источники'!$AC$26:$AC$145,"уплата процентов по кредитам из нормативной прибыли")</f>
        <v>0</v>
      </c>
      <c r="AG80" s="128">
        <f ca="1">SUMIFS('ИП + источники'!AH$26:AH$145,'ИП + источники'!$F$26:$F$145,$F80,'ИП + источники'!$AC$26:$AC$145,"погашение займов и кредитов из нормативной прибыли")+SUMIFS('ИП + источники'!AH$26:AH$145,'ИП + источники'!$F$26:$F$145,$F80,'ИП + источники'!$AC$26:$AC$145,"уплата процентов по кредитам из нормативной прибыли")</f>
        <v>0</v>
      </c>
      <c r="AH80" s="171">
        <f t="shared" ca="1" si="3"/>
        <v>0</v>
      </c>
      <c r="AI80" s="128">
        <f ca="1">SUMIFS('ИП + источники'!AJ$26:AJ$145,'ИП + источники'!$F$26:$F$145,$F80,'ИП + источники'!$AC$26:$AC$145,"погашение займов и кредитов из нормативной прибыли")+SUMIFS('ИП + источники'!AJ$26:AJ$145,'ИП + источники'!$F$26:$F$145,$F80,'ИП + источники'!$AC$26:$AC$145,"уплата процентов по кредитам из нормативной прибыли")</f>
        <v>0</v>
      </c>
      <c r="AJ80" s="778">
        <f ca="1">SUMIFS('ИП + источники'!AK$26:AK$145,'ИП + источники'!$F$26:$F$145,$F80,'ИП + источники'!$AC$26:$AC$145,"погашение займов и кредитов из нормативной прибыли")+SUMIFS('ИП + источники'!AK$26:AK$145,'ИП + источники'!$F$26:$F$145,$F80,'ИП + источники'!$AC$26:$AC$145,"уплата процентов по кредитам из нормативной прибыли")</f>
        <v>0</v>
      </c>
      <c r="AK80" s="778">
        <f ca="1">SUMIFS('ИП + источники'!AU$26:AU$145,'ИП + источники'!$F$26:$F$145,$F80,'ИП + источники'!$AC$26:$AC$145,"погашение займов и кредитов из нормативной прибыли")+SUMIFS('ИП + источники'!AU$26:AU$145,'ИП + источники'!$F$26:$F$145,$F80,'ИП + источники'!$AC$26:$AC$145,"уплата процентов по кредитам из нормативной прибыли")</f>
        <v>0</v>
      </c>
      <c r="AL80" s="171">
        <f t="shared" ca="1" si="4"/>
        <v>0</v>
      </c>
      <c r="AM80" s="775"/>
      <c r="AN80" s="779" t="str">
        <f ca="1">IF(IFERROR(INDEX('ИП + источники'!$K$28:$L$145,MATCH($F80&amp;"1komm",'ИП + источники'!$K$28:$K$145,0),2),"")=0,"",IFERROR(INDEX('ИП + источники'!$K$28:$L$145,MATCH($F80&amp;"1komm",'ИП + источники'!$K$28:$K$145,0),2),""))</f>
        <v/>
      </c>
      <c r="AO80" s="775"/>
      <c r="AR80" s="694" t="s">
        <v>1268</v>
      </c>
    </row>
    <row r="81" spans="2:48" ht="14.65" hidden="1" customHeight="1" x14ac:dyDescent="0.25">
      <c r="E81" s="504">
        <v>15</v>
      </c>
      <c r="F81" s="3" cm="1">
        <f t="array" aca="1" ref="F81" ca="1">OFFSET(E81,-1,1)</f>
        <v>0</v>
      </c>
      <c r="I81" s="38" t="s">
        <v>593</v>
      </c>
      <c r="J81" s="38"/>
      <c r="K81" s="38"/>
      <c r="L81" s="38"/>
      <c r="M81" s="38"/>
      <c r="N81" s="38"/>
      <c r="O81" s="38"/>
      <c r="P81" s="38"/>
      <c r="Q81" s="38"/>
      <c r="R81" s="38"/>
      <c r="S81" s="38"/>
      <c r="T81" s="353" t="b" cm="1">
        <f t="array" aca="1" ref="T81" ca="1">T80</f>
        <v>0</v>
      </c>
      <c r="X81" s="1078"/>
      <c r="Z81" s="1079"/>
      <c r="AB81" s="133" t="s">
        <v>631</v>
      </c>
      <c r="AC81" s="127" t="s">
        <v>1850</v>
      </c>
      <c r="AD81" s="7" t="s">
        <v>828</v>
      </c>
      <c r="AE81" s="128">
        <f ca="1">SUMIFS('ИП + источники'!AF$27:AF$145,'ИП + источники'!$F$27:$F$145,$F81,'ИП + источники'!$AC$27:$AC$145,"Прибыль на капвложения")</f>
        <v>0</v>
      </c>
      <c r="AF81" s="128">
        <f ca="1">SUMIFS('ИП + источники'!AG$27:AG$145,'ИП + источники'!$F$27:$F$145,$F81,'ИП + источники'!$AC$27:$AC$145,"Прибыль на капвложения")</f>
        <v>0</v>
      </c>
      <c r="AG81" s="128">
        <f ca="1">SUMIFS('ИП + источники'!AH$27:AH$145,'ИП + источники'!$F$27:$F$145,$F81,'ИП + источники'!$AC$27:$AC$145,"Прибыль на капвложения")</f>
        <v>0</v>
      </c>
      <c r="AH81" s="171">
        <f t="shared" ca="1" si="3"/>
        <v>0</v>
      </c>
      <c r="AI81" s="128">
        <f ca="1">SUMIFS('ИП + источники'!AJ$27:AJ$145,'ИП + источники'!$F$27:$F$145,$F81,'ИП + источники'!$AC$27:$AC$145,"Прибыль на капвложения")</f>
        <v>0</v>
      </c>
      <c r="AJ81" s="778">
        <f ca="1">SUMIFS('ИП + источники'!AK$27:AK$145,'ИП + источники'!$F$27:$F$145,$F81,'ИП + источники'!$AC$27:$AC$145,"Прибыль на капвложения")</f>
        <v>0</v>
      </c>
      <c r="AK81" s="778">
        <f ca="1">SUMIFS('ИП + источники'!AU$27:AU$145,'ИП + источники'!$F$27:$F$145,$F81,'ИП + источники'!$AC$27:$AC$145,"Прибыль на капвложения")</f>
        <v>0</v>
      </c>
      <c r="AL81" s="171">
        <f t="shared" ca="1" si="4"/>
        <v>0</v>
      </c>
      <c r="AM81" s="775"/>
      <c r="AN81" s="779" t="str">
        <f ca="1">IF(IFERROR(INDEX('ИП + источники'!$K$28:$L$145,MATCH($F81&amp;"2komm",'ИП + источники'!$K$28:$K$145,0),2),"")=0,"",IFERROR(INDEX('ИП + источники'!$K$28:$L$145,MATCH($F81&amp;"2komm",'ИП + источники'!$K$28:$K$145,0),2),""))</f>
        <v/>
      </c>
      <c r="AO81" s="775"/>
      <c r="AR81" s="694" t="s">
        <v>1851</v>
      </c>
    </row>
    <row r="82" spans="2:48" ht="21.95" hidden="1" customHeight="1" x14ac:dyDescent="0.25">
      <c r="E82" s="504">
        <v>22.5</v>
      </c>
      <c r="F82" s="3" cm="1">
        <f t="array" aca="1" ref="F82" ca="1">OFFSET(E82,-1,1)</f>
        <v>0</v>
      </c>
      <c r="I82" s="38" t="s">
        <v>597</v>
      </c>
      <c r="J82" s="38"/>
      <c r="K82" s="38"/>
      <c r="L82" s="38"/>
      <c r="M82" s="38"/>
      <c r="N82" s="38"/>
      <c r="O82" s="38"/>
      <c r="P82" s="38"/>
      <c r="Q82" s="38"/>
      <c r="R82" s="38"/>
      <c r="S82" s="38"/>
      <c r="T82" s="353" t="b" cm="1">
        <f t="array" aca="1" ref="T82" ca="1">T81</f>
        <v>0</v>
      </c>
      <c r="X82" s="1078"/>
      <c r="Z82" s="1079"/>
      <c r="AB82" s="133" t="s">
        <v>643</v>
      </c>
      <c r="AC82" s="127" t="s">
        <v>1852</v>
      </c>
      <c r="AD82" s="7" t="s">
        <v>828</v>
      </c>
      <c r="AE82" s="128"/>
      <c r="AF82" s="128"/>
      <c r="AG82" s="128"/>
      <c r="AH82" s="171"/>
      <c r="AI82" s="128"/>
      <c r="AJ82" s="778"/>
      <c r="AK82" s="778"/>
      <c r="AL82" s="171">
        <f t="shared" si="4"/>
        <v>0</v>
      </c>
      <c r="AM82" s="775"/>
      <c r="AN82" s="775"/>
      <c r="AO82" s="775"/>
      <c r="AR82" s="694" t="s">
        <v>1853</v>
      </c>
    </row>
    <row r="83" spans="2:48" s="423" customFormat="1" ht="21.95" hidden="1" customHeight="1" x14ac:dyDescent="0.25">
      <c r="B83" s="423" t="b">
        <f>STATUS_GO="да"</f>
        <v>0</v>
      </c>
      <c r="E83" s="505">
        <v>22.5</v>
      </c>
      <c r="F83" s="3" cm="1">
        <f t="array" aca="1" ref="F83" ca="1">OFFSET(E83,-1,1)</f>
        <v>0</v>
      </c>
      <c r="I83" s="154" t="s">
        <v>601</v>
      </c>
      <c r="J83" s="154"/>
      <c r="K83" s="154"/>
      <c r="L83" s="154"/>
      <c r="M83" s="154"/>
      <c r="N83" s="154"/>
      <c r="O83" s="154"/>
      <c r="P83" s="154"/>
      <c r="Q83" s="154"/>
      <c r="R83" s="154"/>
      <c r="S83" s="154"/>
      <c r="T83" s="353" t="b" cm="1">
        <f t="array" aca="1" ref="T83" ca="1">T82</f>
        <v>0</v>
      </c>
      <c r="X83" s="1078"/>
      <c r="Z83" s="1079"/>
      <c r="AB83" s="131" t="s">
        <v>768</v>
      </c>
      <c r="AC83" s="132" t="s">
        <v>1854</v>
      </c>
      <c r="AD83" s="124" t="s">
        <v>828</v>
      </c>
      <c r="AE83" s="138"/>
      <c r="AF83" s="138"/>
      <c r="AG83" s="138"/>
      <c r="AH83" s="126">
        <f>AG83-AF83</f>
        <v>0</v>
      </c>
      <c r="AI83" s="138"/>
      <c r="AJ83" s="774"/>
      <c r="AK83" s="774"/>
      <c r="AL83" s="126">
        <f t="shared" si="4"/>
        <v>0</v>
      </c>
      <c r="AM83" s="777"/>
      <c r="AN83" s="777"/>
      <c r="AO83" s="777"/>
      <c r="AR83" s="695" t="s">
        <v>1855</v>
      </c>
      <c r="AS83" s="695"/>
      <c r="AT83" s="695"/>
      <c r="AU83" s="505"/>
      <c r="AV83" s="505"/>
    </row>
    <row r="84" spans="2:48" ht="14.65" hidden="1" customHeight="1" x14ac:dyDescent="0.25">
      <c r="E84" s="504">
        <v>15</v>
      </c>
      <c r="F84" s="3" cm="1">
        <f t="array" aca="1" ref="F84" ca="1">OFFSET(E84,-1,1)</f>
        <v>0</v>
      </c>
      <c r="I84" s="38" t="s">
        <v>609</v>
      </c>
      <c r="J84" s="38"/>
      <c r="K84" s="38"/>
      <c r="L84" s="38"/>
      <c r="M84" s="38"/>
      <c r="N84" s="38"/>
      <c r="O84" s="38"/>
      <c r="P84" s="38"/>
      <c r="Q84" s="38"/>
      <c r="R84" s="38"/>
      <c r="S84" s="38"/>
      <c r="T84" s="353" t="b" cm="1">
        <f t="array" aca="1" ref="T84" ca="1">T83</f>
        <v>0</v>
      </c>
      <c r="X84" s="1078"/>
      <c r="Z84" s="1079"/>
      <c r="AB84" s="133" t="s">
        <v>771</v>
      </c>
      <c r="AC84" s="346" t="s">
        <v>1472</v>
      </c>
      <c r="AD84" s="7" t="s">
        <v>828</v>
      </c>
      <c r="AE84" s="128"/>
      <c r="AF84" s="128"/>
      <c r="AG84" s="128"/>
      <c r="AH84" s="171"/>
      <c r="AI84" s="129"/>
      <c r="AJ84" s="129"/>
      <c r="AK84" s="129"/>
      <c r="AL84" s="171">
        <f t="shared" si="4"/>
        <v>0</v>
      </c>
      <c r="AM84" s="775"/>
      <c r="AN84" s="775"/>
      <c r="AO84" s="775"/>
      <c r="AR84" s="694" t="s">
        <v>1856</v>
      </c>
    </row>
    <row r="85" spans="2:48" ht="101.25" hidden="1" customHeight="1" x14ac:dyDescent="0.25">
      <c r="E85" s="504">
        <v>0</v>
      </c>
      <c r="F85" s="3" cm="1">
        <f t="array" aca="1" ref="F85" ca="1">OFFSET(E85,-1,1)</f>
        <v>0</v>
      </c>
      <c r="H85" s="38" t="b">
        <f>ISERR(SEARCH("Водоснабжение",AB27))</f>
        <v>1</v>
      </c>
      <c r="I85" s="38" t="s">
        <v>767</v>
      </c>
      <c r="J85" s="38"/>
      <c r="K85" s="38"/>
      <c r="L85" s="38"/>
      <c r="M85" s="38"/>
      <c r="N85" s="38"/>
      <c r="O85" s="38"/>
      <c r="P85" s="38"/>
      <c r="Q85" s="38"/>
      <c r="R85" s="38"/>
      <c r="S85" s="38"/>
      <c r="T85" s="353" t="b" cm="1">
        <f t="array" aca="1" ref="T85" ca="1">T84</f>
        <v>0</v>
      </c>
      <c r="X85" s="1078"/>
      <c r="Z85" s="1079"/>
      <c r="AB85" s="133" t="s">
        <v>1098</v>
      </c>
      <c r="AC85" s="346" t="s">
        <v>1857</v>
      </c>
      <c r="AD85" s="9" t="s">
        <v>828</v>
      </c>
      <c r="AE85" s="128"/>
      <c r="AF85" s="128"/>
      <c r="AG85" s="128"/>
      <c r="AH85" s="171">
        <f t="shared" ref="AH85:AH100" si="5">AG85-AF85</f>
        <v>0</v>
      </c>
      <c r="AI85" s="128"/>
      <c r="AJ85" s="778"/>
      <c r="AK85" s="778">
        <f ca="1">IFERROR(SUMIFS('Плата за негативное возд'!$AL$25:$AL$38,'Плата за негативное возд'!$F$25:$F$38,F85,'Плата за негативное возд'!$G$25:$G$38,"1"),0)</f>
        <v>0</v>
      </c>
      <c r="AL85" s="171">
        <f t="shared" si="4"/>
        <v>0</v>
      </c>
      <c r="AM85" s="775"/>
      <c r="AN85" s="775"/>
      <c r="AO85" s="775"/>
      <c r="AR85" s="694" t="s">
        <v>1374</v>
      </c>
    </row>
    <row r="86" spans="2:48" ht="67.5" hidden="1" customHeight="1" x14ac:dyDescent="0.25">
      <c r="E86" s="504">
        <v>0</v>
      </c>
      <c r="F86" s="3" cm="1">
        <f t="array" aca="1" ref="F86" ca="1">OFFSET(E86,-1,1)</f>
        <v>0</v>
      </c>
      <c r="H86" s="38" t="b">
        <f>ISERR(SEARCH("Водоснабжение",AB27))</f>
        <v>1</v>
      </c>
      <c r="I86" s="38" t="s">
        <v>770</v>
      </c>
      <c r="J86" s="38"/>
      <c r="K86" s="38"/>
      <c r="L86" s="38"/>
      <c r="M86" s="38"/>
      <c r="N86" s="38"/>
      <c r="O86" s="38"/>
      <c r="P86" s="38"/>
      <c r="Q86" s="38"/>
      <c r="R86" s="38"/>
      <c r="S86" s="38"/>
      <c r="T86" s="353" t="b" cm="1">
        <f t="array" aca="1" ref="T86" ca="1">T85</f>
        <v>0</v>
      </c>
      <c r="X86" s="1078"/>
      <c r="Z86" s="1079"/>
      <c r="AB86" s="133" t="s">
        <v>1858</v>
      </c>
      <c r="AC86" s="346" t="s">
        <v>1859</v>
      </c>
      <c r="AD86" s="9" t="s">
        <v>828</v>
      </c>
      <c r="AE86" s="128"/>
      <c r="AF86" s="128"/>
      <c r="AG86" s="128"/>
      <c r="AH86" s="171">
        <f t="shared" si="5"/>
        <v>0</v>
      </c>
      <c r="AI86" s="128"/>
      <c r="AJ86" s="778"/>
      <c r="AK86" s="778">
        <f ca="1">IFERROR(SUMIFS('Плата за негативное возд'!$AL$25:$AL$38,'Плата за негативное возд'!$F$25:$F$38,F86,'Плата за негативное возд'!$G$25:$G$38,"2"),0)</f>
        <v>0</v>
      </c>
      <c r="AL86" s="171">
        <f t="shared" si="4"/>
        <v>0</v>
      </c>
      <c r="AM86" s="775"/>
      <c r="AN86" s="775"/>
      <c r="AO86" s="775"/>
      <c r="AR86" s="694" t="s">
        <v>1378</v>
      </c>
    </row>
    <row r="87" spans="2:48" ht="14.65" hidden="1" customHeight="1" x14ac:dyDescent="0.25">
      <c r="E87" s="504">
        <v>15</v>
      </c>
      <c r="F87" s="3" cm="1">
        <f t="array" aca="1" ref="F87" ca="1">OFFSET(E87,-1,1)</f>
        <v>0</v>
      </c>
      <c r="I87" s="38" t="s">
        <v>806</v>
      </c>
      <c r="J87" s="38"/>
      <c r="K87" s="38"/>
      <c r="L87" s="38"/>
      <c r="M87" s="38"/>
      <c r="N87" s="38"/>
      <c r="O87" s="38"/>
      <c r="P87" s="38"/>
      <c r="Q87" s="38"/>
      <c r="R87" s="38"/>
      <c r="S87" s="38"/>
      <c r="T87" s="353" t="b" cm="1">
        <f t="array" aca="1" ref="T87" ca="1">T86</f>
        <v>0</v>
      </c>
      <c r="X87" s="1078"/>
      <c r="Z87" s="1079"/>
      <c r="AB87" s="133" t="s">
        <v>1860</v>
      </c>
      <c r="AC87" s="246" t="s">
        <v>1861</v>
      </c>
      <c r="AD87" s="7" t="s">
        <v>828</v>
      </c>
      <c r="AE87" s="128"/>
      <c r="AF87" s="128"/>
      <c r="AG87" s="128"/>
      <c r="AH87" s="171">
        <f t="shared" si="5"/>
        <v>0</v>
      </c>
      <c r="AI87" s="128"/>
      <c r="AJ87" s="778"/>
      <c r="AK87" s="778"/>
      <c r="AL87" s="171">
        <f t="shared" si="4"/>
        <v>0</v>
      </c>
      <c r="AM87" s="775"/>
      <c r="AN87" s="775"/>
      <c r="AO87" s="775"/>
      <c r="AR87" s="694" t="s">
        <v>1253</v>
      </c>
    </row>
    <row r="88" spans="2:48" s="423" customFormat="1" ht="21.95" hidden="1" customHeight="1" x14ac:dyDescent="0.25">
      <c r="E88" s="505">
        <v>22.5</v>
      </c>
      <c r="F88" s="3" cm="1">
        <f t="array" aca="1" ref="F88" ca="1">OFFSET(E88,-1,1)</f>
        <v>0</v>
      </c>
      <c r="I88" s="154" t="s">
        <v>807</v>
      </c>
      <c r="J88" s="154"/>
      <c r="K88" s="154"/>
      <c r="L88" s="154"/>
      <c r="M88" s="154"/>
      <c r="N88" s="154"/>
      <c r="O88" s="154"/>
      <c r="P88" s="154"/>
      <c r="Q88" s="154"/>
      <c r="R88" s="154"/>
      <c r="S88" s="154"/>
      <c r="T88" s="353" t="b" cm="1">
        <f t="array" aca="1" ref="T88" ca="1">T87</f>
        <v>0</v>
      </c>
      <c r="X88" s="1078"/>
      <c r="Z88" s="1079"/>
      <c r="AB88" s="131" t="s">
        <v>1862</v>
      </c>
      <c r="AC88" s="125" t="s">
        <v>1863</v>
      </c>
      <c r="AD88" s="124" t="s">
        <v>828</v>
      </c>
      <c r="AE88" s="126">
        <f>AE89+AE90</f>
        <v>0</v>
      </c>
      <c r="AF88" s="126">
        <f>AF89+AF90</f>
        <v>0</v>
      </c>
      <c r="AG88" s="126">
        <f>AG89+AG90</f>
        <v>0</v>
      </c>
      <c r="AH88" s="126">
        <f t="shared" si="5"/>
        <v>0</v>
      </c>
      <c r="AI88" s="126">
        <f>AI89+AI90</f>
        <v>0</v>
      </c>
      <c r="AJ88" s="126">
        <f>AJ89+AJ90</f>
        <v>0</v>
      </c>
      <c r="AK88" s="126">
        <f>AK89+AK90</f>
        <v>0</v>
      </c>
      <c r="AL88" s="126">
        <f t="shared" si="4"/>
        <v>0</v>
      </c>
      <c r="AM88" s="777"/>
      <c r="AN88" s="777"/>
      <c r="AO88" s="777"/>
      <c r="AR88" s="695" t="s">
        <v>1555</v>
      </c>
      <c r="AS88" s="695"/>
      <c r="AT88" s="695"/>
      <c r="AU88" s="505"/>
      <c r="AV88" s="505"/>
    </row>
    <row r="89" spans="2:48" ht="21.95" hidden="1" customHeight="1" x14ac:dyDescent="0.25">
      <c r="E89" s="504">
        <v>22.5</v>
      </c>
      <c r="F89" s="3" cm="1">
        <f t="array" aca="1" ref="F89" ca="1">OFFSET(E89,-1,1)</f>
        <v>0</v>
      </c>
      <c r="I89" s="38" t="s">
        <v>1864</v>
      </c>
      <c r="J89" s="38"/>
      <c r="K89" s="38"/>
      <c r="L89" s="38"/>
      <c r="M89" s="38"/>
      <c r="N89" s="38"/>
      <c r="O89" s="38"/>
      <c r="P89" s="38"/>
      <c r="Q89" s="38"/>
      <c r="R89" s="38"/>
      <c r="S89" s="38"/>
      <c r="T89" s="353" t="b" cm="1">
        <f t="array" aca="1" ref="T89" ca="1">T88</f>
        <v>0</v>
      </c>
      <c r="X89" s="1078"/>
      <c r="Z89" s="1079"/>
      <c r="AB89" s="133" t="s">
        <v>1865</v>
      </c>
      <c r="AC89" s="550" t="s">
        <v>1556</v>
      </c>
      <c r="AD89" s="7" t="s">
        <v>828</v>
      </c>
      <c r="AE89" s="128"/>
      <c r="AF89" s="128"/>
      <c r="AG89" s="128"/>
      <c r="AH89" s="171">
        <f t="shared" si="5"/>
        <v>0</v>
      </c>
      <c r="AI89" s="128"/>
      <c r="AJ89" s="778"/>
      <c r="AK89" s="778"/>
      <c r="AL89" s="171">
        <f t="shared" si="4"/>
        <v>0</v>
      </c>
      <c r="AM89" s="775"/>
      <c r="AN89" s="775"/>
      <c r="AO89" s="775"/>
      <c r="AR89" s="694" t="s">
        <v>1594</v>
      </c>
    </row>
    <row r="90" spans="2:48" ht="21.95" hidden="1" customHeight="1" x14ac:dyDescent="0.25">
      <c r="E90" s="504">
        <v>22.5</v>
      </c>
      <c r="F90" s="3" cm="1">
        <f t="array" aca="1" ref="F90" ca="1">OFFSET(E90,-1,1)</f>
        <v>0</v>
      </c>
      <c r="I90" s="38" t="s">
        <v>1866</v>
      </c>
      <c r="J90" s="38"/>
      <c r="K90" s="38"/>
      <c r="L90" s="38"/>
      <c r="M90" s="38"/>
      <c r="N90" s="38"/>
      <c r="O90" s="38"/>
      <c r="P90" s="38"/>
      <c r="Q90" s="38"/>
      <c r="R90" s="38"/>
      <c r="S90" s="38"/>
      <c r="T90" s="353" t="b" cm="1">
        <f t="array" aca="1" ref="T90" ca="1">T89</f>
        <v>0</v>
      </c>
      <c r="X90" s="1078"/>
      <c r="Z90" s="1079"/>
      <c r="AB90" s="133" t="s">
        <v>1867</v>
      </c>
      <c r="AC90" s="550" t="s">
        <v>1558</v>
      </c>
      <c r="AD90" s="7" t="s">
        <v>828</v>
      </c>
      <c r="AE90" s="128"/>
      <c r="AF90" s="128"/>
      <c r="AG90" s="128"/>
      <c r="AH90" s="171">
        <f t="shared" si="5"/>
        <v>0</v>
      </c>
      <c r="AI90" s="128"/>
      <c r="AJ90" s="778"/>
      <c r="AK90" s="778"/>
      <c r="AL90" s="171">
        <f t="shared" si="4"/>
        <v>0</v>
      </c>
      <c r="AM90" s="775"/>
      <c r="AN90" s="775"/>
      <c r="AO90" s="775"/>
      <c r="AR90" s="694" t="s">
        <v>1868</v>
      </c>
    </row>
    <row r="91" spans="2:48" ht="14.65" hidden="1" customHeight="1" x14ac:dyDescent="0.25">
      <c r="E91" s="504">
        <v>15</v>
      </c>
      <c r="F91" s="3" cm="1">
        <f t="array" aca="1" ref="F91" ca="1">OFFSET(E91,-1,1)</f>
        <v>0</v>
      </c>
      <c r="I91" s="38" t="s">
        <v>1869</v>
      </c>
      <c r="J91" s="38"/>
      <c r="K91" s="38"/>
      <c r="L91" s="38"/>
      <c r="M91" s="38"/>
      <c r="N91" s="38"/>
      <c r="O91" s="38"/>
      <c r="P91" s="38"/>
      <c r="Q91" s="38"/>
      <c r="R91" s="38"/>
      <c r="S91" s="38"/>
      <c r="T91" s="353" t="b" cm="1">
        <f t="array" aca="1" ref="T91" ca="1">T90</f>
        <v>0</v>
      </c>
      <c r="X91" s="1078"/>
      <c r="Z91" s="1079"/>
      <c r="AB91" s="551" t="s">
        <v>340</v>
      </c>
      <c r="AC91" s="557" t="s">
        <v>1560</v>
      </c>
      <c r="AD91" s="7" t="s">
        <v>828</v>
      </c>
      <c r="AE91" s="128"/>
      <c r="AF91" s="128"/>
      <c r="AG91" s="128"/>
      <c r="AH91" s="171">
        <f t="shared" si="5"/>
        <v>0</v>
      </c>
      <c r="AI91" s="128"/>
      <c r="AJ91" s="778"/>
      <c r="AK91" s="778"/>
      <c r="AL91" s="171">
        <f t="shared" si="4"/>
        <v>0</v>
      </c>
      <c r="AM91" s="775"/>
      <c r="AN91" s="775"/>
      <c r="AO91" s="775"/>
      <c r="AR91" s="694" t="s">
        <v>1561</v>
      </c>
    </row>
    <row r="92" spans="2:48" ht="14.65" hidden="1" customHeight="1" x14ac:dyDescent="0.25">
      <c r="E92" s="504">
        <v>15</v>
      </c>
      <c r="F92" s="3" cm="1">
        <f t="array" aca="1" ref="F92" ca="1">OFFSET(E92,-1,1)</f>
        <v>0</v>
      </c>
      <c r="I92" s="38" t="s">
        <v>1870</v>
      </c>
      <c r="J92" s="38"/>
      <c r="K92" s="38"/>
      <c r="L92" s="38"/>
      <c r="M92" s="38"/>
      <c r="N92" s="38"/>
      <c r="O92" s="38"/>
      <c r="P92" s="38"/>
      <c r="Q92" s="38"/>
      <c r="R92" s="38"/>
      <c r="S92" s="38"/>
      <c r="T92" s="353" t="b" cm="1">
        <f t="array" aca="1" ref="T92" ca="1">T91</f>
        <v>0</v>
      </c>
      <c r="X92" s="1078"/>
      <c r="Z92" s="1079"/>
      <c r="AB92" s="551" t="s">
        <v>1871</v>
      </c>
      <c r="AC92" s="557" t="s">
        <v>1562</v>
      </c>
      <c r="AD92" s="7" t="s">
        <v>828</v>
      </c>
      <c r="AE92" s="128"/>
      <c r="AF92" s="128"/>
      <c r="AG92" s="128"/>
      <c r="AH92" s="171">
        <f t="shared" si="5"/>
        <v>0</v>
      </c>
      <c r="AI92" s="128"/>
      <c r="AJ92" s="778"/>
      <c r="AK92" s="778"/>
      <c r="AL92" s="171">
        <f t="shared" si="4"/>
        <v>0</v>
      </c>
      <c r="AM92" s="775"/>
      <c r="AN92" s="775"/>
      <c r="AO92" s="775"/>
      <c r="AR92" s="694" t="s">
        <v>1563</v>
      </c>
    </row>
    <row r="93" spans="2:48" s="423" customFormat="1" ht="14.65" hidden="1" customHeight="1" x14ac:dyDescent="0.25">
      <c r="E93" s="505">
        <v>15</v>
      </c>
      <c r="F93" s="3" cm="1">
        <f t="array" aca="1" ref="F93" ca="1">OFFSET(E93,-1,1)</f>
        <v>0</v>
      </c>
      <c r="I93" s="154" t="s">
        <v>1872</v>
      </c>
      <c r="J93" s="154"/>
      <c r="K93" s="154"/>
      <c r="L93" s="154"/>
      <c r="M93" s="154"/>
      <c r="N93" s="154"/>
      <c r="O93" s="154"/>
      <c r="P93" s="154"/>
      <c r="Q93" s="154"/>
      <c r="R93" s="154"/>
      <c r="S93" s="154"/>
      <c r="T93" s="353" t="b" cm="1">
        <f t="array" aca="1" ref="T93" ca="1">T92</f>
        <v>0</v>
      </c>
      <c r="X93" s="1078"/>
      <c r="Z93" s="1079"/>
      <c r="AB93" s="131" t="s">
        <v>1873</v>
      </c>
      <c r="AC93" s="125" t="s">
        <v>1874</v>
      </c>
      <c r="AD93" s="124" t="s">
        <v>828</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7"/>
      <c r="AN93" s="777"/>
      <c r="AO93" s="777"/>
      <c r="AR93" s="695" t="s">
        <v>1875</v>
      </c>
      <c r="AS93" s="695"/>
      <c r="AT93" s="695"/>
      <c r="AU93" s="505"/>
      <c r="AV93" s="505"/>
    </row>
    <row r="94" spans="2:48" ht="15" hidden="1" customHeight="1" x14ac:dyDescent="0.25">
      <c r="B94" s="278" t="b">
        <f>G27="двухставочный"</f>
        <v>0</v>
      </c>
      <c r="E94" s="504">
        <v>0</v>
      </c>
      <c r="F94" s="3" cm="1">
        <f t="array" aca="1" ref="F94" ca="1">OFFSET(E94,-1,1)</f>
        <v>0</v>
      </c>
      <c r="I94" s="38" t="s">
        <v>1876</v>
      </c>
      <c r="J94" s="38"/>
      <c r="K94" s="38"/>
      <c r="L94" s="38"/>
      <c r="M94" s="38"/>
      <c r="N94" s="38"/>
      <c r="O94" s="38"/>
      <c r="P94" s="38"/>
      <c r="Q94" s="38"/>
      <c r="R94" s="38"/>
      <c r="S94" s="38"/>
      <c r="T94" s="353" t="b" cm="1">
        <f t="array" aca="1" ref="T94" ca="1">T93</f>
        <v>0</v>
      </c>
      <c r="X94" s="1078"/>
      <c r="Z94" s="1079"/>
      <c r="AB94" s="133" t="s">
        <v>1877</v>
      </c>
      <c r="AC94" s="550" t="s">
        <v>1878</v>
      </c>
      <c r="AD94" s="7" t="s">
        <v>828</v>
      </c>
      <c r="AE94" s="128"/>
      <c r="AF94" s="128"/>
      <c r="AG94" s="128"/>
      <c r="AH94" s="171">
        <f t="shared" si="5"/>
        <v>0</v>
      </c>
      <c r="AI94" s="128"/>
      <c r="AJ94" s="778"/>
      <c r="AK94" s="778"/>
      <c r="AL94" s="171">
        <f t="shared" si="4"/>
        <v>0</v>
      </c>
      <c r="AM94" s="775"/>
      <c r="AN94" s="775"/>
      <c r="AO94" s="775"/>
      <c r="AR94" s="694" t="s">
        <v>1879</v>
      </c>
    </row>
    <row r="95" spans="2:48" ht="15" hidden="1" customHeight="1" x14ac:dyDescent="0.25">
      <c r="B95" s="278" t="b">
        <f>G27="двухставочный"</f>
        <v>0</v>
      </c>
      <c r="E95" s="504">
        <v>0</v>
      </c>
      <c r="F95" s="3" cm="1">
        <f t="array" aca="1" ref="F95" ca="1">OFFSET(E95,-1,1)</f>
        <v>0</v>
      </c>
      <c r="I95" s="38" t="s">
        <v>1880</v>
      </c>
      <c r="J95" s="38"/>
      <c r="K95" s="38"/>
      <c r="L95" s="38"/>
      <c r="M95" s="38"/>
      <c r="N95" s="38"/>
      <c r="O95" s="38"/>
      <c r="P95" s="38"/>
      <c r="Q95" s="38"/>
      <c r="R95" s="38"/>
      <c r="S95" s="38"/>
      <c r="T95" s="353" t="b" cm="1">
        <f t="array" aca="1" ref="T95" ca="1">T94</f>
        <v>0</v>
      </c>
      <c r="X95" s="1078"/>
      <c r="Z95" s="1079"/>
      <c r="AB95" s="133" t="s">
        <v>1881</v>
      </c>
      <c r="AC95" s="550" t="s">
        <v>1882</v>
      </c>
      <c r="AD95" s="7" t="s">
        <v>828</v>
      </c>
      <c r="AE95" s="128"/>
      <c r="AF95" s="128"/>
      <c r="AG95" s="128"/>
      <c r="AH95" s="171">
        <f t="shared" si="5"/>
        <v>0</v>
      </c>
      <c r="AI95" s="128"/>
      <c r="AJ95" s="778"/>
      <c r="AK95" s="778"/>
      <c r="AL95" s="171">
        <f t="shared" si="4"/>
        <v>0</v>
      </c>
      <c r="AM95" s="775"/>
      <c r="AN95" s="775"/>
      <c r="AO95" s="775"/>
      <c r="AR95" s="694" t="s">
        <v>1883</v>
      </c>
    </row>
    <row r="96" spans="2:48" s="423" customFormat="1" ht="14.65" hidden="1" customHeight="1" x14ac:dyDescent="0.25">
      <c r="E96" s="505">
        <v>15</v>
      </c>
      <c r="F96" s="3" cm="1">
        <f t="array" aca="1" ref="F96" ca="1">OFFSET(E96,-1,1)</f>
        <v>0</v>
      </c>
      <c r="G96" s="72" t="s">
        <v>1653</v>
      </c>
      <c r="I96" s="154" t="s">
        <v>1884</v>
      </c>
      <c r="J96" s="154"/>
      <c r="K96" s="154"/>
      <c r="L96" s="154"/>
      <c r="M96" s="154"/>
      <c r="N96" s="154"/>
      <c r="O96" s="154"/>
      <c r="P96" s="154"/>
      <c r="Q96" s="154"/>
      <c r="R96" s="154"/>
      <c r="S96" s="154"/>
      <c r="T96" s="353" t="b" cm="1">
        <f t="array" aca="1" ref="T96" ca="1">T95</f>
        <v>0</v>
      </c>
      <c r="X96" s="1078"/>
      <c r="Z96" s="1079"/>
      <c r="AB96" s="131" t="s">
        <v>1885</v>
      </c>
      <c r="AC96" s="125" t="s">
        <v>1886</v>
      </c>
      <c r="AD96" s="124" t="s">
        <v>558</v>
      </c>
      <c r="AE96" s="552">
        <f ca="1">SUMIFS(Баланс!AE$26:AE$391,Баланс!$F$26:$F$391,$F96,Баланс!$G$26:$G$391,"ПО")</f>
        <v>0</v>
      </c>
      <c r="AF96" s="552">
        <f ca="1">SUMIFS(Баланс!AF$26:AF$391,Баланс!$F$26:$F$391,$F96,Баланс!$G$26:$G$391,"ПО")</f>
        <v>0</v>
      </c>
      <c r="AG96" s="552">
        <f ca="1">SUMIFS(Баланс!AG$26:AG$391,Баланс!$F$26:$F$391,$F96,Баланс!$G$26:$G$391,"ПО")</f>
        <v>0</v>
      </c>
      <c r="AH96" s="552">
        <f t="shared" ca="1" si="5"/>
        <v>0</v>
      </c>
      <c r="AI96" s="552">
        <f ca="1">SUMIFS(Баланс!AH$26:AH$391,Баланс!$F$26:$F$391,$F96,Баланс!$G$26:$G$391,"ПО")</f>
        <v>0</v>
      </c>
      <c r="AJ96" s="552">
        <f ca="1">SUMIFS(Баланс!AI$26:AI$391,Баланс!$F$26:$F$391,$F96,Баланс!$G$26:$G$391,"ПО")</f>
        <v>0</v>
      </c>
      <c r="AK96" s="552">
        <f ca="1">SUMIFS(Баланс!AS$26:AS$391,Баланс!$F$26:$F$391,$F96,Баланс!$G$26:$G$391,"ПО")</f>
        <v>0</v>
      </c>
      <c r="AL96" s="129"/>
      <c r="AM96" s="777"/>
      <c r="AN96" s="777"/>
      <c r="AO96" s="777"/>
      <c r="AR96" s="695" t="s">
        <v>1887</v>
      </c>
      <c r="AS96" s="695"/>
      <c r="AT96" s="695"/>
      <c r="AU96" s="505"/>
      <c r="AV96" s="505"/>
    </row>
    <row r="97" spans="5:48" ht="14.65" hidden="1" customHeight="1" x14ac:dyDescent="0.25">
      <c r="E97" s="504">
        <v>15</v>
      </c>
      <c r="F97" s="3" cm="1">
        <f t="array" aca="1" ref="F97" ca="1">OFFSET(E97,-1,1)</f>
        <v>0</v>
      </c>
      <c r="G97" s="72" t="s">
        <v>1680</v>
      </c>
      <c r="I97" s="38" t="s">
        <v>1888</v>
      </c>
      <c r="J97" s="38"/>
      <c r="K97" s="38"/>
      <c r="L97" s="38"/>
      <c r="M97" s="38"/>
      <c r="N97" s="38"/>
      <c r="O97" s="38"/>
      <c r="P97" s="38"/>
      <c r="Q97" s="38"/>
      <c r="R97" s="38"/>
      <c r="S97" s="38"/>
      <c r="T97" s="353" t="b" cm="1">
        <f t="array" aca="1" ref="T97" ca="1">T96</f>
        <v>0</v>
      </c>
      <c r="X97" s="1078"/>
      <c r="Z97" s="1079"/>
      <c r="AB97" s="133" t="s">
        <v>1889</v>
      </c>
      <c r="AC97" s="127" t="s">
        <v>1890</v>
      </c>
      <c r="AD97" s="7" t="s">
        <v>558</v>
      </c>
      <c r="AE97" s="444">
        <f ca="1">AE96/2</f>
        <v>0</v>
      </c>
      <c r="AF97" s="444">
        <f ca="1">AF96/2</f>
        <v>0</v>
      </c>
      <c r="AG97" s="444">
        <f ca="1">AG96/2</f>
        <v>0</v>
      </c>
      <c r="AH97" s="558">
        <f t="shared" ca="1" si="5"/>
        <v>0</v>
      </c>
      <c r="AI97" s="444">
        <f ca="1">AI96/2</f>
        <v>0</v>
      </c>
      <c r="AJ97" s="776">
        <f ca="1">IF(god=2026,AJ96/12*9,AJ96/2)</f>
        <v>0</v>
      </c>
      <c r="AK97" s="776">
        <f ca="1">IF(god=2026,AK96/12*9,AK96/2)</f>
        <v>0</v>
      </c>
      <c r="AL97" s="542"/>
      <c r="AM97" s="775"/>
      <c r="AN97" s="775"/>
      <c r="AO97" s="775"/>
      <c r="AR97" s="694" t="s">
        <v>1891</v>
      </c>
    </row>
    <row r="98" spans="5:48" ht="14.65" hidden="1" customHeight="1" x14ac:dyDescent="0.25">
      <c r="E98" s="504">
        <v>15</v>
      </c>
      <c r="F98" s="3" cm="1">
        <f t="array" aca="1" ref="F98" ca="1">OFFSET(E98,-1,1)</f>
        <v>0</v>
      </c>
      <c r="G98" s="72" t="s">
        <v>1641</v>
      </c>
      <c r="I98" s="38" t="s">
        <v>1892</v>
      </c>
      <c r="J98" s="38"/>
      <c r="K98" s="38"/>
      <c r="L98" s="38"/>
      <c r="M98" s="38"/>
      <c r="N98" s="38"/>
      <c r="O98" s="38"/>
      <c r="P98" s="38"/>
      <c r="Q98" s="38"/>
      <c r="R98" s="38"/>
      <c r="S98" s="38"/>
      <c r="T98" s="353" t="b" cm="1">
        <f t="array" aca="1" ref="T98" ca="1">T97</f>
        <v>0</v>
      </c>
      <c r="X98" s="1078"/>
      <c r="Z98" s="1079"/>
      <c r="AB98" s="133" t="s">
        <v>1893</v>
      </c>
      <c r="AC98" s="127" t="s">
        <v>1894</v>
      </c>
      <c r="AD98" s="7" t="s">
        <v>1644</v>
      </c>
      <c r="AE98" s="128"/>
      <c r="AF98" s="128"/>
      <c r="AG98" s="128"/>
      <c r="AH98" s="171">
        <f t="shared" si="5"/>
        <v>0</v>
      </c>
      <c r="AI98" s="128"/>
      <c r="AJ98" s="778"/>
      <c r="AK98" s="778"/>
      <c r="AL98" s="542"/>
      <c r="AM98" s="775"/>
      <c r="AN98" s="775"/>
      <c r="AO98" s="775"/>
      <c r="AR98" s="694" t="s">
        <v>1895</v>
      </c>
    </row>
    <row r="99" spans="5:48" ht="14.65" hidden="1" customHeight="1" x14ac:dyDescent="0.25">
      <c r="E99" s="504">
        <v>15</v>
      </c>
      <c r="F99" s="3" cm="1">
        <f t="array" aca="1" ref="F99" ca="1">OFFSET(E99,-1,1)</f>
        <v>0</v>
      </c>
      <c r="G99" s="72" t="s">
        <v>1693</v>
      </c>
      <c r="I99" s="38" t="s">
        <v>1896</v>
      </c>
      <c r="J99" s="38"/>
      <c r="K99" s="38"/>
      <c r="L99" s="38"/>
      <c r="M99" s="38"/>
      <c r="N99" s="38"/>
      <c r="O99" s="38"/>
      <c r="P99" s="38"/>
      <c r="Q99" s="38"/>
      <c r="R99" s="38"/>
      <c r="S99" s="38"/>
      <c r="T99" s="353" t="b" cm="1">
        <f t="array" aca="1" ref="T99" ca="1">T98</f>
        <v>0</v>
      </c>
      <c r="X99" s="1078"/>
      <c r="Z99" s="1079"/>
      <c r="AB99" s="133" t="s">
        <v>1897</v>
      </c>
      <c r="AC99" s="127" t="s">
        <v>1898</v>
      </c>
      <c r="AD99" s="7" t="s">
        <v>558</v>
      </c>
      <c r="AE99" s="558">
        <f ca="1">AE96-AE97</f>
        <v>0</v>
      </c>
      <c r="AF99" s="558">
        <f ca="1">AF96-AF97</f>
        <v>0</v>
      </c>
      <c r="AG99" s="558">
        <f ca="1">AG96-AG97</f>
        <v>0</v>
      </c>
      <c r="AH99" s="558">
        <f t="shared" ca="1" si="5"/>
        <v>0</v>
      </c>
      <c r="AI99" s="558">
        <f ca="1">AI96-AI97</f>
        <v>0</v>
      </c>
      <c r="AJ99" s="558">
        <f ca="1">AJ96-AJ97</f>
        <v>0</v>
      </c>
      <c r="AK99" s="558">
        <f ca="1">AK96-AK97</f>
        <v>0</v>
      </c>
      <c r="AL99" s="542"/>
      <c r="AM99" s="775"/>
      <c r="AN99" s="775"/>
      <c r="AO99" s="775"/>
      <c r="AR99" s="694" t="s">
        <v>1899</v>
      </c>
    </row>
    <row r="100" spans="5:48" ht="14.65" hidden="1" customHeight="1" x14ac:dyDescent="0.25">
      <c r="E100" s="504">
        <v>15</v>
      </c>
      <c r="F100" s="3" cm="1">
        <f t="array" aca="1" ref="F100" ca="1">OFFSET(E100,-1,1)</f>
        <v>0</v>
      </c>
      <c r="G100" s="72" t="s">
        <v>1646</v>
      </c>
      <c r="I100" s="38" t="s">
        <v>1900</v>
      </c>
      <c r="J100" s="38"/>
      <c r="K100" s="38"/>
      <c r="L100" s="38"/>
      <c r="M100" s="38"/>
      <c r="N100" s="38"/>
      <c r="O100" s="38"/>
      <c r="P100" s="38"/>
      <c r="Q100" s="38"/>
      <c r="R100" s="38"/>
      <c r="S100" s="38"/>
      <c r="T100" s="353" t="b" cm="1">
        <f t="array" aca="1" ref="T100" ca="1">T99</f>
        <v>0</v>
      </c>
      <c r="X100" s="1078"/>
      <c r="Z100" s="1079"/>
      <c r="AB100" s="133" t="s">
        <v>1901</v>
      </c>
      <c r="AC100" s="127" t="s">
        <v>1902</v>
      </c>
      <c r="AD100" s="7" t="s">
        <v>1644</v>
      </c>
      <c r="AE100" s="128">
        <f ca="1">IF(AE99=0,0,(AE93-AE97*AE98)/AE99)</f>
        <v>0</v>
      </c>
      <c r="AF100" s="128">
        <f ca="1">IF(AF99=0,0,(AF93-AF97*AF98)/AF99)</f>
        <v>0</v>
      </c>
      <c r="AG100" s="128">
        <f ca="1">IF(AG99=0,0,(AG93-AG97*AG98)/AG99)</f>
        <v>0</v>
      </c>
      <c r="AH100" s="171">
        <f t="shared" ca="1" si="5"/>
        <v>0</v>
      </c>
      <c r="AI100" s="128">
        <f ca="1">IF(AI99=0,0,(AI93-AI97*AI98)/AI99)</f>
        <v>0</v>
      </c>
      <c r="AJ100" s="778">
        <f ca="1">IF(AJ99=0,0,(AJ93-AJ97*AJ98)/AJ99)</f>
        <v>0</v>
      </c>
      <c r="AK100" s="778">
        <f ca="1">IF(AK99=0,0,(AK93-AK97*AK98)/AK99)</f>
        <v>0</v>
      </c>
      <c r="AL100" s="542"/>
      <c r="AM100" s="775"/>
      <c r="AN100" s="775"/>
      <c r="AO100" s="775"/>
      <c r="AR100" s="694" t="s">
        <v>1903</v>
      </c>
    </row>
    <row r="101" spans="5:48" ht="14.65" hidden="1" customHeight="1" x14ac:dyDescent="0.25">
      <c r="E101" s="504">
        <v>15</v>
      </c>
      <c r="F101" s="3" cm="1">
        <f t="array" aca="1" ref="F101" ca="1">OFFSET(E101,-1,1)</f>
        <v>0</v>
      </c>
      <c r="G101" s="72"/>
      <c r="I101" s="38" t="s">
        <v>1904</v>
      </c>
      <c r="J101" s="38"/>
      <c r="K101" s="38"/>
      <c r="L101" s="38"/>
      <c r="M101" s="38"/>
      <c r="N101" s="38"/>
      <c r="O101" s="38"/>
      <c r="P101" s="38"/>
      <c r="Q101" s="38"/>
      <c r="R101" s="38"/>
      <c r="S101" s="38"/>
      <c r="T101" s="353" t="b" cm="1">
        <f t="array" aca="1" ref="T101" ca="1">T100</f>
        <v>0</v>
      </c>
      <c r="X101" s="1078"/>
      <c r="Z101" s="1079"/>
      <c r="AB101" s="133" t="s">
        <v>1905</v>
      </c>
      <c r="AC101" s="127" t="s">
        <v>1906</v>
      </c>
      <c r="AD101" s="7" t="s">
        <v>476</v>
      </c>
      <c r="AE101" s="171">
        <f>IF(AE98=0,0,AE100/AE98*100)</f>
        <v>0</v>
      </c>
      <c r="AF101" s="171">
        <f>IF(AF98=0,0,AF100/AF98*100)</f>
        <v>0</v>
      </c>
      <c r="AG101" s="171">
        <f>IF(AG98=0,0,AG100/AG98*100)</f>
        <v>0</v>
      </c>
      <c r="AH101" s="542"/>
      <c r="AI101" s="171">
        <f>IF(AI98=0,0,AI100/AI98*100)</f>
        <v>0</v>
      </c>
      <c r="AJ101" s="171">
        <f>IF(AJ98=0,0,AJ100/AJ98*100)</f>
        <v>0</v>
      </c>
      <c r="AK101" s="171">
        <f>IF(AK98=0,0,AK100/AK98*100)</f>
        <v>0</v>
      </c>
      <c r="AL101" s="542"/>
      <c r="AM101" s="775"/>
      <c r="AN101" s="775"/>
      <c r="AO101" s="775"/>
      <c r="AR101" s="694" t="s">
        <v>1907</v>
      </c>
    </row>
    <row r="102" spans="5:48" ht="14.65" hidden="1" customHeight="1" x14ac:dyDescent="0.25">
      <c r="E102" s="504">
        <v>15</v>
      </c>
      <c r="F102" s="3" cm="1">
        <f t="array" aca="1" ref="F102" ca="1">OFFSET(E102,-1,1)</f>
        <v>0</v>
      </c>
      <c r="G102" s="72"/>
      <c r="I102" s="38" t="s">
        <v>1908</v>
      </c>
      <c r="J102" s="38"/>
      <c r="K102" s="38"/>
      <c r="L102" s="38"/>
      <c r="M102" s="38"/>
      <c r="N102" s="38"/>
      <c r="O102" s="38"/>
      <c r="P102" s="38"/>
      <c r="Q102" s="38"/>
      <c r="R102" s="38"/>
      <c r="S102" s="38"/>
      <c r="T102" s="353" t="b" cm="1">
        <f t="array" aca="1" ref="T102" ca="1">T101</f>
        <v>0</v>
      </c>
      <c r="X102" s="1078"/>
      <c r="Z102" s="1079"/>
      <c r="AB102" s="133" t="s">
        <v>1909</v>
      </c>
      <c r="AC102" s="127" t="s">
        <v>1910</v>
      </c>
      <c r="AD102" s="7" t="s">
        <v>1644</v>
      </c>
      <c r="AE102" s="128">
        <f ca="1">IF(AE96=0,0,AE93/AE96)</f>
        <v>0</v>
      </c>
      <c r="AF102" s="128">
        <f ca="1">IF(AF96=0,0,AF93/AF96)</f>
        <v>0</v>
      </c>
      <c r="AG102" s="128">
        <f ca="1">IF(AG96=0,0,AG93/AG96)</f>
        <v>0</v>
      </c>
      <c r="AH102" s="171">
        <f ca="1">AG102-AF102</f>
        <v>0</v>
      </c>
      <c r="AI102" s="128">
        <f ca="1">IF(AI96=0,0,AI93/AI96)</f>
        <v>0</v>
      </c>
      <c r="AJ102" s="778">
        <f ca="1">IF(AJ96=0,0,AJ93/AJ96)</f>
        <v>0</v>
      </c>
      <c r="AK102" s="778">
        <f ca="1">IF(AK96=0,0,AK93/AK96)</f>
        <v>0</v>
      </c>
      <c r="AL102" s="542"/>
      <c r="AM102" s="775"/>
      <c r="AN102" s="775"/>
      <c r="AO102" s="775"/>
      <c r="AR102" s="694" t="s">
        <v>1911</v>
      </c>
    </row>
    <row r="103" spans="5:48" s="423" customFormat="1" ht="14.65" hidden="1" customHeight="1" x14ac:dyDescent="0.25">
      <c r="E103" s="505">
        <v>15</v>
      </c>
      <c r="F103" s="3" cm="1">
        <f t="array" aca="1" ref="F103" ca="1">OFFSET(E103,-1,1)</f>
        <v>0</v>
      </c>
      <c r="G103" s="76"/>
      <c r="I103" s="154" t="s">
        <v>1912</v>
      </c>
      <c r="J103" s="154"/>
      <c r="K103" s="154"/>
      <c r="L103" s="154"/>
      <c r="M103" s="154"/>
      <c r="N103" s="154"/>
      <c r="O103" s="154"/>
      <c r="P103" s="154"/>
      <c r="Q103" s="154"/>
      <c r="R103" s="154"/>
      <c r="S103" s="154"/>
      <c r="T103" s="353" t="b" cm="1">
        <f t="array" aca="1" ref="T103" ca="1">T102</f>
        <v>0</v>
      </c>
      <c r="X103" s="1078"/>
      <c r="Z103" s="1079"/>
      <c r="AB103" s="131" t="s">
        <v>1913</v>
      </c>
      <c r="AC103" s="125" t="s">
        <v>1914</v>
      </c>
      <c r="AD103" s="124" t="s">
        <v>828</v>
      </c>
      <c r="AE103" s="138">
        <f ca="1">IF(AE96=0,0,AE93/AE96*AE104)</f>
        <v>0</v>
      </c>
      <c r="AF103" s="138">
        <f ca="1">IF(AF96=0,0,AF93/AF96*AF104)</f>
        <v>0</v>
      </c>
      <c r="AG103" s="138">
        <f ca="1">IF(AG96=0,0,AG93/AG96*AG104)</f>
        <v>0</v>
      </c>
      <c r="AH103" s="126">
        <f ca="1">AH105*AH106+AH107*AH108</f>
        <v>0</v>
      </c>
      <c r="AI103" s="138">
        <f ca="1">IF(AI96=0,0,AI93/AI96*AI104)</f>
        <v>0</v>
      </c>
      <c r="AJ103" s="774">
        <f ca="1">IF(AJ96=0,0,AJ93/AJ96*AJ104)</f>
        <v>0</v>
      </c>
      <c r="AK103" s="774">
        <f ca="1">IF(AK96=0,0,AK93/AK96*AK104)</f>
        <v>0</v>
      </c>
      <c r="AL103" s="126">
        <f ca="1">IF(AI103=0,0,(AK103-AI103)/AI103*100)</f>
        <v>0</v>
      </c>
      <c r="AM103" s="777"/>
      <c r="AN103" s="777"/>
      <c r="AO103" s="777"/>
      <c r="AR103" s="695" t="s">
        <v>1915</v>
      </c>
      <c r="AS103" s="695"/>
      <c r="AT103" s="695"/>
      <c r="AU103" s="505"/>
      <c r="AV103" s="505"/>
    </row>
    <row r="104" spans="5:48" s="423" customFormat="1" ht="14.65" hidden="1" customHeight="1" x14ac:dyDescent="0.25">
      <c r="E104" s="505">
        <v>15</v>
      </c>
      <c r="F104" s="3" cm="1">
        <f t="array" aca="1" ref="F104" ca="1">OFFSET(E104,-1,1)</f>
        <v>0</v>
      </c>
      <c r="G104" s="72" t="s">
        <v>1666</v>
      </c>
      <c r="I104" s="154" t="s">
        <v>1916</v>
      </c>
      <c r="J104" s="154"/>
      <c r="K104" s="154"/>
      <c r="L104" s="154"/>
      <c r="M104" s="154"/>
      <c r="N104" s="154"/>
      <c r="O104" s="154"/>
      <c r="P104" s="154"/>
      <c r="Q104" s="154"/>
      <c r="R104" s="154"/>
      <c r="S104" s="154"/>
      <c r="T104" s="353" t="b" cm="1">
        <f t="array" aca="1" ref="T104" ca="1">T103</f>
        <v>0</v>
      </c>
      <c r="X104" s="1078"/>
      <c r="Z104" s="1079"/>
      <c r="AB104" s="131" t="s">
        <v>1917</v>
      </c>
      <c r="AC104" s="125" t="s">
        <v>1918</v>
      </c>
      <c r="AD104" s="124" t="s">
        <v>558</v>
      </c>
      <c r="AE104" s="552">
        <f ca="1">SUMIFS(Баланс!AE$26:AE$391,Баланс!$F$26:$F$391,$F104,Баланс!$G$26:$G$391,"население")</f>
        <v>0</v>
      </c>
      <c r="AF104" s="552">
        <f ca="1">SUMIFS(Баланс!AF$26:AF$391,Баланс!$F$26:$F$391,$F104,Баланс!$G$26:$G$391,"население")</f>
        <v>0</v>
      </c>
      <c r="AG104" s="552">
        <f ca="1">SUMIFS(Баланс!AG$26:AG$391,Баланс!$F$26:$F$391,$F104,Баланс!$G$26:$G$391,"население")</f>
        <v>0</v>
      </c>
      <c r="AH104" s="552">
        <f t="shared" ref="AH104:AH111" ca="1" si="6">AG104-AF104</f>
        <v>0</v>
      </c>
      <c r="AI104" s="552">
        <f ca="1">SUMIFS(Баланс!AH$26:AH$391,Баланс!$F$26:$F$391,$F104,Баланс!$G$26:$G$391,"население")</f>
        <v>0</v>
      </c>
      <c r="AJ104" s="552">
        <f ca="1">SUMIFS(Баланс!AI$26:AI$391,Баланс!$F$26:$F$391,$F104,Баланс!$G$26:$G$391,"население")</f>
        <v>0</v>
      </c>
      <c r="AK104" s="552">
        <f ca="1">SUMIFS(Баланс!AS$26:AS$391,Баланс!$F$26:$F$391,$F104,Баланс!$G$26:$G$391,"население")</f>
        <v>0</v>
      </c>
      <c r="AL104" s="129"/>
      <c r="AM104" s="777"/>
      <c r="AN104" s="777"/>
      <c r="AO104" s="777"/>
      <c r="AR104" s="695" t="s">
        <v>1919</v>
      </c>
      <c r="AS104" s="695"/>
      <c r="AT104" s="695"/>
      <c r="AU104" s="505"/>
      <c r="AV104" s="505"/>
    </row>
    <row r="105" spans="5:48" ht="14.65" hidden="1" customHeight="1" x14ac:dyDescent="0.25">
      <c r="E105" s="504">
        <v>15</v>
      </c>
      <c r="F105" s="3" cm="1">
        <f t="array" aca="1" ref="F105" ca="1">OFFSET(E105,-1,1)</f>
        <v>0</v>
      </c>
      <c r="G105" s="72" t="s">
        <v>1700</v>
      </c>
      <c r="I105" s="38" t="s">
        <v>1920</v>
      </c>
      <c r="J105" s="38"/>
      <c r="K105" s="38"/>
      <c r="L105" s="38"/>
      <c r="M105" s="38"/>
      <c r="N105" s="38"/>
      <c r="O105" s="38"/>
      <c r="P105" s="38"/>
      <c r="Q105" s="38"/>
      <c r="R105" s="38"/>
      <c r="S105" s="38"/>
      <c r="T105" s="353" t="b" cm="1">
        <f t="array" aca="1" ref="T105" ca="1">T104</f>
        <v>0</v>
      </c>
      <c r="X105" s="1078"/>
      <c r="Z105" s="1079"/>
      <c r="AB105" s="133" t="s">
        <v>1921</v>
      </c>
      <c r="AC105" s="127" t="s">
        <v>1922</v>
      </c>
      <c r="AD105" s="7" t="s">
        <v>558</v>
      </c>
      <c r="AE105" s="444">
        <f ca="1">AE104/2</f>
        <v>0</v>
      </c>
      <c r="AF105" s="444">
        <f ca="1">AF104/2</f>
        <v>0</v>
      </c>
      <c r="AG105" s="444">
        <f ca="1">AG104/2</f>
        <v>0</v>
      </c>
      <c r="AH105" s="558">
        <f t="shared" ca="1" si="6"/>
        <v>0</v>
      </c>
      <c r="AI105" s="444">
        <f ca="1">AI104/2</f>
        <v>0</v>
      </c>
      <c r="AJ105" s="776">
        <f ca="1">IF(god=2026,AJ104/12*9,AJ104/2)</f>
        <v>0</v>
      </c>
      <c r="AK105" s="776">
        <f ca="1">IF(god=2026,AK104/12*9,AK104/2)</f>
        <v>0</v>
      </c>
      <c r="AL105" s="542"/>
      <c r="AM105" s="775"/>
      <c r="AN105" s="775"/>
      <c r="AO105" s="775"/>
      <c r="AR105" s="694" t="s">
        <v>1923</v>
      </c>
    </row>
    <row r="106" spans="5:48" ht="14.65" hidden="1" customHeight="1" x14ac:dyDescent="0.25">
      <c r="E106" s="504">
        <v>15</v>
      </c>
      <c r="F106" s="3" cm="1">
        <f t="array" aca="1" ref="F106" ca="1">OFFSET(E106,-1,1)</f>
        <v>0</v>
      </c>
      <c r="G106" s="72" t="s">
        <v>1656</v>
      </c>
      <c r="I106" s="38" t="s">
        <v>1924</v>
      </c>
      <c r="J106" s="38"/>
      <c r="K106" s="38"/>
      <c r="L106" s="38"/>
      <c r="M106" s="38"/>
      <c r="N106" s="38"/>
      <c r="O106" s="38"/>
      <c r="P106" s="38"/>
      <c r="Q106" s="38"/>
      <c r="R106" s="38"/>
      <c r="S106" s="38"/>
      <c r="T106" s="353" t="b" cm="1">
        <f t="array" aca="1" ref="T106" ca="1">T105</f>
        <v>0</v>
      </c>
      <c r="X106" s="1078"/>
      <c r="Z106" s="1079"/>
      <c r="AB106" s="133" t="s">
        <v>1925</v>
      </c>
      <c r="AC106" s="127" t="s">
        <v>1926</v>
      </c>
      <c r="AD106" s="7" t="s">
        <v>1644</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8">
        <f ca="1">IF(AJ104=0,0,AJ98*(1+Сценарии!AJ$26))</f>
        <v>0</v>
      </c>
      <c r="AK106" s="778">
        <f ca="1">IF(AK104=0,0,AK98*(1+Сценарии!AK$26))</f>
        <v>0</v>
      </c>
      <c r="AL106" s="542"/>
      <c r="AM106" s="775"/>
      <c r="AN106" s="775"/>
      <c r="AO106" s="775"/>
      <c r="AR106" s="694" t="s">
        <v>1927</v>
      </c>
    </row>
    <row r="107" spans="5:48" ht="14.65" hidden="1" customHeight="1" x14ac:dyDescent="0.25">
      <c r="E107" s="504">
        <v>15</v>
      </c>
      <c r="F107" s="3" cm="1">
        <f t="array" aca="1" ref="F107" ca="1">OFFSET(E107,-1,1)</f>
        <v>0</v>
      </c>
      <c r="G107" s="72" t="s">
        <v>1707</v>
      </c>
      <c r="I107" s="38" t="s">
        <v>1928</v>
      </c>
      <c r="J107" s="38"/>
      <c r="K107" s="38"/>
      <c r="L107" s="38"/>
      <c r="M107" s="38"/>
      <c r="N107" s="38"/>
      <c r="O107" s="38"/>
      <c r="P107" s="38"/>
      <c r="Q107" s="38"/>
      <c r="R107" s="38"/>
      <c r="S107" s="38"/>
      <c r="T107" s="353" t="b" cm="1">
        <f t="array" aca="1" ref="T107" ca="1">T106</f>
        <v>0</v>
      </c>
      <c r="X107" s="1078"/>
      <c r="Z107" s="1079"/>
      <c r="AB107" s="133" t="s">
        <v>1929</v>
      </c>
      <c r="AC107" s="127" t="s">
        <v>1898</v>
      </c>
      <c r="AD107" s="7" t="s">
        <v>558</v>
      </c>
      <c r="AE107" s="558">
        <f ca="1">AE104-AE105</f>
        <v>0</v>
      </c>
      <c r="AF107" s="558">
        <f ca="1">AF104-AF105</f>
        <v>0</v>
      </c>
      <c r="AG107" s="558">
        <f ca="1">AG104-AG105</f>
        <v>0</v>
      </c>
      <c r="AH107" s="558">
        <f t="shared" ca="1" si="6"/>
        <v>0</v>
      </c>
      <c r="AI107" s="558">
        <f ca="1">AI104-AI105</f>
        <v>0</v>
      </c>
      <c r="AJ107" s="558">
        <f ca="1">AJ104-AJ105</f>
        <v>0</v>
      </c>
      <c r="AK107" s="558">
        <f ca="1">AK104-AK105</f>
        <v>0</v>
      </c>
      <c r="AL107" s="542"/>
      <c r="AM107" s="775"/>
      <c r="AN107" s="775"/>
      <c r="AO107" s="775"/>
      <c r="AR107" s="694" t="s">
        <v>1930</v>
      </c>
    </row>
    <row r="108" spans="5:48" ht="14.65" hidden="1" customHeight="1" x14ac:dyDescent="0.25">
      <c r="E108" s="504">
        <v>15</v>
      </c>
      <c r="F108" s="3" cm="1">
        <f t="array" aca="1" ref="F108" ca="1">OFFSET(E108,-1,1)</f>
        <v>0</v>
      </c>
      <c r="G108" s="72" t="s">
        <v>1660</v>
      </c>
      <c r="I108" s="38" t="s">
        <v>1931</v>
      </c>
      <c r="J108" s="38"/>
      <c r="K108" s="38"/>
      <c r="L108" s="38"/>
      <c r="M108" s="38"/>
      <c r="N108" s="38"/>
      <c r="O108" s="38"/>
      <c r="P108" s="38"/>
      <c r="Q108" s="38"/>
      <c r="R108" s="38"/>
      <c r="S108" s="38"/>
      <c r="T108" s="353" t="b" cm="1">
        <f t="array" aca="1" ref="T108" ca="1">T107</f>
        <v>0</v>
      </c>
      <c r="X108" s="1078"/>
      <c r="Z108" s="1079"/>
      <c r="AB108" s="133" t="s">
        <v>1932</v>
      </c>
      <c r="AC108" s="127" t="s">
        <v>1933</v>
      </c>
      <c r="AD108" s="7" t="s">
        <v>1644</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8">
        <f ca="1">IF(AJ104=0,0,AJ100*(1+Сценарии!AJ$26))</f>
        <v>0</v>
      </c>
      <c r="AK108" s="778">
        <f ca="1">IF(AK104=0,0,AK100*(1+Сценарии!AK$26))</f>
        <v>0</v>
      </c>
      <c r="AL108" s="542"/>
      <c r="AM108" s="775"/>
      <c r="AN108" s="775"/>
      <c r="AO108" s="775"/>
      <c r="AR108" s="694" t="s">
        <v>1934</v>
      </c>
    </row>
    <row r="109" spans="5:48" ht="14.65" hidden="1" customHeight="1" x14ac:dyDescent="0.25">
      <c r="E109" s="504">
        <v>15</v>
      </c>
      <c r="F109" s="3" cm="1">
        <f t="array" aca="1" ref="F109" ca="1">OFFSET(E109,-1,1)</f>
        <v>0</v>
      </c>
      <c r="G109" s="72"/>
      <c r="I109" s="38"/>
      <c r="J109" s="38"/>
      <c r="K109" s="38"/>
      <c r="L109" s="38"/>
      <c r="M109" s="38"/>
      <c r="N109" s="38"/>
      <c r="O109" s="38"/>
      <c r="P109" s="38"/>
      <c r="Q109" s="38"/>
      <c r="R109" s="38"/>
      <c r="S109" s="38"/>
      <c r="T109" s="353" t="b" cm="1">
        <f t="array" aca="1" ref="T109" ca="1">T108</f>
        <v>0</v>
      </c>
      <c r="X109" s="1078"/>
      <c r="Z109" s="1079"/>
      <c r="AB109" s="131" t="s">
        <v>1935</v>
      </c>
      <c r="AC109" s="125" t="s">
        <v>1936</v>
      </c>
      <c r="AD109" s="124" t="s">
        <v>828</v>
      </c>
      <c r="AE109" s="128"/>
      <c r="AF109" s="128"/>
      <c r="AG109" s="128"/>
      <c r="AH109" s="171">
        <f t="shared" si="6"/>
        <v>0</v>
      </c>
      <c r="AI109" s="128"/>
      <c r="AJ109" s="778"/>
      <c r="AK109" s="778"/>
      <c r="AL109" s="542"/>
      <c r="AM109" s="775"/>
      <c r="AN109" s="775"/>
      <c r="AO109" s="775"/>
      <c r="AR109" s="694" t="s">
        <v>1937</v>
      </c>
    </row>
    <row r="110" spans="5:48" ht="21.95" hidden="1" customHeight="1" x14ac:dyDescent="0.25">
      <c r="E110" s="504">
        <v>22.5</v>
      </c>
      <c r="F110" s="3" cm="1">
        <f t="array" aca="1" ref="F110" ca="1">OFFSET(E110,-1,1)</f>
        <v>0</v>
      </c>
      <c r="G110" s="72"/>
      <c r="I110" s="38"/>
      <c r="J110" s="38"/>
      <c r="K110" s="38"/>
      <c r="L110" s="38"/>
      <c r="M110" s="38"/>
      <c r="N110" s="38"/>
      <c r="O110" s="38"/>
      <c r="P110" s="38"/>
      <c r="Q110" s="38"/>
      <c r="R110" s="38"/>
      <c r="S110" s="38"/>
      <c r="T110" s="353" t="b" cm="1">
        <f t="array" aca="1" ref="T110" ca="1">T109</f>
        <v>0</v>
      </c>
      <c r="X110" s="1078"/>
      <c r="Z110" s="1079"/>
      <c r="AB110" s="133" t="s">
        <v>1938</v>
      </c>
      <c r="AC110" s="127" t="s">
        <v>1939</v>
      </c>
      <c r="AD110" s="7" t="s">
        <v>828</v>
      </c>
      <c r="AE110" s="128"/>
      <c r="AF110" s="128"/>
      <c r="AG110" s="128"/>
      <c r="AH110" s="171">
        <f t="shared" si="6"/>
        <v>0</v>
      </c>
      <c r="AI110" s="128"/>
      <c r="AJ110" s="778"/>
      <c r="AK110" s="778"/>
      <c r="AL110" s="542"/>
      <c r="AM110" s="775"/>
      <c r="AN110" s="775"/>
      <c r="AO110" s="775"/>
      <c r="AR110" s="694" t="s">
        <v>1940</v>
      </c>
    </row>
    <row r="111" spans="5:48" ht="70.150000000000006" hidden="1" customHeight="1" x14ac:dyDescent="0.25">
      <c r="E111" s="504">
        <v>72</v>
      </c>
      <c r="F111" s="3" cm="1">
        <f t="array" aca="1" ref="F111" ca="1">OFFSET(E111,-1,1)</f>
        <v>0</v>
      </c>
      <c r="G111" s="72"/>
      <c r="I111" s="38"/>
      <c r="J111" s="38"/>
      <c r="K111" s="38"/>
      <c r="L111" s="38"/>
      <c r="M111" s="38"/>
      <c r="N111" s="38"/>
      <c r="O111" s="38"/>
      <c r="P111" s="38"/>
      <c r="Q111" s="38"/>
      <c r="R111" s="38"/>
      <c r="S111" s="38"/>
      <c r="T111" s="353" t="b" cm="1">
        <f t="array" aca="1" ref="T111" ca="1">T110</f>
        <v>0</v>
      </c>
      <c r="X111" s="1078"/>
      <c r="Z111" s="1079"/>
      <c r="AB111" s="133" t="s">
        <v>1941</v>
      </c>
      <c r="AC111" s="127" t="s">
        <v>1942</v>
      </c>
      <c r="AD111" s="7" t="s">
        <v>828</v>
      </c>
      <c r="AE111" s="128"/>
      <c r="AF111" s="128"/>
      <c r="AG111" s="128"/>
      <c r="AH111" s="171">
        <f t="shared" si="6"/>
        <v>0</v>
      </c>
      <c r="AI111" s="128"/>
      <c r="AJ111" s="778"/>
      <c r="AK111" s="778"/>
      <c r="AL111" s="542"/>
      <c r="AM111" s="775"/>
      <c r="AN111" s="775"/>
      <c r="AO111" s="775"/>
      <c r="AR111" s="694" t="s">
        <v>1943</v>
      </c>
    </row>
    <row r="112" spans="5:48" ht="14.25" customHeight="1" x14ac:dyDescent="0.25">
      <c r="E112" s="504">
        <v>15</v>
      </c>
      <c r="F112" s="17" t="str" cm="1">
        <f t="array" ref="F112">X112</f>
        <v>1</v>
      </c>
      <c r="G112" s="17" t="str" cm="1">
        <f t="array" ref="G112">INDEX('Общие сведения'!$AK$179:$AK$236,MATCH($X112,'Общие сведения'!$Z$179:$Z$236,0))</f>
        <v>одноставочный</v>
      </c>
      <c r="T112" s="353" t="b">
        <f>X112&gt;0</f>
        <v>1</v>
      </c>
      <c r="V112" s="278" t="str" cm="1">
        <f t="array" ref="V112">ТМ!$AD$85</f>
        <v>Тариф 1 (Водоснабжение) - тариф на техническую воду</v>
      </c>
      <c r="X112" s="1078" t="s">
        <v>275</v>
      </c>
      <c r="Z112" s="1079"/>
      <c r="AB112" s="97" t="str" cm="1">
        <f t="array" ref="AB112">ТМ!$AD$85</f>
        <v>Тариф 1 (Водоснабжение) - тариф на техническую воду</v>
      </c>
      <c r="AC112" s="165"/>
      <c r="AD112" s="165"/>
      <c r="AE112" s="165"/>
      <c r="AF112" s="165"/>
      <c r="AG112" s="165"/>
      <c r="AH112" s="165"/>
      <c r="AI112" s="165"/>
      <c r="AJ112" s="165"/>
      <c r="AK112" s="165"/>
      <c r="AL112" s="165"/>
      <c r="AM112" s="165"/>
      <c r="AN112" s="165"/>
      <c r="AO112" s="165"/>
    </row>
    <row r="113" spans="1:48" ht="14.25" customHeight="1" x14ac:dyDescent="0.25">
      <c r="E113" s="504">
        <v>15</v>
      </c>
      <c r="F113" s="3" t="str" cm="1">
        <f t="array" aca="1" ref="F113" ca="1">OFFSET(E113,-1,1)</f>
        <v>1</v>
      </c>
      <c r="I113" s="38" t="s">
        <v>331</v>
      </c>
      <c r="J113" s="38"/>
      <c r="K113" s="38"/>
      <c r="L113" s="38"/>
      <c r="M113" s="38"/>
      <c r="N113" s="38"/>
      <c r="O113" s="38"/>
      <c r="P113" s="38"/>
      <c r="Q113" s="38"/>
      <c r="R113" s="38"/>
      <c r="S113" s="38"/>
      <c r="T113" s="353" t="b" cm="1">
        <f t="array" ref="T113">T112</f>
        <v>1</v>
      </c>
      <c r="X113" s="1078"/>
      <c r="Z113" s="1079"/>
      <c r="AB113" s="160" t="s">
        <v>275</v>
      </c>
      <c r="AC113" s="132" t="s">
        <v>1738</v>
      </c>
      <c r="AD113" s="9" t="s">
        <v>828</v>
      </c>
      <c r="AE113" s="126">
        <f ca="1">AE114+AE118+AE128+AE129+AE132+AE133+AE134</f>
        <v>22488.636735550001</v>
      </c>
      <c r="AF113" s="126">
        <f ca="1">AF114+AF118+AF128+AF129+AF132+AF133+AF134</f>
        <v>23967.214939325499</v>
      </c>
      <c r="AG113" s="126">
        <f ca="1">AG114+AG118+AG128+AG129+AG132+AG133+AG134</f>
        <v>23967.214939325499</v>
      </c>
      <c r="AH113" s="126">
        <f t="shared" ref="AH113:AH139" ca="1" si="7">AG113-AF113</f>
        <v>0</v>
      </c>
      <c r="AI113" s="126">
        <f ca="1">AI114+AI118+AI128+AI129+AI132+AI133+AI134</f>
        <v>27400.38</v>
      </c>
      <c r="AJ113" s="126">
        <f ca="1">AJ114+AJ118+AJ128+AJ129+AJ132+AJ133+AJ134</f>
        <v>33721.442280118303</v>
      </c>
      <c r="AK113" s="126">
        <f ca="1">AK114+AK118+AK128+AK129+AK132+AK133+AK134</f>
        <v>28827.533814486698</v>
      </c>
      <c r="AL113" s="171">
        <f t="shared" ref="AL113:AL139" ca="1" si="8">IF(AI113=0,0,(AK113-AI113)/AI113*100)</f>
        <v>5.2085183288943337</v>
      </c>
      <c r="AM113" s="196"/>
      <c r="AN113" s="601"/>
      <c r="AO113" s="196"/>
      <c r="AR113" s="694" t="s">
        <v>538</v>
      </c>
    </row>
    <row r="114" spans="1:48" s="867" customFormat="1" ht="21.75" customHeight="1" x14ac:dyDescent="0.25">
      <c r="A114" s="423"/>
      <c r="B114" s="423"/>
      <c r="C114" s="423"/>
      <c r="D114" s="423"/>
      <c r="E114" s="505">
        <v>22.5</v>
      </c>
      <c r="F114" s="3" t="str" cm="1">
        <f t="array" aca="1" ref="F114" ca="1">OFFSET(E114,-1,1)</f>
        <v>1</v>
      </c>
      <c r="G114" s="423"/>
      <c r="H114" s="423"/>
      <c r="I114" s="154" t="s">
        <v>482</v>
      </c>
      <c r="J114" s="154"/>
      <c r="K114" s="154"/>
      <c r="L114" s="154"/>
      <c r="M114" s="154"/>
      <c r="N114" s="154"/>
      <c r="O114" s="154"/>
      <c r="P114" s="154"/>
      <c r="Q114" s="154"/>
      <c r="R114" s="154"/>
      <c r="S114" s="154"/>
      <c r="T114" s="353" t="b" cm="1">
        <f t="array" ref="T114">T113</f>
        <v>1</v>
      </c>
      <c r="U114" s="423"/>
      <c r="V114" s="423"/>
      <c r="W114" s="423"/>
      <c r="X114" s="1078"/>
      <c r="Y114" s="423"/>
      <c r="Z114" s="1079"/>
      <c r="AA114" s="423"/>
      <c r="AB114" s="131" t="s">
        <v>939</v>
      </c>
      <c r="AC114" s="263" t="s">
        <v>1739</v>
      </c>
      <c r="AD114" s="147" t="s">
        <v>828</v>
      </c>
      <c r="AE114" s="126">
        <f ca="1">SUM(AE115:AE117)</f>
        <v>1270.56673555</v>
      </c>
      <c r="AF114" s="126">
        <f ca="1">SUM(AF115:AF117)</f>
        <v>2049.0230507280003</v>
      </c>
      <c r="AG114" s="126">
        <f ca="1">SUM(AG115:AG117)</f>
        <v>2049.0230507280003</v>
      </c>
      <c r="AH114" s="126">
        <f t="shared" ca="1" si="7"/>
        <v>0</v>
      </c>
      <c r="AI114" s="126">
        <f ca="1">SUM(AI115:AI117)</f>
        <v>1559.75</v>
      </c>
      <c r="AJ114" s="126">
        <f ca="1">SUM(AJ115:AJ117)</f>
        <v>2908.8658071249997</v>
      </c>
      <c r="AK114" s="126">
        <f ca="1">SUM(AK115:AK117)</f>
        <v>1727.3738144867002</v>
      </c>
      <c r="AL114" s="126">
        <f t="shared" ca="1" si="8"/>
        <v>10.746838563019729</v>
      </c>
      <c r="AM114" s="556"/>
      <c r="AN114" s="556"/>
      <c r="AO114" s="556"/>
      <c r="AP114" s="423"/>
      <c r="AQ114" s="423"/>
      <c r="AR114" s="695" t="s">
        <v>1740</v>
      </c>
      <c r="AS114" s="695"/>
      <c r="AT114" s="695"/>
      <c r="AU114" s="505"/>
      <c r="AV114" s="505"/>
    </row>
    <row r="115" spans="1:48" ht="14.25" customHeight="1" x14ac:dyDescent="0.25">
      <c r="E115" s="504">
        <v>15</v>
      </c>
      <c r="F115" s="3" t="str" cm="1">
        <f t="array" aca="1" ref="F115" ca="1">OFFSET(E115,-1,1)</f>
        <v>1</v>
      </c>
      <c r="I115" s="38" t="s">
        <v>1070</v>
      </c>
      <c r="J115" s="38"/>
      <c r="K115" s="38"/>
      <c r="L115" s="38"/>
      <c r="M115" s="38"/>
      <c r="N115" s="38"/>
      <c r="O115" s="38"/>
      <c r="P115" s="38"/>
      <c r="Q115" s="38"/>
      <c r="R115" s="38"/>
      <c r="S115" s="38"/>
      <c r="T115" s="353" t="b" cm="1">
        <f t="array" ref="T115">T114</f>
        <v>1</v>
      </c>
      <c r="X115" s="1078"/>
      <c r="Z115" s="1079"/>
      <c r="AB115" s="133" t="s">
        <v>1071</v>
      </c>
      <c r="AC115" s="134" t="s">
        <v>1741</v>
      </c>
      <c r="AD115" s="9" t="s">
        <v>828</v>
      </c>
      <c r="AE115" s="171">
        <f ca="1">SUMIFS('Сырье и материалы'!AE$25:AE$48,'Сырье и материалы'!$F$25:$F$48,$F115,'Сырье и материалы'!$AC$25:$AC$48,"Всего по тарифу")</f>
        <v>1270.56673555</v>
      </c>
      <c r="AF115" s="171">
        <f ca="1">SUMIFS('Сырье и материалы'!AF$25:AF$48,'Сырье и материалы'!$F$25:$F$48,$F115,'Сырье и материалы'!$AC$25:$AC$48,"Всего по тарифу")</f>
        <v>2049.0230507280003</v>
      </c>
      <c r="AG115" s="171">
        <f ca="1">SUMIFS('Сырье и материалы'!AG$25:AG$48,'Сырье и материалы'!$F$25:$F$48,$F115,'Сырье и материалы'!$AC$25:$AC$48,"Всего по тарифу")</f>
        <v>2049.0230507280003</v>
      </c>
      <c r="AH115" s="171">
        <f t="shared" ca="1" si="7"/>
        <v>0</v>
      </c>
      <c r="AI115" s="171">
        <f ca="1">SUMIFS('Сырье и материалы'!AH$25:AH$48,'Сырье и материалы'!$F$25:$F$48,$F115,'Сырье и материалы'!$AC$25:$AC$48,"Всего по тарифу")</f>
        <v>1559.75</v>
      </c>
      <c r="AJ115" s="171">
        <f ca="1">SUMIFS('Сырье и материалы'!AI$25:AI$48,'Сырье и материалы'!$F$25:$F$48,$F115,'Сырье и материалы'!$AC$25:$AC$48,"Всего по тарифу")</f>
        <v>2908.8658071249997</v>
      </c>
      <c r="AK115" s="171">
        <f ca="1">SUMIFS('Сырье и материалы'!AS$25:AS$48,'Сырье и материалы'!$F$25:$F$48,$F115,'Сырье и материалы'!$AC$25:$AC$48,"Всего по тарифу")</f>
        <v>1727.3738144867002</v>
      </c>
      <c r="AL115" s="171">
        <f t="shared" ca="1" si="8"/>
        <v>10.746838563019729</v>
      </c>
      <c r="AM115" s="196"/>
      <c r="AN115" s="601" t="str">
        <f ca="1">IF(IFERROR(INDEX('Сырье и материалы'!$K$26:$L$48,MATCH($F115&amp;"komm",'Сырье и материалы'!$K$26:$K$48,0),2),"")=0,"",IFERROR(INDEX('Сырье и материалы'!$K$26:$L$48,MATCH($F115&amp;"komm",'Сырье и материалы'!$K$26:$K$48,0),2),""))</f>
        <v>П. 49 (10), п. 16, п. 19 Методических указаний ФСТ № 1746-э.</v>
      </c>
      <c r="AO115" s="196"/>
      <c r="AR115" s="694" t="s">
        <v>1742</v>
      </c>
    </row>
    <row r="116" spans="1:48" ht="14.25" customHeight="1" x14ac:dyDescent="0.25">
      <c r="E116" s="504">
        <v>15</v>
      </c>
      <c r="F116" s="3" t="str" cm="1">
        <f t="array" aca="1" ref="F116" ca="1">OFFSET(E116,-1,1)</f>
        <v>1</v>
      </c>
      <c r="I116" s="38" t="s">
        <v>1074</v>
      </c>
      <c r="J116" s="38"/>
      <c r="K116" s="38"/>
      <c r="L116" s="38"/>
      <c r="M116" s="38"/>
      <c r="N116" s="38"/>
      <c r="O116" s="38"/>
      <c r="P116" s="38"/>
      <c r="Q116" s="38"/>
      <c r="R116" s="38"/>
      <c r="S116" s="38"/>
      <c r="T116" s="353" t="b" cm="1">
        <f t="array" ref="T116">T115</f>
        <v>1</v>
      </c>
      <c r="X116" s="1078"/>
      <c r="Z116" s="1079"/>
      <c r="AB116" s="133" t="s">
        <v>1075</v>
      </c>
      <c r="AC116" s="134" t="s">
        <v>1743</v>
      </c>
      <c r="AD116" s="9" t="s">
        <v>828</v>
      </c>
      <c r="AE116" s="128"/>
      <c r="AF116" s="128"/>
      <c r="AG116" s="128"/>
      <c r="AH116" s="171">
        <f t="shared" si="7"/>
        <v>0</v>
      </c>
      <c r="AI116" s="128"/>
      <c r="AJ116" s="128"/>
      <c r="AK116" s="128"/>
      <c r="AL116" s="171">
        <f t="shared" si="8"/>
        <v>0</v>
      </c>
      <c r="AM116" s="196"/>
      <c r="AN116" s="196"/>
      <c r="AO116" s="196"/>
      <c r="AR116" s="694" t="s">
        <v>1744</v>
      </c>
    </row>
    <row r="117" spans="1:48" ht="14.25" customHeight="1" x14ac:dyDescent="0.25">
      <c r="E117" s="504">
        <v>15</v>
      </c>
      <c r="F117" s="3" t="str" cm="1">
        <f t="array" aca="1" ref="F117" ca="1">OFFSET(E117,-1,1)</f>
        <v>1</v>
      </c>
      <c r="I117" s="38" t="s">
        <v>1319</v>
      </c>
      <c r="J117" s="38"/>
      <c r="K117" s="38"/>
      <c r="L117" s="38"/>
      <c r="M117" s="38"/>
      <c r="N117" s="38"/>
      <c r="O117" s="38"/>
      <c r="P117" s="38"/>
      <c r="Q117" s="38"/>
      <c r="R117" s="38"/>
      <c r="S117" s="38"/>
      <c r="T117" s="353" t="b" cm="1">
        <f t="array" ref="T117">T116</f>
        <v>1</v>
      </c>
      <c r="X117" s="1078"/>
      <c r="Z117" s="1079"/>
      <c r="AB117" s="133" t="s">
        <v>1320</v>
      </c>
      <c r="AC117" s="134" t="s">
        <v>1745</v>
      </c>
      <c r="AD117" s="9" t="s">
        <v>828</v>
      </c>
      <c r="AE117" s="128"/>
      <c r="AF117" s="128"/>
      <c r="AG117" s="128"/>
      <c r="AH117" s="171">
        <f t="shared" si="7"/>
        <v>0</v>
      </c>
      <c r="AI117" s="128"/>
      <c r="AJ117" s="128"/>
      <c r="AK117" s="128"/>
      <c r="AL117" s="171">
        <f t="shared" si="8"/>
        <v>0</v>
      </c>
      <c r="AM117" s="196"/>
      <c r="AN117" s="196"/>
      <c r="AO117" s="196"/>
      <c r="AR117" s="694" t="s">
        <v>1746</v>
      </c>
    </row>
    <row r="118" spans="1:48" s="867" customFormat="1" ht="21.75" customHeight="1" x14ac:dyDescent="0.25">
      <c r="A118" s="423"/>
      <c r="B118" s="423"/>
      <c r="C118" s="423"/>
      <c r="D118" s="423"/>
      <c r="E118" s="505">
        <v>22.5</v>
      </c>
      <c r="F118" s="3" t="str" cm="1">
        <f t="array" aca="1" ref="F118" ca="1">OFFSET(E118,-1,1)</f>
        <v>1</v>
      </c>
      <c r="G118" s="423"/>
      <c r="H118" s="423"/>
      <c r="I118" s="154" t="s">
        <v>486</v>
      </c>
      <c r="J118" s="154"/>
      <c r="K118" s="154"/>
      <c r="L118" s="154"/>
      <c r="M118" s="154"/>
      <c r="N118" s="154"/>
      <c r="O118" s="154"/>
      <c r="P118" s="154"/>
      <c r="Q118" s="154"/>
      <c r="R118" s="154"/>
      <c r="S118" s="154"/>
      <c r="T118" s="353" t="b" cm="1">
        <f t="array" ref="T118">T117</f>
        <v>1</v>
      </c>
      <c r="U118" s="423"/>
      <c r="V118" s="423"/>
      <c r="W118" s="423"/>
      <c r="X118" s="1078"/>
      <c r="Y118" s="423"/>
      <c r="Z118" s="1079"/>
      <c r="AA118" s="423"/>
      <c r="AB118" s="131" t="s">
        <v>942</v>
      </c>
      <c r="AC118" s="263" t="s">
        <v>1747</v>
      </c>
      <c r="AD118" s="147" t="s">
        <v>828</v>
      </c>
      <c r="AE118" s="126">
        <f ca="1">SUM(AE119:AE127)</f>
        <v>21218.07</v>
      </c>
      <c r="AF118" s="126">
        <f ca="1">SUM(AF119:AF127)</f>
        <v>21918.191888597499</v>
      </c>
      <c r="AG118" s="126">
        <f ca="1">SUM(AG119:AG127)</f>
        <v>21918.191888597499</v>
      </c>
      <c r="AH118" s="126">
        <f t="shared" ca="1" si="7"/>
        <v>0</v>
      </c>
      <c r="AI118" s="126">
        <f ca="1">SUM(AI119:AI127)</f>
        <v>25840.63</v>
      </c>
      <c r="AJ118" s="126">
        <f ca="1">SUM(AJ119:AJ127)</f>
        <v>30812.5764729933</v>
      </c>
      <c r="AK118" s="126">
        <f ca="1">SUM(AK119:AK127)</f>
        <v>27100.16</v>
      </c>
      <c r="AL118" s="126">
        <f t="shared" ca="1" si="8"/>
        <v>4.8742232677763608</v>
      </c>
      <c r="AM118" s="556"/>
      <c r="AN118" s="556"/>
      <c r="AO118" s="556"/>
      <c r="AP118" s="423"/>
      <c r="AQ118" s="423"/>
      <c r="AR118" s="695" t="s">
        <v>1748</v>
      </c>
      <c r="AS118" s="695"/>
      <c r="AT118" s="695"/>
      <c r="AU118" s="505"/>
      <c r="AV118" s="505"/>
    </row>
    <row r="119" spans="1:48" ht="14.25" customHeight="1" x14ac:dyDescent="0.25">
      <c r="E119" s="504">
        <v>15</v>
      </c>
      <c r="F119" s="3" t="str" cm="1">
        <f t="array" aca="1" ref="F119" ca="1">OFFSET(E119,-1,1)</f>
        <v>1</v>
      </c>
      <c r="I119" s="38" t="s">
        <v>1344</v>
      </c>
      <c r="J119" s="38"/>
      <c r="K119" s="38"/>
      <c r="L119" s="38"/>
      <c r="M119" s="38"/>
      <c r="N119" s="38"/>
      <c r="O119" s="38"/>
      <c r="P119" s="38"/>
      <c r="Q119" s="38"/>
      <c r="R119" s="38"/>
      <c r="S119" s="38"/>
      <c r="T119" s="353" t="b" cm="1">
        <f t="array" ref="T119">T118</f>
        <v>1</v>
      </c>
      <c r="X119" s="1078"/>
      <c r="Z119" s="1079"/>
      <c r="AB119" s="133" t="s">
        <v>1345</v>
      </c>
      <c r="AC119" s="134" t="s">
        <v>1749</v>
      </c>
      <c r="AD119" s="9" t="s">
        <v>828</v>
      </c>
      <c r="AE119" s="171">
        <f ca="1">SUMIFS(ЭЭ!AE$25:AE$116,ЭЭ!$F$25:$F$116,$F119,ЭЭ!$AC$25:$AC$116,"Всего по тарифу")</f>
        <v>21218.07</v>
      </c>
      <c r="AF119" s="171">
        <f ca="1">SUMIFS(ЭЭ!AF$25:AF$116,ЭЭ!$F$25:$F$116,$F119,ЭЭ!$AC$25:$AC$116,"Всего по тарифу")</f>
        <v>21918.191888597499</v>
      </c>
      <c r="AG119" s="171">
        <f ca="1">SUMIFS(ЭЭ!AG$25:AG$116,ЭЭ!$F$25:$F$116,$F119,ЭЭ!$AC$25:$AC$116,"Всего по тарифу")</f>
        <v>21918.191888597499</v>
      </c>
      <c r="AH119" s="171">
        <f t="shared" ca="1" si="7"/>
        <v>0</v>
      </c>
      <c r="AI119" s="171">
        <f ca="1">SUMIFS(ЭЭ!AH$25:AH$116,ЭЭ!$F$25:$F$116,$F119,ЭЭ!$AC$25:$AC$116,"Всего по тарифу")</f>
        <v>25840.63</v>
      </c>
      <c r="AJ119" s="171">
        <f ca="1">SUMIFS(ЭЭ!AI$25:AI$116,ЭЭ!$F$25:$F$116,$F119,ЭЭ!$AC$25:$AC$116,"Всего по тарифу")</f>
        <v>30812.5764729933</v>
      </c>
      <c r="AK119" s="171">
        <f ca="1">SUMIFS(ЭЭ!AS$25:AS$116,ЭЭ!$F$25:$F$116,$F119,ЭЭ!$AC$25:$AC$116,"Всего по тарифу")</f>
        <v>27100.16</v>
      </c>
      <c r="AL119" s="171">
        <f t="shared" ca="1" si="8"/>
        <v>4.8742232677763608</v>
      </c>
      <c r="AM119" s="196"/>
      <c r="AN119" s="601" t="str">
        <f ca="1">IF(IFERROR(INDEX(ЭЭ!$K$26:$L$116,MATCH($F119&amp;"komm",ЭЭ!$K$26:$K$116,0),2),"")=0,"",IFERROR(INDEX(ЭЭ!$K$26:$L$116,MATCH($F119&amp;"komm",ЭЭ!$K$26:$K$116,0),2),""))</f>
        <v>П. 16 (в), 91,95 Методических указаний ФСТ № 1746-э.</v>
      </c>
      <c r="AO119" s="196"/>
      <c r="AR119" s="694" t="s">
        <v>1750</v>
      </c>
    </row>
    <row r="120" spans="1:48" ht="14.25" customHeight="1" x14ac:dyDescent="0.25">
      <c r="E120" s="504">
        <v>15</v>
      </c>
      <c r="F120" s="3" t="str" cm="1">
        <f t="array" aca="1" ref="F120" ca="1">OFFSET(E120,-1,1)</f>
        <v>1</v>
      </c>
      <c r="G120" s="278" t="s">
        <v>1148</v>
      </c>
      <c r="I120" s="38" t="s">
        <v>1347</v>
      </c>
      <c r="J120" s="38"/>
      <c r="K120" s="38"/>
      <c r="L120" s="38"/>
      <c r="M120" s="38"/>
      <c r="N120" s="38"/>
      <c r="O120" s="38"/>
      <c r="P120" s="38"/>
      <c r="Q120" s="38"/>
      <c r="R120" s="38"/>
      <c r="S120" s="38"/>
      <c r="T120" s="353" t="b" cm="1">
        <f t="array" ref="T120">T119</f>
        <v>1</v>
      </c>
      <c r="X120" s="1078"/>
      <c r="Z120" s="1079"/>
      <c r="AB120" s="133" t="s">
        <v>1348</v>
      </c>
      <c r="AC120" s="134" t="s">
        <v>1751</v>
      </c>
      <c r="AD120" s="9" t="s">
        <v>828</v>
      </c>
      <c r="AE120" s="171">
        <f ca="1">SUMIFS(Покупка!AE$25:AE$150,Покупка!$F$25:$F$150,$F120,Покупка!$AC$25:$AC$150,$G120)</f>
        <v>0</v>
      </c>
      <c r="AF120" s="171">
        <f ca="1">SUMIFS(Покупка!AF$25:AF$150,Покупка!$F$25:$F$150,$F120,Покупка!$AC$25:$AC$150,$G120)</f>
        <v>0</v>
      </c>
      <c r="AG120" s="171">
        <f ca="1">SUMIFS(Покупка!AG$25:AG$150,Покупка!$F$25:$F$150,$F120,Покупка!$AC$25:$AC$150,$G120)</f>
        <v>0</v>
      </c>
      <c r="AH120" s="171">
        <f t="shared" ca="1" si="7"/>
        <v>0</v>
      </c>
      <c r="AI120" s="171">
        <f ca="1">SUMIFS(Покупка!AH$25:AH$150,Покупка!$F$25:$F$150,$F120,Покупка!$AC$25:$AC$150,$G120)</f>
        <v>0</v>
      </c>
      <c r="AJ120" s="171">
        <f ca="1">SUMIFS(Покупка!AI$25:AI$150,Покупка!$F$25:$F$150,$F120,Покупка!$AC$25:$AC$150,$G120)</f>
        <v>0</v>
      </c>
      <c r="AK120" s="171">
        <f ca="1">SUMIFS(Покупка!AS$25:AS$150,Покупка!$F$25:$F$150,$F120,Покупка!$AC$25:$AC$150,$G120)</f>
        <v>0</v>
      </c>
      <c r="AL120" s="171">
        <f t="shared" ca="1" si="8"/>
        <v>0</v>
      </c>
      <c r="AM120" s="196"/>
      <c r="AN120" s="601" t="str">
        <f ca="1">IF(IFERROR(INDEX(Покупка!$K$26:$L$150,MATCH($F120&amp;"6komm",Покупка!$K$26:$K$150,0),2),"")=0,"",IFERROR(INDEX(Покупка!$K$26:$L$150,MATCH($F120&amp;"6komm",Покупка!$K$26:$K$150,0),2),""))</f>
        <v/>
      </c>
      <c r="AO120" s="196"/>
      <c r="AR120" s="694" t="s">
        <v>1149</v>
      </c>
    </row>
    <row r="121" spans="1:48" ht="14.25" customHeight="1" x14ac:dyDescent="0.25">
      <c r="E121" s="504">
        <v>15</v>
      </c>
      <c r="F121" s="3" t="str" cm="1">
        <f t="array" aca="1" ref="F121" ca="1">OFFSET(E121,-1,1)</f>
        <v>1</v>
      </c>
      <c r="G121" s="278" t="s">
        <v>1150</v>
      </c>
      <c r="I121" s="38" t="s">
        <v>1351</v>
      </c>
      <c r="J121" s="38"/>
      <c r="K121" s="38"/>
      <c r="L121" s="38"/>
      <c r="M121" s="38"/>
      <c r="N121" s="38"/>
      <c r="O121" s="38"/>
      <c r="P121" s="38"/>
      <c r="Q121" s="38"/>
      <c r="R121" s="38"/>
      <c r="S121" s="38"/>
      <c r="T121" s="353" t="b" cm="1">
        <f t="array" ref="T121">T120</f>
        <v>1</v>
      </c>
      <c r="X121" s="1078"/>
      <c r="Z121" s="1079"/>
      <c r="AB121" s="133" t="s">
        <v>1352</v>
      </c>
      <c r="AC121" s="134" t="s">
        <v>1752</v>
      </c>
      <c r="AD121" s="9" t="s">
        <v>828</v>
      </c>
      <c r="AE121" s="171">
        <f ca="1">SUMIFS(Покупка!AE$25:AE$150,Покупка!$F$25:$F$150,$F121,Покупка!$AC$25:$AC$150,$G121)</f>
        <v>0</v>
      </c>
      <c r="AF121" s="171">
        <f ca="1">SUMIFS(Покупка!AF$25:AF$150,Покупка!$F$25:$F$150,$F121,Покупка!$AC$25:$AC$150,$G121)</f>
        <v>0</v>
      </c>
      <c r="AG121" s="171">
        <f ca="1">SUMIFS(Покупка!AG$25:AG$150,Покупка!$F$25:$F$150,$F121,Покупка!$AC$25:$AC$150,$G121)</f>
        <v>0</v>
      </c>
      <c r="AH121" s="171">
        <f t="shared" ca="1" si="7"/>
        <v>0</v>
      </c>
      <c r="AI121" s="171">
        <f ca="1">SUMIFS(Покупка!AH$25:AH$150,Покупка!$F$25:$F$150,$F121,Покупка!$AC$25:$AC$150,$G121)</f>
        <v>0</v>
      </c>
      <c r="AJ121" s="171">
        <f ca="1">SUMIFS(Покупка!AI$25:AI$150,Покупка!$F$25:$F$150,$F121,Покупка!$AC$25:$AC$150,$G121)</f>
        <v>0</v>
      </c>
      <c r="AK121" s="171">
        <f ca="1">SUMIFS(Покупка!AS$25:AS$150,Покупка!$F$25:$F$150,$F121,Покупка!$AC$25:$AC$150,$G121)</f>
        <v>0</v>
      </c>
      <c r="AL121" s="171">
        <f t="shared" ca="1" si="8"/>
        <v>0</v>
      </c>
      <c r="AM121" s="196"/>
      <c r="AN121" s="601" t="str">
        <f ca="1">IF(IFERROR(INDEX(Покупка!$K$26:$L$150,MATCH($F121&amp;"7komm",Покупка!$K$26:$K$150,0),2),"")=0,"",IFERROR(INDEX(Покупка!$K$26:$L$150,MATCH($F121&amp;"7komm",Покупка!$K$26:$K$150,0),2),""))</f>
        <v/>
      </c>
      <c r="AO121" s="196"/>
      <c r="AR121" s="694" t="s">
        <v>1151</v>
      </c>
    </row>
    <row r="122" spans="1:48" ht="14.25" customHeight="1" x14ac:dyDescent="0.25">
      <c r="E122" s="504">
        <v>15</v>
      </c>
      <c r="F122" s="3" t="str" cm="1">
        <f t="array" aca="1" ref="F122" ca="1">OFFSET(E122,-1,1)</f>
        <v>1</v>
      </c>
      <c r="G122" s="278" t="s">
        <v>1154</v>
      </c>
      <c r="I122" s="38" t="s">
        <v>1510</v>
      </c>
      <c r="J122" s="38"/>
      <c r="K122" s="38"/>
      <c r="L122" s="38"/>
      <c r="M122" s="38"/>
      <c r="N122" s="38"/>
      <c r="O122" s="38"/>
      <c r="P122" s="38"/>
      <c r="Q122" s="38"/>
      <c r="R122" s="38"/>
      <c r="S122" s="38"/>
      <c r="T122" s="353" t="b" cm="1">
        <f t="array" ref="T122">T121</f>
        <v>1</v>
      </c>
      <c r="X122" s="1078"/>
      <c r="Z122" s="1079"/>
      <c r="AB122" s="133" t="s">
        <v>1753</v>
      </c>
      <c r="AC122" s="134" t="s">
        <v>1754</v>
      </c>
      <c r="AD122" s="9" t="s">
        <v>828</v>
      </c>
      <c r="AE122" s="171">
        <f ca="1">SUMIFS(Покупка!AE$25:AE$150,Покупка!$F$25:$F$150,$F122,Покупка!$AC$25:$AC$150,$G122)</f>
        <v>0</v>
      </c>
      <c r="AF122" s="171">
        <f ca="1">SUMIFS(Покупка!AF$25:AF$150,Покупка!$F$25:$F$150,$F122,Покупка!$AC$25:$AC$150,$G122)</f>
        <v>0</v>
      </c>
      <c r="AG122" s="171">
        <f ca="1">SUMIFS(Покупка!AG$25:AG$150,Покупка!$F$25:$F$150,$F122,Покупка!$AC$25:$AC$150,$G122)</f>
        <v>0</v>
      </c>
      <c r="AH122" s="171">
        <f t="shared" ca="1" si="7"/>
        <v>0</v>
      </c>
      <c r="AI122" s="171">
        <f ca="1">SUMIFS(Покупка!AH$25:AH$150,Покупка!$F$25:$F$150,$F122,Покупка!$AC$25:$AC$150,$G122)</f>
        <v>0</v>
      </c>
      <c r="AJ122" s="171">
        <f ca="1">SUMIFS(Покупка!AI$25:AI$150,Покупка!$F$25:$F$150,$F122,Покупка!$AC$25:$AC$150,$G122)</f>
        <v>0</v>
      </c>
      <c r="AK122" s="171">
        <f ca="1">SUMIFS(Покупка!AS$25:AS$150,Покупка!$F$25:$F$150,$F122,Покупка!$AC$25:$AC$150,$G122)</f>
        <v>0</v>
      </c>
      <c r="AL122" s="171">
        <f t="shared" ca="1" si="8"/>
        <v>0</v>
      </c>
      <c r="AM122" s="196"/>
      <c r="AN122" s="601" t="str">
        <f ca="1">IF(IFERROR(INDEX(Покупка!$K$26:$L$150,MATCH($F122&amp;"9komm",Покупка!$K$26:$K$150,0),2),"")=0,"",IFERROR(INDEX(Покупка!$K$26:$L$150,MATCH($F122&amp;"9komm",Покупка!$K$26:$K$150,0),2),""))</f>
        <v/>
      </c>
      <c r="AO122" s="196"/>
      <c r="AR122" s="694" t="s">
        <v>1155</v>
      </c>
    </row>
    <row r="123" spans="1:48" ht="14.25" customHeight="1" x14ac:dyDescent="0.25">
      <c r="E123" s="504">
        <v>15</v>
      </c>
      <c r="F123" s="3" t="str" cm="1">
        <f t="array" aca="1" ref="F123" ca="1">OFFSET(E123,-1,1)</f>
        <v>1</v>
      </c>
      <c r="G123" s="278" t="s">
        <v>1116</v>
      </c>
      <c r="I123" s="38" t="s">
        <v>1514</v>
      </c>
      <c r="J123" s="38"/>
      <c r="K123" s="38"/>
      <c r="L123" s="38"/>
      <c r="M123" s="38"/>
      <c r="N123" s="38"/>
      <c r="O123" s="38"/>
      <c r="P123" s="38"/>
      <c r="Q123" s="38"/>
      <c r="R123" s="38"/>
      <c r="S123" s="38"/>
      <c r="T123" s="353" t="b" cm="1">
        <f t="array" ref="T123">T122</f>
        <v>1</v>
      </c>
      <c r="X123" s="1078"/>
      <c r="Z123" s="1079"/>
      <c r="AB123" s="133" t="s">
        <v>1755</v>
      </c>
      <c r="AC123" s="134" t="s">
        <v>1756</v>
      </c>
      <c r="AD123" s="9" t="s">
        <v>828</v>
      </c>
      <c r="AE123" s="171">
        <f ca="1">SUMIFS(Покупка!AE$25:AE$150,Покупка!$F$25:$F$150,$F123,Покупка!$AC$25:$AC$150,$G123)</f>
        <v>0</v>
      </c>
      <c r="AF123" s="171">
        <f ca="1">SUMIFS(Покупка!AF$25:AF$150,Покупка!$F$25:$F$150,$F123,Покупка!$AC$25:$AC$150,$G123)</f>
        <v>0</v>
      </c>
      <c r="AG123" s="171">
        <f ca="1">SUMIFS(Покупка!AG$25:AG$150,Покупка!$F$25:$F$150,$F123,Покупка!$AC$25:$AC$150,$G123)</f>
        <v>0</v>
      </c>
      <c r="AH123" s="171">
        <f t="shared" ca="1" si="7"/>
        <v>0</v>
      </c>
      <c r="AI123" s="171">
        <f ca="1">SUMIFS(Покупка!AH$25:AH$150,Покупка!$F$25:$F$150,$F123,Покупка!$AC$25:$AC$150,$G123)</f>
        <v>0</v>
      </c>
      <c r="AJ123" s="171">
        <f ca="1">SUMIFS(Покупка!AI$25:AI$150,Покупка!$F$25:$F$150,$F123,Покупка!$AC$25:$AC$150,$G123)</f>
        <v>0</v>
      </c>
      <c r="AK123" s="171">
        <f ca="1">SUMIFS(Покупка!AS$25:AS$150,Покупка!$F$25:$F$150,$F123,Покупка!$AC$25:$AC$150,$G123)</f>
        <v>0</v>
      </c>
      <c r="AL123" s="171">
        <f t="shared" ca="1" si="8"/>
        <v>0</v>
      </c>
      <c r="AM123" s="196"/>
      <c r="AN123" s="601" t="str">
        <f ca="1">IF(IFERROR(INDEX(Покупка!$K$26:$L$150,MATCH($F123&amp;"1komm",Покупка!$K$26:$K$150,0),2),"")=0,"",IFERROR(INDEX(Покупка!$K$26:$L$150,MATCH($F123&amp;"1komm",Покупка!$K$26:$K$150,0),2),""))</f>
        <v/>
      </c>
      <c r="AO123" s="196"/>
      <c r="AR123" s="694" t="s">
        <v>1757</v>
      </c>
    </row>
    <row r="124" spans="1:48" ht="14.25" customHeight="1" x14ac:dyDescent="0.25">
      <c r="E124" s="504">
        <v>15</v>
      </c>
      <c r="F124" s="3" t="str" cm="1">
        <f t="array" aca="1" ref="F124" ca="1">OFFSET(E124,-1,1)</f>
        <v>1</v>
      </c>
      <c r="G124" s="278" t="s">
        <v>1125</v>
      </c>
      <c r="I124" s="38" t="s">
        <v>1519</v>
      </c>
      <c r="J124" s="38"/>
      <c r="K124" s="38"/>
      <c r="L124" s="38"/>
      <c r="M124" s="38"/>
      <c r="N124" s="38"/>
      <c r="O124" s="38"/>
      <c r="P124" s="38"/>
      <c r="Q124" s="38"/>
      <c r="R124" s="38"/>
      <c r="S124" s="38"/>
      <c r="T124" s="353" t="b" cm="1">
        <f t="array" ref="T124">T123</f>
        <v>1</v>
      </c>
      <c r="X124" s="1078"/>
      <c r="Z124" s="1079"/>
      <c r="AB124" s="133" t="s">
        <v>1758</v>
      </c>
      <c r="AC124" s="134" t="s">
        <v>1759</v>
      </c>
      <c r="AD124" s="9" t="s">
        <v>828</v>
      </c>
      <c r="AE124" s="171">
        <f ca="1">SUMIFS(Покупка!AE$25:AE$150,Покупка!$F$25:$F$150,$F124,Покупка!$AC$25:$AC$150,$G124)</f>
        <v>0</v>
      </c>
      <c r="AF124" s="171">
        <f ca="1">SUMIFS(Покупка!AF$25:AF$150,Покупка!$F$25:$F$150,$F124,Покупка!$AC$25:$AC$150,$G124)</f>
        <v>0</v>
      </c>
      <c r="AG124" s="171">
        <f ca="1">SUMIFS(Покупка!AG$25:AG$150,Покупка!$F$25:$F$150,$F124,Покупка!$AC$25:$AC$150,$G124)</f>
        <v>0</v>
      </c>
      <c r="AH124" s="171">
        <f t="shared" ca="1" si="7"/>
        <v>0</v>
      </c>
      <c r="AI124" s="171">
        <f ca="1">SUMIFS(Покупка!AH$25:AH$150,Покупка!$F$25:$F$150,$F124,Покупка!$AC$25:$AC$150,$G124)</f>
        <v>0</v>
      </c>
      <c r="AJ124" s="171">
        <f ca="1">SUMIFS(Покупка!AI$25:AI$150,Покупка!$F$25:$F$150,$F124,Покупка!$AC$25:$AC$150,$G124)</f>
        <v>0</v>
      </c>
      <c r="AK124" s="171">
        <f ca="1">SUMIFS(Покупка!AS$25:AS$150,Покупка!$F$25:$F$150,$F124,Покупка!$AC$25:$AC$150,$G124)</f>
        <v>0</v>
      </c>
      <c r="AL124" s="171">
        <f t="shared" ca="1" si="8"/>
        <v>0</v>
      </c>
      <c r="AM124" s="196"/>
      <c r="AN124" s="601" t="str">
        <f ca="1">IF(IFERROR(INDEX(Покупка!$K$26:$L$150,MATCH($F124&amp;"2komm",Покупка!$K$26:$K$150,0),2),"")=0,"",IFERROR(INDEX(Покупка!$K$26:$L$150,MATCH($F124&amp;"2komm",Покупка!$K$26:$K$150,0),2),""))</f>
        <v/>
      </c>
      <c r="AO124" s="196"/>
      <c r="AR124" s="694" t="s">
        <v>1760</v>
      </c>
    </row>
    <row r="125" spans="1:48" ht="14.25" customHeight="1" x14ac:dyDescent="0.25">
      <c r="E125" s="504">
        <v>15</v>
      </c>
      <c r="F125" s="3" t="str" cm="1">
        <f t="array" aca="1" ref="F125" ca="1">OFFSET(E125,-1,1)</f>
        <v>1</v>
      </c>
      <c r="G125" s="278" t="s">
        <v>1130</v>
      </c>
      <c r="I125" s="38" t="s">
        <v>1528</v>
      </c>
      <c r="J125" s="38"/>
      <c r="K125" s="38"/>
      <c r="L125" s="38"/>
      <c r="M125" s="38"/>
      <c r="N125" s="38"/>
      <c r="O125" s="38"/>
      <c r="P125" s="38"/>
      <c r="Q125" s="38"/>
      <c r="R125" s="38"/>
      <c r="S125" s="38"/>
      <c r="T125" s="353" t="b" cm="1">
        <f t="array" ref="T125">T124</f>
        <v>1</v>
      </c>
      <c r="X125" s="1078"/>
      <c r="Z125" s="1079"/>
      <c r="AB125" s="133" t="s">
        <v>1761</v>
      </c>
      <c r="AC125" s="134" t="s">
        <v>1762</v>
      </c>
      <c r="AD125" s="9" t="s">
        <v>828</v>
      </c>
      <c r="AE125" s="171">
        <f ca="1">SUMIFS(Покупка!AE$25:AE$150,Покупка!$F$25:$F$150,$F125,Покупка!$AC$25:$AC$150,$G125)</f>
        <v>0</v>
      </c>
      <c r="AF125" s="171">
        <f ca="1">SUMIFS(Покупка!AF$25:AF$150,Покупка!$F$25:$F$150,$F125,Покупка!$AC$25:$AC$150,$G125)</f>
        <v>0</v>
      </c>
      <c r="AG125" s="171">
        <f ca="1">SUMIFS(Покупка!AG$25:AG$150,Покупка!$F$25:$F$150,$F125,Покупка!$AC$25:$AC$150,$G125)</f>
        <v>0</v>
      </c>
      <c r="AH125" s="171">
        <f t="shared" ca="1" si="7"/>
        <v>0</v>
      </c>
      <c r="AI125" s="171">
        <f ca="1">SUMIFS(Покупка!AH$25:AH$150,Покупка!$F$25:$F$150,$F125,Покупка!$AC$25:$AC$150,$G125)</f>
        <v>0</v>
      </c>
      <c r="AJ125" s="171">
        <f ca="1">SUMIFS(Покупка!AI$25:AI$150,Покупка!$F$25:$F$150,$F125,Покупка!$AC$25:$AC$150,$G125)</f>
        <v>0</v>
      </c>
      <c r="AK125" s="171">
        <f ca="1">SUMIFS(Покупка!AS$25:AS$150,Покупка!$F$25:$F$150,$F125,Покупка!$AC$25:$AC$150,$G125)</f>
        <v>0</v>
      </c>
      <c r="AL125" s="171">
        <f t="shared" ca="1" si="8"/>
        <v>0</v>
      </c>
      <c r="AM125" s="196"/>
      <c r="AN125" s="601" t="str">
        <f ca="1">IF(IFERROR(INDEX(Покупка!$K$26:$L$150,MATCH($F125&amp;"3komm",Покупка!$K$26:$K$150,0),2),"")=0,"",IFERROR(INDEX(Покупка!$K$26:$L$150,MATCH($F125&amp;"3komm",Покупка!$K$26:$K$150,0),2),""))</f>
        <v/>
      </c>
      <c r="AO125" s="196"/>
      <c r="AR125" s="694" t="s">
        <v>1763</v>
      </c>
    </row>
    <row r="126" spans="1:48" ht="14.25" customHeight="1" x14ac:dyDescent="0.25">
      <c r="E126" s="504">
        <v>15</v>
      </c>
      <c r="F126" s="3" t="str" cm="1">
        <f t="array" aca="1" ref="F126" ca="1">OFFSET(E126,-1,1)</f>
        <v>1</v>
      </c>
      <c r="G126" s="278" t="s">
        <v>1136</v>
      </c>
      <c r="I126" s="38" t="s">
        <v>1533</v>
      </c>
      <c r="J126" s="38"/>
      <c r="K126" s="38"/>
      <c r="L126" s="38"/>
      <c r="M126" s="38"/>
      <c r="N126" s="38"/>
      <c r="O126" s="38"/>
      <c r="P126" s="38"/>
      <c r="Q126" s="38"/>
      <c r="R126" s="38"/>
      <c r="S126" s="38"/>
      <c r="T126" s="353" t="b" cm="1">
        <f t="array" ref="T126">T125</f>
        <v>1</v>
      </c>
      <c r="X126" s="1078"/>
      <c r="Z126" s="1079"/>
      <c r="AB126" s="133" t="s">
        <v>1764</v>
      </c>
      <c r="AC126" s="134" t="s">
        <v>1765</v>
      </c>
      <c r="AD126" s="9" t="s">
        <v>828</v>
      </c>
      <c r="AE126" s="171">
        <f ca="1">SUMIFS(Покупка!AE$25:AE$150,Покупка!$F$25:$F$150,$F126,Покупка!$AC$25:$AC$150,$G126)</f>
        <v>0</v>
      </c>
      <c r="AF126" s="171">
        <f ca="1">SUMIFS(Покупка!AF$25:AF$150,Покупка!$F$25:$F$150,$F126,Покупка!$AC$25:$AC$150,$G126)</f>
        <v>0</v>
      </c>
      <c r="AG126" s="171">
        <f ca="1">SUMIFS(Покупка!AG$25:AG$150,Покупка!$F$25:$F$150,$F126,Покупка!$AC$25:$AC$150,$G126)</f>
        <v>0</v>
      </c>
      <c r="AH126" s="171">
        <f t="shared" ca="1" si="7"/>
        <v>0</v>
      </c>
      <c r="AI126" s="171">
        <f ca="1">SUMIFS(Покупка!AH$25:AH$150,Покупка!$F$25:$F$150,$F126,Покупка!$AC$25:$AC$150,$G126)</f>
        <v>0</v>
      </c>
      <c r="AJ126" s="171">
        <f ca="1">SUMIFS(Покупка!AI$25:AI$150,Покупка!$F$25:$F$150,$F126,Покупка!$AC$25:$AC$150,$G126)</f>
        <v>0</v>
      </c>
      <c r="AK126" s="171">
        <f ca="1">SUMIFS(Покупка!AS$25:AS$150,Покупка!$F$25:$F$150,$F126,Покупка!$AC$25:$AC$150,$G126)</f>
        <v>0</v>
      </c>
      <c r="AL126" s="171">
        <f t="shared" ca="1" si="8"/>
        <v>0</v>
      </c>
      <c r="AM126" s="196"/>
      <c r="AN126" s="601" t="str">
        <f ca="1">IF(IFERROR(INDEX(Покупка!$K$26:$L$150,MATCH($F126&amp;"4komm",Покупка!$K$26:$K$150,0),2),"")=0,"",IFERROR(INDEX(Покупка!$K$26:$L$150,MATCH($F126&amp;"4komm",Покупка!$K$26:$K$150,0),2),""))</f>
        <v/>
      </c>
      <c r="AO126" s="196"/>
      <c r="AR126" s="694" t="s">
        <v>1766</v>
      </c>
    </row>
    <row r="127" spans="1:48" ht="14.25" customHeight="1" x14ac:dyDescent="0.25">
      <c r="E127" s="504">
        <v>15</v>
      </c>
      <c r="F127" s="3" t="str" cm="1">
        <f t="array" aca="1" ref="F127" ca="1">OFFSET(E127,-1,1)</f>
        <v>1</v>
      </c>
      <c r="G127" s="278" t="s">
        <v>1142</v>
      </c>
      <c r="I127" s="38" t="s">
        <v>1543</v>
      </c>
      <c r="J127" s="38"/>
      <c r="K127" s="38"/>
      <c r="L127" s="38"/>
      <c r="M127" s="38"/>
      <c r="N127" s="38"/>
      <c r="O127" s="38"/>
      <c r="P127" s="38"/>
      <c r="Q127" s="38"/>
      <c r="R127" s="38"/>
      <c r="S127" s="38"/>
      <c r="T127" s="353" t="b" cm="1">
        <f t="array" ref="T127">T126</f>
        <v>1</v>
      </c>
      <c r="X127" s="1078"/>
      <c r="Z127" s="1079"/>
      <c r="AB127" s="133" t="s">
        <v>1767</v>
      </c>
      <c r="AC127" s="134" t="s">
        <v>1768</v>
      </c>
      <c r="AD127" s="9" t="s">
        <v>828</v>
      </c>
      <c r="AE127" s="171">
        <f ca="1">SUMIFS(Покупка!AE$25:AE$150,Покупка!$F$25:$F$150,$F127,Покупка!$AC$25:$AC$150,$G127)</f>
        <v>0</v>
      </c>
      <c r="AF127" s="171">
        <f ca="1">SUMIFS(Покупка!AF$25:AF$150,Покупка!$F$25:$F$150,$F127,Покупка!$AC$25:$AC$150,$G127)</f>
        <v>0</v>
      </c>
      <c r="AG127" s="171">
        <f ca="1">SUMIFS(Покупка!AG$25:AG$150,Покупка!$F$25:$F$150,$F127,Покупка!$AC$25:$AC$150,$G127)</f>
        <v>0</v>
      </c>
      <c r="AH127" s="171">
        <f t="shared" ca="1" si="7"/>
        <v>0</v>
      </c>
      <c r="AI127" s="171">
        <f ca="1">SUMIFS(Покупка!AH$25:AH$150,Покупка!$F$25:$F$150,$F127,Покупка!$AC$25:$AC$150,$G127)</f>
        <v>0</v>
      </c>
      <c r="AJ127" s="171">
        <f ca="1">SUMIFS(Покупка!AI$25:AI$150,Покупка!$F$25:$F$150,$F127,Покупка!$AC$25:$AC$150,$G127)</f>
        <v>0</v>
      </c>
      <c r="AK127" s="171">
        <f ca="1">SUMIFS(Покупка!AS$25:AS$150,Покупка!$F$25:$F$150,$F127,Покупка!$AC$25:$AC$150,$G127)</f>
        <v>0</v>
      </c>
      <c r="AL127" s="171">
        <f t="shared" ca="1" si="8"/>
        <v>0</v>
      </c>
      <c r="AM127" s="196"/>
      <c r="AN127" s="601" t="str">
        <f ca="1">IF(IFERROR(INDEX(Покупка!$K$26:$L$150,MATCH($F127&amp;"5komm",Покупка!$K$26:$K$150,0),2),"")=0,"",IFERROR(INDEX(Покупка!$K$26:$L$150,MATCH($F127&amp;"5komm",Покупка!$K$26:$K$150,0),2),""))</f>
        <v/>
      </c>
      <c r="AO127" s="196"/>
      <c r="AR127" s="694" t="s">
        <v>1769</v>
      </c>
    </row>
    <row r="128" spans="1:48" s="867" customFormat="1" ht="43.5" customHeight="1" x14ac:dyDescent="0.25">
      <c r="A128" s="423"/>
      <c r="B128" s="423"/>
      <c r="C128" s="423"/>
      <c r="D128" s="423"/>
      <c r="E128" s="505">
        <v>45</v>
      </c>
      <c r="F128" s="3" t="str" cm="1">
        <f t="array" aca="1" ref="F128" ca="1">OFFSET(E128,-1,1)</f>
        <v>1</v>
      </c>
      <c r="G128" s="423"/>
      <c r="H128" s="423"/>
      <c r="I128" s="154" t="s">
        <v>489</v>
      </c>
      <c r="J128" s="154"/>
      <c r="K128" s="154"/>
      <c r="L128" s="154"/>
      <c r="M128" s="154"/>
      <c r="N128" s="154"/>
      <c r="O128" s="154"/>
      <c r="P128" s="154"/>
      <c r="Q128" s="154"/>
      <c r="R128" s="154"/>
      <c r="S128" s="154"/>
      <c r="T128" s="353" t="b" cm="1">
        <f t="array" ref="T128">T127</f>
        <v>1</v>
      </c>
      <c r="U128" s="423"/>
      <c r="V128" s="423"/>
      <c r="W128" s="423"/>
      <c r="X128" s="1078"/>
      <c r="Y128" s="423"/>
      <c r="Z128" s="1079"/>
      <c r="AA128" s="423"/>
      <c r="AB128" s="131" t="s">
        <v>945</v>
      </c>
      <c r="AC128" s="263" t="s">
        <v>1770</v>
      </c>
      <c r="AD128" s="147" t="s">
        <v>828</v>
      </c>
      <c r="AE128" s="138"/>
      <c r="AF128" s="138"/>
      <c r="AG128" s="138"/>
      <c r="AH128" s="126">
        <f t="shared" si="7"/>
        <v>0</v>
      </c>
      <c r="AI128" s="138"/>
      <c r="AJ128" s="138"/>
      <c r="AK128" s="138"/>
      <c r="AL128" s="126">
        <f t="shared" si="8"/>
        <v>0</v>
      </c>
      <c r="AM128" s="556"/>
      <c r="AN128" s="556"/>
      <c r="AO128" s="556"/>
      <c r="AP128" s="423"/>
      <c r="AQ128" s="423"/>
      <c r="AR128" s="695" t="s">
        <v>1771</v>
      </c>
      <c r="AS128" s="695"/>
      <c r="AT128" s="695"/>
      <c r="AU128" s="505"/>
      <c r="AV128" s="505"/>
    </row>
    <row r="129" spans="1:48" s="867" customFormat="1" ht="43.5" customHeight="1" x14ac:dyDescent="0.25">
      <c r="A129" s="423"/>
      <c r="B129" s="423"/>
      <c r="C129" s="423"/>
      <c r="D129" s="423"/>
      <c r="E129" s="505">
        <v>45</v>
      </c>
      <c r="F129" s="3" t="str" cm="1">
        <f t="array" aca="1" ref="F129" ca="1">OFFSET(E129,-1,1)</f>
        <v>1</v>
      </c>
      <c r="G129" s="423"/>
      <c r="H129" s="423"/>
      <c r="I129" s="154" t="s">
        <v>493</v>
      </c>
      <c r="J129" s="154"/>
      <c r="K129" s="154"/>
      <c r="L129" s="154"/>
      <c r="M129" s="154"/>
      <c r="N129" s="154"/>
      <c r="O129" s="154"/>
      <c r="P129" s="154"/>
      <c r="Q129" s="154"/>
      <c r="R129" s="154"/>
      <c r="S129" s="154"/>
      <c r="T129" s="353" t="b" cm="1">
        <f t="array" ref="T129">T128</f>
        <v>1</v>
      </c>
      <c r="U129" s="423"/>
      <c r="V129" s="423"/>
      <c r="W129" s="423"/>
      <c r="X129" s="1078"/>
      <c r="Y129" s="423"/>
      <c r="Z129" s="1079"/>
      <c r="AA129" s="423"/>
      <c r="AB129" s="131" t="s">
        <v>948</v>
      </c>
      <c r="AC129" s="263" t="s">
        <v>1772</v>
      </c>
      <c r="AD129" s="147" t="s">
        <v>828</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6"/>
      <c r="AN129" s="556"/>
      <c r="AO129" s="556"/>
      <c r="AP129" s="423"/>
      <c r="AQ129" s="423"/>
      <c r="AR129" s="695" t="s">
        <v>1773</v>
      </c>
      <c r="AS129" s="695"/>
      <c r="AT129" s="695"/>
      <c r="AU129" s="505"/>
      <c r="AV129" s="505"/>
    </row>
    <row r="130" spans="1:48" ht="14.25" customHeight="1" x14ac:dyDescent="0.25">
      <c r="E130" s="504">
        <v>15</v>
      </c>
      <c r="F130" s="3" t="str" cm="1">
        <f t="array" aca="1" ref="F130" ca="1">OFFSET(E130,-1,1)</f>
        <v>1</v>
      </c>
      <c r="G130" s="253" t="s">
        <v>1162</v>
      </c>
      <c r="I130" s="38" t="s">
        <v>1371</v>
      </c>
      <c r="J130" s="38"/>
      <c r="K130" s="38"/>
      <c r="L130" s="38"/>
      <c r="M130" s="38"/>
      <c r="N130" s="38"/>
      <c r="O130" s="38"/>
      <c r="P130" s="154"/>
      <c r="Q130" s="38"/>
      <c r="R130" s="38"/>
      <c r="S130" s="38"/>
      <c r="T130" s="353" t="b" cm="1">
        <f t="array" ref="T130">T129</f>
        <v>1</v>
      </c>
      <c r="X130" s="1078"/>
      <c r="Z130" s="1079"/>
      <c r="AB130" s="133" t="s">
        <v>1087</v>
      </c>
      <c r="AC130" s="134" t="s">
        <v>1774</v>
      </c>
      <c r="AD130" s="9" t="s">
        <v>828</v>
      </c>
      <c r="AE130" s="171">
        <f ca="1">SUMIFS(ФОТ!AE$25:AE$127,ФОТ!$F$25:$F$127,$F130,ФОТ!$G$25:$G$127,$G130)</f>
        <v>0</v>
      </c>
      <c r="AF130" s="171">
        <f ca="1">SUMIFS(ФОТ!AF$25:AF$127,ФОТ!$F$25:$F$127,$F130,ФОТ!$G$25:$G$127,$G130)</f>
        <v>0</v>
      </c>
      <c r="AG130" s="171">
        <f ca="1">SUMIFS(ФОТ!AG$25:AG$127,ФОТ!$F$25:$F$127,$F130,ФОТ!$G$25:$G$127,$G130)</f>
        <v>0</v>
      </c>
      <c r="AH130" s="171">
        <f t="shared" ca="1" si="7"/>
        <v>0</v>
      </c>
      <c r="AI130" s="171">
        <f ca="1">SUMIFS(ФОТ!AH$25:AH$127,ФОТ!$F$25:$F$127,$F130,ФОТ!$G$25:$G$127,$G130)</f>
        <v>0</v>
      </c>
      <c r="AJ130" s="171">
        <f ca="1">SUMIFS(ФОТ!AI$25:AI$127,ФОТ!$F$25:$F$127,$F130,ФОТ!$G$25:$G$127,$G130)</f>
        <v>0</v>
      </c>
      <c r="AK130" s="171">
        <f ca="1">SUMIFS(ФОТ!AJ$25:AJ$127,ФОТ!$F$25:$F$127,$F130,ФОТ!$G$25:$G$127,$G130)</f>
        <v>0</v>
      </c>
      <c r="AL130" s="171">
        <f t="shared" ca="1" si="8"/>
        <v>0</v>
      </c>
      <c r="AM130" s="196"/>
      <c r="AN130" s="601" t="str">
        <f ca="1">IF(IFERROR(INDEX(ФОТ!$K$26:$L$127,MATCH($F130&amp;"1komm",ФОТ!$K$26:$K$127,0),2),"")=0,"",IFERROR(INDEX(ФОТ!$K$26:$L$127,MATCH($F130&amp;"1komm",ФОТ!$K$26:$K$127,0),2),""))</f>
        <v/>
      </c>
      <c r="AO130" s="196"/>
      <c r="AR130" s="694" t="s">
        <v>1775</v>
      </c>
    </row>
    <row r="131" spans="1:48" ht="21.75" customHeight="1" x14ac:dyDescent="0.25">
      <c r="E131" s="504">
        <v>22.5</v>
      </c>
      <c r="F131" s="3" t="str" cm="1">
        <f t="array" aca="1" ref="F131" ca="1">OFFSET(E131,-1,1)</f>
        <v>1</v>
      </c>
      <c r="G131" s="253" t="s">
        <v>1174</v>
      </c>
      <c r="I131" s="38" t="s">
        <v>1372</v>
      </c>
      <c r="J131" s="38"/>
      <c r="K131" s="38"/>
      <c r="L131" s="38"/>
      <c r="M131" s="38"/>
      <c r="N131" s="38"/>
      <c r="O131" s="38"/>
      <c r="P131" s="154"/>
      <c r="Q131" s="38"/>
      <c r="R131" s="38"/>
      <c r="S131" s="38"/>
      <c r="T131" s="353" t="b" cm="1">
        <f t="array" ref="T131">T130</f>
        <v>1</v>
      </c>
      <c r="X131" s="1078"/>
      <c r="Z131" s="1079"/>
      <c r="AB131" s="133" t="s">
        <v>1090</v>
      </c>
      <c r="AC131" s="134" t="s">
        <v>1776</v>
      </c>
      <c r="AD131" s="9" t="s">
        <v>828</v>
      </c>
      <c r="AE131" s="171">
        <f ca="1">SUMIFS(ФОТ!AE$25:AE$127,ФОТ!$F$25:$F$127,$F131,ФОТ!$G$25:$G$127,$G131)</f>
        <v>0</v>
      </c>
      <c r="AF131" s="171">
        <f ca="1">SUMIFS(ФОТ!AF$25:AF$127,ФОТ!$F$25:$F$127,$F131,ФОТ!$G$25:$G$127,$G131)</f>
        <v>0</v>
      </c>
      <c r="AG131" s="171">
        <f ca="1">SUMIFS(ФОТ!AG$25:AG$127,ФОТ!$F$25:$F$127,$F131,ФОТ!$G$25:$G$127,$G131)</f>
        <v>0</v>
      </c>
      <c r="AH131" s="171">
        <f t="shared" ca="1" si="7"/>
        <v>0</v>
      </c>
      <c r="AI131" s="171">
        <f ca="1">SUMIFS(ФОТ!AH$25:AH$127,ФОТ!$F$25:$F$127,$F131,ФОТ!$G$25:$G$127,$G131)</f>
        <v>0</v>
      </c>
      <c r="AJ131" s="171">
        <f ca="1">SUMIFS(ФОТ!AI$25:AI$127,ФОТ!$F$25:$F$127,$F131,ФОТ!$G$25:$G$127,$G131)</f>
        <v>0</v>
      </c>
      <c r="AK131" s="171">
        <f ca="1">SUMIFS(ФОТ!AJ$25:AJ$127,ФОТ!$F$25:$F$127,$F131,ФОТ!$G$25:$G$127,$G131)</f>
        <v>0</v>
      </c>
      <c r="AL131" s="171">
        <f t="shared" ca="1" si="8"/>
        <v>0</v>
      </c>
      <c r="AM131" s="196"/>
      <c r="AN131" s="601" t="str">
        <f ca="1">IF(IFERROR(INDEX(ФОТ!$K$26:$L$127,MATCH($F131&amp;"2komm",ФОТ!$K$26:$K$127,0),2),"")=0,"",IFERROR(INDEX(ФОТ!$K$26:$L$127,MATCH($F131&amp;"2komm",ФОТ!$K$26:$K$127,0),2),""))</f>
        <v/>
      </c>
      <c r="AO131" s="196"/>
      <c r="AR131" s="694" t="s">
        <v>1777</v>
      </c>
    </row>
    <row r="132" spans="1:48" s="867" customFormat="1" ht="14.25" customHeight="1" x14ac:dyDescent="0.25">
      <c r="A132" s="423"/>
      <c r="B132" s="423"/>
      <c r="C132" s="423"/>
      <c r="D132" s="423"/>
      <c r="E132" s="505">
        <v>15</v>
      </c>
      <c r="F132" s="3" t="str" cm="1">
        <f t="array" aca="1" ref="F132" ca="1">OFFSET(E132,-1,1)</f>
        <v>1</v>
      </c>
      <c r="G132" s="423"/>
      <c r="H132" s="423"/>
      <c r="I132" s="154" t="s">
        <v>951</v>
      </c>
      <c r="J132" s="154"/>
      <c r="K132" s="154"/>
      <c r="L132" s="154"/>
      <c r="M132" s="154"/>
      <c r="N132" s="154"/>
      <c r="O132" s="154"/>
      <c r="P132" s="154"/>
      <c r="Q132" s="154"/>
      <c r="R132" s="154"/>
      <c r="S132" s="154"/>
      <c r="T132" s="353" t="b" cm="1">
        <f t="array" ref="T132">T131</f>
        <v>1</v>
      </c>
      <c r="U132" s="423"/>
      <c r="V132" s="423"/>
      <c r="W132" s="423"/>
      <c r="X132" s="1078"/>
      <c r="Y132" s="423"/>
      <c r="Z132" s="1079"/>
      <c r="AA132" s="423"/>
      <c r="AB132" s="131" t="s">
        <v>952</v>
      </c>
      <c r="AC132" s="263" t="s">
        <v>1778</v>
      </c>
      <c r="AD132" s="147" t="s">
        <v>828</v>
      </c>
      <c r="AE132" s="138"/>
      <c r="AF132" s="138"/>
      <c r="AG132" s="138"/>
      <c r="AH132" s="126">
        <f t="shared" si="7"/>
        <v>0</v>
      </c>
      <c r="AI132" s="138"/>
      <c r="AJ132" s="138"/>
      <c r="AK132" s="138"/>
      <c r="AL132" s="126">
        <f t="shared" si="8"/>
        <v>0</v>
      </c>
      <c r="AM132" s="556"/>
      <c r="AN132" s="556"/>
      <c r="AO132" s="556"/>
      <c r="AP132" s="423"/>
      <c r="AQ132" s="423"/>
      <c r="AR132" s="695" t="s">
        <v>1350</v>
      </c>
      <c r="AS132" s="695"/>
      <c r="AT132" s="695"/>
      <c r="AU132" s="505"/>
      <c r="AV132" s="505"/>
    </row>
    <row r="133" spans="1:48" s="867" customFormat="1" ht="14.25" customHeight="1" x14ac:dyDescent="0.25">
      <c r="A133" s="423"/>
      <c r="B133" s="423"/>
      <c r="C133" s="423"/>
      <c r="D133" s="423"/>
      <c r="E133" s="505">
        <v>15</v>
      </c>
      <c r="F133" s="3" t="str" cm="1">
        <f t="array" aca="1" ref="F133" ca="1">OFFSET(E133,-1,1)</f>
        <v>1</v>
      </c>
      <c r="G133" s="423"/>
      <c r="H133" s="423"/>
      <c r="I133" s="154" t="s">
        <v>1779</v>
      </c>
      <c r="J133" s="154"/>
      <c r="K133" s="154"/>
      <c r="L133" s="154"/>
      <c r="M133" s="154"/>
      <c r="N133" s="154"/>
      <c r="O133" s="154"/>
      <c r="P133" s="154"/>
      <c r="Q133" s="154"/>
      <c r="R133" s="154"/>
      <c r="S133" s="154"/>
      <c r="T133" s="353" t="b" cm="1">
        <f t="array" ref="T133">T132</f>
        <v>1</v>
      </c>
      <c r="U133" s="423"/>
      <c r="V133" s="423"/>
      <c r="W133" s="423"/>
      <c r="X133" s="1078"/>
      <c r="Y133" s="423"/>
      <c r="Z133" s="1079"/>
      <c r="AA133" s="423"/>
      <c r="AB133" s="131" t="s">
        <v>1780</v>
      </c>
      <c r="AC133" s="263" t="s">
        <v>1781</v>
      </c>
      <c r="AD133" s="147" t="s">
        <v>828</v>
      </c>
      <c r="AE133" s="138"/>
      <c r="AF133" s="138"/>
      <c r="AG133" s="138"/>
      <c r="AH133" s="126">
        <f t="shared" si="7"/>
        <v>0</v>
      </c>
      <c r="AI133" s="138"/>
      <c r="AJ133" s="138"/>
      <c r="AK133" s="138"/>
      <c r="AL133" s="126">
        <f t="shared" si="8"/>
        <v>0</v>
      </c>
      <c r="AM133" s="556"/>
      <c r="AN133" s="556"/>
      <c r="AO133" s="556"/>
      <c r="AP133" s="423"/>
      <c r="AQ133" s="423"/>
      <c r="AR133" s="695" t="s">
        <v>1782</v>
      </c>
      <c r="AS133" s="695"/>
      <c r="AT133" s="695"/>
      <c r="AU133" s="505"/>
      <c r="AV133" s="505"/>
    </row>
    <row r="134" spans="1:48" s="867" customFormat="1" ht="14.25" customHeight="1" x14ac:dyDescent="0.25">
      <c r="A134" s="423"/>
      <c r="B134" s="423"/>
      <c r="C134" s="423"/>
      <c r="D134" s="423"/>
      <c r="E134" s="505">
        <v>15</v>
      </c>
      <c r="F134" s="3" t="str" cm="1">
        <f t="array" aca="1" ref="F134" ca="1">OFFSET(E134,-1,1)</f>
        <v>1</v>
      </c>
      <c r="G134" s="423"/>
      <c r="H134" s="423"/>
      <c r="I134" s="154" t="s">
        <v>1783</v>
      </c>
      <c r="J134" s="154"/>
      <c r="K134" s="154"/>
      <c r="L134" s="154"/>
      <c r="M134" s="154"/>
      <c r="N134" s="154"/>
      <c r="O134" s="154"/>
      <c r="P134" s="154"/>
      <c r="Q134" s="154"/>
      <c r="R134" s="154"/>
      <c r="S134" s="154"/>
      <c r="T134" s="353" t="b" cm="1">
        <f t="array" ref="T134">T133</f>
        <v>1</v>
      </c>
      <c r="U134" s="423"/>
      <c r="V134" s="423"/>
      <c r="W134" s="423"/>
      <c r="X134" s="1078"/>
      <c r="Y134" s="423"/>
      <c r="Z134" s="1079"/>
      <c r="AA134" s="423"/>
      <c r="AB134" s="131" t="s">
        <v>1784</v>
      </c>
      <c r="AC134" s="263" t="s">
        <v>1785</v>
      </c>
      <c r="AD134" s="147" t="s">
        <v>828</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6"/>
      <c r="AN134" s="556"/>
      <c r="AO134" s="556"/>
      <c r="AP134" s="423"/>
      <c r="AQ134" s="423"/>
      <c r="AR134" s="695" t="s">
        <v>1786</v>
      </c>
      <c r="AS134" s="695"/>
      <c r="AT134" s="695"/>
      <c r="AU134" s="505"/>
      <c r="AV134" s="505"/>
    </row>
    <row r="135" spans="1:48" ht="14.25" customHeight="1" x14ac:dyDescent="0.25">
      <c r="E135" s="504">
        <v>15</v>
      </c>
      <c r="F135" s="3" t="str" cm="1">
        <f t="array" aca="1" ref="F135" ca="1">OFFSET(E135,-1,1)</f>
        <v>1</v>
      </c>
      <c r="I135" s="38" t="s">
        <v>1783</v>
      </c>
      <c r="J135" s="278" t="s">
        <v>1787</v>
      </c>
      <c r="L135" s="38"/>
      <c r="M135" s="38"/>
      <c r="N135" s="38"/>
      <c r="O135" s="38"/>
      <c r="P135" s="38"/>
      <c r="Q135" s="38"/>
      <c r="R135" s="38"/>
      <c r="S135" s="38"/>
      <c r="T135" s="353" t="b" cm="1">
        <f t="array" ref="T135">T134</f>
        <v>1</v>
      </c>
      <c r="X135" s="1078"/>
      <c r="Z135" s="1079"/>
      <c r="AB135" s="133" t="s">
        <v>1788</v>
      </c>
      <c r="AC135" s="134" t="s">
        <v>1789</v>
      </c>
      <c r="AD135" s="9" t="s">
        <v>828</v>
      </c>
      <c r="AE135" s="128"/>
      <c r="AF135" s="128"/>
      <c r="AG135" s="128"/>
      <c r="AH135" s="171">
        <f t="shared" si="7"/>
        <v>0</v>
      </c>
      <c r="AI135" s="128"/>
      <c r="AJ135" s="128"/>
      <c r="AK135" s="128"/>
      <c r="AL135" s="171">
        <f t="shared" si="8"/>
        <v>0</v>
      </c>
      <c r="AM135" s="196"/>
      <c r="AN135" s="196"/>
      <c r="AO135" s="196"/>
      <c r="AR135" s="694" t="s">
        <v>1790</v>
      </c>
    </row>
    <row r="136" spans="1:48" ht="14.25" customHeight="1" x14ac:dyDescent="0.25">
      <c r="E136" s="504">
        <v>15</v>
      </c>
      <c r="F136" s="3" t="str" cm="1">
        <f t="array" aca="1" ref="F136" ca="1">OFFSET(E136,-1,1)</f>
        <v>1</v>
      </c>
      <c r="I136" s="38" t="s">
        <v>1783</v>
      </c>
      <c r="J136" s="278" t="s">
        <v>1791</v>
      </c>
      <c r="L136" s="38"/>
      <c r="M136" s="38"/>
      <c r="N136" s="38"/>
      <c r="O136" s="38"/>
      <c r="P136" s="38"/>
      <c r="Q136" s="38"/>
      <c r="R136" s="38"/>
      <c r="S136" s="38"/>
      <c r="T136" s="353" t="b" cm="1">
        <f t="array" ref="T136">T135</f>
        <v>1</v>
      </c>
      <c r="X136" s="1078"/>
      <c r="Z136" s="1079"/>
      <c r="AB136" s="133" t="s">
        <v>1792</v>
      </c>
      <c r="AC136" s="134" t="s">
        <v>1793</v>
      </c>
      <c r="AD136" s="9" t="s">
        <v>828</v>
      </c>
      <c r="AE136" s="128"/>
      <c r="AF136" s="128"/>
      <c r="AG136" s="128"/>
      <c r="AH136" s="171">
        <f t="shared" si="7"/>
        <v>0</v>
      </c>
      <c r="AI136" s="128"/>
      <c r="AJ136" s="128"/>
      <c r="AK136" s="128"/>
      <c r="AL136" s="171">
        <f t="shared" si="8"/>
        <v>0</v>
      </c>
      <c r="AM136" s="196"/>
      <c r="AN136" s="196"/>
      <c r="AO136" s="196"/>
      <c r="AR136" s="694" t="s">
        <v>1794</v>
      </c>
    </row>
    <row r="137" spans="1:48" ht="14.25" customHeight="1" x14ac:dyDescent="0.25">
      <c r="E137" s="504">
        <v>15</v>
      </c>
      <c r="F137" s="3" t="str" cm="1">
        <f t="array" aca="1" ref="F137" ca="1">OFFSET(E137,-1,1)</f>
        <v>1</v>
      </c>
      <c r="I137" s="38" t="s">
        <v>1783</v>
      </c>
      <c r="J137" s="278" t="s">
        <v>1795</v>
      </c>
      <c r="L137" s="38"/>
      <c r="M137" s="38"/>
      <c r="N137" s="38"/>
      <c r="O137" s="38"/>
      <c r="P137" s="38"/>
      <c r="Q137" s="38"/>
      <c r="R137" s="38"/>
      <c r="S137" s="38"/>
      <c r="T137" s="353" t="b" cm="1">
        <f t="array" ref="T137">T136</f>
        <v>1</v>
      </c>
      <c r="X137" s="1078"/>
      <c r="Z137" s="1079"/>
      <c r="AB137" s="133" t="s">
        <v>1796</v>
      </c>
      <c r="AC137" s="134" t="s">
        <v>1797</v>
      </c>
      <c r="AD137" s="9" t="s">
        <v>828</v>
      </c>
      <c r="AE137" s="128"/>
      <c r="AF137" s="128"/>
      <c r="AG137" s="128"/>
      <c r="AH137" s="171">
        <f t="shared" si="7"/>
        <v>0</v>
      </c>
      <c r="AI137" s="128"/>
      <c r="AJ137" s="128"/>
      <c r="AK137" s="128"/>
      <c r="AL137" s="171">
        <f t="shared" si="8"/>
        <v>0</v>
      </c>
      <c r="AM137" s="196"/>
      <c r="AN137" s="196"/>
      <c r="AO137" s="196"/>
      <c r="AR137" s="694" t="s">
        <v>1798</v>
      </c>
    </row>
    <row r="138" spans="1:48" ht="14.25" customHeight="1" x14ac:dyDescent="0.25">
      <c r="E138" s="504">
        <v>15</v>
      </c>
      <c r="F138" s="3" t="str" cm="1">
        <f t="array" aca="1" ref="F138" ca="1">OFFSET(E138,-1,1)</f>
        <v>1</v>
      </c>
      <c r="I138" s="38" t="s">
        <v>1783</v>
      </c>
      <c r="J138" s="278" t="s">
        <v>1799</v>
      </c>
      <c r="L138" s="38"/>
      <c r="M138" s="38"/>
      <c r="N138" s="38"/>
      <c r="O138" s="38"/>
      <c r="P138" s="38"/>
      <c r="Q138" s="38"/>
      <c r="R138" s="38"/>
      <c r="S138" s="38"/>
      <c r="T138" s="353" t="b" cm="1">
        <f t="array" ref="T138">T137</f>
        <v>1</v>
      </c>
      <c r="X138" s="1078"/>
      <c r="Z138" s="1079"/>
      <c r="AB138" s="133" t="s">
        <v>1800</v>
      </c>
      <c r="AC138" s="134" t="s">
        <v>1801</v>
      </c>
      <c r="AD138" s="9" t="s">
        <v>828</v>
      </c>
      <c r="AE138" s="128"/>
      <c r="AF138" s="128"/>
      <c r="AG138" s="128"/>
      <c r="AH138" s="171">
        <f t="shared" si="7"/>
        <v>0</v>
      </c>
      <c r="AI138" s="128"/>
      <c r="AJ138" s="128"/>
      <c r="AK138" s="128"/>
      <c r="AL138" s="171">
        <f t="shared" si="8"/>
        <v>0</v>
      </c>
      <c r="AM138" s="196"/>
      <c r="AN138" s="196"/>
      <c r="AO138" s="196"/>
      <c r="AR138" s="694" t="s">
        <v>1802</v>
      </c>
    </row>
    <row r="139" spans="1:48" ht="14.25" hidden="1" customHeight="1" x14ac:dyDescent="0.25">
      <c r="E139" s="504">
        <v>15</v>
      </c>
      <c r="F139" s="3" t="str" cm="1">
        <f t="array" aca="1" ref="F139" ca="1">OFFSET(E139,-1,1)</f>
        <v>1</v>
      </c>
      <c r="I139" s="38" t="s">
        <v>1783</v>
      </c>
      <c r="J139" s="278" cm="1">
        <f t="array" ref="J139">AC139</f>
        <v>0</v>
      </c>
      <c r="L139" s="38"/>
      <c r="M139" s="38"/>
      <c r="N139" s="38"/>
      <c r="O139" s="38"/>
      <c r="P139" s="38"/>
      <c r="Q139" s="38"/>
      <c r="R139" s="38"/>
      <c r="S139" s="38"/>
      <c r="T139" s="353" t="b">
        <f ca="1">AND(F139&gt;0,Y139&gt;4)</f>
        <v>0</v>
      </c>
      <c r="W139" s="517" t="s">
        <v>172</v>
      </c>
      <c r="X139" s="1078"/>
      <c r="Y139" s="278">
        <v>4</v>
      </c>
      <c r="Z139" s="1079"/>
      <c r="AA139" s="482" t="s">
        <v>173</v>
      </c>
      <c r="AB139" s="500" t="str">
        <f>"1.7."&amp;Y139</f>
        <v>1.7.4</v>
      </c>
      <c r="AC139" s="780"/>
      <c r="AD139" s="9" t="s">
        <v>828</v>
      </c>
      <c r="AE139" s="128"/>
      <c r="AF139" s="128"/>
      <c r="AG139" s="128"/>
      <c r="AH139" s="171">
        <f t="shared" si="7"/>
        <v>0</v>
      </c>
      <c r="AI139" s="128"/>
      <c r="AJ139" s="778"/>
      <c r="AK139" s="778"/>
      <c r="AL139" s="171">
        <f t="shared" si="8"/>
        <v>0</v>
      </c>
      <c r="AM139" s="775"/>
      <c r="AN139" s="775"/>
      <c r="AO139" s="775"/>
      <c r="AR139" s="694" t="s">
        <v>1803</v>
      </c>
      <c r="AS139" s="694" t="s">
        <v>1804</v>
      </c>
      <c r="AT139" s="694" cm="1">
        <f t="array" ref="AT139">AC139</f>
        <v>0</v>
      </c>
      <c r="AV139" s="504" t="b">
        <v>1</v>
      </c>
    </row>
    <row r="140" spans="1:48" ht="14.25" customHeight="1" x14ac:dyDescent="0.25">
      <c r="E140" s="504">
        <v>15</v>
      </c>
      <c r="F140" s="3" t="str" cm="1">
        <f t="array" aca="1" ref="F140" ca="1">OFFSET(E140,-1,1)</f>
        <v>1</v>
      </c>
      <c r="I140" s="17"/>
      <c r="J140" s="17" t="s">
        <v>1805</v>
      </c>
      <c r="K140" s="17"/>
      <c r="L140" s="17"/>
      <c r="M140" s="17"/>
      <c r="N140" s="17"/>
      <c r="O140" s="17"/>
      <c r="P140" s="17"/>
      <c r="Q140" s="17"/>
      <c r="R140" s="17"/>
      <c r="S140" s="17"/>
      <c r="T140" s="353" t="b">
        <f ca="1">F140&gt;0</f>
        <v>1</v>
      </c>
      <c r="W140" s="506" t="s">
        <v>397</v>
      </c>
      <c r="X140" s="1078"/>
      <c r="Z140" s="1079"/>
      <c r="AB140" s="546"/>
      <c r="AC140" s="172" t="s">
        <v>176</v>
      </c>
      <c r="AD140" s="547"/>
      <c r="AE140" s="547"/>
      <c r="AF140" s="547"/>
      <c r="AG140" s="547"/>
      <c r="AH140" s="547"/>
      <c r="AI140" s="547"/>
      <c r="AJ140" s="547"/>
      <c r="AK140" s="547"/>
      <c r="AL140" s="547"/>
      <c r="AM140" s="547"/>
      <c r="AN140" s="547"/>
      <c r="AO140" s="548"/>
      <c r="AU140" s="504" t="s">
        <v>1804</v>
      </c>
    </row>
    <row r="141" spans="1:48" s="867" customFormat="1" ht="14.25" customHeight="1" x14ac:dyDescent="0.25">
      <c r="A141" s="423"/>
      <c r="B141" s="423"/>
      <c r="C141" s="423"/>
      <c r="D141" s="423"/>
      <c r="E141" s="505">
        <v>15</v>
      </c>
      <c r="F141" s="3" t="str" cm="1">
        <f t="array" aca="1" ref="F141" ca="1">OFFSET(E141,-1,1)</f>
        <v>1</v>
      </c>
      <c r="G141" s="423"/>
      <c r="H141" s="423"/>
      <c r="I141" s="154" t="s">
        <v>332</v>
      </c>
      <c r="J141" s="154"/>
      <c r="K141" s="154"/>
      <c r="L141" s="154"/>
      <c r="M141" s="154"/>
      <c r="N141" s="154"/>
      <c r="O141" s="154"/>
      <c r="P141" s="154"/>
      <c r="Q141" s="154"/>
      <c r="R141" s="154"/>
      <c r="S141" s="154"/>
      <c r="T141" s="353" t="b" cm="1">
        <f t="array" aca="1" ref="T141" ca="1">T140</f>
        <v>1</v>
      </c>
      <c r="U141" s="423"/>
      <c r="V141" s="423"/>
      <c r="W141" s="423"/>
      <c r="X141" s="1078"/>
      <c r="Y141" s="423"/>
      <c r="Z141" s="1079"/>
      <c r="AA141" s="423"/>
      <c r="AB141" s="131" t="s">
        <v>285</v>
      </c>
      <c r="AC141" s="132" t="s">
        <v>1806</v>
      </c>
      <c r="AD141" s="124" t="s">
        <v>828</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6"/>
      <c r="AN141" s="556"/>
      <c r="AO141" s="556"/>
      <c r="AP141" s="423"/>
      <c r="AQ141" s="423"/>
      <c r="AR141" s="695" t="s">
        <v>1807</v>
      </c>
      <c r="AS141" s="695"/>
      <c r="AT141" s="695"/>
      <c r="AU141" s="505"/>
      <c r="AV141" s="505"/>
    </row>
    <row r="142" spans="1:48" ht="32.25" customHeight="1" x14ac:dyDescent="0.25">
      <c r="E142" s="504">
        <v>33.75</v>
      </c>
      <c r="F142" s="3" t="str" cm="1">
        <f t="array" aca="1" ref="F142" ca="1">OFFSET(E142,-1,1)</f>
        <v>1</v>
      </c>
      <c r="I142" s="38" t="s">
        <v>500</v>
      </c>
      <c r="J142" s="38"/>
      <c r="K142" s="38"/>
      <c r="L142" s="38"/>
      <c r="M142" s="38"/>
      <c r="N142" s="38"/>
      <c r="O142" s="38"/>
      <c r="P142" s="38"/>
      <c r="Q142" s="38"/>
      <c r="R142" s="38"/>
      <c r="S142" s="38"/>
      <c r="T142" s="353" t="b" cm="1">
        <f t="array" aca="1" ref="T142" ca="1">T141</f>
        <v>1</v>
      </c>
      <c r="X142" s="1078"/>
      <c r="Z142" s="1079"/>
      <c r="AB142" s="133" t="s">
        <v>561</v>
      </c>
      <c r="AC142" s="127" t="s">
        <v>1808</v>
      </c>
      <c r="AD142" s="7" t="s">
        <v>828</v>
      </c>
      <c r="AE142" s="128"/>
      <c r="AF142" s="128"/>
      <c r="AG142" s="128"/>
      <c r="AH142" s="171">
        <f t="shared" si="9"/>
        <v>0</v>
      </c>
      <c r="AI142" s="128"/>
      <c r="AJ142" s="128"/>
      <c r="AK142" s="128"/>
      <c r="AL142" s="171">
        <f t="shared" si="10"/>
        <v>0</v>
      </c>
      <c r="AM142" s="196"/>
      <c r="AN142" s="196"/>
      <c r="AO142" s="196"/>
      <c r="AR142" s="694" t="s">
        <v>1809</v>
      </c>
    </row>
    <row r="143" spans="1:48" ht="34.5" customHeight="1" x14ac:dyDescent="0.25">
      <c r="E143" s="504">
        <v>36</v>
      </c>
      <c r="F143" s="3" t="str" cm="1">
        <f t="array" aca="1" ref="F143" ca="1">OFFSET(E143,-1,1)</f>
        <v>1</v>
      </c>
      <c r="I143" s="38" t="s">
        <v>503</v>
      </c>
      <c r="J143" s="38"/>
      <c r="K143" s="38"/>
      <c r="L143" s="38"/>
      <c r="M143" s="38"/>
      <c r="N143" s="38"/>
      <c r="O143" s="38"/>
      <c r="P143" s="38"/>
      <c r="Q143" s="38"/>
      <c r="R143" s="38"/>
      <c r="S143" s="38"/>
      <c r="T143" s="353" t="b" cm="1">
        <f t="array" aca="1" ref="T143" ca="1">T142</f>
        <v>1</v>
      </c>
      <c r="X143" s="1078"/>
      <c r="Z143" s="1079"/>
      <c r="AB143" s="133" t="s">
        <v>565</v>
      </c>
      <c r="AC143" s="127" t="s">
        <v>1810</v>
      </c>
      <c r="AD143" s="7" t="s">
        <v>828</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4" t="s">
        <v>1811</v>
      </c>
    </row>
    <row r="144" spans="1:48" ht="14.25" customHeight="1" x14ac:dyDescent="0.25">
      <c r="E144" s="504">
        <v>15</v>
      </c>
      <c r="F144" s="3" t="str" cm="1">
        <f t="array" aca="1" ref="F144" ca="1">OFFSET(E144,-1,1)</f>
        <v>1</v>
      </c>
      <c r="G144" s="278" t="s">
        <v>1177</v>
      </c>
      <c r="I144" s="38" t="s">
        <v>1812</v>
      </c>
      <c r="J144" s="38"/>
      <c r="K144" s="38"/>
      <c r="L144" s="38"/>
      <c r="M144" s="38"/>
      <c r="N144" s="38"/>
      <c r="O144" s="38"/>
      <c r="P144" s="38"/>
      <c r="Q144" s="38"/>
      <c r="R144" s="38"/>
      <c r="S144" s="38"/>
      <c r="T144" s="353" t="b" cm="1">
        <f t="array" aca="1" ref="T144" ca="1">T143</f>
        <v>1</v>
      </c>
      <c r="X144" s="1078"/>
      <c r="Z144" s="1079"/>
      <c r="AB144" s="133" t="s">
        <v>514</v>
      </c>
      <c r="AC144" s="134" t="s">
        <v>1813</v>
      </c>
      <c r="AD144" s="7" t="s">
        <v>828</v>
      </c>
      <c r="AE144" s="171">
        <f ca="1">SUMIFS(ФОТ!AE$25:AE$127,ФОТ!$F$25:$F$127,$F144,ФОТ!$G$25:$G$127,$G144)</f>
        <v>0</v>
      </c>
      <c r="AF144" s="171">
        <f ca="1">SUMIFS(ФОТ!AF$25:AF$127,ФОТ!$F$25:$F$127,$F144,ФОТ!$G$25:$G$127,$G144)</f>
        <v>0</v>
      </c>
      <c r="AG144" s="171">
        <f ca="1">SUMIFS(ФОТ!AG$25:AG$127,ФОТ!$F$25:$F$127,$F144,ФОТ!$G$25:$G$127,$G144)</f>
        <v>0</v>
      </c>
      <c r="AH144" s="171">
        <f t="shared" ca="1" si="9"/>
        <v>0</v>
      </c>
      <c r="AI144" s="171">
        <f ca="1">SUMIFS(ФОТ!AH$25:AH$127,ФОТ!$F$25:$F$127,$F144,ФОТ!$G$25:$G$127,$G144)</f>
        <v>0</v>
      </c>
      <c r="AJ144" s="171">
        <f ca="1">SUMIFS(ФОТ!AI$25:AI$127,ФОТ!$F$25:$F$127,$F144,ФОТ!$G$25:$G$127,$G144)</f>
        <v>0</v>
      </c>
      <c r="AK144" s="171">
        <f ca="1">SUMIFS(ФОТ!AJ$25:AJ$127,ФОТ!$F$25:$F$127,$F144,ФОТ!$G$25:$G$127,$G144)</f>
        <v>0</v>
      </c>
      <c r="AL144" s="171">
        <f t="shared" ca="1" si="10"/>
        <v>0</v>
      </c>
      <c r="AM144" s="196"/>
      <c r="AN144" s="601" t="str">
        <f ca="1">IF(IFERROR(INDEX(ФОТ!$K$26:$L$127,MATCH($F144&amp;"3komm",ФОТ!$K$26:$K$127,0),2),"")=0,"",IFERROR(INDEX(ФОТ!$K$26:$L$127,MATCH($F144&amp;"3komm",ФОТ!$K$26:$K$127,0),2),""))</f>
        <v/>
      </c>
      <c r="AO144" s="196"/>
      <c r="AR144" s="694" t="s">
        <v>1814</v>
      </c>
    </row>
    <row r="145" spans="1:48" ht="21.75" customHeight="1" x14ac:dyDescent="0.25">
      <c r="E145" s="504">
        <v>22.5</v>
      </c>
      <c r="F145" s="3" t="str" cm="1">
        <f t="array" aca="1" ref="F145" ca="1">OFFSET(E145,-1,1)</f>
        <v>1</v>
      </c>
      <c r="G145" s="278" t="s">
        <v>1182</v>
      </c>
      <c r="I145" s="38" t="s">
        <v>1815</v>
      </c>
      <c r="J145" s="38"/>
      <c r="K145" s="38"/>
      <c r="L145" s="38"/>
      <c r="M145" s="38"/>
      <c r="N145" s="38"/>
      <c r="O145" s="38"/>
      <c r="P145" s="38"/>
      <c r="Q145" s="38"/>
      <c r="R145" s="38"/>
      <c r="S145" s="38"/>
      <c r="T145" s="353" t="b" cm="1">
        <f t="array" aca="1" ref="T145" ca="1">T144</f>
        <v>1</v>
      </c>
      <c r="X145" s="1078"/>
      <c r="Z145" s="1079"/>
      <c r="AB145" s="133" t="s">
        <v>1446</v>
      </c>
      <c r="AC145" s="134" t="s">
        <v>1816</v>
      </c>
      <c r="AD145" s="7" t="s">
        <v>828</v>
      </c>
      <c r="AE145" s="171">
        <f ca="1">SUMIFS(ФОТ!AE$25:AE$127,ФОТ!$F$25:$F$127,$F145,ФОТ!$G$25:$G$127,$G145)</f>
        <v>0</v>
      </c>
      <c r="AF145" s="171">
        <f ca="1">SUMIFS(ФОТ!AF$25:AF$127,ФОТ!$F$25:$F$127,$F145,ФОТ!$G$25:$G$127,$G145)</f>
        <v>0</v>
      </c>
      <c r="AG145" s="171">
        <f ca="1">SUMIFS(ФОТ!AG$25:AG$127,ФОТ!$F$25:$F$127,$F145,ФОТ!$G$25:$G$127,$G145)</f>
        <v>0</v>
      </c>
      <c r="AH145" s="171">
        <f t="shared" ca="1" si="9"/>
        <v>0</v>
      </c>
      <c r="AI145" s="171">
        <f ca="1">SUMIFS(ФОТ!AH$25:AH$127,ФОТ!$F$25:$F$127,$F145,ФОТ!$G$25:$G$127,$G145)</f>
        <v>0</v>
      </c>
      <c r="AJ145" s="171">
        <f ca="1">SUMIFS(ФОТ!AI$25:AI$127,ФОТ!$F$25:$F$127,$F145,ФОТ!$G$25:$G$127,$G145)</f>
        <v>0</v>
      </c>
      <c r="AK145" s="171">
        <f ca="1">SUMIFS(ФОТ!AJ$25:AJ$127,ФОТ!$F$25:$F$127,$F145,ФОТ!$G$25:$G$127,$G145)</f>
        <v>0</v>
      </c>
      <c r="AL145" s="171">
        <f t="shared" ca="1" si="10"/>
        <v>0</v>
      </c>
      <c r="AM145" s="196"/>
      <c r="AN145" s="601" t="str">
        <f ca="1">IF(IFERROR(INDEX(ФОТ!$K$26:$L$127,MATCH($F145&amp;"4komm",ФОТ!$K$26:$K$127,0),2),"")=0,"",IFERROR(INDEX(ФОТ!$K$26:$L$127,MATCH($F145&amp;"4komm",ФОТ!$K$26:$K$127,0),2),""))</f>
        <v/>
      </c>
      <c r="AO145" s="196"/>
      <c r="AR145" s="694" t="s">
        <v>1817</v>
      </c>
    </row>
    <row r="146" spans="1:48" s="867" customFormat="1" ht="14.25" customHeight="1" x14ac:dyDescent="0.25">
      <c r="A146" s="423"/>
      <c r="B146" s="423"/>
      <c r="C146" s="423"/>
      <c r="D146" s="423"/>
      <c r="E146" s="505">
        <v>15</v>
      </c>
      <c r="F146" s="3" t="str" cm="1">
        <f t="array" aca="1" ref="F146" ca="1">OFFSET(E146,-1,1)</f>
        <v>1</v>
      </c>
      <c r="G146" s="423"/>
      <c r="H146" s="423"/>
      <c r="I146" s="154" t="s">
        <v>333</v>
      </c>
      <c r="J146" s="154"/>
      <c r="K146" s="154"/>
      <c r="L146" s="154"/>
      <c r="M146" s="154"/>
      <c r="N146" s="154"/>
      <c r="O146" s="154"/>
      <c r="P146" s="154"/>
      <c r="Q146" s="154"/>
      <c r="R146" s="154"/>
      <c r="S146" s="154"/>
      <c r="T146" s="353" t="b" cm="1">
        <f t="array" aca="1" ref="T146" ca="1">T145</f>
        <v>1</v>
      </c>
      <c r="U146" s="423"/>
      <c r="V146" s="423"/>
      <c r="W146" s="423"/>
      <c r="X146" s="1078"/>
      <c r="Y146" s="423"/>
      <c r="Z146" s="1079"/>
      <c r="AA146" s="423"/>
      <c r="AB146" s="131" t="s">
        <v>291</v>
      </c>
      <c r="AC146" s="132" t="s">
        <v>1818</v>
      </c>
      <c r="AD146" s="124" t="s">
        <v>828</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6"/>
      <c r="AN146" s="556"/>
      <c r="AO146" s="556"/>
      <c r="AP146" s="423"/>
      <c r="AQ146" s="423"/>
      <c r="AR146" s="695" t="s">
        <v>1819</v>
      </c>
      <c r="AS146" s="695"/>
      <c r="AT146" s="695"/>
      <c r="AU146" s="505"/>
      <c r="AV146" s="505"/>
    </row>
    <row r="147" spans="1:48" ht="21.75" customHeight="1" x14ac:dyDescent="0.25">
      <c r="E147" s="504">
        <v>22.5</v>
      </c>
      <c r="F147" s="3" t="str" cm="1">
        <f t="array" aca="1" ref="F147" ca="1">OFFSET(E147,-1,1)</f>
        <v>1</v>
      </c>
      <c r="G147" s="278" t="s">
        <v>1203</v>
      </c>
      <c r="I147" s="38" t="s">
        <v>969</v>
      </c>
      <c r="J147" s="38"/>
      <c r="K147" s="38"/>
      <c r="L147" s="38"/>
      <c r="M147" s="38"/>
      <c r="N147" s="38"/>
      <c r="O147" s="38"/>
      <c r="P147" s="38"/>
      <c r="Q147" s="38"/>
      <c r="R147" s="38"/>
      <c r="S147" s="38"/>
      <c r="T147" s="353" t="b" cm="1">
        <f t="array" aca="1" ref="T147" ca="1">T146</f>
        <v>1</v>
      </c>
      <c r="X147" s="1078"/>
      <c r="Z147" s="1079"/>
      <c r="AB147" s="133" t="s">
        <v>575</v>
      </c>
      <c r="AC147" s="127" t="s">
        <v>1820</v>
      </c>
      <c r="AD147" s="7" t="s">
        <v>828</v>
      </c>
      <c r="AE147" s="171">
        <f ca="1">SUMIFS(Административные!AE$25:AE$103,Административные!$F$25:$F$103,$F147,Административные!$G$25:$G$103,$G147)</f>
        <v>0</v>
      </c>
      <c r="AF147" s="171">
        <f ca="1">SUMIFS(Административные!AF$25:AF$103,Административные!$F$25:$F$103,$F147,Административные!$G$25:$G$103,$G147)</f>
        <v>0</v>
      </c>
      <c r="AG147" s="171">
        <f ca="1">SUMIFS(Административные!AG$25:AG$103,Административные!$F$25:$F$103,$F147,Административные!$G$25:$G$103,$G147)</f>
        <v>0</v>
      </c>
      <c r="AH147" s="171">
        <f t="shared" ca="1" si="9"/>
        <v>0</v>
      </c>
      <c r="AI147" s="171">
        <f ca="1">SUMIFS(Административные!AH$25:AH$103,Административные!$F$25:$F$103,$F147,Административные!$G$25:$G$103,$G147)</f>
        <v>0</v>
      </c>
      <c r="AJ147" s="171">
        <f ca="1">SUMIFS(Административные!AI$25:AI$103,Административные!$F$25:$F$103,$F147,Административные!$G$25:$G$103,$G147)</f>
        <v>0</v>
      </c>
      <c r="AK147" s="171">
        <f ca="1">SUMIFS(Административные!AJ$25:AJ$103,Административные!$F$25:$F$103,$F147,Административные!$G$25:$G$103,$G147)</f>
        <v>0</v>
      </c>
      <c r="AL147" s="171">
        <f t="shared" ca="1" si="10"/>
        <v>0</v>
      </c>
      <c r="AM147" s="196"/>
      <c r="AN147" s="601" t="str">
        <f ca="1">IF(IFERROR(INDEX(Административные!$K$26:$L$103,MATCH($F147&amp;"17komm",Административные!$K$26:$K$103,0),2),"")=0,"",IFERROR(INDEX(Административные!$K$26:$L$103,MATCH($F147&amp;"17komm",Административные!$K$26:$K$103,0),2),""))</f>
        <v/>
      </c>
      <c r="AO147" s="196"/>
      <c r="AR147" s="694" t="s">
        <v>1205</v>
      </c>
    </row>
    <row r="148" spans="1:48" ht="32.25" customHeight="1" x14ac:dyDescent="0.25">
      <c r="E148" s="504">
        <v>33.75</v>
      </c>
      <c r="F148" s="3" t="str" cm="1">
        <f t="array" aca="1" ref="F148" ca="1">OFFSET(E148,-1,1)</f>
        <v>1</v>
      </c>
      <c r="I148" s="38" t="s">
        <v>971</v>
      </c>
      <c r="J148" s="38"/>
      <c r="K148" s="38"/>
      <c r="L148" s="38"/>
      <c r="M148" s="38"/>
      <c r="N148" s="38"/>
      <c r="O148" s="38"/>
      <c r="P148" s="38"/>
      <c r="Q148" s="38"/>
      <c r="R148" s="38"/>
      <c r="S148" s="38"/>
      <c r="T148" s="353" t="b" cm="1">
        <f t="array" aca="1" ref="T148" ca="1">T147</f>
        <v>1</v>
      </c>
      <c r="X148" s="1078"/>
      <c r="Z148" s="1079"/>
      <c r="AB148" s="133" t="s">
        <v>579</v>
      </c>
      <c r="AC148" s="127" t="s">
        <v>1821</v>
      </c>
      <c r="AD148" s="7" t="s">
        <v>828</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4" t="s">
        <v>1822</v>
      </c>
    </row>
    <row r="149" spans="1:48" ht="21.75" customHeight="1" x14ac:dyDescent="0.25">
      <c r="E149" s="504">
        <v>22.5</v>
      </c>
      <c r="F149" s="3" t="str" cm="1">
        <f t="array" aca="1" ref="F149" ca="1">OFFSET(E149,-1,1)</f>
        <v>1</v>
      </c>
      <c r="G149" s="376" t="s">
        <v>1185</v>
      </c>
      <c r="I149" s="38" t="s">
        <v>518</v>
      </c>
      <c r="J149" s="38"/>
      <c r="K149" s="38"/>
      <c r="L149" s="38"/>
      <c r="M149" s="38"/>
      <c r="N149" s="38"/>
      <c r="O149" s="38"/>
      <c r="P149" s="38"/>
      <c r="Q149" s="38"/>
      <c r="R149" s="38"/>
      <c r="S149" s="38"/>
      <c r="T149" s="353" t="b" cm="1">
        <f t="array" aca="1" ref="T149" ca="1">T148</f>
        <v>1</v>
      </c>
      <c r="X149" s="1078"/>
      <c r="Z149" s="1079"/>
      <c r="AB149" s="133" t="s">
        <v>789</v>
      </c>
      <c r="AC149" s="134" t="s">
        <v>1823</v>
      </c>
      <c r="AD149" s="7" t="s">
        <v>828</v>
      </c>
      <c r="AE149" s="171">
        <f ca="1">SUMIFS(ФОТ!AE$25:AE$127,ФОТ!$F$25:$F$127,$F149,ФОТ!$G$25:$G$127,$G149)</f>
        <v>0</v>
      </c>
      <c r="AF149" s="171">
        <f ca="1">SUMIFS(ФОТ!AF$25:AF$127,ФОТ!$F$25:$F$127,$F149,ФОТ!$G$25:$G$127,$G149)</f>
        <v>0</v>
      </c>
      <c r="AG149" s="171">
        <f ca="1">SUMIFS(ФОТ!AG$25:AG$127,ФОТ!$F$25:$F$127,$F149,ФОТ!$G$25:$G$127,$G149)</f>
        <v>0</v>
      </c>
      <c r="AH149" s="171">
        <f t="shared" ca="1" si="9"/>
        <v>0</v>
      </c>
      <c r="AI149" s="171">
        <f ca="1">SUMIFS(ФОТ!AH$25:AH$127,ФОТ!$F$25:$F$127,$F149,ФОТ!$G$25:$G$127,$G149)</f>
        <v>0</v>
      </c>
      <c r="AJ149" s="171">
        <f ca="1">SUMIFS(ФОТ!AI$25:AI$127,ФОТ!$F$25:$F$127,$F149,ФОТ!$G$25:$G$127,$G149)</f>
        <v>0</v>
      </c>
      <c r="AK149" s="171">
        <f ca="1">SUMIFS(ФОТ!AJ$25:AJ$127,ФОТ!$F$25:$F$127,$F149,ФОТ!$G$25:$G$127,$G149)</f>
        <v>0</v>
      </c>
      <c r="AL149" s="171">
        <f t="shared" ca="1" si="10"/>
        <v>0</v>
      </c>
      <c r="AM149" s="196"/>
      <c r="AN149" s="601" t="str">
        <f ca="1">IF(IFERROR(INDEX(ФОТ!$K$26:$L$127,MATCH($F149&amp;"5komm",ФОТ!$K$26:$K$127,0),2),"")=0,"",IFERROR(INDEX(ФОТ!$K$26:$L$127,MATCH($F149&amp;"5komm",ФОТ!$K$26:$K$127,0),2),""))</f>
        <v/>
      </c>
      <c r="AO149" s="196"/>
      <c r="AR149" s="694" t="s">
        <v>1202</v>
      </c>
    </row>
    <row r="150" spans="1:48" ht="32.25" customHeight="1" x14ac:dyDescent="0.25">
      <c r="E150" s="504">
        <v>33.75</v>
      </c>
      <c r="F150" s="3" t="str" cm="1">
        <f t="array" aca="1" ref="F150" ca="1">OFFSET(E150,-1,1)</f>
        <v>1</v>
      </c>
      <c r="G150" s="376" t="s">
        <v>1190</v>
      </c>
      <c r="I150" s="38" t="s">
        <v>523</v>
      </c>
      <c r="J150" s="38"/>
      <c r="K150" s="38"/>
      <c r="L150" s="38"/>
      <c r="M150" s="38"/>
      <c r="N150" s="38"/>
      <c r="O150" s="38"/>
      <c r="P150" s="38"/>
      <c r="Q150" s="38"/>
      <c r="R150" s="38"/>
      <c r="S150" s="38"/>
      <c r="T150" s="353" t="b" cm="1">
        <f t="array" aca="1" ref="T150" ca="1">T149</f>
        <v>1</v>
      </c>
      <c r="X150" s="1078"/>
      <c r="Z150" s="1079"/>
      <c r="AB150" s="133" t="s">
        <v>792</v>
      </c>
      <c r="AC150" s="134" t="s">
        <v>1824</v>
      </c>
      <c r="AD150" s="7" t="s">
        <v>828</v>
      </c>
      <c r="AE150" s="171">
        <f ca="1">SUMIFS(ФОТ!AE$25:AE$127,ФОТ!$F$25:$F$127,$F150,ФОТ!$G$25:$G$127,$G150)</f>
        <v>0</v>
      </c>
      <c r="AF150" s="171">
        <f ca="1">SUMIFS(ФОТ!AF$25:AF$127,ФОТ!$F$25:$F$127,$F150,ФОТ!$G$25:$G$127,$G150)</f>
        <v>0</v>
      </c>
      <c r="AG150" s="171">
        <f ca="1">SUMIFS(ФОТ!AG$25:AG$127,ФОТ!$F$25:$F$127,$F150,ФОТ!$G$25:$G$127,$G150)</f>
        <v>0</v>
      </c>
      <c r="AH150" s="171">
        <f t="shared" ca="1" si="9"/>
        <v>0</v>
      </c>
      <c r="AI150" s="171">
        <f ca="1">SUMIFS(ФОТ!AH$25:AH$127,ФОТ!$F$25:$F$127,$F150,ФОТ!$G$25:$G$127,$G150)</f>
        <v>0</v>
      </c>
      <c r="AJ150" s="171">
        <f ca="1">SUMIFS(ФОТ!AI$25:AI$127,ФОТ!$F$25:$F$127,$F150,ФОТ!$G$25:$G$127,$G150)</f>
        <v>0</v>
      </c>
      <c r="AK150" s="171">
        <f ca="1">SUMIFS(ФОТ!AJ$25:AJ$127,ФОТ!$F$25:$F$127,$F150,ФОТ!$G$25:$G$127,$G150)</f>
        <v>0</v>
      </c>
      <c r="AL150" s="171">
        <f t="shared" ca="1" si="10"/>
        <v>0</v>
      </c>
      <c r="AM150" s="196"/>
      <c r="AN150" s="601" t="str">
        <f ca="1">IF(IFERROR(INDEX(ФОТ!$K$26:$L$127,MATCH($F150&amp;"6komm",ФОТ!$K$26:$K$127,0),2),"")=0,"",IFERROR(INDEX(ФОТ!$K$26:$L$127,MATCH($F150&amp;"6komm",ФОТ!$K$26:$K$127,0),2),""))</f>
        <v/>
      </c>
      <c r="AO150" s="196"/>
      <c r="AR150" s="694" t="s">
        <v>1825</v>
      </c>
    </row>
    <row r="151" spans="1:48" ht="32.25" customHeight="1" x14ac:dyDescent="0.25">
      <c r="E151" s="504">
        <v>33.75</v>
      </c>
      <c r="F151" s="3" t="str" cm="1">
        <f t="array" aca="1" ref="F151" ca="1">OFFSET(E151,-1,1)</f>
        <v>1</v>
      </c>
      <c r="G151" s="278" t="s">
        <v>1231</v>
      </c>
      <c r="I151" s="38" t="s">
        <v>973</v>
      </c>
      <c r="J151" s="38"/>
      <c r="K151" s="38"/>
      <c r="L151" s="38"/>
      <c r="M151" s="38"/>
      <c r="N151" s="38"/>
      <c r="O151" s="38"/>
      <c r="P151" s="38"/>
      <c r="Q151" s="38"/>
      <c r="R151" s="38"/>
      <c r="S151" s="38"/>
      <c r="T151" s="353" t="b" cm="1">
        <f t="array" aca="1" ref="T151" ca="1">T150</f>
        <v>1</v>
      </c>
      <c r="X151" s="1078"/>
      <c r="Z151" s="1079"/>
      <c r="AB151" s="133" t="s">
        <v>795</v>
      </c>
      <c r="AC151" s="127" t="s">
        <v>1826</v>
      </c>
      <c r="AD151" s="7" t="s">
        <v>828</v>
      </c>
      <c r="AE151" s="171">
        <f ca="1">SUMIFS(Административные!AE$25:AE$103,Административные!$F$25:$F$103,$F151,Административные!$G$25:$G$103,$G151)</f>
        <v>0</v>
      </c>
      <c r="AF151" s="171">
        <f ca="1">SUMIFS(Административные!AF$25:AF$103,Административные!$F$25:$F$103,$F151,Административные!$G$25:$G$103,$G151)</f>
        <v>0</v>
      </c>
      <c r="AG151" s="171">
        <f ca="1">SUMIFS(Административные!AG$25:AG$103,Административные!$F$25:$F$103,$F151,Административные!$G$25:$G$103,$G151)</f>
        <v>0</v>
      </c>
      <c r="AH151" s="171">
        <f t="shared" ca="1" si="9"/>
        <v>0</v>
      </c>
      <c r="AI151" s="171">
        <f ca="1">SUMIFS(Административные!AH$25:AH$103,Административные!$F$25:$F$103,$F151,Административные!$G$25:$G$103,$G151)</f>
        <v>0</v>
      </c>
      <c r="AJ151" s="171">
        <f ca="1">SUMIFS(Административные!AI$25:AI$103,Административные!$F$25:$F$103,$F151,Административные!$G$25:$G$103,$G151)</f>
        <v>0</v>
      </c>
      <c r="AK151" s="171">
        <f ca="1">SUMIFS(Административные!AJ$25:AJ$103,Административные!$F$25:$F$103,$F151,Административные!$G$25:$G$103,$G151)</f>
        <v>0</v>
      </c>
      <c r="AL151" s="171">
        <f t="shared" ca="1" si="10"/>
        <v>0</v>
      </c>
      <c r="AM151" s="196"/>
      <c r="AN151" s="601" t="str">
        <f ca="1">IF(IFERROR(INDEX(Административные!$K$26:$L$103,MATCH($F151&amp;"2komm",Административные!$K$26:$K$103,0),2),"")=0,"",IFERROR(INDEX(Административные!$K$26:$L$103,MATCH($F151&amp;"2komm",Административные!$K$26:$K$103,0),2),""))</f>
        <v/>
      </c>
      <c r="AO151" s="196"/>
      <c r="AR151" s="694" t="s">
        <v>1233</v>
      </c>
    </row>
    <row r="152" spans="1:48" ht="14.25" customHeight="1" x14ac:dyDescent="0.25">
      <c r="E152" s="504">
        <v>15</v>
      </c>
      <c r="F152" s="3" t="str" cm="1">
        <f t="array" aca="1" ref="F152" ca="1">OFFSET(E152,-1,1)</f>
        <v>1</v>
      </c>
      <c r="G152" s="278" t="s">
        <v>1234</v>
      </c>
      <c r="I152" s="38" t="s">
        <v>975</v>
      </c>
      <c r="J152" s="38"/>
      <c r="K152" s="38"/>
      <c r="L152" s="38"/>
      <c r="M152" s="38"/>
      <c r="N152" s="38"/>
      <c r="O152" s="38"/>
      <c r="P152" s="38"/>
      <c r="Q152" s="38"/>
      <c r="R152" s="38"/>
      <c r="S152" s="38"/>
      <c r="T152" s="353" t="b" cm="1">
        <f t="array" aca="1" ref="T152" ca="1">T151</f>
        <v>1</v>
      </c>
      <c r="X152" s="1078"/>
      <c r="Z152" s="1079"/>
      <c r="AB152" s="133" t="s">
        <v>976</v>
      </c>
      <c r="AC152" s="127" t="s">
        <v>1235</v>
      </c>
      <c r="AD152" s="7" t="s">
        <v>828</v>
      </c>
      <c r="AE152" s="171">
        <f ca="1">SUMIFS(Административные!AE$25:AE$103,Административные!$F$25:$F$103,$F152,Административные!$G$25:$G$103,$G152)</f>
        <v>0</v>
      </c>
      <c r="AF152" s="171">
        <f ca="1">SUMIFS(Административные!AF$25:AF$103,Административные!$F$25:$F$103,$F152,Административные!$G$25:$G$103,$G152)</f>
        <v>0</v>
      </c>
      <c r="AG152" s="171">
        <f ca="1">SUMIFS(Административные!AG$25:AG$103,Административные!$F$25:$F$103,$F152,Административные!$G$25:$G$103,$G152)</f>
        <v>0</v>
      </c>
      <c r="AH152" s="171">
        <f t="shared" ca="1" si="9"/>
        <v>0</v>
      </c>
      <c r="AI152" s="171">
        <f ca="1">SUMIFS(Административные!AH$25:AH$103,Административные!$F$25:$F$103,$F152,Административные!$G$25:$G$103,$G152)</f>
        <v>0</v>
      </c>
      <c r="AJ152" s="171">
        <f ca="1">SUMIFS(Административные!AI$25:AI$103,Административные!$F$25:$F$103,$F152,Административные!$G$25:$G$103,$G152)</f>
        <v>0</v>
      </c>
      <c r="AK152" s="171">
        <f ca="1">SUMIFS(Административные!AJ$25:AJ$103,Административные!$F$25:$F$103,$F152,Административные!$G$25:$G$103,$G152)</f>
        <v>0</v>
      </c>
      <c r="AL152" s="171">
        <f t="shared" ca="1" si="10"/>
        <v>0</v>
      </c>
      <c r="AM152" s="196"/>
      <c r="AN152" s="601" t="str">
        <f ca="1">IF(IFERROR(INDEX(Административные!$K$26:$L$103,MATCH($F152&amp;"3komm",Административные!$K$26:$K$103,0),2),"")=0,"",IFERROR(INDEX(Административные!$K$26:$L$103,MATCH($F152&amp;"3komm",Административные!$K$26:$K$103,0),2),""))</f>
        <v/>
      </c>
      <c r="AO152" s="196"/>
      <c r="AR152" s="694" t="s">
        <v>1236</v>
      </c>
    </row>
    <row r="153" spans="1:48" ht="14.25" customHeight="1" x14ac:dyDescent="0.25">
      <c r="E153" s="504">
        <v>15</v>
      </c>
      <c r="F153" s="3" t="str" cm="1">
        <f t="array" aca="1" ref="F153" ca="1">OFFSET(E153,-1,1)</f>
        <v>1</v>
      </c>
      <c r="G153" s="278" t="s">
        <v>1237</v>
      </c>
      <c r="I153" s="38" t="s">
        <v>978</v>
      </c>
      <c r="J153" s="38"/>
      <c r="K153" s="38"/>
      <c r="L153" s="38"/>
      <c r="M153" s="38"/>
      <c r="N153" s="38"/>
      <c r="O153" s="38"/>
      <c r="P153" s="38"/>
      <c r="Q153" s="38"/>
      <c r="R153" s="38"/>
      <c r="S153" s="38"/>
      <c r="T153" s="353" t="b" cm="1">
        <f t="array" aca="1" ref="T153" ca="1">T152</f>
        <v>1</v>
      </c>
      <c r="X153" s="1078"/>
      <c r="Z153" s="1079"/>
      <c r="AB153" s="133" t="s">
        <v>979</v>
      </c>
      <c r="AC153" s="127" t="s">
        <v>1238</v>
      </c>
      <c r="AD153" s="7" t="s">
        <v>828</v>
      </c>
      <c r="AE153" s="171">
        <f ca="1">SUMIFS(Административные!AE$25:AE$103,Административные!$F$25:$F$103,$F153,Административные!$G$25:$G$103,$G153)</f>
        <v>0</v>
      </c>
      <c r="AF153" s="171">
        <f ca="1">SUMIFS(Административные!AF$25:AF$103,Административные!$F$25:$F$103,$F153,Административные!$G$25:$G$103,$G153)</f>
        <v>0</v>
      </c>
      <c r="AG153" s="171">
        <f ca="1">SUMIFS(Административные!AG$25:AG$103,Административные!$F$25:$F$103,$F153,Административные!$G$25:$G$103,$G153)</f>
        <v>0</v>
      </c>
      <c r="AH153" s="171">
        <f t="shared" ca="1" si="9"/>
        <v>0</v>
      </c>
      <c r="AI153" s="171">
        <f ca="1">SUMIFS(Административные!AH$25:AH$103,Административные!$F$25:$F$103,$F153,Административные!$G$25:$G$103,$G153)</f>
        <v>0</v>
      </c>
      <c r="AJ153" s="171">
        <f ca="1">SUMIFS(Административные!AI$25:AI$103,Административные!$F$25:$F$103,$F153,Административные!$G$25:$G$103,$G153)</f>
        <v>0</v>
      </c>
      <c r="AK153" s="171">
        <f ca="1">SUMIFS(Административные!AJ$25:AJ$103,Административные!$F$25:$F$103,$F153,Административные!$G$25:$G$103,$G153)</f>
        <v>0</v>
      </c>
      <c r="AL153" s="171">
        <f t="shared" ca="1" si="10"/>
        <v>0</v>
      </c>
      <c r="AM153" s="196"/>
      <c r="AN153" s="601" t="str">
        <f ca="1">IF(IFERROR(INDEX(Административные!$K$26:$L$103,MATCH($F153&amp;"4komm",Административные!$K$26:$K$103,0),2),"")=0,"",IFERROR(INDEX(Административные!$K$26:$L$103,MATCH($F153&amp;"4komm",Административные!$K$26:$K$103,0),2),""))</f>
        <v/>
      </c>
      <c r="AO153" s="196"/>
      <c r="AR153" s="694" t="s">
        <v>1239</v>
      </c>
    </row>
    <row r="154" spans="1:48" ht="14.25" customHeight="1" x14ac:dyDescent="0.25">
      <c r="E154" s="504">
        <v>15</v>
      </c>
      <c r="F154" s="3" t="str" cm="1">
        <f t="array" aca="1" ref="F154" ca="1">OFFSET(E154,-1,1)</f>
        <v>1</v>
      </c>
      <c r="G154" s="278" t="s">
        <v>1240</v>
      </c>
      <c r="I154" s="38" t="s">
        <v>1222</v>
      </c>
      <c r="J154" s="38"/>
      <c r="K154" s="38"/>
      <c r="L154" s="38"/>
      <c r="M154" s="38"/>
      <c r="N154" s="38"/>
      <c r="O154" s="38"/>
      <c r="P154" s="38"/>
      <c r="Q154" s="38"/>
      <c r="R154" s="38"/>
      <c r="S154" s="38"/>
      <c r="T154" s="353" t="b" cm="1">
        <f t="array" aca="1" ref="T154" ca="1">T153</f>
        <v>1</v>
      </c>
      <c r="X154" s="1078"/>
      <c r="Z154" s="1079"/>
      <c r="AB154" s="133" t="s">
        <v>1223</v>
      </c>
      <c r="AC154" s="127" t="s">
        <v>1241</v>
      </c>
      <c r="AD154" s="7" t="s">
        <v>828</v>
      </c>
      <c r="AE154" s="171">
        <f ca="1">SUMIFS(Административные!AE$25:AE$103,Административные!$F$25:$F$103,$F154,Административные!$G$25:$G$103,$G154)</f>
        <v>0</v>
      </c>
      <c r="AF154" s="171">
        <f ca="1">SUMIFS(Административные!AF$25:AF$103,Административные!$F$25:$F$103,$F154,Административные!$G$25:$G$103,$G154)</f>
        <v>0</v>
      </c>
      <c r="AG154" s="171">
        <f ca="1">SUMIFS(Административные!AG$25:AG$103,Административные!$F$25:$F$103,$F154,Административные!$G$25:$G$103,$G154)</f>
        <v>0</v>
      </c>
      <c r="AH154" s="171">
        <f t="shared" ca="1" si="9"/>
        <v>0</v>
      </c>
      <c r="AI154" s="171">
        <f ca="1">SUMIFS(Административные!AH$25:AH$103,Административные!$F$25:$F$103,$F154,Административные!$G$25:$G$103,$G154)</f>
        <v>0</v>
      </c>
      <c r="AJ154" s="171">
        <f ca="1">SUMIFS(Административные!AI$25:AI$103,Административные!$F$25:$F$103,$F154,Административные!$G$25:$G$103,$G154)</f>
        <v>0</v>
      </c>
      <c r="AK154" s="171">
        <f ca="1">SUMIFS(Административные!AJ$25:AJ$103,Административные!$F$25:$F$103,$F154,Административные!$G$25:$G$103,$G154)</f>
        <v>0</v>
      </c>
      <c r="AL154" s="171">
        <f t="shared" ca="1" si="10"/>
        <v>0</v>
      </c>
      <c r="AM154" s="196"/>
      <c r="AN154" s="601" t="str">
        <f ca="1">IF(IFERROR(INDEX(Административные!$K$26:$L$103,MATCH($F150&amp;"5komm",Административные!$K$26:$K$103,0),2),"")=0,"",IFERROR(INDEX(Административные!$K$26:$L$103,MATCH($F150&amp;"5komm",Административные!$K$26:$K$103,0),2),""))</f>
        <v/>
      </c>
      <c r="AO154" s="196"/>
      <c r="AR154" s="694" t="s">
        <v>1827</v>
      </c>
    </row>
    <row r="155" spans="1:48" ht="14.25" customHeight="1" x14ac:dyDescent="0.25">
      <c r="E155" s="504">
        <v>15</v>
      </c>
      <c r="F155" s="3" t="str" cm="1">
        <f t="array" aca="1" ref="F155" ca="1">OFFSET(E155,-1,1)</f>
        <v>1</v>
      </c>
      <c r="G155" s="278" t="s">
        <v>1243</v>
      </c>
      <c r="I155" s="38" t="s">
        <v>1227</v>
      </c>
      <c r="J155" s="38"/>
      <c r="K155" s="38"/>
      <c r="L155" s="38"/>
      <c r="M155" s="38"/>
      <c r="N155" s="38"/>
      <c r="O155" s="38"/>
      <c r="P155" s="38"/>
      <c r="Q155" s="38"/>
      <c r="R155" s="38"/>
      <c r="S155" s="38"/>
      <c r="T155" s="353" t="b" cm="1">
        <f t="array" aca="1" ref="T155" ca="1">T154</f>
        <v>1</v>
      </c>
      <c r="X155" s="1078"/>
      <c r="Z155" s="1079"/>
      <c r="AB155" s="133" t="s">
        <v>1228</v>
      </c>
      <c r="AC155" s="127" t="s">
        <v>1828</v>
      </c>
      <c r="AD155" s="7" t="s">
        <v>828</v>
      </c>
      <c r="AE155" s="171">
        <f ca="1">SUMIFS(Административные!AE$25:AE$103,Административные!$F$25:$F$103,$F155,Административные!$G$25:$G$103,$G155)</f>
        <v>0</v>
      </c>
      <c r="AF155" s="171">
        <f ca="1">SUMIFS(Административные!AF$25:AF$103,Административные!$F$25:$F$103,$F155,Административные!$G$25:$G$103,$G155)</f>
        <v>0</v>
      </c>
      <c r="AG155" s="171">
        <f ca="1">SUMIFS(Административные!AG$25:AG$103,Административные!$F$25:$F$103,$F155,Административные!$G$25:$G$103,$G155)</f>
        <v>0</v>
      </c>
      <c r="AH155" s="171">
        <f t="shared" ca="1" si="9"/>
        <v>0</v>
      </c>
      <c r="AI155" s="171">
        <f ca="1">SUMIFS(Административные!AH$25:AH$103,Административные!$F$25:$F$103,$F155,Административные!$G$25:$G$103,$G155)</f>
        <v>0</v>
      </c>
      <c r="AJ155" s="171">
        <f ca="1">SUMIFS(Административные!AI$25:AI$103,Административные!$F$25:$F$103,$F155,Административные!$G$25:$G$103,$G155)</f>
        <v>0</v>
      </c>
      <c r="AK155" s="171">
        <f ca="1">SUMIFS(Административные!AJ$25:AJ$103,Административные!$F$25:$F$103,$F155,Административные!$G$25:$G$103,$G155)</f>
        <v>0</v>
      </c>
      <c r="AL155" s="171">
        <f t="shared" ca="1" si="10"/>
        <v>0</v>
      </c>
      <c r="AM155" s="196"/>
      <c r="AN155" s="601" t="str">
        <f ca="1">IF(IFERROR(INDEX(Административные!$K$26:$L$103,MATCH($F155&amp;"6komm",Административные!$K$26:$K$103,0),2),"")=0,"",IFERROR(INDEX(Административные!$K$26:$L$103,MATCH($F150&amp;"6komm",Административные!$K$26:$K$103,0),2),""))</f>
        <v/>
      </c>
      <c r="AO155" s="196"/>
      <c r="AR155" s="694" t="s">
        <v>1829</v>
      </c>
    </row>
    <row r="156" spans="1:48" ht="14.25" customHeight="1" x14ac:dyDescent="0.25">
      <c r="E156" s="504">
        <v>15</v>
      </c>
      <c r="F156" s="3" t="str" cm="1">
        <f t="array" aca="1" ref="F156" ca="1">OFFSET(E156,-1,1)</f>
        <v>1</v>
      </c>
      <c r="G156" s="278" t="s">
        <v>1245</v>
      </c>
      <c r="I156" s="38" t="s">
        <v>1830</v>
      </c>
      <c r="J156" s="38"/>
      <c r="K156" s="38"/>
      <c r="L156" s="38"/>
      <c r="M156" s="38"/>
      <c r="N156" s="38"/>
      <c r="O156" s="38"/>
      <c r="P156" s="38"/>
      <c r="Q156" s="38"/>
      <c r="R156" s="38"/>
      <c r="S156" s="38"/>
      <c r="T156" s="353" t="b" cm="1">
        <f t="array" aca="1" ref="T156" ca="1">T155</f>
        <v>1</v>
      </c>
      <c r="X156" s="1078"/>
      <c r="Z156" s="1079"/>
      <c r="AB156" s="133" t="s">
        <v>1831</v>
      </c>
      <c r="AC156" s="134" t="s">
        <v>1832</v>
      </c>
      <c r="AD156" s="7" t="s">
        <v>828</v>
      </c>
      <c r="AE156" s="171">
        <f ca="1">SUMIFS(Административные!AE$25:AE$103,Административные!$F$25:$F$103,$F156,Административные!$G$25:$G$103,$G156)</f>
        <v>0</v>
      </c>
      <c r="AF156" s="171">
        <f ca="1">SUMIFS(Административные!AF$25:AF$103,Административные!$F$25:$F$103,$F156,Административные!$G$25:$G$103,$G156)</f>
        <v>0</v>
      </c>
      <c r="AG156" s="171">
        <f ca="1">SUMIFS(Административные!AG$25:AG$103,Административные!$F$25:$F$103,$F156,Административные!$G$25:$G$103,$G156)</f>
        <v>0</v>
      </c>
      <c r="AH156" s="171">
        <f t="shared" ca="1" si="9"/>
        <v>0</v>
      </c>
      <c r="AI156" s="171">
        <f ca="1">SUMIFS(Административные!AH$25:AH$103,Административные!$F$25:$F$103,$F156,Административные!$G$25:$G$103,$G156)</f>
        <v>0</v>
      </c>
      <c r="AJ156" s="171">
        <f ca="1">SUMIFS(Административные!AI$25:AI$103,Административные!$F$25:$F$103,$F156,Административные!$G$25:$G$103,$G156)</f>
        <v>0</v>
      </c>
      <c r="AK156" s="171">
        <f ca="1">SUMIFS(Административные!AJ$25:AJ$103,Административные!$F$25:$F$103,$F156,Административные!$G$25:$G$103,$G156)</f>
        <v>0</v>
      </c>
      <c r="AL156" s="171">
        <f t="shared" ca="1" si="10"/>
        <v>0</v>
      </c>
      <c r="AM156" s="196"/>
      <c r="AN156" s="601" t="str">
        <f ca="1">IF(IFERROR(INDEX(Административные!$K$26:$L$103,MATCH($F156&amp;"7komm",Административные!$K$26:$K$103,0),2),"")=0,"",IFERROR(INDEX(Административные!$K$26:$L$103,MATCH($F151&amp;"7komm",Административные!$K$26:$K$103,0),2),""))</f>
        <v/>
      </c>
      <c r="AO156" s="196"/>
      <c r="AR156" s="694" t="s">
        <v>1833</v>
      </c>
    </row>
    <row r="157" spans="1:48" ht="43.5" customHeight="1" x14ac:dyDescent="0.25">
      <c r="E157" s="504">
        <v>45</v>
      </c>
      <c r="F157" s="3" t="str" cm="1">
        <f t="array" aca="1" ref="F157" ca="1">OFFSET(E157,-1,1)</f>
        <v>1</v>
      </c>
      <c r="G157" s="278" t="s">
        <v>1248</v>
      </c>
      <c r="I157" s="38" t="s">
        <v>1834</v>
      </c>
      <c r="J157" s="38"/>
      <c r="K157" s="38"/>
      <c r="L157" s="38"/>
      <c r="M157" s="38"/>
      <c r="N157" s="38"/>
      <c r="O157" s="38"/>
      <c r="P157" s="38"/>
      <c r="Q157" s="38"/>
      <c r="R157" s="38"/>
      <c r="S157" s="38"/>
      <c r="T157" s="353" t="b" cm="1">
        <f t="array" aca="1" ref="T157" ca="1">T156</f>
        <v>1</v>
      </c>
      <c r="X157" s="1078"/>
      <c r="Z157" s="1079"/>
      <c r="AB157" s="133" t="s">
        <v>1835</v>
      </c>
      <c r="AC157" s="127" t="s">
        <v>1249</v>
      </c>
      <c r="AD157" s="7" t="s">
        <v>828</v>
      </c>
      <c r="AE157" s="171">
        <f ca="1">SUMIFS(Административные!AE$25:AE$103,Административные!$F$25:$F$103,$F157,Административные!$G$25:$G$103,$G157)</f>
        <v>0</v>
      </c>
      <c r="AF157" s="171">
        <f ca="1">SUMIFS(Административные!AF$25:AF$103,Административные!$F$25:$F$103,$F157,Административные!$G$25:$G$103,$G157)</f>
        <v>0</v>
      </c>
      <c r="AG157" s="171">
        <f ca="1">SUMIFS(Административные!AG$25:AG$103,Административные!$F$25:$F$103,$F157,Административные!$G$25:$G$103,$G157)</f>
        <v>0</v>
      </c>
      <c r="AH157" s="171">
        <f t="shared" ca="1" si="9"/>
        <v>0</v>
      </c>
      <c r="AI157" s="171">
        <f ca="1">SUMIFS(Административные!AH$25:AH$103,Административные!$F$25:$F$103,$F157,Административные!$G$25:$G$103,$G157)</f>
        <v>0</v>
      </c>
      <c r="AJ157" s="171">
        <f ca="1">SUMIFS(Административные!AI$25:AI$103,Административные!$F$25:$F$103,$F157,Административные!$G$25:$G$103,$G157)</f>
        <v>0</v>
      </c>
      <c r="AK157" s="171">
        <f ca="1">SUMIFS(Административные!AJ$25:AJ$103,Административные!$F$25:$F$103,$F157,Административные!$G$25:$G$103,$G157)</f>
        <v>0</v>
      </c>
      <c r="AL157" s="171">
        <f t="shared" ca="1" si="10"/>
        <v>0</v>
      </c>
      <c r="AM157" s="196"/>
      <c r="AN157" s="601" t="str">
        <f ca="1">IF(IFERROR(INDEX(Административные!$K$26:$L$103,MATCH($F157&amp;"8komm",Административные!$K$26:$K$103,0),2),"")=0,"",IFERROR(INDEX(Административные!$K$26:$L$103,MATCH($F152&amp;"8komm",Административные!$K$26:$K$103,0),2),""))</f>
        <v/>
      </c>
      <c r="AO157" s="196"/>
      <c r="AR157" s="694" t="s">
        <v>1836</v>
      </c>
    </row>
    <row r="158" spans="1:48" ht="14.25" customHeight="1" x14ac:dyDescent="0.25">
      <c r="E158" s="504">
        <v>15</v>
      </c>
      <c r="F158" s="3" t="str" cm="1">
        <f t="array" aca="1" ref="F158" ca="1">OFFSET(E158,-1,1)</f>
        <v>1</v>
      </c>
      <c r="G158" s="278" t="s">
        <v>1251</v>
      </c>
      <c r="I158" s="38" t="s">
        <v>1837</v>
      </c>
      <c r="J158" s="38"/>
      <c r="K158" s="38"/>
      <c r="L158" s="38"/>
      <c r="M158" s="38"/>
      <c r="N158" s="38"/>
      <c r="O158" s="38"/>
      <c r="P158" s="38"/>
      <c r="Q158" s="38"/>
      <c r="R158" s="38"/>
      <c r="S158" s="38"/>
      <c r="T158" s="353" t="b" cm="1">
        <f t="array" aca="1" ref="T158" ca="1">T157</f>
        <v>1</v>
      </c>
      <c r="X158" s="1078"/>
      <c r="Z158" s="1079"/>
      <c r="AB158" s="133" t="s">
        <v>1838</v>
      </c>
      <c r="AC158" s="134" t="s">
        <v>1252</v>
      </c>
      <c r="AD158" s="7" t="s">
        <v>828</v>
      </c>
      <c r="AE158" s="171">
        <f ca="1">SUMIFS(Административные!AE$25:AE$103,Административные!$F$25:$F$103,$F158,Административные!$G$25:$G$103,$G158)</f>
        <v>0</v>
      </c>
      <c r="AF158" s="171">
        <f ca="1">SUMIFS(Административные!AF$25:AF$103,Административные!$F$25:$F$103,$F158,Административные!$G$25:$G$103,$G158)</f>
        <v>0</v>
      </c>
      <c r="AG158" s="171">
        <f ca="1">SUMIFS(Административные!AG$25:AG$103,Административные!$F$25:$F$103,$F158,Административные!$G$25:$G$103,$G158)</f>
        <v>0</v>
      </c>
      <c r="AH158" s="171">
        <f t="shared" ca="1" si="9"/>
        <v>0</v>
      </c>
      <c r="AI158" s="171">
        <f ca="1">SUMIFS(Административные!AH$25:AH$103,Административные!$F$25:$F$103,$F158,Административные!$G$25:$G$103,$G158)</f>
        <v>0</v>
      </c>
      <c r="AJ158" s="171">
        <f ca="1">SUMIFS(Административные!AI$25:AI$103,Административные!$F$25:$F$103,$F158,Административные!$G$25:$G$103,$G158)</f>
        <v>0</v>
      </c>
      <c r="AK158" s="171">
        <f ca="1">SUMIFS(Административные!AJ$25:AJ$103,Административные!$F$25:$F$103,$F158,Административные!$G$25:$G$103,$G158)</f>
        <v>0</v>
      </c>
      <c r="AL158" s="171">
        <f t="shared" ca="1" si="10"/>
        <v>0</v>
      </c>
      <c r="AM158" s="196"/>
      <c r="AN158" s="601" t="str">
        <f ca="1">IF(IFERROR(INDEX(Административные!$K$26:$L$103,MATCH($F158&amp;"9komm",Административные!$K$26:$K$103,0),2),"")=0,"",IFERROR(INDEX(Административные!$K$26:$L$103,MATCH($F153&amp;"9komm",Административные!$K$26:$K$103,0),2),""))</f>
        <v/>
      </c>
      <c r="AO158" s="196"/>
      <c r="AR158" s="694" t="s">
        <v>1839</v>
      </c>
    </row>
    <row r="159" spans="1:48" s="867" customFormat="1" ht="14.25" hidden="1" customHeight="1" x14ac:dyDescent="0.25">
      <c r="A159" s="423"/>
      <c r="B159" s="423" t="b">
        <f>STATUS_GO="да"</f>
        <v>0</v>
      </c>
      <c r="C159" s="423"/>
      <c r="D159" s="423"/>
      <c r="E159" s="505">
        <v>15</v>
      </c>
      <c r="F159" s="3" t="str" cm="1">
        <f t="array" aca="1" ref="F159" ca="1">OFFSET(E159,-1,1)</f>
        <v>1</v>
      </c>
      <c r="G159" s="423"/>
      <c r="H159" s="423"/>
      <c r="I159" s="154" t="s">
        <v>335</v>
      </c>
      <c r="J159" s="154"/>
      <c r="K159" s="154"/>
      <c r="L159" s="154"/>
      <c r="M159" s="154"/>
      <c r="N159" s="154"/>
      <c r="O159" s="154"/>
      <c r="P159" s="154"/>
      <c r="Q159" s="154"/>
      <c r="R159" s="154"/>
      <c r="S159" s="154"/>
      <c r="T159" s="353" t="b" cm="1">
        <f t="array" aca="1" ref="T159" ca="1">T158</f>
        <v>1</v>
      </c>
      <c r="U159" s="423"/>
      <c r="V159" s="423"/>
      <c r="W159" s="423"/>
      <c r="X159" s="1078"/>
      <c r="Y159" s="423"/>
      <c r="Z159" s="1079"/>
      <c r="AA159" s="423"/>
      <c r="AB159" s="131" t="s">
        <v>454</v>
      </c>
      <c r="AC159" s="132" t="s">
        <v>1840</v>
      </c>
      <c r="AD159" s="124" t="s">
        <v>828</v>
      </c>
      <c r="AE159" s="126">
        <f ca="1">SUMIFS('Сбытовые расходы ГО'!AE$25:AE$75,'Сбытовые расходы ГО'!$F$25:$F$75,$F159,'Сбытовые расходы ГО'!$G$25:$G$75,"l0")</f>
        <v>0</v>
      </c>
      <c r="AF159" s="126">
        <f ca="1">SUMIFS('Сбытовые расходы ГО'!AF$25:AF$75,'Сбытовые расходы ГО'!$F$25:$F$75,$F159,'Сбытовые расходы ГО'!$G$25:$G$75,"l0")</f>
        <v>0</v>
      </c>
      <c r="AG159" s="126">
        <f ca="1">SUMIFS('Сбытовые расходы ГО'!AG$25:AG$75,'Сбытовые расходы ГО'!$F$25:$F$75,$F159,'Сбытовые расходы ГО'!$G$25:$G$75,"l0")</f>
        <v>0</v>
      </c>
      <c r="AH159" s="126">
        <f t="shared" ca="1" si="9"/>
        <v>0</v>
      </c>
      <c r="AI159" s="126">
        <f ca="1">SUMIFS('Сбытовые расходы ГО'!AH$25:AH$75,'Сбытовые расходы ГО'!$F$25:$F$75,$F159,'Сбытовые расходы ГО'!$G$25:$G$75,"l0")</f>
        <v>0</v>
      </c>
      <c r="AJ159" s="126">
        <f ca="1">SUMIFS('Сбытовые расходы ГО'!AI$25:AI$75,'Сбытовые расходы ГО'!$F$25:$F$75,$F159,'Сбытовые расходы ГО'!$G$25:$G$75,"l0")</f>
        <v>0</v>
      </c>
      <c r="AK159" s="126">
        <f ca="1">SUMIFS('Сбытовые расходы ГО'!AJ$25:AJ$75,'Сбытовые расходы ГО'!$F$25:$F$75,$F159,'Сбытовые расходы ГО'!$G$25:$G$75,"l0")</f>
        <v>0</v>
      </c>
      <c r="AL159" s="126">
        <f t="shared" ca="1" si="10"/>
        <v>0</v>
      </c>
      <c r="AM159" s="777"/>
      <c r="AN159" s="779"/>
      <c r="AO159" s="777"/>
      <c r="AP159" s="423"/>
      <c r="AQ159" s="423"/>
      <c r="AR159" s="695" t="s">
        <v>1841</v>
      </c>
      <c r="AS159" s="695"/>
      <c r="AT159" s="695"/>
      <c r="AU159" s="505"/>
      <c r="AV159" s="505"/>
    </row>
    <row r="160" spans="1:48" s="867" customFormat="1" ht="14.25" customHeight="1" x14ac:dyDescent="0.25">
      <c r="A160" s="423"/>
      <c r="B160" s="423"/>
      <c r="C160" s="423"/>
      <c r="D160" s="423"/>
      <c r="E160" s="505">
        <v>15</v>
      </c>
      <c r="F160" s="3" t="str" cm="1">
        <f t="array" aca="1" ref="F160" ca="1">OFFSET(E160,-1,1)</f>
        <v>1</v>
      </c>
      <c r="G160" s="423"/>
      <c r="H160" s="423"/>
      <c r="I160" s="154" t="s">
        <v>334</v>
      </c>
      <c r="J160" s="154"/>
      <c r="K160" s="154"/>
      <c r="L160" s="154"/>
      <c r="M160" s="154"/>
      <c r="N160" s="154"/>
      <c r="O160" s="154"/>
      <c r="P160" s="154"/>
      <c r="Q160" s="154"/>
      <c r="R160" s="154"/>
      <c r="S160" s="154"/>
      <c r="T160" s="353" t="b" cm="1">
        <f t="array" aca="1" ref="T160" ca="1">T159</f>
        <v>1</v>
      </c>
      <c r="U160" s="423"/>
      <c r="V160" s="423"/>
      <c r="W160" s="423"/>
      <c r="X160" s="1078"/>
      <c r="Y160" s="423"/>
      <c r="Z160" s="1079"/>
      <c r="AA160" s="423"/>
      <c r="AB160" s="131" t="s">
        <v>460</v>
      </c>
      <c r="AC160" s="125" t="s">
        <v>1842</v>
      </c>
      <c r="AD160" s="124" t="s">
        <v>828</v>
      </c>
      <c r="AE160" s="126">
        <f ca="1">SUMIFS(Амортизация!AE$25:AE$223,Амортизация!$F$25:$F$223,$F160,Амортизация!$AC$25:$AC$223,"Сумма амортизационных отчислений")</f>
        <v>2216.9920940237998</v>
      </c>
      <c r="AF160" s="126">
        <f ca="1">SUMIFS(Амортизация!AF$25:AF$223,Амортизация!$F$25:$F$223,$F160,Амортизация!$AC$25:$AC$223,"Сумма амортизационных отчислений")</f>
        <v>5483.4794127398</v>
      </c>
      <c r="AG160" s="126">
        <f ca="1">SUMIFS(Амортизация!AG$25:AG$223,Амортизация!$F$25:$F$223,$F160,Амортизация!$AC$25:$AC$223,"Сумма амортизационных отчислений")</f>
        <v>3532.2318795599999</v>
      </c>
      <c r="AH160" s="126">
        <f t="shared" ca="1" si="9"/>
        <v>-1951.2475331798</v>
      </c>
      <c r="AI160" s="126">
        <f ca="1">SUMIFS(Амортизация!AH$25:AH$223,Амортизация!$F$25:$F$223,$F160,Амортизация!$AC$25:$AC$223,"Сумма амортизационных отчислений")</f>
        <v>2256.276065</v>
      </c>
      <c r="AJ160" s="126">
        <f ca="1">SUMIFS(Амортизация!AI$25:AI$223,Амортизация!$F$25:$F$223,$F160,Амортизация!$AC$25:$AC$223,"Сумма амортизационных отчислений")</f>
        <v>6250.4661400595996</v>
      </c>
      <c r="AK160" s="126">
        <f ca="1">SUMIFS(Амортизация!AS$25:AS$223,Амортизация!$F$25:$F$223,$F160,Амортизация!$AC$25:$AC$223,"Сумма амортизационных отчислений")</f>
        <v>3456.8667285199999</v>
      </c>
      <c r="AL160" s="126">
        <f t="shared" ca="1" si="10"/>
        <v>53.211159846257551</v>
      </c>
      <c r="AM160" s="556"/>
      <c r="AN160" s="601" t="str">
        <f ca="1">IF(IFERROR(INDEX(Амортизация!$K$26:$L$223,MATCH($F160&amp;"komm",Амортизация!$K$26:$K$627,0),2),"")=0,"",IFERROR(INDEX(Амортизация!$K$26:$L$223,MATCH($F160&amp;"komm",Амортизация!$K$26:$K$627,0),2),""))</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AO160" s="556"/>
      <c r="AP160" s="423"/>
      <c r="AQ160" s="423"/>
      <c r="AR160" s="695" t="s">
        <v>1247</v>
      </c>
      <c r="AS160" s="695"/>
      <c r="AT160" s="695"/>
      <c r="AU160" s="505"/>
      <c r="AV160" s="505"/>
    </row>
    <row r="161" spans="1:48" ht="14.25" customHeight="1" x14ac:dyDescent="0.25">
      <c r="E161" s="504">
        <v>15</v>
      </c>
      <c r="F161" s="3" t="str" cm="1">
        <f t="array" aca="1" ref="F161" ca="1">OFFSET(E161,-1,1)</f>
        <v>1</v>
      </c>
      <c r="I161" s="38" t="s">
        <v>574</v>
      </c>
      <c r="J161" s="38"/>
      <c r="K161" s="38"/>
      <c r="L161" s="38"/>
      <c r="M161" s="38"/>
      <c r="N161" s="38"/>
      <c r="O161" s="38"/>
      <c r="P161" s="38"/>
      <c r="Q161" s="38"/>
      <c r="R161" s="38"/>
      <c r="S161" s="38"/>
      <c r="T161" s="353" t="b" cm="1">
        <f t="array" aca="1" ref="T161" ca="1">T160</f>
        <v>1</v>
      </c>
      <c r="X161" s="1078"/>
      <c r="Z161" s="1079"/>
      <c r="AB161" s="133" t="s">
        <v>704</v>
      </c>
      <c r="AC161" s="127" t="s">
        <v>1843</v>
      </c>
      <c r="AD161" s="7" t="s">
        <v>828</v>
      </c>
      <c r="AE161" s="128">
        <f ca="1">SUMIFS('ИП + источники'!AF$27:AF$145,'ИП + источники'!$F$27:$F$145,$F161,'ИП + источники'!$AC$27:$AC$145,"Амортизационные отчисления")+SUMIFS('ИП + источники'!AF$27:AF$145,'ИП + источники'!$F$27:$F$145,$F161,'ИП + источники'!$AC$27:$AC$145,"погашение займов и кредитов из амортизации")</f>
        <v>0</v>
      </c>
      <c r="AF161" s="128">
        <f ca="1">SUMIFS('ИП + источники'!AG$27:AG$145,'ИП + источники'!$F$27:$F$145,$F161,'ИП + источники'!$AC$27:$AC$145,"Амортизационные отчисления")+SUMIFS('ИП + источники'!AG$27:AG$145,'ИП + источники'!$F$27:$F$145,$F161,'ИП + источники'!$AC$27:$AC$145,"погашение займов и кредитов из амортизации")</f>
        <v>0</v>
      </c>
      <c r="AG161" s="128">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0</v>
      </c>
      <c r="AH161" s="171">
        <f t="shared" ca="1" si="9"/>
        <v>0</v>
      </c>
      <c r="AI161" s="128">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0</v>
      </c>
      <c r="AJ161" s="128">
        <f ca="1">SUMIFS('ИП + источники'!AI$27:AI$145,'ИП + источники'!$F$27:$F$145,$F161,'ИП + источники'!$AC$27:$AC$145,"Амортизационные отчисления")+SUMIFS('ИП + источники'!AI$27:AI$145,'ИП + источники'!$F$27:$F$145,$F161,'ИП + источники'!$AC$27:$AC$145,"погашение займов и кредитов из амортизации")</f>
        <v>0</v>
      </c>
      <c r="AK161" s="128">
        <f ca="1">SUMIFS('ИП + источники'!AJ$27:AJ$145,'ИП + источники'!$F$27:$F$145,$F161,'ИП + источники'!$AC$27:$AC$145,"Амортизационные отчисления")+SUMIFS('ИП + источники'!AJ$27:AJ$145,'ИП + источники'!$F$27:$F$145,$F161,'ИП + источники'!$AC$27:$AC$145,"погашение займов и кредитов из амортизации")</f>
        <v>0</v>
      </c>
      <c r="AL161" s="171">
        <f t="shared" ca="1" si="10"/>
        <v>0</v>
      </c>
      <c r="AM161" s="196"/>
      <c r="AN161" s="196"/>
      <c r="AO161" s="196"/>
      <c r="AR161" s="694" t="s">
        <v>1844</v>
      </c>
    </row>
    <row r="162" spans="1:48" s="867" customFormat="1" ht="21.75" customHeight="1" x14ac:dyDescent="0.25">
      <c r="A162" s="423"/>
      <c r="B162" s="423"/>
      <c r="C162" s="423"/>
      <c r="D162" s="423"/>
      <c r="E162" s="505">
        <v>22.5</v>
      </c>
      <c r="F162" s="3" t="str" cm="1">
        <f t="array" aca="1" ref="F162" ca="1">OFFSET(E162,-1,1)</f>
        <v>1</v>
      </c>
      <c r="G162" s="423"/>
      <c r="H162" s="423"/>
      <c r="I162" s="154" t="s">
        <v>532</v>
      </c>
      <c r="J162" s="154"/>
      <c r="K162" s="154"/>
      <c r="L162" s="154"/>
      <c r="M162" s="154"/>
      <c r="N162" s="154"/>
      <c r="O162" s="154"/>
      <c r="P162" s="154"/>
      <c r="Q162" s="154"/>
      <c r="R162" s="154"/>
      <c r="S162" s="154"/>
      <c r="T162" s="353" t="b" cm="1">
        <f t="array" aca="1" ref="T162" ca="1">T161</f>
        <v>1</v>
      </c>
      <c r="U162" s="423"/>
      <c r="V162" s="423"/>
      <c r="W162" s="423"/>
      <c r="X162" s="1078"/>
      <c r="Y162" s="423"/>
      <c r="Z162" s="1079"/>
      <c r="AA162" s="423"/>
      <c r="AB162" s="131" t="s">
        <v>536</v>
      </c>
      <c r="AC162" s="125" t="s">
        <v>1845</v>
      </c>
      <c r="AD162" s="124" t="s">
        <v>828</v>
      </c>
      <c r="AE162" s="126">
        <f ca="1">SUMIFS(Аренда!AE$25:AE$67,Аренда!$F$25:$F$67,$F162,Аренда!$G$25:$G$67,"Арендная и концессионная плата, лизинговые платежи")</f>
        <v>0</v>
      </c>
      <c r="AF162" s="126">
        <f ca="1">SUMIFS(Аренда!AF$25:AF$67,Аренда!$F$25:$F$67,$F162,Аренда!$G$25:$G$67,"Арендная и концессионная плата, лизинговые платежи")</f>
        <v>0</v>
      </c>
      <c r="AG162" s="126">
        <f ca="1">SUMIFS(Аренда!AG$25:AG$67,Аренда!$F$25:$F$67,$F162,Аренда!$G$25:$G$67,"Арендная и концессионная плата, лизинговые платежи")</f>
        <v>0</v>
      </c>
      <c r="AH162" s="126">
        <f t="shared" ca="1" si="9"/>
        <v>0</v>
      </c>
      <c r="AI162" s="126">
        <f ca="1">SUMIFS(Аренда!AH$25:AH$67,Аренда!$F$25:$F$67,$F162,Аренда!$G$25:$G$67,"Арендная и концессионная плата, лизинговые платежи")</f>
        <v>0</v>
      </c>
      <c r="AJ162" s="126">
        <f ca="1">SUMIFS(Аренда!AI$25:AI$67,Аренда!$F$25:$F$67,$F162,Аренда!$G$25:$G$67,"Арендная и концессионная плата, лизинговые платежи")</f>
        <v>0</v>
      </c>
      <c r="AK162" s="126">
        <f ca="1">SUMIFS(Аренда!AS$25:AS$67,Аренда!$F$25:$F$67,$F162,Аренда!$G$25:$G$67,"Арендная и концессионная плата, лизинговые платежи")</f>
        <v>0</v>
      </c>
      <c r="AL162" s="126">
        <f t="shared" ca="1" si="10"/>
        <v>0</v>
      </c>
      <c r="AM162" s="556"/>
      <c r="AN162" s="601" t="str">
        <f ca="1">IF(IFERROR(INDEX(Аренда!$K$26:$L$67,MATCH($F162&amp;"komm",Аренда!$K$26:$K$67,0),2),"")=0,"",IFERROR(INDEX(Аренда!$K$26:$L$67,MATCH($F162&amp;"komm",Аренда!$K$26:$K$67,0),2),""))</f>
        <v/>
      </c>
      <c r="AO162" s="556"/>
      <c r="AP162" s="423"/>
      <c r="AQ162" s="423"/>
      <c r="AR162" s="695" t="s">
        <v>1846</v>
      </c>
      <c r="AS162" s="695"/>
      <c r="AT162" s="695"/>
      <c r="AU162" s="505"/>
      <c r="AV162" s="505"/>
    </row>
    <row r="163" spans="1:48" s="867" customFormat="1" ht="14.25" customHeight="1" x14ac:dyDescent="0.25">
      <c r="A163" s="423"/>
      <c r="B163" s="423"/>
      <c r="C163" s="423"/>
      <c r="D163" s="423"/>
      <c r="E163" s="505">
        <v>15</v>
      </c>
      <c r="F163" s="3" t="str" cm="1">
        <f t="array" aca="1" ref="F163" ca="1">OFFSET(E163,-1,1)</f>
        <v>1</v>
      </c>
      <c r="G163" s="423"/>
      <c r="H163" s="423"/>
      <c r="I163" s="154" t="s">
        <v>535</v>
      </c>
      <c r="J163" s="154"/>
      <c r="K163" s="154"/>
      <c r="L163" s="154"/>
      <c r="M163" s="154"/>
      <c r="N163" s="154"/>
      <c r="O163" s="154"/>
      <c r="P163" s="154"/>
      <c r="Q163" s="154"/>
      <c r="R163" s="154"/>
      <c r="S163" s="154"/>
      <c r="T163" s="353" t="b" cm="1">
        <f t="array" aca="1" ref="T163" ca="1">T162</f>
        <v>1</v>
      </c>
      <c r="U163" s="423"/>
      <c r="V163" s="423"/>
      <c r="W163" s="423"/>
      <c r="X163" s="1078"/>
      <c r="Y163" s="423"/>
      <c r="Z163" s="1079"/>
      <c r="AA163" s="423"/>
      <c r="AB163" s="131" t="s">
        <v>602</v>
      </c>
      <c r="AC163" s="125" t="s">
        <v>1847</v>
      </c>
      <c r="AD163" s="124" t="s">
        <v>828</v>
      </c>
      <c r="AE163" s="126">
        <f ca="1">SUMIFS(Налоги!AE$25:AE$83,Налоги!$F$25:$F$83,$F163,Налоги!$AC$25:$AC$83,"Налоги и платежи, относимые на указанный вид деятельности")</f>
        <v>19524.778777153999</v>
      </c>
      <c r="AF163" s="126">
        <f ca="1">SUMIFS(Налоги!AF$25:AF$83,Налоги!$F$25:$F$83,$F163,Налоги!$AC$25:$AC$83,"Налоги и платежи, относимые на указанный вид деятельности")</f>
        <v>20113.000735426896</v>
      </c>
      <c r="AG163" s="126">
        <f ca="1">SUMIFS(Налоги!AG$25:AG$83,Налоги!$F$25:$F$83,$F163,Налоги!$AC$25:$AC$83,"Налоги и платежи, относимые на указанный вид деятельности")</f>
        <v>20113.014334812699</v>
      </c>
      <c r="AH163" s="126">
        <f t="shared" ca="1" si="9"/>
        <v>1.3599385802081088E-2</v>
      </c>
      <c r="AI163" s="126">
        <f ca="1">SUMIFS(Налоги!AH$25:AH$83,Налоги!$F$25:$F$83,$F163,Налоги!$AC$25:$AC$83,"Налоги и платежи, относимые на указанный вид деятельности")</f>
        <v>25906.171578960002</v>
      </c>
      <c r="AJ163" s="126">
        <f ca="1">SUMIFS(Налоги!AI$25:AI$83,Налоги!$F$25:$F$83,$F163,Налоги!$AC$25:$AC$83,"Налоги и платежи, относимые на указанный вид деятельности")</f>
        <v>32079.612572521102</v>
      </c>
      <c r="AK163" s="126">
        <f ca="1">SUMIFS(Налоги!AS$25:AS$83,Налоги!$F$25:$F$83,$F163,Налоги!$AC$25:$AC$83,"Налоги и платежи, относимые на указанный вид деятельности")</f>
        <v>26515.485691682399</v>
      </c>
      <c r="AL163" s="126">
        <f t="shared" ca="1" si="10"/>
        <v>2.3520036948155578</v>
      </c>
      <c r="AM163" s="556"/>
      <c r="AN163" s="601" t="str">
        <f ca="1">IF(IFERROR(INDEX(Налоги!$K$26:$L$83,MATCH($F163&amp;"komm",Налоги!$K$26:$K$83,0),2),"")=0,"",IFERROR(INDEX(Налоги!$K$26:$L$83,MATCH($F163&amp;"komm",Налоги!$K$26:$K$83,0),2),""))</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AO163" s="556"/>
      <c r="AP163" s="423"/>
      <c r="AQ163" s="423"/>
      <c r="AR163" s="695" t="s">
        <v>1275</v>
      </c>
      <c r="AS163" s="695"/>
      <c r="AT163" s="695"/>
      <c r="AU163" s="505"/>
      <c r="AV163" s="505"/>
    </row>
    <row r="164" spans="1:48" s="867" customFormat="1" ht="14.25" customHeight="1" x14ac:dyDescent="0.25">
      <c r="A164" s="423"/>
      <c r="B164" s="423"/>
      <c r="C164" s="423"/>
      <c r="D164" s="423"/>
      <c r="E164" s="505">
        <v>15</v>
      </c>
      <c r="F164" s="3" t="str" cm="1">
        <f t="array" aca="1" ref="F164" ca="1">OFFSET(E164,-1,1)</f>
        <v>1</v>
      </c>
      <c r="G164" s="423"/>
      <c r="H164" s="423"/>
      <c r="I164" s="154" t="s">
        <v>586</v>
      </c>
      <c r="J164" s="154"/>
      <c r="K164" s="154"/>
      <c r="L164" s="154"/>
      <c r="M164" s="154"/>
      <c r="N164" s="154"/>
      <c r="O164" s="154"/>
      <c r="P164" s="154"/>
      <c r="Q164" s="154"/>
      <c r="R164" s="154"/>
      <c r="S164" s="154"/>
      <c r="T164" s="353" t="b" cm="1">
        <f t="array" aca="1" ref="T164" ca="1">T163</f>
        <v>1</v>
      </c>
      <c r="U164" s="423"/>
      <c r="V164" s="423"/>
      <c r="W164" s="423"/>
      <c r="X164" s="1078"/>
      <c r="Y164" s="423"/>
      <c r="Z164" s="1079"/>
      <c r="AA164" s="423"/>
      <c r="AB164" s="131" t="s">
        <v>610</v>
      </c>
      <c r="AC164" s="125" t="s">
        <v>1848</v>
      </c>
      <c r="AD164" s="147" t="s">
        <v>828</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6"/>
      <c r="AN164" s="601"/>
      <c r="AO164" s="556"/>
      <c r="AP164" s="423"/>
      <c r="AQ164" s="423"/>
      <c r="AR164" s="695" t="s">
        <v>1517</v>
      </c>
      <c r="AS164" s="695"/>
      <c r="AT164" s="695"/>
      <c r="AU164" s="505"/>
      <c r="AV164" s="505"/>
    </row>
    <row r="165" spans="1:48" ht="14.25" customHeight="1" x14ac:dyDescent="0.25">
      <c r="E165" s="504">
        <v>15</v>
      </c>
      <c r="F165" s="3" t="str" cm="1">
        <f t="array" aca="1" ref="F165" ca="1">OFFSET(E165,-1,1)</f>
        <v>1</v>
      </c>
      <c r="I165" s="38" t="s">
        <v>589</v>
      </c>
      <c r="J165" s="38"/>
      <c r="K165" s="38"/>
      <c r="L165" s="38"/>
      <c r="M165" s="38"/>
      <c r="N165" s="38"/>
      <c r="O165" s="38"/>
      <c r="P165" s="38"/>
      <c r="Q165" s="38"/>
      <c r="R165" s="38"/>
      <c r="S165" s="38"/>
      <c r="T165" s="353" t="b" cm="1">
        <f t="array" aca="1" ref="T165" ca="1">T164</f>
        <v>1</v>
      </c>
      <c r="X165" s="1078"/>
      <c r="Z165" s="1079"/>
      <c r="AB165" s="133" t="s">
        <v>614</v>
      </c>
      <c r="AC165" s="127" t="s">
        <v>1849</v>
      </c>
      <c r="AD165" s="7" t="s">
        <v>828</v>
      </c>
      <c r="AE165" s="128">
        <f ca="1">SUMIFS('ИП + источники'!AF$26:AF$145,'ИП + источники'!$F$26:$F$145,$F165,'ИП + источники'!$AC$26:$AC$145,"погашение займов и кредитов из нормативной прибыли")+SUMIFS('ИП + источники'!AF$26:AF$145,'ИП + источники'!$F$26:$F$145,$F165,'ИП + источники'!$AC$26:$AC$145,"уплата процентов по кредитам из нормативной прибыли")</f>
        <v>0</v>
      </c>
      <c r="AF165" s="128">
        <f ca="1">SUMIFS('ИП + источники'!AG$26:AG$145,'ИП + источники'!$F$26:$F$145,$F165,'ИП + источники'!$AC$26:$AC$145,"погашение займов и кредитов из нормативной прибыли")+SUMIFS('ИП + источники'!AG$26:AG$145,'ИП + источники'!$F$26:$F$145,$F165,'ИП + источники'!$AC$26:$AC$145,"уплата процентов по кредитам из нормативной прибыли")</f>
        <v>0</v>
      </c>
      <c r="AG165" s="128">
        <f ca="1">SUMIFS('ИП + источники'!AH$26:AH$145,'ИП + источники'!$F$26:$F$145,$F165,'ИП + источники'!$AC$26:$AC$145,"погашение займов и кредитов из нормативной прибыли")+SUMIFS('ИП + источники'!AH$26:AH$145,'ИП + источники'!$F$26:$F$145,$F165,'ИП + источники'!$AC$26:$AC$145,"уплата процентов по кредитам из нормативной прибыли")</f>
        <v>0</v>
      </c>
      <c r="AH165" s="171">
        <f t="shared" ca="1" si="9"/>
        <v>0</v>
      </c>
      <c r="AI165" s="128">
        <f ca="1">SUMIFS('ИП + источники'!AJ$26:AJ$145,'ИП + источники'!$F$26:$F$145,$F165,'ИП + источники'!$AC$26:$AC$145,"погашение займов и кредитов из нормативной прибыли")+SUMIFS('ИП + источники'!AJ$26:AJ$145,'ИП + источники'!$F$26:$F$145,$F165,'ИП + источники'!$AC$26:$AC$145,"уплата процентов по кредитам из нормативной прибыли")</f>
        <v>0</v>
      </c>
      <c r="AJ165" s="128">
        <f ca="1">SUMIFS('ИП + источники'!AK$26:AK$145,'ИП + источники'!$F$26:$F$145,$F165,'ИП + источники'!$AC$26:$AC$145,"погашение займов и кредитов из нормативной прибыли")+SUMIFS('ИП + источники'!AK$26:AK$145,'ИП + источники'!$F$26:$F$145,$F165,'ИП + источники'!$AC$26:$AC$145,"уплата процентов по кредитам из нормативной прибыли")</f>
        <v>0</v>
      </c>
      <c r="AK165" s="128">
        <f ca="1">SUMIFS('ИП + источники'!AU$26:AU$145,'ИП + источники'!$F$26:$F$145,$F165,'ИП + источники'!$AC$26:$AC$145,"погашение займов и кредитов из нормативной прибыли")+SUMIFS('ИП + источники'!AU$26:AU$145,'ИП + источники'!$F$26:$F$145,$F165,'ИП + источники'!$AC$26:$AC$145,"уплата процентов по кредитам из нормативной прибыли")</f>
        <v>0</v>
      </c>
      <c r="AL165" s="171">
        <f t="shared" ca="1" si="10"/>
        <v>0</v>
      </c>
      <c r="AM165" s="196"/>
      <c r="AN165" s="601" t="str">
        <f ca="1">IF(IFERROR(INDEX('ИП + источники'!$K$28:$L$145,MATCH($F165&amp;"1komm",'ИП + источники'!$K$28:$K$145,0),2),"")=0,"",IFERROR(INDEX('ИП + источники'!$K$28:$L$145,MATCH($F165&amp;"1komm",'ИП + источники'!$K$28:$K$145,0),2),""))</f>
        <v/>
      </c>
      <c r="AO165" s="196"/>
      <c r="AR165" s="694" t="s">
        <v>1268</v>
      </c>
    </row>
    <row r="166" spans="1:48" ht="14.25" customHeight="1" x14ac:dyDescent="0.25">
      <c r="E166" s="504">
        <v>15</v>
      </c>
      <c r="F166" s="3" t="str" cm="1">
        <f t="array" aca="1" ref="F166" ca="1">OFFSET(E166,-1,1)</f>
        <v>1</v>
      </c>
      <c r="I166" s="38" t="s">
        <v>593</v>
      </c>
      <c r="J166" s="38"/>
      <c r="K166" s="38"/>
      <c r="L166" s="38"/>
      <c r="M166" s="38"/>
      <c r="N166" s="38"/>
      <c r="O166" s="38"/>
      <c r="P166" s="38"/>
      <c r="Q166" s="38"/>
      <c r="R166" s="38"/>
      <c r="S166" s="38"/>
      <c r="T166" s="353" t="b" cm="1">
        <f t="array" aca="1" ref="T166" ca="1">T165</f>
        <v>1</v>
      </c>
      <c r="X166" s="1078"/>
      <c r="Z166" s="1079"/>
      <c r="AB166" s="133" t="s">
        <v>631</v>
      </c>
      <c r="AC166" s="127" t="s">
        <v>1850</v>
      </c>
      <c r="AD166" s="7" t="s">
        <v>828</v>
      </c>
      <c r="AE166" s="128">
        <f ca="1">SUMIFS('ИП + источники'!AF$27:AF$145,'ИП + источники'!$F$27:$F$145,$F166,'ИП + источники'!$AC$27:$AC$145,"Прибыль на капвложения")</f>
        <v>0</v>
      </c>
      <c r="AF166" s="128">
        <f ca="1">SUMIFS('ИП + источники'!AG$27:AG$145,'ИП + источники'!$F$27:$F$145,$F166,'ИП + источники'!$AC$27:$AC$145,"Прибыль на капвложения")</f>
        <v>0</v>
      </c>
      <c r="AG166" s="128">
        <f ca="1">SUMIFS('ИП + источники'!AH$27:AH$145,'ИП + источники'!$F$27:$F$145,$F166,'ИП + источники'!$AC$27:$AC$145,"Прибыль на капвложения")</f>
        <v>0</v>
      </c>
      <c r="AH166" s="171">
        <f t="shared" ca="1" si="9"/>
        <v>0</v>
      </c>
      <c r="AI166" s="128">
        <f ca="1">SUMIFS('ИП + источники'!AJ$27:AJ$145,'ИП + источники'!$F$27:$F$145,$F166,'ИП + источники'!$AC$27:$AC$145,"Прибыль на капвложения")</f>
        <v>0</v>
      </c>
      <c r="AJ166" s="128">
        <f ca="1">SUMIFS('ИП + источники'!AK$27:AK$145,'ИП + источники'!$F$27:$F$145,$F166,'ИП + источники'!$AC$27:$AC$145,"Прибыль на капвложения")</f>
        <v>0</v>
      </c>
      <c r="AK166" s="128">
        <f ca="1">SUMIFS('ИП + источники'!AU$27:AU$145,'ИП + источники'!$F$27:$F$145,$F166,'ИП + источники'!$AC$27:$AC$145,"Прибыль на капвложения")</f>
        <v>0</v>
      </c>
      <c r="AL166" s="171">
        <f t="shared" ca="1" si="10"/>
        <v>0</v>
      </c>
      <c r="AM166" s="196"/>
      <c r="AN166" s="601" t="str">
        <f ca="1">IF(IFERROR(INDEX('ИП + источники'!$K$28:$L$145,MATCH($F166&amp;"2komm",'ИП + источники'!$K$28:$K$145,0),2),"")=0,"",IFERROR(INDEX('ИП + источники'!$K$28:$L$145,MATCH($F166&amp;"2komm",'ИП + источники'!$K$28:$K$145,0),2),""))</f>
        <v/>
      </c>
      <c r="AO166" s="196"/>
      <c r="AR166" s="694" t="s">
        <v>1851</v>
      </c>
    </row>
    <row r="167" spans="1:48" ht="21.75" customHeight="1" x14ac:dyDescent="0.25">
      <c r="E167" s="504">
        <v>22.5</v>
      </c>
      <c r="F167" s="3" t="str" cm="1">
        <f t="array" aca="1" ref="F167" ca="1">OFFSET(E167,-1,1)</f>
        <v>1</v>
      </c>
      <c r="I167" s="38" t="s">
        <v>597</v>
      </c>
      <c r="J167" s="38"/>
      <c r="K167" s="38"/>
      <c r="L167" s="38"/>
      <c r="M167" s="38"/>
      <c r="N167" s="38"/>
      <c r="O167" s="38"/>
      <c r="P167" s="38"/>
      <c r="Q167" s="38"/>
      <c r="R167" s="38"/>
      <c r="S167" s="38"/>
      <c r="T167" s="353" t="b" cm="1">
        <f t="array" aca="1" ref="T167" ca="1">T166</f>
        <v>1</v>
      </c>
      <c r="X167" s="1078"/>
      <c r="Z167" s="1079"/>
      <c r="AB167" s="133" t="s">
        <v>643</v>
      </c>
      <c r="AC167" s="127" t="s">
        <v>1852</v>
      </c>
      <c r="AD167" s="7" t="s">
        <v>828</v>
      </c>
      <c r="AE167" s="128"/>
      <c r="AF167" s="128"/>
      <c r="AG167" s="128"/>
      <c r="AH167" s="171"/>
      <c r="AI167" s="128"/>
      <c r="AJ167" s="128"/>
      <c r="AK167" s="128"/>
      <c r="AL167" s="171">
        <f t="shared" si="10"/>
        <v>0</v>
      </c>
      <c r="AM167" s="196"/>
      <c r="AN167" s="196"/>
      <c r="AO167" s="196"/>
      <c r="AR167" s="694" t="s">
        <v>1853</v>
      </c>
    </row>
    <row r="168" spans="1:48" s="867" customFormat="1" ht="21.75" hidden="1" customHeight="1" x14ac:dyDescent="0.25">
      <c r="A168" s="423"/>
      <c r="B168" s="423" t="b">
        <f>STATUS_GO="да"</f>
        <v>0</v>
      </c>
      <c r="C168" s="423"/>
      <c r="D168" s="423"/>
      <c r="E168" s="505">
        <v>22.5</v>
      </c>
      <c r="F168" s="3" t="str" cm="1">
        <f t="array" aca="1" ref="F168" ca="1">OFFSET(E168,-1,1)</f>
        <v>1</v>
      </c>
      <c r="G168" s="423"/>
      <c r="H168" s="423"/>
      <c r="I168" s="154" t="s">
        <v>601</v>
      </c>
      <c r="J168" s="154"/>
      <c r="K168" s="154"/>
      <c r="L168" s="154"/>
      <c r="M168" s="154"/>
      <c r="N168" s="154"/>
      <c r="O168" s="154"/>
      <c r="P168" s="154"/>
      <c r="Q168" s="154"/>
      <c r="R168" s="154"/>
      <c r="S168" s="154"/>
      <c r="T168" s="353" t="b" cm="1">
        <f t="array" aca="1" ref="T168" ca="1">T167</f>
        <v>1</v>
      </c>
      <c r="U168" s="423"/>
      <c r="V168" s="423"/>
      <c r="W168" s="423"/>
      <c r="X168" s="1078"/>
      <c r="Y168" s="423"/>
      <c r="Z168" s="1079"/>
      <c r="AA168" s="423"/>
      <c r="AB168" s="131" t="s">
        <v>768</v>
      </c>
      <c r="AC168" s="132" t="s">
        <v>1854</v>
      </c>
      <c r="AD168" s="124" t="s">
        <v>828</v>
      </c>
      <c r="AE168" s="138"/>
      <c r="AF168" s="138"/>
      <c r="AG168" s="138"/>
      <c r="AH168" s="126">
        <f>AG168-AF168</f>
        <v>0</v>
      </c>
      <c r="AI168" s="138"/>
      <c r="AJ168" s="774"/>
      <c r="AK168" s="774"/>
      <c r="AL168" s="126">
        <f t="shared" si="10"/>
        <v>0</v>
      </c>
      <c r="AM168" s="777"/>
      <c r="AN168" s="777"/>
      <c r="AO168" s="777"/>
      <c r="AP168" s="423"/>
      <c r="AQ168" s="423"/>
      <c r="AR168" s="695" t="s">
        <v>1855</v>
      </c>
      <c r="AS168" s="695"/>
      <c r="AT168" s="695"/>
      <c r="AU168" s="505"/>
      <c r="AV168" s="505"/>
    </row>
    <row r="169" spans="1:48" ht="14.25" customHeight="1" x14ac:dyDescent="0.25">
      <c r="E169" s="504">
        <v>15</v>
      </c>
      <c r="F169" s="3" t="str" cm="1">
        <f t="array" aca="1" ref="F169" ca="1">OFFSET(E169,-1,1)</f>
        <v>1</v>
      </c>
      <c r="I169" s="38" t="s">
        <v>609</v>
      </c>
      <c r="J169" s="38"/>
      <c r="K169" s="38"/>
      <c r="L169" s="38"/>
      <c r="M169" s="38"/>
      <c r="N169" s="38"/>
      <c r="O169" s="38"/>
      <c r="P169" s="38"/>
      <c r="Q169" s="38"/>
      <c r="R169" s="38"/>
      <c r="S169" s="38"/>
      <c r="T169" s="353" t="b" cm="1">
        <f t="array" aca="1" ref="T169" ca="1">T168</f>
        <v>1</v>
      </c>
      <c r="X169" s="1078"/>
      <c r="Z169" s="1079"/>
      <c r="AB169" s="133" t="s">
        <v>771</v>
      </c>
      <c r="AC169" s="346" t="s">
        <v>1472</v>
      </c>
      <c r="AD169" s="7" t="s">
        <v>828</v>
      </c>
      <c r="AE169" s="128"/>
      <c r="AF169" s="128"/>
      <c r="AG169" s="128"/>
      <c r="AH169" s="171"/>
      <c r="AI169" s="129"/>
      <c r="AJ169" s="129"/>
      <c r="AK169" s="129"/>
      <c r="AL169" s="171">
        <f t="shared" si="10"/>
        <v>0</v>
      </c>
      <c r="AM169" s="196"/>
      <c r="AN169" s="196"/>
      <c r="AO169" s="196"/>
      <c r="AR169" s="694" t="s">
        <v>1856</v>
      </c>
    </row>
    <row r="170" spans="1:48" ht="101.25" hidden="1" customHeight="1" x14ac:dyDescent="0.25">
      <c r="E170" s="504">
        <v>0</v>
      </c>
      <c r="F170" s="3" t="str" cm="1">
        <f t="array" aca="1" ref="F170" ca="1">OFFSET(E170,-1,1)</f>
        <v>1</v>
      </c>
      <c r="H170" s="38" t="b">
        <f>ISERR(SEARCH("Водоснабжение",AB112))</f>
        <v>0</v>
      </c>
      <c r="I170" s="38" t="s">
        <v>767</v>
      </c>
      <c r="J170" s="38"/>
      <c r="K170" s="38"/>
      <c r="L170" s="38"/>
      <c r="M170" s="38"/>
      <c r="N170" s="38"/>
      <c r="O170" s="38"/>
      <c r="P170" s="38"/>
      <c r="Q170" s="38"/>
      <c r="R170" s="38"/>
      <c r="S170" s="38"/>
      <c r="T170" s="353" t="b" cm="1">
        <f t="array" aca="1" ref="T170" ca="1">T169</f>
        <v>1</v>
      </c>
      <c r="X170" s="1078"/>
      <c r="Z170" s="1079"/>
      <c r="AB170" s="133" t="s">
        <v>1098</v>
      </c>
      <c r="AC170" s="346" t="s">
        <v>1857</v>
      </c>
      <c r="AD170" s="9" t="s">
        <v>828</v>
      </c>
      <c r="AE170" s="128"/>
      <c r="AF170" s="128"/>
      <c r="AG170" s="128"/>
      <c r="AH170" s="171">
        <f t="shared" ref="AH170:AH185" si="11">AG170-AF170</f>
        <v>0</v>
      </c>
      <c r="AI170" s="128"/>
      <c r="AJ170" s="778"/>
      <c r="AK170" s="778">
        <f ca="1">IFERROR(SUMIFS('Плата за негативное возд'!$AL$25:$AL$38,'Плата за негативное возд'!$F$25:$F$38,F170,'Плата за негативное возд'!$G$25:$G$38,"1"),0)</f>
        <v>0</v>
      </c>
      <c r="AL170" s="171">
        <f t="shared" si="10"/>
        <v>0</v>
      </c>
      <c r="AM170" s="775"/>
      <c r="AN170" s="775"/>
      <c r="AO170" s="775"/>
      <c r="AR170" s="694" t="s">
        <v>1374</v>
      </c>
    </row>
    <row r="171" spans="1:48" ht="67.5" hidden="1" customHeight="1" x14ac:dyDescent="0.25">
      <c r="E171" s="504">
        <v>0</v>
      </c>
      <c r="F171" s="3" t="str" cm="1">
        <f t="array" aca="1" ref="F171" ca="1">OFFSET(E171,-1,1)</f>
        <v>1</v>
      </c>
      <c r="H171" s="38" t="b">
        <f>ISERR(SEARCH("Водоснабжение",AB112))</f>
        <v>0</v>
      </c>
      <c r="I171" s="38" t="s">
        <v>770</v>
      </c>
      <c r="J171" s="38"/>
      <c r="K171" s="38"/>
      <c r="L171" s="38"/>
      <c r="M171" s="38"/>
      <c r="N171" s="38"/>
      <c r="O171" s="38"/>
      <c r="P171" s="38"/>
      <c r="Q171" s="38"/>
      <c r="R171" s="38"/>
      <c r="S171" s="38"/>
      <c r="T171" s="353" t="b" cm="1">
        <f t="array" aca="1" ref="T171" ca="1">T170</f>
        <v>1</v>
      </c>
      <c r="X171" s="1078"/>
      <c r="Z171" s="1079"/>
      <c r="AB171" s="133" t="s">
        <v>1858</v>
      </c>
      <c r="AC171" s="346" t="s">
        <v>1859</v>
      </c>
      <c r="AD171" s="9" t="s">
        <v>828</v>
      </c>
      <c r="AE171" s="128"/>
      <c r="AF171" s="128"/>
      <c r="AG171" s="128"/>
      <c r="AH171" s="171">
        <f t="shared" si="11"/>
        <v>0</v>
      </c>
      <c r="AI171" s="128"/>
      <c r="AJ171" s="778"/>
      <c r="AK171" s="778">
        <f ca="1">IFERROR(SUMIFS('Плата за негативное возд'!$AL$25:$AL$38,'Плата за негативное возд'!$F$25:$F$38,F171,'Плата за негативное возд'!$G$25:$G$38,"2"),0)</f>
        <v>0</v>
      </c>
      <c r="AL171" s="171">
        <f t="shared" si="10"/>
        <v>0</v>
      </c>
      <c r="AM171" s="775"/>
      <c r="AN171" s="775"/>
      <c r="AO171" s="775"/>
      <c r="AR171" s="694" t="s">
        <v>1378</v>
      </c>
    </row>
    <row r="172" spans="1:48" ht="14.25" customHeight="1" x14ac:dyDescent="0.25">
      <c r="E172" s="504">
        <v>15</v>
      </c>
      <c r="F172" s="3" t="str" cm="1">
        <f t="array" aca="1" ref="F172" ca="1">OFFSET(E172,-1,1)</f>
        <v>1</v>
      </c>
      <c r="I172" s="38" t="s">
        <v>806</v>
      </c>
      <c r="J172" s="38"/>
      <c r="K172" s="38"/>
      <c r="L172" s="38"/>
      <c r="M172" s="38"/>
      <c r="N172" s="38"/>
      <c r="O172" s="38"/>
      <c r="P172" s="38"/>
      <c r="Q172" s="38"/>
      <c r="R172" s="38"/>
      <c r="S172" s="38"/>
      <c r="T172" s="353" t="b" cm="1">
        <f t="array" aca="1" ref="T172" ca="1">T171</f>
        <v>1</v>
      </c>
      <c r="X172" s="1078"/>
      <c r="Z172" s="1079"/>
      <c r="AB172" s="133" t="s">
        <v>1860</v>
      </c>
      <c r="AC172" s="246" t="s">
        <v>1861</v>
      </c>
      <c r="AD172" s="7" t="s">
        <v>828</v>
      </c>
      <c r="AE172" s="128"/>
      <c r="AF172" s="128"/>
      <c r="AG172" s="128"/>
      <c r="AH172" s="171">
        <f t="shared" si="11"/>
        <v>0</v>
      </c>
      <c r="AI172" s="128"/>
      <c r="AJ172" s="128"/>
      <c r="AK172" s="128"/>
      <c r="AL172" s="171">
        <f t="shared" si="10"/>
        <v>0</v>
      </c>
      <c r="AM172" s="196"/>
      <c r="AN172" s="196"/>
      <c r="AO172" s="196"/>
      <c r="AR172" s="694" t="s">
        <v>1253</v>
      </c>
    </row>
    <row r="173" spans="1:48" s="867" customFormat="1" ht="21.75" customHeight="1" x14ac:dyDescent="0.25">
      <c r="A173" s="423"/>
      <c r="B173" s="423"/>
      <c r="C173" s="423"/>
      <c r="D173" s="423"/>
      <c r="E173" s="505">
        <v>22.5</v>
      </c>
      <c r="F173" s="3" t="str" cm="1">
        <f t="array" aca="1" ref="F173" ca="1">OFFSET(E173,-1,1)</f>
        <v>1</v>
      </c>
      <c r="G173" s="423"/>
      <c r="H173" s="423"/>
      <c r="I173" s="154" t="s">
        <v>807</v>
      </c>
      <c r="J173" s="154"/>
      <c r="K173" s="154"/>
      <c r="L173" s="154"/>
      <c r="M173" s="154"/>
      <c r="N173" s="154"/>
      <c r="O173" s="154"/>
      <c r="P173" s="154"/>
      <c r="Q173" s="154"/>
      <c r="R173" s="154"/>
      <c r="S173" s="154"/>
      <c r="T173" s="353" t="b" cm="1">
        <f t="array" aca="1" ref="T173" ca="1">T172</f>
        <v>1</v>
      </c>
      <c r="U173" s="423"/>
      <c r="V173" s="423"/>
      <c r="W173" s="423"/>
      <c r="X173" s="1078"/>
      <c r="Y173" s="423"/>
      <c r="Z173" s="1079"/>
      <c r="AA173" s="423"/>
      <c r="AB173" s="131" t="s">
        <v>1862</v>
      </c>
      <c r="AC173" s="125" t="s">
        <v>1863</v>
      </c>
      <c r="AD173" s="124" t="s">
        <v>828</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6"/>
      <c r="AN173" s="556"/>
      <c r="AO173" s="556"/>
      <c r="AP173" s="423"/>
      <c r="AQ173" s="423"/>
      <c r="AR173" s="695" t="s">
        <v>1555</v>
      </c>
      <c r="AS173" s="695"/>
      <c r="AT173" s="695"/>
      <c r="AU173" s="505"/>
      <c r="AV173" s="505"/>
    </row>
    <row r="174" spans="1:48" ht="21.75" customHeight="1" x14ac:dyDescent="0.25">
      <c r="E174" s="504">
        <v>22.5</v>
      </c>
      <c r="F174" s="3" t="str" cm="1">
        <f t="array" aca="1" ref="F174" ca="1">OFFSET(E174,-1,1)</f>
        <v>1</v>
      </c>
      <c r="I174" s="38" t="s">
        <v>1864</v>
      </c>
      <c r="J174" s="38"/>
      <c r="K174" s="38"/>
      <c r="L174" s="38"/>
      <c r="M174" s="38"/>
      <c r="N174" s="38"/>
      <c r="O174" s="38"/>
      <c r="P174" s="38"/>
      <c r="Q174" s="38"/>
      <c r="R174" s="38"/>
      <c r="S174" s="38"/>
      <c r="T174" s="353" t="b" cm="1">
        <f t="array" aca="1" ref="T174" ca="1">T173</f>
        <v>1</v>
      </c>
      <c r="X174" s="1078"/>
      <c r="Z174" s="1079"/>
      <c r="AB174" s="133" t="s">
        <v>1865</v>
      </c>
      <c r="AC174" s="550" t="s">
        <v>1556</v>
      </c>
      <c r="AD174" s="7" t="s">
        <v>828</v>
      </c>
      <c r="AE174" s="128"/>
      <c r="AF174" s="128"/>
      <c r="AG174" s="128"/>
      <c r="AH174" s="171">
        <f t="shared" si="11"/>
        <v>0</v>
      </c>
      <c r="AI174" s="128"/>
      <c r="AJ174" s="128"/>
      <c r="AK174" s="128"/>
      <c r="AL174" s="171">
        <f t="shared" si="10"/>
        <v>0</v>
      </c>
      <c r="AM174" s="196"/>
      <c r="AN174" s="196"/>
      <c r="AO174" s="196"/>
      <c r="AR174" s="694" t="s">
        <v>1594</v>
      </c>
    </row>
    <row r="175" spans="1:48" ht="21.75" customHeight="1" x14ac:dyDescent="0.25">
      <c r="E175" s="504">
        <v>22.5</v>
      </c>
      <c r="F175" s="3" t="str" cm="1">
        <f t="array" aca="1" ref="F175" ca="1">OFFSET(E175,-1,1)</f>
        <v>1</v>
      </c>
      <c r="I175" s="38" t="s">
        <v>1866</v>
      </c>
      <c r="J175" s="38"/>
      <c r="K175" s="38"/>
      <c r="L175" s="38"/>
      <c r="M175" s="38"/>
      <c r="N175" s="38"/>
      <c r="O175" s="38"/>
      <c r="P175" s="38"/>
      <c r="Q175" s="38"/>
      <c r="R175" s="38"/>
      <c r="S175" s="38"/>
      <c r="T175" s="353" t="b" cm="1">
        <f t="array" aca="1" ref="T175" ca="1">T174</f>
        <v>1</v>
      </c>
      <c r="X175" s="1078"/>
      <c r="Z175" s="1079"/>
      <c r="AB175" s="133" t="s">
        <v>1867</v>
      </c>
      <c r="AC175" s="550" t="s">
        <v>1558</v>
      </c>
      <c r="AD175" s="7" t="s">
        <v>828</v>
      </c>
      <c r="AE175" s="128"/>
      <c r="AF175" s="128"/>
      <c r="AG175" s="128"/>
      <c r="AH175" s="171">
        <f t="shared" si="11"/>
        <v>0</v>
      </c>
      <c r="AI175" s="128"/>
      <c r="AJ175" s="128"/>
      <c r="AK175" s="128"/>
      <c r="AL175" s="171">
        <f t="shared" si="10"/>
        <v>0</v>
      </c>
      <c r="AM175" s="196"/>
      <c r="AN175" s="196"/>
      <c r="AO175" s="196"/>
      <c r="AR175" s="694" t="s">
        <v>1868</v>
      </c>
    </row>
    <row r="176" spans="1:48" ht="14.25" customHeight="1" x14ac:dyDescent="0.25">
      <c r="E176" s="504">
        <v>15</v>
      </c>
      <c r="F176" s="3" t="str" cm="1">
        <f t="array" aca="1" ref="F176" ca="1">OFFSET(E176,-1,1)</f>
        <v>1</v>
      </c>
      <c r="I176" s="38" t="s">
        <v>1869</v>
      </c>
      <c r="J176" s="38"/>
      <c r="K176" s="38"/>
      <c r="L176" s="38"/>
      <c r="M176" s="38"/>
      <c r="N176" s="38"/>
      <c r="O176" s="38"/>
      <c r="P176" s="38"/>
      <c r="Q176" s="38"/>
      <c r="R176" s="38"/>
      <c r="S176" s="38"/>
      <c r="T176" s="353" t="b" cm="1">
        <f t="array" aca="1" ref="T176" ca="1">T175</f>
        <v>1</v>
      </c>
      <c r="X176" s="1078"/>
      <c r="Z176" s="1079"/>
      <c r="AB176" s="551" t="s">
        <v>340</v>
      </c>
      <c r="AC176" s="557" t="s">
        <v>1560</v>
      </c>
      <c r="AD176" s="7" t="s">
        <v>828</v>
      </c>
      <c r="AE176" s="128"/>
      <c r="AF176" s="128"/>
      <c r="AG176" s="128"/>
      <c r="AH176" s="171">
        <f t="shared" si="11"/>
        <v>0</v>
      </c>
      <c r="AI176" s="128"/>
      <c r="AJ176" s="128"/>
      <c r="AK176" s="128"/>
      <c r="AL176" s="171">
        <f t="shared" si="10"/>
        <v>0</v>
      </c>
      <c r="AM176" s="196"/>
      <c r="AN176" s="196"/>
      <c r="AO176" s="196"/>
      <c r="AR176" s="694" t="s">
        <v>1561</v>
      </c>
    </row>
    <row r="177" spans="1:48" ht="14.25" customHeight="1" x14ac:dyDescent="0.25">
      <c r="E177" s="504">
        <v>15</v>
      </c>
      <c r="F177" s="3" t="str" cm="1">
        <f t="array" aca="1" ref="F177" ca="1">OFFSET(E177,-1,1)</f>
        <v>1</v>
      </c>
      <c r="I177" s="38" t="s">
        <v>1870</v>
      </c>
      <c r="J177" s="38"/>
      <c r="K177" s="38"/>
      <c r="L177" s="38"/>
      <c r="M177" s="38"/>
      <c r="N177" s="38"/>
      <c r="O177" s="38"/>
      <c r="P177" s="38"/>
      <c r="Q177" s="38"/>
      <c r="R177" s="38"/>
      <c r="S177" s="38"/>
      <c r="T177" s="353" t="b" cm="1">
        <f t="array" aca="1" ref="T177" ca="1">T176</f>
        <v>1</v>
      </c>
      <c r="X177" s="1078"/>
      <c r="Z177" s="1079"/>
      <c r="AB177" s="551" t="s">
        <v>1871</v>
      </c>
      <c r="AC177" s="557" t="s">
        <v>1562</v>
      </c>
      <c r="AD177" s="7" t="s">
        <v>828</v>
      </c>
      <c r="AE177" s="128"/>
      <c r="AF177" s="128"/>
      <c r="AG177" s="128"/>
      <c r="AH177" s="171">
        <f t="shared" si="11"/>
        <v>0</v>
      </c>
      <c r="AI177" s="128"/>
      <c r="AJ177" s="128"/>
      <c r="AK177" s="128"/>
      <c r="AL177" s="171">
        <f t="shared" si="10"/>
        <v>0</v>
      </c>
      <c r="AM177" s="196"/>
      <c r="AN177" s="196"/>
      <c r="AO177" s="196"/>
      <c r="AR177" s="694" t="s">
        <v>1563</v>
      </c>
    </row>
    <row r="178" spans="1:48" s="867" customFormat="1" ht="14.25" customHeight="1" x14ac:dyDescent="0.25">
      <c r="A178" s="423"/>
      <c r="B178" s="423"/>
      <c r="C178" s="423"/>
      <c r="D178" s="423"/>
      <c r="E178" s="505">
        <v>15</v>
      </c>
      <c r="F178" s="3" t="str" cm="1">
        <f t="array" aca="1" ref="F178" ca="1">OFFSET(E178,-1,1)</f>
        <v>1</v>
      </c>
      <c r="G178" s="423"/>
      <c r="H178" s="423"/>
      <c r="I178" s="154" t="s">
        <v>1872</v>
      </c>
      <c r="J178" s="154"/>
      <c r="K178" s="154"/>
      <c r="L178" s="154"/>
      <c r="M178" s="154"/>
      <c r="N178" s="154"/>
      <c r="O178" s="154"/>
      <c r="P178" s="154"/>
      <c r="Q178" s="154"/>
      <c r="R178" s="154"/>
      <c r="S178" s="154"/>
      <c r="T178" s="353" t="b" cm="1">
        <f t="array" aca="1" ref="T178" ca="1">T177</f>
        <v>1</v>
      </c>
      <c r="U178" s="423"/>
      <c r="V178" s="423"/>
      <c r="W178" s="423"/>
      <c r="X178" s="1078"/>
      <c r="Y178" s="423"/>
      <c r="Z178" s="1079"/>
      <c r="AA178" s="423"/>
      <c r="AB178" s="131" t="s">
        <v>1873</v>
      </c>
      <c r="AC178" s="125" t="s">
        <v>1874</v>
      </c>
      <c r="AD178" s="124" t="s">
        <v>828</v>
      </c>
      <c r="AE178" s="126">
        <f ca="1">AE113+AE141+AE146+AE159+AE160+AE162+AE163+AE164+AE168+AE169-AE170-AE171+AE172-AE173+AE176+AE177</f>
        <v>44230.4076067278</v>
      </c>
      <c r="AF178" s="126">
        <f ca="1">AF113+AF141+AF146+AF159+AF160+AF162+AF163+AF164+AF168+AF169-AF170-AF171+AF172-AF173+AF176+AF177</f>
        <v>49563.695087492197</v>
      </c>
      <c r="AG178" s="126">
        <f ca="1">AG113+AG141+AG146+AG159+AG160+AG162+AG163+AG164+AG168+AG169-AG170-AG171+AG172-AG173+AG176+AG177</f>
        <v>47612.461153698197</v>
      </c>
      <c r="AH178" s="126">
        <f t="shared" ca="1" si="11"/>
        <v>-1951.2339337939993</v>
      </c>
      <c r="AI178" s="126">
        <f ca="1">AI113+AI141+AI146+AI159+AI160+AI162+AI163+AI164+AI168+AI169-AI170-AI171+AI172-AI173+AI176+AI177</f>
        <v>55562.827643960001</v>
      </c>
      <c r="AJ178" s="126">
        <f ca="1">AJ113+AJ141+AJ146+AJ159+AJ160+AJ162+AJ163+AJ164+AJ168+AJ169-AJ170-AJ171+AJ172-AJ173+AJ176+AJ177</f>
        <v>72051.520992699006</v>
      </c>
      <c r="AK178" s="126">
        <f ca="1">AK113+AK141+AK146+AK159+AK160+AK162+AK163+AK164+AK168+AK169-AK170-AK171+AK172-AK173+AK176+AK177</f>
        <v>58799.886234689096</v>
      </c>
      <c r="AL178" s="126">
        <f t="shared" ca="1" si="10"/>
        <v>5.8259428614248758</v>
      </c>
      <c r="AM178" s="556"/>
      <c r="AN178" s="556"/>
      <c r="AO178" s="556"/>
      <c r="AP178" s="423"/>
      <c r="AQ178" s="423"/>
      <c r="AR178" s="695" t="s">
        <v>1875</v>
      </c>
      <c r="AS178" s="695"/>
      <c r="AT178" s="695"/>
      <c r="AU178" s="505"/>
      <c r="AV178" s="505"/>
    </row>
    <row r="179" spans="1:48" ht="15" hidden="1" customHeight="1" x14ac:dyDescent="0.25">
      <c r="B179" s="278" t="b">
        <f>G112="двухставочный"</f>
        <v>0</v>
      </c>
      <c r="E179" s="504">
        <v>0</v>
      </c>
      <c r="F179" s="3" t="str" cm="1">
        <f t="array" aca="1" ref="F179" ca="1">OFFSET(E179,-1,1)</f>
        <v>1</v>
      </c>
      <c r="I179" s="38" t="s">
        <v>1876</v>
      </c>
      <c r="J179" s="38"/>
      <c r="K179" s="38"/>
      <c r="L179" s="38"/>
      <c r="M179" s="38"/>
      <c r="N179" s="38"/>
      <c r="O179" s="38"/>
      <c r="P179" s="38"/>
      <c r="Q179" s="38"/>
      <c r="R179" s="38"/>
      <c r="S179" s="38"/>
      <c r="T179" s="353" t="b" cm="1">
        <f t="array" aca="1" ref="T179" ca="1">T178</f>
        <v>1</v>
      </c>
      <c r="X179" s="1078"/>
      <c r="Z179" s="1079"/>
      <c r="AB179" s="133" t="s">
        <v>1877</v>
      </c>
      <c r="AC179" s="550" t="s">
        <v>1878</v>
      </c>
      <c r="AD179" s="7" t="s">
        <v>828</v>
      </c>
      <c r="AE179" s="128"/>
      <c r="AF179" s="128"/>
      <c r="AG179" s="128"/>
      <c r="AH179" s="171">
        <f t="shared" si="11"/>
        <v>0</v>
      </c>
      <c r="AI179" s="128"/>
      <c r="AJ179" s="778"/>
      <c r="AK179" s="778"/>
      <c r="AL179" s="171">
        <f t="shared" si="10"/>
        <v>0</v>
      </c>
      <c r="AM179" s="775"/>
      <c r="AN179" s="775"/>
      <c r="AO179" s="775"/>
      <c r="AR179" s="694" t="s">
        <v>1879</v>
      </c>
    </row>
    <row r="180" spans="1:48" ht="15" hidden="1" customHeight="1" x14ac:dyDescent="0.25">
      <c r="B180" s="278" t="b">
        <f>G112="двухставочный"</f>
        <v>0</v>
      </c>
      <c r="E180" s="504">
        <v>0</v>
      </c>
      <c r="F180" s="3" t="str" cm="1">
        <f t="array" aca="1" ref="F180" ca="1">OFFSET(E180,-1,1)</f>
        <v>1</v>
      </c>
      <c r="I180" s="38" t="s">
        <v>1880</v>
      </c>
      <c r="J180" s="38"/>
      <c r="K180" s="38"/>
      <c r="L180" s="38"/>
      <c r="M180" s="38"/>
      <c r="N180" s="38"/>
      <c r="O180" s="38"/>
      <c r="P180" s="38"/>
      <c r="Q180" s="38"/>
      <c r="R180" s="38"/>
      <c r="S180" s="38"/>
      <c r="T180" s="353" t="b" cm="1">
        <f t="array" aca="1" ref="T180" ca="1">T179</f>
        <v>1</v>
      </c>
      <c r="X180" s="1078"/>
      <c r="Z180" s="1079"/>
      <c r="AB180" s="133" t="s">
        <v>1881</v>
      </c>
      <c r="AC180" s="550" t="s">
        <v>1882</v>
      </c>
      <c r="AD180" s="7" t="s">
        <v>828</v>
      </c>
      <c r="AE180" s="128"/>
      <c r="AF180" s="128"/>
      <c r="AG180" s="128"/>
      <c r="AH180" s="171">
        <f t="shared" si="11"/>
        <v>0</v>
      </c>
      <c r="AI180" s="128"/>
      <c r="AJ180" s="778"/>
      <c r="AK180" s="778"/>
      <c r="AL180" s="171">
        <f t="shared" si="10"/>
        <v>0</v>
      </c>
      <c r="AM180" s="775"/>
      <c r="AN180" s="775"/>
      <c r="AO180" s="775"/>
      <c r="AR180" s="694" t="s">
        <v>1883</v>
      </c>
    </row>
    <row r="181" spans="1:48" s="867" customFormat="1" ht="14.25" customHeight="1" x14ac:dyDescent="0.25">
      <c r="A181" s="423"/>
      <c r="B181" s="423"/>
      <c r="C181" s="423"/>
      <c r="D181" s="423"/>
      <c r="E181" s="505">
        <v>15</v>
      </c>
      <c r="F181" s="3" t="str" cm="1">
        <f t="array" aca="1" ref="F181" ca="1">OFFSET(E181,-1,1)</f>
        <v>1</v>
      </c>
      <c r="G181" s="72" t="s">
        <v>1653</v>
      </c>
      <c r="H181" s="423"/>
      <c r="I181" s="154" t="s">
        <v>1884</v>
      </c>
      <c r="J181" s="154"/>
      <c r="K181" s="154"/>
      <c r="L181" s="154"/>
      <c r="M181" s="154"/>
      <c r="N181" s="154"/>
      <c r="O181" s="154"/>
      <c r="P181" s="154"/>
      <c r="Q181" s="154"/>
      <c r="R181" s="154"/>
      <c r="S181" s="154"/>
      <c r="T181" s="353" t="b" cm="1">
        <f t="array" aca="1" ref="T181" ca="1">T180</f>
        <v>1</v>
      </c>
      <c r="U181" s="423"/>
      <c r="V181" s="423"/>
      <c r="W181" s="423"/>
      <c r="X181" s="1078"/>
      <c r="Y181" s="423"/>
      <c r="Z181" s="1079"/>
      <c r="AA181" s="423"/>
      <c r="AB181" s="131" t="s">
        <v>1885</v>
      </c>
      <c r="AC181" s="125" t="s">
        <v>1886</v>
      </c>
      <c r="AD181" s="124" t="s">
        <v>558</v>
      </c>
      <c r="AE181" s="552">
        <f ca="1">SUMIFS(Баланс!AE$26:AE$391,Баланс!$F$26:$F$391,$F181,Баланс!$G$26:$G$391,"ПО")</f>
        <v>17161.565999999999</v>
      </c>
      <c r="AF181" s="552">
        <f ca="1">SUMIFS(Баланс!AF$26:AF$391,Баланс!$F$26:$F$391,$F181,Баланс!$G$26:$G$391,"ПО")</f>
        <v>17945.460999999999</v>
      </c>
      <c r="AG181" s="552">
        <f ca="1">SUMIFS(Баланс!AG$26:AG$391,Баланс!$F$26:$F$391,$F181,Баланс!$G$26:$G$391,"ПО")</f>
        <v>17945.460999999999</v>
      </c>
      <c r="AH181" s="552">
        <f t="shared" ca="1" si="11"/>
        <v>0</v>
      </c>
      <c r="AI181" s="552">
        <f ca="1">SUMIFS(Баланс!AH$26:AH$391,Баланс!$F$26:$F$391,$F181,Баланс!$G$26:$G$391,"ПО")</f>
        <v>20279.261910000001</v>
      </c>
      <c r="AJ181" s="552">
        <f ca="1">SUMIFS(Баланс!AI$26:AI$391,Баланс!$F$26:$F$391,$F181,Баланс!$G$26:$G$391,"ПО")</f>
        <v>22004.04</v>
      </c>
      <c r="AK181" s="552">
        <f ca="1">SUMIFS(Баланс!AS$26:AS$391,Баланс!$F$26:$F$391,$F181,Баланс!$G$26:$G$391,"ПО")</f>
        <v>19250.848000000002</v>
      </c>
      <c r="AL181" s="129"/>
      <c r="AM181" s="556"/>
      <c r="AN181" s="556"/>
      <c r="AO181" s="556"/>
      <c r="AP181" s="423"/>
      <c r="AQ181" s="423"/>
      <c r="AR181" s="695" t="s">
        <v>1887</v>
      </c>
      <c r="AS181" s="695"/>
      <c r="AT181" s="695"/>
      <c r="AU181" s="505"/>
      <c r="AV181" s="505"/>
    </row>
    <row r="182" spans="1:48" ht="14.25" customHeight="1" x14ac:dyDescent="0.25">
      <c r="E182" s="504">
        <v>15</v>
      </c>
      <c r="F182" s="3" t="str" cm="1">
        <f t="array" aca="1" ref="F182" ca="1">OFFSET(E182,-1,1)</f>
        <v>1</v>
      </c>
      <c r="G182" s="72" t="s">
        <v>1680</v>
      </c>
      <c r="I182" s="38" t="s">
        <v>1888</v>
      </c>
      <c r="J182" s="38"/>
      <c r="K182" s="38"/>
      <c r="L182" s="38"/>
      <c r="M182" s="38"/>
      <c r="N182" s="38"/>
      <c r="O182" s="38"/>
      <c r="P182" s="38"/>
      <c r="Q182" s="38"/>
      <c r="R182" s="38"/>
      <c r="S182" s="38"/>
      <c r="T182" s="353" t="b" cm="1">
        <f t="array" aca="1" ref="T182" ca="1">T181</f>
        <v>1</v>
      </c>
      <c r="X182" s="1078"/>
      <c r="Z182" s="1079"/>
      <c r="AB182" s="133" t="s">
        <v>1889</v>
      </c>
      <c r="AC182" s="127" t="s">
        <v>1890</v>
      </c>
      <c r="AD182" s="7" t="s">
        <v>558</v>
      </c>
      <c r="AE182" s="444">
        <f ca="1">AE181/2</f>
        <v>8580.7829999999994</v>
      </c>
      <c r="AF182" s="444">
        <f ca="1">AF181/2</f>
        <v>8972.7304999999997</v>
      </c>
      <c r="AG182" s="444">
        <f ca="1">AG181/2</f>
        <v>8972.7304999999997</v>
      </c>
      <c r="AH182" s="558">
        <f t="shared" ca="1" si="11"/>
        <v>0</v>
      </c>
      <c r="AI182" s="444">
        <f ca="1">AI181/2</f>
        <v>10139.630955000001</v>
      </c>
      <c r="AJ182" s="444">
        <f ca="1">IF(god=2026,AJ181/12*9,AJ181/2)</f>
        <v>16503.03</v>
      </c>
      <c r="AK182" s="444">
        <f ca="1">IF(god=2026,AK181/12*9,AK181/2)</f>
        <v>14438.136000000002</v>
      </c>
      <c r="AL182" s="542"/>
      <c r="AM182" s="196"/>
      <c r="AN182" s="196"/>
      <c r="AO182" s="196"/>
      <c r="AR182" s="694" t="s">
        <v>1891</v>
      </c>
    </row>
    <row r="183" spans="1:48" ht="14.25" customHeight="1" x14ac:dyDescent="0.25">
      <c r="E183" s="504">
        <v>15</v>
      </c>
      <c r="F183" s="3" t="str" cm="1">
        <f t="array" aca="1" ref="F183" ca="1">OFFSET(E183,-1,1)</f>
        <v>1</v>
      </c>
      <c r="G183" s="72" t="s">
        <v>1641</v>
      </c>
      <c r="I183" s="38" t="s">
        <v>1892</v>
      </c>
      <c r="J183" s="38"/>
      <c r="K183" s="38"/>
      <c r="L183" s="38"/>
      <c r="M183" s="38"/>
      <c r="N183" s="38"/>
      <c r="O183" s="38"/>
      <c r="P183" s="38"/>
      <c r="Q183" s="38"/>
      <c r="R183" s="38"/>
      <c r="S183" s="38"/>
      <c r="T183" s="353" t="b" cm="1">
        <f t="array" aca="1" ref="T183" ca="1">T182</f>
        <v>1</v>
      </c>
      <c r="X183" s="1078"/>
      <c r="Z183" s="1079"/>
      <c r="AB183" s="133" t="s">
        <v>1893</v>
      </c>
      <c r="AC183" s="127" t="s">
        <v>1894</v>
      </c>
      <c r="AD183" s="7" t="s">
        <v>1644</v>
      </c>
      <c r="AE183" s="128"/>
      <c r="AF183" s="128"/>
      <c r="AG183" s="128"/>
      <c r="AH183" s="171">
        <f t="shared" si="11"/>
        <v>0</v>
      </c>
      <c r="AI183" s="128"/>
      <c r="AJ183" s="128"/>
      <c r="AK183" s="128"/>
      <c r="AL183" s="542"/>
      <c r="AM183" s="196"/>
      <c r="AN183" s="196"/>
      <c r="AO183" s="196"/>
      <c r="AR183" s="694" t="s">
        <v>1895</v>
      </c>
    </row>
    <row r="184" spans="1:48" ht="14.25" customHeight="1" x14ac:dyDescent="0.25">
      <c r="E184" s="504">
        <v>15</v>
      </c>
      <c r="F184" s="3" t="str" cm="1">
        <f t="array" aca="1" ref="F184" ca="1">OFFSET(E184,-1,1)</f>
        <v>1</v>
      </c>
      <c r="G184" s="72" t="s">
        <v>1693</v>
      </c>
      <c r="I184" s="38" t="s">
        <v>1896</v>
      </c>
      <c r="J184" s="38"/>
      <c r="K184" s="38"/>
      <c r="L184" s="38"/>
      <c r="M184" s="38"/>
      <c r="N184" s="38"/>
      <c r="O184" s="38"/>
      <c r="P184" s="38"/>
      <c r="Q184" s="38"/>
      <c r="R184" s="38"/>
      <c r="S184" s="38"/>
      <c r="T184" s="353" t="b" cm="1">
        <f t="array" aca="1" ref="T184" ca="1">T183</f>
        <v>1</v>
      </c>
      <c r="X184" s="1078"/>
      <c r="Z184" s="1079"/>
      <c r="AB184" s="133" t="s">
        <v>1897</v>
      </c>
      <c r="AC184" s="127" t="s">
        <v>1898</v>
      </c>
      <c r="AD184" s="7" t="s">
        <v>558</v>
      </c>
      <c r="AE184" s="558">
        <f ca="1">AE181-AE182</f>
        <v>8580.7829999999994</v>
      </c>
      <c r="AF184" s="558">
        <f ca="1">AF181-AF182</f>
        <v>8972.7304999999997</v>
      </c>
      <c r="AG184" s="558">
        <f ca="1">AG181-AG182</f>
        <v>8972.7304999999997</v>
      </c>
      <c r="AH184" s="558">
        <f t="shared" ca="1" si="11"/>
        <v>0</v>
      </c>
      <c r="AI184" s="558">
        <f ca="1">AI181-AI182</f>
        <v>10139.630955000001</v>
      </c>
      <c r="AJ184" s="558">
        <f ca="1">AJ181-AJ182</f>
        <v>5501.010000000002</v>
      </c>
      <c r="AK184" s="558">
        <f ca="1">AK181-AK182</f>
        <v>4812.7119999999995</v>
      </c>
      <c r="AL184" s="542"/>
      <c r="AM184" s="196"/>
      <c r="AN184" s="196"/>
      <c r="AO184" s="196"/>
      <c r="AR184" s="694" t="s">
        <v>1899</v>
      </c>
    </row>
    <row r="185" spans="1:48" ht="14.25" customHeight="1" x14ac:dyDescent="0.25">
      <c r="E185" s="504">
        <v>15</v>
      </c>
      <c r="F185" s="3" t="str" cm="1">
        <f t="array" aca="1" ref="F185" ca="1">OFFSET(E185,-1,1)</f>
        <v>1</v>
      </c>
      <c r="G185" s="72" t="s">
        <v>1646</v>
      </c>
      <c r="I185" s="38" t="s">
        <v>1900</v>
      </c>
      <c r="J185" s="38"/>
      <c r="K185" s="38"/>
      <c r="L185" s="38"/>
      <c r="M185" s="38"/>
      <c r="N185" s="38"/>
      <c r="O185" s="38"/>
      <c r="P185" s="38"/>
      <c r="Q185" s="38"/>
      <c r="R185" s="38"/>
      <c r="S185" s="38"/>
      <c r="T185" s="353" t="b" cm="1">
        <f t="array" aca="1" ref="T185" ca="1">T184</f>
        <v>1</v>
      </c>
      <c r="X185" s="1078"/>
      <c r="Z185" s="1079"/>
      <c r="AB185" s="133" t="s">
        <v>1901</v>
      </c>
      <c r="AC185" s="127" t="s">
        <v>1902</v>
      </c>
      <c r="AD185" s="7" t="s">
        <v>1644</v>
      </c>
      <c r="AE185" s="128">
        <f ca="1">IF(AE184=0,0,(AE178-AE182*AE183)/AE184)</f>
        <v>5.1545887603413121</v>
      </c>
      <c r="AF185" s="128">
        <f ca="1">IF(AF184=0,0,(AF178-AF182*AF183)/AF184)</f>
        <v>5.5238140817326675</v>
      </c>
      <c r="AG185" s="128">
        <f ca="1">IF(AG184=0,0,(AG178-AG182*AG183)/AG184)</f>
        <v>5.3063514115015709</v>
      </c>
      <c r="AH185" s="171">
        <f t="shared" ca="1" si="11"/>
        <v>-0.21746267023109667</v>
      </c>
      <c r="AI185" s="128">
        <f ca="1">IF(AI184=0,0,(AI178-AI182*AI183)/AI184)</f>
        <v>5.4797682371823555</v>
      </c>
      <c r="AJ185" s="128">
        <f ca="1">IF(AJ184=0,0,(AJ178-AJ182*AJ183)/AJ184)</f>
        <v>13.097871298670423</v>
      </c>
      <c r="AK185" s="128">
        <f ca="1">IF(AK184=0,0,(AK178-AK182*AK183)/AK184)</f>
        <v>12.217619968676518</v>
      </c>
      <c r="AL185" s="542"/>
      <c r="AM185" s="196"/>
      <c r="AN185" s="196"/>
      <c r="AO185" s="196"/>
      <c r="AR185" s="694" t="s">
        <v>1903</v>
      </c>
    </row>
    <row r="186" spans="1:48" ht="14.25" customHeight="1" x14ac:dyDescent="0.25">
      <c r="E186" s="504">
        <v>15</v>
      </c>
      <c r="F186" s="3" t="str" cm="1">
        <f t="array" aca="1" ref="F186" ca="1">OFFSET(E186,-1,1)</f>
        <v>1</v>
      </c>
      <c r="G186" s="72"/>
      <c r="I186" s="38" t="s">
        <v>1904</v>
      </c>
      <c r="J186" s="38"/>
      <c r="K186" s="38"/>
      <c r="L186" s="38"/>
      <c r="M186" s="38"/>
      <c r="N186" s="38"/>
      <c r="O186" s="38"/>
      <c r="P186" s="38"/>
      <c r="Q186" s="38"/>
      <c r="R186" s="38"/>
      <c r="S186" s="38"/>
      <c r="T186" s="353" t="b" cm="1">
        <f t="array" aca="1" ref="T186" ca="1">T185</f>
        <v>1</v>
      </c>
      <c r="X186" s="1078"/>
      <c r="Z186" s="1079"/>
      <c r="AB186" s="133" t="s">
        <v>1905</v>
      </c>
      <c r="AC186" s="127" t="s">
        <v>1906</v>
      </c>
      <c r="AD186" s="7" t="s">
        <v>476</v>
      </c>
      <c r="AE186" s="171">
        <f>IF(AE183=0,0,AE185/AE183*100)</f>
        <v>0</v>
      </c>
      <c r="AF186" s="171">
        <f>IF(AF183=0,0,AF185/AF183*100)</f>
        <v>0</v>
      </c>
      <c r="AG186" s="171">
        <f>IF(AG183=0,0,AG185/AG183*100)</f>
        <v>0</v>
      </c>
      <c r="AH186" s="542"/>
      <c r="AI186" s="171">
        <f>IF(AI183=0,0,AI185/AI183*100)</f>
        <v>0</v>
      </c>
      <c r="AJ186" s="171">
        <f>IF(AJ183=0,0,AJ185/AJ183*100)</f>
        <v>0</v>
      </c>
      <c r="AK186" s="171">
        <f>IF(AK183=0,0,AK185/AK183*100)</f>
        <v>0</v>
      </c>
      <c r="AL186" s="542"/>
      <c r="AM186" s="196"/>
      <c r="AN186" s="196"/>
      <c r="AO186" s="196"/>
      <c r="AR186" s="694" t="s">
        <v>1907</v>
      </c>
    </row>
    <row r="187" spans="1:48" ht="14.25" customHeight="1" x14ac:dyDescent="0.25">
      <c r="E187" s="504">
        <v>15</v>
      </c>
      <c r="F187" s="3" t="str" cm="1">
        <f t="array" aca="1" ref="F187" ca="1">OFFSET(E187,-1,1)</f>
        <v>1</v>
      </c>
      <c r="G187" s="72"/>
      <c r="I187" s="38" t="s">
        <v>1908</v>
      </c>
      <c r="J187" s="38"/>
      <c r="K187" s="38"/>
      <c r="L187" s="38"/>
      <c r="M187" s="38"/>
      <c r="N187" s="38"/>
      <c r="O187" s="38"/>
      <c r="P187" s="38"/>
      <c r="Q187" s="38"/>
      <c r="R187" s="38"/>
      <c r="S187" s="38"/>
      <c r="T187" s="353" t="b" cm="1">
        <f t="array" aca="1" ref="T187" ca="1">T186</f>
        <v>1</v>
      </c>
      <c r="X187" s="1078"/>
      <c r="Z187" s="1079"/>
      <c r="AB187" s="133" t="s">
        <v>1909</v>
      </c>
      <c r="AC187" s="127" t="s">
        <v>1910</v>
      </c>
      <c r="AD187" s="7" t="s">
        <v>1644</v>
      </c>
      <c r="AE187" s="128">
        <f ca="1">IF(AE181=0,0,AE178/AE181)</f>
        <v>2.577294380170656</v>
      </c>
      <c r="AF187" s="128">
        <f ca="1">IF(AF181=0,0,AF178/AF181)</f>
        <v>2.7619070408663338</v>
      </c>
      <c r="AG187" s="128">
        <f ca="1">IF(AG181=0,0,AG178/AG181)</f>
        <v>2.6531757057507854</v>
      </c>
      <c r="AH187" s="171">
        <f ca="1">AG187-AF187</f>
        <v>-0.10873133511554833</v>
      </c>
      <c r="AI187" s="128">
        <f ca="1">IF(AI181=0,0,AI178/AI181)</f>
        <v>2.7398841185911778</v>
      </c>
      <c r="AJ187" s="128">
        <f ca="1">IF(AJ181=0,0,AJ178/AJ181)</f>
        <v>3.2744678246676067</v>
      </c>
      <c r="AK187" s="128">
        <f ca="1">IF(AK181=0,0,AK178/AK181)</f>
        <v>3.054404992169129</v>
      </c>
      <c r="AL187" s="542"/>
      <c r="AM187" s="196"/>
      <c r="AN187" s="196"/>
      <c r="AO187" s="196"/>
      <c r="AR187" s="694" t="s">
        <v>1911</v>
      </c>
    </row>
    <row r="188" spans="1:48" s="867" customFormat="1" ht="14.25" customHeight="1" x14ac:dyDescent="0.25">
      <c r="A188" s="423"/>
      <c r="B188" s="423"/>
      <c r="C188" s="423"/>
      <c r="D188" s="423"/>
      <c r="E188" s="505">
        <v>15</v>
      </c>
      <c r="F188" s="3" t="str" cm="1">
        <f t="array" aca="1" ref="F188" ca="1">OFFSET(E188,-1,1)</f>
        <v>1</v>
      </c>
      <c r="G188" s="76"/>
      <c r="H188" s="423"/>
      <c r="I188" s="154" t="s">
        <v>1912</v>
      </c>
      <c r="J188" s="154"/>
      <c r="K188" s="154"/>
      <c r="L188" s="154"/>
      <c r="M188" s="154"/>
      <c r="N188" s="154"/>
      <c r="O188" s="154"/>
      <c r="P188" s="154"/>
      <c r="Q188" s="154"/>
      <c r="R188" s="154"/>
      <c r="S188" s="154"/>
      <c r="T188" s="353" t="b" cm="1">
        <f t="array" aca="1" ref="T188" ca="1">T187</f>
        <v>1</v>
      </c>
      <c r="U188" s="423"/>
      <c r="V188" s="423"/>
      <c r="W188" s="423"/>
      <c r="X188" s="1078"/>
      <c r="Y188" s="423"/>
      <c r="Z188" s="1079"/>
      <c r="AA188" s="423"/>
      <c r="AB188" s="131" t="s">
        <v>1913</v>
      </c>
      <c r="AC188" s="125" t="s">
        <v>1914</v>
      </c>
      <c r="AD188" s="124" t="s">
        <v>828</v>
      </c>
      <c r="AE188" s="138">
        <f ca="1">IF(AE181=0,0,AE178/AE181*AE189)</f>
        <v>0</v>
      </c>
      <c r="AF188" s="138">
        <f ca="1">IF(AF181=0,0,AF178/AF181*AF189)</f>
        <v>0</v>
      </c>
      <c r="AG188" s="138">
        <f ca="1">IF(AG181=0,0,AG178/AG181*AG189)</f>
        <v>0</v>
      </c>
      <c r="AH188" s="126">
        <f ca="1">AH190*AH191+AH192*AH193</f>
        <v>0</v>
      </c>
      <c r="AI188" s="138">
        <f ca="1">IF(AI181=0,0,AI178/AI181*AI189)</f>
        <v>0</v>
      </c>
      <c r="AJ188" s="138">
        <f ca="1">IF(AJ181=0,0,AJ178/AJ181*AJ189)</f>
        <v>0</v>
      </c>
      <c r="AK188" s="138">
        <f ca="1">IF(AK181=0,0,AK178/AK181*AK189)</f>
        <v>0</v>
      </c>
      <c r="AL188" s="126">
        <f ca="1">IF(AI188=0,0,(AK188-AI188)/AI188*100)</f>
        <v>0</v>
      </c>
      <c r="AM188" s="556"/>
      <c r="AN188" s="556"/>
      <c r="AO188" s="556"/>
      <c r="AP188" s="423"/>
      <c r="AQ188" s="423"/>
      <c r="AR188" s="695" t="s">
        <v>1915</v>
      </c>
      <c r="AS188" s="695"/>
      <c r="AT188" s="695"/>
      <c r="AU188" s="505"/>
      <c r="AV188" s="505"/>
    </row>
    <row r="189" spans="1:48" s="867" customFormat="1" ht="14.25" customHeight="1" x14ac:dyDescent="0.25">
      <c r="A189" s="423"/>
      <c r="B189" s="423"/>
      <c r="C189" s="423"/>
      <c r="D189" s="423"/>
      <c r="E189" s="505">
        <v>15</v>
      </c>
      <c r="F189" s="3" t="str" cm="1">
        <f t="array" aca="1" ref="F189" ca="1">OFFSET(E189,-1,1)</f>
        <v>1</v>
      </c>
      <c r="G189" s="72" t="s">
        <v>1666</v>
      </c>
      <c r="H189" s="423"/>
      <c r="I189" s="154" t="s">
        <v>1916</v>
      </c>
      <c r="J189" s="154"/>
      <c r="K189" s="154"/>
      <c r="L189" s="154"/>
      <c r="M189" s="154"/>
      <c r="N189" s="154"/>
      <c r="O189" s="154"/>
      <c r="P189" s="154"/>
      <c r="Q189" s="154"/>
      <c r="R189" s="154"/>
      <c r="S189" s="154"/>
      <c r="T189" s="353" t="b" cm="1">
        <f t="array" aca="1" ref="T189" ca="1">T188</f>
        <v>1</v>
      </c>
      <c r="U189" s="423"/>
      <c r="V189" s="423"/>
      <c r="W189" s="423"/>
      <c r="X189" s="1078"/>
      <c r="Y189" s="423"/>
      <c r="Z189" s="1079"/>
      <c r="AA189" s="423"/>
      <c r="AB189" s="131" t="s">
        <v>1917</v>
      </c>
      <c r="AC189" s="125" t="s">
        <v>1918</v>
      </c>
      <c r="AD189" s="124" t="s">
        <v>558</v>
      </c>
      <c r="AE189" s="552">
        <f ca="1">SUMIFS(Баланс!AE$26:AE$391,Баланс!$F$26:$F$391,$F189,Баланс!$G$26:$G$391,"население")</f>
        <v>0</v>
      </c>
      <c r="AF189" s="552">
        <f ca="1">SUMIFS(Баланс!AF$26:AF$391,Баланс!$F$26:$F$391,$F189,Баланс!$G$26:$G$391,"население")</f>
        <v>0</v>
      </c>
      <c r="AG189" s="552">
        <f ca="1">SUMIFS(Баланс!AG$26:AG$391,Баланс!$F$26:$F$391,$F189,Баланс!$G$26:$G$391,"население")</f>
        <v>0</v>
      </c>
      <c r="AH189" s="552">
        <f t="shared" ref="AH189:AH196" ca="1" si="12">AG189-AF189</f>
        <v>0</v>
      </c>
      <c r="AI189" s="552">
        <f ca="1">SUMIFS(Баланс!AH$26:AH$391,Баланс!$F$26:$F$391,$F189,Баланс!$G$26:$G$391,"население")</f>
        <v>0</v>
      </c>
      <c r="AJ189" s="552">
        <f ca="1">SUMIFS(Баланс!AI$26:AI$391,Баланс!$F$26:$F$391,$F189,Баланс!$G$26:$G$391,"население")</f>
        <v>0</v>
      </c>
      <c r="AK189" s="552">
        <f ca="1">SUMIFS(Баланс!AS$26:AS$391,Баланс!$F$26:$F$391,$F189,Баланс!$G$26:$G$391,"население")</f>
        <v>0</v>
      </c>
      <c r="AL189" s="129"/>
      <c r="AM189" s="556"/>
      <c r="AN189" s="556"/>
      <c r="AO189" s="556"/>
      <c r="AP189" s="423"/>
      <c r="AQ189" s="423"/>
      <c r="AR189" s="695" t="s">
        <v>1919</v>
      </c>
      <c r="AS189" s="695"/>
      <c r="AT189" s="695"/>
      <c r="AU189" s="505"/>
      <c r="AV189" s="505"/>
    </row>
    <row r="190" spans="1:48" ht="14.25" customHeight="1" x14ac:dyDescent="0.25">
      <c r="E190" s="504">
        <v>15</v>
      </c>
      <c r="F190" s="3" t="str" cm="1">
        <f t="array" aca="1" ref="F190" ca="1">OFFSET(E190,-1,1)</f>
        <v>1</v>
      </c>
      <c r="G190" s="72" t="s">
        <v>1700</v>
      </c>
      <c r="I190" s="38" t="s">
        <v>1920</v>
      </c>
      <c r="J190" s="38"/>
      <c r="K190" s="38"/>
      <c r="L190" s="38"/>
      <c r="M190" s="38"/>
      <c r="N190" s="38"/>
      <c r="O190" s="38"/>
      <c r="P190" s="38"/>
      <c r="Q190" s="38"/>
      <c r="R190" s="38"/>
      <c r="S190" s="38"/>
      <c r="T190" s="353" t="b" cm="1">
        <f t="array" aca="1" ref="T190" ca="1">T189</f>
        <v>1</v>
      </c>
      <c r="X190" s="1078"/>
      <c r="Z190" s="1079"/>
      <c r="AB190" s="133" t="s">
        <v>1921</v>
      </c>
      <c r="AC190" s="127" t="s">
        <v>1922</v>
      </c>
      <c r="AD190" s="7" t="s">
        <v>558</v>
      </c>
      <c r="AE190" s="444">
        <f ca="1">AE189/2</f>
        <v>0</v>
      </c>
      <c r="AF190" s="444">
        <f ca="1">AF189/2</f>
        <v>0</v>
      </c>
      <c r="AG190" s="444">
        <f ca="1">AG189/2</f>
        <v>0</v>
      </c>
      <c r="AH190" s="558">
        <f t="shared" ca="1" si="12"/>
        <v>0</v>
      </c>
      <c r="AI190" s="444">
        <f ca="1">AI189/2</f>
        <v>0</v>
      </c>
      <c r="AJ190" s="444">
        <f ca="1">IF(god=2026,AJ189/12*9,AJ189/2)</f>
        <v>0</v>
      </c>
      <c r="AK190" s="444">
        <f ca="1">IF(god=2026,AK189/12*9,AK189/2)</f>
        <v>0</v>
      </c>
      <c r="AL190" s="542"/>
      <c r="AM190" s="196"/>
      <c r="AN190" s="196"/>
      <c r="AO190" s="196"/>
      <c r="AR190" s="694" t="s">
        <v>1923</v>
      </c>
    </row>
    <row r="191" spans="1:48" ht="14.25" customHeight="1" x14ac:dyDescent="0.25">
      <c r="E191" s="504">
        <v>15</v>
      </c>
      <c r="F191" s="3" t="str" cm="1">
        <f t="array" aca="1" ref="F191" ca="1">OFFSET(E191,-1,1)</f>
        <v>1</v>
      </c>
      <c r="G191" s="72" t="s">
        <v>1656</v>
      </c>
      <c r="I191" s="38" t="s">
        <v>1924</v>
      </c>
      <c r="J191" s="38"/>
      <c r="K191" s="38"/>
      <c r="L191" s="38"/>
      <c r="M191" s="38"/>
      <c r="N191" s="38"/>
      <c r="O191" s="38"/>
      <c r="P191" s="38"/>
      <c r="Q191" s="38"/>
      <c r="R191" s="38"/>
      <c r="S191" s="38"/>
      <c r="T191" s="353" t="b" cm="1">
        <f t="array" aca="1" ref="T191" ca="1">T190</f>
        <v>1</v>
      </c>
      <c r="X191" s="1078"/>
      <c r="Z191" s="1079"/>
      <c r="AB191" s="133" t="s">
        <v>1925</v>
      </c>
      <c r="AC191" s="127" t="s">
        <v>1926</v>
      </c>
      <c r="AD191" s="7" t="s">
        <v>1644</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2"/>
      <c r="AM191" s="196"/>
      <c r="AN191" s="196"/>
      <c r="AO191" s="196"/>
      <c r="AR191" s="694" t="s">
        <v>1927</v>
      </c>
    </row>
    <row r="192" spans="1:48" ht="14.25" customHeight="1" x14ac:dyDescent="0.25">
      <c r="E192" s="504">
        <v>15</v>
      </c>
      <c r="F192" s="3" t="str" cm="1">
        <f t="array" aca="1" ref="F192" ca="1">OFFSET(E192,-1,1)</f>
        <v>1</v>
      </c>
      <c r="G192" s="72" t="s">
        <v>1707</v>
      </c>
      <c r="I192" s="38" t="s">
        <v>1928</v>
      </c>
      <c r="J192" s="38"/>
      <c r="K192" s="38"/>
      <c r="L192" s="38"/>
      <c r="M192" s="38"/>
      <c r="N192" s="38"/>
      <c r="O192" s="38"/>
      <c r="P192" s="38"/>
      <c r="Q192" s="38"/>
      <c r="R192" s="38"/>
      <c r="S192" s="38"/>
      <c r="T192" s="353" t="b" cm="1">
        <f t="array" aca="1" ref="T192" ca="1">T191</f>
        <v>1</v>
      </c>
      <c r="X192" s="1078"/>
      <c r="Z192" s="1079"/>
      <c r="AB192" s="133" t="s">
        <v>1929</v>
      </c>
      <c r="AC192" s="127" t="s">
        <v>1898</v>
      </c>
      <c r="AD192" s="7" t="s">
        <v>558</v>
      </c>
      <c r="AE192" s="558">
        <f ca="1">AE189-AE190</f>
        <v>0</v>
      </c>
      <c r="AF192" s="558">
        <f ca="1">AF189-AF190</f>
        <v>0</v>
      </c>
      <c r="AG192" s="558">
        <f ca="1">AG189-AG190</f>
        <v>0</v>
      </c>
      <c r="AH192" s="558">
        <f t="shared" ca="1" si="12"/>
        <v>0</v>
      </c>
      <c r="AI192" s="558">
        <f ca="1">AI189-AI190</f>
        <v>0</v>
      </c>
      <c r="AJ192" s="558">
        <f ca="1">AJ189-AJ190</f>
        <v>0</v>
      </c>
      <c r="AK192" s="558">
        <f ca="1">AK189-AK190</f>
        <v>0</v>
      </c>
      <c r="AL192" s="542"/>
      <c r="AM192" s="196"/>
      <c r="AN192" s="196"/>
      <c r="AO192" s="196"/>
      <c r="AR192" s="694" t="s">
        <v>1930</v>
      </c>
    </row>
    <row r="193" spans="1:48" ht="14.25" customHeight="1" x14ac:dyDescent="0.25">
      <c r="E193" s="504">
        <v>15</v>
      </c>
      <c r="F193" s="3" t="str" cm="1">
        <f t="array" aca="1" ref="F193" ca="1">OFFSET(E193,-1,1)</f>
        <v>1</v>
      </c>
      <c r="G193" s="72" t="s">
        <v>1660</v>
      </c>
      <c r="I193" s="38" t="s">
        <v>1931</v>
      </c>
      <c r="J193" s="38"/>
      <c r="K193" s="38"/>
      <c r="L193" s="38"/>
      <c r="M193" s="38"/>
      <c r="N193" s="38"/>
      <c r="O193" s="38"/>
      <c r="P193" s="38"/>
      <c r="Q193" s="38"/>
      <c r="R193" s="38"/>
      <c r="S193" s="38"/>
      <c r="T193" s="353" t="b" cm="1">
        <f t="array" aca="1" ref="T193" ca="1">T192</f>
        <v>1</v>
      </c>
      <c r="X193" s="1078"/>
      <c r="Z193" s="1079"/>
      <c r="AB193" s="133" t="s">
        <v>1932</v>
      </c>
      <c r="AC193" s="127" t="s">
        <v>1933</v>
      </c>
      <c r="AD193" s="7" t="s">
        <v>1644</v>
      </c>
      <c r="AE193" s="128">
        <f ca="1">IF(AE189=0,0,AE185*(1+Сценарии!AE$26))</f>
        <v>0</v>
      </c>
      <c r="AF193" s="128">
        <f ca="1">IF(AF189=0,0,AF185*(1+Сценарии!AF$26))</f>
        <v>0</v>
      </c>
      <c r="AG193" s="128">
        <f ca="1">IF(AG189=0,0,AG185*(1+Сценарии!AG$26))</f>
        <v>0</v>
      </c>
      <c r="AH193" s="171">
        <f t="shared" ca="1" si="12"/>
        <v>0</v>
      </c>
      <c r="AI193" s="128">
        <f ca="1">IF(AI189=0,0,AI185*(1+Сценарии!AI$26))</f>
        <v>0</v>
      </c>
      <c r="AJ193" s="128">
        <f ca="1">IF(AJ189=0,0,AJ185*(1+Сценарии!AJ$26))</f>
        <v>0</v>
      </c>
      <c r="AK193" s="128">
        <f ca="1">IF(AK189=0,0,AK185*(1+Сценарии!AK$26))</f>
        <v>0</v>
      </c>
      <c r="AL193" s="542"/>
      <c r="AM193" s="196"/>
      <c r="AN193" s="196"/>
      <c r="AO193" s="196"/>
      <c r="AR193" s="694" t="s">
        <v>1934</v>
      </c>
    </row>
    <row r="194" spans="1:48" ht="14.25" customHeight="1" x14ac:dyDescent="0.25">
      <c r="E194" s="504">
        <v>15</v>
      </c>
      <c r="F194" s="3" t="str" cm="1">
        <f t="array" aca="1" ref="F194" ca="1">OFFSET(E194,-1,1)</f>
        <v>1</v>
      </c>
      <c r="G194" s="72"/>
      <c r="I194" s="38"/>
      <c r="J194" s="38"/>
      <c r="K194" s="38"/>
      <c r="L194" s="38"/>
      <c r="M194" s="38"/>
      <c r="N194" s="38"/>
      <c r="O194" s="38"/>
      <c r="P194" s="38"/>
      <c r="Q194" s="38"/>
      <c r="R194" s="38"/>
      <c r="S194" s="38"/>
      <c r="T194" s="353" t="b" cm="1">
        <f t="array" aca="1" ref="T194" ca="1">T193</f>
        <v>1</v>
      </c>
      <c r="X194" s="1078"/>
      <c r="Z194" s="1079"/>
      <c r="AB194" s="131" t="s">
        <v>1935</v>
      </c>
      <c r="AC194" s="125" t="s">
        <v>1936</v>
      </c>
      <c r="AD194" s="124" t="s">
        <v>828</v>
      </c>
      <c r="AE194" s="128"/>
      <c r="AF194" s="128"/>
      <c r="AG194" s="128"/>
      <c r="AH194" s="171">
        <f t="shared" si="12"/>
        <v>0</v>
      </c>
      <c r="AI194" s="128"/>
      <c r="AJ194" s="128"/>
      <c r="AK194" s="128"/>
      <c r="AL194" s="542"/>
      <c r="AM194" s="196"/>
      <c r="AN194" s="196"/>
      <c r="AO194" s="196"/>
      <c r="AR194" s="694" t="s">
        <v>1937</v>
      </c>
    </row>
    <row r="195" spans="1:48" ht="21.75" customHeight="1" x14ac:dyDescent="0.25">
      <c r="E195" s="504">
        <v>22.5</v>
      </c>
      <c r="F195" s="3" t="str" cm="1">
        <f t="array" aca="1" ref="F195" ca="1">OFFSET(E195,-1,1)</f>
        <v>1</v>
      </c>
      <c r="G195" s="72"/>
      <c r="I195" s="38"/>
      <c r="J195" s="38"/>
      <c r="K195" s="38"/>
      <c r="L195" s="38"/>
      <c r="M195" s="38"/>
      <c r="N195" s="38"/>
      <c r="O195" s="38"/>
      <c r="P195" s="38"/>
      <c r="Q195" s="38"/>
      <c r="R195" s="38"/>
      <c r="S195" s="38"/>
      <c r="T195" s="353" t="b" cm="1">
        <f t="array" aca="1" ref="T195" ca="1">T194</f>
        <v>1</v>
      </c>
      <c r="X195" s="1078"/>
      <c r="Z195" s="1079"/>
      <c r="AB195" s="133" t="s">
        <v>1938</v>
      </c>
      <c r="AC195" s="127" t="s">
        <v>1939</v>
      </c>
      <c r="AD195" s="7" t="s">
        <v>828</v>
      </c>
      <c r="AE195" s="128"/>
      <c r="AF195" s="128"/>
      <c r="AG195" s="128"/>
      <c r="AH195" s="171">
        <f t="shared" si="12"/>
        <v>0</v>
      </c>
      <c r="AI195" s="128"/>
      <c r="AJ195" s="128"/>
      <c r="AK195" s="128"/>
      <c r="AL195" s="542"/>
      <c r="AM195" s="196"/>
      <c r="AN195" s="196"/>
      <c r="AO195" s="196"/>
      <c r="AR195" s="694" t="s">
        <v>1940</v>
      </c>
    </row>
    <row r="196" spans="1:48" ht="69.75" customHeight="1" x14ac:dyDescent="0.25">
      <c r="E196" s="504">
        <v>72</v>
      </c>
      <c r="F196" s="3" t="str" cm="1">
        <f t="array" aca="1" ref="F196" ca="1">OFFSET(E196,-1,1)</f>
        <v>1</v>
      </c>
      <c r="G196" s="72"/>
      <c r="I196" s="38"/>
      <c r="J196" s="38"/>
      <c r="K196" s="38"/>
      <c r="L196" s="38"/>
      <c r="M196" s="38"/>
      <c r="N196" s="38"/>
      <c r="O196" s="38"/>
      <c r="P196" s="38"/>
      <c r="Q196" s="38"/>
      <c r="R196" s="38"/>
      <c r="S196" s="38"/>
      <c r="T196" s="353" t="b" cm="1">
        <f t="array" aca="1" ref="T196" ca="1">T195</f>
        <v>1</v>
      </c>
      <c r="X196" s="1078"/>
      <c r="Z196" s="1079"/>
      <c r="AB196" s="133" t="s">
        <v>1941</v>
      </c>
      <c r="AC196" s="127" t="s">
        <v>1942</v>
      </c>
      <c r="AD196" s="7" t="s">
        <v>828</v>
      </c>
      <c r="AE196" s="128"/>
      <c r="AF196" s="128"/>
      <c r="AG196" s="128"/>
      <c r="AH196" s="171">
        <f t="shared" si="12"/>
        <v>0</v>
      </c>
      <c r="AI196" s="128"/>
      <c r="AJ196" s="128"/>
      <c r="AK196" s="128"/>
      <c r="AL196" s="542"/>
      <c r="AM196" s="196"/>
      <c r="AN196" s="196"/>
      <c r="AO196" s="196"/>
      <c r="AR196" s="694" t="s">
        <v>1943</v>
      </c>
    </row>
    <row r="197" spans="1:48" ht="14.25" customHeight="1" x14ac:dyDescent="0.25">
      <c r="E197" s="504">
        <v>15</v>
      </c>
      <c r="F197" s="17" t="str" cm="1">
        <f t="array" ref="F197">X197</f>
        <v>2</v>
      </c>
      <c r="G197" s="17" t="str" cm="1">
        <f t="array" ref="G197">INDEX('Общие сведения'!$AK$179:$AK$236,MATCH($X197,'Общие сведения'!$Z$179:$Z$236,0))</f>
        <v>одноставочный</v>
      </c>
      <c r="T197" s="353" t="b">
        <f>X197&gt;0</f>
        <v>1</v>
      </c>
      <c r="V197" s="278" t="str" cm="1">
        <f t="array" ref="V197">ТМ!$AD$141</f>
        <v>Тариф 2 (Водоотведение) - тариф на водоотведение</v>
      </c>
      <c r="X197" s="1078" t="s">
        <v>285</v>
      </c>
      <c r="Z197" s="1079"/>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x14ac:dyDescent="0.25">
      <c r="E198" s="504">
        <v>15</v>
      </c>
      <c r="F198" s="3" t="str" cm="1">
        <f t="array" aca="1" ref="F198" ca="1">OFFSET(E198,-1,1)</f>
        <v>2</v>
      </c>
      <c r="I198" s="38" t="s">
        <v>331</v>
      </c>
      <c r="J198" s="38"/>
      <c r="K198" s="38"/>
      <c r="L198" s="38"/>
      <c r="M198" s="38"/>
      <c r="N198" s="38"/>
      <c r="O198" s="38"/>
      <c r="P198" s="38"/>
      <c r="Q198" s="38"/>
      <c r="R198" s="38"/>
      <c r="S198" s="38"/>
      <c r="T198" s="353" t="b" cm="1">
        <f t="array" ref="T198">T197</f>
        <v>1</v>
      </c>
      <c r="X198" s="1078"/>
      <c r="Z198" s="1079"/>
      <c r="AB198" s="160" t="s">
        <v>275</v>
      </c>
      <c r="AC198" s="132" t="s">
        <v>1738</v>
      </c>
      <c r="AD198" s="9" t="s">
        <v>828</v>
      </c>
      <c r="AE198" s="126">
        <f ca="1">AE199+AE203+AE213+AE214+AE217+AE218+AE219</f>
        <v>1136.3280559057</v>
      </c>
      <c r="AF198" s="126">
        <f ca="1">AF199+AF203+AF213+AF214+AF217+AF218+AF219</f>
        <v>20452.232493365998</v>
      </c>
      <c r="AG198" s="126">
        <f ca="1">AG199+AG203+AG213+AG214+AG217+AG218+AG219</f>
        <v>1354.5911625074002</v>
      </c>
      <c r="AH198" s="126">
        <f t="shared" ref="AH198:AH224" ca="1" si="13">AG198-AF198</f>
        <v>-19097.641330858598</v>
      </c>
      <c r="AI198" s="126">
        <f ca="1">AI199+AI203+AI213+AI214+AI217+AI218+AI219</f>
        <v>1339.76</v>
      </c>
      <c r="AJ198" s="126">
        <f ca="1">AJ199+AJ203+AJ213+AJ214+AJ217+AJ218+AJ219</f>
        <v>34211.2865118052</v>
      </c>
      <c r="AK198" s="126">
        <f ca="1">AK199+AK203+AK213+AK214+AK217+AK218+AK219</f>
        <v>10569.746754731699</v>
      </c>
      <c r="AL198" s="171">
        <f t="shared" ref="AL198:AL224" ca="1" si="14">IF(AI198=0,0,(AK198-AI198)/AI198*100)</f>
        <v>688.92837185254814</v>
      </c>
      <c r="AM198" s="196"/>
      <c r="AN198" s="601"/>
      <c r="AO198" s="196"/>
      <c r="AR198" s="694" t="s">
        <v>538</v>
      </c>
    </row>
    <row r="199" spans="1:48" s="868" customFormat="1" ht="21.75" customHeight="1" x14ac:dyDescent="0.25">
      <c r="A199" s="423"/>
      <c r="B199" s="423"/>
      <c r="C199" s="423"/>
      <c r="D199" s="423"/>
      <c r="E199" s="505">
        <v>22.5</v>
      </c>
      <c r="F199" s="3" t="str" cm="1">
        <f t="array" aca="1" ref="F199" ca="1">OFFSET(E199,-1,1)</f>
        <v>2</v>
      </c>
      <c r="G199" s="423"/>
      <c r="H199" s="423"/>
      <c r="I199" s="154" t="s">
        <v>482</v>
      </c>
      <c r="J199" s="154"/>
      <c r="K199" s="154"/>
      <c r="L199" s="154"/>
      <c r="M199" s="154"/>
      <c r="N199" s="154"/>
      <c r="O199" s="154"/>
      <c r="P199" s="154"/>
      <c r="Q199" s="154"/>
      <c r="R199" s="154"/>
      <c r="S199" s="154"/>
      <c r="T199" s="353" t="b" cm="1">
        <f t="array" ref="T199">T198</f>
        <v>1</v>
      </c>
      <c r="U199" s="423"/>
      <c r="V199" s="423"/>
      <c r="W199" s="423"/>
      <c r="X199" s="1078"/>
      <c r="Y199" s="423"/>
      <c r="Z199" s="1079"/>
      <c r="AA199" s="423"/>
      <c r="AB199" s="131" t="s">
        <v>939</v>
      </c>
      <c r="AC199" s="263" t="s">
        <v>1739</v>
      </c>
      <c r="AD199" s="147" t="s">
        <v>828</v>
      </c>
      <c r="AE199" s="126">
        <f ca="1">SUM(AE200:AE202)</f>
        <v>145.5097122</v>
      </c>
      <c r="AF199" s="126">
        <f ca="1">SUM(AF200:AF202)</f>
        <v>13827.0223480932</v>
      </c>
      <c r="AG199" s="126">
        <f ca="1">SUM(AG200:AG202)</f>
        <v>130.98579690540001</v>
      </c>
      <c r="AH199" s="126">
        <f t="shared" ca="1" si="13"/>
        <v>-13696.036551187801</v>
      </c>
      <c r="AI199" s="126">
        <f ca="1">SUM(AI200:AI202)</f>
        <v>182.14000000000001</v>
      </c>
      <c r="AJ199" s="126">
        <f ca="1">SUM(AJ200:AJ202)</f>
        <v>22504.651727138502</v>
      </c>
      <c r="AK199" s="126">
        <f ca="1">SUM(AK200:AK202)</f>
        <v>9136.024577075299</v>
      </c>
      <c r="AL199" s="126">
        <f t="shared" ca="1" si="14"/>
        <v>4915.9353118893705</v>
      </c>
      <c r="AM199" s="556"/>
      <c r="AN199" s="556"/>
      <c r="AO199" s="556"/>
      <c r="AP199" s="423"/>
      <c r="AQ199" s="423"/>
      <c r="AR199" s="695" t="s">
        <v>1740</v>
      </c>
      <c r="AS199" s="695"/>
      <c r="AT199" s="695"/>
      <c r="AU199" s="505"/>
      <c r="AV199" s="505"/>
    </row>
    <row r="200" spans="1:48" ht="14.25" customHeight="1" x14ac:dyDescent="0.25">
      <c r="E200" s="504">
        <v>15</v>
      </c>
      <c r="F200" s="3" t="str" cm="1">
        <f t="array" aca="1" ref="F200" ca="1">OFFSET(E200,-1,1)</f>
        <v>2</v>
      </c>
      <c r="I200" s="38" t="s">
        <v>1070</v>
      </c>
      <c r="J200" s="38"/>
      <c r="K200" s="38"/>
      <c r="L200" s="38"/>
      <c r="M200" s="38"/>
      <c r="N200" s="38"/>
      <c r="O200" s="38"/>
      <c r="P200" s="38"/>
      <c r="Q200" s="38"/>
      <c r="R200" s="38"/>
      <c r="S200" s="38"/>
      <c r="T200" s="353" t="b" cm="1">
        <f t="array" ref="T200">T199</f>
        <v>1</v>
      </c>
      <c r="X200" s="1078"/>
      <c r="Z200" s="1079"/>
      <c r="AB200" s="133" t="s">
        <v>1071</v>
      </c>
      <c r="AC200" s="134" t="s">
        <v>1741</v>
      </c>
      <c r="AD200" s="9" t="s">
        <v>828</v>
      </c>
      <c r="AE200" s="171">
        <f ca="1">SUMIFS('Сырье и материалы'!AE$25:AE$48,'Сырье и материалы'!$F$25:$F$48,$F200,'Сырье и материалы'!$AC$25:$AC$48,"Всего по тарифу")</f>
        <v>145.5097122</v>
      </c>
      <c r="AF200" s="171">
        <f ca="1">SUMIFS('Сырье и материалы'!AF$25:AF$48,'Сырье и материалы'!$F$25:$F$48,$F200,'Сырье и материалы'!$AC$25:$AC$48,"Всего по тарифу")</f>
        <v>13827.0223480932</v>
      </c>
      <c r="AG200" s="171">
        <f ca="1">SUMIFS('Сырье и материалы'!AG$25:AG$48,'Сырье и материалы'!$F$25:$F$48,$F200,'Сырье и материалы'!$AC$25:$AC$48,"Всего по тарифу")</f>
        <v>130.98579690540001</v>
      </c>
      <c r="AH200" s="171">
        <f t="shared" ca="1" si="13"/>
        <v>-13696.036551187801</v>
      </c>
      <c r="AI200" s="171">
        <f ca="1">SUMIFS('Сырье и материалы'!AH$25:AH$48,'Сырье и материалы'!$F$25:$F$48,$F200,'Сырье и материалы'!$AC$25:$AC$48,"Всего по тарифу")</f>
        <v>182.14000000000001</v>
      </c>
      <c r="AJ200" s="171">
        <f ca="1">SUMIFS('Сырье и материалы'!AI$25:AI$48,'Сырье и материалы'!$F$25:$F$48,$F200,'Сырье и материалы'!$AC$25:$AC$48,"Всего по тарифу")</f>
        <v>22504.651727138502</v>
      </c>
      <c r="AK200" s="171">
        <f ca="1">SUMIFS('Сырье и материалы'!AS$25:AS$48,'Сырье и материалы'!$F$25:$F$48,$F200,'Сырье и материалы'!$AC$25:$AC$48,"Всего по тарифу")</f>
        <v>9136.024577075299</v>
      </c>
      <c r="AL200" s="171">
        <f t="shared" ca="1" si="14"/>
        <v>4915.9353118893705</v>
      </c>
      <c r="AM200" s="196"/>
      <c r="AN200" s="601" t="str">
        <f ca="1">IF(IFERROR(INDEX('Сырье и материалы'!$K$26:$L$48,MATCH($F200&amp;"komm",'Сырье и материалы'!$K$26:$K$48,0),2),"")=0,"",IFERROR(INDEX('Сырье и материалы'!$K$26:$L$48,MATCH($F200&amp;"komm",'Сырье и материалы'!$K$26:$K$48,0),2),""))</f>
        <v>1) П. 49 (10), п. 16, п. 19 Методических указаний ФСТ № 1746-э. 2) Статья 35, Часть вторая Статьи 55 "Водного кодекса Российской Федерации" от 03.06.2006 N 74-ФЗ (ред. от 08.08.2024). 3) Приказ Минсельхоза России от 13.12.2016 N 552 (ред. от 13.06.2024) "Об утверждении нормативов качества воды водных объектов рыбохозяйственного значения, в том числе нормативов предельно допустимых концентраций вредных веществ в водах водных объектов рыбохозяйственного значения". 4) Решение Министерства природных ресурсов и экологии Кузбасса от 08.08.2023 № 1390/РРТ/Сс-08.2023 о предоставлении водного объекта в пользование (сброс сточных вод). 5) Разрешение  на сброс загрязняющих веществ в водные объекты № 3/1вода/Кем (на основании Приказа Южно-Сибирского межрегионального управления Росприроднадзора от 14.05.2020 № 544-рд).</v>
      </c>
      <c r="AO200" s="196"/>
      <c r="AR200" s="694" t="s">
        <v>1742</v>
      </c>
    </row>
    <row r="201" spans="1:48" ht="14.25" customHeight="1" x14ac:dyDescent="0.25">
      <c r="E201" s="504">
        <v>15</v>
      </c>
      <c r="F201" s="3" t="str" cm="1">
        <f t="array" aca="1" ref="F201" ca="1">OFFSET(E201,-1,1)</f>
        <v>2</v>
      </c>
      <c r="I201" s="38" t="s">
        <v>1074</v>
      </c>
      <c r="J201" s="38"/>
      <c r="K201" s="38"/>
      <c r="L201" s="38"/>
      <c r="M201" s="38"/>
      <c r="N201" s="38"/>
      <c r="O201" s="38"/>
      <c r="P201" s="38"/>
      <c r="Q201" s="38"/>
      <c r="R201" s="38"/>
      <c r="S201" s="38"/>
      <c r="T201" s="353" t="b" cm="1">
        <f t="array" ref="T201">T200</f>
        <v>1</v>
      </c>
      <c r="X201" s="1078"/>
      <c r="Z201" s="1079"/>
      <c r="AB201" s="133" t="s">
        <v>1075</v>
      </c>
      <c r="AC201" s="134" t="s">
        <v>1743</v>
      </c>
      <c r="AD201" s="9" t="s">
        <v>828</v>
      </c>
      <c r="AE201" s="128"/>
      <c r="AF201" s="128"/>
      <c r="AG201" s="128"/>
      <c r="AH201" s="171">
        <f t="shared" si="13"/>
        <v>0</v>
      </c>
      <c r="AI201" s="128"/>
      <c r="AJ201" s="128"/>
      <c r="AK201" s="128"/>
      <c r="AL201" s="171">
        <f t="shared" si="14"/>
        <v>0</v>
      </c>
      <c r="AM201" s="196"/>
      <c r="AN201" s="196"/>
      <c r="AO201" s="196"/>
      <c r="AR201" s="694" t="s">
        <v>1744</v>
      </c>
    </row>
    <row r="202" spans="1:48" ht="14.25" customHeight="1" x14ac:dyDescent="0.25">
      <c r="E202" s="504">
        <v>15</v>
      </c>
      <c r="F202" s="3" t="str" cm="1">
        <f t="array" aca="1" ref="F202" ca="1">OFFSET(E202,-1,1)</f>
        <v>2</v>
      </c>
      <c r="I202" s="38" t="s">
        <v>1319</v>
      </c>
      <c r="J202" s="38"/>
      <c r="K202" s="38"/>
      <c r="L202" s="38"/>
      <c r="M202" s="38"/>
      <c r="N202" s="38"/>
      <c r="O202" s="38"/>
      <c r="P202" s="38"/>
      <c r="Q202" s="38"/>
      <c r="R202" s="38"/>
      <c r="S202" s="38"/>
      <c r="T202" s="353" t="b" cm="1">
        <f t="array" ref="T202">T201</f>
        <v>1</v>
      </c>
      <c r="X202" s="1078"/>
      <c r="Z202" s="1079"/>
      <c r="AB202" s="133" t="s">
        <v>1320</v>
      </c>
      <c r="AC202" s="134" t="s">
        <v>1745</v>
      </c>
      <c r="AD202" s="9" t="s">
        <v>828</v>
      </c>
      <c r="AE202" s="128"/>
      <c r="AF202" s="128"/>
      <c r="AG202" s="128"/>
      <c r="AH202" s="171">
        <f t="shared" si="13"/>
        <v>0</v>
      </c>
      <c r="AI202" s="128"/>
      <c r="AJ202" s="128"/>
      <c r="AK202" s="128"/>
      <c r="AL202" s="171">
        <f t="shared" si="14"/>
        <v>0</v>
      </c>
      <c r="AM202" s="196"/>
      <c r="AN202" s="196"/>
      <c r="AO202" s="196"/>
      <c r="AR202" s="694" t="s">
        <v>1746</v>
      </c>
    </row>
    <row r="203" spans="1:48" s="868" customFormat="1" ht="21.75" customHeight="1" x14ac:dyDescent="0.25">
      <c r="A203" s="423"/>
      <c r="B203" s="423"/>
      <c r="C203" s="423"/>
      <c r="D203" s="423"/>
      <c r="E203" s="505">
        <v>22.5</v>
      </c>
      <c r="F203" s="3" t="str" cm="1">
        <f t="array" aca="1" ref="F203" ca="1">OFFSET(E203,-1,1)</f>
        <v>2</v>
      </c>
      <c r="G203" s="423"/>
      <c r="H203" s="423"/>
      <c r="I203" s="154" t="s">
        <v>486</v>
      </c>
      <c r="J203" s="154"/>
      <c r="K203" s="154"/>
      <c r="L203" s="154"/>
      <c r="M203" s="154"/>
      <c r="N203" s="154"/>
      <c r="O203" s="154"/>
      <c r="P203" s="154"/>
      <c r="Q203" s="154"/>
      <c r="R203" s="154"/>
      <c r="S203" s="154"/>
      <c r="T203" s="353" t="b" cm="1">
        <f t="array" ref="T203">T202</f>
        <v>1</v>
      </c>
      <c r="U203" s="423"/>
      <c r="V203" s="423"/>
      <c r="W203" s="423"/>
      <c r="X203" s="1078"/>
      <c r="Y203" s="423"/>
      <c r="Z203" s="1079"/>
      <c r="AA203" s="423"/>
      <c r="AB203" s="131" t="s">
        <v>942</v>
      </c>
      <c r="AC203" s="263" t="s">
        <v>1747</v>
      </c>
      <c r="AD203" s="147" t="s">
        <v>828</v>
      </c>
      <c r="AE203" s="126">
        <f ca="1">SUM(AE204:AE212)</f>
        <v>990.81834370570004</v>
      </c>
      <c r="AF203" s="126">
        <f ca="1">SUM(AF204:AF212)</f>
        <v>6625.2101452727993</v>
      </c>
      <c r="AG203" s="126">
        <f ca="1">SUM(AG204:AG212)</f>
        <v>1223.6053656020001</v>
      </c>
      <c r="AH203" s="126">
        <f t="shared" ca="1" si="13"/>
        <v>-5401.604779670799</v>
      </c>
      <c r="AI203" s="126">
        <f ca="1">SUM(AI204:AI212)</f>
        <v>1157.6199999999999</v>
      </c>
      <c r="AJ203" s="126">
        <f ca="1">SUM(AJ204:AJ212)</f>
        <v>11706.634784666701</v>
      </c>
      <c r="AK203" s="126">
        <f ca="1">SUM(AK204:AK212)</f>
        <v>1433.7221776563999</v>
      </c>
      <c r="AL203" s="126">
        <f t="shared" ca="1" si="14"/>
        <v>23.850847225894515</v>
      </c>
      <c r="AM203" s="556"/>
      <c r="AN203" s="556"/>
      <c r="AO203" s="556"/>
      <c r="AP203" s="423"/>
      <c r="AQ203" s="423"/>
      <c r="AR203" s="695" t="s">
        <v>1748</v>
      </c>
      <c r="AS203" s="695"/>
      <c r="AT203" s="695"/>
      <c r="AU203" s="505"/>
      <c r="AV203" s="505"/>
    </row>
    <row r="204" spans="1:48" ht="14.25" customHeight="1" x14ac:dyDescent="0.25">
      <c r="E204" s="504">
        <v>15</v>
      </c>
      <c r="F204" s="3" t="str" cm="1">
        <f t="array" aca="1" ref="F204" ca="1">OFFSET(E204,-1,1)</f>
        <v>2</v>
      </c>
      <c r="I204" s="38" t="s">
        <v>1344</v>
      </c>
      <c r="J204" s="38"/>
      <c r="K204" s="38"/>
      <c r="L204" s="38"/>
      <c r="M204" s="38"/>
      <c r="N204" s="38"/>
      <c r="O204" s="38"/>
      <c r="P204" s="38"/>
      <c r="Q204" s="38"/>
      <c r="R204" s="38"/>
      <c r="S204" s="38"/>
      <c r="T204" s="353" t="b" cm="1">
        <f t="array" ref="T204">T203</f>
        <v>1</v>
      </c>
      <c r="X204" s="1078"/>
      <c r="Z204" s="1079"/>
      <c r="AB204" s="133" t="s">
        <v>1345</v>
      </c>
      <c r="AC204" s="134" t="s">
        <v>1749</v>
      </c>
      <c r="AD204" s="9" t="s">
        <v>828</v>
      </c>
      <c r="AE204" s="171">
        <f ca="1">SUMIFS(ЭЭ!AE$25:AE$116,ЭЭ!$F$25:$F$116,$F204,ЭЭ!$AC$25:$AC$116,"Всего по тарифу")</f>
        <v>857.82</v>
      </c>
      <c r="AF204" s="171">
        <f ca="1">SUMIFS(ЭЭ!AF$25:AF$116,ЭЭ!$F$25:$F$116,$F204,ЭЭ!$AC$25:$AC$116,"Всего по тарифу")</f>
        <v>6460.7177775607997</v>
      </c>
      <c r="AG204" s="171">
        <f ca="1">SUMIFS(ЭЭ!AG$25:AG$116,ЭЭ!$F$25:$F$116,$F204,ЭЭ!$AC$25:$AC$116,"Всего по тарифу")</f>
        <v>1058.945365602</v>
      </c>
      <c r="AH204" s="171">
        <f t="shared" ca="1" si="13"/>
        <v>-5401.7724119588001</v>
      </c>
      <c r="AI204" s="171">
        <f ca="1">SUMIFS(ЭЭ!AH$25:AH$116,ЭЭ!$F$25:$F$116,$F204,ЭЭ!$AC$25:$AC$116,"Всего по тарифу")</f>
        <v>988.65</v>
      </c>
      <c r="AJ204" s="171">
        <f ca="1">SUMIFS(ЭЭ!AI$25:AI$116,ЭЭ!$F$25:$F$116,$F204,ЭЭ!$AC$25:$AC$116,"Всего по тарифу")</f>
        <v>11464.921884666701</v>
      </c>
      <c r="AK204" s="171">
        <f ca="1">SUMIFS(ЭЭ!AS$25:AS$116,ЭЭ!$F$25:$F$116,$F204,ЭЭ!$AC$25:$AC$116,"Всего по тарифу")</f>
        <v>1251.4621776563999</v>
      </c>
      <c r="AL204" s="171">
        <f t="shared" ca="1" si="14"/>
        <v>26.582934067303899</v>
      </c>
      <c r="AM204" s="196"/>
      <c r="AN204" s="601" t="str">
        <f ca="1">IF(IFERROR(INDEX(ЭЭ!$K$26:$L$116,MATCH($F204&amp;"komm",ЭЭ!$K$26:$K$116,0),2),"")=0,"",IFERROR(INDEX(ЭЭ!$K$26:$L$116,MATCH($F204&amp;"komm",ЭЭ!$K$26:$K$116,0),2),""))</f>
        <v>П. 16 (в), 91,95 Методических указаний ФСТ № 1746-э.</v>
      </c>
      <c r="AO204" s="196"/>
      <c r="AR204" s="694" t="s">
        <v>1750</v>
      </c>
    </row>
    <row r="205" spans="1:48" ht="14.25" customHeight="1" x14ac:dyDescent="0.25">
      <c r="E205" s="504">
        <v>15</v>
      </c>
      <c r="F205" s="3" t="str" cm="1">
        <f t="array" aca="1" ref="F205" ca="1">OFFSET(E205,-1,1)</f>
        <v>2</v>
      </c>
      <c r="G205" s="278" t="s">
        <v>1148</v>
      </c>
      <c r="I205" s="38" t="s">
        <v>1347</v>
      </c>
      <c r="J205" s="38"/>
      <c r="K205" s="38"/>
      <c r="L205" s="38"/>
      <c r="M205" s="38"/>
      <c r="N205" s="38"/>
      <c r="O205" s="38"/>
      <c r="P205" s="38"/>
      <c r="Q205" s="38"/>
      <c r="R205" s="38"/>
      <c r="S205" s="38"/>
      <c r="T205" s="353" t="b" cm="1">
        <f t="array" ref="T205">T204</f>
        <v>1</v>
      </c>
      <c r="X205" s="1078"/>
      <c r="Z205" s="1079"/>
      <c r="AB205" s="133" t="s">
        <v>1348</v>
      </c>
      <c r="AC205" s="134" t="s">
        <v>1751</v>
      </c>
      <c r="AD205" s="9" t="s">
        <v>828</v>
      </c>
      <c r="AE205" s="171">
        <f ca="1">SUMIFS(Покупка!AE$25:AE$150,Покупка!$F$25:$F$150,$F205,Покупка!$AC$25:$AC$150,$G205)</f>
        <v>0</v>
      </c>
      <c r="AF205" s="171">
        <f ca="1">SUMIFS(Покупка!AF$25:AF$150,Покупка!$F$25:$F$150,$F205,Покупка!$AC$25:$AC$150,$G205)</f>
        <v>0</v>
      </c>
      <c r="AG205" s="171">
        <f ca="1">SUMIFS(Покупка!AG$25:AG$150,Покупка!$F$25:$F$150,$F205,Покупка!$AC$25:$AC$150,$G205)</f>
        <v>0</v>
      </c>
      <c r="AH205" s="171">
        <f t="shared" ca="1" si="13"/>
        <v>0</v>
      </c>
      <c r="AI205" s="171">
        <f ca="1">SUMIFS(Покупка!AH$25:AH$150,Покупка!$F$25:$F$150,$F205,Покупка!$AC$25:$AC$150,$G205)</f>
        <v>0</v>
      </c>
      <c r="AJ205" s="171">
        <f ca="1">SUMIFS(Покупка!AI$25:AI$150,Покупка!$F$25:$F$150,$F205,Покупка!$AC$25:$AC$150,$G205)</f>
        <v>0</v>
      </c>
      <c r="AK205" s="171">
        <f ca="1">SUMIFS(Покупка!AS$25:AS$150,Покупка!$F$25:$F$150,$F205,Покупка!$AC$25:$AC$150,$G205)</f>
        <v>0</v>
      </c>
      <c r="AL205" s="171">
        <f t="shared" ca="1" si="14"/>
        <v>0</v>
      </c>
      <c r="AM205" s="196"/>
      <c r="AN205" s="601" t="str">
        <f ca="1">IF(IFERROR(INDEX(Покупка!$K$26:$L$150,MATCH($F205&amp;"6komm",Покупка!$K$26:$K$150,0),2),"")=0,"",IFERROR(INDEX(Покупка!$K$26:$L$150,MATCH($F205&amp;"6komm",Покупка!$K$26:$K$150,0),2),""))</f>
        <v>ПАР  (услуги  аффилированной организации АО "Новокемеровская ТЭЦ").  Специалистом РЭК Кузбасса расходы  на 2024-2028 гг. учтены в составе Операционных расходов (п. 2.1.1), как это было принято в предыдущем долгосрочном периоде.</v>
      </c>
      <c r="AO205" s="196"/>
      <c r="AR205" s="694" t="s">
        <v>1149</v>
      </c>
    </row>
    <row r="206" spans="1:48" ht="14.25" customHeight="1" x14ac:dyDescent="0.25">
      <c r="E206" s="504">
        <v>15</v>
      </c>
      <c r="F206" s="3" t="str" cm="1">
        <f t="array" aca="1" ref="F206" ca="1">OFFSET(E206,-1,1)</f>
        <v>2</v>
      </c>
      <c r="G206" s="278" t="s">
        <v>1150</v>
      </c>
      <c r="I206" s="38" t="s">
        <v>1351</v>
      </c>
      <c r="J206" s="38"/>
      <c r="K206" s="38"/>
      <c r="L206" s="38"/>
      <c r="M206" s="38"/>
      <c r="N206" s="38"/>
      <c r="O206" s="38"/>
      <c r="P206" s="38"/>
      <c r="Q206" s="38"/>
      <c r="R206" s="38"/>
      <c r="S206" s="38"/>
      <c r="T206" s="353" t="b" cm="1">
        <f t="array" ref="T206">T205</f>
        <v>1</v>
      </c>
      <c r="X206" s="1078"/>
      <c r="Z206" s="1079"/>
      <c r="AB206" s="133" t="s">
        <v>1352</v>
      </c>
      <c r="AC206" s="134" t="s">
        <v>1752</v>
      </c>
      <c r="AD206" s="9" t="s">
        <v>828</v>
      </c>
      <c r="AE206" s="171">
        <f ca="1">SUMIFS(Покупка!AE$25:AE$150,Покупка!$F$25:$F$150,$F206,Покупка!$AC$25:$AC$150,$G206)</f>
        <v>0</v>
      </c>
      <c r="AF206" s="171">
        <f ca="1">SUMIFS(Покупка!AF$25:AF$150,Покупка!$F$25:$F$150,$F206,Покупка!$AC$25:$AC$150,$G206)</f>
        <v>0</v>
      </c>
      <c r="AG206" s="171">
        <f ca="1">SUMIFS(Покупка!AG$25:AG$150,Покупка!$F$25:$F$150,$F206,Покупка!$AC$25:$AC$150,$G206)</f>
        <v>0</v>
      </c>
      <c r="AH206" s="171">
        <f t="shared" ca="1" si="13"/>
        <v>0</v>
      </c>
      <c r="AI206" s="171">
        <f ca="1">SUMIFS(Покупка!AH$25:AH$150,Покупка!$F$25:$F$150,$F206,Покупка!$AC$25:$AC$150,$G206)</f>
        <v>0</v>
      </c>
      <c r="AJ206" s="171">
        <f ca="1">SUMIFS(Покупка!AI$25:AI$150,Покупка!$F$25:$F$150,$F206,Покупка!$AC$25:$AC$150,$G206)</f>
        <v>0</v>
      </c>
      <c r="AK206" s="171">
        <f ca="1">SUMIFS(Покупка!AS$25:AS$150,Покупка!$F$25:$F$150,$F206,Покупка!$AC$25:$AC$150,$G206)</f>
        <v>0</v>
      </c>
      <c r="AL206" s="171">
        <f t="shared" ca="1" si="14"/>
        <v>0</v>
      </c>
      <c r="AM206" s="196"/>
      <c r="AN206" s="601" t="str">
        <f ca="1">IF(IFERROR(INDEX(Покупка!$K$26:$L$150,MATCH($F206&amp;"7komm",Покупка!$K$26:$K$150,0),2),"")=0,"",IFERROR(INDEX(Покупка!$K$26:$L$150,MATCH($F206&amp;"7komm",Покупка!$K$26:$K$150,0),2),""))</f>
        <v/>
      </c>
      <c r="AO206" s="196"/>
      <c r="AR206" s="694" t="s">
        <v>1151</v>
      </c>
    </row>
    <row r="207" spans="1:48" ht="14.25" customHeight="1" x14ac:dyDescent="0.25">
      <c r="E207" s="504">
        <v>15</v>
      </c>
      <c r="F207" s="3" t="str" cm="1">
        <f t="array" aca="1" ref="F207" ca="1">OFFSET(E207,-1,1)</f>
        <v>2</v>
      </c>
      <c r="G207" s="278" t="s">
        <v>1154</v>
      </c>
      <c r="I207" s="38" t="s">
        <v>1510</v>
      </c>
      <c r="J207" s="38"/>
      <c r="K207" s="38"/>
      <c r="L207" s="38"/>
      <c r="M207" s="38"/>
      <c r="N207" s="38"/>
      <c r="O207" s="38"/>
      <c r="P207" s="38"/>
      <c r="Q207" s="38"/>
      <c r="R207" s="38"/>
      <c r="S207" s="38"/>
      <c r="T207" s="353" t="b" cm="1">
        <f t="array" ref="T207">T206</f>
        <v>1</v>
      </c>
      <c r="X207" s="1078"/>
      <c r="Z207" s="1079"/>
      <c r="AB207" s="133" t="s">
        <v>1753</v>
      </c>
      <c r="AC207" s="134" t="s">
        <v>1754</v>
      </c>
      <c r="AD207" s="9" t="s">
        <v>828</v>
      </c>
      <c r="AE207" s="171">
        <f ca="1">SUMIFS(Покупка!AE$25:AE$150,Покупка!$F$25:$F$150,$F207,Покупка!$AC$25:$AC$150,$G207)</f>
        <v>0</v>
      </c>
      <c r="AF207" s="171">
        <f ca="1">SUMIFS(Покупка!AF$25:AF$150,Покупка!$F$25:$F$150,$F207,Покупка!$AC$25:$AC$150,$G207)</f>
        <v>0</v>
      </c>
      <c r="AG207" s="171">
        <f ca="1">SUMIFS(Покупка!AG$25:AG$150,Покупка!$F$25:$F$150,$F207,Покупка!$AC$25:$AC$150,$G207)</f>
        <v>0</v>
      </c>
      <c r="AH207" s="171">
        <f t="shared" ca="1" si="13"/>
        <v>0</v>
      </c>
      <c r="AI207" s="171">
        <f ca="1">SUMIFS(Покупка!AH$25:AH$150,Покупка!$F$25:$F$150,$F207,Покупка!$AC$25:$AC$150,$G207)</f>
        <v>0</v>
      </c>
      <c r="AJ207" s="171">
        <f ca="1">SUMIFS(Покупка!AI$25:AI$150,Покупка!$F$25:$F$150,$F207,Покупка!$AC$25:$AC$150,$G207)</f>
        <v>0</v>
      </c>
      <c r="AK207" s="171">
        <f ca="1">SUMIFS(Покупка!AS$25:AS$150,Покупка!$F$25:$F$150,$F207,Покупка!$AC$25:$AC$150,$G207)</f>
        <v>0</v>
      </c>
      <c r="AL207" s="171">
        <f t="shared" ca="1" si="14"/>
        <v>0</v>
      </c>
      <c r="AM207" s="196"/>
      <c r="AN207" s="601" t="str">
        <f ca="1">IF(IFERROR(INDEX(Покупка!$K$26:$L$150,MATCH($F207&amp;"9komm",Покупка!$K$26:$K$150,0),2),"")=0,"",IFERROR(INDEX(Покупка!$K$26:$L$150,MATCH($F207&amp;"9komm",Покупка!$K$26:$K$150,0),2),""))</f>
        <v/>
      </c>
      <c r="AO207" s="196"/>
      <c r="AR207" s="694" t="s">
        <v>1155</v>
      </c>
    </row>
    <row r="208" spans="1:48" ht="14.25" customHeight="1" x14ac:dyDescent="0.25">
      <c r="E208" s="504">
        <v>15</v>
      </c>
      <c r="F208" s="3" t="str" cm="1">
        <f t="array" aca="1" ref="F208" ca="1">OFFSET(E208,-1,1)</f>
        <v>2</v>
      </c>
      <c r="G208" s="278" t="s">
        <v>1116</v>
      </c>
      <c r="I208" s="38" t="s">
        <v>1514</v>
      </c>
      <c r="J208" s="38"/>
      <c r="K208" s="38"/>
      <c r="L208" s="38"/>
      <c r="M208" s="38"/>
      <c r="N208" s="38"/>
      <c r="O208" s="38"/>
      <c r="P208" s="38"/>
      <c r="Q208" s="38"/>
      <c r="R208" s="38"/>
      <c r="S208" s="38"/>
      <c r="T208" s="353" t="b" cm="1">
        <f t="array" ref="T208">T207</f>
        <v>1</v>
      </c>
      <c r="X208" s="1078"/>
      <c r="Z208" s="1079"/>
      <c r="AB208" s="133" t="s">
        <v>1755</v>
      </c>
      <c r="AC208" s="134" t="s">
        <v>1756</v>
      </c>
      <c r="AD208" s="9" t="s">
        <v>828</v>
      </c>
      <c r="AE208" s="171">
        <f ca="1">SUMIFS(Покупка!AE$25:AE$150,Покупка!$F$25:$F$150,$F208,Покупка!$AC$25:$AC$150,$G208)</f>
        <v>0</v>
      </c>
      <c r="AF208" s="171">
        <f ca="1">SUMIFS(Покупка!AF$25:AF$150,Покупка!$F$25:$F$150,$F208,Покупка!$AC$25:$AC$150,$G208)</f>
        <v>0</v>
      </c>
      <c r="AG208" s="171">
        <f ca="1">SUMIFS(Покупка!AG$25:AG$150,Покупка!$F$25:$F$150,$F208,Покупка!$AC$25:$AC$150,$G208)</f>
        <v>0</v>
      </c>
      <c r="AH208" s="171">
        <f t="shared" ca="1" si="13"/>
        <v>0</v>
      </c>
      <c r="AI208" s="171">
        <f ca="1">SUMIFS(Покупка!AH$25:AH$150,Покупка!$F$25:$F$150,$F208,Покупка!$AC$25:$AC$150,$G208)</f>
        <v>0</v>
      </c>
      <c r="AJ208" s="171">
        <f ca="1">SUMIFS(Покупка!AI$25:AI$150,Покупка!$F$25:$F$150,$F208,Покупка!$AC$25:$AC$150,$G208)</f>
        <v>0</v>
      </c>
      <c r="AK208" s="171">
        <f ca="1">SUMIFS(Покупка!AS$25:AS$150,Покупка!$F$25:$F$150,$F208,Покупка!$AC$25:$AC$150,$G208)</f>
        <v>0</v>
      </c>
      <c r="AL208" s="171">
        <f t="shared" ca="1" si="14"/>
        <v>0</v>
      </c>
      <c r="AM208" s="196"/>
      <c r="AN208" s="601" t="str">
        <f ca="1">IF(IFERROR(INDEX(Покупка!$K$26:$L$150,MATCH($F208&amp;"1komm",Покупка!$K$26:$K$150,0),2),"")=0,"",IFERROR(INDEX(Покупка!$K$26:$L$150,MATCH($F208&amp;"1komm",Покупка!$K$26:$K$150,0),2),""))</f>
        <v/>
      </c>
      <c r="AO208" s="196"/>
      <c r="AR208" s="694" t="s">
        <v>1757</v>
      </c>
    </row>
    <row r="209" spans="1:48" ht="14.25" customHeight="1" x14ac:dyDescent="0.25">
      <c r="E209" s="504">
        <v>15</v>
      </c>
      <c r="F209" s="3" t="str" cm="1">
        <f t="array" aca="1" ref="F209" ca="1">OFFSET(E209,-1,1)</f>
        <v>2</v>
      </c>
      <c r="G209" s="278" t="s">
        <v>1125</v>
      </c>
      <c r="I209" s="38" t="s">
        <v>1519</v>
      </c>
      <c r="J209" s="38"/>
      <c r="K209" s="38"/>
      <c r="L209" s="38"/>
      <c r="M209" s="38"/>
      <c r="N209" s="38"/>
      <c r="O209" s="38"/>
      <c r="P209" s="38"/>
      <c r="Q209" s="38"/>
      <c r="R209" s="38"/>
      <c r="S209" s="38"/>
      <c r="T209" s="353" t="b" cm="1">
        <f t="array" ref="T209">T208</f>
        <v>1</v>
      </c>
      <c r="X209" s="1078"/>
      <c r="Z209" s="1079"/>
      <c r="AB209" s="133" t="s">
        <v>1758</v>
      </c>
      <c r="AC209" s="134" t="s">
        <v>1759</v>
      </c>
      <c r="AD209" s="9" t="s">
        <v>828</v>
      </c>
      <c r="AE209" s="171">
        <f ca="1">SUMIFS(Покупка!AE$25:AE$150,Покупка!$F$25:$F$150,$F209,Покупка!$AC$25:$AC$150,$G209)</f>
        <v>0</v>
      </c>
      <c r="AF209" s="171">
        <f ca="1">SUMIFS(Покупка!AF$25:AF$150,Покупка!$F$25:$F$150,$F209,Покупка!$AC$25:$AC$150,$G209)</f>
        <v>0</v>
      </c>
      <c r="AG209" s="171">
        <f ca="1">SUMIFS(Покупка!AG$25:AG$150,Покупка!$F$25:$F$150,$F209,Покупка!$AC$25:$AC$150,$G209)</f>
        <v>0</v>
      </c>
      <c r="AH209" s="171">
        <f t="shared" ca="1" si="13"/>
        <v>0</v>
      </c>
      <c r="AI209" s="171">
        <f ca="1">SUMIFS(Покупка!AH$25:AH$150,Покупка!$F$25:$F$150,$F209,Покупка!$AC$25:$AC$150,$G209)</f>
        <v>0</v>
      </c>
      <c r="AJ209" s="171">
        <f ca="1">SUMIFS(Покупка!AI$25:AI$150,Покупка!$F$25:$F$150,$F209,Покупка!$AC$25:$AC$150,$G209)</f>
        <v>0</v>
      </c>
      <c r="AK209" s="171">
        <f ca="1">SUMIFS(Покупка!AS$25:AS$150,Покупка!$F$25:$F$150,$F209,Покупка!$AC$25:$AC$150,$G209)</f>
        <v>0</v>
      </c>
      <c r="AL209" s="171">
        <f t="shared" ca="1" si="14"/>
        <v>0</v>
      </c>
      <c r="AM209" s="196"/>
      <c r="AN209" s="601" t="str">
        <f ca="1">IF(IFERROR(INDEX(Покупка!$K$26:$L$150,MATCH($F209&amp;"2komm",Покупка!$K$26:$K$150,0),2),"")=0,"",IFERROR(INDEX(Покупка!$K$26:$L$150,MATCH($F209&amp;"2komm",Покупка!$K$26:$K$150,0),2),""))</f>
        <v/>
      </c>
      <c r="AO209" s="196"/>
      <c r="AR209" s="694" t="s">
        <v>1760</v>
      </c>
    </row>
    <row r="210" spans="1:48" ht="14.25" customHeight="1" x14ac:dyDescent="0.25">
      <c r="E210" s="504">
        <v>15</v>
      </c>
      <c r="F210" s="3" t="str" cm="1">
        <f t="array" aca="1" ref="F210" ca="1">OFFSET(E210,-1,1)</f>
        <v>2</v>
      </c>
      <c r="G210" s="278" t="s">
        <v>1130</v>
      </c>
      <c r="I210" s="38" t="s">
        <v>1528</v>
      </c>
      <c r="J210" s="38"/>
      <c r="K210" s="38"/>
      <c r="L210" s="38"/>
      <c r="M210" s="38"/>
      <c r="N210" s="38"/>
      <c r="O210" s="38"/>
      <c r="P210" s="38"/>
      <c r="Q210" s="38"/>
      <c r="R210" s="38"/>
      <c r="S210" s="38"/>
      <c r="T210" s="353" t="b" cm="1">
        <f t="array" ref="T210">T209</f>
        <v>1</v>
      </c>
      <c r="X210" s="1078"/>
      <c r="Z210" s="1079"/>
      <c r="AB210" s="133" t="s">
        <v>1761</v>
      </c>
      <c r="AC210" s="134" t="s">
        <v>1762</v>
      </c>
      <c r="AD210" s="9" t="s">
        <v>828</v>
      </c>
      <c r="AE210" s="171">
        <f ca="1">SUMIFS(Покупка!AE$25:AE$150,Покупка!$F$25:$F$150,$F210,Покупка!$AC$25:$AC$150,$G210)</f>
        <v>0</v>
      </c>
      <c r="AF210" s="171">
        <f ca="1">SUMIFS(Покупка!AF$25:AF$150,Покупка!$F$25:$F$150,$F210,Покупка!$AC$25:$AC$150,$G210)</f>
        <v>0</v>
      </c>
      <c r="AG210" s="171">
        <f ca="1">SUMIFS(Покупка!AG$25:AG$150,Покупка!$F$25:$F$150,$F210,Покупка!$AC$25:$AC$150,$G210)</f>
        <v>0</v>
      </c>
      <c r="AH210" s="171">
        <f t="shared" ca="1" si="13"/>
        <v>0</v>
      </c>
      <c r="AI210" s="171">
        <f ca="1">SUMIFS(Покупка!AH$25:AH$150,Покупка!$F$25:$F$150,$F210,Покупка!$AC$25:$AC$150,$G210)</f>
        <v>0</v>
      </c>
      <c r="AJ210" s="171">
        <f ca="1">SUMIFS(Покупка!AI$25:AI$150,Покупка!$F$25:$F$150,$F210,Покупка!$AC$25:$AC$150,$G210)</f>
        <v>0</v>
      </c>
      <c r="AK210" s="171">
        <f ca="1">SUMIFS(Покупка!AS$25:AS$150,Покупка!$F$25:$F$150,$F210,Покупка!$AC$25:$AC$150,$G210)</f>
        <v>0</v>
      </c>
      <c r="AL210" s="171">
        <f t="shared" ca="1" si="14"/>
        <v>0</v>
      </c>
      <c r="AM210" s="196"/>
      <c r="AN210" s="601" t="str">
        <f ca="1">IF(IFERROR(INDEX(Покупка!$K$26:$L$150,MATCH($F210&amp;"3komm",Покупка!$K$26:$K$150,0),2),"")=0,"",IFERROR(INDEX(Покупка!$K$26:$L$150,MATCH($F210&amp;"3komm",Покупка!$K$26:$K$150,0),2),""))</f>
        <v/>
      </c>
      <c r="AO210" s="196"/>
      <c r="AR210" s="694" t="s">
        <v>1763</v>
      </c>
    </row>
    <row r="211" spans="1:48" ht="14.25" customHeight="1" x14ac:dyDescent="0.25">
      <c r="E211" s="504">
        <v>15</v>
      </c>
      <c r="F211" s="3" t="str" cm="1">
        <f t="array" aca="1" ref="F211" ca="1">OFFSET(E211,-1,1)</f>
        <v>2</v>
      </c>
      <c r="G211" s="278" t="s">
        <v>1136</v>
      </c>
      <c r="I211" s="38" t="s">
        <v>1533</v>
      </c>
      <c r="J211" s="38"/>
      <c r="K211" s="38"/>
      <c r="L211" s="38"/>
      <c r="M211" s="38"/>
      <c r="N211" s="38"/>
      <c r="O211" s="38"/>
      <c r="P211" s="38"/>
      <c r="Q211" s="38"/>
      <c r="R211" s="38"/>
      <c r="S211" s="38"/>
      <c r="T211" s="353" t="b" cm="1">
        <f t="array" ref="T211">T210</f>
        <v>1</v>
      </c>
      <c r="X211" s="1078"/>
      <c r="Z211" s="1079"/>
      <c r="AB211" s="133" t="s">
        <v>1764</v>
      </c>
      <c r="AC211" s="134" t="s">
        <v>1765</v>
      </c>
      <c r="AD211" s="9" t="s">
        <v>828</v>
      </c>
      <c r="AE211" s="171">
        <f ca="1">SUMIFS(Покупка!AE$25:AE$150,Покупка!$F$25:$F$150,$F211,Покупка!$AC$25:$AC$150,$G211)</f>
        <v>132.99834370569999</v>
      </c>
      <c r="AF211" s="171">
        <f ca="1">SUMIFS(Покупка!AF$25:AF$150,Покупка!$F$25:$F$150,$F211,Покупка!$AC$25:$AC$150,$G211)</f>
        <v>164.492367712</v>
      </c>
      <c r="AG211" s="171">
        <f ca="1">SUMIFS(Покупка!AG$25:AG$150,Покупка!$F$25:$F$150,$F211,Покупка!$AC$25:$AC$150,$G211)</f>
        <v>164.66</v>
      </c>
      <c r="AH211" s="171">
        <f t="shared" ca="1" si="13"/>
        <v>0.16763228799999297</v>
      </c>
      <c r="AI211" s="171">
        <f ca="1">SUMIFS(Покупка!AH$25:AH$150,Покупка!$F$25:$F$150,$F211,Покупка!$AC$25:$AC$150,$G211)</f>
        <v>168.97</v>
      </c>
      <c r="AJ211" s="171">
        <f ca="1">SUMIFS(Покупка!AI$25:AI$150,Покупка!$F$25:$F$150,$F211,Покупка!$AC$25:$AC$150,$G211)</f>
        <v>241.71289999999999</v>
      </c>
      <c r="AK211" s="171">
        <f ca="1">SUMIFS(Покупка!AS$25:AS$150,Покупка!$F$25:$F$150,$F211,Покупка!$AC$25:$AC$150,$G211)</f>
        <v>182.26</v>
      </c>
      <c r="AL211" s="171">
        <f t="shared" ca="1" si="14"/>
        <v>7.8653015328164706</v>
      </c>
      <c r="AM211" s="196"/>
      <c r="AN211" s="601" t="str">
        <f ca="1">IF(IFERROR(INDEX(Покупка!$K$26:$L$150,MATCH($F211&amp;"4komm",Покупка!$K$26:$K$150,0),2),"")=0,"",IFERROR(INDEX(Покупка!$K$26:$L$150,MATCH($F211&amp;"4komm",Покупка!$K$26:$K$150,0),2),""))</f>
        <v/>
      </c>
      <c r="AO211" s="196"/>
      <c r="AR211" s="694" t="s">
        <v>1766</v>
      </c>
    </row>
    <row r="212" spans="1:48" ht="14.25" customHeight="1" x14ac:dyDescent="0.25">
      <c r="E212" s="504">
        <v>15</v>
      </c>
      <c r="F212" s="3" t="str" cm="1">
        <f t="array" aca="1" ref="F212" ca="1">OFFSET(E212,-1,1)</f>
        <v>2</v>
      </c>
      <c r="G212" s="278" t="s">
        <v>1142</v>
      </c>
      <c r="I212" s="38" t="s">
        <v>1543</v>
      </c>
      <c r="J212" s="38"/>
      <c r="K212" s="38"/>
      <c r="L212" s="38"/>
      <c r="M212" s="38"/>
      <c r="N212" s="38"/>
      <c r="O212" s="38"/>
      <c r="P212" s="38"/>
      <c r="Q212" s="38"/>
      <c r="R212" s="38"/>
      <c r="S212" s="38"/>
      <c r="T212" s="353" t="b" cm="1">
        <f t="array" ref="T212">T211</f>
        <v>1</v>
      </c>
      <c r="X212" s="1078"/>
      <c r="Z212" s="1079"/>
      <c r="AB212" s="133" t="s">
        <v>1767</v>
      </c>
      <c r="AC212" s="134" t="s">
        <v>1768</v>
      </c>
      <c r="AD212" s="9" t="s">
        <v>828</v>
      </c>
      <c r="AE212" s="171">
        <f ca="1">SUMIFS(Покупка!AE$25:AE$150,Покупка!$F$25:$F$150,$F212,Покупка!$AC$25:$AC$150,$G212)</f>
        <v>0</v>
      </c>
      <c r="AF212" s="171">
        <f ca="1">SUMIFS(Покупка!AF$25:AF$150,Покупка!$F$25:$F$150,$F212,Покупка!$AC$25:$AC$150,$G212)</f>
        <v>0</v>
      </c>
      <c r="AG212" s="171">
        <f ca="1">SUMIFS(Покупка!AG$25:AG$150,Покупка!$F$25:$F$150,$F212,Покупка!$AC$25:$AC$150,$G212)</f>
        <v>0</v>
      </c>
      <c r="AH212" s="171">
        <f t="shared" ca="1" si="13"/>
        <v>0</v>
      </c>
      <c r="AI212" s="171">
        <f ca="1">SUMIFS(Покупка!AH$25:AH$150,Покупка!$F$25:$F$150,$F212,Покупка!$AC$25:$AC$150,$G212)</f>
        <v>0</v>
      </c>
      <c r="AJ212" s="171">
        <f ca="1">SUMIFS(Покупка!AI$25:AI$150,Покупка!$F$25:$F$150,$F212,Покупка!$AC$25:$AC$150,$G212)</f>
        <v>0</v>
      </c>
      <c r="AK212" s="171">
        <f ca="1">SUMIFS(Покупка!AS$25:AS$150,Покупка!$F$25:$F$150,$F212,Покупка!$AC$25:$AC$150,$G212)</f>
        <v>0</v>
      </c>
      <c r="AL212" s="171">
        <f t="shared" ca="1" si="14"/>
        <v>0</v>
      </c>
      <c r="AM212" s="196"/>
      <c r="AN212" s="601" t="str">
        <f ca="1">IF(IFERROR(INDEX(Покупка!$K$26:$L$150,MATCH($F212&amp;"5komm",Покупка!$K$26:$K$150,0),2),"")=0,"",IFERROR(INDEX(Покупка!$K$26:$L$150,MATCH($F212&amp;"5komm",Покупка!$K$26:$K$150,0),2),""))</f>
        <v/>
      </c>
      <c r="AO212" s="196"/>
      <c r="AR212" s="694" t="s">
        <v>1769</v>
      </c>
    </row>
    <row r="213" spans="1:48" s="868" customFormat="1" ht="43.5" customHeight="1" x14ac:dyDescent="0.25">
      <c r="A213" s="423"/>
      <c r="B213" s="423"/>
      <c r="C213" s="423"/>
      <c r="D213" s="423"/>
      <c r="E213" s="505">
        <v>45</v>
      </c>
      <c r="F213" s="3" t="str" cm="1">
        <f t="array" aca="1" ref="F213" ca="1">OFFSET(E213,-1,1)</f>
        <v>2</v>
      </c>
      <c r="G213" s="423"/>
      <c r="H213" s="423"/>
      <c r="I213" s="154" t="s">
        <v>489</v>
      </c>
      <c r="J213" s="154"/>
      <c r="K213" s="154"/>
      <c r="L213" s="154"/>
      <c r="M213" s="154"/>
      <c r="N213" s="154"/>
      <c r="O213" s="154"/>
      <c r="P213" s="154"/>
      <c r="Q213" s="154"/>
      <c r="R213" s="154"/>
      <c r="S213" s="154"/>
      <c r="T213" s="353" t="b" cm="1">
        <f t="array" ref="T213">T212</f>
        <v>1</v>
      </c>
      <c r="U213" s="423"/>
      <c r="V213" s="423"/>
      <c r="W213" s="423"/>
      <c r="X213" s="1078"/>
      <c r="Y213" s="423"/>
      <c r="Z213" s="1079"/>
      <c r="AA213" s="423"/>
      <c r="AB213" s="131" t="s">
        <v>945</v>
      </c>
      <c r="AC213" s="263" t="s">
        <v>1770</v>
      </c>
      <c r="AD213" s="147" t="s">
        <v>828</v>
      </c>
      <c r="AE213" s="138"/>
      <c r="AF213" s="138"/>
      <c r="AG213" s="138"/>
      <c r="AH213" s="126">
        <f t="shared" si="13"/>
        <v>0</v>
      </c>
      <c r="AI213" s="138"/>
      <c r="AJ213" s="138"/>
      <c r="AK213" s="138"/>
      <c r="AL213" s="126">
        <f t="shared" si="14"/>
        <v>0</v>
      </c>
      <c r="AM213" s="556"/>
      <c r="AN213" s="556"/>
      <c r="AO213" s="556"/>
      <c r="AP213" s="423"/>
      <c r="AQ213" s="423"/>
      <c r="AR213" s="695" t="s">
        <v>1771</v>
      </c>
      <c r="AS213" s="695"/>
      <c r="AT213" s="695"/>
      <c r="AU213" s="505"/>
      <c r="AV213" s="505"/>
    </row>
    <row r="214" spans="1:48" s="868" customFormat="1" ht="43.5" customHeight="1" x14ac:dyDescent="0.25">
      <c r="A214" s="423"/>
      <c r="B214" s="423"/>
      <c r="C214" s="423"/>
      <c r="D214" s="423"/>
      <c r="E214" s="505">
        <v>45</v>
      </c>
      <c r="F214" s="3" t="str" cm="1">
        <f t="array" aca="1" ref="F214" ca="1">OFFSET(E214,-1,1)</f>
        <v>2</v>
      </c>
      <c r="G214" s="423"/>
      <c r="H214" s="423"/>
      <c r="I214" s="154" t="s">
        <v>493</v>
      </c>
      <c r="J214" s="154"/>
      <c r="K214" s="154"/>
      <c r="L214" s="154"/>
      <c r="M214" s="154"/>
      <c r="N214" s="154"/>
      <c r="O214" s="154"/>
      <c r="P214" s="154"/>
      <c r="Q214" s="154"/>
      <c r="R214" s="154"/>
      <c r="S214" s="154"/>
      <c r="T214" s="353" t="b" cm="1">
        <f t="array" ref="T214">T213</f>
        <v>1</v>
      </c>
      <c r="U214" s="423"/>
      <c r="V214" s="423"/>
      <c r="W214" s="423"/>
      <c r="X214" s="1078"/>
      <c r="Y214" s="423"/>
      <c r="Z214" s="1079"/>
      <c r="AA214" s="423"/>
      <c r="AB214" s="131" t="s">
        <v>948</v>
      </c>
      <c r="AC214" s="263" t="s">
        <v>1772</v>
      </c>
      <c r="AD214" s="147" t="s">
        <v>828</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6"/>
      <c r="AN214" s="556"/>
      <c r="AO214" s="556"/>
      <c r="AP214" s="423"/>
      <c r="AQ214" s="423"/>
      <c r="AR214" s="695" t="s">
        <v>1773</v>
      </c>
      <c r="AS214" s="695"/>
      <c r="AT214" s="695"/>
      <c r="AU214" s="505"/>
      <c r="AV214" s="505"/>
    </row>
    <row r="215" spans="1:48" ht="14.25" customHeight="1" x14ac:dyDescent="0.25">
      <c r="E215" s="504">
        <v>15</v>
      </c>
      <c r="F215" s="3" t="str" cm="1">
        <f t="array" aca="1" ref="F215" ca="1">OFFSET(E215,-1,1)</f>
        <v>2</v>
      </c>
      <c r="G215" s="253" t="s">
        <v>1162</v>
      </c>
      <c r="I215" s="38" t="s">
        <v>1371</v>
      </c>
      <c r="J215" s="38"/>
      <c r="K215" s="38"/>
      <c r="L215" s="38"/>
      <c r="M215" s="38"/>
      <c r="N215" s="38"/>
      <c r="O215" s="38"/>
      <c r="P215" s="154"/>
      <c r="Q215" s="38"/>
      <c r="R215" s="38"/>
      <c r="S215" s="38"/>
      <c r="T215" s="353" t="b" cm="1">
        <f t="array" ref="T215">T214</f>
        <v>1</v>
      </c>
      <c r="X215" s="1078"/>
      <c r="Z215" s="1079"/>
      <c r="AB215" s="133" t="s">
        <v>1087</v>
      </c>
      <c r="AC215" s="134" t="s">
        <v>1774</v>
      </c>
      <c r="AD215" s="9" t="s">
        <v>828</v>
      </c>
      <c r="AE215" s="171">
        <f ca="1">SUMIFS(ФОТ!AE$25:AE$127,ФОТ!$F$25:$F$127,$F215,ФОТ!$G$25:$G$127,$G215)</f>
        <v>0</v>
      </c>
      <c r="AF215" s="171">
        <f ca="1">SUMIFS(ФОТ!AF$25:AF$127,ФОТ!$F$25:$F$127,$F215,ФОТ!$G$25:$G$127,$G215)</f>
        <v>0</v>
      </c>
      <c r="AG215" s="171">
        <f ca="1">SUMIFS(ФОТ!AG$25:AG$127,ФОТ!$F$25:$F$127,$F215,ФОТ!$G$25:$G$127,$G215)</f>
        <v>0</v>
      </c>
      <c r="AH215" s="171">
        <f t="shared" ca="1" si="13"/>
        <v>0</v>
      </c>
      <c r="AI215" s="171">
        <f ca="1">SUMIFS(ФОТ!AH$25:AH$127,ФОТ!$F$25:$F$127,$F215,ФОТ!$G$25:$G$127,$G215)</f>
        <v>0</v>
      </c>
      <c r="AJ215" s="171">
        <f ca="1">SUMIFS(ФОТ!AI$25:AI$127,ФОТ!$F$25:$F$127,$F215,ФОТ!$G$25:$G$127,$G215)</f>
        <v>0</v>
      </c>
      <c r="AK215" s="171">
        <f ca="1">SUMIFS(ФОТ!AJ$25:AJ$127,ФОТ!$F$25:$F$127,$F215,ФОТ!$G$25:$G$127,$G215)</f>
        <v>0</v>
      </c>
      <c r="AL215" s="171">
        <f t="shared" ca="1" si="14"/>
        <v>0</v>
      </c>
      <c r="AM215" s="196"/>
      <c r="AN215" s="601" t="str">
        <f ca="1">IF(IFERROR(INDEX(ФОТ!$K$26:$L$127,MATCH($F215&amp;"1komm",ФОТ!$K$26:$K$127,0),2),"")=0,"",IFERROR(INDEX(ФОТ!$K$26:$L$127,MATCH($F215&amp;"1komm",ФОТ!$K$26:$K$127,0),2),""))</f>
        <v/>
      </c>
      <c r="AO215" s="196"/>
      <c r="AR215" s="694" t="s">
        <v>1775</v>
      </c>
    </row>
    <row r="216" spans="1:48" ht="21.75" customHeight="1" x14ac:dyDescent="0.25">
      <c r="E216" s="504">
        <v>22.5</v>
      </c>
      <c r="F216" s="3" t="str" cm="1">
        <f t="array" aca="1" ref="F216" ca="1">OFFSET(E216,-1,1)</f>
        <v>2</v>
      </c>
      <c r="G216" s="253" t="s">
        <v>1174</v>
      </c>
      <c r="I216" s="38" t="s">
        <v>1372</v>
      </c>
      <c r="J216" s="38"/>
      <c r="K216" s="38"/>
      <c r="L216" s="38"/>
      <c r="M216" s="38"/>
      <c r="N216" s="38"/>
      <c r="O216" s="38"/>
      <c r="P216" s="154"/>
      <c r="Q216" s="38"/>
      <c r="R216" s="38"/>
      <c r="S216" s="38"/>
      <c r="T216" s="353" t="b" cm="1">
        <f t="array" ref="T216">T215</f>
        <v>1</v>
      </c>
      <c r="X216" s="1078"/>
      <c r="Z216" s="1079"/>
      <c r="AB216" s="133" t="s">
        <v>1090</v>
      </c>
      <c r="AC216" s="134" t="s">
        <v>1776</v>
      </c>
      <c r="AD216" s="9" t="s">
        <v>828</v>
      </c>
      <c r="AE216" s="171">
        <f ca="1">SUMIFS(ФОТ!AE$25:AE$127,ФОТ!$F$25:$F$127,$F216,ФОТ!$G$25:$G$127,$G216)</f>
        <v>0</v>
      </c>
      <c r="AF216" s="171">
        <f ca="1">SUMIFS(ФОТ!AF$25:AF$127,ФОТ!$F$25:$F$127,$F216,ФОТ!$G$25:$G$127,$G216)</f>
        <v>0</v>
      </c>
      <c r="AG216" s="171">
        <f ca="1">SUMIFS(ФОТ!AG$25:AG$127,ФОТ!$F$25:$F$127,$F216,ФОТ!$G$25:$G$127,$G216)</f>
        <v>0</v>
      </c>
      <c r="AH216" s="171">
        <f t="shared" ca="1" si="13"/>
        <v>0</v>
      </c>
      <c r="AI216" s="171">
        <f ca="1">SUMIFS(ФОТ!AH$25:AH$127,ФОТ!$F$25:$F$127,$F216,ФОТ!$G$25:$G$127,$G216)</f>
        <v>0</v>
      </c>
      <c r="AJ216" s="171">
        <f ca="1">SUMIFS(ФОТ!AI$25:AI$127,ФОТ!$F$25:$F$127,$F216,ФОТ!$G$25:$G$127,$G216)</f>
        <v>0</v>
      </c>
      <c r="AK216" s="171">
        <f ca="1">SUMIFS(ФОТ!AJ$25:AJ$127,ФОТ!$F$25:$F$127,$F216,ФОТ!$G$25:$G$127,$G216)</f>
        <v>0</v>
      </c>
      <c r="AL216" s="171">
        <f t="shared" ca="1" si="14"/>
        <v>0</v>
      </c>
      <c r="AM216" s="196"/>
      <c r="AN216" s="601" t="str">
        <f ca="1">IF(IFERROR(INDEX(ФОТ!$K$26:$L$127,MATCH($F216&amp;"2komm",ФОТ!$K$26:$K$127,0),2),"")=0,"",IFERROR(INDEX(ФОТ!$K$26:$L$127,MATCH($F216&amp;"2komm",ФОТ!$K$26:$K$127,0),2),""))</f>
        <v/>
      </c>
      <c r="AO216" s="196"/>
      <c r="AR216" s="694" t="s">
        <v>1777</v>
      </c>
    </row>
    <row r="217" spans="1:48" s="868" customFormat="1" ht="14.25" customHeight="1" x14ac:dyDescent="0.25">
      <c r="A217" s="423"/>
      <c r="B217" s="423"/>
      <c r="C217" s="423"/>
      <c r="D217" s="423"/>
      <c r="E217" s="505">
        <v>15</v>
      </c>
      <c r="F217" s="3" t="str" cm="1">
        <f t="array" aca="1" ref="F217" ca="1">OFFSET(E217,-1,1)</f>
        <v>2</v>
      </c>
      <c r="G217" s="423"/>
      <c r="H217" s="423"/>
      <c r="I217" s="154" t="s">
        <v>951</v>
      </c>
      <c r="J217" s="154"/>
      <c r="K217" s="154"/>
      <c r="L217" s="154"/>
      <c r="M217" s="154"/>
      <c r="N217" s="154"/>
      <c r="O217" s="154"/>
      <c r="P217" s="154"/>
      <c r="Q217" s="154"/>
      <c r="R217" s="154"/>
      <c r="S217" s="154"/>
      <c r="T217" s="353" t="b" cm="1">
        <f t="array" ref="T217">T216</f>
        <v>1</v>
      </c>
      <c r="U217" s="423"/>
      <c r="V217" s="423"/>
      <c r="W217" s="423"/>
      <c r="X217" s="1078"/>
      <c r="Y217" s="423"/>
      <c r="Z217" s="1079"/>
      <c r="AA217" s="423"/>
      <c r="AB217" s="131" t="s">
        <v>952</v>
      </c>
      <c r="AC217" s="263" t="s">
        <v>1778</v>
      </c>
      <c r="AD217" s="147" t="s">
        <v>828</v>
      </c>
      <c r="AE217" s="138"/>
      <c r="AF217" s="138"/>
      <c r="AG217" s="138"/>
      <c r="AH217" s="126">
        <f t="shared" si="13"/>
        <v>0</v>
      </c>
      <c r="AI217" s="138"/>
      <c r="AJ217" s="138"/>
      <c r="AK217" s="138"/>
      <c r="AL217" s="126">
        <f t="shared" si="14"/>
        <v>0</v>
      </c>
      <c r="AM217" s="556"/>
      <c r="AN217" s="556"/>
      <c r="AO217" s="556"/>
      <c r="AP217" s="423"/>
      <c r="AQ217" s="423"/>
      <c r="AR217" s="695" t="s">
        <v>1350</v>
      </c>
      <c r="AS217" s="695"/>
      <c r="AT217" s="695"/>
      <c r="AU217" s="505"/>
      <c r="AV217" s="505"/>
    </row>
    <row r="218" spans="1:48" s="868" customFormat="1" ht="14.25" customHeight="1" x14ac:dyDescent="0.25">
      <c r="A218" s="423"/>
      <c r="B218" s="423"/>
      <c r="C218" s="423"/>
      <c r="D218" s="423"/>
      <c r="E218" s="505">
        <v>15</v>
      </c>
      <c r="F218" s="3" t="str" cm="1">
        <f t="array" aca="1" ref="F218" ca="1">OFFSET(E218,-1,1)</f>
        <v>2</v>
      </c>
      <c r="G218" s="423"/>
      <c r="H218" s="423"/>
      <c r="I218" s="154" t="s">
        <v>1779</v>
      </c>
      <c r="J218" s="154"/>
      <c r="K218" s="154"/>
      <c r="L218" s="154"/>
      <c r="M218" s="154"/>
      <c r="N218" s="154"/>
      <c r="O218" s="154"/>
      <c r="P218" s="154"/>
      <c r="Q218" s="154"/>
      <c r="R218" s="154"/>
      <c r="S218" s="154"/>
      <c r="T218" s="353" t="b" cm="1">
        <f t="array" ref="T218">T217</f>
        <v>1</v>
      </c>
      <c r="U218" s="423"/>
      <c r="V218" s="423"/>
      <c r="W218" s="423"/>
      <c r="X218" s="1078"/>
      <c r="Y218" s="423"/>
      <c r="Z218" s="1079"/>
      <c r="AA218" s="423"/>
      <c r="AB218" s="131" t="s">
        <v>1780</v>
      </c>
      <c r="AC218" s="263" t="s">
        <v>1781</v>
      </c>
      <c r="AD218" s="147" t="s">
        <v>828</v>
      </c>
      <c r="AE218" s="138"/>
      <c r="AF218" s="138"/>
      <c r="AG218" s="138"/>
      <c r="AH218" s="126">
        <f t="shared" si="13"/>
        <v>0</v>
      </c>
      <c r="AI218" s="138"/>
      <c r="AJ218" s="138"/>
      <c r="AK218" s="138"/>
      <c r="AL218" s="126">
        <f t="shared" si="14"/>
        <v>0</v>
      </c>
      <c r="AM218" s="556"/>
      <c r="AN218" s="556"/>
      <c r="AO218" s="556"/>
      <c r="AP218" s="423"/>
      <c r="AQ218" s="423"/>
      <c r="AR218" s="695" t="s">
        <v>1782</v>
      </c>
      <c r="AS218" s="695"/>
      <c r="AT218" s="695"/>
      <c r="AU218" s="505"/>
      <c r="AV218" s="505"/>
    </row>
    <row r="219" spans="1:48" s="868" customFormat="1" ht="14.25" customHeight="1" x14ac:dyDescent="0.25">
      <c r="A219" s="423"/>
      <c r="B219" s="423"/>
      <c r="C219" s="423"/>
      <c r="D219" s="423"/>
      <c r="E219" s="505">
        <v>15</v>
      </c>
      <c r="F219" s="3" t="str" cm="1">
        <f t="array" aca="1" ref="F219" ca="1">OFFSET(E219,-1,1)</f>
        <v>2</v>
      </c>
      <c r="G219" s="423"/>
      <c r="H219" s="423"/>
      <c r="I219" s="154" t="s">
        <v>1783</v>
      </c>
      <c r="J219" s="154"/>
      <c r="K219" s="154"/>
      <c r="L219" s="154"/>
      <c r="M219" s="154"/>
      <c r="N219" s="154"/>
      <c r="O219" s="154"/>
      <c r="P219" s="154"/>
      <c r="Q219" s="154"/>
      <c r="R219" s="154"/>
      <c r="S219" s="154"/>
      <c r="T219" s="353" t="b" cm="1">
        <f t="array" ref="T219">T218</f>
        <v>1</v>
      </c>
      <c r="U219" s="423"/>
      <c r="V219" s="423"/>
      <c r="W219" s="423"/>
      <c r="X219" s="1078"/>
      <c r="Y219" s="423"/>
      <c r="Z219" s="1079"/>
      <c r="AA219" s="423"/>
      <c r="AB219" s="131" t="s">
        <v>1784</v>
      </c>
      <c r="AC219" s="263" t="s">
        <v>1785</v>
      </c>
      <c r="AD219" s="147" t="s">
        <v>828</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6"/>
      <c r="AN219" s="556"/>
      <c r="AO219" s="556"/>
      <c r="AP219" s="423"/>
      <c r="AQ219" s="423"/>
      <c r="AR219" s="695" t="s">
        <v>1786</v>
      </c>
      <c r="AS219" s="695"/>
      <c r="AT219" s="695"/>
      <c r="AU219" s="505"/>
      <c r="AV219" s="505"/>
    </row>
    <row r="220" spans="1:48" ht="14.25" customHeight="1" x14ac:dyDescent="0.25">
      <c r="E220" s="504">
        <v>15</v>
      </c>
      <c r="F220" s="3" t="str" cm="1">
        <f t="array" aca="1" ref="F220" ca="1">OFFSET(E220,-1,1)</f>
        <v>2</v>
      </c>
      <c r="I220" s="38" t="s">
        <v>1783</v>
      </c>
      <c r="J220" s="278" t="s">
        <v>1787</v>
      </c>
      <c r="L220" s="38"/>
      <c r="M220" s="38"/>
      <c r="N220" s="38"/>
      <c r="O220" s="38"/>
      <c r="P220" s="38"/>
      <c r="Q220" s="38"/>
      <c r="R220" s="38"/>
      <c r="S220" s="38"/>
      <c r="T220" s="353" t="b" cm="1">
        <f t="array" ref="T220">T219</f>
        <v>1</v>
      </c>
      <c r="X220" s="1078"/>
      <c r="Z220" s="1079"/>
      <c r="AB220" s="133" t="s">
        <v>1788</v>
      </c>
      <c r="AC220" s="134" t="s">
        <v>1789</v>
      </c>
      <c r="AD220" s="9" t="s">
        <v>828</v>
      </c>
      <c r="AE220" s="128"/>
      <c r="AF220" s="128"/>
      <c r="AG220" s="128"/>
      <c r="AH220" s="171">
        <f t="shared" si="13"/>
        <v>0</v>
      </c>
      <c r="AI220" s="128"/>
      <c r="AJ220" s="128"/>
      <c r="AK220" s="128"/>
      <c r="AL220" s="171">
        <f t="shared" si="14"/>
        <v>0</v>
      </c>
      <c r="AM220" s="196"/>
      <c r="AN220" s="196"/>
      <c r="AO220" s="196"/>
      <c r="AR220" s="694" t="s">
        <v>1790</v>
      </c>
    </row>
    <row r="221" spans="1:48" ht="14.25" customHeight="1" x14ac:dyDescent="0.25">
      <c r="E221" s="504">
        <v>15</v>
      </c>
      <c r="F221" s="3" t="str" cm="1">
        <f t="array" aca="1" ref="F221" ca="1">OFFSET(E221,-1,1)</f>
        <v>2</v>
      </c>
      <c r="I221" s="38" t="s">
        <v>1783</v>
      </c>
      <c r="J221" s="278" t="s">
        <v>1791</v>
      </c>
      <c r="L221" s="38"/>
      <c r="M221" s="38"/>
      <c r="N221" s="38"/>
      <c r="O221" s="38"/>
      <c r="P221" s="38"/>
      <c r="Q221" s="38"/>
      <c r="R221" s="38"/>
      <c r="S221" s="38"/>
      <c r="T221" s="353" t="b" cm="1">
        <f t="array" ref="T221">T220</f>
        <v>1</v>
      </c>
      <c r="X221" s="1078"/>
      <c r="Z221" s="1079"/>
      <c r="AB221" s="133" t="s">
        <v>1792</v>
      </c>
      <c r="AC221" s="134" t="s">
        <v>1793</v>
      </c>
      <c r="AD221" s="9" t="s">
        <v>828</v>
      </c>
      <c r="AE221" s="128"/>
      <c r="AF221" s="128"/>
      <c r="AG221" s="128"/>
      <c r="AH221" s="171">
        <f t="shared" si="13"/>
        <v>0</v>
      </c>
      <c r="AI221" s="128"/>
      <c r="AJ221" s="128"/>
      <c r="AK221" s="128"/>
      <c r="AL221" s="171">
        <f t="shared" si="14"/>
        <v>0</v>
      </c>
      <c r="AM221" s="196"/>
      <c r="AN221" s="196"/>
      <c r="AO221" s="196"/>
      <c r="AR221" s="694" t="s">
        <v>1794</v>
      </c>
    </row>
    <row r="222" spans="1:48" ht="14.25" customHeight="1" x14ac:dyDescent="0.25">
      <c r="E222" s="504">
        <v>15</v>
      </c>
      <c r="F222" s="3" t="str" cm="1">
        <f t="array" aca="1" ref="F222" ca="1">OFFSET(E222,-1,1)</f>
        <v>2</v>
      </c>
      <c r="I222" s="38" t="s">
        <v>1783</v>
      </c>
      <c r="J222" s="278" t="s">
        <v>1795</v>
      </c>
      <c r="L222" s="38"/>
      <c r="M222" s="38"/>
      <c r="N222" s="38"/>
      <c r="O222" s="38"/>
      <c r="P222" s="38"/>
      <c r="Q222" s="38"/>
      <c r="R222" s="38"/>
      <c r="S222" s="38"/>
      <c r="T222" s="353" t="b" cm="1">
        <f t="array" ref="T222">T221</f>
        <v>1</v>
      </c>
      <c r="X222" s="1078"/>
      <c r="Z222" s="1079"/>
      <c r="AB222" s="133" t="s">
        <v>1796</v>
      </c>
      <c r="AC222" s="134" t="s">
        <v>1797</v>
      </c>
      <c r="AD222" s="9" t="s">
        <v>828</v>
      </c>
      <c r="AE222" s="128"/>
      <c r="AF222" s="128"/>
      <c r="AG222" s="128"/>
      <c r="AH222" s="171">
        <f t="shared" si="13"/>
        <v>0</v>
      </c>
      <c r="AI222" s="128"/>
      <c r="AJ222" s="128"/>
      <c r="AK222" s="128"/>
      <c r="AL222" s="171">
        <f t="shared" si="14"/>
        <v>0</v>
      </c>
      <c r="AM222" s="196"/>
      <c r="AN222" s="196"/>
      <c r="AO222" s="196"/>
      <c r="AR222" s="694" t="s">
        <v>1798</v>
      </c>
    </row>
    <row r="223" spans="1:48" ht="14.25" customHeight="1" x14ac:dyDescent="0.25">
      <c r="E223" s="504">
        <v>15</v>
      </c>
      <c r="F223" s="3" t="str" cm="1">
        <f t="array" aca="1" ref="F223" ca="1">OFFSET(E223,-1,1)</f>
        <v>2</v>
      </c>
      <c r="I223" s="38" t="s">
        <v>1783</v>
      </c>
      <c r="J223" s="278" t="s">
        <v>1799</v>
      </c>
      <c r="L223" s="38"/>
      <c r="M223" s="38"/>
      <c r="N223" s="38"/>
      <c r="O223" s="38"/>
      <c r="P223" s="38"/>
      <c r="Q223" s="38"/>
      <c r="R223" s="38"/>
      <c r="S223" s="38"/>
      <c r="T223" s="353" t="b" cm="1">
        <f t="array" ref="T223">T222</f>
        <v>1</v>
      </c>
      <c r="X223" s="1078"/>
      <c r="Z223" s="1079"/>
      <c r="AB223" s="133" t="s">
        <v>1800</v>
      </c>
      <c r="AC223" s="134" t="s">
        <v>1801</v>
      </c>
      <c r="AD223" s="9" t="s">
        <v>828</v>
      </c>
      <c r="AE223" s="128"/>
      <c r="AF223" s="128"/>
      <c r="AG223" s="128"/>
      <c r="AH223" s="171">
        <f t="shared" si="13"/>
        <v>0</v>
      </c>
      <c r="AI223" s="128"/>
      <c r="AJ223" s="128"/>
      <c r="AK223" s="128"/>
      <c r="AL223" s="171">
        <f t="shared" si="14"/>
        <v>0</v>
      </c>
      <c r="AM223" s="196"/>
      <c r="AN223" s="196"/>
      <c r="AO223" s="196"/>
      <c r="AR223" s="694" t="s">
        <v>1802</v>
      </c>
    </row>
    <row r="224" spans="1:48" ht="14.25" hidden="1" customHeight="1" x14ac:dyDescent="0.25">
      <c r="E224" s="504">
        <v>15</v>
      </c>
      <c r="F224" s="3" t="str" cm="1">
        <f t="array" aca="1" ref="F224" ca="1">OFFSET(E224,-1,1)</f>
        <v>2</v>
      </c>
      <c r="I224" s="38" t="s">
        <v>1783</v>
      </c>
      <c r="J224" s="278" cm="1">
        <f t="array" ref="J224">AC224</f>
        <v>0</v>
      </c>
      <c r="L224" s="38"/>
      <c r="M224" s="38"/>
      <c r="N224" s="38"/>
      <c r="O224" s="38"/>
      <c r="P224" s="38"/>
      <c r="Q224" s="38"/>
      <c r="R224" s="38"/>
      <c r="S224" s="38"/>
      <c r="T224" s="353" t="b">
        <f ca="1">AND(F224&gt;0,Y224&gt;4)</f>
        <v>0</v>
      </c>
      <c r="W224" s="517" t="s">
        <v>172</v>
      </c>
      <c r="X224" s="1078"/>
      <c r="Y224" s="278">
        <v>4</v>
      </c>
      <c r="Z224" s="1079"/>
      <c r="AA224" s="482" t="s">
        <v>173</v>
      </c>
      <c r="AB224" s="500" t="str">
        <f>"1.7."&amp;Y224</f>
        <v>1.7.4</v>
      </c>
      <c r="AC224" s="780"/>
      <c r="AD224" s="9" t="s">
        <v>828</v>
      </c>
      <c r="AE224" s="128"/>
      <c r="AF224" s="128"/>
      <c r="AG224" s="128"/>
      <c r="AH224" s="171">
        <f t="shared" si="13"/>
        <v>0</v>
      </c>
      <c r="AI224" s="128"/>
      <c r="AJ224" s="778"/>
      <c r="AK224" s="778"/>
      <c r="AL224" s="171">
        <f t="shared" si="14"/>
        <v>0</v>
      </c>
      <c r="AM224" s="775"/>
      <c r="AN224" s="775"/>
      <c r="AO224" s="775"/>
      <c r="AR224" s="694" t="s">
        <v>1803</v>
      </c>
      <c r="AS224" s="694" t="s">
        <v>1804</v>
      </c>
      <c r="AT224" s="694" cm="1">
        <f t="array" ref="AT224">AC224</f>
        <v>0</v>
      </c>
      <c r="AV224" s="504" t="b">
        <v>1</v>
      </c>
    </row>
    <row r="225" spans="1:48" ht="14.25" customHeight="1" x14ac:dyDescent="0.25">
      <c r="E225" s="504">
        <v>15</v>
      </c>
      <c r="F225" s="3" t="str" cm="1">
        <f t="array" aca="1" ref="F225" ca="1">OFFSET(E225,-1,1)</f>
        <v>2</v>
      </c>
      <c r="I225" s="17"/>
      <c r="J225" s="17" t="s">
        <v>1805</v>
      </c>
      <c r="K225" s="17"/>
      <c r="L225" s="17"/>
      <c r="M225" s="17"/>
      <c r="N225" s="17"/>
      <c r="O225" s="17"/>
      <c r="P225" s="17"/>
      <c r="Q225" s="17"/>
      <c r="R225" s="17"/>
      <c r="S225" s="17"/>
      <c r="T225" s="353" t="b">
        <f ca="1">F225&gt;0</f>
        <v>1</v>
      </c>
      <c r="W225" s="506" t="s">
        <v>397</v>
      </c>
      <c r="X225" s="1078"/>
      <c r="Z225" s="1079"/>
      <c r="AB225" s="546"/>
      <c r="AC225" s="172" t="s">
        <v>176</v>
      </c>
      <c r="AD225" s="547"/>
      <c r="AE225" s="547"/>
      <c r="AF225" s="547"/>
      <c r="AG225" s="547"/>
      <c r="AH225" s="547"/>
      <c r="AI225" s="547"/>
      <c r="AJ225" s="547"/>
      <c r="AK225" s="547"/>
      <c r="AL225" s="547"/>
      <c r="AM225" s="547"/>
      <c r="AN225" s="547"/>
      <c r="AO225" s="548"/>
      <c r="AU225" s="504" t="s">
        <v>1804</v>
      </c>
    </row>
    <row r="226" spans="1:48" s="868" customFormat="1" ht="14.25" customHeight="1" x14ac:dyDescent="0.25">
      <c r="A226" s="423"/>
      <c r="B226" s="423"/>
      <c r="C226" s="423"/>
      <c r="D226" s="423"/>
      <c r="E226" s="505">
        <v>15</v>
      </c>
      <c r="F226" s="3" t="str" cm="1">
        <f t="array" aca="1" ref="F226" ca="1">OFFSET(E226,-1,1)</f>
        <v>2</v>
      </c>
      <c r="G226" s="423"/>
      <c r="H226" s="423"/>
      <c r="I226" s="154" t="s">
        <v>332</v>
      </c>
      <c r="J226" s="154"/>
      <c r="K226" s="154"/>
      <c r="L226" s="154"/>
      <c r="M226" s="154"/>
      <c r="N226" s="154"/>
      <c r="O226" s="154"/>
      <c r="P226" s="154"/>
      <c r="Q226" s="154"/>
      <c r="R226" s="154"/>
      <c r="S226" s="154"/>
      <c r="T226" s="353" t="b" cm="1">
        <f t="array" aca="1" ref="T226" ca="1">T225</f>
        <v>1</v>
      </c>
      <c r="U226" s="423"/>
      <c r="V226" s="423"/>
      <c r="W226" s="423"/>
      <c r="X226" s="1078"/>
      <c r="Y226" s="423"/>
      <c r="Z226" s="1079"/>
      <c r="AA226" s="423"/>
      <c r="AB226" s="131" t="s">
        <v>285</v>
      </c>
      <c r="AC226" s="132" t="s">
        <v>1806</v>
      </c>
      <c r="AD226" s="124" t="s">
        <v>828</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6"/>
      <c r="AN226" s="556"/>
      <c r="AO226" s="556"/>
      <c r="AP226" s="423"/>
      <c r="AQ226" s="423"/>
      <c r="AR226" s="695" t="s">
        <v>1807</v>
      </c>
      <c r="AS226" s="695"/>
      <c r="AT226" s="695"/>
      <c r="AU226" s="505"/>
      <c r="AV226" s="505"/>
    </row>
    <row r="227" spans="1:48" ht="32.25" customHeight="1" x14ac:dyDescent="0.25">
      <c r="E227" s="504">
        <v>33.75</v>
      </c>
      <c r="F227" s="3" t="str" cm="1">
        <f t="array" aca="1" ref="F227" ca="1">OFFSET(E227,-1,1)</f>
        <v>2</v>
      </c>
      <c r="I227" s="38" t="s">
        <v>500</v>
      </c>
      <c r="J227" s="38"/>
      <c r="K227" s="38"/>
      <c r="L227" s="38"/>
      <c r="M227" s="38"/>
      <c r="N227" s="38"/>
      <c r="O227" s="38"/>
      <c r="P227" s="38"/>
      <c r="Q227" s="38"/>
      <c r="R227" s="38"/>
      <c r="S227" s="38"/>
      <c r="T227" s="353" t="b" cm="1">
        <f t="array" aca="1" ref="T227" ca="1">T226</f>
        <v>1</v>
      </c>
      <c r="X227" s="1078"/>
      <c r="Z227" s="1079"/>
      <c r="AB227" s="133" t="s">
        <v>561</v>
      </c>
      <c r="AC227" s="127" t="s">
        <v>1808</v>
      </c>
      <c r="AD227" s="7" t="s">
        <v>828</v>
      </c>
      <c r="AE227" s="128"/>
      <c r="AF227" s="128"/>
      <c r="AG227" s="128"/>
      <c r="AH227" s="171">
        <f t="shared" si="15"/>
        <v>0</v>
      </c>
      <c r="AI227" s="128"/>
      <c r="AJ227" s="128"/>
      <c r="AK227" s="128"/>
      <c r="AL227" s="171">
        <f t="shared" si="16"/>
        <v>0</v>
      </c>
      <c r="AM227" s="196"/>
      <c r="AN227" s="196"/>
      <c r="AO227" s="196"/>
      <c r="AR227" s="694" t="s">
        <v>1809</v>
      </c>
    </row>
    <row r="228" spans="1:48" ht="34.5" customHeight="1" x14ac:dyDescent="0.25">
      <c r="E228" s="504">
        <v>36</v>
      </c>
      <c r="F228" s="3" t="str" cm="1">
        <f t="array" aca="1" ref="F228" ca="1">OFFSET(E228,-1,1)</f>
        <v>2</v>
      </c>
      <c r="I228" s="38" t="s">
        <v>503</v>
      </c>
      <c r="J228" s="38"/>
      <c r="K228" s="38"/>
      <c r="L228" s="38"/>
      <c r="M228" s="38"/>
      <c r="N228" s="38"/>
      <c r="O228" s="38"/>
      <c r="P228" s="38"/>
      <c r="Q228" s="38"/>
      <c r="R228" s="38"/>
      <c r="S228" s="38"/>
      <c r="T228" s="353" t="b" cm="1">
        <f t="array" aca="1" ref="T228" ca="1">T227</f>
        <v>1</v>
      </c>
      <c r="X228" s="1078"/>
      <c r="Z228" s="1079"/>
      <c r="AB228" s="133" t="s">
        <v>565</v>
      </c>
      <c r="AC228" s="127" t="s">
        <v>1810</v>
      </c>
      <c r="AD228" s="7" t="s">
        <v>828</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4" t="s">
        <v>1811</v>
      </c>
    </row>
    <row r="229" spans="1:48" ht="14.25" customHeight="1" x14ac:dyDescent="0.25">
      <c r="E229" s="504">
        <v>15</v>
      </c>
      <c r="F229" s="3" t="str" cm="1">
        <f t="array" aca="1" ref="F229" ca="1">OFFSET(E229,-1,1)</f>
        <v>2</v>
      </c>
      <c r="G229" s="278" t="s">
        <v>1177</v>
      </c>
      <c r="I229" s="38" t="s">
        <v>1812</v>
      </c>
      <c r="J229" s="38"/>
      <c r="K229" s="38"/>
      <c r="L229" s="38"/>
      <c r="M229" s="38"/>
      <c r="N229" s="38"/>
      <c r="O229" s="38"/>
      <c r="P229" s="38"/>
      <c r="Q229" s="38"/>
      <c r="R229" s="38"/>
      <c r="S229" s="38"/>
      <c r="T229" s="353" t="b" cm="1">
        <f t="array" aca="1" ref="T229" ca="1">T228</f>
        <v>1</v>
      </c>
      <c r="X229" s="1078"/>
      <c r="Z229" s="1079"/>
      <c r="AB229" s="133" t="s">
        <v>514</v>
      </c>
      <c r="AC229" s="134" t="s">
        <v>1813</v>
      </c>
      <c r="AD229" s="7" t="s">
        <v>828</v>
      </c>
      <c r="AE229" s="171">
        <f ca="1">SUMIFS(ФОТ!AE$25:AE$127,ФОТ!$F$25:$F$127,$F229,ФОТ!$G$25:$G$127,$G229)</f>
        <v>0</v>
      </c>
      <c r="AF229" s="171">
        <f ca="1">SUMIFS(ФОТ!AF$25:AF$127,ФОТ!$F$25:$F$127,$F229,ФОТ!$G$25:$G$127,$G229)</f>
        <v>0</v>
      </c>
      <c r="AG229" s="171">
        <f ca="1">SUMIFS(ФОТ!AG$25:AG$127,ФОТ!$F$25:$F$127,$F229,ФОТ!$G$25:$G$127,$G229)</f>
        <v>0</v>
      </c>
      <c r="AH229" s="171">
        <f t="shared" ca="1" si="15"/>
        <v>0</v>
      </c>
      <c r="AI229" s="171">
        <f ca="1">SUMIFS(ФОТ!AH$25:AH$127,ФОТ!$F$25:$F$127,$F229,ФОТ!$G$25:$G$127,$G229)</f>
        <v>0</v>
      </c>
      <c r="AJ229" s="171">
        <f ca="1">SUMIFS(ФОТ!AI$25:AI$127,ФОТ!$F$25:$F$127,$F229,ФОТ!$G$25:$G$127,$G229)</f>
        <v>0</v>
      </c>
      <c r="AK229" s="171">
        <f ca="1">SUMIFS(ФОТ!AJ$25:AJ$127,ФОТ!$F$25:$F$127,$F229,ФОТ!$G$25:$G$127,$G229)</f>
        <v>0</v>
      </c>
      <c r="AL229" s="171">
        <f t="shared" ca="1" si="16"/>
        <v>0</v>
      </c>
      <c r="AM229" s="196"/>
      <c r="AN229" s="601" t="str">
        <f ca="1">IF(IFERROR(INDEX(ФОТ!$K$26:$L$127,MATCH($F229&amp;"3komm",ФОТ!$K$26:$K$127,0),2),"")=0,"",IFERROR(INDEX(ФОТ!$K$26:$L$127,MATCH($F229&amp;"3komm",ФОТ!$K$26:$K$127,0),2),""))</f>
        <v/>
      </c>
      <c r="AO229" s="196"/>
      <c r="AR229" s="694" t="s">
        <v>1814</v>
      </c>
    </row>
    <row r="230" spans="1:48" ht="21.75" customHeight="1" x14ac:dyDescent="0.25">
      <c r="E230" s="504">
        <v>22.5</v>
      </c>
      <c r="F230" s="3" t="str" cm="1">
        <f t="array" aca="1" ref="F230" ca="1">OFFSET(E230,-1,1)</f>
        <v>2</v>
      </c>
      <c r="G230" s="278" t="s">
        <v>1182</v>
      </c>
      <c r="I230" s="38" t="s">
        <v>1815</v>
      </c>
      <c r="J230" s="38"/>
      <c r="K230" s="38"/>
      <c r="L230" s="38"/>
      <c r="M230" s="38"/>
      <c r="N230" s="38"/>
      <c r="O230" s="38"/>
      <c r="P230" s="38"/>
      <c r="Q230" s="38"/>
      <c r="R230" s="38"/>
      <c r="S230" s="38"/>
      <c r="T230" s="353" t="b" cm="1">
        <f t="array" aca="1" ref="T230" ca="1">T229</f>
        <v>1</v>
      </c>
      <c r="X230" s="1078"/>
      <c r="Z230" s="1079"/>
      <c r="AB230" s="133" t="s">
        <v>1446</v>
      </c>
      <c r="AC230" s="134" t="s">
        <v>1816</v>
      </c>
      <c r="AD230" s="7" t="s">
        <v>828</v>
      </c>
      <c r="AE230" s="171">
        <f ca="1">SUMIFS(ФОТ!AE$25:AE$127,ФОТ!$F$25:$F$127,$F230,ФОТ!$G$25:$G$127,$G230)</f>
        <v>0</v>
      </c>
      <c r="AF230" s="171">
        <f ca="1">SUMIFS(ФОТ!AF$25:AF$127,ФОТ!$F$25:$F$127,$F230,ФОТ!$G$25:$G$127,$G230)</f>
        <v>0</v>
      </c>
      <c r="AG230" s="171">
        <f ca="1">SUMIFS(ФОТ!AG$25:AG$127,ФОТ!$F$25:$F$127,$F230,ФОТ!$G$25:$G$127,$G230)</f>
        <v>0</v>
      </c>
      <c r="AH230" s="171">
        <f t="shared" ca="1" si="15"/>
        <v>0</v>
      </c>
      <c r="AI230" s="171">
        <f ca="1">SUMIFS(ФОТ!AH$25:AH$127,ФОТ!$F$25:$F$127,$F230,ФОТ!$G$25:$G$127,$G230)</f>
        <v>0</v>
      </c>
      <c r="AJ230" s="171">
        <f ca="1">SUMIFS(ФОТ!AI$25:AI$127,ФОТ!$F$25:$F$127,$F230,ФОТ!$G$25:$G$127,$G230)</f>
        <v>0</v>
      </c>
      <c r="AK230" s="171">
        <f ca="1">SUMIFS(ФОТ!AJ$25:AJ$127,ФОТ!$F$25:$F$127,$F230,ФОТ!$G$25:$G$127,$G230)</f>
        <v>0</v>
      </c>
      <c r="AL230" s="171">
        <f t="shared" ca="1" si="16"/>
        <v>0</v>
      </c>
      <c r="AM230" s="196"/>
      <c r="AN230" s="601" t="str">
        <f ca="1">IF(IFERROR(INDEX(ФОТ!$K$26:$L$127,MATCH($F230&amp;"4komm",ФОТ!$K$26:$K$127,0),2),"")=0,"",IFERROR(INDEX(ФОТ!$K$26:$L$127,MATCH($F230&amp;"4komm",ФОТ!$K$26:$K$127,0),2),""))</f>
        <v/>
      </c>
      <c r="AO230" s="196"/>
      <c r="AR230" s="694" t="s">
        <v>1817</v>
      </c>
    </row>
    <row r="231" spans="1:48" s="868" customFormat="1" ht="14.25" customHeight="1" x14ac:dyDescent="0.25">
      <c r="A231" s="423"/>
      <c r="B231" s="423"/>
      <c r="C231" s="423"/>
      <c r="D231" s="423"/>
      <c r="E231" s="505">
        <v>15</v>
      </c>
      <c r="F231" s="3" t="str" cm="1">
        <f t="array" aca="1" ref="F231" ca="1">OFFSET(E231,-1,1)</f>
        <v>2</v>
      </c>
      <c r="G231" s="423"/>
      <c r="H231" s="423"/>
      <c r="I231" s="154" t="s">
        <v>333</v>
      </c>
      <c r="J231" s="154"/>
      <c r="K231" s="154"/>
      <c r="L231" s="154"/>
      <c r="M231" s="154"/>
      <c r="N231" s="154"/>
      <c r="O231" s="154"/>
      <c r="P231" s="154"/>
      <c r="Q231" s="154"/>
      <c r="R231" s="154"/>
      <c r="S231" s="154"/>
      <c r="T231" s="353" t="b" cm="1">
        <f t="array" aca="1" ref="T231" ca="1">T230</f>
        <v>1</v>
      </c>
      <c r="U231" s="423"/>
      <c r="V231" s="423"/>
      <c r="W231" s="423"/>
      <c r="X231" s="1078"/>
      <c r="Y231" s="423"/>
      <c r="Z231" s="1079"/>
      <c r="AA231" s="423"/>
      <c r="AB231" s="131" t="s">
        <v>291</v>
      </c>
      <c r="AC231" s="132" t="s">
        <v>1818</v>
      </c>
      <c r="AD231" s="124" t="s">
        <v>828</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6"/>
      <c r="AN231" s="556"/>
      <c r="AO231" s="556"/>
      <c r="AP231" s="423"/>
      <c r="AQ231" s="423"/>
      <c r="AR231" s="695" t="s">
        <v>1819</v>
      </c>
      <c r="AS231" s="695"/>
      <c r="AT231" s="695"/>
      <c r="AU231" s="505"/>
      <c r="AV231" s="505"/>
    </row>
    <row r="232" spans="1:48" ht="21.75" customHeight="1" x14ac:dyDescent="0.25">
      <c r="E232" s="504">
        <v>22.5</v>
      </c>
      <c r="F232" s="3" t="str" cm="1">
        <f t="array" aca="1" ref="F232" ca="1">OFFSET(E232,-1,1)</f>
        <v>2</v>
      </c>
      <c r="G232" s="278" t="s">
        <v>1203</v>
      </c>
      <c r="I232" s="38" t="s">
        <v>969</v>
      </c>
      <c r="J232" s="38"/>
      <c r="K232" s="38"/>
      <c r="L232" s="38"/>
      <c r="M232" s="38"/>
      <c r="N232" s="38"/>
      <c r="O232" s="38"/>
      <c r="P232" s="38"/>
      <c r="Q232" s="38"/>
      <c r="R232" s="38"/>
      <c r="S232" s="38"/>
      <c r="T232" s="353" t="b" cm="1">
        <f t="array" aca="1" ref="T232" ca="1">T231</f>
        <v>1</v>
      </c>
      <c r="X232" s="1078"/>
      <c r="Z232" s="1079"/>
      <c r="AB232" s="133" t="s">
        <v>575</v>
      </c>
      <c r="AC232" s="127" t="s">
        <v>1820</v>
      </c>
      <c r="AD232" s="7" t="s">
        <v>828</v>
      </c>
      <c r="AE232" s="171">
        <f ca="1">SUMIFS(Административные!AE$25:AE$103,Административные!$F$25:$F$103,$F232,Административные!$G$25:$G$103,$G232)</f>
        <v>0</v>
      </c>
      <c r="AF232" s="171">
        <f ca="1">SUMIFS(Административные!AF$25:AF$103,Административные!$F$25:$F$103,$F232,Административные!$G$25:$G$103,$G232)</f>
        <v>0</v>
      </c>
      <c r="AG232" s="171">
        <f ca="1">SUMIFS(Административные!AG$25:AG$103,Административные!$F$25:$F$103,$F232,Административные!$G$25:$G$103,$G232)</f>
        <v>0</v>
      </c>
      <c r="AH232" s="171">
        <f t="shared" ca="1" si="15"/>
        <v>0</v>
      </c>
      <c r="AI232" s="171">
        <f ca="1">SUMIFS(Административные!AH$25:AH$103,Административные!$F$25:$F$103,$F232,Административные!$G$25:$G$103,$G232)</f>
        <v>0</v>
      </c>
      <c r="AJ232" s="171">
        <f ca="1">SUMIFS(Административные!AI$25:AI$103,Административные!$F$25:$F$103,$F232,Административные!$G$25:$G$103,$G232)</f>
        <v>0</v>
      </c>
      <c r="AK232" s="171">
        <f ca="1">SUMIFS(Административные!AJ$25:AJ$103,Административные!$F$25:$F$103,$F232,Административные!$G$25:$G$103,$G232)</f>
        <v>0</v>
      </c>
      <c r="AL232" s="171">
        <f t="shared" ca="1" si="16"/>
        <v>0</v>
      </c>
      <c r="AM232" s="196"/>
      <c r="AN232" s="601" t="str">
        <f ca="1">IF(IFERROR(INDEX(Административные!$K$26:$L$103,MATCH($F232&amp;"17komm",Административные!$K$26:$K$103,0),2),"")=0,"",IFERROR(INDEX(Административные!$K$26:$L$103,MATCH($F232&amp;"17komm",Административные!$K$26:$K$103,0),2),""))</f>
        <v/>
      </c>
      <c r="AO232" s="196"/>
      <c r="AR232" s="694" t="s">
        <v>1205</v>
      </c>
    </row>
    <row r="233" spans="1:48" ht="32.25" customHeight="1" x14ac:dyDescent="0.25">
      <c r="E233" s="504">
        <v>33.75</v>
      </c>
      <c r="F233" s="3" t="str" cm="1">
        <f t="array" aca="1" ref="F233" ca="1">OFFSET(E233,-1,1)</f>
        <v>2</v>
      </c>
      <c r="I233" s="38" t="s">
        <v>971</v>
      </c>
      <c r="J233" s="38"/>
      <c r="K233" s="38"/>
      <c r="L233" s="38"/>
      <c r="M233" s="38"/>
      <c r="N233" s="38"/>
      <c r="O233" s="38"/>
      <c r="P233" s="38"/>
      <c r="Q233" s="38"/>
      <c r="R233" s="38"/>
      <c r="S233" s="38"/>
      <c r="T233" s="353" t="b" cm="1">
        <f t="array" aca="1" ref="T233" ca="1">T232</f>
        <v>1</v>
      </c>
      <c r="X233" s="1078"/>
      <c r="Z233" s="1079"/>
      <c r="AB233" s="133" t="s">
        <v>579</v>
      </c>
      <c r="AC233" s="127" t="s">
        <v>1821</v>
      </c>
      <c r="AD233" s="7" t="s">
        <v>828</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4" t="s">
        <v>1822</v>
      </c>
    </row>
    <row r="234" spans="1:48" ht="21.75" customHeight="1" x14ac:dyDescent="0.25">
      <c r="E234" s="504">
        <v>22.5</v>
      </c>
      <c r="F234" s="3" t="str" cm="1">
        <f t="array" aca="1" ref="F234" ca="1">OFFSET(E234,-1,1)</f>
        <v>2</v>
      </c>
      <c r="G234" s="376" t="s">
        <v>1185</v>
      </c>
      <c r="I234" s="38" t="s">
        <v>518</v>
      </c>
      <c r="J234" s="38"/>
      <c r="K234" s="38"/>
      <c r="L234" s="38"/>
      <c r="M234" s="38"/>
      <c r="N234" s="38"/>
      <c r="O234" s="38"/>
      <c r="P234" s="38"/>
      <c r="Q234" s="38"/>
      <c r="R234" s="38"/>
      <c r="S234" s="38"/>
      <c r="T234" s="353" t="b" cm="1">
        <f t="array" aca="1" ref="T234" ca="1">T233</f>
        <v>1</v>
      </c>
      <c r="X234" s="1078"/>
      <c r="Z234" s="1079"/>
      <c r="AB234" s="133" t="s">
        <v>789</v>
      </c>
      <c r="AC234" s="134" t="s">
        <v>1823</v>
      </c>
      <c r="AD234" s="7" t="s">
        <v>828</v>
      </c>
      <c r="AE234" s="171">
        <f ca="1">SUMIFS(ФОТ!AE$25:AE$127,ФОТ!$F$25:$F$127,$F234,ФОТ!$G$25:$G$127,$G234)</f>
        <v>0</v>
      </c>
      <c r="AF234" s="171">
        <f ca="1">SUMIFS(ФОТ!AF$25:AF$127,ФОТ!$F$25:$F$127,$F234,ФОТ!$G$25:$G$127,$G234)</f>
        <v>0</v>
      </c>
      <c r="AG234" s="171">
        <f ca="1">SUMIFS(ФОТ!AG$25:AG$127,ФОТ!$F$25:$F$127,$F234,ФОТ!$G$25:$G$127,$G234)</f>
        <v>0</v>
      </c>
      <c r="AH234" s="171">
        <f t="shared" ca="1" si="15"/>
        <v>0</v>
      </c>
      <c r="AI234" s="171">
        <f ca="1">SUMIFS(ФОТ!AH$25:AH$127,ФОТ!$F$25:$F$127,$F234,ФОТ!$G$25:$G$127,$G234)</f>
        <v>0</v>
      </c>
      <c r="AJ234" s="171">
        <f ca="1">SUMIFS(ФОТ!AI$25:AI$127,ФОТ!$F$25:$F$127,$F234,ФОТ!$G$25:$G$127,$G234)</f>
        <v>0</v>
      </c>
      <c r="AK234" s="171">
        <f ca="1">SUMIFS(ФОТ!AJ$25:AJ$127,ФОТ!$F$25:$F$127,$F234,ФОТ!$G$25:$G$127,$G234)</f>
        <v>0</v>
      </c>
      <c r="AL234" s="171">
        <f t="shared" ca="1" si="16"/>
        <v>0</v>
      </c>
      <c r="AM234" s="196"/>
      <c r="AN234" s="601" t="str">
        <f ca="1">IF(IFERROR(INDEX(ФОТ!$K$26:$L$127,MATCH($F234&amp;"5komm",ФОТ!$K$26:$K$127,0),2),"")=0,"",IFERROR(INDEX(ФОТ!$K$26:$L$127,MATCH($F234&amp;"5komm",ФОТ!$K$26:$K$127,0),2),""))</f>
        <v/>
      </c>
      <c r="AO234" s="196"/>
      <c r="AR234" s="694" t="s">
        <v>1202</v>
      </c>
    </row>
    <row r="235" spans="1:48" ht="32.25" customHeight="1" x14ac:dyDescent="0.25">
      <c r="E235" s="504">
        <v>33.75</v>
      </c>
      <c r="F235" s="3" t="str" cm="1">
        <f t="array" aca="1" ref="F235" ca="1">OFFSET(E235,-1,1)</f>
        <v>2</v>
      </c>
      <c r="G235" s="376" t="s">
        <v>1190</v>
      </c>
      <c r="I235" s="38" t="s">
        <v>523</v>
      </c>
      <c r="J235" s="38"/>
      <c r="K235" s="38"/>
      <c r="L235" s="38"/>
      <c r="M235" s="38"/>
      <c r="N235" s="38"/>
      <c r="O235" s="38"/>
      <c r="P235" s="38"/>
      <c r="Q235" s="38"/>
      <c r="R235" s="38"/>
      <c r="S235" s="38"/>
      <c r="T235" s="353" t="b" cm="1">
        <f t="array" aca="1" ref="T235" ca="1">T234</f>
        <v>1</v>
      </c>
      <c r="X235" s="1078"/>
      <c r="Z235" s="1079"/>
      <c r="AB235" s="133" t="s">
        <v>792</v>
      </c>
      <c r="AC235" s="134" t="s">
        <v>1824</v>
      </c>
      <c r="AD235" s="7" t="s">
        <v>828</v>
      </c>
      <c r="AE235" s="171">
        <f ca="1">SUMIFS(ФОТ!AE$25:AE$127,ФОТ!$F$25:$F$127,$F235,ФОТ!$G$25:$G$127,$G235)</f>
        <v>0</v>
      </c>
      <c r="AF235" s="171">
        <f ca="1">SUMIFS(ФОТ!AF$25:AF$127,ФОТ!$F$25:$F$127,$F235,ФОТ!$G$25:$G$127,$G235)</f>
        <v>0</v>
      </c>
      <c r="AG235" s="171">
        <f ca="1">SUMIFS(ФОТ!AG$25:AG$127,ФОТ!$F$25:$F$127,$F235,ФОТ!$G$25:$G$127,$G235)</f>
        <v>0</v>
      </c>
      <c r="AH235" s="171">
        <f t="shared" ca="1" si="15"/>
        <v>0</v>
      </c>
      <c r="AI235" s="171">
        <f ca="1">SUMIFS(ФОТ!AH$25:AH$127,ФОТ!$F$25:$F$127,$F235,ФОТ!$G$25:$G$127,$G235)</f>
        <v>0</v>
      </c>
      <c r="AJ235" s="171">
        <f ca="1">SUMIFS(ФОТ!AI$25:AI$127,ФОТ!$F$25:$F$127,$F235,ФОТ!$G$25:$G$127,$G235)</f>
        <v>0</v>
      </c>
      <c r="AK235" s="171">
        <f ca="1">SUMIFS(ФОТ!AJ$25:AJ$127,ФОТ!$F$25:$F$127,$F235,ФОТ!$G$25:$G$127,$G235)</f>
        <v>0</v>
      </c>
      <c r="AL235" s="171">
        <f t="shared" ca="1" si="16"/>
        <v>0</v>
      </c>
      <c r="AM235" s="196"/>
      <c r="AN235" s="601" t="str">
        <f ca="1">IF(IFERROR(INDEX(ФОТ!$K$26:$L$127,MATCH($F235&amp;"6komm",ФОТ!$K$26:$K$127,0),2),"")=0,"",IFERROR(INDEX(ФОТ!$K$26:$L$127,MATCH($F235&amp;"6komm",ФОТ!$K$26:$K$127,0),2),""))</f>
        <v/>
      </c>
      <c r="AO235" s="196"/>
      <c r="AR235" s="694" t="s">
        <v>1825</v>
      </c>
    </row>
    <row r="236" spans="1:48" ht="32.25" customHeight="1" x14ac:dyDescent="0.25">
      <c r="E236" s="504">
        <v>33.75</v>
      </c>
      <c r="F236" s="3" t="str" cm="1">
        <f t="array" aca="1" ref="F236" ca="1">OFFSET(E236,-1,1)</f>
        <v>2</v>
      </c>
      <c r="G236" s="278" t="s">
        <v>1231</v>
      </c>
      <c r="I236" s="38" t="s">
        <v>973</v>
      </c>
      <c r="J236" s="38"/>
      <c r="K236" s="38"/>
      <c r="L236" s="38"/>
      <c r="M236" s="38"/>
      <c r="N236" s="38"/>
      <c r="O236" s="38"/>
      <c r="P236" s="38"/>
      <c r="Q236" s="38"/>
      <c r="R236" s="38"/>
      <c r="S236" s="38"/>
      <c r="T236" s="353" t="b" cm="1">
        <f t="array" aca="1" ref="T236" ca="1">T235</f>
        <v>1</v>
      </c>
      <c r="X236" s="1078"/>
      <c r="Z236" s="1079"/>
      <c r="AB236" s="133" t="s">
        <v>795</v>
      </c>
      <c r="AC236" s="127" t="s">
        <v>1826</v>
      </c>
      <c r="AD236" s="7" t="s">
        <v>828</v>
      </c>
      <c r="AE236" s="171">
        <f ca="1">SUMIFS(Административные!AE$25:AE$103,Административные!$F$25:$F$103,$F236,Административные!$G$25:$G$103,$G236)</f>
        <v>0</v>
      </c>
      <c r="AF236" s="171">
        <f ca="1">SUMIFS(Административные!AF$25:AF$103,Административные!$F$25:$F$103,$F236,Административные!$G$25:$G$103,$G236)</f>
        <v>0</v>
      </c>
      <c r="AG236" s="171">
        <f ca="1">SUMIFS(Административные!AG$25:AG$103,Административные!$F$25:$F$103,$F236,Административные!$G$25:$G$103,$G236)</f>
        <v>0</v>
      </c>
      <c r="AH236" s="171">
        <f t="shared" ca="1" si="15"/>
        <v>0</v>
      </c>
      <c r="AI236" s="171">
        <f ca="1">SUMIFS(Административные!AH$25:AH$103,Административные!$F$25:$F$103,$F236,Административные!$G$25:$G$103,$G236)</f>
        <v>0</v>
      </c>
      <c r="AJ236" s="171">
        <f ca="1">SUMIFS(Административные!AI$25:AI$103,Административные!$F$25:$F$103,$F236,Административные!$G$25:$G$103,$G236)</f>
        <v>0</v>
      </c>
      <c r="AK236" s="171">
        <f ca="1">SUMIFS(Административные!AJ$25:AJ$103,Административные!$F$25:$F$103,$F236,Административные!$G$25:$G$103,$G236)</f>
        <v>0</v>
      </c>
      <c r="AL236" s="171">
        <f t="shared" ca="1" si="16"/>
        <v>0</v>
      </c>
      <c r="AM236" s="196"/>
      <c r="AN236" s="601" t="str">
        <f ca="1">IF(IFERROR(INDEX(Административные!$K$26:$L$103,MATCH($F236&amp;"2komm",Административные!$K$26:$K$103,0),2),"")=0,"",IFERROR(INDEX(Административные!$K$26:$L$103,MATCH($F236&amp;"2komm",Административные!$K$26:$K$103,0),2),""))</f>
        <v/>
      </c>
      <c r="AO236" s="196"/>
      <c r="AR236" s="694" t="s">
        <v>1233</v>
      </c>
    </row>
    <row r="237" spans="1:48" ht="14.25" customHeight="1" x14ac:dyDescent="0.25">
      <c r="E237" s="504">
        <v>15</v>
      </c>
      <c r="F237" s="3" t="str" cm="1">
        <f t="array" aca="1" ref="F237" ca="1">OFFSET(E237,-1,1)</f>
        <v>2</v>
      </c>
      <c r="G237" s="278" t="s">
        <v>1234</v>
      </c>
      <c r="I237" s="38" t="s">
        <v>975</v>
      </c>
      <c r="J237" s="38"/>
      <c r="K237" s="38"/>
      <c r="L237" s="38"/>
      <c r="M237" s="38"/>
      <c r="N237" s="38"/>
      <c r="O237" s="38"/>
      <c r="P237" s="38"/>
      <c r="Q237" s="38"/>
      <c r="R237" s="38"/>
      <c r="S237" s="38"/>
      <c r="T237" s="353" t="b" cm="1">
        <f t="array" aca="1" ref="T237" ca="1">T236</f>
        <v>1</v>
      </c>
      <c r="X237" s="1078"/>
      <c r="Z237" s="1079"/>
      <c r="AB237" s="133" t="s">
        <v>976</v>
      </c>
      <c r="AC237" s="127" t="s">
        <v>1235</v>
      </c>
      <c r="AD237" s="7" t="s">
        <v>828</v>
      </c>
      <c r="AE237" s="171">
        <f ca="1">SUMIFS(Административные!AE$25:AE$103,Административные!$F$25:$F$103,$F237,Административные!$G$25:$G$103,$G237)</f>
        <v>0</v>
      </c>
      <c r="AF237" s="171">
        <f ca="1">SUMIFS(Административные!AF$25:AF$103,Административные!$F$25:$F$103,$F237,Административные!$G$25:$G$103,$G237)</f>
        <v>0</v>
      </c>
      <c r="AG237" s="171">
        <f ca="1">SUMIFS(Административные!AG$25:AG$103,Административные!$F$25:$F$103,$F237,Административные!$G$25:$G$103,$G237)</f>
        <v>0</v>
      </c>
      <c r="AH237" s="171">
        <f t="shared" ca="1" si="15"/>
        <v>0</v>
      </c>
      <c r="AI237" s="171">
        <f ca="1">SUMIFS(Административные!AH$25:AH$103,Административные!$F$25:$F$103,$F237,Административные!$G$25:$G$103,$G237)</f>
        <v>0</v>
      </c>
      <c r="AJ237" s="171">
        <f ca="1">SUMIFS(Административные!AI$25:AI$103,Административные!$F$25:$F$103,$F237,Административные!$G$25:$G$103,$G237)</f>
        <v>0</v>
      </c>
      <c r="AK237" s="171">
        <f ca="1">SUMIFS(Административные!AJ$25:AJ$103,Административные!$F$25:$F$103,$F237,Административные!$G$25:$G$103,$G237)</f>
        <v>0</v>
      </c>
      <c r="AL237" s="171">
        <f t="shared" ca="1" si="16"/>
        <v>0</v>
      </c>
      <c r="AM237" s="196"/>
      <c r="AN237" s="601" t="str">
        <f ca="1">IF(IFERROR(INDEX(Административные!$K$26:$L$103,MATCH($F237&amp;"3komm",Административные!$K$26:$K$103,0),2),"")=0,"",IFERROR(INDEX(Административные!$K$26:$L$103,MATCH($F237&amp;"3komm",Административные!$K$26:$K$103,0),2),""))</f>
        <v/>
      </c>
      <c r="AO237" s="196"/>
      <c r="AR237" s="694" t="s">
        <v>1236</v>
      </c>
    </row>
    <row r="238" spans="1:48" ht="14.25" customHeight="1" x14ac:dyDescent="0.25">
      <c r="E238" s="504">
        <v>15</v>
      </c>
      <c r="F238" s="3" t="str" cm="1">
        <f t="array" aca="1" ref="F238" ca="1">OFFSET(E238,-1,1)</f>
        <v>2</v>
      </c>
      <c r="G238" s="278" t="s">
        <v>1237</v>
      </c>
      <c r="I238" s="38" t="s">
        <v>978</v>
      </c>
      <c r="J238" s="38"/>
      <c r="K238" s="38"/>
      <c r="L238" s="38"/>
      <c r="M238" s="38"/>
      <c r="N238" s="38"/>
      <c r="O238" s="38"/>
      <c r="P238" s="38"/>
      <c r="Q238" s="38"/>
      <c r="R238" s="38"/>
      <c r="S238" s="38"/>
      <c r="T238" s="353" t="b" cm="1">
        <f t="array" aca="1" ref="T238" ca="1">T237</f>
        <v>1</v>
      </c>
      <c r="X238" s="1078"/>
      <c r="Z238" s="1079"/>
      <c r="AB238" s="133" t="s">
        <v>979</v>
      </c>
      <c r="AC238" s="127" t="s">
        <v>1238</v>
      </c>
      <c r="AD238" s="7" t="s">
        <v>828</v>
      </c>
      <c r="AE238" s="171">
        <f ca="1">SUMIFS(Административные!AE$25:AE$103,Административные!$F$25:$F$103,$F238,Административные!$G$25:$G$103,$G238)</f>
        <v>0</v>
      </c>
      <c r="AF238" s="171">
        <f ca="1">SUMIFS(Административные!AF$25:AF$103,Административные!$F$25:$F$103,$F238,Административные!$G$25:$G$103,$G238)</f>
        <v>0</v>
      </c>
      <c r="AG238" s="171">
        <f ca="1">SUMIFS(Административные!AG$25:AG$103,Административные!$F$25:$F$103,$F238,Административные!$G$25:$G$103,$G238)</f>
        <v>0</v>
      </c>
      <c r="AH238" s="171">
        <f t="shared" ca="1" si="15"/>
        <v>0</v>
      </c>
      <c r="AI238" s="171">
        <f ca="1">SUMIFS(Административные!AH$25:AH$103,Административные!$F$25:$F$103,$F238,Административные!$G$25:$G$103,$G238)</f>
        <v>0</v>
      </c>
      <c r="AJ238" s="171">
        <f ca="1">SUMIFS(Административные!AI$25:AI$103,Административные!$F$25:$F$103,$F238,Административные!$G$25:$G$103,$G238)</f>
        <v>0</v>
      </c>
      <c r="AK238" s="171">
        <f ca="1">SUMIFS(Административные!AJ$25:AJ$103,Административные!$F$25:$F$103,$F238,Административные!$G$25:$G$103,$G238)</f>
        <v>0</v>
      </c>
      <c r="AL238" s="171">
        <f t="shared" ca="1" si="16"/>
        <v>0</v>
      </c>
      <c r="AM238" s="196"/>
      <c r="AN238" s="601" t="str">
        <f ca="1">IF(IFERROR(INDEX(Административные!$K$26:$L$103,MATCH($F238&amp;"4komm",Административные!$K$26:$K$103,0),2),"")=0,"",IFERROR(INDEX(Административные!$K$26:$L$103,MATCH($F238&amp;"4komm",Административные!$K$26:$K$103,0),2),""))</f>
        <v/>
      </c>
      <c r="AO238" s="196"/>
      <c r="AR238" s="694" t="s">
        <v>1239</v>
      </c>
    </row>
    <row r="239" spans="1:48" ht="14.25" customHeight="1" x14ac:dyDescent="0.25">
      <c r="E239" s="504">
        <v>15</v>
      </c>
      <c r="F239" s="3" t="str" cm="1">
        <f t="array" aca="1" ref="F239" ca="1">OFFSET(E239,-1,1)</f>
        <v>2</v>
      </c>
      <c r="G239" s="278" t="s">
        <v>1240</v>
      </c>
      <c r="I239" s="38" t="s">
        <v>1222</v>
      </c>
      <c r="J239" s="38"/>
      <c r="K239" s="38"/>
      <c r="L239" s="38"/>
      <c r="M239" s="38"/>
      <c r="N239" s="38"/>
      <c r="O239" s="38"/>
      <c r="P239" s="38"/>
      <c r="Q239" s="38"/>
      <c r="R239" s="38"/>
      <c r="S239" s="38"/>
      <c r="T239" s="353" t="b" cm="1">
        <f t="array" aca="1" ref="T239" ca="1">T238</f>
        <v>1</v>
      </c>
      <c r="X239" s="1078"/>
      <c r="Z239" s="1079"/>
      <c r="AB239" s="133" t="s">
        <v>1223</v>
      </c>
      <c r="AC239" s="127" t="s">
        <v>1241</v>
      </c>
      <c r="AD239" s="7" t="s">
        <v>828</v>
      </c>
      <c r="AE239" s="171">
        <f ca="1">SUMIFS(Административные!AE$25:AE$103,Административные!$F$25:$F$103,$F239,Административные!$G$25:$G$103,$G239)</f>
        <v>0</v>
      </c>
      <c r="AF239" s="171">
        <f ca="1">SUMIFS(Административные!AF$25:AF$103,Административные!$F$25:$F$103,$F239,Административные!$G$25:$G$103,$G239)</f>
        <v>0</v>
      </c>
      <c r="AG239" s="171">
        <f ca="1">SUMIFS(Административные!AG$25:AG$103,Административные!$F$25:$F$103,$F239,Административные!$G$25:$G$103,$G239)</f>
        <v>0</v>
      </c>
      <c r="AH239" s="171">
        <f t="shared" ca="1" si="15"/>
        <v>0</v>
      </c>
      <c r="AI239" s="171">
        <f ca="1">SUMIFS(Административные!AH$25:AH$103,Административные!$F$25:$F$103,$F239,Административные!$G$25:$G$103,$G239)</f>
        <v>0</v>
      </c>
      <c r="AJ239" s="171">
        <f ca="1">SUMIFS(Административные!AI$25:AI$103,Административные!$F$25:$F$103,$F239,Административные!$G$25:$G$103,$G239)</f>
        <v>0</v>
      </c>
      <c r="AK239" s="171">
        <f ca="1">SUMIFS(Административные!AJ$25:AJ$103,Административные!$F$25:$F$103,$F239,Административные!$G$25:$G$103,$G239)</f>
        <v>0</v>
      </c>
      <c r="AL239" s="171">
        <f t="shared" ca="1" si="16"/>
        <v>0</v>
      </c>
      <c r="AM239" s="196"/>
      <c r="AN239" s="601" t="str">
        <f ca="1">IF(IFERROR(INDEX(Административные!$K$26:$L$103,MATCH($F235&amp;"5komm",Административные!$K$26:$K$103,0),2),"")=0,"",IFERROR(INDEX(Административные!$K$26:$L$103,MATCH($F235&amp;"5komm",Административные!$K$26:$K$103,0),2),""))</f>
        <v/>
      </c>
      <c r="AO239" s="196"/>
      <c r="AR239" s="694" t="s">
        <v>1827</v>
      </c>
    </row>
    <row r="240" spans="1:48" ht="14.25" customHeight="1" x14ac:dyDescent="0.25">
      <c r="E240" s="504">
        <v>15</v>
      </c>
      <c r="F240" s="3" t="str" cm="1">
        <f t="array" aca="1" ref="F240" ca="1">OFFSET(E240,-1,1)</f>
        <v>2</v>
      </c>
      <c r="G240" s="278" t="s">
        <v>1243</v>
      </c>
      <c r="I240" s="38" t="s">
        <v>1227</v>
      </c>
      <c r="J240" s="38"/>
      <c r="K240" s="38"/>
      <c r="L240" s="38"/>
      <c r="M240" s="38"/>
      <c r="N240" s="38"/>
      <c r="O240" s="38"/>
      <c r="P240" s="38"/>
      <c r="Q240" s="38"/>
      <c r="R240" s="38"/>
      <c r="S240" s="38"/>
      <c r="T240" s="353" t="b" cm="1">
        <f t="array" aca="1" ref="T240" ca="1">T239</f>
        <v>1</v>
      </c>
      <c r="X240" s="1078"/>
      <c r="Z240" s="1079"/>
      <c r="AB240" s="133" t="s">
        <v>1228</v>
      </c>
      <c r="AC240" s="127" t="s">
        <v>1828</v>
      </c>
      <c r="AD240" s="7" t="s">
        <v>828</v>
      </c>
      <c r="AE240" s="171">
        <f ca="1">SUMIFS(Административные!AE$25:AE$103,Административные!$F$25:$F$103,$F240,Административные!$G$25:$G$103,$G240)</f>
        <v>0</v>
      </c>
      <c r="AF240" s="171">
        <f ca="1">SUMIFS(Административные!AF$25:AF$103,Административные!$F$25:$F$103,$F240,Административные!$G$25:$G$103,$G240)</f>
        <v>0</v>
      </c>
      <c r="AG240" s="171">
        <f ca="1">SUMIFS(Административные!AG$25:AG$103,Административные!$F$25:$F$103,$F240,Административные!$G$25:$G$103,$G240)</f>
        <v>0</v>
      </c>
      <c r="AH240" s="171">
        <f t="shared" ca="1" si="15"/>
        <v>0</v>
      </c>
      <c r="AI240" s="171">
        <f ca="1">SUMIFS(Административные!AH$25:AH$103,Административные!$F$25:$F$103,$F240,Административные!$G$25:$G$103,$G240)</f>
        <v>0</v>
      </c>
      <c r="AJ240" s="171">
        <f ca="1">SUMIFS(Административные!AI$25:AI$103,Административные!$F$25:$F$103,$F240,Административные!$G$25:$G$103,$G240)</f>
        <v>0</v>
      </c>
      <c r="AK240" s="171">
        <f ca="1">SUMIFS(Административные!AJ$25:AJ$103,Административные!$F$25:$F$103,$F240,Административные!$G$25:$G$103,$G240)</f>
        <v>0</v>
      </c>
      <c r="AL240" s="171">
        <f t="shared" ca="1" si="16"/>
        <v>0</v>
      </c>
      <c r="AM240" s="196"/>
      <c r="AN240" s="601" t="str">
        <f ca="1">IF(IFERROR(INDEX(Административные!$K$26:$L$103,MATCH($F240&amp;"6komm",Административные!$K$26:$K$103,0),2),"")=0,"",IFERROR(INDEX(Административные!$K$26:$L$103,MATCH($F235&amp;"6komm",Административные!$K$26:$K$103,0),2),""))</f>
        <v/>
      </c>
      <c r="AO240" s="196"/>
      <c r="AR240" s="694" t="s">
        <v>1829</v>
      </c>
    </row>
    <row r="241" spans="1:48" ht="14.25" customHeight="1" x14ac:dyDescent="0.25">
      <c r="E241" s="504">
        <v>15</v>
      </c>
      <c r="F241" s="3" t="str" cm="1">
        <f t="array" aca="1" ref="F241" ca="1">OFFSET(E241,-1,1)</f>
        <v>2</v>
      </c>
      <c r="G241" s="278" t="s">
        <v>1245</v>
      </c>
      <c r="I241" s="38" t="s">
        <v>1830</v>
      </c>
      <c r="J241" s="38"/>
      <c r="K241" s="38"/>
      <c r="L241" s="38"/>
      <c r="M241" s="38"/>
      <c r="N241" s="38"/>
      <c r="O241" s="38"/>
      <c r="P241" s="38"/>
      <c r="Q241" s="38"/>
      <c r="R241" s="38"/>
      <c r="S241" s="38"/>
      <c r="T241" s="353" t="b" cm="1">
        <f t="array" aca="1" ref="T241" ca="1">T240</f>
        <v>1</v>
      </c>
      <c r="X241" s="1078"/>
      <c r="Z241" s="1079"/>
      <c r="AB241" s="133" t="s">
        <v>1831</v>
      </c>
      <c r="AC241" s="134" t="s">
        <v>1832</v>
      </c>
      <c r="AD241" s="7" t="s">
        <v>828</v>
      </c>
      <c r="AE241" s="171">
        <f ca="1">SUMIFS(Административные!AE$25:AE$103,Административные!$F$25:$F$103,$F241,Административные!$G$25:$G$103,$G241)</f>
        <v>0</v>
      </c>
      <c r="AF241" s="171">
        <f ca="1">SUMIFS(Административные!AF$25:AF$103,Административные!$F$25:$F$103,$F241,Административные!$G$25:$G$103,$G241)</f>
        <v>0</v>
      </c>
      <c r="AG241" s="171">
        <f ca="1">SUMIFS(Административные!AG$25:AG$103,Административные!$F$25:$F$103,$F241,Административные!$G$25:$G$103,$G241)</f>
        <v>0</v>
      </c>
      <c r="AH241" s="171">
        <f t="shared" ca="1" si="15"/>
        <v>0</v>
      </c>
      <c r="AI241" s="171">
        <f ca="1">SUMIFS(Административные!AH$25:AH$103,Административные!$F$25:$F$103,$F241,Административные!$G$25:$G$103,$G241)</f>
        <v>0</v>
      </c>
      <c r="AJ241" s="171">
        <f ca="1">SUMIFS(Административные!AI$25:AI$103,Административные!$F$25:$F$103,$F241,Административные!$G$25:$G$103,$G241)</f>
        <v>0</v>
      </c>
      <c r="AK241" s="171">
        <f ca="1">SUMIFS(Административные!AJ$25:AJ$103,Административные!$F$25:$F$103,$F241,Административные!$G$25:$G$103,$G241)</f>
        <v>0</v>
      </c>
      <c r="AL241" s="171">
        <f t="shared" ca="1" si="16"/>
        <v>0</v>
      </c>
      <c r="AM241" s="196"/>
      <c r="AN241" s="601" t="str">
        <f ca="1">IF(IFERROR(INDEX(Административные!$K$26:$L$103,MATCH($F241&amp;"7komm",Административные!$K$26:$K$103,0),2),"")=0,"",IFERROR(INDEX(Административные!$K$26:$L$103,MATCH($F236&amp;"7komm",Административные!$K$26:$K$103,0),2),""))</f>
        <v/>
      </c>
      <c r="AO241" s="196"/>
      <c r="AR241" s="694" t="s">
        <v>1833</v>
      </c>
    </row>
    <row r="242" spans="1:48" ht="43.5" customHeight="1" x14ac:dyDescent="0.25">
      <c r="E242" s="504">
        <v>45</v>
      </c>
      <c r="F242" s="3" t="str" cm="1">
        <f t="array" aca="1" ref="F242" ca="1">OFFSET(E242,-1,1)</f>
        <v>2</v>
      </c>
      <c r="G242" s="278" t="s">
        <v>1248</v>
      </c>
      <c r="I242" s="38" t="s">
        <v>1834</v>
      </c>
      <c r="J242" s="38"/>
      <c r="K242" s="38"/>
      <c r="L242" s="38"/>
      <c r="M242" s="38"/>
      <c r="N242" s="38"/>
      <c r="O242" s="38"/>
      <c r="P242" s="38"/>
      <c r="Q242" s="38"/>
      <c r="R242" s="38"/>
      <c r="S242" s="38"/>
      <c r="T242" s="353" t="b" cm="1">
        <f t="array" aca="1" ref="T242" ca="1">T241</f>
        <v>1</v>
      </c>
      <c r="X242" s="1078"/>
      <c r="Z242" s="1079"/>
      <c r="AB242" s="133" t="s">
        <v>1835</v>
      </c>
      <c r="AC242" s="127" t="s">
        <v>1249</v>
      </c>
      <c r="AD242" s="7" t="s">
        <v>828</v>
      </c>
      <c r="AE242" s="171">
        <f ca="1">SUMIFS(Административные!AE$25:AE$103,Административные!$F$25:$F$103,$F242,Административные!$G$25:$G$103,$G242)</f>
        <v>0</v>
      </c>
      <c r="AF242" s="171">
        <f ca="1">SUMIFS(Административные!AF$25:AF$103,Административные!$F$25:$F$103,$F242,Административные!$G$25:$G$103,$G242)</f>
        <v>0</v>
      </c>
      <c r="AG242" s="171">
        <f ca="1">SUMIFS(Административные!AG$25:AG$103,Административные!$F$25:$F$103,$F242,Административные!$G$25:$G$103,$G242)</f>
        <v>0</v>
      </c>
      <c r="AH242" s="171">
        <f t="shared" ca="1" si="15"/>
        <v>0</v>
      </c>
      <c r="AI242" s="171">
        <f ca="1">SUMIFS(Административные!AH$25:AH$103,Административные!$F$25:$F$103,$F242,Административные!$G$25:$G$103,$G242)</f>
        <v>0</v>
      </c>
      <c r="AJ242" s="171">
        <f ca="1">SUMIFS(Административные!AI$25:AI$103,Административные!$F$25:$F$103,$F242,Административные!$G$25:$G$103,$G242)</f>
        <v>0</v>
      </c>
      <c r="AK242" s="171">
        <f ca="1">SUMIFS(Административные!AJ$25:AJ$103,Административные!$F$25:$F$103,$F242,Административные!$G$25:$G$103,$G242)</f>
        <v>0</v>
      </c>
      <c r="AL242" s="171">
        <f t="shared" ca="1" si="16"/>
        <v>0</v>
      </c>
      <c r="AM242" s="196"/>
      <c r="AN242" s="601" t="str">
        <f ca="1">IF(IFERROR(INDEX(Административные!$K$26:$L$103,MATCH($F242&amp;"8komm",Административные!$K$26:$K$103,0),2),"")=0,"",IFERROR(INDEX(Административные!$K$26:$L$103,MATCH($F237&amp;"8komm",Административные!$K$26:$K$103,0),2),""))</f>
        <v/>
      </c>
      <c r="AO242" s="196"/>
      <c r="AR242" s="694" t="s">
        <v>1836</v>
      </c>
    </row>
    <row r="243" spans="1:48" ht="14.25" customHeight="1" x14ac:dyDescent="0.25">
      <c r="E243" s="504">
        <v>15</v>
      </c>
      <c r="F243" s="3" t="str" cm="1">
        <f t="array" aca="1" ref="F243" ca="1">OFFSET(E243,-1,1)</f>
        <v>2</v>
      </c>
      <c r="G243" s="278" t="s">
        <v>1251</v>
      </c>
      <c r="I243" s="38" t="s">
        <v>1837</v>
      </c>
      <c r="J243" s="38"/>
      <c r="K243" s="38"/>
      <c r="L243" s="38"/>
      <c r="M243" s="38"/>
      <c r="N243" s="38"/>
      <c r="O243" s="38"/>
      <c r="P243" s="38"/>
      <c r="Q243" s="38"/>
      <c r="R243" s="38"/>
      <c r="S243" s="38"/>
      <c r="T243" s="353" t="b" cm="1">
        <f t="array" aca="1" ref="T243" ca="1">T242</f>
        <v>1</v>
      </c>
      <c r="X243" s="1078"/>
      <c r="Z243" s="1079"/>
      <c r="AB243" s="133" t="s">
        <v>1838</v>
      </c>
      <c r="AC243" s="134" t="s">
        <v>1252</v>
      </c>
      <c r="AD243" s="7" t="s">
        <v>828</v>
      </c>
      <c r="AE243" s="171">
        <f ca="1">SUMIFS(Административные!AE$25:AE$103,Административные!$F$25:$F$103,$F243,Административные!$G$25:$G$103,$G243)</f>
        <v>0</v>
      </c>
      <c r="AF243" s="171">
        <f ca="1">SUMIFS(Административные!AF$25:AF$103,Административные!$F$25:$F$103,$F243,Административные!$G$25:$G$103,$G243)</f>
        <v>0</v>
      </c>
      <c r="AG243" s="171">
        <f ca="1">SUMIFS(Административные!AG$25:AG$103,Административные!$F$25:$F$103,$F243,Административные!$G$25:$G$103,$G243)</f>
        <v>0</v>
      </c>
      <c r="AH243" s="171">
        <f t="shared" ca="1" si="15"/>
        <v>0</v>
      </c>
      <c r="AI243" s="171">
        <f ca="1">SUMIFS(Административные!AH$25:AH$103,Административные!$F$25:$F$103,$F243,Административные!$G$25:$G$103,$G243)</f>
        <v>0</v>
      </c>
      <c r="AJ243" s="171">
        <f ca="1">SUMIFS(Административные!AI$25:AI$103,Административные!$F$25:$F$103,$F243,Административные!$G$25:$G$103,$G243)</f>
        <v>0</v>
      </c>
      <c r="AK243" s="171">
        <f ca="1">SUMIFS(Административные!AJ$25:AJ$103,Административные!$F$25:$F$103,$F243,Административные!$G$25:$G$103,$G243)</f>
        <v>0</v>
      </c>
      <c r="AL243" s="171">
        <f t="shared" ca="1" si="16"/>
        <v>0</v>
      </c>
      <c r="AM243" s="196"/>
      <c r="AN243" s="601" t="str">
        <f ca="1">IF(IFERROR(INDEX(Административные!$K$26:$L$103,MATCH($F243&amp;"9komm",Административные!$K$26:$K$103,0),2),"")=0,"",IFERROR(INDEX(Административные!$K$26:$L$103,MATCH($F238&amp;"9komm",Административные!$K$26:$K$103,0),2),""))</f>
        <v/>
      </c>
      <c r="AO243" s="196"/>
      <c r="AR243" s="694" t="s">
        <v>1839</v>
      </c>
    </row>
    <row r="244" spans="1:48" s="868" customFormat="1" ht="14.25" hidden="1" customHeight="1" x14ac:dyDescent="0.25">
      <c r="A244" s="423"/>
      <c r="B244" s="423" t="b">
        <f>STATUS_GO="да"</f>
        <v>0</v>
      </c>
      <c r="C244" s="423"/>
      <c r="D244" s="423"/>
      <c r="E244" s="505">
        <v>15</v>
      </c>
      <c r="F244" s="3" t="str" cm="1">
        <f t="array" aca="1" ref="F244" ca="1">OFFSET(E244,-1,1)</f>
        <v>2</v>
      </c>
      <c r="G244" s="423"/>
      <c r="H244" s="423"/>
      <c r="I244" s="154" t="s">
        <v>335</v>
      </c>
      <c r="J244" s="154"/>
      <c r="K244" s="154"/>
      <c r="L244" s="154"/>
      <c r="M244" s="154"/>
      <c r="N244" s="154"/>
      <c r="O244" s="154"/>
      <c r="P244" s="154"/>
      <c r="Q244" s="154"/>
      <c r="R244" s="154"/>
      <c r="S244" s="154"/>
      <c r="T244" s="353" t="b" cm="1">
        <f t="array" aca="1" ref="T244" ca="1">T243</f>
        <v>1</v>
      </c>
      <c r="U244" s="423"/>
      <c r="V244" s="423"/>
      <c r="W244" s="423"/>
      <c r="X244" s="1078"/>
      <c r="Y244" s="423"/>
      <c r="Z244" s="1079"/>
      <c r="AA244" s="423"/>
      <c r="AB244" s="131" t="s">
        <v>454</v>
      </c>
      <c r="AC244" s="132" t="s">
        <v>1840</v>
      </c>
      <c r="AD244" s="124" t="s">
        <v>828</v>
      </c>
      <c r="AE244" s="126">
        <f ca="1">SUMIFS('Сбытовые расходы ГО'!AE$25:AE$75,'Сбытовые расходы ГО'!$F$25:$F$75,$F244,'Сбытовые расходы ГО'!$G$25:$G$75,"l0")</f>
        <v>0</v>
      </c>
      <c r="AF244" s="126">
        <f ca="1">SUMIFS('Сбытовые расходы ГО'!AF$25:AF$75,'Сбытовые расходы ГО'!$F$25:$F$75,$F244,'Сбытовые расходы ГО'!$G$25:$G$75,"l0")</f>
        <v>0</v>
      </c>
      <c r="AG244" s="126">
        <f ca="1">SUMIFS('Сбытовые расходы ГО'!AG$25:AG$75,'Сбытовые расходы ГО'!$F$25:$F$75,$F244,'Сбытовые расходы ГО'!$G$25:$G$75,"l0")</f>
        <v>0</v>
      </c>
      <c r="AH244" s="126">
        <f t="shared" ca="1" si="15"/>
        <v>0</v>
      </c>
      <c r="AI244" s="126">
        <f ca="1">SUMIFS('Сбытовые расходы ГО'!AH$25:AH$75,'Сбытовые расходы ГО'!$F$25:$F$75,$F244,'Сбытовые расходы ГО'!$G$25:$G$75,"l0")</f>
        <v>0</v>
      </c>
      <c r="AJ244" s="126">
        <f ca="1">SUMIFS('Сбытовые расходы ГО'!AI$25:AI$75,'Сбытовые расходы ГО'!$F$25:$F$75,$F244,'Сбытовые расходы ГО'!$G$25:$G$75,"l0")</f>
        <v>0</v>
      </c>
      <c r="AK244" s="126">
        <f ca="1">SUMIFS('Сбытовые расходы ГО'!AJ$25:AJ$75,'Сбытовые расходы ГО'!$F$25:$F$75,$F244,'Сбытовые расходы ГО'!$G$25:$G$75,"l0")</f>
        <v>0</v>
      </c>
      <c r="AL244" s="126">
        <f t="shared" ca="1" si="16"/>
        <v>0</v>
      </c>
      <c r="AM244" s="777"/>
      <c r="AN244" s="779"/>
      <c r="AO244" s="777"/>
      <c r="AP244" s="423"/>
      <c r="AQ244" s="423"/>
      <c r="AR244" s="695" t="s">
        <v>1841</v>
      </c>
      <c r="AS244" s="695"/>
      <c r="AT244" s="695"/>
      <c r="AU244" s="505"/>
      <c r="AV244" s="505"/>
    </row>
    <row r="245" spans="1:48" s="868" customFormat="1" ht="14.25" customHeight="1" x14ac:dyDescent="0.25">
      <c r="A245" s="423"/>
      <c r="B245" s="423"/>
      <c r="C245" s="423"/>
      <c r="D245" s="423"/>
      <c r="E245" s="505">
        <v>15</v>
      </c>
      <c r="F245" s="3" t="str" cm="1">
        <f t="array" aca="1" ref="F245" ca="1">OFFSET(E245,-1,1)</f>
        <v>2</v>
      </c>
      <c r="G245" s="423"/>
      <c r="H245" s="423"/>
      <c r="I245" s="154" t="s">
        <v>334</v>
      </c>
      <c r="J245" s="154"/>
      <c r="K245" s="154"/>
      <c r="L245" s="154"/>
      <c r="M245" s="154"/>
      <c r="N245" s="154"/>
      <c r="O245" s="154"/>
      <c r="P245" s="154"/>
      <c r="Q245" s="154"/>
      <c r="R245" s="154"/>
      <c r="S245" s="154"/>
      <c r="T245" s="353" t="b" cm="1">
        <f t="array" aca="1" ref="T245" ca="1">T244</f>
        <v>1</v>
      </c>
      <c r="U245" s="423"/>
      <c r="V245" s="423"/>
      <c r="W245" s="423"/>
      <c r="X245" s="1078"/>
      <c r="Y245" s="423"/>
      <c r="Z245" s="1079"/>
      <c r="AA245" s="423"/>
      <c r="AB245" s="131" t="s">
        <v>460</v>
      </c>
      <c r="AC245" s="125" t="s">
        <v>1842</v>
      </c>
      <c r="AD245" s="124" t="s">
        <v>828</v>
      </c>
      <c r="AE245" s="126">
        <f ca="1">SUMIFS(Амортизация!AE$25:AE$223,Амортизация!$F$25:$F$223,$F245,Амортизация!$AC$25:$AC$223,"Сумма амортизационных отчислений")</f>
        <v>284.57311600000003</v>
      </c>
      <c r="AF245" s="126">
        <f ca="1">SUMIFS(Амортизация!AF$25:AF$223,Амортизация!$F$25:$F$223,$F245,Амортизация!$AC$25:$AC$223,"Сумма амортизационных отчислений")</f>
        <v>3196.6111077234</v>
      </c>
      <c r="AG245" s="126">
        <f ca="1">SUMIFS(Амортизация!AG$25:AG$223,Амортизация!$F$25:$F$223,$F245,Амортизация!$AC$25:$AC$223,"Сумма амортизационных отчислений")</f>
        <v>539.54257240000004</v>
      </c>
      <c r="AH245" s="126">
        <f t="shared" ca="1" si="15"/>
        <v>-2657.0685353233998</v>
      </c>
      <c r="AI245" s="126">
        <f ca="1">SUMIFS(Амортизация!AH$25:AH$223,Амортизация!$F$25:$F$223,$F245,Амортизация!$AC$25:$AC$223,"Сумма амортизационных отчислений")</f>
        <v>515.00771491149999</v>
      </c>
      <c r="AJ245" s="126">
        <f ca="1">SUMIFS(Амортизация!AI$25:AI$223,Амортизация!$F$25:$F$223,$F245,Амортизация!$AC$25:$AC$223,"Сумма амортизационных отчислений")</f>
        <v>5158.9897164878003</v>
      </c>
      <c r="AK245" s="126">
        <f ca="1">SUMIFS(Амортизация!AS$25:AS$223,Амортизация!$F$25:$F$223,$F245,Амортизация!$AC$25:$AC$223,"Сумма амортизационных отчислений")</f>
        <v>531.41589390000001</v>
      </c>
      <c r="AL245" s="126">
        <f t="shared" ca="1" si="16"/>
        <v>3.1860064448393053</v>
      </c>
      <c r="AM245" s="556"/>
      <c r="AN245" s="601" t="str">
        <f ca="1">IF(IFERROR(INDEX(Амортизация!$K$26:$L$223,MATCH($F245&amp;"komm",Амортизация!$K$26:$K$627,0),2),"")=0,"",IFERROR(INDEX(Амортизация!$K$26:$L$223,MATCH($F245&amp;"komm",Амортизация!$K$26:$K$627,0),2),""))</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AO245" s="556"/>
      <c r="AP245" s="423"/>
      <c r="AQ245" s="423"/>
      <c r="AR245" s="695" t="s">
        <v>1247</v>
      </c>
      <c r="AS245" s="695"/>
      <c r="AT245" s="695"/>
      <c r="AU245" s="505"/>
      <c r="AV245" s="505"/>
    </row>
    <row r="246" spans="1:48" ht="14.25" customHeight="1" x14ac:dyDescent="0.25">
      <c r="E246" s="504">
        <v>15</v>
      </c>
      <c r="F246" s="3" t="str" cm="1">
        <f t="array" aca="1" ref="F246" ca="1">OFFSET(E246,-1,1)</f>
        <v>2</v>
      </c>
      <c r="I246" s="38" t="s">
        <v>574</v>
      </c>
      <c r="J246" s="38"/>
      <c r="K246" s="38"/>
      <c r="L246" s="38"/>
      <c r="M246" s="38"/>
      <c r="N246" s="38"/>
      <c r="O246" s="38"/>
      <c r="P246" s="38"/>
      <c r="Q246" s="38"/>
      <c r="R246" s="38"/>
      <c r="S246" s="38"/>
      <c r="T246" s="353" t="b" cm="1">
        <f t="array" aca="1" ref="T246" ca="1">T245</f>
        <v>1</v>
      </c>
      <c r="X246" s="1078"/>
      <c r="Z246" s="1079"/>
      <c r="AB246" s="133" t="s">
        <v>704</v>
      </c>
      <c r="AC246" s="127" t="s">
        <v>1843</v>
      </c>
      <c r="AD246" s="7" t="s">
        <v>828</v>
      </c>
      <c r="AE246" s="128">
        <f ca="1">SUMIFS('ИП + источники'!AF$27:AF$145,'ИП + источники'!$F$27:$F$145,$F246,'ИП + источники'!$AC$27:$AC$145,"Амортизационные отчисления")+SUMIFS('ИП + источники'!AF$27:AF$145,'ИП + источники'!$F$27:$F$145,$F246,'ИП + источники'!$AC$27:$AC$145,"погашение займов и кредитов из амортизации")</f>
        <v>0</v>
      </c>
      <c r="AF246" s="128">
        <f ca="1">SUMIFS('ИП + источники'!AG$27:AG$145,'ИП + источники'!$F$27:$F$145,$F246,'ИП + источники'!$AC$27:$AC$145,"Амортизационные отчисления")+SUMIFS('ИП + источники'!AG$27:AG$145,'ИП + источники'!$F$27:$F$145,$F246,'ИП + источники'!$AC$27:$AC$145,"погашение займов и кредитов из амортизации")</f>
        <v>0</v>
      </c>
      <c r="AG246" s="128">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H246" s="171">
        <f t="shared" ca="1" si="15"/>
        <v>0</v>
      </c>
      <c r="AI246" s="128">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J246" s="128">
        <f ca="1">SUMIFS('ИП + источники'!AI$27:AI$145,'ИП + источники'!$F$27:$F$145,$F246,'ИП + источники'!$AC$27:$AC$145,"Амортизационные отчисления")+SUMIFS('ИП + источники'!AI$27:AI$145,'ИП + источники'!$F$27:$F$145,$F246,'ИП + источники'!$AC$27:$AC$145,"погашение займов и кредитов из амортизации")</f>
        <v>0</v>
      </c>
      <c r="AK246" s="128">
        <f ca="1">SUMIFS('ИП + источники'!AJ$27:AJ$145,'ИП + источники'!$F$27:$F$145,$F246,'ИП + источники'!$AC$27:$AC$145,"Амортизационные отчисления")+SUMIFS('ИП + источники'!AJ$27:AJ$145,'ИП + источники'!$F$27:$F$145,$F246,'ИП + источники'!$AC$27:$AC$145,"погашение займов и кредитов из амортизации")</f>
        <v>0</v>
      </c>
      <c r="AL246" s="171">
        <f t="shared" ca="1" si="16"/>
        <v>0</v>
      </c>
      <c r="AM246" s="196"/>
      <c r="AN246" s="196"/>
      <c r="AO246" s="196"/>
      <c r="AR246" s="694" t="s">
        <v>1844</v>
      </c>
    </row>
    <row r="247" spans="1:48" s="868" customFormat="1" ht="21.75" customHeight="1" x14ac:dyDescent="0.25">
      <c r="A247" s="423"/>
      <c r="B247" s="423"/>
      <c r="C247" s="423"/>
      <c r="D247" s="423"/>
      <c r="E247" s="505">
        <v>22.5</v>
      </c>
      <c r="F247" s="3" t="str" cm="1">
        <f t="array" aca="1" ref="F247" ca="1">OFFSET(E247,-1,1)</f>
        <v>2</v>
      </c>
      <c r="G247" s="423"/>
      <c r="H247" s="423"/>
      <c r="I247" s="154" t="s">
        <v>532</v>
      </c>
      <c r="J247" s="154"/>
      <c r="K247" s="154"/>
      <c r="L247" s="154"/>
      <c r="M247" s="154"/>
      <c r="N247" s="154"/>
      <c r="O247" s="154"/>
      <c r="P247" s="154"/>
      <c r="Q247" s="154"/>
      <c r="R247" s="154"/>
      <c r="S247" s="154"/>
      <c r="T247" s="353" t="b" cm="1">
        <f t="array" aca="1" ref="T247" ca="1">T246</f>
        <v>1</v>
      </c>
      <c r="U247" s="423"/>
      <c r="V247" s="423"/>
      <c r="W247" s="423"/>
      <c r="X247" s="1078"/>
      <c r="Y247" s="423"/>
      <c r="Z247" s="1079"/>
      <c r="AA247" s="423"/>
      <c r="AB247" s="131" t="s">
        <v>536</v>
      </c>
      <c r="AC247" s="125" t="s">
        <v>1845</v>
      </c>
      <c r="AD247" s="124" t="s">
        <v>828</v>
      </c>
      <c r="AE247" s="126">
        <f ca="1">SUMIFS(Аренда!AE$25:AE$67,Аренда!$F$25:$F$67,$F247,Аренда!$G$25:$G$67,"Арендная и концессионная плата, лизинговые платежи")</f>
        <v>0</v>
      </c>
      <c r="AF247" s="126">
        <f ca="1">SUMIFS(Аренда!AF$25:AF$67,Аренда!$F$25:$F$67,$F247,Аренда!$G$25:$G$67,"Арендная и концессионная плата, лизинговые платежи")</f>
        <v>0</v>
      </c>
      <c r="AG247" s="126">
        <f ca="1">SUMIFS(Аренда!AG$25:AG$67,Аренда!$F$25:$F$67,$F247,Аренда!$G$25:$G$67,"Арендная и концессионная плата, лизинговые платежи")</f>
        <v>0</v>
      </c>
      <c r="AH247" s="126">
        <f t="shared" ca="1" si="15"/>
        <v>0</v>
      </c>
      <c r="AI247" s="126">
        <f ca="1">SUMIFS(Аренда!AH$25:AH$67,Аренда!$F$25:$F$67,$F247,Аренда!$G$25:$G$67,"Арендная и концессионная плата, лизинговые платежи")</f>
        <v>0</v>
      </c>
      <c r="AJ247" s="126">
        <f ca="1">SUMIFS(Аренда!AI$25:AI$67,Аренда!$F$25:$F$67,$F247,Аренда!$G$25:$G$67,"Арендная и концессионная плата, лизинговые платежи")</f>
        <v>0</v>
      </c>
      <c r="AK247" s="126">
        <f ca="1">SUMIFS(Аренда!AS$25:AS$67,Аренда!$F$25:$F$67,$F247,Аренда!$G$25:$G$67,"Арендная и концессионная плата, лизинговые платежи")</f>
        <v>0</v>
      </c>
      <c r="AL247" s="126">
        <f t="shared" ca="1" si="16"/>
        <v>0</v>
      </c>
      <c r="AM247" s="556"/>
      <c r="AN247" s="601" t="str">
        <f ca="1">IF(IFERROR(INDEX(Аренда!$K$26:$L$67,MATCH($F247&amp;"komm",Аренда!$K$26:$K$67,0),2),"")=0,"",IFERROR(INDEX(Аренда!$K$26:$L$67,MATCH($F247&amp;"komm",Аренда!$K$26:$K$67,0),2),""))</f>
        <v/>
      </c>
      <c r="AO247" s="556"/>
      <c r="AP247" s="423"/>
      <c r="AQ247" s="423"/>
      <c r="AR247" s="695" t="s">
        <v>1846</v>
      </c>
      <c r="AS247" s="695"/>
      <c r="AT247" s="695"/>
      <c r="AU247" s="505"/>
      <c r="AV247" s="505"/>
    </row>
    <row r="248" spans="1:48" s="868" customFormat="1" ht="14.25" customHeight="1" x14ac:dyDescent="0.25">
      <c r="A248" s="423"/>
      <c r="B248" s="423"/>
      <c r="C248" s="423"/>
      <c r="D248" s="423"/>
      <c r="E248" s="505">
        <v>15</v>
      </c>
      <c r="F248" s="3" t="str" cm="1">
        <f t="array" aca="1" ref="F248" ca="1">OFFSET(E248,-1,1)</f>
        <v>2</v>
      </c>
      <c r="G248" s="423"/>
      <c r="H248" s="423"/>
      <c r="I248" s="154" t="s">
        <v>535</v>
      </c>
      <c r="J248" s="154"/>
      <c r="K248" s="154"/>
      <c r="L248" s="154"/>
      <c r="M248" s="154"/>
      <c r="N248" s="154"/>
      <c r="O248" s="154"/>
      <c r="P248" s="154"/>
      <c r="Q248" s="154"/>
      <c r="R248" s="154"/>
      <c r="S248" s="154"/>
      <c r="T248" s="353" t="b" cm="1">
        <f t="array" aca="1" ref="T248" ca="1">T247</f>
        <v>1</v>
      </c>
      <c r="U248" s="423"/>
      <c r="V248" s="423"/>
      <c r="W248" s="423"/>
      <c r="X248" s="1078"/>
      <c r="Y248" s="423"/>
      <c r="Z248" s="1079"/>
      <c r="AA248" s="423"/>
      <c r="AB248" s="131" t="s">
        <v>602</v>
      </c>
      <c r="AC248" s="125" t="s">
        <v>1847</v>
      </c>
      <c r="AD248" s="124" t="s">
        <v>828</v>
      </c>
      <c r="AE248" s="126">
        <f ca="1">SUMIFS(Налоги!AE$25:AE$83,Налоги!$F$25:$F$83,$F248,Налоги!$AC$25:$AC$83,"Налоги и платежи, относимые на указанный вид деятельности")</f>
        <v>293.05513215000002</v>
      </c>
      <c r="AF248" s="126">
        <f ca="1">SUMIFS(Налоги!AF$25:AF$83,Налоги!$F$25:$F$83,$F248,Налоги!$AC$25:$AC$83,"Налоги и платежи, относимые на указанный вид деятельности")</f>
        <v>512.55999999999995</v>
      </c>
      <c r="AG248" s="126">
        <f ca="1">SUMIFS(Налоги!AG$25:AG$83,Налоги!$F$25:$F$83,$F248,Налоги!$AC$25:$AC$83,"Налоги и платежи, относимые на указанный вид деятельности")</f>
        <v>512.55999999999995</v>
      </c>
      <c r="AH248" s="126">
        <f t="shared" ca="1" si="15"/>
        <v>0</v>
      </c>
      <c r="AI248" s="126">
        <f ca="1">SUMIFS(Налоги!AH$25:AH$83,Налоги!$F$25:$F$83,$F248,Налоги!$AC$25:$AC$83,"Налоги и платежи, относимые на указанный вид деятельности")</f>
        <v>19.082649</v>
      </c>
      <c r="AJ248" s="126">
        <f ca="1">SUMIFS(Налоги!AI$25:AI$83,Налоги!$F$25:$F$83,$F248,Налоги!$AC$25:$AC$83,"Налоги и платежи, относимые на указанный вид деятельности")</f>
        <v>809.22308958170004</v>
      </c>
      <c r="AK248" s="126">
        <f ca="1">SUMIFS(Налоги!AS$25:AS$83,Налоги!$F$25:$F$83,$F248,Налоги!$AC$25:$AC$83,"Налоги и платежи, относимые на указанный вид деятельности")</f>
        <v>511.17885000000001</v>
      </c>
      <c r="AL248" s="126">
        <f t="shared" ca="1" si="16"/>
        <v>2578.7625240080661</v>
      </c>
      <c r="AM248" s="556"/>
      <c r="AN248" s="601" t="str">
        <f ca="1">IF(IFERROR(INDEX(Налоги!$K$26:$L$83,MATCH($F248&amp;"komm",Налоги!$K$26:$K$83,0),2),"")=0,"",IFERROR(INDEX(Налоги!$K$26:$L$83,MATCH($F248&amp;"komm",Налоги!$K$26:$K$83,0),2),""))</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AO248" s="556"/>
      <c r="AP248" s="423"/>
      <c r="AQ248" s="423"/>
      <c r="AR248" s="695" t="s">
        <v>1275</v>
      </c>
      <c r="AS248" s="695"/>
      <c r="AT248" s="695"/>
      <c r="AU248" s="505"/>
      <c r="AV248" s="505"/>
    </row>
    <row r="249" spans="1:48" s="868" customFormat="1" ht="14.25" customHeight="1" x14ac:dyDescent="0.25">
      <c r="A249" s="423"/>
      <c r="B249" s="423"/>
      <c r="C249" s="423"/>
      <c r="D249" s="423"/>
      <c r="E249" s="505">
        <v>15</v>
      </c>
      <c r="F249" s="3" t="str" cm="1">
        <f t="array" aca="1" ref="F249" ca="1">OFFSET(E249,-1,1)</f>
        <v>2</v>
      </c>
      <c r="G249" s="423"/>
      <c r="H249" s="423"/>
      <c r="I249" s="154" t="s">
        <v>586</v>
      </c>
      <c r="J249" s="154"/>
      <c r="K249" s="154"/>
      <c r="L249" s="154"/>
      <c r="M249" s="154"/>
      <c r="N249" s="154"/>
      <c r="O249" s="154"/>
      <c r="P249" s="154"/>
      <c r="Q249" s="154"/>
      <c r="R249" s="154"/>
      <c r="S249" s="154"/>
      <c r="T249" s="353" t="b" cm="1">
        <f t="array" aca="1" ref="T249" ca="1">T248</f>
        <v>1</v>
      </c>
      <c r="U249" s="423"/>
      <c r="V249" s="423"/>
      <c r="W249" s="423"/>
      <c r="X249" s="1078"/>
      <c r="Y249" s="423"/>
      <c r="Z249" s="1079"/>
      <c r="AA249" s="423"/>
      <c r="AB249" s="131" t="s">
        <v>610</v>
      </c>
      <c r="AC249" s="125" t="s">
        <v>1848</v>
      </c>
      <c r="AD249" s="147" t="s">
        <v>828</v>
      </c>
      <c r="AE249" s="126">
        <f ca="1">AE250+AE251+AE252</f>
        <v>0</v>
      </c>
      <c r="AF249" s="126">
        <f ca="1">AF250+AF251+AF252</f>
        <v>0</v>
      </c>
      <c r="AG249" s="126">
        <f ca="1">AG250+AG251+AG252</f>
        <v>0</v>
      </c>
      <c r="AH249" s="126">
        <f t="shared" ca="1" si="15"/>
        <v>0</v>
      </c>
      <c r="AI249" s="126">
        <f ca="1">AI250+AI251+AI252</f>
        <v>0</v>
      </c>
      <c r="AJ249" s="126">
        <f ca="1">AJ250+AJ251+AJ252</f>
        <v>0</v>
      </c>
      <c r="AK249" s="126">
        <f ca="1">AK250+AK251+AK252</f>
        <v>0</v>
      </c>
      <c r="AL249" s="126">
        <f t="shared" ca="1" si="16"/>
        <v>0</v>
      </c>
      <c r="AM249" s="556"/>
      <c r="AN249" s="601"/>
      <c r="AO249" s="556"/>
      <c r="AP249" s="423"/>
      <c r="AQ249" s="423"/>
      <c r="AR249" s="695" t="s">
        <v>1517</v>
      </c>
      <c r="AS249" s="695"/>
      <c r="AT249" s="695"/>
      <c r="AU249" s="505"/>
      <c r="AV249" s="505"/>
    </row>
    <row r="250" spans="1:48" ht="14.25" customHeight="1" x14ac:dyDescent="0.25">
      <c r="E250" s="504">
        <v>15</v>
      </c>
      <c r="F250" s="3" t="str" cm="1">
        <f t="array" aca="1" ref="F250" ca="1">OFFSET(E250,-1,1)</f>
        <v>2</v>
      </c>
      <c r="I250" s="38" t="s">
        <v>589</v>
      </c>
      <c r="J250" s="38"/>
      <c r="K250" s="38"/>
      <c r="L250" s="38"/>
      <c r="M250" s="38"/>
      <c r="N250" s="38"/>
      <c r="O250" s="38"/>
      <c r="P250" s="38"/>
      <c r="Q250" s="38"/>
      <c r="R250" s="38"/>
      <c r="S250" s="38"/>
      <c r="T250" s="353" t="b" cm="1">
        <f t="array" aca="1" ref="T250" ca="1">T249</f>
        <v>1</v>
      </c>
      <c r="X250" s="1078"/>
      <c r="Z250" s="1079"/>
      <c r="AB250" s="133" t="s">
        <v>614</v>
      </c>
      <c r="AC250" s="127" t="s">
        <v>1849</v>
      </c>
      <c r="AD250" s="7" t="s">
        <v>828</v>
      </c>
      <c r="AE250" s="128">
        <f ca="1">SUMIFS('ИП + источники'!AF$26:AF$145,'ИП + источники'!$F$26:$F$145,$F250,'ИП + источники'!$AC$26:$AC$145,"погашение займов и кредитов из нормативной прибыли")+SUMIFS('ИП + источники'!AF$26:AF$145,'ИП + источники'!$F$26:$F$145,$F250,'ИП + источники'!$AC$26:$AC$145,"уплата процентов по кредитам из нормативной прибыли")</f>
        <v>0</v>
      </c>
      <c r="AF250" s="128">
        <f ca="1">SUMIFS('ИП + источники'!AG$26:AG$145,'ИП + источники'!$F$26:$F$145,$F250,'ИП + источники'!$AC$26:$AC$145,"погашение займов и кредитов из нормативной прибыли")+SUMIFS('ИП + источники'!AG$26:AG$145,'ИП + источники'!$F$26:$F$145,$F250,'ИП + источники'!$AC$26:$AC$145,"уплата процентов по кредитам из нормативной прибыли")</f>
        <v>0</v>
      </c>
      <c r="AG250" s="128">
        <f ca="1">SUMIFS('ИП + источники'!AH$26:AH$145,'ИП + источники'!$F$26:$F$145,$F250,'ИП + источники'!$AC$26:$AC$145,"погашение займов и кредитов из нормативной прибыли")+SUMIFS('ИП + источники'!AH$26:AH$145,'ИП + источники'!$F$26:$F$145,$F250,'ИП + источники'!$AC$26:$AC$145,"уплата процентов по кредитам из нормативной прибыли")</f>
        <v>0</v>
      </c>
      <c r="AH250" s="171">
        <f t="shared" ca="1" si="15"/>
        <v>0</v>
      </c>
      <c r="AI250" s="128">
        <f ca="1">SUMIFS('ИП + источники'!AJ$26:AJ$145,'ИП + источники'!$F$26:$F$145,$F250,'ИП + источники'!$AC$26:$AC$145,"погашение займов и кредитов из нормативной прибыли")+SUMIFS('ИП + источники'!AJ$26:AJ$145,'ИП + источники'!$F$26:$F$145,$F250,'ИП + источники'!$AC$26:$AC$145,"уплата процентов по кредитам из нормативной прибыли")</f>
        <v>0</v>
      </c>
      <c r="AJ250" s="128">
        <f ca="1">SUMIFS('ИП + источники'!AK$26:AK$145,'ИП + источники'!$F$26:$F$145,$F250,'ИП + источники'!$AC$26:$AC$145,"погашение займов и кредитов из нормативной прибыли")+SUMIFS('ИП + источники'!AK$26:AK$145,'ИП + источники'!$F$26:$F$145,$F250,'ИП + источники'!$AC$26:$AC$145,"уплата процентов по кредитам из нормативной прибыли")</f>
        <v>0</v>
      </c>
      <c r="AK250" s="128">
        <f ca="1">SUMIFS('ИП + источники'!AU$26:AU$145,'ИП + источники'!$F$26:$F$145,$F250,'ИП + источники'!$AC$26:$AC$145,"погашение займов и кредитов из нормативной прибыли")+SUMIFS('ИП + источники'!AU$26:AU$145,'ИП + источники'!$F$26:$F$145,$F250,'ИП + источники'!$AC$26:$AC$145,"уплата процентов по кредитам из нормативной прибыли")</f>
        <v>0</v>
      </c>
      <c r="AL250" s="171">
        <f t="shared" ca="1" si="16"/>
        <v>0</v>
      </c>
      <c r="AM250" s="196"/>
      <c r="AN250" s="601" t="str">
        <f ca="1">IF(IFERROR(INDEX('ИП + источники'!$K$28:$L$145,MATCH($F250&amp;"1komm",'ИП + источники'!$K$28:$K$145,0),2),"")=0,"",IFERROR(INDEX('ИП + источники'!$K$28:$L$145,MATCH($F250&amp;"1komm",'ИП + источники'!$K$28:$K$145,0),2),""))</f>
        <v/>
      </c>
      <c r="AO250" s="196"/>
      <c r="AR250" s="694" t="s">
        <v>1268</v>
      </c>
    </row>
    <row r="251" spans="1:48" ht="14.25" customHeight="1" x14ac:dyDescent="0.25">
      <c r="E251" s="504">
        <v>15</v>
      </c>
      <c r="F251" s="3" t="str" cm="1">
        <f t="array" aca="1" ref="F251" ca="1">OFFSET(E251,-1,1)</f>
        <v>2</v>
      </c>
      <c r="I251" s="38" t="s">
        <v>593</v>
      </c>
      <c r="J251" s="38"/>
      <c r="K251" s="38"/>
      <c r="L251" s="38"/>
      <c r="M251" s="38"/>
      <c r="N251" s="38"/>
      <c r="O251" s="38"/>
      <c r="P251" s="38"/>
      <c r="Q251" s="38"/>
      <c r="R251" s="38"/>
      <c r="S251" s="38"/>
      <c r="T251" s="353" t="b" cm="1">
        <f t="array" aca="1" ref="T251" ca="1">T250</f>
        <v>1</v>
      </c>
      <c r="X251" s="1078"/>
      <c r="Z251" s="1079"/>
      <c r="AB251" s="133" t="s">
        <v>631</v>
      </c>
      <c r="AC251" s="127" t="s">
        <v>1850</v>
      </c>
      <c r="AD251" s="7" t="s">
        <v>828</v>
      </c>
      <c r="AE251" s="128">
        <f ca="1">SUMIFS('ИП + источники'!AF$27:AF$145,'ИП + источники'!$F$27:$F$145,$F251,'ИП + источники'!$AC$27:$AC$145,"Прибыль на капвложения")</f>
        <v>0</v>
      </c>
      <c r="AF251" s="128">
        <f ca="1">SUMIFS('ИП + источники'!AG$27:AG$145,'ИП + источники'!$F$27:$F$145,$F251,'ИП + источники'!$AC$27:$AC$145,"Прибыль на капвложения")</f>
        <v>0</v>
      </c>
      <c r="AG251" s="128">
        <f ca="1">SUMIFS('ИП + источники'!AH$27:AH$145,'ИП + источники'!$F$27:$F$145,$F251,'ИП + источники'!$AC$27:$AC$145,"Прибыль на капвложения")</f>
        <v>0</v>
      </c>
      <c r="AH251" s="171">
        <f t="shared" ca="1" si="15"/>
        <v>0</v>
      </c>
      <c r="AI251" s="128">
        <f ca="1">SUMIFS('ИП + источники'!AJ$27:AJ$145,'ИП + источники'!$F$27:$F$145,$F251,'ИП + источники'!$AC$27:$AC$145,"Прибыль на капвложения")</f>
        <v>0</v>
      </c>
      <c r="AJ251" s="128">
        <f ca="1">SUMIFS('ИП + источники'!AK$27:AK$145,'ИП + источники'!$F$27:$F$145,$F251,'ИП + источники'!$AC$27:$AC$145,"Прибыль на капвложения")</f>
        <v>0</v>
      </c>
      <c r="AK251" s="128">
        <f ca="1">SUMIFS('ИП + источники'!AU$27:AU$145,'ИП + источники'!$F$27:$F$145,$F251,'ИП + источники'!$AC$27:$AC$145,"Прибыль на капвложения")</f>
        <v>0</v>
      </c>
      <c r="AL251" s="171">
        <f t="shared" ca="1" si="16"/>
        <v>0</v>
      </c>
      <c r="AM251" s="196"/>
      <c r="AN251" s="601" t="str">
        <f ca="1">IF(IFERROR(INDEX('ИП + источники'!$K$28:$L$145,MATCH($F251&amp;"2komm",'ИП + источники'!$K$28:$K$145,0),2),"")=0,"",IFERROR(INDEX('ИП + источники'!$K$28:$L$145,MATCH($F251&amp;"2komm",'ИП + источники'!$K$28:$K$145,0),2),""))</f>
        <v/>
      </c>
      <c r="AO251" s="196"/>
      <c r="AR251" s="694" t="s">
        <v>1851</v>
      </c>
    </row>
    <row r="252" spans="1:48" ht="21.75" customHeight="1" x14ac:dyDescent="0.25">
      <c r="E252" s="504">
        <v>22.5</v>
      </c>
      <c r="F252" s="3" t="str" cm="1">
        <f t="array" aca="1" ref="F252" ca="1">OFFSET(E252,-1,1)</f>
        <v>2</v>
      </c>
      <c r="I252" s="38" t="s">
        <v>597</v>
      </c>
      <c r="J252" s="38"/>
      <c r="K252" s="38"/>
      <c r="L252" s="38"/>
      <c r="M252" s="38"/>
      <c r="N252" s="38"/>
      <c r="O252" s="38"/>
      <c r="P252" s="38"/>
      <c r="Q252" s="38"/>
      <c r="R252" s="38"/>
      <c r="S252" s="38"/>
      <c r="T252" s="353" t="b" cm="1">
        <f t="array" aca="1" ref="T252" ca="1">T251</f>
        <v>1</v>
      </c>
      <c r="X252" s="1078"/>
      <c r="Z252" s="1079"/>
      <c r="AB252" s="133" t="s">
        <v>643</v>
      </c>
      <c r="AC252" s="127" t="s">
        <v>1852</v>
      </c>
      <c r="AD252" s="7" t="s">
        <v>828</v>
      </c>
      <c r="AE252" s="128"/>
      <c r="AF252" s="128"/>
      <c r="AG252" s="128"/>
      <c r="AH252" s="171"/>
      <c r="AI252" s="128"/>
      <c r="AJ252" s="128"/>
      <c r="AK252" s="128"/>
      <c r="AL252" s="171">
        <f t="shared" si="16"/>
        <v>0</v>
      </c>
      <c r="AM252" s="196"/>
      <c r="AN252" s="196"/>
      <c r="AO252" s="196"/>
      <c r="AR252" s="694" t="s">
        <v>1853</v>
      </c>
    </row>
    <row r="253" spans="1:48" s="868" customFormat="1" ht="21.75" hidden="1" customHeight="1" x14ac:dyDescent="0.25">
      <c r="A253" s="423"/>
      <c r="B253" s="423" t="b">
        <f>STATUS_GO="да"</f>
        <v>0</v>
      </c>
      <c r="C253" s="423"/>
      <c r="D253" s="423"/>
      <c r="E253" s="505">
        <v>22.5</v>
      </c>
      <c r="F253" s="3" t="str" cm="1">
        <f t="array" aca="1" ref="F253" ca="1">OFFSET(E253,-1,1)</f>
        <v>2</v>
      </c>
      <c r="G253" s="423"/>
      <c r="H253" s="423"/>
      <c r="I253" s="154" t="s">
        <v>601</v>
      </c>
      <c r="J253" s="154"/>
      <c r="K253" s="154"/>
      <c r="L253" s="154"/>
      <c r="M253" s="154"/>
      <c r="N253" s="154"/>
      <c r="O253" s="154"/>
      <c r="P253" s="154"/>
      <c r="Q253" s="154"/>
      <c r="R253" s="154"/>
      <c r="S253" s="154"/>
      <c r="T253" s="353" t="b" cm="1">
        <f t="array" aca="1" ref="T253" ca="1">T252</f>
        <v>1</v>
      </c>
      <c r="U253" s="423"/>
      <c r="V253" s="423"/>
      <c r="W253" s="423"/>
      <c r="X253" s="1078"/>
      <c r="Y253" s="423"/>
      <c r="Z253" s="1079"/>
      <c r="AA253" s="423"/>
      <c r="AB253" s="131" t="s">
        <v>768</v>
      </c>
      <c r="AC253" s="132" t="s">
        <v>1854</v>
      </c>
      <c r="AD253" s="124" t="s">
        <v>828</v>
      </c>
      <c r="AE253" s="138"/>
      <c r="AF253" s="138"/>
      <c r="AG253" s="138"/>
      <c r="AH253" s="126">
        <f>AG253-AF253</f>
        <v>0</v>
      </c>
      <c r="AI253" s="138"/>
      <c r="AJ253" s="774"/>
      <c r="AK253" s="774"/>
      <c r="AL253" s="126">
        <f t="shared" si="16"/>
        <v>0</v>
      </c>
      <c r="AM253" s="777"/>
      <c r="AN253" s="777"/>
      <c r="AO253" s="777"/>
      <c r="AP253" s="423"/>
      <c r="AQ253" s="423"/>
      <c r="AR253" s="695" t="s">
        <v>1855</v>
      </c>
      <c r="AS253" s="695"/>
      <c r="AT253" s="695"/>
      <c r="AU253" s="505"/>
      <c r="AV253" s="505"/>
    </row>
    <row r="254" spans="1:48" ht="14.25" customHeight="1" x14ac:dyDescent="0.25">
      <c r="E254" s="504">
        <v>15</v>
      </c>
      <c r="F254" s="3" t="str" cm="1">
        <f t="array" aca="1" ref="F254" ca="1">OFFSET(E254,-1,1)</f>
        <v>2</v>
      </c>
      <c r="I254" s="38" t="s">
        <v>609</v>
      </c>
      <c r="J254" s="38"/>
      <c r="K254" s="38"/>
      <c r="L254" s="38"/>
      <c r="M254" s="38"/>
      <c r="N254" s="38"/>
      <c r="O254" s="38"/>
      <c r="P254" s="38"/>
      <c r="Q254" s="38"/>
      <c r="R254" s="38"/>
      <c r="S254" s="38"/>
      <c r="T254" s="353" t="b" cm="1">
        <f t="array" aca="1" ref="T254" ca="1">T253</f>
        <v>1</v>
      </c>
      <c r="X254" s="1078"/>
      <c r="Z254" s="1079"/>
      <c r="AB254" s="133" t="s">
        <v>771</v>
      </c>
      <c r="AC254" s="346" t="s">
        <v>1472</v>
      </c>
      <c r="AD254" s="7" t="s">
        <v>828</v>
      </c>
      <c r="AE254" s="128"/>
      <c r="AF254" s="128"/>
      <c r="AG254" s="128"/>
      <c r="AH254" s="171"/>
      <c r="AI254" s="129"/>
      <c r="AJ254" s="129"/>
      <c r="AK254" s="129"/>
      <c r="AL254" s="171">
        <f t="shared" si="16"/>
        <v>0</v>
      </c>
      <c r="AM254" s="196"/>
      <c r="AN254" s="196"/>
      <c r="AO254" s="196"/>
      <c r="AR254" s="694" t="s">
        <v>1856</v>
      </c>
    </row>
    <row r="255" spans="1:48" ht="101.25" hidden="1" customHeight="1" x14ac:dyDescent="0.25">
      <c r="E255" s="504">
        <v>0</v>
      </c>
      <c r="F255" s="3" t="str" cm="1">
        <f t="array" aca="1" ref="F255" ca="1">OFFSET(E255,-1,1)</f>
        <v>2</v>
      </c>
      <c r="H255" s="38" t="b">
        <f>ISERR(SEARCH("Водоснабжение",AB197))</f>
        <v>1</v>
      </c>
      <c r="I255" s="38" t="s">
        <v>767</v>
      </c>
      <c r="J255" s="38"/>
      <c r="K255" s="38"/>
      <c r="L255" s="38"/>
      <c r="M255" s="38"/>
      <c r="N255" s="38"/>
      <c r="O255" s="38"/>
      <c r="P255" s="38"/>
      <c r="Q255" s="38"/>
      <c r="R255" s="38"/>
      <c r="S255" s="38"/>
      <c r="T255" s="353" t="b" cm="1">
        <f t="array" aca="1" ref="T255" ca="1">T254</f>
        <v>1</v>
      </c>
      <c r="X255" s="1078"/>
      <c r="Z255" s="1079"/>
      <c r="AB255" s="133" t="s">
        <v>1098</v>
      </c>
      <c r="AC255" s="346" t="s">
        <v>1857</v>
      </c>
      <c r="AD255" s="9" t="s">
        <v>828</v>
      </c>
      <c r="AE255" s="128"/>
      <c r="AF255" s="128"/>
      <c r="AG255" s="128"/>
      <c r="AH255" s="171">
        <f t="shared" ref="AH255:AH270" si="17">AG255-AF255</f>
        <v>0</v>
      </c>
      <c r="AI255" s="128"/>
      <c r="AJ255" s="778"/>
      <c r="AK255" s="778">
        <f ca="1">IFERROR(SUMIFS('Плата за негативное возд'!$AL$25:$AL$38,'Плата за негативное возд'!$F$25:$F$38,F255,'Плата за негативное возд'!$G$25:$G$38,"1"),0)</f>
        <v>0</v>
      </c>
      <c r="AL255" s="171">
        <f t="shared" si="16"/>
        <v>0</v>
      </c>
      <c r="AM255" s="775"/>
      <c r="AN255" s="775"/>
      <c r="AO255" s="775"/>
      <c r="AR255" s="694" t="s">
        <v>1374</v>
      </c>
    </row>
    <row r="256" spans="1:48" ht="67.5" hidden="1" customHeight="1" x14ac:dyDescent="0.25">
      <c r="E256" s="504">
        <v>0</v>
      </c>
      <c r="F256" s="3" t="str" cm="1">
        <f t="array" aca="1" ref="F256" ca="1">OFFSET(E256,-1,1)</f>
        <v>2</v>
      </c>
      <c r="H256" s="38" t="b">
        <f>ISERR(SEARCH("Водоснабжение",AB197))</f>
        <v>1</v>
      </c>
      <c r="I256" s="38" t="s">
        <v>770</v>
      </c>
      <c r="J256" s="38"/>
      <c r="K256" s="38"/>
      <c r="L256" s="38"/>
      <c r="M256" s="38"/>
      <c r="N256" s="38"/>
      <c r="O256" s="38"/>
      <c r="P256" s="38"/>
      <c r="Q256" s="38"/>
      <c r="R256" s="38"/>
      <c r="S256" s="38"/>
      <c r="T256" s="353" t="b" cm="1">
        <f t="array" aca="1" ref="T256" ca="1">T255</f>
        <v>1</v>
      </c>
      <c r="X256" s="1078"/>
      <c r="Z256" s="1079"/>
      <c r="AB256" s="133" t="s">
        <v>1858</v>
      </c>
      <c r="AC256" s="346" t="s">
        <v>1859</v>
      </c>
      <c r="AD256" s="9" t="s">
        <v>828</v>
      </c>
      <c r="AE256" s="128"/>
      <c r="AF256" s="128"/>
      <c r="AG256" s="128"/>
      <c r="AH256" s="171">
        <f t="shared" si="17"/>
        <v>0</v>
      </c>
      <c r="AI256" s="128"/>
      <c r="AJ256" s="778"/>
      <c r="AK256" s="778">
        <f ca="1">IFERROR(SUMIFS('Плата за негативное возд'!$AL$25:$AL$38,'Плата за негативное возд'!$F$25:$F$38,F256,'Плата за негативное возд'!$G$25:$G$38,"2"),0)</f>
        <v>0</v>
      </c>
      <c r="AL256" s="171">
        <f t="shared" si="16"/>
        <v>0</v>
      </c>
      <c r="AM256" s="775"/>
      <c r="AN256" s="775"/>
      <c r="AO256" s="775"/>
      <c r="AR256" s="694" t="s">
        <v>1378</v>
      </c>
    </row>
    <row r="257" spans="1:48" ht="14.25" customHeight="1" x14ac:dyDescent="0.25">
      <c r="E257" s="504">
        <v>15</v>
      </c>
      <c r="F257" s="3" t="str" cm="1">
        <f t="array" aca="1" ref="F257" ca="1">OFFSET(E257,-1,1)</f>
        <v>2</v>
      </c>
      <c r="I257" s="38" t="s">
        <v>806</v>
      </c>
      <c r="J257" s="38"/>
      <c r="K257" s="38"/>
      <c r="L257" s="38"/>
      <c r="M257" s="38"/>
      <c r="N257" s="38"/>
      <c r="O257" s="38"/>
      <c r="P257" s="38"/>
      <c r="Q257" s="38"/>
      <c r="R257" s="38"/>
      <c r="S257" s="38"/>
      <c r="T257" s="353" t="b" cm="1">
        <f t="array" aca="1" ref="T257" ca="1">T256</f>
        <v>1</v>
      </c>
      <c r="X257" s="1078"/>
      <c r="Z257" s="1079"/>
      <c r="AB257" s="133" t="s">
        <v>1860</v>
      </c>
      <c r="AC257" s="246" t="s">
        <v>1861</v>
      </c>
      <c r="AD257" s="7" t="s">
        <v>828</v>
      </c>
      <c r="AE257" s="128"/>
      <c r="AF257" s="128"/>
      <c r="AG257" s="128"/>
      <c r="AH257" s="171">
        <f t="shared" si="17"/>
        <v>0</v>
      </c>
      <c r="AI257" s="128"/>
      <c r="AJ257" s="128"/>
      <c r="AK257" s="128"/>
      <c r="AL257" s="171">
        <f t="shared" si="16"/>
        <v>0</v>
      </c>
      <c r="AM257" s="196"/>
      <c r="AN257" s="196"/>
      <c r="AO257" s="196"/>
      <c r="AR257" s="694" t="s">
        <v>1253</v>
      </c>
    </row>
    <row r="258" spans="1:48" s="868" customFormat="1" ht="21.75" customHeight="1" x14ac:dyDescent="0.25">
      <c r="A258" s="423"/>
      <c r="B258" s="423"/>
      <c r="C258" s="423"/>
      <c r="D258" s="423"/>
      <c r="E258" s="505">
        <v>22.5</v>
      </c>
      <c r="F258" s="3" t="str" cm="1">
        <f t="array" aca="1" ref="F258" ca="1">OFFSET(E258,-1,1)</f>
        <v>2</v>
      </c>
      <c r="G258" s="423"/>
      <c r="H258" s="423"/>
      <c r="I258" s="154" t="s">
        <v>807</v>
      </c>
      <c r="J258" s="154"/>
      <c r="K258" s="154"/>
      <c r="L258" s="154"/>
      <c r="M258" s="154"/>
      <c r="N258" s="154"/>
      <c r="O258" s="154"/>
      <c r="P258" s="154"/>
      <c r="Q258" s="154"/>
      <c r="R258" s="154"/>
      <c r="S258" s="154"/>
      <c r="T258" s="353" t="b" cm="1">
        <f t="array" aca="1" ref="T258" ca="1">T257</f>
        <v>1</v>
      </c>
      <c r="U258" s="423"/>
      <c r="V258" s="423"/>
      <c r="W258" s="423"/>
      <c r="X258" s="1078"/>
      <c r="Y258" s="423"/>
      <c r="Z258" s="1079"/>
      <c r="AA258" s="423"/>
      <c r="AB258" s="131" t="s">
        <v>1862</v>
      </c>
      <c r="AC258" s="125" t="s">
        <v>1863</v>
      </c>
      <c r="AD258" s="124" t="s">
        <v>828</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6"/>
      <c r="AN258" s="556"/>
      <c r="AO258" s="556"/>
      <c r="AP258" s="423"/>
      <c r="AQ258" s="423"/>
      <c r="AR258" s="695" t="s">
        <v>1555</v>
      </c>
      <c r="AS258" s="695"/>
      <c r="AT258" s="695"/>
      <c r="AU258" s="505"/>
      <c r="AV258" s="505"/>
    </row>
    <row r="259" spans="1:48" ht="21.75" customHeight="1" x14ac:dyDescent="0.25">
      <c r="E259" s="504">
        <v>22.5</v>
      </c>
      <c r="F259" s="3" t="str" cm="1">
        <f t="array" aca="1" ref="F259" ca="1">OFFSET(E259,-1,1)</f>
        <v>2</v>
      </c>
      <c r="I259" s="38" t="s">
        <v>1864</v>
      </c>
      <c r="J259" s="38"/>
      <c r="K259" s="38"/>
      <c r="L259" s="38"/>
      <c r="M259" s="38"/>
      <c r="N259" s="38"/>
      <c r="O259" s="38"/>
      <c r="P259" s="38"/>
      <c r="Q259" s="38"/>
      <c r="R259" s="38"/>
      <c r="S259" s="38"/>
      <c r="T259" s="353" t="b" cm="1">
        <f t="array" aca="1" ref="T259" ca="1">T258</f>
        <v>1</v>
      </c>
      <c r="X259" s="1078"/>
      <c r="Z259" s="1079"/>
      <c r="AB259" s="133" t="s">
        <v>1865</v>
      </c>
      <c r="AC259" s="550" t="s">
        <v>1556</v>
      </c>
      <c r="AD259" s="7" t="s">
        <v>828</v>
      </c>
      <c r="AE259" s="128"/>
      <c r="AF259" s="128"/>
      <c r="AG259" s="128"/>
      <c r="AH259" s="171">
        <f t="shared" si="17"/>
        <v>0</v>
      </c>
      <c r="AI259" s="128"/>
      <c r="AJ259" s="128"/>
      <c r="AK259" s="128"/>
      <c r="AL259" s="171">
        <f t="shared" si="16"/>
        <v>0</v>
      </c>
      <c r="AM259" s="196"/>
      <c r="AN259" s="196"/>
      <c r="AO259" s="196"/>
      <c r="AR259" s="694" t="s">
        <v>1594</v>
      </c>
    </row>
    <row r="260" spans="1:48" ht="21.75" customHeight="1" x14ac:dyDescent="0.25">
      <c r="E260" s="504">
        <v>22.5</v>
      </c>
      <c r="F260" s="3" t="str" cm="1">
        <f t="array" aca="1" ref="F260" ca="1">OFFSET(E260,-1,1)</f>
        <v>2</v>
      </c>
      <c r="I260" s="38" t="s">
        <v>1866</v>
      </c>
      <c r="J260" s="38"/>
      <c r="K260" s="38"/>
      <c r="L260" s="38"/>
      <c r="M260" s="38"/>
      <c r="N260" s="38"/>
      <c r="O260" s="38"/>
      <c r="P260" s="38"/>
      <c r="Q260" s="38"/>
      <c r="R260" s="38"/>
      <c r="S260" s="38"/>
      <c r="T260" s="353" t="b" cm="1">
        <f t="array" aca="1" ref="T260" ca="1">T259</f>
        <v>1</v>
      </c>
      <c r="X260" s="1078"/>
      <c r="Z260" s="1079"/>
      <c r="AB260" s="133" t="s">
        <v>1867</v>
      </c>
      <c r="AC260" s="550" t="s">
        <v>1558</v>
      </c>
      <c r="AD260" s="7" t="s">
        <v>828</v>
      </c>
      <c r="AE260" s="128"/>
      <c r="AF260" s="128"/>
      <c r="AG260" s="128"/>
      <c r="AH260" s="171">
        <f t="shared" si="17"/>
        <v>0</v>
      </c>
      <c r="AI260" s="128"/>
      <c r="AJ260" s="128"/>
      <c r="AK260" s="128"/>
      <c r="AL260" s="171">
        <f t="shared" si="16"/>
        <v>0</v>
      </c>
      <c r="AM260" s="196"/>
      <c r="AN260" s="196"/>
      <c r="AO260" s="196"/>
      <c r="AR260" s="694" t="s">
        <v>1868</v>
      </c>
    </row>
    <row r="261" spans="1:48" ht="14.25" customHeight="1" x14ac:dyDescent="0.25">
      <c r="E261" s="504">
        <v>15</v>
      </c>
      <c r="F261" s="3" t="str" cm="1">
        <f t="array" aca="1" ref="F261" ca="1">OFFSET(E261,-1,1)</f>
        <v>2</v>
      </c>
      <c r="I261" s="38" t="s">
        <v>1869</v>
      </c>
      <c r="J261" s="38"/>
      <c r="K261" s="38"/>
      <c r="L261" s="38"/>
      <c r="M261" s="38"/>
      <c r="N261" s="38"/>
      <c r="O261" s="38"/>
      <c r="P261" s="38"/>
      <c r="Q261" s="38"/>
      <c r="R261" s="38"/>
      <c r="S261" s="38"/>
      <c r="T261" s="353" t="b" cm="1">
        <f t="array" aca="1" ref="T261" ca="1">T260</f>
        <v>1</v>
      </c>
      <c r="X261" s="1078"/>
      <c r="Z261" s="1079"/>
      <c r="AB261" s="551" t="s">
        <v>340</v>
      </c>
      <c r="AC261" s="557" t="s">
        <v>1560</v>
      </c>
      <c r="AD261" s="7" t="s">
        <v>828</v>
      </c>
      <c r="AE261" s="128"/>
      <c r="AF261" s="128"/>
      <c r="AG261" s="128"/>
      <c r="AH261" s="171">
        <f t="shared" si="17"/>
        <v>0</v>
      </c>
      <c r="AI261" s="128"/>
      <c r="AJ261" s="128"/>
      <c r="AK261" s="128"/>
      <c r="AL261" s="171">
        <f t="shared" si="16"/>
        <v>0</v>
      </c>
      <c r="AM261" s="196"/>
      <c r="AN261" s="196"/>
      <c r="AO261" s="196"/>
      <c r="AR261" s="694" t="s">
        <v>1561</v>
      </c>
    </row>
    <row r="262" spans="1:48" ht="14.25" customHeight="1" x14ac:dyDescent="0.25">
      <c r="E262" s="504">
        <v>15</v>
      </c>
      <c r="F262" s="3" t="str" cm="1">
        <f t="array" aca="1" ref="F262" ca="1">OFFSET(E262,-1,1)</f>
        <v>2</v>
      </c>
      <c r="I262" s="38" t="s">
        <v>1870</v>
      </c>
      <c r="J262" s="38"/>
      <c r="K262" s="38"/>
      <c r="L262" s="38"/>
      <c r="M262" s="38"/>
      <c r="N262" s="38"/>
      <c r="O262" s="38"/>
      <c r="P262" s="38"/>
      <c r="Q262" s="38"/>
      <c r="R262" s="38"/>
      <c r="S262" s="38"/>
      <c r="T262" s="353" t="b" cm="1">
        <f t="array" aca="1" ref="T262" ca="1">T261</f>
        <v>1</v>
      </c>
      <c r="X262" s="1078"/>
      <c r="Z262" s="1079"/>
      <c r="AB262" s="551" t="s">
        <v>1871</v>
      </c>
      <c r="AC262" s="557" t="s">
        <v>1562</v>
      </c>
      <c r="AD262" s="7" t="s">
        <v>828</v>
      </c>
      <c r="AE262" s="128"/>
      <c r="AF262" s="128"/>
      <c r="AG262" s="128"/>
      <c r="AH262" s="171">
        <f t="shared" si="17"/>
        <v>0</v>
      </c>
      <c r="AI262" s="128"/>
      <c r="AJ262" s="128"/>
      <c r="AK262" s="128"/>
      <c r="AL262" s="171">
        <f t="shared" si="16"/>
        <v>0</v>
      </c>
      <c r="AM262" s="196"/>
      <c r="AN262" s="196"/>
      <c r="AO262" s="196"/>
      <c r="AR262" s="694" t="s">
        <v>1563</v>
      </c>
    </row>
    <row r="263" spans="1:48" s="868" customFormat="1" ht="14.25" customHeight="1" x14ac:dyDescent="0.25">
      <c r="A263" s="423"/>
      <c r="B263" s="423"/>
      <c r="C263" s="423"/>
      <c r="D263" s="423"/>
      <c r="E263" s="505">
        <v>15</v>
      </c>
      <c r="F263" s="3" t="str" cm="1">
        <f t="array" aca="1" ref="F263" ca="1">OFFSET(E263,-1,1)</f>
        <v>2</v>
      </c>
      <c r="G263" s="423"/>
      <c r="H263" s="423"/>
      <c r="I263" s="154" t="s">
        <v>1872</v>
      </c>
      <c r="J263" s="154"/>
      <c r="K263" s="154"/>
      <c r="L263" s="154"/>
      <c r="M263" s="154"/>
      <c r="N263" s="154"/>
      <c r="O263" s="154"/>
      <c r="P263" s="154"/>
      <c r="Q263" s="154"/>
      <c r="R263" s="154"/>
      <c r="S263" s="154"/>
      <c r="T263" s="353" t="b" cm="1">
        <f t="array" aca="1" ref="T263" ca="1">T262</f>
        <v>1</v>
      </c>
      <c r="U263" s="423"/>
      <c r="V263" s="423"/>
      <c r="W263" s="423"/>
      <c r="X263" s="1078"/>
      <c r="Y263" s="423"/>
      <c r="Z263" s="1079"/>
      <c r="AA263" s="423"/>
      <c r="AB263" s="131" t="s">
        <v>1873</v>
      </c>
      <c r="AC263" s="125" t="s">
        <v>1874</v>
      </c>
      <c r="AD263" s="124" t="s">
        <v>828</v>
      </c>
      <c r="AE263" s="126">
        <f ca="1">AE198+AE226+AE231+AE244+AE245+AE247+AE248+AE249+AE253+AE254-AE255-AE256+AE257-AE258+AE261+AE262</f>
        <v>1713.9563040557</v>
      </c>
      <c r="AF263" s="126">
        <f ca="1">AF198+AF226+AF231+AF244+AF245+AF247+AF248+AF249+AF253+AF254-AF255-AF256+AF257-AF258+AF261+AF262</f>
        <v>24161.403601089401</v>
      </c>
      <c r="AG263" s="126">
        <f ca="1">AG198+AG226+AG231+AG244+AG245+AG247+AG248+AG249+AG253+AG254-AG255-AG256+AG257-AG258+AG261+AG262</f>
        <v>2406.6937349074001</v>
      </c>
      <c r="AH263" s="126">
        <f t="shared" ca="1" si="17"/>
        <v>-21754.709866182002</v>
      </c>
      <c r="AI263" s="126">
        <f ca="1">AI198+AI226+AI231+AI244+AI245+AI247+AI248+AI249+AI253+AI254-AI255-AI256+AI257-AI258+AI261+AI262</f>
        <v>1873.8503639114999</v>
      </c>
      <c r="AJ263" s="126">
        <f ca="1">AJ198+AJ226+AJ231+AJ244+AJ245+AJ247+AJ248+AJ249+AJ253+AJ254-AJ255-AJ256+AJ257-AJ258+AJ261+AJ262</f>
        <v>40179.499317874695</v>
      </c>
      <c r="AK263" s="126">
        <f ca="1">AK198+AK226+AK231+AK244+AK245+AK247+AK248+AK249+AK253+AK254-AK255-AK256+AK257-AK258+AK261+AK262</f>
        <v>11612.3414986317</v>
      </c>
      <c r="AL263" s="126">
        <f t="shared" ca="1" si="16"/>
        <v>519.70484528935094</v>
      </c>
      <c r="AM263" s="556"/>
      <c r="AN263" s="556"/>
      <c r="AO263" s="556"/>
      <c r="AP263" s="423"/>
      <c r="AQ263" s="423"/>
      <c r="AR263" s="695" t="s">
        <v>1875</v>
      </c>
      <c r="AS263" s="695"/>
      <c r="AT263" s="695"/>
      <c r="AU263" s="505"/>
      <c r="AV263" s="505"/>
    </row>
    <row r="264" spans="1:48" ht="15" hidden="1" customHeight="1" x14ac:dyDescent="0.25">
      <c r="B264" s="278" t="b">
        <f>G197="двухставочный"</f>
        <v>0</v>
      </c>
      <c r="E264" s="504">
        <v>0</v>
      </c>
      <c r="F264" s="3" t="str" cm="1">
        <f t="array" aca="1" ref="F264" ca="1">OFFSET(E264,-1,1)</f>
        <v>2</v>
      </c>
      <c r="I264" s="38" t="s">
        <v>1876</v>
      </c>
      <c r="J264" s="38"/>
      <c r="K264" s="38"/>
      <c r="L264" s="38"/>
      <c r="M264" s="38"/>
      <c r="N264" s="38"/>
      <c r="O264" s="38"/>
      <c r="P264" s="38"/>
      <c r="Q264" s="38"/>
      <c r="R264" s="38"/>
      <c r="S264" s="38"/>
      <c r="T264" s="353" t="b" cm="1">
        <f t="array" aca="1" ref="T264" ca="1">T263</f>
        <v>1</v>
      </c>
      <c r="X264" s="1078"/>
      <c r="Z264" s="1079"/>
      <c r="AB264" s="133" t="s">
        <v>1877</v>
      </c>
      <c r="AC264" s="550" t="s">
        <v>1878</v>
      </c>
      <c r="AD264" s="7" t="s">
        <v>828</v>
      </c>
      <c r="AE264" s="128"/>
      <c r="AF264" s="128"/>
      <c r="AG264" s="128"/>
      <c r="AH264" s="171">
        <f t="shared" si="17"/>
        <v>0</v>
      </c>
      <c r="AI264" s="128"/>
      <c r="AJ264" s="778"/>
      <c r="AK264" s="778"/>
      <c r="AL264" s="171">
        <f t="shared" si="16"/>
        <v>0</v>
      </c>
      <c r="AM264" s="775"/>
      <c r="AN264" s="775"/>
      <c r="AO264" s="775"/>
      <c r="AR264" s="694" t="s">
        <v>1879</v>
      </c>
    </row>
    <row r="265" spans="1:48" ht="15" hidden="1" customHeight="1" x14ac:dyDescent="0.25">
      <c r="B265" s="278" t="b">
        <f>G197="двухставочный"</f>
        <v>0</v>
      </c>
      <c r="E265" s="504">
        <v>0</v>
      </c>
      <c r="F265" s="3" t="str" cm="1">
        <f t="array" aca="1" ref="F265" ca="1">OFFSET(E265,-1,1)</f>
        <v>2</v>
      </c>
      <c r="I265" s="38" t="s">
        <v>1880</v>
      </c>
      <c r="J265" s="38"/>
      <c r="K265" s="38"/>
      <c r="L265" s="38"/>
      <c r="M265" s="38"/>
      <c r="N265" s="38"/>
      <c r="O265" s="38"/>
      <c r="P265" s="38"/>
      <c r="Q265" s="38"/>
      <c r="R265" s="38"/>
      <c r="S265" s="38"/>
      <c r="T265" s="353" t="b" cm="1">
        <f t="array" aca="1" ref="T265" ca="1">T264</f>
        <v>1</v>
      </c>
      <c r="X265" s="1078"/>
      <c r="Z265" s="1079"/>
      <c r="AB265" s="133" t="s">
        <v>1881</v>
      </c>
      <c r="AC265" s="550" t="s">
        <v>1882</v>
      </c>
      <c r="AD265" s="7" t="s">
        <v>828</v>
      </c>
      <c r="AE265" s="128"/>
      <c r="AF265" s="128"/>
      <c r="AG265" s="128"/>
      <c r="AH265" s="171">
        <f t="shared" si="17"/>
        <v>0</v>
      </c>
      <c r="AI265" s="128"/>
      <c r="AJ265" s="778"/>
      <c r="AK265" s="778"/>
      <c r="AL265" s="171">
        <f t="shared" si="16"/>
        <v>0</v>
      </c>
      <c r="AM265" s="775"/>
      <c r="AN265" s="775"/>
      <c r="AO265" s="775"/>
      <c r="AR265" s="694" t="s">
        <v>1883</v>
      </c>
    </row>
    <row r="266" spans="1:48" s="868" customFormat="1" ht="14.25" customHeight="1" x14ac:dyDescent="0.25">
      <c r="A266" s="423"/>
      <c r="B266" s="423"/>
      <c r="C266" s="423"/>
      <c r="D266" s="423"/>
      <c r="E266" s="505">
        <v>15</v>
      </c>
      <c r="F266" s="3" t="str" cm="1">
        <f t="array" aca="1" ref="F266" ca="1">OFFSET(E266,-1,1)</f>
        <v>2</v>
      </c>
      <c r="G266" s="72" t="s">
        <v>1653</v>
      </c>
      <c r="H266" s="423"/>
      <c r="I266" s="154" t="s">
        <v>1884</v>
      </c>
      <c r="J266" s="154"/>
      <c r="K266" s="154"/>
      <c r="L266" s="154"/>
      <c r="M266" s="154"/>
      <c r="N266" s="154"/>
      <c r="O266" s="154"/>
      <c r="P266" s="154"/>
      <c r="Q266" s="154"/>
      <c r="R266" s="154"/>
      <c r="S266" s="154"/>
      <c r="T266" s="353" t="b" cm="1">
        <f t="array" aca="1" ref="T266" ca="1">T265</f>
        <v>1</v>
      </c>
      <c r="U266" s="423"/>
      <c r="V266" s="423"/>
      <c r="W266" s="423"/>
      <c r="X266" s="1078"/>
      <c r="Y266" s="423"/>
      <c r="Z266" s="1079"/>
      <c r="AA266" s="423"/>
      <c r="AB266" s="131" t="s">
        <v>1885</v>
      </c>
      <c r="AC266" s="125" t="s">
        <v>1886</v>
      </c>
      <c r="AD266" s="124" t="s">
        <v>558</v>
      </c>
      <c r="AE266" s="552">
        <f ca="1">SUMIFS(Баланс!AE$26:AE$391,Баланс!$F$26:$F$391,$F266,Баланс!$G$26:$G$391,"ПО")</f>
        <v>272.25869999999998</v>
      </c>
      <c r="AF266" s="552">
        <f ca="1">SUMIFS(Баланс!AF$26:AF$391,Баланс!$F$26:$F$391,$F266,Баланс!$G$26:$G$391,"ПО")</f>
        <v>337.074524</v>
      </c>
      <c r="AG266" s="552">
        <f ca="1">SUMIFS(Баланс!AG$26:AG$391,Баланс!$F$26:$F$391,$F266,Баланс!$G$26:$G$391,"ПО")</f>
        <v>337.0745</v>
      </c>
      <c r="AH266" s="552">
        <f t="shared" ca="1" si="17"/>
        <v>-2.3999999996249244E-5</v>
      </c>
      <c r="AI266" s="552">
        <f ca="1">SUMIFS(Баланс!AH$26:AH$391,Баланс!$F$26:$F$391,$F266,Баланс!$G$26:$G$391,"ПО")</f>
        <v>304.45792999999998</v>
      </c>
      <c r="AJ266" s="552">
        <f ca="1">SUMIFS(Баланс!AI$26:AI$391,Баланс!$F$26:$F$391,$F266,Баланс!$G$26:$G$391,"ПО")</f>
        <v>422.57499999999999</v>
      </c>
      <c r="AK266" s="552">
        <f ca="1">SUMIFS(Баланс!AS$26:AS$391,Баланс!$F$26:$F$391,$F266,Баланс!$G$26:$G$391,"ПО")</f>
        <v>348.84325000000001</v>
      </c>
      <c r="AL266" s="129"/>
      <c r="AM266" s="556"/>
      <c r="AN266" s="556"/>
      <c r="AO266" s="556"/>
      <c r="AP266" s="423"/>
      <c r="AQ266" s="423"/>
      <c r="AR266" s="695" t="s">
        <v>1887</v>
      </c>
      <c r="AS266" s="695"/>
      <c r="AT266" s="695"/>
      <c r="AU266" s="505"/>
      <c r="AV266" s="505"/>
    </row>
    <row r="267" spans="1:48" ht="14.25" customHeight="1" x14ac:dyDescent="0.25">
      <c r="E267" s="504">
        <v>15</v>
      </c>
      <c r="F267" s="3" t="str" cm="1">
        <f t="array" aca="1" ref="F267" ca="1">OFFSET(E267,-1,1)</f>
        <v>2</v>
      </c>
      <c r="G267" s="72" t="s">
        <v>1680</v>
      </c>
      <c r="I267" s="38" t="s">
        <v>1888</v>
      </c>
      <c r="J267" s="38"/>
      <c r="K267" s="38"/>
      <c r="L267" s="38"/>
      <c r="M267" s="38"/>
      <c r="N267" s="38"/>
      <c r="O267" s="38"/>
      <c r="P267" s="38"/>
      <c r="Q267" s="38"/>
      <c r="R267" s="38"/>
      <c r="S267" s="38"/>
      <c r="T267" s="353" t="b" cm="1">
        <f t="array" aca="1" ref="T267" ca="1">T266</f>
        <v>1</v>
      </c>
      <c r="X267" s="1078"/>
      <c r="Z267" s="1079"/>
      <c r="AB267" s="133" t="s">
        <v>1889</v>
      </c>
      <c r="AC267" s="127" t="s">
        <v>1890</v>
      </c>
      <c r="AD267" s="7" t="s">
        <v>558</v>
      </c>
      <c r="AE267" s="444">
        <f ca="1">AE266/2</f>
        <v>136.12934999999999</v>
      </c>
      <c r="AF267" s="444">
        <f ca="1">AF266/2</f>
        <v>168.537262</v>
      </c>
      <c r="AG267" s="444">
        <f ca="1">AG266/2</f>
        <v>168.53725</v>
      </c>
      <c r="AH267" s="558">
        <f t="shared" ca="1" si="17"/>
        <v>-1.1999999998124622E-5</v>
      </c>
      <c r="AI267" s="444">
        <f ca="1">AI266/2</f>
        <v>152.22896499999999</v>
      </c>
      <c r="AJ267" s="444">
        <f ca="1">IF(god=2026,AJ266/12*9,AJ266/2)</f>
        <v>316.93124999999998</v>
      </c>
      <c r="AK267" s="444">
        <f ca="1">IF(god=2026,AK266/12*9,AK266/2)</f>
        <v>261.63243750000004</v>
      </c>
      <c r="AL267" s="542"/>
      <c r="AM267" s="196"/>
      <c r="AN267" s="196"/>
      <c r="AO267" s="196"/>
      <c r="AR267" s="694" t="s">
        <v>1891</v>
      </c>
    </row>
    <row r="268" spans="1:48" ht="14.25" customHeight="1" x14ac:dyDescent="0.25">
      <c r="E268" s="504">
        <v>15</v>
      </c>
      <c r="F268" s="3" t="str" cm="1">
        <f t="array" aca="1" ref="F268" ca="1">OFFSET(E268,-1,1)</f>
        <v>2</v>
      </c>
      <c r="G268" s="72" t="s">
        <v>1641</v>
      </c>
      <c r="I268" s="38" t="s">
        <v>1892</v>
      </c>
      <c r="J268" s="38"/>
      <c r="K268" s="38"/>
      <c r="L268" s="38"/>
      <c r="M268" s="38"/>
      <c r="N268" s="38"/>
      <c r="O268" s="38"/>
      <c r="P268" s="38"/>
      <c r="Q268" s="38"/>
      <c r="R268" s="38"/>
      <c r="S268" s="38"/>
      <c r="T268" s="353" t="b" cm="1">
        <f t="array" aca="1" ref="T268" ca="1">T267</f>
        <v>1</v>
      </c>
      <c r="X268" s="1078"/>
      <c r="Z268" s="1079"/>
      <c r="AB268" s="133" t="s">
        <v>1893</v>
      </c>
      <c r="AC268" s="127" t="s">
        <v>1894</v>
      </c>
      <c r="AD268" s="7" t="s">
        <v>1644</v>
      </c>
      <c r="AE268" s="128"/>
      <c r="AF268" s="128"/>
      <c r="AG268" s="128"/>
      <c r="AH268" s="171">
        <f t="shared" si="17"/>
        <v>0</v>
      </c>
      <c r="AI268" s="128"/>
      <c r="AJ268" s="128"/>
      <c r="AK268" s="128"/>
      <c r="AL268" s="542"/>
      <c r="AM268" s="196"/>
      <c r="AN268" s="196"/>
      <c r="AO268" s="196"/>
      <c r="AR268" s="694" t="s">
        <v>1895</v>
      </c>
    </row>
    <row r="269" spans="1:48" ht="14.25" customHeight="1" x14ac:dyDescent="0.25">
      <c r="E269" s="504">
        <v>15</v>
      </c>
      <c r="F269" s="3" t="str" cm="1">
        <f t="array" aca="1" ref="F269" ca="1">OFFSET(E269,-1,1)</f>
        <v>2</v>
      </c>
      <c r="G269" s="72" t="s">
        <v>1693</v>
      </c>
      <c r="I269" s="38" t="s">
        <v>1896</v>
      </c>
      <c r="J269" s="38"/>
      <c r="K269" s="38"/>
      <c r="L269" s="38"/>
      <c r="M269" s="38"/>
      <c r="N269" s="38"/>
      <c r="O269" s="38"/>
      <c r="P269" s="38"/>
      <c r="Q269" s="38"/>
      <c r="R269" s="38"/>
      <c r="S269" s="38"/>
      <c r="T269" s="353" t="b" cm="1">
        <f t="array" aca="1" ref="T269" ca="1">T268</f>
        <v>1</v>
      </c>
      <c r="X269" s="1078"/>
      <c r="Z269" s="1079"/>
      <c r="AB269" s="133" t="s">
        <v>1897</v>
      </c>
      <c r="AC269" s="127" t="s">
        <v>1898</v>
      </c>
      <c r="AD269" s="7" t="s">
        <v>558</v>
      </c>
      <c r="AE269" s="558">
        <f ca="1">AE266-AE267</f>
        <v>136.12934999999999</v>
      </c>
      <c r="AF269" s="558">
        <f ca="1">AF266-AF267</f>
        <v>168.537262</v>
      </c>
      <c r="AG269" s="558">
        <f ca="1">AG266-AG267</f>
        <v>168.53725</v>
      </c>
      <c r="AH269" s="558">
        <f t="shared" ca="1" si="17"/>
        <v>-1.1999999998124622E-5</v>
      </c>
      <c r="AI269" s="558">
        <f ca="1">AI266-AI267</f>
        <v>152.22896499999999</v>
      </c>
      <c r="AJ269" s="558">
        <f ca="1">AJ266-AJ267</f>
        <v>105.64375000000001</v>
      </c>
      <c r="AK269" s="558">
        <f ca="1">AK266-AK267</f>
        <v>87.210812499999975</v>
      </c>
      <c r="AL269" s="542"/>
      <c r="AM269" s="196"/>
      <c r="AN269" s="196"/>
      <c r="AO269" s="196"/>
      <c r="AR269" s="694" t="s">
        <v>1899</v>
      </c>
    </row>
    <row r="270" spans="1:48" ht="14.25" customHeight="1" x14ac:dyDescent="0.25">
      <c r="E270" s="504">
        <v>15</v>
      </c>
      <c r="F270" s="3" t="str" cm="1">
        <f t="array" aca="1" ref="F270" ca="1">OFFSET(E270,-1,1)</f>
        <v>2</v>
      </c>
      <c r="G270" s="72" t="s">
        <v>1646</v>
      </c>
      <c r="I270" s="38" t="s">
        <v>1900</v>
      </c>
      <c r="J270" s="38"/>
      <c r="K270" s="38"/>
      <c r="L270" s="38"/>
      <c r="M270" s="38"/>
      <c r="N270" s="38"/>
      <c r="O270" s="38"/>
      <c r="P270" s="38"/>
      <c r="Q270" s="38"/>
      <c r="R270" s="38"/>
      <c r="S270" s="38"/>
      <c r="T270" s="353" t="b" cm="1">
        <f t="array" aca="1" ref="T270" ca="1">T269</f>
        <v>1</v>
      </c>
      <c r="X270" s="1078"/>
      <c r="Z270" s="1079"/>
      <c r="AB270" s="133" t="s">
        <v>1901</v>
      </c>
      <c r="AC270" s="127" t="s">
        <v>1902</v>
      </c>
      <c r="AD270" s="7" t="s">
        <v>1644</v>
      </c>
      <c r="AE270" s="128">
        <f ca="1">IF(AE269=0,0,(AE263-AE267*AE268)/AE269)</f>
        <v>12.590644883382607</v>
      </c>
      <c r="AF270" s="128">
        <f ca="1">IF(AF269=0,0,(AF263-AF267*AF268)/AF269)</f>
        <v>143.35941686942442</v>
      </c>
      <c r="AG270" s="128">
        <f ca="1">IF(AG269=0,0,(AG263-AG267*AG268)/AG269)</f>
        <v>14.279892041120881</v>
      </c>
      <c r="AH270" s="171">
        <f t="shared" ca="1" si="17"/>
        <v>-129.07952482830353</v>
      </c>
      <c r="AI270" s="128">
        <f ca="1">IF(AI269=0,0,(AI263-AI267*AI268)/AI269)</f>
        <v>12.309420640884605</v>
      </c>
      <c r="AJ270" s="128">
        <f ca="1">IF(AJ269=0,0,(AJ263-AJ267*AJ268)/AJ269)</f>
        <v>380.33011245695735</v>
      </c>
      <c r="AK270" s="128">
        <f ca="1">IF(AK269=0,0,(AK263-AK267*AK268)/AK269)</f>
        <v>133.15254342609987</v>
      </c>
      <c r="AL270" s="542"/>
      <c r="AM270" s="196"/>
      <c r="AN270" s="196"/>
      <c r="AO270" s="196"/>
      <c r="AR270" s="694" t="s">
        <v>1903</v>
      </c>
    </row>
    <row r="271" spans="1:48" ht="14.25" customHeight="1" x14ac:dyDescent="0.25">
      <c r="E271" s="504">
        <v>15</v>
      </c>
      <c r="F271" s="3" t="str" cm="1">
        <f t="array" aca="1" ref="F271" ca="1">OFFSET(E271,-1,1)</f>
        <v>2</v>
      </c>
      <c r="G271" s="72"/>
      <c r="I271" s="38" t="s">
        <v>1904</v>
      </c>
      <c r="J271" s="38"/>
      <c r="K271" s="38"/>
      <c r="L271" s="38"/>
      <c r="M271" s="38"/>
      <c r="N271" s="38"/>
      <c r="O271" s="38"/>
      <c r="P271" s="38"/>
      <c r="Q271" s="38"/>
      <c r="R271" s="38"/>
      <c r="S271" s="38"/>
      <c r="T271" s="353" t="b" cm="1">
        <f t="array" aca="1" ref="T271" ca="1">T270</f>
        <v>1</v>
      </c>
      <c r="X271" s="1078"/>
      <c r="Z271" s="1079"/>
      <c r="AB271" s="133" t="s">
        <v>1905</v>
      </c>
      <c r="AC271" s="127" t="s">
        <v>1906</v>
      </c>
      <c r="AD271" s="7" t="s">
        <v>476</v>
      </c>
      <c r="AE271" s="171">
        <f>IF(AE268=0,0,AE270/AE268*100)</f>
        <v>0</v>
      </c>
      <c r="AF271" s="171">
        <f>IF(AF268=0,0,AF270/AF268*100)</f>
        <v>0</v>
      </c>
      <c r="AG271" s="171">
        <f>IF(AG268=0,0,AG270/AG268*100)</f>
        <v>0</v>
      </c>
      <c r="AH271" s="542"/>
      <c r="AI271" s="171">
        <f>IF(AI268=0,0,AI270/AI268*100)</f>
        <v>0</v>
      </c>
      <c r="AJ271" s="171">
        <f>IF(AJ268=0,0,AJ270/AJ268*100)</f>
        <v>0</v>
      </c>
      <c r="AK271" s="171">
        <f>IF(AK268=0,0,AK270/AK268*100)</f>
        <v>0</v>
      </c>
      <c r="AL271" s="542"/>
      <c r="AM271" s="196"/>
      <c r="AN271" s="196"/>
      <c r="AO271" s="196"/>
      <c r="AR271" s="694" t="s">
        <v>1907</v>
      </c>
    </row>
    <row r="272" spans="1:48" ht="14.25" customHeight="1" x14ac:dyDescent="0.25">
      <c r="E272" s="504">
        <v>15</v>
      </c>
      <c r="F272" s="3" t="str" cm="1">
        <f t="array" aca="1" ref="F272" ca="1">OFFSET(E272,-1,1)</f>
        <v>2</v>
      </c>
      <c r="G272" s="72"/>
      <c r="I272" s="38" t="s">
        <v>1908</v>
      </c>
      <c r="J272" s="38"/>
      <c r="K272" s="38"/>
      <c r="L272" s="38"/>
      <c r="M272" s="38"/>
      <c r="N272" s="38"/>
      <c r="O272" s="38"/>
      <c r="P272" s="38"/>
      <c r="Q272" s="38"/>
      <c r="R272" s="38"/>
      <c r="S272" s="38"/>
      <c r="T272" s="353" t="b" cm="1">
        <f t="array" aca="1" ref="T272" ca="1">T271</f>
        <v>1</v>
      </c>
      <c r="X272" s="1078"/>
      <c r="Z272" s="1079"/>
      <c r="AB272" s="133" t="s">
        <v>1909</v>
      </c>
      <c r="AC272" s="127" t="s">
        <v>1910</v>
      </c>
      <c r="AD272" s="7" t="s">
        <v>1644</v>
      </c>
      <c r="AE272" s="128">
        <f ca="1">IF(AE266=0,0,AE263/AE266)</f>
        <v>6.2953224416913036</v>
      </c>
      <c r="AF272" s="128">
        <f ca="1">IF(AF266=0,0,AF263/AF266)</f>
        <v>71.679708434712211</v>
      </c>
      <c r="AG272" s="128">
        <f ca="1">IF(AG266=0,0,AG263/AG266)</f>
        <v>7.1399460205604406</v>
      </c>
      <c r="AH272" s="171">
        <f ca="1">AG272-AF272</f>
        <v>-64.539762414151767</v>
      </c>
      <c r="AI272" s="128">
        <f ca="1">IF(AI266=0,0,AI263/AI266)</f>
        <v>6.1547103204423026</v>
      </c>
      <c r="AJ272" s="128">
        <f ca="1">IF(AJ266=0,0,AJ263/AJ266)</f>
        <v>95.082528114239352</v>
      </c>
      <c r="AK272" s="128">
        <f ca="1">IF(AK266=0,0,AK263/AK266)</f>
        <v>33.28813585652496</v>
      </c>
      <c r="AL272" s="542"/>
      <c r="AM272" s="196"/>
      <c r="AN272" s="196"/>
      <c r="AO272" s="196"/>
      <c r="AR272" s="694" t="s">
        <v>1911</v>
      </c>
    </row>
    <row r="273" spans="1:48" s="868" customFormat="1" ht="14.25" customHeight="1" x14ac:dyDescent="0.25">
      <c r="A273" s="423"/>
      <c r="B273" s="423"/>
      <c r="C273" s="423"/>
      <c r="D273" s="423"/>
      <c r="E273" s="505">
        <v>15</v>
      </c>
      <c r="F273" s="3" t="str" cm="1">
        <f t="array" aca="1" ref="F273" ca="1">OFFSET(E273,-1,1)</f>
        <v>2</v>
      </c>
      <c r="G273" s="76"/>
      <c r="H273" s="423"/>
      <c r="I273" s="154" t="s">
        <v>1912</v>
      </c>
      <c r="J273" s="154"/>
      <c r="K273" s="154"/>
      <c r="L273" s="154"/>
      <c r="M273" s="154"/>
      <c r="N273" s="154"/>
      <c r="O273" s="154"/>
      <c r="P273" s="154"/>
      <c r="Q273" s="154"/>
      <c r="R273" s="154"/>
      <c r="S273" s="154"/>
      <c r="T273" s="353" t="b" cm="1">
        <f t="array" aca="1" ref="T273" ca="1">T272</f>
        <v>1</v>
      </c>
      <c r="U273" s="423"/>
      <c r="V273" s="423"/>
      <c r="W273" s="423"/>
      <c r="X273" s="1078"/>
      <c r="Y273" s="423"/>
      <c r="Z273" s="1079"/>
      <c r="AA273" s="423"/>
      <c r="AB273" s="131" t="s">
        <v>1913</v>
      </c>
      <c r="AC273" s="125" t="s">
        <v>1914</v>
      </c>
      <c r="AD273" s="124" t="s">
        <v>828</v>
      </c>
      <c r="AE273" s="138">
        <f ca="1">IF(AE266=0,0,AE263/AE266*AE274)</f>
        <v>0</v>
      </c>
      <c r="AF273" s="138">
        <f ca="1">IF(AF266=0,0,AF263/AF266*AF274)</f>
        <v>0</v>
      </c>
      <c r="AG273" s="138">
        <f ca="1">IF(AG266=0,0,AG263/AG266*AG274)</f>
        <v>0</v>
      </c>
      <c r="AH273" s="126">
        <f ca="1">AH275*AH276+AH277*AH278</f>
        <v>0</v>
      </c>
      <c r="AI273" s="138">
        <f ca="1">IF(AI266=0,0,AI263/AI266*AI274)</f>
        <v>0</v>
      </c>
      <c r="AJ273" s="138">
        <f ca="1">IF(AJ266=0,0,AJ263/AJ266*AJ274)</f>
        <v>0</v>
      </c>
      <c r="AK273" s="138">
        <f ca="1">IF(AK266=0,0,AK263/AK266*AK274)</f>
        <v>0</v>
      </c>
      <c r="AL273" s="126">
        <f ca="1">IF(AI273=0,0,(AK273-AI273)/AI273*100)</f>
        <v>0</v>
      </c>
      <c r="AM273" s="556"/>
      <c r="AN273" s="556"/>
      <c r="AO273" s="556"/>
      <c r="AP273" s="423"/>
      <c r="AQ273" s="423"/>
      <c r="AR273" s="695" t="s">
        <v>1915</v>
      </c>
      <c r="AS273" s="695"/>
      <c r="AT273" s="695"/>
      <c r="AU273" s="505"/>
      <c r="AV273" s="505"/>
    </row>
    <row r="274" spans="1:48" s="868" customFormat="1" ht="14.25" customHeight="1" x14ac:dyDescent="0.25">
      <c r="A274" s="423"/>
      <c r="B274" s="423"/>
      <c r="C274" s="423"/>
      <c r="D274" s="423"/>
      <c r="E274" s="505">
        <v>15</v>
      </c>
      <c r="F274" s="3" t="str" cm="1">
        <f t="array" aca="1" ref="F274" ca="1">OFFSET(E274,-1,1)</f>
        <v>2</v>
      </c>
      <c r="G274" s="72" t="s">
        <v>1666</v>
      </c>
      <c r="H274" s="423"/>
      <c r="I274" s="154" t="s">
        <v>1916</v>
      </c>
      <c r="J274" s="154"/>
      <c r="K274" s="154"/>
      <c r="L274" s="154"/>
      <c r="M274" s="154"/>
      <c r="N274" s="154"/>
      <c r="O274" s="154"/>
      <c r="P274" s="154"/>
      <c r="Q274" s="154"/>
      <c r="R274" s="154"/>
      <c r="S274" s="154"/>
      <c r="T274" s="353" t="b" cm="1">
        <f t="array" aca="1" ref="T274" ca="1">T273</f>
        <v>1</v>
      </c>
      <c r="U274" s="423"/>
      <c r="V274" s="423"/>
      <c r="W274" s="423"/>
      <c r="X274" s="1078"/>
      <c r="Y274" s="423"/>
      <c r="Z274" s="1079"/>
      <c r="AA274" s="423"/>
      <c r="AB274" s="131" t="s">
        <v>1917</v>
      </c>
      <c r="AC274" s="125" t="s">
        <v>1918</v>
      </c>
      <c r="AD274" s="124" t="s">
        <v>558</v>
      </c>
      <c r="AE274" s="552">
        <f ca="1">SUMIFS(Баланс!AE$26:AE$391,Баланс!$F$26:$F$391,$F274,Баланс!$G$26:$G$391,"население")</f>
        <v>0</v>
      </c>
      <c r="AF274" s="552">
        <f ca="1">SUMIFS(Баланс!AF$26:AF$391,Баланс!$F$26:$F$391,$F274,Баланс!$G$26:$G$391,"население")</f>
        <v>0</v>
      </c>
      <c r="AG274" s="552">
        <f ca="1">SUMIFS(Баланс!AG$26:AG$391,Баланс!$F$26:$F$391,$F274,Баланс!$G$26:$G$391,"население")</f>
        <v>0</v>
      </c>
      <c r="AH274" s="552">
        <f t="shared" ref="AH274:AH281" ca="1" si="18">AG274-AF274</f>
        <v>0</v>
      </c>
      <c r="AI274" s="552">
        <f ca="1">SUMIFS(Баланс!AH$26:AH$391,Баланс!$F$26:$F$391,$F274,Баланс!$G$26:$G$391,"население")</f>
        <v>0</v>
      </c>
      <c r="AJ274" s="552">
        <f ca="1">SUMIFS(Баланс!AI$26:AI$391,Баланс!$F$26:$F$391,$F274,Баланс!$G$26:$G$391,"население")</f>
        <v>0</v>
      </c>
      <c r="AK274" s="552">
        <f ca="1">SUMIFS(Баланс!AS$26:AS$391,Баланс!$F$26:$F$391,$F274,Баланс!$G$26:$G$391,"население")</f>
        <v>0</v>
      </c>
      <c r="AL274" s="129"/>
      <c r="AM274" s="556"/>
      <c r="AN274" s="556"/>
      <c r="AO274" s="556"/>
      <c r="AP274" s="423"/>
      <c r="AQ274" s="423"/>
      <c r="AR274" s="695" t="s">
        <v>1919</v>
      </c>
      <c r="AS274" s="695"/>
      <c r="AT274" s="695"/>
      <c r="AU274" s="505"/>
      <c r="AV274" s="505"/>
    </row>
    <row r="275" spans="1:48" ht="14.25" customHeight="1" x14ac:dyDescent="0.25">
      <c r="E275" s="504">
        <v>15</v>
      </c>
      <c r="F275" s="3" t="str" cm="1">
        <f t="array" aca="1" ref="F275" ca="1">OFFSET(E275,-1,1)</f>
        <v>2</v>
      </c>
      <c r="G275" s="72" t="s">
        <v>1700</v>
      </c>
      <c r="I275" s="38" t="s">
        <v>1920</v>
      </c>
      <c r="J275" s="38"/>
      <c r="K275" s="38"/>
      <c r="L275" s="38"/>
      <c r="M275" s="38"/>
      <c r="N275" s="38"/>
      <c r="O275" s="38"/>
      <c r="P275" s="38"/>
      <c r="Q275" s="38"/>
      <c r="R275" s="38"/>
      <c r="S275" s="38"/>
      <c r="T275" s="353" t="b" cm="1">
        <f t="array" aca="1" ref="T275" ca="1">T274</f>
        <v>1</v>
      </c>
      <c r="X275" s="1078"/>
      <c r="Z275" s="1079"/>
      <c r="AB275" s="133" t="s">
        <v>1921</v>
      </c>
      <c r="AC275" s="127" t="s">
        <v>1922</v>
      </c>
      <c r="AD275" s="7" t="s">
        <v>558</v>
      </c>
      <c r="AE275" s="444">
        <f ca="1">AE274/2</f>
        <v>0</v>
      </c>
      <c r="AF275" s="444">
        <f ca="1">AF274/2</f>
        <v>0</v>
      </c>
      <c r="AG275" s="444">
        <f ca="1">AG274/2</f>
        <v>0</v>
      </c>
      <c r="AH275" s="558">
        <f t="shared" ca="1" si="18"/>
        <v>0</v>
      </c>
      <c r="AI275" s="444">
        <f ca="1">AI274/2</f>
        <v>0</v>
      </c>
      <c r="AJ275" s="444">
        <f ca="1">IF(god=2026,AJ274/12*9,AJ274/2)</f>
        <v>0</v>
      </c>
      <c r="AK275" s="444">
        <f ca="1">IF(god=2026,AK274/12*9,AK274/2)</f>
        <v>0</v>
      </c>
      <c r="AL275" s="542"/>
      <c r="AM275" s="196"/>
      <c r="AN275" s="196"/>
      <c r="AO275" s="196"/>
      <c r="AR275" s="694" t="s">
        <v>1923</v>
      </c>
    </row>
    <row r="276" spans="1:48" ht="14.25" customHeight="1" x14ac:dyDescent="0.25">
      <c r="E276" s="504">
        <v>15</v>
      </c>
      <c r="F276" s="3" t="str" cm="1">
        <f t="array" aca="1" ref="F276" ca="1">OFFSET(E276,-1,1)</f>
        <v>2</v>
      </c>
      <c r="G276" s="72" t="s">
        <v>1656</v>
      </c>
      <c r="I276" s="38" t="s">
        <v>1924</v>
      </c>
      <c r="J276" s="38"/>
      <c r="K276" s="38"/>
      <c r="L276" s="38"/>
      <c r="M276" s="38"/>
      <c r="N276" s="38"/>
      <c r="O276" s="38"/>
      <c r="P276" s="38"/>
      <c r="Q276" s="38"/>
      <c r="R276" s="38"/>
      <c r="S276" s="38"/>
      <c r="T276" s="353" t="b" cm="1">
        <f t="array" aca="1" ref="T276" ca="1">T275</f>
        <v>1</v>
      </c>
      <c r="X276" s="1078"/>
      <c r="Z276" s="1079"/>
      <c r="AB276" s="133" t="s">
        <v>1925</v>
      </c>
      <c r="AC276" s="127" t="s">
        <v>1926</v>
      </c>
      <c r="AD276" s="7" t="s">
        <v>1644</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2"/>
      <c r="AM276" s="196"/>
      <c r="AN276" s="196"/>
      <c r="AO276" s="196"/>
      <c r="AR276" s="694" t="s">
        <v>1927</v>
      </c>
    </row>
    <row r="277" spans="1:48" ht="14.25" customHeight="1" x14ac:dyDescent="0.25">
      <c r="E277" s="504">
        <v>15</v>
      </c>
      <c r="F277" s="3" t="str" cm="1">
        <f t="array" aca="1" ref="F277" ca="1">OFFSET(E277,-1,1)</f>
        <v>2</v>
      </c>
      <c r="G277" s="72" t="s">
        <v>1707</v>
      </c>
      <c r="I277" s="38" t="s">
        <v>1928</v>
      </c>
      <c r="J277" s="38"/>
      <c r="K277" s="38"/>
      <c r="L277" s="38"/>
      <c r="M277" s="38"/>
      <c r="N277" s="38"/>
      <c r="O277" s="38"/>
      <c r="P277" s="38"/>
      <c r="Q277" s="38"/>
      <c r="R277" s="38"/>
      <c r="S277" s="38"/>
      <c r="T277" s="353" t="b" cm="1">
        <f t="array" aca="1" ref="T277" ca="1">T276</f>
        <v>1</v>
      </c>
      <c r="X277" s="1078"/>
      <c r="Z277" s="1079"/>
      <c r="AB277" s="133" t="s">
        <v>1929</v>
      </c>
      <c r="AC277" s="127" t="s">
        <v>1898</v>
      </c>
      <c r="AD277" s="7" t="s">
        <v>558</v>
      </c>
      <c r="AE277" s="558">
        <f ca="1">AE274-AE275</f>
        <v>0</v>
      </c>
      <c r="AF277" s="558">
        <f ca="1">AF274-AF275</f>
        <v>0</v>
      </c>
      <c r="AG277" s="558">
        <f ca="1">AG274-AG275</f>
        <v>0</v>
      </c>
      <c r="AH277" s="558">
        <f t="shared" ca="1" si="18"/>
        <v>0</v>
      </c>
      <c r="AI277" s="558">
        <f ca="1">AI274-AI275</f>
        <v>0</v>
      </c>
      <c r="AJ277" s="558">
        <f ca="1">AJ274-AJ275</f>
        <v>0</v>
      </c>
      <c r="AK277" s="558">
        <f ca="1">AK274-AK275</f>
        <v>0</v>
      </c>
      <c r="AL277" s="542"/>
      <c r="AM277" s="196"/>
      <c r="AN277" s="196"/>
      <c r="AO277" s="196"/>
      <c r="AR277" s="694" t="s">
        <v>1930</v>
      </c>
    </row>
    <row r="278" spans="1:48" ht="14.25" customHeight="1" x14ac:dyDescent="0.25">
      <c r="E278" s="504">
        <v>15</v>
      </c>
      <c r="F278" s="3" t="str" cm="1">
        <f t="array" aca="1" ref="F278" ca="1">OFFSET(E278,-1,1)</f>
        <v>2</v>
      </c>
      <c r="G278" s="72" t="s">
        <v>1660</v>
      </c>
      <c r="I278" s="38" t="s">
        <v>1931</v>
      </c>
      <c r="J278" s="38"/>
      <c r="K278" s="38"/>
      <c r="L278" s="38"/>
      <c r="M278" s="38"/>
      <c r="N278" s="38"/>
      <c r="O278" s="38"/>
      <c r="P278" s="38"/>
      <c r="Q278" s="38"/>
      <c r="R278" s="38"/>
      <c r="S278" s="38"/>
      <c r="T278" s="353" t="b" cm="1">
        <f t="array" aca="1" ref="T278" ca="1">T277</f>
        <v>1</v>
      </c>
      <c r="X278" s="1078"/>
      <c r="Z278" s="1079"/>
      <c r="AB278" s="133" t="s">
        <v>1932</v>
      </c>
      <c r="AC278" s="127" t="s">
        <v>1933</v>
      </c>
      <c r="AD278" s="7" t="s">
        <v>1644</v>
      </c>
      <c r="AE278" s="128">
        <f ca="1">IF(AE274=0,0,AE270*(1+Сценарии!AE$26))</f>
        <v>0</v>
      </c>
      <c r="AF278" s="128">
        <f ca="1">IF(AF274=0,0,AF270*(1+Сценарии!AF$26))</f>
        <v>0</v>
      </c>
      <c r="AG278" s="128">
        <f ca="1">IF(AG274=0,0,AG270*(1+Сценарии!AG$26))</f>
        <v>0</v>
      </c>
      <c r="AH278" s="171">
        <f t="shared" ca="1" si="18"/>
        <v>0</v>
      </c>
      <c r="AI278" s="128">
        <f ca="1">IF(AI274=0,0,AI270*(1+Сценарии!AI$26))</f>
        <v>0</v>
      </c>
      <c r="AJ278" s="128">
        <f ca="1">IF(AJ274=0,0,AJ270*(1+Сценарии!AJ$26))</f>
        <v>0</v>
      </c>
      <c r="AK278" s="128">
        <f ca="1">IF(AK274=0,0,AK270*(1+Сценарии!AK$26))</f>
        <v>0</v>
      </c>
      <c r="AL278" s="542"/>
      <c r="AM278" s="196"/>
      <c r="AN278" s="196"/>
      <c r="AO278" s="196"/>
      <c r="AR278" s="694" t="s">
        <v>1934</v>
      </c>
    </row>
    <row r="279" spans="1:48" ht="14.25" customHeight="1" x14ac:dyDescent="0.25">
      <c r="E279" s="504">
        <v>15</v>
      </c>
      <c r="F279" s="3" t="str" cm="1">
        <f t="array" aca="1" ref="F279" ca="1">OFFSET(E279,-1,1)</f>
        <v>2</v>
      </c>
      <c r="G279" s="72"/>
      <c r="I279" s="38"/>
      <c r="J279" s="38"/>
      <c r="K279" s="38"/>
      <c r="L279" s="38"/>
      <c r="M279" s="38"/>
      <c r="N279" s="38"/>
      <c r="O279" s="38"/>
      <c r="P279" s="38"/>
      <c r="Q279" s="38"/>
      <c r="R279" s="38"/>
      <c r="S279" s="38"/>
      <c r="T279" s="353" t="b" cm="1">
        <f t="array" aca="1" ref="T279" ca="1">T278</f>
        <v>1</v>
      </c>
      <c r="X279" s="1078"/>
      <c r="Z279" s="1079"/>
      <c r="AB279" s="131" t="s">
        <v>1935</v>
      </c>
      <c r="AC279" s="125" t="s">
        <v>1936</v>
      </c>
      <c r="AD279" s="124" t="s">
        <v>828</v>
      </c>
      <c r="AE279" s="128"/>
      <c r="AF279" s="128"/>
      <c r="AG279" s="128"/>
      <c r="AH279" s="171">
        <f t="shared" si="18"/>
        <v>0</v>
      </c>
      <c r="AI279" s="128"/>
      <c r="AJ279" s="128"/>
      <c r="AK279" s="128"/>
      <c r="AL279" s="542"/>
      <c r="AM279" s="196"/>
      <c r="AN279" s="196"/>
      <c r="AO279" s="196"/>
      <c r="AR279" s="694" t="s">
        <v>1937</v>
      </c>
    </row>
    <row r="280" spans="1:48" ht="21.75" customHeight="1" x14ac:dyDescent="0.25">
      <c r="E280" s="504">
        <v>22.5</v>
      </c>
      <c r="F280" s="3" t="str" cm="1">
        <f t="array" aca="1" ref="F280" ca="1">OFFSET(E280,-1,1)</f>
        <v>2</v>
      </c>
      <c r="G280" s="72"/>
      <c r="I280" s="38"/>
      <c r="J280" s="38"/>
      <c r="K280" s="38"/>
      <c r="L280" s="38"/>
      <c r="M280" s="38"/>
      <c r="N280" s="38"/>
      <c r="O280" s="38"/>
      <c r="P280" s="38"/>
      <c r="Q280" s="38"/>
      <c r="R280" s="38"/>
      <c r="S280" s="38"/>
      <c r="T280" s="353" t="b" cm="1">
        <f t="array" aca="1" ref="T280" ca="1">T279</f>
        <v>1</v>
      </c>
      <c r="X280" s="1078"/>
      <c r="Z280" s="1079"/>
      <c r="AB280" s="133" t="s">
        <v>1938</v>
      </c>
      <c r="AC280" s="127" t="s">
        <v>1939</v>
      </c>
      <c r="AD280" s="7" t="s">
        <v>828</v>
      </c>
      <c r="AE280" s="128"/>
      <c r="AF280" s="128"/>
      <c r="AG280" s="128"/>
      <c r="AH280" s="171">
        <f t="shared" si="18"/>
        <v>0</v>
      </c>
      <c r="AI280" s="128"/>
      <c r="AJ280" s="128"/>
      <c r="AK280" s="128"/>
      <c r="AL280" s="542"/>
      <c r="AM280" s="196"/>
      <c r="AN280" s="196"/>
      <c r="AO280" s="196"/>
      <c r="AR280" s="694" t="s">
        <v>1940</v>
      </c>
    </row>
    <row r="281" spans="1:48" ht="69.75" customHeight="1" x14ac:dyDescent="0.25">
      <c r="E281" s="504">
        <v>72</v>
      </c>
      <c r="F281" s="3" t="str" cm="1">
        <f t="array" aca="1" ref="F281" ca="1">OFFSET(E281,-1,1)</f>
        <v>2</v>
      </c>
      <c r="G281" s="72"/>
      <c r="I281" s="38"/>
      <c r="J281" s="38"/>
      <c r="K281" s="38"/>
      <c r="L281" s="38"/>
      <c r="M281" s="38"/>
      <c r="N281" s="38"/>
      <c r="O281" s="38"/>
      <c r="P281" s="38"/>
      <c r="Q281" s="38"/>
      <c r="R281" s="38"/>
      <c r="S281" s="38"/>
      <c r="T281" s="353" t="b" cm="1">
        <f t="array" aca="1" ref="T281" ca="1">T280</f>
        <v>1</v>
      </c>
      <c r="X281" s="1078"/>
      <c r="Z281" s="1079"/>
      <c r="AB281" s="133" t="s">
        <v>1941</v>
      </c>
      <c r="AC281" s="127" t="s">
        <v>1942</v>
      </c>
      <c r="AD281" s="7" t="s">
        <v>828</v>
      </c>
      <c r="AE281" s="128"/>
      <c r="AF281" s="128"/>
      <c r="AG281" s="128"/>
      <c r="AH281" s="171">
        <f t="shared" si="18"/>
        <v>0</v>
      </c>
      <c r="AI281" s="128"/>
      <c r="AJ281" s="128"/>
      <c r="AK281" s="128"/>
      <c r="AL281" s="542"/>
      <c r="AM281" s="196"/>
      <c r="AN281" s="196"/>
      <c r="AO281" s="196"/>
      <c r="AR281" s="694" t="s">
        <v>1943</v>
      </c>
    </row>
    <row r="282" spans="1:48" ht="14.25" customHeight="1" x14ac:dyDescent="0.25">
      <c r="E282" s="504">
        <v>15</v>
      </c>
      <c r="F282" s="17" t="str" cm="1">
        <f t="array" ref="F282">X282</f>
        <v>3</v>
      </c>
      <c r="G282" s="17" t="str" cm="1">
        <f t="array" ref="G282">INDEX('Общие сведения'!$AK$179:$AK$236,MATCH($X282,'Общие сведения'!$Z$179:$Z$236,0))</f>
        <v>одноставочный</v>
      </c>
      <c r="T282" s="353" t="b">
        <f>X282&gt;0</f>
        <v>1</v>
      </c>
      <c r="V282" s="278" t="str" cm="1">
        <f t="array" ref="V282">ТМ!$AD$197</f>
        <v>Тариф 3 (Водоотведение) - тариф на транспортировку сточных вод</v>
      </c>
      <c r="X282" s="1078" t="s">
        <v>291</v>
      </c>
      <c r="Z282" s="1079"/>
      <c r="AB282" s="97" t="str" cm="1">
        <f t="array" ref="AB282">ТМ!$AD$197</f>
        <v>Тариф 3 (Водоотведение) - тариф на транспортировку сточных вод</v>
      </c>
      <c r="AC282" s="165"/>
      <c r="AD282" s="165"/>
      <c r="AE282" s="165"/>
      <c r="AF282" s="165"/>
      <c r="AG282" s="165"/>
      <c r="AH282" s="165"/>
      <c r="AI282" s="165"/>
      <c r="AJ282" s="165"/>
      <c r="AK282" s="165"/>
      <c r="AL282" s="165"/>
      <c r="AM282" s="165"/>
      <c r="AN282" s="165"/>
      <c r="AO282" s="165"/>
    </row>
    <row r="283" spans="1:48" ht="14.25" customHeight="1" x14ac:dyDescent="0.25">
      <c r="E283" s="504">
        <v>15</v>
      </c>
      <c r="F283" s="3" t="str" cm="1">
        <f t="array" aca="1" ref="F283" ca="1">OFFSET(E283,-1,1)</f>
        <v>3</v>
      </c>
      <c r="I283" s="38" t="s">
        <v>331</v>
      </c>
      <c r="J283" s="38"/>
      <c r="K283" s="38"/>
      <c r="L283" s="38"/>
      <c r="M283" s="38"/>
      <c r="N283" s="38"/>
      <c r="O283" s="38"/>
      <c r="P283" s="38"/>
      <c r="Q283" s="38"/>
      <c r="R283" s="38"/>
      <c r="S283" s="38"/>
      <c r="T283" s="353" t="b" cm="1">
        <f t="array" ref="T283">T282</f>
        <v>1</v>
      </c>
      <c r="X283" s="1078"/>
      <c r="Z283" s="1079"/>
      <c r="AB283" s="160" t="s">
        <v>275</v>
      </c>
      <c r="AC283" s="132" t="s">
        <v>1738</v>
      </c>
      <c r="AD283" s="9" t="s">
        <v>828</v>
      </c>
      <c r="AE283" s="126">
        <f ca="1">AE284+AE288+AE298+AE299+AE302+AE303+AE304</f>
        <v>4118.42</v>
      </c>
      <c r="AF283" s="126">
        <f ca="1">AF284+AF288+AF298+AF299+AF302+AF303+AF304</f>
        <v>4272.4124135077</v>
      </c>
      <c r="AG283" s="126">
        <f ca="1">AG284+AG288+AG298+AG299+AG302+AG303+AG304</f>
        <v>3891.2199667892</v>
      </c>
      <c r="AH283" s="126">
        <f t="shared" ref="AH283:AH309" ca="1" si="19">AG283-AF283</f>
        <v>-381.19244671849992</v>
      </c>
      <c r="AI283" s="126">
        <f ca="1">AI284+AI288+AI298+AI299+AI302+AI303+AI304</f>
        <v>4193.6099999999997</v>
      </c>
      <c r="AJ283" s="126">
        <f ca="1">AJ284+AJ288+AJ298+AJ299+AJ302+AJ303+AJ304</f>
        <v>4842.2209178392004</v>
      </c>
      <c r="AK283" s="126">
        <f ca="1">AK284+AK288+AK298+AK299+AK302+AK303+AK304</f>
        <v>4245.9698580841005</v>
      </c>
      <c r="AL283" s="171">
        <f t="shared" ref="AL283:AL309" ca="1" si="20">IF(AI283=0,0,(AK283-AI283)/AI283*100)</f>
        <v>1.2485628869661409</v>
      </c>
      <c r="AM283" s="196"/>
      <c r="AN283" s="601"/>
      <c r="AO283" s="196"/>
      <c r="AR283" s="694" t="s">
        <v>538</v>
      </c>
    </row>
    <row r="284" spans="1:48" s="868" customFormat="1" ht="21.75" customHeight="1" x14ac:dyDescent="0.25">
      <c r="A284" s="423"/>
      <c r="B284" s="423"/>
      <c r="C284" s="423"/>
      <c r="D284" s="423"/>
      <c r="E284" s="505">
        <v>22.5</v>
      </c>
      <c r="F284" s="3" t="str" cm="1">
        <f t="array" aca="1" ref="F284" ca="1">OFFSET(E284,-1,1)</f>
        <v>3</v>
      </c>
      <c r="G284" s="423"/>
      <c r="H284" s="423"/>
      <c r="I284" s="154" t="s">
        <v>482</v>
      </c>
      <c r="J284" s="154"/>
      <c r="K284" s="154"/>
      <c r="L284" s="154"/>
      <c r="M284" s="154"/>
      <c r="N284" s="154"/>
      <c r="O284" s="154"/>
      <c r="P284" s="154"/>
      <c r="Q284" s="154"/>
      <c r="R284" s="154"/>
      <c r="S284" s="154"/>
      <c r="T284" s="353" t="b" cm="1">
        <f t="array" ref="T284">T283</f>
        <v>1</v>
      </c>
      <c r="U284" s="423"/>
      <c r="V284" s="423"/>
      <c r="W284" s="423"/>
      <c r="X284" s="1078"/>
      <c r="Y284" s="423"/>
      <c r="Z284" s="1079"/>
      <c r="AA284" s="423"/>
      <c r="AB284" s="131" t="s">
        <v>939</v>
      </c>
      <c r="AC284" s="263" t="s">
        <v>1739</v>
      </c>
      <c r="AD284" s="147" t="s">
        <v>828</v>
      </c>
      <c r="AE284" s="126">
        <f ca="1">SUM(AE285:AE287)</f>
        <v>0</v>
      </c>
      <c r="AF284" s="126">
        <f ca="1">SUM(AF285:AF287)</f>
        <v>0</v>
      </c>
      <c r="AG284" s="126">
        <f ca="1">SUM(AG285:AG287)</f>
        <v>0</v>
      </c>
      <c r="AH284" s="126">
        <f t="shared" ca="1" si="19"/>
        <v>0</v>
      </c>
      <c r="AI284" s="126">
        <f ca="1">SUM(AI285:AI287)</f>
        <v>0</v>
      </c>
      <c r="AJ284" s="126">
        <f ca="1">SUM(AJ285:AJ287)</f>
        <v>0</v>
      </c>
      <c r="AK284" s="126">
        <f ca="1">SUM(AK285:AK287)</f>
        <v>0</v>
      </c>
      <c r="AL284" s="126">
        <f t="shared" ca="1" si="20"/>
        <v>0</v>
      </c>
      <c r="AM284" s="556"/>
      <c r="AN284" s="556"/>
      <c r="AO284" s="556"/>
      <c r="AP284" s="423"/>
      <c r="AQ284" s="423"/>
      <c r="AR284" s="695" t="s">
        <v>1740</v>
      </c>
      <c r="AS284" s="695"/>
      <c r="AT284" s="695"/>
      <c r="AU284" s="505"/>
      <c r="AV284" s="505"/>
    </row>
    <row r="285" spans="1:48" ht="14.25" customHeight="1" x14ac:dyDescent="0.25">
      <c r="E285" s="504">
        <v>15</v>
      </c>
      <c r="F285" s="3" t="str" cm="1">
        <f t="array" aca="1" ref="F285" ca="1">OFFSET(E285,-1,1)</f>
        <v>3</v>
      </c>
      <c r="I285" s="38" t="s">
        <v>1070</v>
      </c>
      <c r="J285" s="38"/>
      <c r="K285" s="38"/>
      <c r="L285" s="38"/>
      <c r="M285" s="38"/>
      <c r="N285" s="38"/>
      <c r="O285" s="38"/>
      <c r="P285" s="38"/>
      <c r="Q285" s="38"/>
      <c r="R285" s="38"/>
      <c r="S285" s="38"/>
      <c r="T285" s="353" t="b" cm="1">
        <f t="array" ref="T285">T284</f>
        <v>1</v>
      </c>
      <c r="X285" s="1078"/>
      <c r="Z285" s="1079"/>
      <c r="AB285" s="133" t="s">
        <v>1071</v>
      </c>
      <c r="AC285" s="134" t="s">
        <v>1741</v>
      </c>
      <c r="AD285" s="9" t="s">
        <v>828</v>
      </c>
      <c r="AE285" s="171">
        <f ca="1">SUMIFS('Сырье и материалы'!AE$25:AE$48,'Сырье и материалы'!$F$25:$F$48,$F285,'Сырье и материалы'!$AC$25:$AC$48,"Всего по тарифу")</f>
        <v>0</v>
      </c>
      <c r="AF285" s="171">
        <f ca="1">SUMIFS('Сырье и материалы'!AF$25:AF$48,'Сырье и материалы'!$F$25:$F$48,$F285,'Сырье и материалы'!$AC$25:$AC$48,"Всего по тарифу")</f>
        <v>0</v>
      </c>
      <c r="AG285" s="171">
        <f ca="1">SUMIFS('Сырье и материалы'!AG$25:AG$48,'Сырье и материалы'!$F$25:$F$48,$F285,'Сырье и материалы'!$AC$25:$AC$48,"Всего по тарифу")</f>
        <v>0</v>
      </c>
      <c r="AH285" s="171">
        <f t="shared" ca="1" si="19"/>
        <v>0</v>
      </c>
      <c r="AI285" s="171">
        <f ca="1">SUMIFS('Сырье и материалы'!AH$25:AH$48,'Сырье и материалы'!$F$25:$F$48,$F285,'Сырье и материалы'!$AC$25:$AC$48,"Всего по тарифу")</f>
        <v>0</v>
      </c>
      <c r="AJ285" s="171">
        <f ca="1">SUMIFS('Сырье и материалы'!AI$25:AI$48,'Сырье и материалы'!$F$25:$F$48,$F285,'Сырье и материалы'!$AC$25:$AC$48,"Всего по тарифу")</f>
        <v>0</v>
      </c>
      <c r="AK285" s="171">
        <f ca="1">SUMIFS('Сырье и материалы'!AS$25:AS$48,'Сырье и материалы'!$F$25:$F$48,$F285,'Сырье и материалы'!$AC$25:$AC$48,"Всего по тарифу")</f>
        <v>0</v>
      </c>
      <c r="AL285" s="171">
        <f t="shared" ca="1" si="20"/>
        <v>0</v>
      </c>
      <c r="AM285" s="196"/>
      <c r="AN285" s="601" t="str">
        <f ca="1">IF(IFERROR(INDEX('Сырье и материалы'!$K$26:$L$48,MATCH($F285&amp;"komm",'Сырье и материалы'!$K$26:$K$48,0),2),"")=0,"",IFERROR(INDEX('Сырье и материалы'!$K$26:$L$48,MATCH($F285&amp;"komm",'Сырье и материалы'!$K$26:$K$48,0),2),""))</f>
        <v/>
      </c>
      <c r="AO285" s="196"/>
      <c r="AR285" s="694" t="s">
        <v>1742</v>
      </c>
    </row>
    <row r="286" spans="1:48" ht="14.25" customHeight="1" x14ac:dyDescent="0.25">
      <c r="E286" s="504">
        <v>15</v>
      </c>
      <c r="F286" s="3" t="str" cm="1">
        <f t="array" aca="1" ref="F286" ca="1">OFFSET(E286,-1,1)</f>
        <v>3</v>
      </c>
      <c r="I286" s="38" t="s">
        <v>1074</v>
      </c>
      <c r="J286" s="38"/>
      <c r="K286" s="38"/>
      <c r="L286" s="38"/>
      <c r="M286" s="38"/>
      <c r="N286" s="38"/>
      <c r="O286" s="38"/>
      <c r="P286" s="38"/>
      <c r="Q286" s="38"/>
      <c r="R286" s="38"/>
      <c r="S286" s="38"/>
      <c r="T286" s="353" t="b" cm="1">
        <f t="array" ref="T286">T285</f>
        <v>1</v>
      </c>
      <c r="X286" s="1078"/>
      <c r="Z286" s="1079"/>
      <c r="AB286" s="133" t="s">
        <v>1075</v>
      </c>
      <c r="AC286" s="134" t="s">
        <v>1743</v>
      </c>
      <c r="AD286" s="9" t="s">
        <v>828</v>
      </c>
      <c r="AE286" s="128"/>
      <c r="AF286" s="128"/>
      <c r="AG286" s="128"/>
      <c r="AH286" s="171">
        <f t="shared" si="19"/>
        <v>0</v>
      </c>
      <c r="AI286" s="128"/>
      <c r="AJ286" s="128"/>
      <c r="AK286" s="128"/>
      <c r="AL286" s="171">
        <f t="shared" si="20"/>
        <v>0</v>
      </c>
      <c r="AM286" s="196"/>
      <c r="AN286" s="196"/>
      <c r="AO286" s="196"/>
      <c r="AR286" s="694" t="s">
        <v>1744</v>
      </c>
    </row>
    <row r="287" spans="1:48" ht="14.25" customHeight="1" x14ac:dyDescent="0.25">
      <c r="E287" s="504">
        <v>15</v>
      </c>
      <c r="F287" s="3" t="str" cm="1">
        <f t="array" aca="1" ref="F287" ca="1">OFFSET(E287,-1,1)</f>
        <v>3</v>
      </c>
      <c r="I287" s="38" t="s">
        <v>1319</v>
      </c>
      <c r="J287" s="38"/>
      <c r="K287" s="38"/>
      <c r="L287" s="38"/>
      <c r="M287" s="38"/>
      <c r="N287" s="38"/>
      <c r="O287" s="38"/>
      <c r="P287" s="38"/>
      <c r="Q287" s="38"/>
      <c r="R287" s="38"/>
      <c r="S287" s="38"/>
      <c r="T287" s="353" t="b" cm="1">
        <f t="array" ref="T287">T286</f>
        <v>1</v>
      </c>
      <c r="X287" s="1078"/>
      <c r="Z287" s="1079"/>
      <c r="AB287" s="133" t="s">
        <v>1320</v>
      </c>
      <c r="AC287" s="134" t="s">
        <v>1745</v>
      </c>
      <c r="AD287" s="9" t="s">
        <v>828</v>
      </c>
      <c r="AE287" s="128"/>
      <c r="AF287" s="128"/>
      <c r="AG287" s="128"/>
      <c r="AH287" s="171">
        <f t="shared" si="19"/>
        <v>0</v>
      </c>
      <c r="AI287" s="128"/>
      <c r="AJ287" s="128"/>
      <c r="AK287" s="128"/>
      <c r="AL287" s="171">
        <f t="shared" si="20"/>
        <v>0</v>
      </c>
      <c r="AM287" s="196"/>
      <c r="AN287" s="196"/>
      <c r="AO287" s="196"/>
      <c r="AR287" s="694" t="s">
        <v>1746</v>
      </c>
    </row>
    <row r="288" spans="1:48" s="868" customFormat="1" ht="21.75" customHeight="1" x14ac:dyDescent="0.25">
      <c r="A288" s="423"/>
      <c r="B288" s="423"/>
      <c r="C288" s="423"/>
      <c r="D288" s="423"/>
      <c r="E288" s="505">
        <v>22.5</v>
      </c>
      <c r="F288" s="3" t="str" cm="1">
        <f t="array" aca="1" ref="F288" ca="1">OFFSET(E288,-1,1)</f>
        <v>3</v>
      </c>
      <c r="G288" s="423"/>
      <c r="H288" s="423"/>
      <c r="I288" s="154" t="s">
        <v>486</v>
      </c>
      <c r="J288" s="154"/>
      <c r="K288" s="154"/>
      <c r="L288" s="154"/>
      <c r="M288" s="154"/>
      <c r="N288" s="154"/>
      <c r="O288" s="154"/>
      <c r="P288" s="154"/>
      <c r="Q288" s="154"/>
      <c r="R288" s="154"/>
      <c r="S288" s="154"/>
      <c r="T288" s="353" t="b" cm="1">
        <f t="array" ref="T288">T287</f>
        <v>1</v>
      </c>
      <c r="U288" s="423"/>
      <c r="V288" s="423"/>
      <c r="W288" s="423"/>
      <c r="X288" s="1078"/>
      <c r="Y288" s="423"/>
      <c r="Z288" s="1079"/>
      <c r="AA288" s="423"/>
      <c r="AB288" s="131" t="s">
        <v>942</v>
      </c>
      <c r="AC288" s="263" t="s">
        <v>1747</v>
      </c>
      <c r="AD288" s="147" t="s">
        <v>828</v>
      </c>
      <c r="AE288" s="126">
        <f ca="1">SUM(AE289:AE297)</f>
        <v>4118.42</v>
      </c>
      <c r="AF288" s="126">
        <f ca="1">SUM(AF289:AF297)</f>
        <v>4272.4124135077</v>
      </c>
      <c r="AG288" s="126">
        <f ca="1">SUM(AG289:AG297)</f>
        <v>3891.2199667892</v>
      </c>
      <c r="AH288" s="126">
        <f t="shared" ca="1" si="19"/>
        <v>-381.19244671849992</v>
      </c>
      <c r="AI288" s="126">
        <f ca="1">SUM(AI289:AI297)</f>
        <v>4193.6099999999997</v>
      </c>
      <c r="AJ288" s="126">
        <f ca="1">SUM(AJ289:AJ297)</f>
        <v>4842.2209178392004</v>
      </c>
      <c r="AK288" s="126">
        <f ca="1">SUM(AK289:AK297)</f>
        <v>4245.9698580841005</v>
      </c>
      <c r="AL288" s="126">
        <f t="shared" ca="1" si="20"/>
        <v>1.2485628869661409</v>
      </c>
      <c r="AM288" s="556"/>
      <c r="AN288" s="556"/>
      <c r="AO288" s="556"/>
      <c r="AP288" s="423"/>
      <c r="AQ288" s="423"/>
      <c r="AR288" s="695" t="s">
        <v>1748</v>
      </c>
      <c r="AS288" s="695"/>
      <c r="AT288" s="695"/>
      <c r="AU288" s="505"/>
      <c r="AV288" s="505"/>
    </row>
    <row r="289" spans="1:48" ht="14.25" customHeight="1" x14ac:dyDescent="0.25">
      <c r="E289" s="504">
        <v>15</v>
      </c>
      <c r="F289" s="3" t="str" cm="1">
        <f t="array" aca="1" ref="F289" ca="1">OFFSET(E289,-1,1)</f>
        <v>3</v>
      </c>
      <c r="I289" s="38" t="s">
        <v>1344</v>
      </c>
      <c r="J289" s="38"/>
      <c r="K289" s="38"/>
      <c r="L289" s="38"/>
      <c r="M289" s="38"/>
      <c r="N289" s="38"/>
      <c r="O289" s="38"/>
      <c r="P289" s="38"/>
      <c r="Q289" s="38"/>
      <c r="R289" s="38"/>
      <c r="S289" s="38"/>
      <c r="T289" s="353" t="b" cm="1">
        <f t="array" ref="T289">T288</f>
        <v>1</v>
      </c>
      <c r="X289" s="1078"/>
      <c r="Z289" s="1079"/>
      <c r="AB289" s="133" t="s">
        <v>1345</v>
      </c>
      <c r="AC289" s="134" t="s">
        <v>1749</v>
      </c>
      <c r="AD289" s="9" t="s">
        <v>828</v>
      </c>
      <c r="AE289" s="171">
        <f ca="1">SUMIFS(ЭЭ!AE$25:AE$116,ЭЭ!$F$25:$F$116,$F289,ЭЭ!$AC$25:$AC$116,"Всего по тарифу")</f>
        <v>4118.42</v>
      </c>
      <c r="AF289" s="171">
        <f ca="1">SUMIFS(ЭЭ!AF$25:AF$116,ЭЭ!$F$25:$F$116,$F289,ЭЭ!$AC$25:$AC$116,"Всего по тарифу")</f>
        <v>4272.4124135077</v>
      </c>
      <c r="AG289" s="171">
        <f ca="1">SUMIFS(ЭЭ!AG$25:AG$116,ЭЭ!$F$25:$F$116,$F289,ЭЭ!$AC$25:$AC$116,"Всего по тарифу")</f>
        <v>3891.2199667892</v>
      </c>
      <c r="AH289" s="171">
        <f t="shared" ca="1" si="19"/>
        <v>-381.19244671849992</v>
      </c>
      <c r="AI289" s="171">
        <f ca="1">SUMIFS(ЭЭ!AH$25:AH$116,ЭЭ!$F$25:$F$116,$F289,ЭЭ!$AC$25:$AC$116,"Всего по тарифу")</f>
        <v>4193.6099999999997</v>
      </c>
      <c r="AJ289" s="171">
        <f ca="1">SUMIFS(ЭЭ!AI$25:AI$116,ЭЭ!$F$25:$F$116,$F289,ЭЭ!$AC$25:$AC$116,"Всего по тарифу")</f>
        <v>4842.2209178392004</v>
      </c>
      <c r="AK289" s="171">
        <f ca="1">SUMIFS(ЭЭ!AS$25:AS$116,ЭЭ!$F$25:$F$116,$F289,ЭЭ!$AC$25:$AC$116,"Всего по тарифу")</f>
        <v>4245.9698580841005</v>
      </c>
      <c r="AL289" s="171">
        <f t="shared" ca="1" si="20"/>
        <v>1.2485628869661409</v>
      </c>
      <c r="AM289" s="196"/>
      <c r="AN289" s="601" t="str">
        <f ca="1">IF(IFERROR(INDEX(ЭЭ!$K$26:$L$116,MATCH($F289&amp;"komm",ЭЭ!$K$26:$K$116,0),2),"")=0,"",IFERROR(INDEX(ЭЭ!$K$26:$L$116,MATCH($F289&amp;"komm",ЭЭ!$K$26:$K$116,0),2),""))</f>
        <v>П. 16 (в), 91,95 Методических указаний ФСТ № 1746-э.</v>
      </c>
      <c r="AO289" s="196"/>
      <c r="AR289" s="694" t="s">
        <v>1750</v>
      </c>
    </row>
    <row r="290" spans="1:48" ht="14.25" customHeight="1" x14ac:dyDescent="0.25">
      <c r="E290" s="504">
        <v>15</v>
      </c>
      <c r="F290" s="3" t="str" cm="1">
        <f t="array" aca="1" ref="F290" ca="1">OFFSET(E290,-1,1)</f>
        <v>3</v>
      </c>
      <c r="G290" s="278" t="s">
        <v>1148</v>
      </c>
      <c r="I290" s="38" t="s">
        <v>1347</v>
      </c>
      <c r="J290" s="38"/>
      <c r="K290" s="38"/>
      <c r="L290" s="38"/>
      <c r="M290" s="38"/>
      <c r="N290" s="38"/>
      <c r="O290" s="38"/>
      <c r="P290" s="38"/>
      <c r="Q290" s="38"/>
      <c r="R290" s="38"/>
      <c r="S290" s="38"/>
      <c r="T290" s="353" t="b" cm="1">
        <f t="array" ref="T290">T289</f>
        <v>1</v>
      </c>
      <c r="X290" s="1078"/>
      <c r="Z290" s="1079"/>
      <c r="AB290" s="133" t="s">
        <v>1348</v>
      </c>
      <c r="AC290" s="134" t="s">
        <v>1751</v>
      </c>
      <c r="AD290" s="9" t="s">
        <v>828</v>
      </c>
      <c r="AE290" s="171">
        <f ca="1">SUMIFS(Покупка!AE$25:AE$150,Покупка!$F$25:$F$150,$F290,Покупка!$AC$25:$AC$150,$G290)</f>
        <v>0</v>
      </c>
      <c r="AF290" s="171">
        <f ca="1">SUMIFS(Покупка!AF$25:AF$150,Покупка!$F$25:$F$150,$F290,Покупка!$AC$25:$AC$150,$G290)</f>
        <v>0</v>
      </c>
      <c r="AG290" s="171">
        <f ca="1">SUMIFS(Покупка!AG$25:AG$150,Покупка!$F$25:$F$150,$F290,Покупка!$AC$25:$AC$150,$G290)</f>
        <v>0</v>
      </c>
      <c r="AH290" s="171">
        <f t="shared" ca="1" si="19"/>
        <v>0</v>
      </c>
      <c r="AI290" s="171">
        <f ca="1">SUMIFS(Покупка!AH$25:AH$150,Покупка!$F$25:$F$150,$F290,Покупка!$AC$25:$AC$150,$G290)</f>
        <v>0</v>
      </c>
      <c r="AJ290" s="171">
        <f ca="1">SUMIFS(Покупка!AI$25:AI$150,Покупка!$F$25:$F$150,$F290,Покупка!$AC$25:$AC$150,$G290)</f>
        <v>0</v>
      </c>
      <c r="AK290" s="171">
        <f ca="1">SUMIFS(Покупка!AS$25:AS$150,Покупка!$F$25:$F$150,$F290,Покупка!$AC$25:$AC$150,$G290)</f>
        <v>0</v>
      </c>
      <c r="AL290" s="171">
        <f t="shared" ca="1" si="20"/>
        <v>0</v>
      </c>
      <c r="AM290" s="196"/>
      <c r="AN290" s="601" t="str">
        <f ca="1">IF(IFERROR(INDEX(Покупка!$K$26:$L$150,MATCH($F290&amp;"6komm",Покупка!$K$26:$K$150,0),2),"")=0,"",IFERROR(INDEX(Покупка!$K$26:$L$150,MATCH($F290&amp;"6komm",Покупка!$K$26:$K$150,0),2),""))</f>
        <v/>
      </c>
      <c r="AO290" s="196"/>
      <c r="AR290" s="694" t="s">
        <v>1149</v>
      </c>
    </row>
    <row r="291" spans="1:48" ht="14.25" customHeight="1" x14ac:dyDescent="0.25">
      <c r="E291" s="504">
        <v>15</v>
      </c>
      <c r="F291" s="3" t="str" cm="1">
        <f t="array" aca="1" ref="F291" ca="1">OFFSET(E291,-1,1)</f>
        <v>3</v>
      </c>
      <c r="G291" s="278" t="s">
        <v>1150</v>
      </c>
      <c r="I291" s="38" t="s">
        <v>1351</v>
      </c>
      <c r="J291" s="38"/>
      <c r="K291" s="38"/>
      <c r="L291" s="38"/>
      <c r="M291" s="38"/>
      <c r="N291" s="38"/>
      <c r="O291" s="38"/>
      <c r="P291" s="38"/>
      <c r="Q291" s="38"/>
      <c r="R291" s="38"/>
      <c r="S291" s="38"/>
      <c r="T291" s="353" t="b" cm="1">
        <f t="array" ref="T291">T290</f>
        <v>1</v>
      </c>
      <c r="X291" s="1078"/>
      <c r="Z291" s="1079"/>
      <c r="AB291" s="133" t="s">
        <v>1352</v>
      </c>
      <c r="AC291" s="134" t="s">
        <v>1752</v>
      </c>
      <c r="AD291" s="9" t="s">
        <v>828</v>
      </c>
      <c r="AE291" s="171">
        <f ca="1">SUMIFS(Покупка!AE$25:AE$150,Покупка!$F$25:$F$150,$F291,Покупка!$AC$25:$AC$150,$G291)</f>
        <v>0</v>
      </c>
      <c r="AF291" s="171">
        <f ca="1">SUMIFS(Покупка!AF$25:AF$150,Покупка!$F$25:$F$150,$F291,Покупка!$AC$25:$AC$150,$G291)</f>
        <v>0</v>
      </c>
      <c r="AG291" s="171">
        <f ca="1">SUMIFS(Покупка!AG$25:AG$150,Покупка!$F$25:$F$150,$F291,Покупка!$AC$25:$AC$150,$G291)</f>
        <v>0</v>
      </c>
      <c r="AH291" s="171">
        <f t="shared" ca="1" si="19"/>
        <v>0</v>
      </c>
      <c r="AI291" s="171">
        <f ca="1">SUMIFS(Покупка!AH$25:AH$150,Покупка!$F$25:$F$150,$F291,Покупка!$AC$25:$AC$150,$G291)</f>
        <v>0</v>
      </c>
      <c r="AJ291" s="171">
        <f ca="1">SUMIFS(Покупка!AI$25:AI$150,Покупка!$F$25:$F$150,$F291,Покупка!$AC$25:$AC$150,$G291)</f>
        <v>0</v>
      </c>
      <c r="AK291" s="171">
        <f ca="1">SUMIFS(Покупка!AS$25:AS$150,Покупка!$F$25:$F$150,$F291,Покупка!$AC$25:$AC$150,$G291)</f>
        <v>0</v>
      </c>
      <c r="AL291" s="171">
        <f t="shared" ca="1" si="20"/>
        <v>0</v>
      </c>
      <c r="AM291" s="196"/>
      <c r="AN291" s="601" t="str">
        <f ca="1">IF(IFERROR(INDEX(Покупка!$K$26:$L$150,MATCH($F291&amp;"7komm",Покупка!$K$26:$K$150,0),2),"")=0,"",IFERROR(INDEX(Покупка!$K$26:$L$150,MATCH($F291&amp;"7komm",Покупка!$K$26:$K$150,0),2),""))</f>
        <v/>
      </c>
      <c r="AO291" s="196"/>
      <c r="AR291" s="694" t="s">
        <v>1151</v>
      </c>
    </row>
    <row r="292" spans="1:48" ht="14.25" customHeight="1" x14ac:dyDescent="0.25">
      <c r="E292" s="504">
        <v>15</v>
      </c>
      <c r="F292" s="3" t="str" cm="1">
        <f t="array" aca="1" ref="F292" ca="1">OFFSET(E292,-1,1)</f>
        <v>3</v>
      </c>
      <c r="G292" s="278" t="s">
        <v>1154</v>
      </c>
      <c r="I292" s="38" t="s">
        <v>1510</v>
      </c>
      <c r="J292" s="38"/>
      <c r="K292" s="38"/>
      <c r="L292" s="38"/>
      <c r="M292" s="38"/>
      <c r="N292" s="38"/>
      <c r="O292" s="38"/>
      <c r="P292" s="38"/>
      <c r="Q292" s="38"/>
      <c r="R292" s="38"/>
      <c r="S292" s="38"/>
      <c r="T292" s="353" t="b" cm="1">
        <f t="array" ref="T292">T291</f>
        <v>1</v>
      </c>
      <c r="X292" s="1078"/>
      <c r="Z292" s="1079"/>
      <c r="AB292" s="133" t="s">
        <v>1753</v>
      </c>
      <c r="AC292" s="134" t="s">
        <v>1754</v>
      </c>
      <c r="AD292" s="9" t="s">
        <v>828</v>
      </c>
      <c r="AE292" s="171">
        <f ca="1">SUMIFS(Покупка!AE$25:AE$150,Покупка!$F$25:$F$150,$F292,Покупка!$AC$25:$AC$150,$G292)</f>
        <v>0</v>
      </c>
      <c r="AF292" s="171">
        <f ca="1">SUMIFS(Покупка!AF$25:AF$150,Покупка!$F$25:$F$150,$F292,Покупка!$AC$25:$AC$150,$G292)</f>
        <v>0</v>
      </c>
      <c r="AG292" s="171">
        <f ca="1">SUMIFS(Покупка!AG$25:AG$150,Покупка!$F$25:$F$150,$F292,Покупка!$AC$25:$AC$150,$G292)</f>
        <v>0</v>
      </c>
      <c r="AH292" s="171">
        <f t="shared" ca="1" si="19"/>
        <v>0</v>
      </c>
      <c r="AI292" s="171">
        <f ca="1">SUMIFS(Покупка!AH$25:AH$150,Покупка!$F$25:$F$150,$F292,Покупка!$AC$25:$AC$150,$G292)</f>
        <v>0</v>
      </c>
      <c r="AJ292" s="171">
        <f ca="1">SUMIFS(Покупка!AI$25:AI$150,Покупка!$F$25:$F$150,$F292,Покупка!$AC$25:$AC$150,$G292)</f>
        <v>0</v>
      </c>
      <c r="AK292" s="171">
        <f ca="1">SUMIFS(Покупка!AS$25:AS$150,Покупка!$F$25:$F$150,$F292,Покупка!$AC$25:$AC$150,$G292)</f>
        <v>0</v>
      </c>
      <c r="AL292" s="171">
        <f t="shared" ca="1" si="20"/>
        <v>0</v>
      </c>
      <c r="AM292" s="196"/>
      <c r="AN292" s="601" t="str">
        <f ca="1">IF(IFERROR(INDEX(Покупка!$K$26:$L$150,MATCH($F292&amp;"9komm",Покупка!$K$26:$K$150,0),2),"")=0,"",IFERROR(INDEX(Покупка!$K$26:$L$150,MATCH($F292&amp;"9komm",Покупка!$K$26:$K$150,0),2),""))</f>
        <v/>
      </c>
      <c r="AO292" s="196"/>
      <c r="AR292" s="694" t="s">
        <v>1155</v>
      </c>
    </row>
    <row r="293" spans="1:48" ht="14.25" customHeight="1" x14ac:dyDescent="0.25">
      <c r="E293" s="504">
        <v>15</v>
      </c>
      <c r="F293" s="3" t="str" cm="1">
        <f t="array" aca="1" ref="F293" ca="1">OFFSET(E293,-1,1)</f>
        <v>3</v>
      </c>
      <c r="G293" s="278" t="s">
        <v>1116</v>
      </c>
      <c r="I293" s="38" t="s">
        <v>1514</v>
      </c>
      <c r="J293" s="38"/>
      <c r="K293" s="38"/>
      <c r="L293" s="38"/>
      <c r="M293" s="38"/>
      <c r="N293" s="38"/>
      <c r="O293" s="38"/>
      <c r="P293" s="38"/>
      <c r="Q293" s="38"/>
      <c r="R293" s="38"/>
      <c r="S293" s="38"/>
      <c r="T293" s="353" t="b" cm="1">
        <f t="array" ref="T293">T292</f>
        <v>1</v>
      </c>
      <c r="X293" s="1078"/>
      <c r="Z293" s="1079"/>
      <c r="AB293" s="133" t="s">
        <v>1755</v>
      </c>
      <c r="AC293" s="134" t="s">
        <v>1756</v>
      </c>
      <c r="AD293" s="9" t="s">
        <v>828</v>
      </c>
      <c r="AE293" s="171">
        <f ca="1">SUMIFS(Покупка!AE$25:AE$150,Покупка!$F$25:$F$150,$F293,Покупка!$AC$25:$AC$150,$G293)</f>
        <v>0</v>
      </c>
      <c r="AF293" s="171">
        <f ca="1">SUMIFS(Покупка!AF$25:AF$150,Покупка!$F$25:$F$150,$F293,Покупка!$AC$25:$AC$150,$G293)</f>
        <v>0</v>
      </c>
      <c r="AG293" s="171">
        <f ca="1">SUMIFS(Покупка!AG$25:AG$150,Покупка!$F$25:$F$150,$F293,Покупка!$AC$25:$AC$150,$G293)</f>
        <v>0</v>
      </c>
      <c r="AH293" s="171">
        <f t="shared" ca="1" si="19"/>
        <v>0</v>
      </c>
      <c r="AI293" s="171">
        <f ca="1">SUMIFS(Покупка!AH$25:AH$150,Покупка!$F$25:$F$150,$F293,Покупка!$AC$25:$AC$150,$G293)</f>
        <v>0</v>
      </c>
      <c r="AJ293" s="171">
        <f ca="1">SUMIFS(Покупка!AI$25:AI$150,Покупка!$F$25:$F$150,$F293,Покупка!$AC$25:$AC$150,$G293)</f>
        <v>0</v>
      </c>
      <c r="AK293" s="171">
        <f ca="1">SUMIFS(Покупка!AS$25:AS$150,Покупка!$F$25:$F$150,$F293,Покупка!$AC$25:$AC$150,$G293)</f>
        <v>0</v>
      </c>
      <c r="AL293" s="171">
        <f t="shared" ca="1" si="20"/>
        <v>0</v>
      </c>
      <c r="AM293" s="196"/>
      <c r="AN293" s="601" t="str">
        <f ca="1">IF(IFERROR(INDEX(Покупка!$K$26:$L$150,MATCH($F293&amp;"1komm",Покупка!$K$26:$K$150,0),2),"")=0,"",IFERROR(INDEX(Покупка!$K$26:$L$150,MATCH($F293&amp;"1komm",Покупка!$K$26:$K$150,0),2),""))</f>
        <v/>
      </c>
      <c r="AO293" s="196"/>
      <c r="AR293" s="694" t="s">
        <v>1757</v>
      </c>
    </row>
    <row r="294" spans="1:48" ht="14.25" customHeight="1" x14ac:dyDescent="0.25">
      <c r="E294" s="504">
        <v>15</v>
      </c>
      <c r="F294" s="3" t="str" cm="1">
        <f t="array" aca="1" ref="F294" ca="1">OFFSET(E294,-1,1)</f>
        <v>3</v>
      </c>
      <c r="G294" s="278" t="s">
        <v>1125</v>
      </c>
      <c r="I294" s="38" t="s">
        <v>1519</v>
      </c>
      <c r="J294" s="38"/>
      <c r="K294" s="38"/>
      <c r="L294" s="38"/>
      <c r="M294" s="38"/>
      <c r="N294" s="38"/>
      <c r="O294" s="38"/>
      <c r="P294" s="38"/>
      <c r="Q294" s="38"/>
      <c r="R294" s="38"/>
      <c r="S294" s="38"/>
      <c r="T294" s="353" t="b" cm="1">
        <f t="array" ref="T294">T293</f>
        <v>1</v>
      </c>
      <c r="X294" s="1078"/>
      <c r="Z294" s="1079"/>
      <c r="AB294" s="133" t="s">
        <v>1758</v>
      </c>
      <c r="AC294" s="134" t="s">
        <v>1759</v>
      </c>
      <c r="AD294" s="9" t="s">
        <v>828</v>
      </c>
      <c r="AE294" s="171">
        <f ca="1">SUMIFS(Покупка!AE$25:AE$150,Покупка!$F$25:$F$150,$F294,Покупка!$AC$25:$AC$150,$G294)</f>
        <v>0</v>
      </c>
      <c r="AF294" s="171">
        <f ca="1">SUMIFS(Покупка!AF$25:AF$150,Покупка!$F$25:$F$150,$F294,Покупка!$AC$25:$AC$150,$G294)</f>
        <v>0</v>
      </c>
      <c r="AG294" s="171">
        <f ca="1">SUMIFS(Покупка!AG$25:AG$150,Покупка!$F$25:$F$150,$F294,Покупка!$AC$25:$AC$150,$G294)</f>
        <v>0</v>
      </c>
      <c r="AH294" s="171">
        <f t="shared" ca="1" si="19"/>
        <v>0</v>
      </c>
      <c r="AI294" s="171">
        <f ca="1">SUMIFS(Покупка!AH$25:AH$150,Покупка!$F$25:$F$150,$F294,Покупка!$AC$25:$AC$150,$G294)</f>
        <v>0</v>
      </c>
      <c r="AJ294" s="171">
        <f ca="1">SUMIFS(Покупка!AI$25:AI$150,Покупка!$F$25:$F$150,$F294,Покупка!$AC$25:$AC$150,$G294)</f>
        <v>0</v>
      </c>
      <c r="AK294" s="171">
        <f ca="1">SUMIFS(Покупка!AS$25:AS$150,Покупка!$F$25:$F$150,$F294,Покупка!$AC$25:$AC$150,$G294)</f>
        <v>0</v>
      </c>
      <c r="AL294" s="171">
        <f t="shared" ca="1" si="20"/>
        <v>0</v>
      </c>
      <c r="AM294" s="196"/>
      <c r="AN294" s="601" t="str">
        <f ca="1">IF(IFERROR(INDEX(Покупка!$K$26:$L$150,MATCH($F294&amp;"2komm",Покупка!$K$26:$K$150,0),2),"")=0,"",IFERROR(INDEX(Покупка!$K$26:$L$150,MATCH($F294&amp;"2komm",Покупка!$K$26:$K$150,0),2),""))</f>
        <v/>
      </c>
      <c r="AO294" s="196"/>
      <c r="AR294" s="694" t="s">
        <v>1760</v>
      </c>
    </row>
    <row r="295" spans="1:48" ht="14.25" customHeight="1" x14ac:dyDescent="0.25">
      <c r="E295" s="504">
        <v>15</v>
      </c>
      <c r="F295" s="3" t="str" cm="1">
        <f t="array" aca="1" ref="F295" ca="1">OFFSET(E295,-1,1)</f>
        <v>3</v>
      </c>
      <c r="G295" s="278" t="s">
        <v>1130</v>
      </c>
      <c r="I295" s="38" t="s">
        <v>1528</v>
      </c>
      <c r="J295" s="38"/>
      <c r="K295" s="38"/>
      <c r="L295" s="38"/>
      <c r="M295" s="38"/>
      <c r="N295" s="38"/>
      <c r="O295" s="38"/>
      <c r="P295" s="38"/>
      <c r="Q295" s="38"/>
      <c r="R295" s="38"/>
      <c r="S295" s="38"/>
      <c r="T295" s="353" t="b" cm="1">
        <f t="array" ref="T295">T294</f>
        <v>1</v>
      </c>
      <c r="X295" s="1078"/>
      <c r="Z295" s="1079"/>
      <c r="AB295" s="133" t="s">
        <v>1761</v>
      </c>
      <c r="AC295" s="134" t="s">
        <v>1762</v>
      </c>
      <c r="AD295" s="9" t="s">
        <v>828</v>
      </c>
      <c r="AE295" s="171">
        <f ca="1">SUMIFS(Покупка!AE$25:AE$150,Покупка!$F$25:$F$150,$F295,Покупка!$AC$25:$AC$150,$G295)</f>
        <v>0</v>
      </c>
      <c r="AF295" s="171">
        <f ca="1">SUMIFS(Покупка!AF$25:AF$150,Покупка!$F$25:$F$150,$F295,Покупка!$AC$25:$AC$150,$G295)</f>
        <v>0</v>
      </c>
      <c r="AG295" s="171">
        <f ca="1">SUMIFS(Покупка!AG$25:AG$150,Покупка!$F$25:$F$150,$F295,Покупка!$AC$25:$AC$150,$G295)</f>
        <v>0</v>
      </c>
      <c r="AH295" s="171">
        <f t="shared" ca="1" si="19"/>
        <v>0</v>
      </c>
      <c r="AI295" s="171">
        <f ca="1">SUMIFS(Покупка!AH$25:AH$150,Покупка!$F$25:$F$150,$F295,Покупка!$AC$25:$AC$150,$G295)</f>
        <v>0</v>
      </c>
      <c r="AJ295" s="171">
        <f ca="1">SUMIFS(Покупка!AI$25:AI$150,Покупка!$F$25:$F$150,$F295,Покупка!$AC$25:$AC$150,$G295)</f>
        <v>0</v>
      </c>
      <c r="AK295" s="171">
        <f ca="1">SUMIFS(Покупка!AS$25:AS$150,Покупка!$F$25:$F$150,$F295,Покупка!$AC$25:$AC$150,$G295)</f>
        <v>0</v>
      </c>
      <c r="AL295" s="171">
        <f t="shared" ca="1" si="20"/>
        <v>0</v>
      </c>
      <c r="AM295" s="196"/>
      <c r="AN295" s="601" t="str">
        <f ca="1">IF(IFERROR(INDEX(Покупка!$K$26:$L$150,MATCH($F295&amp;"3komm",Покупка!$K$26:$K$150,0),2),"")=0,"",IFERROR(INDEX(Покупка!$K$26:$L$150,MATCH($F295&amp;"3komm",Покупка!$K$26:$K$150,0),2),""))</f>
        <v/>
      </c>
      <c r="AO295" s="196"/>
      <c r="AR295" s="694" t="s">
        <v>1763</v>
      </c>
    </row>
    <row r="296" spans="1:48" ht="14.25" customHeight="1" x14ac:dyDescent="0.25">
      <c r="E296" s="504">
        <v>15</v>
      </c>
      <c r="F296" s="3" t="str" cm="1">
        <f t="array" aca="1" ref="F296" ca="1">OFFSET(E296,-1,1)</f>
        <v>3</v>
      </c>
      <c r="G296" s="278" t="s">
        <v>1136</v>
      </c>
      <c r="I296" s="38" t="s">
        <v>1533</v>
      </c>
      <c r="J296" s="38"/>
      <c r="K296" s="38"/>
      <c r="L296" s="38"/>
      <c r="M296" s="38"/>
      <c r="N296" s="38"/>
      <c r="O296" s="38"/>
      <c r="P296" s="38"/>
      <c r="Q296" s="38"/>
      <c r="R296" s="38"/>
      <c r="S296" s="38"/>
      <c r="T296" s="353" t="b" cm="1">
        <f t="array" ref="T296">T295</f>
        <v>1</v>
      </c>
      <c r="X296" s="1078"/>
      <c r="Z296" s="1079"/>
      <c r="AB296" s="133" t="s">
        <v>1764</v>
      </c>
      <c r="AC296" s="134" t="s">
        <v>1765</v>
      </c>
      <c r="AD296" s="9" t="s">
        <v>828</v>
      </c>
      <c r="AE296" s="171">
        <f ca="1">SUMIFS(Покупка!AE$25:AE$150,Покупка!$F$25:$F$150,$F296,Покупка!$AC$25:$AC$150,$G296)</f>
        <v>0</v>
      </c>
      <c r="AF296" s="171">
        <f ca="1">SUMIFS(Покупка!AF$25:AF$150,Покупка!$F$25:$F$150,$F296,Покупка!$AC$25:$AC$150,$G296)</f>
        <v>0</v>
      </c>
      <c r="AG296" s="171">
        <f ca="1">SUMIFS(Покупка!AG$25:AG$150,Покупка!$F$25:$F$150,$F296,Покупка!$AC$25:$AC$150,$G296)</f>
        <v>0</v>
      </c>
      <c r="AH296" s="171">
        <f t="shared" ca="1" si="19"/>
        <v>0</v>
      </c>
      <c r="AI296" s="171">
        <f ca="1">SUMIFS(Покупка!AH$25:AH$150,Покупка!$F$25:$F$150,$F296,Покупка!$AC$25:$AC$150,$G296)</f>
        <v>0</v>
      </c>
      <c r="AJ296" s="171">
        <f ca="1">SUMIFS(Покупка!AI$25:AI$150,Покупка!$F$25:$F$150,$F296,Покупка!$AC$25:$AC$150,$G296)</f>
        <v>0</v>
      </c>
      <c r="AK296" s="171">
        <f ca="1">SUMIFS(Покупка!AS$25:AS$150,Покупка!$F$25:$F$150,$F296,Покупка!$AC$25:$AC$150,$G296)</f>
        <v>0</v>
      </c>
      <c r="AL296" s="171">
        <f t="shared" ca="1" si="20"/>
        <v>0</v>
      </c>
      <c r="AM296" s="196"/>
      <c r="AN296" s="601" t="str">
        <f ca="1">IF(IFERROR(INDEX(Покупка!$K$26:$L$150,MATCH($F296&amp;"4komm",Покупка!$K$26:$K$150,0),2),"")=0,"",IFERROR(INDEX(Покупка!$K$26:$L$150,MATCH($F296&amp;"4komm",Покупка!$K$26:$K$150,0),2),""))</f>
        <v/>
      </c>
      <c r="AO296" s="196"/>
      <c r="AR296" s="694" t="s">
        <v>1766</v>
      </c>
    </row>
    <row r="297" spans="1:48" ht="14.25" customHeight="1" x14ac:dyDescent="0.25">
      <c r="E297" s="504">
        <v>15</v>
      </c>
      <c r="F297" s="3" t="str" cm="1">
        <f t="array" aca="1" ref="F297" ca="1">OFFSET(E297,-1,1)</f>
        <v>3</v>
      </c>
      <c r="G297" s="278" t="s">
        <v>1142</v>
      </c>
      <c r="I297" s="38" t="s">
        <v>1543</v>
      </c>
      <c r="J297" s="38"/>
      <c r="K297" s="38"/>
      <c r="L297" s="38"/>
      <c r="M297" s="38"/>
      <c r="N297" s="38"/>
      <c r="O297" s="38"/>
      <c r="P297" s="38"/>
      <c r="Q297" s="38"/>
      <c r="R297" s="38"/>
      <c r="S297" s="38"/>
      <c r="T297" s="353" t="b" cm="1">
        <f t="array" ref="T297">T296</f>
        <v>1</v>
      </c>
      <c r="X297" s="1078"/>
      <c r="Z297" s="1079"/>
      <c r="AB297" s="133" t="s">
        <v>1767</v>
      </c>
      <c r="AC297" s="134" t="s">
        <v>1768</v>
      </c>
      <c r="AD297" s="9" t="s">
        <v>828</v>
      </c>
      <c r="AE297" s="171">
        <f ca="1">SUMIFS(Покупка!AE$25:AE$150,Покупка!$F$25:$F$150,$F297,Покупка!$AC$25:$AC$150,$G297)</f>
        <v>0</v>
      </c>
      <c r="AF297" s="171">
        <f ca="1">SUMIFS(Покупка!AF$25:AF$150,Покупка!$F$25:$F$150,$F297,Покупка!$AC$25:$AC$150,$G297)</f>
        <v>0</v>
      </c>
      <c r="AG297" s="171">
        <f ca="1">SUMIFS(Покупка!AG$25:AG$150,Покупка!$F$25:$F$150,$F297,Покупка!$AC$25:$AC$150,$G297)</f>
        <v>0</v>
      </c>
      <c r="AH297" s="171">
        <f t="shared" ca="1" si="19"/>
        <v>0</v>
      </c>
      <c r="AI297" s="171">
        <f ca="1">SUMIFS(Покупка!AH$25:AH$150,Покупка!$F$25:$F$150,$F297,Покупка!$AC$25:$AC$150,$G297)</f>
        <v>0</v>
      </c>
      <c r="AJ297" s="171">
        <f ca="1">SUMIFS(Покупка!AI$25:AI$150,Покупка!$F$25:$F$150,$F297,Покупка!$AC$25:$AC$150,$G297)</f>
        <v>0</v>
      </c>
      <c r="AK297" s="171">
        <f ca="1">SUMIFS(Покупка!AS$25:AS$150,Покупка!$F$25:$F$150,$F297,Покупка!$AC$25:$AC$150,$G297)</f>
        <v>0</v>
      </c>
      <c r="AL297" s="171">
        <f t="shared" ca="1" si="20"/>
        <v>0</v>
      </c>
      <c r="AM297" s="196"/>
      <c r="AN297" s="601" t="str">
        <f ca="1">IF(IFERROR(INDEX(Покупка!$K$26:$L$150,MATCH($F297&amp;"5komm",Покупка!$K$26:$K$150,0),2),"")=0,"",IFERROR(INDEX(Покупка!$K$26:$L$150,MATCH($F297&amp;"5komm",Покупка!$K$26:$K$150,0),2),""))</f>
        <v/>
      </c>
      <c r="AO297" s="196"/>
      <c r="AR297" s="694" t="s">
        <v>1769</v>
      </c>
    </row>
    <row r="298" spans="1:48" s="868" customFormat="1" ht="43.5" customHeight="1" x14ac:dyDescent="0.25">
      <c r="A298" s="423"/>
      <c r="B298" s="423"/>
      <c r="C298" s="423"/>
      <c r="D298" s="423"/>
      <c r="E298" s="505">
        <v>45</v>
      </c>
      <c r="F298" s="3" t="str" cm="1">
        <f t="array" aca="1" ref="F298" ca="1">OFFSET(E298,-1,1)</f>
        <v>3</v>
      </c>
      <c r="G298" s="423"/>
      <c r="H298" s="423"/>
      <c r="I298" s="154" t="s">
        <v>489</v>
      </c>
      <c r="J298" s="154"/>
      <c r="K298" s="154"/>
      <c r="L298" s="154"/>
      <c r="M298" s="154"/>
      <c r="N298" s="154"/>
      <c r="O298" s="154"/>
      <c r="P298" s="154"/>
      <c r="Q298" s="154"/>
      <c r="R298" s="154"/>
      <c r="S298" s="154"/>
      <c r="T298" s="353" t="b" cm="1">
        <f t="array" ref="T298">T297</f>
        <v>1</v>
      </c>
      <c r="U298" s="423"/>
      <c r="V298" s="423"/>
      <c r="W298" s="423"/>
      <c r="X298" s="1078"/>
      <c r="Y298" s="423"/>
      <c r="Z298" s="1079"/>
      <c r="AA298" s="423"/>
      <c r="AB298" s="131" t="s">
        <v>945</v>
      </c>
      <c r="AC298" s="263" t="s">
        <v>1770</v>
      </c>
      <c r="AD298" s="147" t="s">
        <v>828</v>
      </c>
      <c r="AE298" s="138"/>
      <c r="AF298" s="138"/>
      <c r="AG298" s="138"/>
      <c r="AH298" s="126">
        <f t="shared" si="19"/>
        <v>0</v>
      </c>
      <c r="AI298" s="138"/>
      <c r="AJ298" s="138"/>
      <c r="AK298" s="138"/>
      <c r="AL298" s="126">
        <f t="shared" si="20"/>
        <v>0</v>
      </c>
      <c r="AM298" s="556"/>
      <c r="AN298" s="556"/>
      <c r="AO298" s="556"/>
      <c r="AP298" s="423"/>
      <c r="AQ298" s="423"/>
      <c r="AR298" s="695" t="s">
        <v>1771</v>
      </c>
      <c r="AS298" s="695"/>
      <c r="AT298" s="695"/>
      <c r="AU298" s="505"/>
      <c r="AV298" s="505"/>
    </row>
    <row r="299" spans="1:48" s="868" customFormat="1" ht="43.5" customHeight="1" x14ac:dyDescent="0.25">
      <c r="A299" s="423"/>
      <c r="B299" s="423"/>
      <c r="C299" s="423"/>
      <c r="D299" s="423"/>
      <c r="E299" s="505">
        <v>45</v>
      </c>
      <c r="F299" s="3" t="str" cm="1">
        <f t="array" aca="1" ref="F299" ca="1">OFFSET(E299,-1,1)</f>
        <v>3</v>
      </c>
      <c r="G299" s="423"/>
      <c r="H299" s="423"/>
      <c r="I299" s="154" t="s">
        <v>493</v>
      </c>
      <c r="J299" s="154"/>
      <c r="K299" s="154"/>
      <c r="L299" s="154"/>
      <c r="M299" s="154"/>
      <c r="N299" s="154"/>
      <c r="O299" s="154"/>
      <c r="P299" s="154"/>
      <c r="Q299" s="154"/>
      <c r="R299" s="154"/>
      <c r="S299" s="154"/>
      <c r="T299" s="353" t="b" cm="1">
        <f t="array" ref="T299">T298</f>
        <v>1</v>
      </c>
      <c r="U299" s="423"/>
      <c r="V299" s="423"/>
      <c r="W299" s="423"/>
      <c r="X299" s="1078"/>
      <c r="Y299" s="423"/>
      <c r="Z299" s="1079"/>
      <c r="AA299" s="423"/>
      <c r="AB299" s="131" t="s">
        <v>948</v>
      </c>
      <c r="AC299" s="263" t="s">
        <v>1772</v>
      </c>
      <c r="AD299" s="147" t="s">
        <v>828</v>
      </c>
      <c r="AE299" s="126">
        <f ca="1">AE300+AE301</f>
        <v>0</v>
      </c>
      <c r="AF299" s="126">
        <f ca="1">AF300+AF301</f>
        <v>0</v>
      </c>
      <c r="AG299" s="126">
        <f ca="1">AG300+AG301</f>
        <v>0</v>
      </c>
      <c r="AH299" s="126">
        <f t="shared" ca="1" si="19"/>
        <v>0</v>
      </c>
      <c r="AI299" s="126">
        <f ca="1">AI300+AI301</f>
        <v>0</v>
      </c>
      <c r="AJ299" s="126">
        <f ca="1">AJ300+AJ301</f>
        <v>0</v>
      </c>
      <c r="AK299" s="126">
        <f ca="1">AK300+AK301</f>
        <v>0</v>
      </c>
      <c r="AL299" s="126">
        <f t="shared" ca="1" si="20"/>
        <v>0</v>
      </c>
      <c r="AM299" s="556"/>
      <c r="AN299" s="556"/>
      <c r="AO299" s="556"/>
      <c r="AP299" s="423"/>
      <c r="AQ299" s="423"/>
      <c r="AR299" s="695" t="s">
        <v>1773</v>
      </c>
      <c r="AS299" s="695"/>
      <c r="AT299" s="695"/>
      <c r="AU299" s="505"/>
      <c r="AV299" s="505"/>
    </row>
    <row r="300" spans="1:48" ht="14.25" customHeight="1" x14ac:dyDescent="0.25">
      <c r="E300" s="504">
        <v>15</v>
      </c>
      <c r="F300" s="3" t="str" cm="1">
        <f t="array" aca="1" ref="F300" ca="1">OFFSET(E300,-1,1)</f>
        <v>3</v>
      </c>
      <c r="G300" s="253" t="s">
        <v>1162</v>
      </c>
      <c r="I300" s="38" t="s">
        <v>1371</v>
      </c>
      <c r="J300" s="38"/>
      <c r="K300" s="38"/>
      <c r="L300" s="38"/>
      <c r="M300" s="38"/>
      <c r="N300" s="38"/>
      <c r="O300" s="38"/>
      <c r="P300" s="154"/>
      <c r="Q300" s="38"/>
      <c r="R300" s="38"/>
      <c r="S300" s="38"/>
      <c r="T300" s="353" t="b" cm="1">
        <f t="array" ref="T300">T299</f>
        <v>1</v>
      </c>
      <c r="X300" s="1078"/>
      <c r="Z300" s="1079"/>
      <c r="AB300" s="133" t="s">
        <v>1087</v>
      </c>
      <c r="AC300" s="134" t="s">
        <v>1774</v>
      </c>
      <c r="AD300" s="9" t="s">
        <v>828</v>
      </c>
      <c r="AE300" s="171">
        <f ca="1">SUMIFS(ФОТ!AE$25:AE$127,ФОТ!$F$25:$F$127,$F300,ФОТ!$G$25:$G$127,$G300)</f>
        <v>0</v>
      </c>
      <c r="AF300" s="171">
        <f ca="1">SUMIFS(ФОТ!AF$25:AF$127,ФОТ!$F$25:$F$127,$F300,ФОТ!$G$25:$G$127,$G300)</f>
        <v>0</v>
      </c>
      <c r="AG300" s="171">
        <f ca="1">SUMIFS(ФОТ!AG$25:AG$127,ФОТ!$F$25:$F$127,$F300,ФОТ!$G$25:$G$127,$G300)</f>
        <v>0</v>
      </c>
      <c r="AH300" s="171">
        <f t="shared" ca="1" si="19"/>
        <v>0</v>
      </c>
      <c r="AI300" s="171">
        <f ca="1">SUMIFS(ФОТ!AH$25:AH$127,ФОТ!$F$25:$F$127,$F300,ФОТ!$G$25:$G$127,$G300)</f>
        <v>0</v>
      </c>
      <c r="AJ300" s="171">
        <f ca="1">SUMIFS(ФОТ!AI$25:AI$127,ФОТ!$F$25:$F$127,$F300,ФОТ!$G$25:$G$127,$G300)</f>
        <v>0</v>
      </c>
      <c r="AK300" s="171">
        <f ca="1">SUMIFS(ФОТ!AJ$25:AJ$127,ФОТ!$F$25:$F$127,$F300,ФОТ!$G$25:$G$127,$G300)</f>
        <v>0</v>
      </c>
      <c r="AL300" s="171">
        <f t="shared" ca="1" si="20"/>
        <v>0</v>
      </c>
      <c r="AM300" s="196"/>
      <c r="AN300" s="601" t="str">
        <f ca="1">IF(IFERROR(INDEX(ФОТ!$K$26:$L$127,MATCH($F300&amp;"1komm",ФОТ!$K$26:$K$127,0),2),"")=0,"",IFERROR(INDEX(ФОТ!$K$26:$L$127,MATCH($F300&amp;"1komm",ФОТ!$K$26:$K$127,0),2),""))</f>
        <v/>
      </c>
      <c r="AO300" s="196"/>
      <c r="AR300" s="694" t="s">
        <v>1775</v>
      </c>
    </row>
    <row r="301" spans="1:48" ht="21.75" customHeight="1" x14ac:dyDescent="0.25">
      <c r="E301" s="504">
        <v>22.5</v>
      </c>
      <c r="F301" s="3" t="str" cm="1">
        <f t="array" aca="1" ref="F301" ca="1">OFFSET(E301,-1,1)</f>
        <v>3</v>
      </c>
      <c r="G301" s="253" t="s">
        <v>1174</v>
      </c>
      <c r="I301" s="38" t="s">
        <v>1372</v>
      </c>
      <c r="J301" s="38"/>
      <c r="K301" s="38"/>
      <c r="L301" s="38"/>
      <c r="M301" s="38"/>
      <c r="N301" s="38"/>
      <c r="O301" s="38"/>
      <c r="P301" s="154"/>
      <c r="Q301" s="38"/>
      <c r="R301" s="38"/>
      <c r="S301" s="38"/>
      <c r="T301" s="353" t="b" cm="1">
        <f t="array" ref="T301">T300</f>
        <v>1</v>
      </c>
      <c r="X301" s="1078"/>
      <c r="Z301" s="1079"/>
      <c r="AB301" s="133" t="s">
        <v>1090</v>
      </c>
      <c r="AC301" s="134" t="s">
        <v>1776</v>
      </c>
      <c r="AD301" s="9" t="s">
        <v>828</v>
      </c>
      <c r="AE301" s="171">
        <f ca="1">SUMIFS(ФОТ!AE$25:AE$127,ФОТ!$F$25:$F$127,$F301,ФОТ!$G$25:$G$127,$G301)</f>
        <v>0</v>
      </c>
      <c r="AF301" s="171">
        <f ca="1">SUMIFS(ФОТ!AF$25:AF$127,ФОТ!$F$25:$F$127,$F301,ФОТ!$G$25:$G$127,$G301)</f>
        <v>0</v>
      </c>
      <c r="AG301" s="171">
        <f ca="1">SUMIFS(ФОТ!AG$25:AG$127,ФОТ!$F$25:$F$127,$F301,ФОТ!$G$25:$G$127,$G301)</f>
        <v>0</v>
      </c>
      <c r="AH301" s="171">
        <f t="shared" ca="1" si="19"/>
        <v>0</v>
      </c>
      <c r="AI301" s="171">
        <f ca="1">SUMIFS(ФОТ!AH$25:AH$127,ФОТ!$F$25:$F$127,$F301,ФОТ!$G$25:$G$127,$G301)</f>
        <v>0</v>
      </c>
      <c r="AJ301" s="171">
        <f ca="1">SUMIFS(ФОТ!AI$25:AI$127,ФОТ!$F$25:$F$127,$F301,ФОТ!$G$25:$G$127,$G301)</f>
        <v>0</v>
      </c>
      <c r="AK301" s="171">
        <f ca="1">SUMIFS(ФОТ!AJ$25:AJ$127,ФОТ!$F$25:$F$127,$F301,ФОТ!$G$25:$G$127,$G301)</f>
        <v>0</v>
      </c>
      <c r="AL301" s="171">
        <f t="shared" ca="1" si="20"/>
        <v>0</v>
      </c>
      <c r="AM301" s="196"/>
      <c r="AN301" s="601" t="str">
        <f ca="1">IF(IFERROR(INDEX(ФОТ!$K$26:$L$127,MATCH($F301&amp;"2komm",ФОТ!$K$26:$K$127,0),2),"")=0,"",IFERROR(INDEX(ФОТ!$K$26:$L$127,MATCH($F301&amp;"2komm",ФОТ!$K$26:$K$127,0),2),""))</f>
        <v/>
      </c>
      <c r="AO301" s="196"/>
      <c r="AR301" s="694" t="s">
        <v>1777</v>
      </c>
    </row>
    <row r="302" spans="1:48" s="868" customFormat="1" ht="14.25" customHeight="1" x14ac:dyDescent="0.25">
      <c r="A302" s="423"/>
      <c r="B302" s="423"/>
      <c r="C302" s="423"/>
      <c r="D302" s="423"/>
      <c r="E302" s="505">
        <v>15</v>
      </c>
      <c r="F302" s="3" t="str" cm="1">
        <f t="array" aca="1" ref="F302" ca="1">OFFSET(E302,-1,1)</f>
        <v>3</v>
      </c>
      <c r="G302" s="423"/>
      <c r="H302" s="423"/>
      <c r="I302" s="154" t="s">
        <v>951</v>
      </c>
      <c r="J302" s="154"/>
      <c r="K302" s="154"/>
      <c r="L302" s="154"/>
      <c r="M302" s="154"/>
      <c r="N302" s="154"/>
      <c r="O302" s="154"/>
      <c r="P302" s="154"/>
      <c r="Q302" s="154"/>
      <c r="R302" s="154"/>
      <c r="S302" s="154"/>
      <c r="T302" s="353" t="b" cm="1">
        <f t="array" ref="T302">T301</f>
        <v>1</v>
      </c>
      <c r="U302" s="423"/>
      <c r="V302" s="423"/>
      <c r="W302" s="423"/>
      <c r="X302" s="1078"/>
      <c r="Y302" s="423"/>
      <c r="Z302" s="1079"/>
      <c r="AA302" s="423"/>
      <c r="AB302" s="131" t="s">
        <v>952</v>
      </c>
      <c r="AC302" s="263" t="s">
        <v>1778</v>
      </c>
      <c r="AD302" s="147" t="s">
        <v>828</v>
      </c>
      <c r="AE302" s="138"/>
      <c r="AF302" s="138"/>
      <c r="AG302" s="138"/>
      <c r="AH302" s="126">
        <f t="shared" si="19"/>
        <v>0</v>
      </c>
      <c r="AI302" s="138"/>
      <c r="AJ302" s="138"/>
      <c r="AK302" s="138"/>
      <c r="AL302" s="126">
        <f t="shared" si="20"/>
        <v>0</v>
      </c>
      <c r="AM302" s="556"/>
      <c r="AN302" s="556"/>
      <c r="AO302" s="556"/>
      <c r="AP302" s="423"/>
      <c r="AQ302" s="423"/>
      <c r="AR302" s="695" t="s">
        <v>1350</v>
      </c>
      <c r="AS302" s="695"/>
      <c r="AT302" s="695"/>
      <c r="AU302" s="505"/>
      <c r="AV302" s="505"/>
    </row>
    <row r="303" spans="1:48" s="868" customFormat="1" ht="14.25" customHeight="1" x14ac:dyDescent="0.25">
      <c r="A303" s="423"/>
      <c r="B303" s="423"/>
      <c r="C303" s="423"/>
      <c r="D303" s="423"/>
      <c r="E303" s="505">
        <v>15</v>
      </c>
      <c r="F303" s="3" t="str" cm="1">
        <f t="array" aca="1" ref="F303" ca="1">OFFSET(E303,-1,1)</f>
        <v>3</v>
      </c>
      <c r="G303" s="423"/>
      <c r="H303" s="423"/>
      <c r="I303" s="154" t="s">
        <v>1779</v>
      </c>
      <c r="J303" s="154"/>
      <c r="K303" s="154"/>
      <c r="L303" s="154"/>
      <c r="M303" s="154"/>
      <c r="N303" s="154"/>
      <c r="O303" s="154"/>
      <c r="P303" s="154"/>
      <c r="Q303" s="154"/>
      <c r="R303" s="154"/>
      <c r="S303" s="154"/>
      <c r="T303" s="353" t="b" cm="1">
        <f t="array" ref="T303">T302</f>
        <v>1</v>
      </c>
      <c r="U303" s="423"/>
      <c r="V303" s="423"/>
      <c r="W303" s="423"/>
      <c r="X303" s="1078"/>
      <c r="Y303" s="423"/>
      <c r="Z303" s="1079"/>
      <c r="AA303" s="423"/>
      <c r="AB303" s="131" t="s">
        <v>1780</v>
      </c>
      <c r="AC303" s="263" t="s">
        <v>1781</v>
      </c>
      <c r="AD303" s="147" t="s">
        <v>828</v>
      </c>
      <c r="AE303" s="138"/>
      <c r="AF303" s="138"/>
      <c r="AG303" s="138"/>
      <c r="AH303" s="126">
        <f t="shared" si="19"/>
        <v>0</v>
      </c>
      <c r="AI303" s="138"/>
      <c r="AJ303" s="138"/>
      <c r="AK303" s="138"/>
      <c r="AL303" s="126">
        <f t="shared" si="20"/>
        <v>0</v>
      </c>
      <c r="AM303" s="556"/>
      <c r="AN303" s="556"/>
      <c r="AO303" s="556"/>
      <c r="AP303" s="423"/>
      <c r="AQ303" s="423"/>
      <c r="AR303" s="695" t="s">
        <v>1782</v>
      </c>
      <c r="AS303" s="695"/>
      <c r="AT303" s="695"/>
      <c r="AU303" s="505"/>
      <c r="AV303" s="505"/>
    </row>
    <row r="304" spans="1:48" s="868" customFormat="1" ht="14.25" customHeight="1" x14ac:dyDescent="0.25">
      <c r="A304" s="423"/>
      <c r="B304" s="423"/>
      <c r="C304" s="423"/>
      <c r="D304" s="423"/>
      <c r="E304" s="505">
        <v>15</v>
      </c>
      <c r="F304" s="3" t="str" cm="1">
        <f t="array" aca="1" ref="F304" ca="1">OFFSET(E304,-1,1)</f>
        <v>3</v>
      </c>
      <c r="G304" s="423"/>
      <c r="H304" s="423"/>
      <c r="I304" s="154" t="s">
        <v>1783</v>
      </c>
      <c r="J304" s="154"/>
      <c r="K304" s="154"/>
      <c r="L304" s="154"/>
      <c r="M304" s="154"/>
      <c r="N304" s="154"/>
      <c r="O304" s="154"/>
      <c r="P304" s="154"/>
      <c r="Q304" s="154"/>
      <c r="R304" s="154"/>
      <c r="S304" s="154"/>
      <c r="T304" s="353" t="b" cm="1">
        <f t="array" ref="T304">T303</f>
        <v>1</v>
      </c>
      <c r="U304" s="423"/>
      <c r="V304" s="423"/>
      <c r="W304" s="423"/>
      <c r="X304" s="1078"/>
      <c r="Y304" s="423"/>
      <c r="Z304" s="1079"/>
      <c r="AA304" s="423"/>
      <c r="AB304" s="131" t="s">
        <v>1784</v>
      </c>
      <c r="AC304" s="263" t="s">
        <v>1785</v>
      </c>
      <c r="AD304" s="147" t="s">
        <v>828</v>
      </c>
      <c r="AE304" s="126">
        <f>SUM(AE305:AE310)</f>
        <v>0</v>
      </c>
      <c r="AF304" s="126">
        <f>SUM(AF305:AF310)</f>
        <v>0</v>
      </c>
      <c r="AG304" s="126">
        <f>SUM(AG305:AG310)</f>
        <v>0</v>
      </c>
      <c r="AH304" s="126">
        <f t="shared" si="19"/>
        <v>0</v>
      </c>
      <c r="AI304" s="126">
        <f>SUM(AI305:AI310)</f>
        <v>0</v>
      </c>
      <c r="AJ304" s="126">
        <f>SUM(AJ305:AJ310)</f>
        <v>0</v>
      </c>
      <c r="AK304" s="126">
        <f>SUM(AK305:AK310)</f>
        <v>0</v>
      </c>
      <c r="AL304" s="126">
        <f t="shared" si="20"/>
        <v>0</v>
      </c>
      <c r="AM304" s="556"/>
      <c r="AN304" s="556"/>
      <c r="AO304" s="556"/>
      <c r="AP304" s="423"/>
      <c r="AQ304" s="423"/>
      <c r="AR304" s="695" t="s">
        <v>1786</v>
      </c>
      <c r="AS304" s="695"/>
      <c r="AT304" s="695"/>
      <c r="AU304" s="505"/>
      <c r="AV304" s="505"/>
    </row>
    <row r="305" spans="1:48" ht="14.25" customHeight="1" x14ac:dyDescent="0.25">
      <c r="E305" s="504">
        <v>15</v>
      </c>
      <c r="F305" s="3" t="str" cm="1">
        <f t="array" aca="1" ref="F305" ca="1">OFFSET(E305,-1,1)</f>
        <v>3</v>
      </c>
      <c r="I305" s="38" t="s">
        <v>1783</v>
      </c>
      <c r="J305" s="278" t="s">
        <v>1787</v>
      </c>
      <c r="L305" s="38"/>
      <c r="M305" s="38"/>
      <c r="N305" s="38"/>
      <c r="O305" s="38"/>
      <c r="P305" s="38"/>
      <c r="Q305" s="38"/>
      <c r="R305" s="38"/>
      <c r="S305" s="38"/>
      <c r="T305" s="353" t="b" cm="1">
        <f t="array" ref="T305">T304</f>
        <v>1</v>
      </c>
      <c r="X305" s="1078"/>
      <c r="Z305" s="1079"/>
      <c r="AB305" s="133" t="s">
        <v>1788</v>
      </c>
      <c r="AC305" s="134" t="s">
        <v>1789</v>
      </c>
      <c r="AD305" s="9" t="s">
        <v>828</v>
      </c>
      <c r="AE305" s="128"/>
      <c r="AF305" s="128"/>
      <c r="AG305" s="128"/>
      <c r="AH305" s="171">
        <f t="shared" si="19"/>
        <v>0</v>
      </c>
      <c r="AI305" s="128"/>
      <c r="AJ305" s="128"/>
      <c r="AK305" s="128"/>
      <c r="AL305" s="171">
        <f t="shared" si="20"/>
        <v>0</v>
      </c>
      <c r="AM305" s="196"/>
      <c r="AN305" s="196"/>
      <c r="AO305" s="196"/>
      <c r="AR305" s="694" t="s">
        <v>1790</v>
      </c>
    </row>
    <row r="306" spans="1:48" ht="14.25" customHeight="1" x14ac:dyDescent="0.25">
      <c r="E306" s="504">
        <v>15</v>
      </c>
      <c r="F306" s="3" t="str" cm="1">
        <f t="array" aca="1" ref="F306" ca="1">OFFSET(E306,-1,1)</f>
        <v>3</v>
      </c>
      <c r="I306" s="38" t="s">
        <v>1783</v>
      </c>
      <c r="J306" s="278" t="s">
        <v>1791</v>
      </c>
      <c r="L306" s="38"/>
      <c r="M306" s="38"/>
      <c r="N306" s="38"/>
      <c r="O306" s="38"/>
      <c r="P306" s="38"/>
      <c r="Q306" s="38"/>
      <c r="R306" s="38"/>
      <c r="S306" s="38"/>
      <c r="T306" s="353" t="b" cm="1">
        <f t="array" ref="T306">T305</f>
        <v>1</v>
      </c>
      <c r="X306" s="1078"/>
      <c r="Z306" s="1079"/>
      <c r="AB306" s="133" t="s">
        <v>1792</v>
      </c>
      <c r="AC306" s="134" t="s">
        <v>1793</v>
      </c>
      <c r="AD306" s="9" t="s">
        <v>828</v>
      </c>
      <c r="AE306" s="128"/>
      <c r="AF306" s="128"/>
      <c r="AG306" s="128"/>
      <c r="AH306" s="171">
        <f t="shared" si="19"/>
        <v>0</v>
      </c>
      <c r="AI306" s="128"/>
      <c r="AJ306" s="128"/>
      <c r="AK306" s="128"/>
      <c r="AL306" s="171">
        <f t="shared" si="20"/>
        <v>0</v>
      </c>
      <c r="AM306" s="196"/>
      <c r="AN306" s="196"/>
      <c r="AO306" s="196"/>
      <c r="AR306" s="694" t="s">
        <v>1794</v>
      </c>
    </row>
    <row r="307" spans="1:48" ht="14.25" customHeight="1" x14ac:dyDescent="0.25">
      <c r="E307" s="504">
        <v>15</v>
      </c>
      <c r="F307" s="3" t="str" cm="1">
        <f t="array" aca="1" ref="F307" ca="1">OFFSET(E307,-1,1)</f>
        <v>3</v>
      </c>
      <c r="I307" s="38" t="s">
        <v>1783</v>
      </c>
      <c r="J307" s="278" t="s">
        <v>1795</v>
      </c>
      <c r="L307" s="38"/>
      <c r="M307" s="38"/>
      <c r="N307" s="38"/>
      <c r="O307" s="38"/>
      <c r="P307" s="38"/>
      <c r="Q307" s="38"/>
      <c r="R307" s="38"/>
      <c r="S307" s="38"/>
      <c r="T307" s="353" t="b" cm="1">
        <f t="array" ref="T307">T306</f>
        <v>1</v>
      </c>
      <c r="X307" s="1078"/>
      <c r="Z307" s="1079"/>
      <c r="AB307" s="133" t="s">
        <v>1796</v>
      </c>
      <c r="AC307" s="134" t="s">
        <v>1797</v>
      </c>
      <c r="AD307" s="9" t="s">
        <v>828</v>
      </c>
      <c r="AE307" s="128"/>
      <c r="AF307" s="128"/>
      <c r="AG307" s="128"/>
      <c r="AH307" s="171">
        <f t="shared" si="19"/>
        <v>0</v>
      </c>
      <c r="AI307" s="128"/>
      <c r="AJ307" s="128"/>
      <c r="AK307" s="128"/>
      <c r="AL307" s="171">
        <f t="shared" si="20"/>
        <v>0</v>
      </c>
      <c r="AM307" s="196"/>
      <c r="AN307" s="196"/>
      <c r="AO307" s="196"/>
      <c r="AR307" s="694" t="s">
        <v>1798</v>
      </c>
    </row>
    <row r="308" spans="1:48" ht="14.25" customHeight="1" x14ac:dyDescent="0.25">
      <c r="E308" s="504">
        <v>15</v>
      </c>
      <c r="F308" s="3" t="str" cm="1">
        <f t="array" aca="1" ref="F308" ca="1">OFFSET(E308,-1,1)</f>
        <v>3</v>
      </c>
      <c r="I308" s="38" t="s">
        <v>1783</v>
      </c>
      <c r="J308" s="278" t="s">
        <v>1799</v>
      </c>
      <c r="L308" s="38"/>
      <c r="M308" s="38"/>
      <c r="N308" s="38"/>
      <c r="O308" s="38"/>
      <c r="P308" s="38"/>
      <c r="Q308" s="38"/>
      <c r="R308" s="38"/>
      <c r="S308" s="38"/>
      <c r="T308" s="353" t="b" cm="1">
        <f t="array" ref="T308">T307</f>
        <v>1</v>
      </c>
      <c r="X308" s="1078"/>
      <c r="Z308" s="1079"/>
      <c r="AB308" s="133" t="s">
        <v>1800</v>
      </c>
      <c r="AC308" s="134" t="s">
        <v>1801</v>
      </c>
      <c r="AD308" s="9" t="s">
        <v>828</v>
      </c>
      <c r="AE308" s="128"/>
      <c r="AF308" s="128"/>
      <c r="AG308" s="128"/>
      <c r="AH308" s="171">
        <f t="shared" si="19"/>
        <v>0</v>
      </c>
      <c r="AI308" s="128"/>
      <c r="AJ308" s="128"/>
      <c r="AK308" s="128"/>
      <c r="AL308" s="171">
        <f t="shared" si="20"/>
        <v>0</v>
      </c>
      <c r="AM308" s="196"/>
      <c r="AN308" s="196"/>
      <c r="AO308" s="196"/>
      <c r="AR308" s="694" t="s">
        <v>1802</v>
      </c>
    </row>
    <row r="309" spans="1:48" ht="14.25" hidden="1" customHeight="1" x14ac:dyDescent="0.25">
      <c r="E309" s="504">
        <v>15</v>
      </c>
      <c r="F309" s="3" t="str" cm="1">
        <f t="array" aca="1" ref="F309" ca="1">OFFSET(E309,-1,1)</f>
        <v>3</v>
      </c>
      <c r="I309" s="38" t="s">
        <v>1783</v>
      </c>
      <c r="J309" s="278" cm="1">
        <f t="array" ref="J309">AC309</f>
        <v>0</v>
      </c>
      <c r="L309" s="38"/>
      <c r="M309" s="38"/>
      <c r="N309" s="38"/>
      <c r="O309" s="38"/>
      <c r="P309" s="38"/>
      <c r="Q309" s="38"/>
      <c r="R309" s="38"/>
      <c r="S309" s="38"/>
      <c r="T309" s="353" t="b">
        <f ca="1">AND(F309&gt;0,Y309&gt;4)</f>
        <v>0</v>
      </c>
      <c r="W309" s="517" t="s">
        <v>172</v>
      </c>
      <c r="X309" s="1078"/>
      <c r="Y309" s="278">
        <v>4</v>
      </c>
      <c r="Z309" s="1079"/>
      <c r="AA309" s="482" t="s">
        <v>173</v>
      </c>
      <c r="AB309" s="500" t="str">
        <f>"1.7."&amp;Y309</f>
        <v>1.7.4</v>
      </c>
      <c r="AC309" s="780"/>
      <c r="AD309" s="9" t="s">
        <v>828</v>
      </c>
      <c r="AE309" s="128"/>
      <c r="AF309" s="128"/>
      <c r="AG309" s="128"/>
      <c r="AH309" s="171">
        <f t="shared" si="19"/>
        <v>0</v>
      </c>
      <c r="AI309" s="128"/>
      <c r="AJ309" s="778"/>
      <c r="AK309" s="778"/>
      <c r="AL309" s="171">
        <f t="shared" si="20"/>
        <v>0</v>
      </c>
      <c r="AM309" s="775"/>
      <c r="AN309" s="775"/>
      <c r="AO309" s="775"/>
      <c r="AR309" s="694" t="s">
        <v>1803</v>
      </c>
      <c r="AS309" s="694" t="s">
        <v>1804</v>
      </c>
      <c r="AT309" s="694" cm="1">
        <f t="array" ref="AT309">AC309</f>
        <v>0</v>
      </c>
      <c r="AV309" s="504" t="b">
        <v>1</v>
      </c>
    </row>
    <row r="310" spans="1:48" ht="14.25" customHeight="1" x14ac:dyDescent="0.25">
      <c r="E310" s="504">
        <v>15</v>
      </c>
      <c r="F310" s="3" t="str" cm="1">
        <f t="array" aca="1" ref="F310" ca="1">OFFSET(E310,-1,1)</f>
        <v>3</v>
      </c>
      <c r="I310" s="17"/>
      <c r="J310" s="17" t="s">
        <v>1805</v>
      </c>
      <c r="K310" s="17"/>
      <c r="L310" s="17"/>
      <c r="M310" s="17"/>
      <c r="N310" s="17"/>
      <c r="O310" s="17"/>
      <c r="P310" s="17"/>
      <c r="Q310" s="17"/>
      <c r="R310" s="17"/>
      <c r="S310" s="17"/>
      <c r="T310" s="353" t="b">
        <f ca="1">F310&gt;0</f>
        <v>1</v>
      </c>
      <c r="W310" s="506" t="s">
        <v>397</v>
      </c>
      <c r="X310" s="1078"/>
      <c r="Z310" s="1079"/>
      <c r="AB310" s="546"/>
      <c r="AC310" s="172" t="s">
        <v>176</v>
      </c>
      <c r="AD310" s="547"/>
      <c r="AE310" s="547"/>
      <c r="AF310" s="547"/>
      <c r="AG310" s="547"/>
      <c r="AH310" s="547"/>
      <c r="AI310" s="547"/>
      <c r="AJ310" s="547"/>
      <c r="AK310" s="547"/>
      <c r="AL310" s="547"/>
      <c r="AM310" s="547"/>
      <c r="AN310" s="547"/>
      <c r="AO310" s="548"/>
      <c r="AU310" s="504" t="s">
        <v>1804</v>
      </c>
    </row>
    <row r="311" spans="1:48" s="868" customFormat="1" ht="14.25" customHeight="1" x14ac:dyDescent="0.25">
      <c r="A311" s="423"/>
      <c r="B311" s="423"/>
      <c r="C311" s="423"/>
      <c r="D311" s="423"/>
      <c r="E311" s="505">
        <v>15</v>
      </c>
      <c r="F311" s="3" t="str" cm="1">
        <f t="array" aca="1" ref="F311" ca="1">OFFSET(E311,-1,1)</f>
        <v>3</v>
      </c>
      <c r="G311" s="423"/>
      <c r="H311" s="423"/>
      <c r="I311" s="154" t="s">
        <v>332</v>
      </c>
      <c r="J311" s="154"/>
      <c r="K311" s="154"/>
      <c r="L311" s="154"/>
      <c r="M311" s="154"/>
      <c r="N311" s="154"/>
      <c r="O311" s="154"/>
      <c r="P311" s="154"/>
      <c r="Q311" s="154"/>
      <c r="R311" s="154"/>
      <c r="S311" s="154"/>
      <c r="T311" s="353" t="b" cm="1">
        <f t="array" aca="1" ref="T311" ca="1">T310</f>
        <v>1</v>
      </c>
      <c r="U311" s="423"/>
      <c r="V311" s="423"/>
      <c r="W311" s="423"/>
      <c r="X311" s="1078"/>
      <c r="Y311" s="423"/>
      <c r="Z311" s="1079"/>
      <c r="AA311" s="423"/>
      <c r="AB311" s="131" t="s">
        <v>285</v>
      </c>
      <c r="AC311" s="132" t="s">
        <v>1806</v>
      </c>
      <c r="AD311" s="124" t="s">
        <v>828</v>
      </c>
      <c r="AE311" s="126">
        <f ca="1">AE312+AE313</f>
        <v>0</v>
      </c>
      <c r="AF311" s="126">
        <f ca="1">AF312+AF313</f>
        <v>0</v>
      </c>
      <c r="AG311" s="126">
        <f ca="1">AG312+AG313</f>
        <v>0</v>
      </c>
      <c r="AH311" s="126">
        <f t="shared" ref="AH311:AH336" ca="1" si="21">AG311-AF311</f>
        <v>0</v>
      </c>
      <c r="AI311" s="126">
        <f ca="1">AI312+AI313</f>
        <v>0</v>
      </c>
      <c r="AJ311" s="126">
        <f ca="1">AJ312+AJ313</f>
        <v>0</v>
      </c>
      <c r="AK311" s="126">
        <f ca="1">AK312+AK313</f>
        <v>0</v>
      </c>
      <c r="AL311" s="126">
        <f t="shared" ref="AL311:AL350" ca="1" si="22">IF(AI311=0,0,(AK311-AI311)/AI311*100)</f>
        <v>0</v>
      </c>
      <c r="AM311" s="556"/>
      <c r="AN311" s="556"/>
      <c r="AO311" s="556"/>
      <c r="AP311" s="423"/>
      <c r="AQ311" s="423"/>
      <c r="AR311" s="695" t="s">
        <v>1807</v>
      </c>
      <c r="AS311" s="695"/>
      <c r="AT311" s="695"/>
      <c r="AU311" s="505"/>
      <c r="AV311" s="505"/>
    </row>
    <row r="312" spans="1:48" ht="32.25" customHeight="1" x14ac:dyDescent="0.25">
      <c r="E312" s="504">
        <v>33.75</v>
      </c>
      <c r="F312" s="3" t="str" cm="1">
        <f t="array" aca="1" ref="F312" ca="1">OFFSET(E312,-1,1)</f>
        <v>3</v>
      </c>
      <c r="I312" s="38" t="s">
        <v>500</v>
      </c>
      <c r="J312" s="38"/>
      <c r="K312" s="38"/>
      <c r="L312" s="38"/>
      <c r="M312" s="38"/>
      <c r="N312" s="38"/>
      <c r="O312" s="38"/>
      <c r="P312" s="38"/>
      <c r="Q312" s="38"/>
      <c r="R312" s="38"/>
      <c r="S312" s="38"/>
      <c r="T312" s="353" t="b" cm="1">
        <f t="array" aca="1" ref="T312" ca="1">T311</f>
        <v>1</v>
      </c>
      <c r="X312" s="1078"/>
      <c r="Z312" s="1079"/>
      <c r="AB312" s="133" t="s">
        <v>561</v>
      </c>
      <c r="AC312" s="127" t="s">
        <v>1808</v>
      </c>
      <c r="AD312" s="7" t="s">
        <v>828</v>
      </c>
      <c r="AE312" s="128"/>
      <c r="AF312" s="128"/>
      <c r="AG312" s="128"/>
      <c r="AH312" s="171">
        <f t="shared" si="21"/>
        <v>0</v>
      </c>
      <c r="AI312" s="128"/>
      <c r="AJ312" s="128"/>
      <c r="AK312" s="128"/>
      <c r="AL312" s="171">
        <f t="shared" si="22"/>
        <v>0</v>
      </c>
      <c r="AM312" s="196"/>
      <c r="AN312" s="196"/>
      <c r="AO312" s="196"/>
      <c r="AR312" s="694" t="s">
        <v>1809</v>
      </c>
    </row>
    <row r="313" spans="1:48" ht="34.5" customHeight="1" x14ac:dyDescent="0.25">
      <c r="E313" s="504">
        <v>36</v>
      </c>
      <c r="F313" s="3" t="str" cm="1">
        <f t="array" aca="1" ref="F313" ca="1">OFFSET(E313,-1,1)</f>
        <v>3</v>
      </c>
      <c r="I313" s="38" t="s">
        <v>503</v>
      </c>
      <c r="J313" s="38"/>
      <c r="K313" s="38"/>
      <c r="L313" s="38"/>
      <c r="M313" s="38"/>
      <c r="N313" s="38"/>
      <c r="O313" s="38"/>
      <c r="P313" s="38"/>
      <c r="Q313" s="38"/>
      <c r="R313" s="38"/>
      <c r="S313" s="38"/>
      <c r="T313" s="353" t="b" cm="1">
        <f t="array" aca="1" ref="T313" ca="1">T312</f>
        <v>1</v>
      </c>
      <c r="X313" s="1078"/>
      <c r="Z313" s="1079"/>
      <c r="AB313" s="133" t="s">
        <v>565</v>
      </c>
      <c r="AC313" s="127" t="s">
        <v>1810</v>
      </c>
      <c r="AD313" s="7" t="s">
        <v>828</v>
      </c>
      <c r="AE313" s="171">
        <f ca="1">AE314+AE315</f>
        <v>0</v>
      </c>
      <c r="AF313" s="171">
        <f ca="1">AF314+AF315</f>
        <v>0</v>
      </c>
      <c r="AG313" s="171">
        <f ca="1">AG314+AG315</f>
        <v>0</v>
      </c>
      <c r="AH313" s="171">
        <f t="shared" ca="1" si="21"/>
        <v>0</v>
      </c>
      <c r="AI313" s="171">
        <f ca="1">AI314+AI315</f>
        <v>0</v>
      </c>
      <c r="AJ313" s="171">
        <f ca="1">AJ314+AJ315</f>
        <v>0</v>
      </c>
      <c r="AK313" s="171">
        <f ca="1">AK314+AK315</f>
        <v>0</v>
      </c>
      <c r="AL313" s="171">
        <f t="shared" ca="1" si="22"/>
        <v>0</v>
      </c>
      <c r="AM313" s="196"/>
      <c r="AN313" s="196"/>
      <c r="AO313" s="196"/>
      <c r="AR313" s="694" t="s">
        <v>1811</v>
      </c>
    </row>
    <row r="314" spans="1:48" ht="14.25" customHeight="1" x14ac:dyDescent="0.25">
      <c r="E314" s="504">
        <v>15</v>
      </c>
      <c r="F314" s="3" t="str" cm="1">
        <f t="array" aca="1" ref="F314" ca="1">OFFSET(E314,-1,1)</f>
        <v>3</v>
      </c>
      <c r="G314" s="278" t="s">
        <v>1177</v>
      </c>
      <c r="I314" s="38" t="s">
        <v>1812</v>
      </c>
      <c r="J314" s="38"/>
      <c r="K314" s="38"/>
      <c r="L314" s="38"/>
      <c r="M314" s="38"/>
      <c r="N314" s="38"/>
      <c r="O314" s="38"/>
      <c r="P314" s="38"/>
      <c r="Q314" s="38"/>
      <c r="R314" s="38"/>
      <c r="S314" s="38"/>
      <c r="T314" s="353" t="b" cm="1">
        <f t="array" aca="1" ref="T314" ca="1">T313</f>
        <v>1</v>
      </c>
      <c r="X314" s="1078"/>
      <c r="Z314" s="1079"/>
      <c r="AB314" s="133" t="s">
        <v>514</v>
      </c>
      <c r="AC314" s="134" t="s">
        <v>1813</v>
      </c>
      <c r="AD314" s="7" t="s">
        <v>828</v>
      </c>
      <c r="AE314" s="171">
        <f ca="1">SUMIFS(ФОТ!AE$25:AE$127,ФОТ!$F$25:$F$127,$F314,ФОТ!$G$25:$G$127,$G314)</f>
        <v>0</v>
      </c>
      <c r="AF314" s="171">
        <f ca="1">SUMIFS(ФОТ!AF$25:AF$127,ФОТ!$F$25:$F$127,$F314,ФОТ!$G$25:$G$127,$G314)</f>
        <v>0</v>
      </c>
      <c r="AG314" s="171">
        <f ca="1">SUMIFS(ФОТ!AG$25:AG$127,ФОТ!$F$25:$F$127,$F314,ФОТ!$G$25:$G$127,$G314)</f>
        <v>0</v>
      </c>
      <c r="AH314" s="171">
        <f t="shared" ca="1" si="21"/>
        <v>0</v>
      </c>
      <c r="AI314" s="171">
        <f ca="1">SUMIFS(ФОТ!AH$25:AH$127,ФОТ!$F$25:$F$127,$F314,ФОТ!$G$25:$G$127,$G314)</f>
        <v>0</v>
      </c>
      <c r="AJ314" s="171">
        <f ca="1">SUMIFS(ФОТ!AI$25:AI$127,ФОТ!$F$25:$F$127,$F314,ФОТ!$G$25:$G$127,$G314)</f>
        <v>0</v>
      </c>
      <c r="AK314" s="171">
        <f ca="1">SUMIFS(ФОТ!AJ$25:AJ$127,ФОТ!$F$25:$F$127,$F314,ФОТ!$G$25:$G$127,$G314)</f>
        <v>0</v>
      </c>
      <c r="AL314" s="171">
        <f t="shared" ca="1" si="22"/>
        <v>0</v>
      </c>
      <c r="AM314" s="196"/>
      <c r="AN314" s="601" t="str">
        <f ca="1">IF(IFERROR(INDEX(ФОТ!$K$26:$L$127,MATCH($F314&amp;"3komm",ФОТ!$K$26:$K$127,0),2),"")=0,"",IFERROR(INDEX(ФОТ!$K$26:$L$127,MATCH($F314&amp;"3komm",ФОТ!$K$26:$K$127,0),2),""))</f>
        <v/>
      </c>
      <c r="AO314" s="196"/>
      <c r="AR314" s="694" t="s">
        <v>1814</v>
      </c>
    </row>
    <row r="315" spans="1:48" ht="21.75" customHeight="1" x14ac:dyDescent="0.25">
      <c r="E315" s="504">
        <v>22.5</v>
      </c>
      <c r="F315" s="3" t="str" cm="1">
        <f t="array" aca="1" ref="F315" ca="1">OFFSET(E315,-1,1)</f>
        <v>3</v>
      </c>
      <c r="G315" s="278" t="s">
        <v>1182</v>
      </c>
      <c r="I315" s="38" t="s">
        <v>1815</v>
      </c>
      <c r="J315" s="38"/>
      <c r="K315" s="38"/>
      <c r="L315" s="38"/>
      <c r="M315" s="38"/>
      <c r="N315" s="38"/>
      <c r="O315" s="38"/>
      <c r="P315" s="38"/>
      <c r="Q315" s="38"/>
      <c r="R315" s="38"/>
      <c r="S315" s="38"/>
      <c r="T315" s="353" t="b" cm="1">
        <f t="array" aca="1" ref="T315" ca="1">T314</f>
        <v>1</v>
      </c>
      <c r="X315" s="1078"/>
      <c r="Z315" s="1079"/>
      <c r="AB315" s="133" t="s">
        <v>1446</v>
      </c>
      <c r="AC315" s="134" t="s">
        <v>1816</v>
      </c>
      <c r="AD315" s="7" t="s">
        <v>828</v>
      </c>
      <c r="AE315" s="171">
        <f ca="1">SUMIFS(ФОТ!AE$25:AE$127,ФОТ!$F$25:$F$127,$F315,ФОТ!$G$25:$G$127,$G315)</f>
        <v>0</v>
      </c>
      <c r="AF315" s="171">
        <f ca="1">SUMIFS(ФОТ!AF$25:AF$127,ФОТ!$F$25:$F$127,$F315,ФОТ!$G$25:$G$127,$G315)</f>
        <v>0</v>
      </c>
      <c r="AG315" s="171">
        <f ca="1">SUMIFS(ФОТ!AG$25:AG$127,ФОТ!$F$25:$F$127,$F315,ФОТ!$G$25:$G$127,$G315)</f>
        <v>0</v>
      </c>
      <c r="AH315" s="171">
        <f t="shared" ca="1" si="21"/>
        <v>0</v>
      </c>
      <c r="AI315" s="171">
        <f ca="1">SUMIFS(ФОТ!AH$25:AH$127,ФОТ!$F$25:$F$127,$F315,ФОТ!$G$25:$G$127,$G315)</f>
        <v>0</v>
      </c>
      <c r="AJ315" s="171">
        <f ca="1">SUMIFS(ФОТ!AI$25:AI$127,ФОТ!$F$25:$F$127,$F315,ФОТ!$G$25:$G$127,$G315)</f>
        <v>0</v>
      </c>
      <c r="AK315" s="171">
        <f ca="1">SUMIFS(ФОТ!AJ$25:AJ$127,ФОТ!$F$25:$F$127,$F315,ФОТ!$G$25:$G$127,$G315)</f>
        <v>0</v>
      </c>
      <c r="AL315" s="171">
        <f t="shared" ca="1" si="22"/>
        <v>0</v>
      </c>
      <c r="AM315" s="196"/>
      <c r="AN315" s="601" t="str">
        <f ca="1">IF(IFERROR(INDEX(ФОТ!$K$26:$L$127,MATCH($F315&amp;"4komm",ФОТ!$K$26:$K$127,0),2),"")=0,"",IFERROR(INDEX(ФОТ!$K$26:$L$127,MATCH($F315&amp;"4komm",ФОТ!$K$26:$K$127,0),2),""))</f>
        <v/>
      </c>
      <c r="AO315" s="196"/>
      <c r="AR315" s="694" t="s">
        <v>1817</v>
      </c>
    </row>
    <row r="316" spans="1:48" s="868" customFormat="1" ht="14.25" customHeight="1" x14ac:dyDescent="0.25">
      <c r="A316" s="423"/>
      <c r="B316" s="423"/>
      <c r="C316" s="423"/>
      <c r="D316" s="423"/>
      <c r="E316" s="505">
        <v>15</v>
      </c>
      <c r="F316" s="3" t="str" cm="1">
        <f t="array" aca="1" ref="F316" ca="1">OFFSET(E316,-1,1)</f>
        <v>3</v>
      </c>
      <c r="G316" s="423"/>
      <c r="H316" s="423"/>
      <c r="I316" s="154" t="s">
        <v>333</v>
      </c>
      <c r="J316" s="154"/>
      <c r="K316" s="154"/>
      <c r="L316" s="154"/>
      <c r="M316" s="154"/>
      <c r="N316" s="154"/>
      <c r="O316" s="154"/>
      <c r="P316" s="154"/>
      <c r="Q316" s="154"/>
      <c r="R316" s="154"/>
      <c r="S316" s="154"/>
      <c r="T316" s="353" t="b" cm="1">
        <f t="array" aca="1" ref="T316" ca="1">T315</f>
        <v>1</v>
      </c>
      <c r="U316" s="423"/>
      <c r="V316" s="423"/>
      <c r="W316" s="423"/>
      <c r="X316" s="1078"/>
      <c r="Y316" s="423"/>
      <c r="Z316" s="1079"/>
      <c r="AA316" s="423"/>
      <c r="AB316" s="131" t="s">
        <v>291</v>
      </c>
      <c r="AC316" s="132" t="s">
        <v>1818</v>
      </c>
      <c r="AD316" s="124" t="s">
        <v>828</v>
      </c>
      <c r="AE316" s="126">
        <f ca="1">AE317+AE318+AE321+AE322+AE323+AE324+AE325</f>
        <v>0</v>
      </c>
      <c r="AF316" s="126">
        <f ca="1">AF317+AF318+AF321+AF322+AF323+AF324+AF325</f>
        <v>0</v>
      </c>
      <c r="AG316" s="126">
        <f ca="1">AG317+AG318+AG321+AG322+AG323+AG324+AG325</f>
        <v>0</v>
      </c>
      <c r="AH316" s="126">
        <f t="shared" ca="1" si="21"/>
        <v>0</v>
      </c>
      <c r="AI316" s="126">
        <f ca="1">AI317+AI318+AI321+AI322+AI323+AI324+AI325</f>
        <v>0</v>
      </c>
      <c r="AJ316" s="126">
        <f ca="1">AJ317+AJ318+AJ321+AJ322+AJ323+AJ324+AJ325</f>
        <v>0</v>
      </c>
      <c r="AK316" s="126">
        <f ca="1">AK317+AK318+AK321+AK322+AK323+AK324+AK325</f>
        <v>0</v>
      </c>
      <c r="AL316" s="126">
        <f t="shared" ca="1" si="22"/>
        <v>0</v>
      </c>
      <c r="AM316" s="556"/>
      <c r="AN316" s="556"/>
      <c r="AO316" s="556"/>
      <c r="AP316" s="423"/>
      <c r="AQ316" s="423"/>
      <c r="AR316" s="695" t="s">
        <v>1819</v>
      </c>
      <c r="AS316" s="695"/>
      <c r="AT316" s="695"/>
      <c r="AU316" s="505"/>
      <c r="AV316" s="505"/>
    </row>
    <row r="317" spans="1:48" ht="21.75" customHeight="1" x14ac:dyDescent="0.25">
      <c r="E317" s="504">
        <v>22.5</v>
      </c>
      <c r="F317" s="3" t="str" cm="1">
        <f t="array" aca="1" ref="F317" ca="1">OFFSET(E317,-1,1)</f>
        <v>3</v>
      </c>
      <c r="G317" s="278" t="s">
        <v>1203</v>
      </c>
      <c r="I317" s="38" t="s">
        <v>969</v>
      </c>
      <c r="J317" s="38"/>
      <c r="K317" s="38"/>
      <c r="L317" s="38"/>
      <c r="M317" s="38"/>
      <c r="N317" s="38"/>
      <c r="O317" s="38"/>
      <c r="P317" s="38"/>
      <c r="Q317" s="38"/>
      <c r="R317" s="38"/>
      <c r="S317" s="38"/>
      <c r="T317" s="353" t="b" cm="1">
        <f t="array" aca="1" ref="T317" ca="1">T316</f>
        <v>1</v>
      </c>
      <c r="X317" s="1078"/>
      <c r="Z317" s="1079"/>
      <c r="AB317" s="133" t="s">
        <v>575</v>
      </c>
      <c r="AC317" s="127" t="s">
        <v>1820</v>
      </c>
      <c r="AD317" s="7" t="s">
        <v>828</v>
      </c>
      <c r="AE317" s="171">
        <f ca="1">SUMIFS(Административные!AE$25:AE$103,Административные!$F$25:$F$103,$F317,Административные!$G$25:$G$103,$G317)</f>
        <v>0</v>
      </c>
      <c r="AF317" s="171">
        <f ca="1">SUMIFS(Административные!AF$25:AF$103,Административные!$F$25:$F$103,$F317,Административные!$G$25:$G$103,$G317)</f>
        <v>0</v>
      </c>
      <c r="AG317" s="171">
        <f ca="1">SUMIFS(Административные!AG$25:AG$103,Административные!$F$25:$F$103,$F317,Административные!$G$25:$G$103,$G317)</f>
        <v>0</v>
      </c>
      <c r="AH317" s="171">
        <f t="shared" ca="1" si="21"/>
        <v>0</v>
      </c>
      <c r="AI317" s="171">
        <f ca="1">SUMIFS(Административные!AH$25:AH$103,Административные!$F$25:$F$103,$F317,Административные!$G$25:$G$103,$G317)</f>
        <v>0</v>
      </c>
      <c r="AJ317" s="171">
        <f ca="1">SUMIFS(Административные!AI$25:AI$103,Административные!$F$25:$F$103,$F317,Административные!$G$25:$G$103,$G317)</f>
        <v>0</v>
      </c>
      <c r="AK317" s="171">
        <f ca="1">SUMIFS(Административные!AJ$25:AJ$103,Административные!$F$25:$F$103,$F317,Административные!$G$25:$G$103,$G317)</f>
        <v>0</v>
      </c>
      <c r="AL317" s="171">
        <f t="shared" ca="1" si="22"/>
        <v>0</v>
      </c>
      <c r="AM317" s="196"/>
      <c r="AN317" s="601" t="str">
        <f ca="1">IF(IFERROR(INDEX(Административные!$K$26:$L$103,MATCH($F317&amp;"17komm",Административные!$K$26:$K$103,0),2),"")=0,"",IFERROR(INDEX(Административные!$K$26:$L$103,MATCH($F317&amp;"17komm",Административные!$K$26:$K$103,0),2),""))</f>
        <v/>
      </c>
      <c r="AO317" s="196"/>
      <c r="AR317" s="694" t="s">
        <v>1205</v>
      </c>
    </row>
    <row r="318" spans="1:48" ht="32.25" customHeight="1" x14ac:dyDescent="0.25">
      <c r="E318" s="504">
        <v>33.75</v>
      </c>
      <c r="F318" s="3" t="str" cm="1">
        <f t="array" aca="1" ref="F318" ca="1">OFFSET(E318,-1,1)</f>
        <v>3</v>
      </c>
      <c r="I318" s="38" t="s">
        <v>971</v>
      </c>
      <c r="J318" s="38"/>
      <c r="K318" s="38"/>
      <c r="L318" s="38"/>
      <c r="M318" s="38"/>
      <c r="N318" s="38"/>
      <c r="O318" s="38"/>
      <c r="P318" s="38"/>
      <c r="Q318" s="38"/>
      <c r="R318" s="38"/>
      <c r="S318" s="38"/>
      <c r="T318" s="353" t="b" cm="1">
        <f t="array" aca="1" ref="T318" ca="1">T317</f>
        <v>1</v>
      </c>
      <c r="X318" s="1078"/>
      <c r="Z318" s="1079"/>
      <c r="AB318" s="133" t="s">
        <v>579</v>
      </c>
      <c r="AC318" s="127" t="s">
        <v>1821</v>
      </c>
      <c r="AD318" s="7" t="s">
        <v>828</v>
      </c>
      <c r="AE318" s="171">
        <f ca="1">AE319+AE320</f>
        <v>0</v>
      </c>
      <c r="AF318" s="171">
        <f ca="1">AF319+AF320</f>
        <v>0</v>
      </c>
      <c r="AG318" s="171">
        <f ca="1">AG319+AG320</f>
        <v>0</v>
      </c>
      <c r="AH318" s="171">
        <f t="shared" ca="1" si="21"/>
        <v>0</v>
      </c>
      <c r="AI318" s="171">
        <f ca="1">AI319+AI320</f>
        <v>0</v>
      </c>
      <c r="AJ318" s="171">
        <f ca="1">AJ319+AJ320</f>
        <v>0</v>
      </c>
      <c r="AK318" s="171">
        <f ca="1">AK319+AK320</f>
        <v>0</v>
      </c>
      <c r="AL318" s="171">
        <f t="shared" ca="1" si="22"/>
        <v>0</v>
      </c>
      <c r="AM318" s="196"/>
      <c r="AN318" s="196"/>
      <c r="AO318" s="196"/>
      <c r="AR318" s="694" t="s">
        <v>1822</v>
      </c>
    </row>
    <row r="319" spans="1:48" ht="21.75" customHeight="1" x14ac:dyDescent="0.25">
      <c r="E319" s="504">
        <v>22.5</v>
      </c>
      <c r="F319" s="3" t="str" cm="1">
        <f t="array" aca="1" ref="F319" ca="1">OFFSET(E319,-1,1)</f>
        <v>3</v>
      </c>
      <c r="G319" s="376" t="s">
        <v>1185</v>
      </c>
      <c r="I319" s="38" t="s">
        <v>518</v>
      </c>
      <c r="J319" s="38"/>
      <c r="K319" s="38"/>
      <c r="L319" s="38"/>
      <c r="M319" s="38"/>
      <c r="N319" s="38"/>
      <c r="O319" s="38"/>
      <c r="P319" s="38"/>
      <c r="Q319" s="38"/>
      <c r="R319" s="38"/>
      <c r="S319" s="38"/>
      <c r="T319" s="353" t="b" cm="1">
        <f t="array" aca="1" ref="T319" ca="1">T318</f>
        <v>1</v>
      </c>
      <c r="X319" s="1078"/>
      <c r="Z319" s="1079"/>
      <c r="AB319" s="133" t="s">
        <v>789</v>
      </c>
      <c r="AC319" s="134" t="s">
        <v>1823</v>
      </c>
      <c r="AD319" s="7" t="s">
        <v>828</v>
      </c>
      <c r="AE319" s="171">
        <f ca="1">SUMIFS(ФОТ!AE$25:AE$127,ФОТ!$F$25:$F$127,$F319,ФОТ!$G$25:$G$127,$G319)</f>
        <v>0</v>
      </c>
      <c r="AF319" s="171">
        <f ca="1">SUMIFS(ФОТ!AF$25:AF$127,ФОТ!$F$25:$F$127,$F319,ФОТ!$G$25:$G$127,$G319)</f>
        <v>0</v>
      </c>
      <c r="AG319" s="171">
        <f ca="1">SUMIFS(ФОТ!AG$25:AG$127,ФОТ!$F$25:$F$127,$F319,ФОТ!$G$25:$G$127,$G319)</f>
        <v>0</v>
      </c>
      <c r="AH319" s="171">
        <f t="shared" ca="1" si="21"/>
        <v>0</v>
      </c>
      <c r="AI319" s="171">
        <f ca="1">SUMIFS(ФОТ!AH$25:AH$127,ФОТ!$F$25:$F$127,$F319,ФОТ!$G$25:$G$127,$G319)</f>
        <v>0</v>
      </c>
      <c r="AJ319" s="171">
        <f ca="1">SUMIFS(ФОТ!AI$25:AI$127,ФОТ!$F$25:$F$127,$F319,ФОТ!$G$25:$G$127,$G319)</f>
        <v>0</v>
      </c>
      <c r="AK319" s="171">
        <f ca="1">SUMIFS(ФОТ!AJ$25:AJ$127,ФОТ!$F$25:$F$127,$F319,ФОТ!$G$25:$G$127,$G319)</f>
        <v>0</v>
      </c>
      <c r="AL319" s="171">
        <f t="shared" ca="1" si="22"/>
        <v>0</v>
      </c>
      <c r="AM319" s="196"/>
      <c r="AN319" s="601" t="str">
        <f ca="1">IF(IFERROR(INDEX(ФОТ!$K$26:$L$127,MATCH($F319&amp;"5komm",ФОТ!$K$26:$K$127,0),2),"")=0,"",IFERROR(INDEX(ФОТ!$K$26:$L$127,MATCH($F319&amp;"5komm",ФОТ!$K$26:$K$127,0),2),""))</f>
        <v/>
      </c>
      <c r="AO319" s="196"/>
      <c r="AR319" s="694" t="s">
        <v>1202</v>
      </c>
    </row>
    <row r="320" spans="1:48" ht="32.25" customHeight="1" x14ac:dyDescent="0.25">
      <c r="E320" s="504">
        <v>33.75</v>
      </c>
      <c r="F320" s="3" t="str" cm="1">
        <f t="array" aca="1" ref="F320" ca="1">OFFSET(E320,-1,1)</f>
        <v>3</v>
      </c>
      <c r="G320" s="376" t="s">
        <v>1190</v>
      </c>
      <c r="I320" s="38" t="s">
        <v>523</v>
      </c>
      <c r="J320" s="38"/>
      <c r="K320" s="38"/>
      <c r="L320" s="38"/>
      <c r="M320" s="38"/>
      <c r="N320" s="38"/>
      <c r="O320" s="38"/>
      <c r="P320" s="38"/>
      <c r="Q320" s="38"/>
      <c r="R320" s="38"/>
      <c r="S320" s="38"/>
      <c r="T320" s="353" t="b" cm="1">
        <f t="array" aca="1" ref="T320" ca="1">T319</f>
        <v>1</v>
      </c>
      <c r="X320" s="1078"/>
      <c r="Z320" s="1079"/>
      <c r="AB320" s="133" t="s">
        <v>792</v>
      </c>
      <c r="AC320" s="134" t="s">
        <v>1824</v>
      </c>
      <c r="AD320" s="7" t="s">
        <v>828</v>
      </c>
      <c r="AE320" s="171">
        <f ca="1">SUMIFS(ФОТ!AE$25:AE$127,ФОТ!$F$25:$F$127,$F320,ФОТ!$G$25:$G$127,$G320)</f>
        <v>0</v>
      </c>
      <c r="AF320" s="171">
        <f ca="1">SUMIFS(ФОТ!AF$25:AF$127,ФОТ!$F$25:$F$127,$F320,ФОТ!$G$25:$G$127,$G320)</f>
        <v>0</v>
      </c>
      <c r="AG320" s="171">
        <f ca="1">SUMIFS(ФОТ!AG$25:AG$127,ФОТ!$F$25:$F$127,$F320,ФОТ!$G$25:$G$127,$G320)</f>
        <v>0</v>
      </c>
      <c r="AH320" s="171">
        <f t="shared" ca="1" si="21"/>
        <v>0</v>
      </c>
      <c r="AI320" s="171">
        <f ca="1">SUMIFS(ФОТ!AH$25:AH$127,ФОТ!$F$25:$F$127,$F320,ФОТ!$G$25:$G$127,$G320)</f>
        <v>0</v>
      </c>
      <c r="AJ320" s="171">
        <f ca="1">SUMIFS(ФОТ!AI$25:AI$127,ФОТ!$F$25:$F$127,$F320,ФОТ!$G$25:$G$127,$G320)</f>
        <v>0</v>
      </c>
      <c r="AK320" s="171">
        <f ca="1">SUMIFS(ФОТ!AJ$25:AJ$127,ФОТ!$F$25:$F$127,$F320,ФОТ!$G$25:$G$127,$G320)</f>
        <v>0</v>
      </c>
      <c r="AL320" s="171">
        <f t="shared" ca="1" si="22"/>
        <v>0</v>
      </c>
      <c r="AM320" s="196"/>
      <c r="AN320" s="601" t="str">
        <f ca="1">IF(IFERROR(INDEX(ФОТ!$K$26:$L$127,MATCH($F320&amp;"6komm",ФОТ!$K$26:$K$127,0),2),"")=0,"",IFERROR(INDEX(ФОТ!$K$26:$L$127,MATCH($F320&amp;"6komm",ФОТ!$K$26:$K$127,0),2),""))</f>
        <v/>
      </c>
      <c r="AO320" s="196"/>
      <c r="AR320" s="694" t="s">
        <v>1825</v>
      </c>
    </row>
    <row r="321" spans="1:48" ht="32.25" customHeight="1" x14ac:dyDescent="0.25">
      <c r="E321" s="504">
        <v>33.75</v>
      </c>
      <c r="F321" s="3" t="str" cm="1">
        <f t="array" aca="1" ref="F321" ca="1">OFFSET(E321,-1,1)</f>
        <v>3</v>
      </c>
      <c r="G321" s="278" t="s">
        <v>1231</v>
      </c>
      <c r="I321" s="38" t="s">
        <v>973</v>
      </c>
      <c r="J321" s="38"/>
      <c r="K321" s="38"/>
      <c r="L321" s="38"/>
      <c r="M321" s="38"/>
      <c r="N321" s="38"/>
      <c r="O321" s="38"/>
      <c r="P321" s="38"/>
      <c r="Q321" s="38"/>
      <c r="R321" s="38"/>
      <c r="S321" s="38"/>
      <c r="T321" s="353" t="b" cm="1">
        <f t="array" aca="1" ref="T321" ca="1">T320</f>
        <v>1</v>
      </c>
      <c r="X321" s="1078"/>
      <c r="Z321" s="1079"/>
      <c r="AB321" s="133" t="s">
        <v>795</v>
      </c>
      <c r="AC321" s="127" t="s">
        <v>1826</v>
      </c>
      <c r="AD321" s="7" t="s">
        <v>828</v>
      </c>
      <c r="AE321" s="171">
        <f ca="1">SUMIFS(Административные!AE$25:AE$103,Административные!$F$25:$F$103,$F321,Административные!$G$25:$G$103,$G321)</f>
        <v>0</v>
      </c>
      <c r="AF321" s="171">
        <f ca="1">SUMIFS(Административные!AF$25:AF$103,Административные!$F$25:$F$103,$F321,Административные!$G$25:$G$103,$G321)</f>
        <v>0</v>
      </c>
      <c r="AG321" s="171">
        <f ca="1">SUMIFS(Административные!AG$25:AG$103,Административные!$F$25:$F$103,$F321,Административные!$G$25:$G$103,$G321)</f>
        <v>0</v>
      </c>
      <c r="AH321" s="171">
        <f t="shared" ca="1" si="21"/>
        <v>0</v>
      </c>
      <c r="AI321" s="171">
        <f ca="1">SUMIFS(Административные!AH$25:AH$103,Административные!$F$25:$F$103,$F321,Административные!$G$25:$G$103,$G321)</f>
        <v>0</v>
      </c>
      <c r="AJ321" s="171">
        <f ca="1">SUMIFS(Административные!AI$25:AI$103,Административные!$F$25:$F$103,$F321,Административные!$G$25:$G$103,$G321)</f>
        <v>0</v>
      </c>
      <c r="AK321" s="171">
        <f ca="1">SUMIFS(Административные!AJ$25:AJ$103,Административные!$F$25:$F$103,$F321,Административные!$G$25:$G$103,$G321)</f>
        <v>0</v>
      </c>
      <c r="AL321" s="171">
        <f t="shared" ca="1" si="22"/>
        <v>0</v>
      </c>
      <c r="AM321" s="196"/>
      <c r="AN321" s="601" t="str">
        <f ca="1">IF(IFERROR(INDEX(Административные!$K$26:$L$103,MATCH($F321&amp;"2komm",Административные!$K$26:$K$103,0),2),"")=0,"",IFERROR(INDEX(Административные!$K$26:$L$103,MATCH($F321&amp;"2komm",Административные!$K$26:$K$103,0),2),""))</f>
        <v/>
      </c>
      <c r="AO321" s="196"/>
      <c r="AR321" s="694" t="s">
        <v>1233</v>
      </c>
    </row>
    <row r="322" spans="1:48" ht="14.25" customHeight="1" x14ac:dyDescent="0.25">
      <c r="E322" s="504">
        <v>15</v>
      </c>
      <c r="F322" s="3" t="str" cm="1">
        <f t="array" aca="1" ref="F322" ca="1">OFFSET(E322,-1,1)</f>
        <v>3</v>
      </c>
      <c r="G322" s="278" t="s">
        <v>1234</v>
      </c>
      <c r="I322" s="38" t="s">
        <v>975</v>
      </c>
      <c r="J322" s="38"/>
      <c r="K322" s="38"/>
      <c r="L322" s="38"/>
      <c r="M322" s="38"/>
      <c r="N322" s="38"/>
      <c r="O322" s="38"/>
      <c r="P322" s="38"/>
      <c r="Q322" s="38"/>
      <c r="R322" s="38"/>
      <c r="S322" s="38"/>
      <c r="T322" s="353" t="b" cm="1">
        <f t="array" aca="1" ref="T322" ca="1">T321</f>
        <v>1</v>
      </c>
      <c r="X322" s="1078"/>
      <c r="Z322" s="1079"/>
      <c r="AB322" s="133" t="s">
        <v>976</v>
      </c>
      <c r="AC322" s="127" t="s">
        <v>1235</v>
      </c>
      <c r="AD322" s="7" t="s">
        <v>828</v>
      </c>
      <c r="AE322" s="171">
        <f ca="1">SUMIFS(Административные!AE$25:AE$103,Административные!$F$25:$F$103,$F322,Административные!$G$25:$G$103,$G322)</f>
        <v>0</v>
      </c>
      <c r="AF322" s="171">
        <f ca="1">SUMIFS(Административные!AF$25:AF$103,Административные!$F$25:$F$103,$F322,Административные!$G$25:$G$103,$G322)</f>
        <v>0</v>
      </c>
      <c r="AG322" s="171">
        <f ca="1">SUMIFS(Административные!AG$25:AG$103,Административные!$F$25:$F$103,$F322,Административные!$G$25:$G$103,$G322)</f>
        <v>0</v>
      </c>
      <c r="AH322" s="171">
        <f t="shared" ca="1" si="21"/>
        <v>0</v>
      </c>
      <c r="AI322" s="171">
        <f ca="1">SUMIFS(Административные!AH$25:AH$103,Административные!$F$25:$F$103,$F322,Административные!$G$25:$G$103,$G322)</f>
        <v>0</v>
      </c>
      <c r="AJ322" s="171">
        <f ca="1">SUMIFS(Административные!AI$25:AI$103,Административные!$F$25:$F$103,$F322,Административные!$G$25:$G$103,$G322)</f>
        <v>0</v>
      </c>
      <c r="AK322" s="171">
        <f ca="1">SUMIFS(Административные!AJ$25:AJ$103,Административные!$F$25:$F$103,$F322,Административные!$G$25:$G$103,$G322)</f>
        <v>0</v>
      </c>
      <c r="AL322" s="171">
        <f t="shared" ca="1" si="22"/>
        <v>0</v>
      </c>
      <c r="AM322" s="196"/>
      <c r="AN322" s="601" t="str">
        <f ca="1">IF(IFERROR(INDEX(Административные!$K$26:$L$103,MATCH($F322&amp;"3komm",Административные!$K$26:$K$103,0),2),"")=0,"",IFERROR(INDEX(Административные!$K$26:$L$103,MATCH($F322&amp;"3komm",Административные!$K$26:$K$103,0),2),""))</f>
        <v/>
      </c>
      <c r="AO322" s="196"/>
      <c r="AR322" s="694" t="s">
        <v>1236</v>
      </c>
    </row>
    <row r="323" spans="1:48" ht="14.25" customHeight="1" x14ac:dyDescent="0.25">
      <c r="E323" s="504">
        <v>15</v>
      </c>
      <c r="F323" s="3" t="str" cm="1">
        <f t="array" aca="1" ref="F323" ca="1">OFFSET(E323,-1,1)</f>
        <v>3</v>
      </c>
      <c r="G323" s="278" t="s">
        <v>1237</v>
      </c>
      <c r="I323" s="38" t="s">
        <v>978</v>
      </c>
      <c r="J323" s="38"/>
      <c r="K323" s="38"/>
      <c r="L323" s="38"/>
      <c r="M323" s="38"/>
      <c r="N323" s="38"/>
      <c r="O323" s="38"/>
      <c r="P323" s="38"/>
      <c r="Q323" s="38"/>
      <c r="R323" s="38"/>
      <c r="S323" s="38"/>
      <c r="T323" s="353" t="b" cm="1">
        <f t="array" aca="1" ref="T323" ca="1">T322</f>
        <v>1</v>
      </c>
      <c r="X323" s="1078"/>
      <c r="Z323" s="1079"/>
      <c r="AB323" s="133" t="s">
        <v>979</v>
      </c>
      <c r="AC323" s="127" t="s">
        <v>1238</v>
      </c>
      <c r="AD323" s="7" t="s">
        <v>828</v>
      </c>
      <c r="AE323" s="171">
        <f ca="1">SUMIFS(Административные!AE$25:AE$103,Административные!$F$25:$F$103,$F323,Административные!$G$25:$G$103,$G323)</f>
        <v>0</v>
      </c>
      <c r="AF323" s="171">
        <f ca="1">SUMIFS(Административные!AF$25:AF$103,Административные!$F$25:$F$103,$F323,Административные!$G$25:$G$103,$G323)</f>
        <v>0</v>
      </c>
      <c r="AG323" s="171">
        <f ca="1">SUMIFS(Административные!AG$25:AG$103,Административные!$F$25:$F$103,$F323,Административные!$G$25:$G$103,$G323)</f>
        <v>0</v>
      </c>
      <c r="AH323" s="171">
        <f t="shared" ca="1" si="21"/>
        <v>0</v>
      </c>
      <c r="AI323" s="171">
        <f ca="1">SUMIFS(Административные!AH$25:AH$103,Административные!$F$25:$F$103,$F323,Административные!$G$25:$G$103,$G323)</f>
        <v>0</v>
      </c>
      <c r="AJ323" s="171">
        <f ca="1">SUMIFS(Административные!AI$25:AI$103,Административные!$F$25:$F$103,$F323,Административные!$G$25:$G$103,$G323)</f>
        <v>0</v>
      </c>
      <c r="AK323" s="171">
        <f ca="1">SUMIFS(Административные!AJ$25:AJ$103,Административные!$F$25:$F$103,$F323,Административные!$G$25:$G$103,$G323)</f>
        <v>0</v>
      </c>
      <c r="AL323" s="171">
        <f t="shared" ca="1" si="22"/>
        <v>0</v>
      </c>
      <c r="AM323" s="196"/>
      <c r="AN323" s="601" t="str">
        <f ca="1">IF(IFERROR(INDEX(Административные!$K$26:$L$103,MATCH($F323&amp;"4komm",Административные!$K$26:$K$103,0),2),"")=0,"",IFERROR(INDEX(Административные!$K$26:$L$103,MATCH($F323&amp;"4komm",Административные!$K$26:$K$103,0),2),""))</f>
        <v/>
      </c>
      <c r="AO323" s="196"/>
      <c r="AR323" s="694" t="s">
        <v>1239</v>
      </c>
    </row>
    <row r="324" spans="1:48" ht="14.25" customHeight="1" x14ac:dyDescent="0.25">
      <c r="E324" s="504">
        <v>15</v>
      </c>
      <c r="F324" s="3" t="str" cm="1">
        <f t="array" aca="1" ref="F324" ca="1">OFFSET(E324,-1,1)</f>
        <v>3</v>
      </c>
      <c r="G324" s="278" t="s">
        <v>1240</v>
      </c>
      <c r="I324" s="38" t="s">
        <v>1222</v>
      </c>
      <c r="J324" s="38"/>
      <c r="K324" s="38"/>
      <c r="L324" s="38"/>
      <c r="M324" s="38"/>
      <c r="N324" s="38"/>
      <c r="O324" s="38"/>
      <c r="P324" s="38"/>
      <c r="Q324" s="38"/>
      <c r="R324" s="38"/>
      <c r="S324" s="38"/>
      <c r="T324" s="353" t="b" cm="1">
        <f t="array" aca="1" ref="T324" ca="1">T323</f>
        <v>1</v>
      </c>
      <c r="X324" s="1078"/>
      <c r="Z324" s="1079"/>
      <c r="AB324" s="133" t="s">
        <v>1223</v>
      </c>
      <c r="AC324" s="127" t="s">
        <v>1241</v>
      </c>
      <c r="AD324" s="7" t="s">
        <v>828</v>
      </c>
      <c r="AE324" s="171">
        <f ca="1">SUMIFS(Административные!AE$25:AE$103,Административные!$F$25:$F$103,$F324,Административные!$G$25:$G$103,$G324)</f>
        <v>0</v>
      </c>
      <c r="AF324" s="171">
        <f ca="1">SUMIFS(Административные!AF$25:AF$103,Административные!$F$25:$F$103,$F324,Административные!$G$25:$G$103,$G324)</f>
        <v>0</v>
      </c>
      <c r="AG324" s="171">
        <f ca="1">SUMIFS(Административные!AG$25:AG$103,Административные!$F$25:$F$103,$F324,Административные!$G$25:$G$103,$G324)</f>
        <v>0</v>
      </c>
      <c r="AH324" s="171">
        <f t="shared" ca="1" si="21"/>
        <v>0</v>
      </c>
      <c r="AI324" s="171">
        <f ca="1">SUMIFS(Административные!AH$25:AH$103,Административные!$F$25:$F$103,$F324,Административные!$G$25:$G$103,$G324)</f>
        <v>0</v>
      </c>
      <c r="AJ324" s="171">
        <f ca="1">SUMIFS(Административные!AI$25:AI$103,Административные!$F$25:$F$103,$F324,Административные!$G$25:$G$103,$G324)</f>
        <v>0</v>
      </c>
      <c r="AK324" s="171">
        <f ca="1">SUMIFS(Административные!AJ$25:AJ$103,Административные!$F$25:$F$103,$F324,Административные!$G$25:$G$103,$G324)</f>
        <v>0</v>
      </c>
      <c r="AL324" s="171">
        <f t="shared" ca="1" si="22"/>
        <v>0</v>
      </c>
      <c r="AM324" s="196"/>
      <c r="AN324" s="601" t="str">
        <f ca="1">IF(IFERROR(INDEX(Административные!$K$26:$L$103,MATCH($F320&amp;"5komm",Административные!$K$26:$K$103,0),2),"")=0,"",IFERROR(INDEX(Административные!$K$26:$L$103,MATCH($F320&amp;"5komm",Административные!$K$26:$K$103,0),2),""))</f>
        <v/>
      </c>
      <c r="AO324" s="196"/>
      <c r="AR324" s="694" t="s">
        <v>1827</v>
      </c>
    </row>
    <row r="325" spans="1:48" ht="14.25" customHeight="1" x14ac:dyDescent="0.25">
      <c r="E325" s="504">
        <v>15</v>
      </c>
      <c r="F325" s="3" t="str" cm="1">
        <f t="array" aca="1" ref="F325" ca="1">OFFSET(E325,-1,1)</f>
        <v>3</v>
      </c>
      <c r="G325" s="278" t="s">
        <v>1243</v>
      </c>
      <c r="I325" s="38" t="s">
        <v>1227</v>
      </c>
      <c r="J325" s="38"/>
      <c r="K325" s="38"/>
      <c r="L325" s="38"/>
      <c r="M325" s="38"/>
      <c r="N325" s="38"/>
      <c r="O325" s="38"/>
      <c r="P325" s="38"/>
      <c r="Q325" s="38"/>
      <c r="R325" s="38"/>
      <c r="S325" s="38"/>
      <c r="T325" s="353" t="b" cm="1">
        <f t="array" aca="1" ref="T325" ca="1">T324</f>
        <v>1</v>
      </c>
      <c r="X325" s="1078"/>
      <c r="Z325" s="1079"/>
      <c r="AB325" s="133" t="s">
        <v>1228</v>
      </c>
      <c r="AC325" s="127" t="s">
        <v>1828</v>
      </c>
      <c r="AD325" s="7" t="s">
        <v>828</v>
      </c>
      <c r="AE325" s="171">
        <f ca="1">SUMIFS(Административные!AE$25:AE$103,Административные!$F$25:$F$103,$F325,Административные!$G$25:$G$103,$G325)</f>
        <v>0</v>
      </c>
      <c r="AF325" s="171">
        <f ca="1">SUMIFS(Административные!AF$25:AF$103,Административные!$F$25:$F$103,$F325,Административные!$G$25:$G$103,$G325)</f>
        <v>0</v>
      </c>
      <c r="AG325" s="171">
        <f ca="1">SUMIFS(Административные!AG$25:AG$103,Административные!$F$25:$F$103,$F325,Административные!$G$25:$G$103,$G325)</f>
        <v>0</v>
      </c>
      <c r="AH325" s="171">
        <f t="shared" ca="1" si="21"/>
        <v>0</v>
      </c>
      <c r="AI325" s="171">
        <f ca="1">SUMIFS(Административные!AH$25:AH$103,Административные!$F$25:$F$103,$F325,Административные!$G$25:$G$103,$G325)</f>
        <v>0</v>
      </c>
      <c r="AJ325" s="171">
        <f ca="1">SUMIFS(Административные!AI$25:AI$103,Административные!$F$25:$F$103,$F325,Административные!$G$25:$G$103,$G325)</f>
        <v>0</v>
      </c>
      <c r="AK325" s="171">
        <f ca="1">SUMIFS(Административные!AJ$25:AJ$103,Административные!$F$25:$F$103,$F325,Административные!$G$25:$G$103,$G325)</f>
        <v>0</v>
      </c>
      <c r="AL325" s="171">
        <f t="shared" ca="1" si="22"/>
        <v>0</v>
      </c>
      <c r="AM325" s="196"/>
      <c r="AN325" s="601" t="str">
        <f ca="1">IF(IFERROR(INDEX(Административные!$K$26:$L$103,MATCH($F325&amp;"6komm",Административные!$K$26:$K$103,0),2),"")=0,"",IFERROR(INDEX(Административные!$K$26:$L$103,MATCH($F320&amp;"6komm",Административные!$K$26:$K$103,0),2),""))</f>
        <v/>
      </c>
      <c r="AO325" s="196"/>
      <c r="AR325" s="694" t="s">
        <v>1829</v>
      </c>
    </row>
    <row r="326" spans="1:48" ht="14.25" customHeight="1" x14ac:dyDescent="0.25">
      <c r="E326" s="504">
        <v>15</v>
      </c>
      <c r="F326" s="3" t="str" cm="1">
        <f t="array" aca="1" ref="F326" ca="1">OFFSET(E326,-1,1)</f>
        <v>3</v>
      </c>
      <c r="G326" s="278" t="s">
        <v>1245</v>
      </c>
      <c r="I326" s="38" t="s">
        <v>1830</v>
      </c>
      <c r="J326" s="38"/>
      <c r="K326" s="38"/>
      <c r="L326" s="38"/>
      <c r="M326" s="38"/>
      <c r="N326" s="38"/>
      <c r="O326" s="38"/>
      <c r="P326" s="38"/>
      <c r="Q326" s="38"/>
      <c r="R326" s="38"/>
      <c r="S326" s="38"/>
      <c r="T326" s="353" t="b" cm="1">
        <f t="array" aca="1" ref="T326" ca="1">T325</f>
        <v>1</v>
      </c>
      <c r="X326" s="1078"/>
      <c r="Z326" s="1079"/>
      <c r="AB326" s="133" t="s">
        <v>1831</v>
      </c>
      <c r="AC326" s="134" t="s">
        <v>1832</v>
      </c>
      <c r="AD326" s="7" t="s">
        <v>828</v>
      </c>
      <c r="AE326" s="171">
        <f ca="1">SUMIFS(Административные!AE$25:AE$103,Административные!$F$25:$F$103,$F326,Административные!$G$25:$G$103,$G326)</f>
        <v>0</v>
      </c>
      <c r="AF326" s="171">
        <f ca="1">SUMIFS(Административные!AF$25:AF$103,Административные!$F$25:$F$103,$F326,Административные!$G$25:$G$103,$G326)</f>
        <v>0</v>
      </c>
      <c r="AG326" s="171">
        <f ca="1">SUMIFS(Административные!AG$25:AG$103,Административные!$F$25:$F$103,$F326,Административные!$G$25:$G$103,$G326)</f>
        <v>0</v>
      </c>
      <c r="AH326" s="171">
        <f t="shared" ca="1" si="21"/>
        <v>0</v>
      </c>
      <c r="AI326" s="171">
        <f ca="1">SUMIFS(Административные!AH$25:AH$103,Административные!$F$25:$F$103,$F326,Административные!$G$25:$G$103,$G326)</f>
        <v>0</v>
      </c>
      <c r="AJ326" s="171">
        <f ca="1">SUMIFS(Административные!AI$25:AI$103,Административные!$F$25:$F$103,$F326,Административные!$G$25:$G$103,$G326)</f>
        <v>0</v>
      </c>
      <c r="AK326" s="171">
        <f ca="1">SUMIFS(Административные!AJ$25:AJ$103,Административные!$F$25:$F$103,$F326,Административные!$G$25:$G$103,$G326)</f>
        <v>0</v>
      </c>
      <c r="AL326" s="171">
        <f t="shared" ca="1" si="22"/>
        <v>0</v>
      </c>
      <c r="AM326" s="196"/>
      <c r="AN326" s="601" t="str">
        <f ca="1">IF(IFERROR(INDEX(Административные!$K$26:$L$103,MATCH($F326&amp;"7komm",Административные!$K$26:$K$103,0),2),"")=0,"",IFERROR(INDEX(Административные!$K$26:$L$103,MATCH($F321&amp;"7komm",Административные!$K$26:$K$103,0),2),""))</f>
        <v/>
      </c>
      <c r="AO326" s="196"/>
      <c r="AR326" s="694" t="s">
        <v>1833</v>
      </c>
    </row>
    <row r="327" spans="1:48" ht="43.5" customHeight="1" x14ac:dyDescent="0.25">
      <c r="E327" s="504">
        <v>45</v>
      </c>
      <c r="F327" s="3" t="str" cm="1">
        <f t="array" aca="1" ref="F327" ca="1">OFFSET(E327,-1,1)</f>
        <v>3</v>
      </c>
      <c r="G327" s="278" t="s">
        <v>1248</v>
      </c>
      <c r="I327" s="38" t="s">
        <v>1834</v>
      </c>
      <c r="J327" s="38"/>
      <c r="K327" s="38"/>
      <c r="L327" s="38"/>
      <c r="M327" s="38"/>
      <c r="N327" s="38"/>
      <c r="O327" s="38"/>
      <c r="P327" s="38"/>
      <c r="Q327" s="38"/>
      <c r="R327" s="38"/>
      <c r="S327" s="38"/>
      <c r="T327" s="353" t="b" cm="1">
        <f t="array" aca="1" ref="T327" ca="1">T326</f>
        <v>1</v>
      </c>
      <c r="X327" s="1078"/>
      <c r="Z327" s="1079"/>
      <c r="AB327" s="133" t="s">
        <v>1835</v>
      </c>
      <c r="AC327" s="127" t="s">
        <v>1249</v>
      </c>
      <c r="AD327" s="7" t="s">
        <v>828</v>
      </c>
      <c r="AE327" s="171">
        <f ca="1">SUMIFS(Административные!AE$25:AE$103,Административные!$F$25:$F$103,$F327,Административные!$G$25:$G$103,$G327)</f>
        <v>0</v>
      </c>
      <c r="AF327" s="171">
        <f ca="1">SUMIFS(Административные!AF$25:AF$103,Административные!$F$25:$F$103,$F327,Административные!$G$25:$G$103,$G327)</f>
        <v>0</v>
      </c>
      <c r="AG327" s="171">
        <f ca="1">SUMIFS(Административные!AG$25:AG$103,Административные!$F$25:$F$103,$F327,Административные!$G$25:$G$103,$G327)</f>
        <v>0</v>
      </c>
      <c r="AH327" s="171">
        <f t="shared" ca="1" si="21"/>
        <v>0</v>
      </c>
      <c r="AI327" s="171">
        <f ca="1">SUMIFS(Административные!AH$25:AH$103,Административные!$F$25:$F$103,$F327,Административные!$G$25:$G$103,$G327)</f>
        <v>0</v>
      </c>
      <c r="AJ327" s="171">
        <f ca="1">SUMIFS(Административные!AI$25:AI$103,Административные!$F$25:$F$103,$F327,Административные!$G$25:$G$103,$G327)</f>
        <v>0</v>
      </c>
      <c r="AK327" s="171">
        <f ca="1">SUMIFS(Административные!AJ$25:AJ$103,Административные!$F$25:$F$103,$F327,Административные!$G$25:$G$103,$G327)</f>
        <v>0</v>
      </c>
      <c r="AL327" s="171">
        <f t="shared" ca="1" si="22"/>
        <v>0</v>
      </c>
      <c r="AM327" s="196"/>
      <c r="AN327" s="601" t="str">
        <f ca="1">IF(IFERROR(INDEX(Административные!$K$26:$L$103,MATCH($F327&amp;"8komm",Административные!$K$26:$K$103,0),2),"")=0,"",IFERROR(INDEX(Административные!$K$26:$L$103,MATCH($F322&amp;"8komm",Административные!$K$26:$K$103,0),2),""))</f>
        <v/>
      </c>
      <c r="AO327" s="196"/>
      <c r="AR327" s="694" t="s">
        <v>1836</v>
      </c>
    </row>
    <row r="328" spans="1:48" ht="14.25" customHeight="1" x14ac:dyDescent="0.25">
      <c r="E328" s="504">
        <v>15</v>
      </c>
      <c r="F328" s="3" t="str" cm="1">
        <f t="array" aca="1" ref="F328" ca="1">OFFSET(E328,-1,1)</f>
        <v>3</v>
      </c>
      <c r="G328" s="278" t="s">
        <v>1251</v>
      </c>
      <c r="I328" s="38" t="s">
        <v>1837</v>
      </c>
      <c r="J328" s="38"/>
      <c r="K328" s="38"/>
      <c r="L328" s="38"/>
      <c r="M328" s="38"/>
      <c r="N328" s="38"/>
      <c r="O328" s="38"/>
      <c r="P328" s="38"/>
      <c r="Q328" s="38"/>
      <c r="R328" s="38"/>
      <c r="S328" s="38"/>
      <c r="T328" s="353" t="b" cm="1">
        <f t="array" aca="1" ref="T328" ca="1">T327</f>
        <v>1</v>
      </c>
      <c r="X328" s="1078"/>
      <c r="Z328" s="1079"/>
      <c r="AB328" s="133" t="s">
        <v>1838</v>
      </c>
      <c r="AC328" s="134" t="s">
        <v>1252</v>
      </c>
      <c r="AD328" s="7" t="s">
        <v>828</v>
      </c>
      <c r="AE328" s="171">
        <f ca="1">SUMIFS(Административные!AE$25:AE$103,Административные!$F$25:$F$103,$F328,Административные!$G$25:$G$103,$G328)</f>
        <v>0</v>
      </c>
      <c r="AF328" s="171">
        <f ca="1">SUMIFS(Административные!AF$25:AF$103,Административные!$F$25:$F$103,$F328,Административные!$G$25:$G$103,$G328)</f>
        <v>0</v>
      </c>
      <c r="AG328" s="171">
        <f ca="1">SUMIFS(Административные!AG$25:AG$103,Административные!$F$25:$F$103,$F328,Административные!$G$25:$G$103,$G328)</f>
        <v>0</v>
      </c>
      <c r="AH328" s="171">
        <f t="shared" ca="1" si="21"/>
        <v>0</v>
      </c>
      <c r="AI328" s="171">
        <f ca="1">SUMIFS(Административные!AH$25:AH$103,Административные!$F$25:$F$103,$F328,Административные!$G$25:$G$103,$G328)</f>
        <v>0</v>
      </c>
      <c r="AJ328" s="171">
        <f ca="1">SUMIFS(Административные!AI$25:AI$103,Административные!$F$25:$F$103,$F328,Административные!$G$25:$G$103,$G328)</f>
        <v>0</v>
      </c>
      <c r="AK328" s="171">
        <f ca="1">SUMIFS(Административные!AJ$25:AJ$103,Административные!$F$25:$F$103,$F328,Административные!$G$25:$G$103,$G328)</f>
        <v>0</v>
      </c>
      <c r="AL328" s="171">
        <f t="shared" ca="1" si="22"/>
        <v>0</v>
      </c>
      <c r="AM328" s="196"/>
      <c r="AN328" s="601" t="str">
        <f ca="1">IF(IFERROR(INDEX(Административные!$K$26:$L$103,MATCH($F328&amp;"9komm",Административные!$K$26:$K$103,0),2),"")=0,"",IFERROR(INDEX(Административные!$K$26:$L$103,MATCH($F323&amp;"9komm",Административные!$K$26:$K$103,0),2),""))</f>
        <v/>
      </c>
      <c r="AO328" s="196"/>
      <c r="AR328" s="694" t="s">
        <v>1839</v>
      </c>
    </row>
    <row r="329" spans="1:48" s="868" customFormat="1" ht="14.25" hidden="1" customHeight="1" x14ac:dyDescent="0.25">
      <c r="A329" s="423"/>
      <c r="B329" s="423" t="b">
        <f>STATUS_GO="да"</f>
        <v>0</v>
      </c>
      <c r="C329" s="423"/>
      <c r="D329" s="423"/>
      <c r="E329" s="505">
        <v>15</v>
      </c>
      <c r="F329" s="3" t="str" cm="1">
        <f t="array" aca="1" ref="F329" ca="1">OFFSET(E329,-1,1)</f>
        <v>3</v>
      </c>
      <c r="G329" s="423"/>
      <c r="H329" s="423"/>
      <c r="I329" s="154" t="s">
        <v>335</v>
      </c>
      <c r="J329" s="154"/>
      <c r="K329" s="154"/>
      <c r="L329" s="154"/>
      <c r="M329" s="154"/>
      <c r="N329" s="154"/>
      <c r="O329" s="154"/>
      <c r="P329" s="154"/>
      <c r="Q329" s="154"/>
      <c r="R329" s="154"/>
      <c r="S329" s="154"/>
      <c r="T329" s="353" t="b" cm="1">
        <f t="array" aca="1" ref="T329" ca="1">T328</f>
        <v>1</v>
      </c>
      <c r="U329" s="423"/>
      <c r="V329" s="423"/>
      <c r="W329" s="423"/>
      <c r="X329" s="1078"/>
      <c r="Y329" s="423"/>
      <c r="Z329" s="1079"/>
      <c r="AA329" s="423"/>
      <c r="AB329" s="131" t="s">
        <v>454</v>
      </c>
      <c r="AC329" s="132" t="s">
        <v>1840</v>
      </c>
      <c r="AD329" s="124" t="s">
        <v>828</v>
      </c>
      <c r="AE329" s="126">
        <f ca="1">SUMIFS('Сбытовые расходы ГО'!AE$25:AE$75,'Сбытовые расходы ГО'!$F$25:$F$75,$F329,'Сбытовые расходы ГО'!$G$25:$G$75,"l0")</f>
        <v>0</v>
      </c>
      <c r="AF329" s="126">
        <f ca="1">SUMIFS('Сбытовые расходы ГО'!AF$25:AF$75,'Сбытовые расходы ГО'!$F$25:$F$75,$F329,'Сбытовые расходы ГО'!$G$25:$G$75,"l0")</f>
        <v>0</v>
      </c>
      <c r="AG329" s="126">
        <f ca="1">SUMIFS('Сбытовые расходы ГО'!AG$25:AG$75,'Сбытовые расходы ГО'!$F$25:$F$75,$F329,'Сбытовые расходы ГО'!$G$25:$G$75,"l0")</f>
        <v>0</v>
      </c>
      <c r="AH329" s="126">
        <f t="shared" ca="1" si="21"/>
        <v>0</v>
      </c>
      <c r="AI329" s="126">
        <f ca="1">SUMIFS('Сбытовые расходы ГО'!AH$25:AH$75,'Сбытовые расходы ГО'!$F$25:$F$75,$F329,'Сбытовые расходы ГО'!$G$25:$G$75,"l0")</f>
        <v>0</v>
      </c>
      <c r="AJ329" s="126">
        <f ca="1">SUMIFS('Сбытовые расходы ГО'!AI$25:AI$75,'Сбытовые расходы ГО'!$F$25:$F$75,$F329,'Сбытовые расходы ГО'!$G$25:$G$75,"l0")</f>
        <v>0</v>
      </c>
      <c r="AK329" s="126">
        <f ca="1">SUMIFS('Сбытовые расходы ГО'!AJ$25:AJ$75,'Сбытовые расходы ГО'!$F$25:$F$75,$F329,'Сбытовые расходы ГО'!$G$25:$G$75,"l0")</f>
        <v>0</v>
      </c>
      <c r="AL329" s="126">
        <f t="shared" ca="1" si="22"/>
        <v>0</v>
      </c>
      <c r="AM329" s="777"/>
      <c r="AN329" s="779"/>
      <c r="AO329" s="777"/>
      <c r="AP329" s="423"/>
      <c r="AQ329" s="423"/>
      <c r="AR329" s="695" t="s">
        <v>1841</v>
      </c>
      <c r="AS329" s="695"/>
      <c r="AT329" s="695"/>
      <c r="AU329" s="505"/>
      <c r="AV329" s="505"/>
    </row>
    <row r="330" spans="1:48" s="868" customFormat="1" ht="14.25" customHeight="1" x14ac:dyDescent="0.25">
      <c r="A330" s="423"/>
      <c r="B330" s="423"/>
      <c r="C330" s="423"/>
      <c r="D330" s="423"/>
      <c r="E330" s="505">
        <v>15</v>
      </c>
      <c r="F330" s="3" t="str" cm="1">
        <f t="array" aca="1" ref="F330" ca="1">OFFSET(E330,-1,1)</f>
        <v>3</v>
      </c>
      <c r="G330" s="423"/>
      <c r="H330" s="423"/>
      <c r="I330" s="154" t="s">
        <v>334</v>
      </c>
      <c r="J330" s="154"/>
      <c r="K330" s="154"/>
      <c r="L330" s="154"/>
      <c r="M330" s="154"/>
      <c r="N330" s="154"/>
      <c r="O330" s="154"/>
      <c r="P330" s="154"/>
      <c r="Q330" s="154"/>
      <c r="R330" s="154"/>
      <c r="S330" s="154"/>
      <c r="T330" s="353" t="b" cm="1">
        <f t="array" aca="1" ref="T330" ca="1">T329</f>
        <v>1</v>
      </c>
      <c r="U330" s="423"/>
      <c r="V330" s="423"/>
      <c r="W330" s="423"/>
      <c r="X330" s="1078"/>
      <c r="Y330" s="423"/>
      <c r="Z330" s="1079"/>
      <c r="AA330" s="423"/>
      <c r="AB330" s="131" t="s">
        <v>460</v>
      </c>
      <c r="AC330" s="125" t="s">
        <v>1842</v>
      </c>
      <c r="AD330" s="124" t="s">
        <v>828</v>
      </c>
      <c r="AE330" s="126">
        <f ca="1">SUMIFS(Амортизация!AE$25:AE$223,Амортизация!$F$25:$F$223,$F330,Амортизация!$AC$25:$AC$223,"Сумма амортизационных отчислений")</f>
        <v>2296.6681277419002</v>
      </c>
      <c r="AF330" s="126">
        <f ca="1">SUMIFS(Амортизация!AF$25:AF$223,Амортизация!$F$25:$F$223,$F330,Амортизация!$AC$25:$AC$223,"Сумма амортизационных отчислений")</f>
        <v>3415.5763004400001</v>
      </c>
      <c r="AG330" s="126">
        <f ca="1">SUMIFS(Амортизация!AG$25:AG$223,Амортизация!$F$25:$F$223,$F330,Амортизация!$AC$25:$AC$223,"Сумма амортизационных отчислений")</f>
        <v>2979.2072494399999</v>
      </c>
      <c r="AH330" s="126">
        <f t="shared" ca="1" si="21"/>
        <v>-436.36905100000013</v>
      </c>
      <c r="AI330" s="126">
        <f ca="1">SUMIFS(Амортизация!AH$25:AH$223,Амортизация!$F$25:$F$223,$F330,Амортизация!$AC$25:$AC$223,"Сумма амортизационных отчислений")</f>
        <v>2984.7425312382002</v>
      </c>
      <c r="AJ330" s="126">
        <f ca="1">SUMIFS(Амортизация!AI$25:AI$223,Амортизация!$F$25:$F$223,$F330,Амортизация!$AC$25:$AC$223,"Сумма амортизационных отчислений")</f>
        <v>3736.6829633222001</v>
      </c>
      <c r="AK330" s="126">
        <f ca="1">SUMIFS(Амортизация!AS$25:AS$223,Амортизация!$F$25:$F$223,$F330,Амортизация!$AC$25:$AC$223,"Сумма амортизационных отчислений")</f>
        <v>2821.26167244</v>
      </c>
      <c r="AL330" s="126">
        <f t="shared" ca="1" si="22"/>
        <v>-5.4772181214029629</v>
      </c>
      <c r="AM330" s="556"/>
      <c r="AN330" s="601" t="str">
        <f ca="1">IF(IFERROR(INDEX(Амортизация!$K$26:$L$223,MATCH($F330&amp;"komm",Амортизация!$K$26:$K$627,0),2),"")=0,"",IFERROR(INDEX(Амортизация!$K$26:$L$223,MATCH($F330&amp;"komm",Амортизация!$K$26:$K$627,0),2),""))</f>
        <v>П. 28 Методических указаний ФСТ № 1746-э, Постановление Правительства РФ от 01.01.2002 N 1 (ред. от 18.11.2022) "О Классификации основных средств, включаемых в амортизационные группы"</v>
      </c>
      <c r="AO330" s="556"/>
      <c r="AP330" s="423"/>
      <c r="AQ330" s="423"/>
      <c r="AR330" s="695" t="s">
        <v>1247</v>
      </c>
      <c r="AS330" s="695"/>
      <c r="AT330" s="695"/>
      <c r="AU330" s="505"/>
      <c r="AV330" s="505"/>
    </row>
    <row r="331" spans="1:48" ht="14.25" customHeight="1" x14ac:dyDescent="0.25">
      <c r="E331" s="504">
        <v>15</v>
      </c>
      <c r="F331" s="3" t="str" cm="1">
        <f t="array" aca="1" ref="F331" ca="1">OFFSET(E331,-1,1)</f>
        <v>3</v>
      </c>
      <c r="I331" s="38" t="s">
        <v>574</v>
      </c>
      <c r="J331" s="38"/>
      <c r="K331" s="38"/>
      <c r="L331" s="38"/>
      <c r="M331" s="38"/>
      <c r="N331" s="38"/>
      <c r="O331" s="38"/>
      <c r="P331" s="38"/>
      <c r="Q331" s="38"/>
      <c r="R331" s="38"/>
      <c r="S331" s="38"/>
      <c r="T331" s="353" t="b" cm="1">
        <f t="array" aca="1" ref="T331" ca="1">T330</f>
        <v>1</v>
      </c>
      <c r="X331" s="1078"/>
      <c r="Z331" s="1079"/>
      <c r="AB331" s="133" t="s">
        <v>704</v>
      </c>
      <c r="AC331" s="127" t="s">
        <v>1843</v>
      </c>
      <c r="AD331" s="7" t="s">
        <v>828</v>
      </c>
      <c r="AE331" s="128">
        <f ca="1">SUMIFS('ИП + источники'!AF$27:AF$145,'ИП + источники'!$F$27:$F$145,$F331,'ИП + источники'!$AC$27:$AC$145,"Амортизационные отчисления")+SUMIFS('ИП + источники'!AF$27:AF$145,'ИП + источники'!$F$27:$F$145,$F331,'ИП + источники'!$AC$27:$AC$145,"погашение займов и кредитов из амортизации")</f>
        <v>0</v>
      </c>
      <c r="AF331" s="128">
        <f ca="1">SUMIFS('ИП + источники'!AG$27:AG$145,'ИП + источники'!$F$27:$F$145,$F331,'ИП + источники'!$AC$27:$AC$145,"Амортизационные отчисления")+SUMIFS('ИП + источники'!AG$27:AG$145,'ИП + источники'!$F$27:$F$145,$F331,'ИП + источники'!$AC$27:$AC$145,"погашение займов и кредитов из амортизации")</f>
        <v>0</v>
      </c>
      <c r="AG331" s="128">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0</v>
      </c>
      <c r="AH331" s="171">
        <f t="shared" ca="1" si="21"/>
        <v>0</v>
      </c>
      <c r="AI331" s="128">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0</v>
      </c>
      <c r="AJ331" s="128">
        <f ca="1">SUMIFS('ИП + источники'!AI$27:AI$145,'ИП + источники'!$F$27:$F$145,$F331,'ИП + источники'!$AC$27:$AC$145,"Амортизационные отчисления")+SUMIFS('ИП + источники'!AI$27:AI$145,'ИП + источники'!$F$27:$F$145,$F331,'ИП + источники'!$AC$27:$AC$145,"погашение займов и кредитов из амортизации")</f>
        <v>0</v>
      </c>
      <c r="AK331" s="128">
        <f ca="1">SUMIFS('ИП + источники'!AJ$27:AJ$145,'ИП + источники'!$F$27:$F$145,$F331,'ИП + источники'!$AC$27:$AC$145,"Амортизационные отчисления")+SUMIFS('ИП + источники'!AJ$27:AJ$145,'ИП + источники'!$F$27:$F$145,$F331,'ИП + источники'!$AC$27:$AC$145,"погашение займов и кредитов из амортизации")</f>
        <v>0</v>
      </c>
      <c r="AL331" s="171">
        <f t="shared" ca="1" si="22"/>
        <v>0</v>
      </c>
      <c r="AM331" s="196"/>
      <c r="AN331" s="196"/>
      <c r="AO331" s="196"/>
      <c r="AR331" s="694" t="s">
        <v>1844</v>
      </c>
    </row>
    <row r="332" spans="1:48" s="868" customFormat="1" ht="21.75" customHeight="1" x14ac:dyDescent="0.25">
      <c r="A332" s="423"/>
      <c r="B332" s="423"/>
      <c r="C332" s="423"/>
      <c r="D332" s="423"/>
      <c r="E332" s="505">
        <v>22.5</v>
      </c>
      <c r="F332" s="3" t="str" cm="1">
        <f t="array" aca="1" ref="F332" ca="1">OFFSET(E332,-1,1)</f>
        <v>3</v>
      </c>
      <c r="G332" s="423"/>
      <c r="H332" s="423"/>
      <c r="I332" s="154" t="s">
        <v>532</v>
      </c>
      <c r="J332" s="154"/>
      <c r="K332" s="154"/>
      <c r="L332" s="154"/>
      <c r="M332" s="154"/>
      <c r="N332" s="154"/>
      <c r="O332" s="154"/>
      <c r="P332" s="154"/>
      <c r="Q332" s="154"/>
      <c r="R332" s="154"/>
      <c r="S332" s="154"/>
      <c r="T332" s="353" t="b" cm="1">
        <f t="array" aca="1" ref="T332" ca="1">T331</f>
        <v>1</v>
      </c>
      <c r="U332" s="423"/>
      <c r="V332" s="423"/>
      <c r="W332" s="423"/>
      <c r="X332" s="1078"/>
      <c r="Y332" s="423"/>
      <c r="Z332" s="1079"/>
      <c r="AA332" s="423"/>
      <c r="AB332" s="131" t="s">
        <v>536</v>
      </c>
      <c r="AC332" s="125" t="s">
        <v>1845</v>
      </c>
      <c r="AD332" s="124" t="s">
        <v>828</v>
      </c>
      <c r="AE332" s="126">
        <f ca="1">SUMIFS(Аренда!AE$25:AE$67,Аренда!$F$25:$F$67,$F332,Аренда!$G$25:$G$67,"Арендная и концессионная плата, лизинговые платежи")</f>
        <v>6302.4111457999998</v>
      </c>
      <c r="AF332" s="126">
        <f ca="1">SUMIFS(Аренда!AF$25:AF$67,Аренда!$F$25:$F$67,$F332,Аренда!$G$25:$G$67,"Арендная и концессионная плата, лизинговые платежи")</f>
        <v>9602.5820699933993</v>
      </c>
      <c r="AG332" s="126">
        <f ca="1">SUMIFS(Аренда!AG$25:AG$67,Аренда!$F$25:$F$67,$F332,Аренда!$G$25:$G$67,"Арендная и концессионная плата, лизинговые платежи")</f>
        <v>5752.7428782670004</v>
      </c>
      <c r="AH332" s="126">
        <f t="shared" ca="1" si="21"/>
        <v>-3849.8391917263989</v>
      </c>
      <c r="AI332" s="126">
        <f ca="1">SUMIFS(Аренда!AH$25:AH$67,Аренда!$F$25:$F$67,$F332,Аренда!$G$25:$G$67,"Арендная и концессионная плата, лизинговые платежи")</f>
        <v>6074.6931470083</v>
      </c>
      <c r="AJ332" s="126">
        <f ca="1">SUMIFS(Аренда!AI$25:AI$67,Аренда!$F$25:$F$67,$F332,Аренда!$G$25:$G$67,"Арендная и концессионная плата, лизинговые платежи")</f>
        <v>18173.700702943301</v>
      </c>
      <c r="AK332" s="126">
        <f ca="1">SUMIFS(Аренда!AS$25:AS$67,Аренда!$F$25:$F$67,$F332,Аренда!$G$25:$G$67,"Арендная и концессионная плата, лизинговые платежи")</f>
        <v>5752.7428782670004</v>
      </c>
      <c r="AL332" s="126">
        <f t="shared" ca="1" si="22"/>
        <v>-5.2998606011870013</v>
      </c>
      <c r="AM332" s="556"/>
      <c r="AN332" s="601" t="str">
        <f ca="1">IF(IFERROR(INDEX(Аренда!$K$26:$L$67,MATCH($F332&amp;"komm",Аренда!$K$26:$K$67,0),2),"")=0,"",IFERROR(INDEX(Аренда!$K$26:$L$67,MATCH($F332&amp;"komm",Аренда!$K$26:$K$67,0),2),""))</f>
        <v>П. 49(3), п. 29 Методических указаний ФСТ № 1746-э.</v>
      </c>
      <c r="AO332" s="556"/>
      <c r="AP332" s="423"/>
      <c r="AQ332" s="423"/>
      <c r="AR332" s="695" t="s">
        <v>1846</v>
      </c>
      <c r="AS332" s="695"/>
      <c r="AT332" s="695"/>
      <c r="AU332" s="505"/>
      <c r="AV332" s="505"/>
    </row>
    <row r="333" spans="1:48" s="868" customFormat="1" ht="14.25" customHeight="1" x14ac:dyDescent="0.25">
      <c r="A333" s="423"/>
      <c r="B333" s="423"/>
      <c r="C333" s="423"/>
      <c r="D333" s="423"/>
      <c r="E333" s="505">
        <v>15</v>
      </c>
      <c r="F333" s="3" t="str" cm="1">
        <f t="array" aca="1" ref="F333" ca="1">OFFSET(E333,-1,1)</f>
        <v>3</v>
      </c>
      <c r="G333" s="423"/>
      <c r="H333" s="423"/>
      <c r="I333" s="154" t="s">
        <v>535</v>
      </c>
      <c r="J333" s="154"/>
      <c r="K333" s="154"/>
      <c r="L333" s="154"/>
      <c r="M333" s="154"/>
      <c r="N333" s="154"/>
      <c r="O333" s="154"/>
      <c r="P333" s="154"/>
      <c r="Q333" s="154"/>
      <c r="R333" s="154"/>
      <c r="S333" s="154"/>
      <c r="T333" s="353" t="b" cm="1">
        <f t="array" aca="1" ref="T333" ca="1">T332</f>
        <v>1</v>
      </c>
      <c r="U333" s="423"/>
      <c r="V333" s="423"/>
      <c r="W333" s="423"/>
      <c r="X333" s="1078"/>
      <c r="Y333" s="423"/>
      <c r="Z333" s="1079"/>
      <c r="AA333" s="423"/>
      <c r="AB333" s="131" t="s">
        <v>602</v>
      </c>
      <c r="AC333" s="125" t="s">
        <v>1847</v>
      </c>
      <c r="AD333" s="124" t="s">
        <v>828</v>
      </c>
      <c r="AE333" s="126">
        <f ca="1">SUMIFS(Налоги!AE$25:AE$83,Налоги!$F$25:$F$83,$F333,Налоги!$AC$25:$AC$83,"Налоги и платежи, относимые на указанный вид деятельности")</f>
        <v>2064.0943790719998</v>
      </c>
      <c r="AF333" s="126">
        <f ca="1">SUMIFS(Налоги!AF$25:AF$83,Налоги!$F$25:$F$83,$F333,Налоги!$AC$25:$AC$83,"Налоги и платежи, относимые на указанный вид деятельности")</f>
        <v>301.19613069579998</v>
      </c>
      <c r="AG333" s="126">
        <f ca="1">SUMIFS(Налоги!AG$25:AG$83,Налоги!$F$25:$F$83,$F333,Налоги!$AC$25:$AC$83,"Налоги и платежи, относимые на указанный вид деятельности")</f>
        <v>301.19613069579998</v>
      </c>
      <c r="AH333" s="126">
        <f t="shared" ca="1" si="21"/>
        <v>0</v>
      </c>
      <c r="AI333" s="126">
        <f ca="1">SUMIFS(Налоги!AH$25:AH$83,Налоги!$F$25:$F$83,$F333,Налоги!$AC$25:$AC$83,"Налоги и платежи, относимые на указанный вид деятельности")</f>
        <v>127.87089852</v>
      </c>
      <c r="AJ333" s="126">
        <f ca="1">SUMIFS(Налоги!AI$25:AI$83,Налоги!$F$25:$F$83,$F333,Налоги!$AC$25:$AC$83,"Налоги и платежи, относимые на указанный вид деятельности")</f>
        <v>280.07739749960001</v>
      </c>
      <c r="AK333" s="126">
        <f ca="1">SUMIFS(Налоги!AS$25:AS$83,Налоги!$F$25:$F$83,$F333,Налоги!$AC$25:$AC$83,"Налоги и платежи, относимые на указанный вид деятельности")</f>
        <v>186.47520039119999</v>
      </c>
      <c r="AL333" s="126">
        <f t="shared" ca="1" si="22"/>
        <v>45.830836061603044</v>
      </c>
      <c r="AM333" s="556"/>
      <c r="AN333" s="601" t="str">
        <f ca="1">IF(IFERROR(INDEX(Налоги!$K$26:$L$83,MATCH($F333&amp;"komm",Налоги!$K$26:$K$83,0),2),"")=0,"",IFERROR(INDEX(Налоги!$K$26:$L$83,MATCH($F333&amp;"komm",Налоги!$K$26:$K$83,0),2),""))</f>
        <v>П. 49 (2) Методических укзаний ФСТ № 1746-э;  Глава 30 "Налог на имущество организаций" Налогового кодекса РФ; Статья 3 Закона Кемеровской области - Кузбасса от 26.11.2003 N 60-ОЗ (ред. от 23.04.2024) "О налоге на имущество организаций".</v>
      </c>
      <c r="AO333" s="556"/>
      <c r="AP333" s="423"/>
      <c r="AQ333" s="423"/>
      <c r="AR333" s="695" t="s">
        <v>1275</v>
      </c>
      <c r="AS333" s="695"/>
      <c r="AT333" s="695"/>
      <c r="AU333" s="505"/>
      <c r="AV333" s="505"/>
    </row>
    <row r="334" spans="1:48" s="868" customFormat="1" ht="14.25" customHeight="1" x14ac:dyDescent="0.25">
      <c r="A334" s="423"/>
      <c r="B334" s="423"/>
      <c r="C334" s="423"/>
      <c r="D334" s="423"/>
      <c r="E334" s="505">
        <v>15</v>
      </c>
      <c r="F334" s="3" t="str" cm="1">
        <f t="array" aca="1" ref="F334" ca="1">OFFSET(E334,-1,1)</f>
        <v>3</v>
      </c>
      <c r="G334" s="423"/>
      <c r="H334" s="423"/>
      <c r="I334" s="154" t="s">
        <v>586</v>
      </c>
      <c r="J334" s="154"/>
      <c r="K334" s="154"/>
      <c r="L334" s="154"/>
      <c r="M334" s="154"/>
      <c r="N334" s="154"/>
      <c r="O334" s="154"/>
      <c r="P334" s="154"/>
      <c r="Q334" s="154"/>
      <c r="R334" s="154"/>
      <c r="S334" s="154"/>
      <c r="T334" s="353" t="b" cm="1">
        <f t="array" aca="1" ref="T334" ca="1">T333</f>
        <v>1</v>
      </c>
      <c r="U334" s="423"/>
      <c r="V334" s="423"/>
      <c r="W334" s="423"/>
      <c r="X334" s="1078"/>
      <c r="Y334" s="423"/>
      <c r="Z334" s="1079"/>
      <c r="AA334" s="423"/>
      <c r="AB334" s="131" t="s">
        <v>610</v>
      </c>
      <c r="AC334" s="125" t="s">
        <v>1848</v>
      </c>
      <c r="AD334" s="147" t="s">
        <v>828</v>
      </c>
      <c r="AE334" s="126">
        <f ca="1">AE335+AE336+AE337</f>
        <v>0</v>
      </c>
      <c r="AF334" s="126">
        <f ca="1">AF335+AF336+AF337</f>
        <v>0</v>
      </c>
      <c r="AG334" s="126">
        <f ca="1">AG335+AG336+AG337</f>
        <v>0</v>
      </c>
      <c r="AH334" s="126">
        <f t="shared" ca="1" si="21"/>
        <v>0</v>
      </c>
      <c r="AI334" s="126">
        <f ca="1">AI335+AI336+AI337</f>
        <v>0</v>
      </c>
      <c r="AJ334" s="126">
        <f ca="1">AJ335+AJ336+AJ337</f>
        <v>0</v>
      </c>
      <c r="AK334" s="126">
        <f ca="1">AK335+AK336+AK337</f>
        <v>0</v>
      </c>
      <c r="AL334" s="126">
        <f t="shared" ca="1" si="22"/>
        <v>0</v>
      </c>
      <c r="AM334" s="556"/>
      <c r="AN334" s="601"/>
      <c r="AO334" s="556"/>
      <c r="AP334" s="423"/>
      <c r="AQ334" s="423"/>
      <c r="AR334" s="695" t="s">
        <v>1517</v>
      </c>
      <c r="AS334" s="695"/>
      <c r="AT334" s="695"/>
      <c r="AU334" s="505"/>
      <c r="AV334" s="505"/>
    </row>
    <row r="335" spans="1:48" ht="14.25" customHeight="1" x14ac:dyDescent="0.25">
      <c r="E335" s="504">
        <v>15</v>
      </c>
      <c r="F335" s="3" t="str" cm="1">
        <f t="array" aca="1" ref="F335" ca="1">OFFSET(E335,-1,1)</f>
        <v>3</v>
      </c>
      <c r="I335" s="38" t="s">
        <v>589</v>
      </c>
      <c r="J335" s="38"/>
      <c r="K335" s="38"/>
      <c r="L335" s="38"/>
      <c r="M335" s="38"/>
      <c r="N335" s="38"/>
      <c r="O335" s="38"/>
      <c r="P335" s="38"/>
      <c r="Q335" s="38"/>
      <c r="R335" s="38"/>
      <c r="S335" s="38"/>
      <c r="T335" s="353" t="b" cm="1">
        <f t="array" aca="1" ref="T335" ca="1">T334</f>
        <v>1</v>
      </c>
      <c r="X335" s="1078"/>
      <c r="Z335" s="1079"/>
      <c r="AB335" s="133" t="s">
        <v>614</v>
      </c>
      <c r="AC335" s="127" t="s">
        <v>1849</v>
      </c>
      <c r="AD335" s="7" t="s">
        <v>828</v>
      </c>
      <c r="AE335" s="128">
        <f ca="1">SUMIFS('ИП + источники'!AF$26:AF$145,'ИП + источники'!$F$26:$F$145,$F335,'ИП + источники'!$AC$26:$AC$145,"погашение займов и кредитов из нормативной прибыли")+SUMIFS('ИП + источники'!AF$26:AF$145,'ИП + источники'!$F$26:$F$145,$F335,'ИП + источники'!$AC$26:$AC$145,"уплата процентов по кредитам из нормативной прибыли")</f>
        <v>0</v>
      </c>
      <c r="AF335" s="128">
        <f ca="1">SUMIFS('ИП + источники'!AG$26:AG$145,'ИП + источники'!$F$26:$F$145,$F335,'ИП + источники'!$AC$26:$AC$145,"погашение займов и кредитов из нормативной прибыли")+SUMIFS('ИП + источники'!AG$26:AG$145,'ИП + источники'!$F$26:$F$145,$F335,'ИП + источники'!$AC$26:$AC$145,"уплата процентов по кредитам из нормативной прибыли")</f>
        <v>0</v>
      </c>
      <c r="AG335" s="128">
        <f ca="1">SUMIFS('ИП + источники'!AH$26:AH$145,'ИП + источники'!$F$26:$F$145,$F335,'ИП + источники'!$AC$26:$AC$145,"погашение займов и кредитов из нормативной прибыли")+SUMIFS('ИП + источники'!AH$26:AH$145,'ИП + источники'!$F$26:$F$145,$F335,'ИП + источники'!$AC$26:$AC$145,"уплата процентов по кредитам из нормативной прибыли")</f>
        <v>0</v>
      </c>
      <c r="AH335" s="171">
        <f t="shared" ca="1" si="21"/>
        <v>0</v>
      </c>
      <c r="AI335" s="128">
        <f ca="1">SUMIFS('ИП + источники'!AJ$26:AJ$145,'ИП + источники'!$F$26:$F$145,$F335,'ИП + источники'!$AC$26:$AC$145,"погашение займов и кредитов из нормативной прибыли")+SUMIFS('ИП + источники'!AJ$26:AJ$145,'ИП + источники'!$F$26:$F$145,$F335,'ИП + источники'!$AC$26:$AC$145,"уплата процентов по кредитам из нормативной прибыли")</f>
        <v>0</v>
      </c>
      <c r="AJ335" s="128">
        <f ca="1">SUMIFS('ИП + источники'!AK$26:AK$145,'ИП + источники'!$F$26:$F$145,$F335,'ИП + источники'!$AC$26:$AC$145,"погашение займов и кредитов из нормативной прибыли")+SUMIFS('ИП + источники'!AK$26:AK$145,'ИП + источники'!$F$26:$F$145,$F335,'ИП + источники'!$AC$26:$AC$145,"уплата процентов по кредитам из нормативной прибыли")</f>
        <v>0</v>
      </c>
      <c r="AK335" s="128">
        <f ca="1">SUMIFS('ИП + источники'!AU$26:AU$145,'ИП + источники'!$F$26:$F$145,$F335,'ИП + источники'!$AC$26:$AC$145,"погашение займов и кредитов из нормативной прибыли")+SUMIFS('ИП + источники'!AU$26:AU$145,'ИП + источники'!$F$26:$F$145,$F335,'ИП + источники'!$AC$26:$AC$145,"уплата процентов по кредитам из нормативной прибыли")</f>
        <v>0</v>
      </c>
      <c r="AL335" s="171">
        <f t="shared" ca="1" si="22"/>
        <v>0</v>
      </c>
      <c r="AM335" s="196"/>
      <c r="AN335" s="601" t="str">
        <f ca="1">IF(IFERROR(INDEX('ИП + источники'!$K$28:$L$145,MATCH($F335&amp;"1komm",'ИП + источники'!$K$28:$K$145,0),2),"")=0,"",IFERROR(INDEX('ИП + источники'!$K$28:$L$145,MATCH($F335&amp;"1komm",'ИП + источники'!$K$28:$K$145,0),2),""))</f>
        <v/>
      </c>
      <c r="AO335" s="196"/>
      <c r="AR335" s="694" t="s">
        <v>1268</v>
      </c>
    </row>
    <row r="336" spans="1:48" ht="14.25" customHeight="1" x14ac:dyDescent="0.25">
      <c r="E336" s="504">
        <v>15</v>
      </c>
      <c r="F336" s="3" t="str" cm="1">
        <f t="array" aca="1" ref="F336" ca="1">OFFSET(E336,-1,1)</f>
        <v>3</v>
      </c>
      <c r="I336" s="38" t="s">
        <v>593</v>
      </c>
      <c r="J336" s="38"/>
      <c r="K336" s="38"/>
      <c r="L336" s="38"/>
      <c r="M336" s="38"/>
      <c r="N336" s="38"/>
      <c r="O336" s="38"/>
      <c r="P336" s="38"/>
      <c r="Q336" s="38"/>
      <c r="R336" s="38"/>
      <c r="S336" s="38"/>
      <c r="T336" s="353" t="b" cm="1">
        <f t="array" aca="1" ref="T336" ca="1">T335</f>
        <v>1</v>
      </c>
      <c r="X336" s="1078"/>
      <c r="Z336" s="1079"/>
      <c r="AB336" s="133" t="s">
        <v>631</v>
      </c>
      <c r="AC336" s="127" t="s">
        <v>1850</v>
      </c>
      <c r="AD336" s="7" t="s">
        <v>828</v>
      </c>
      <c r="AE336" s="128">
        <f ca="1">SUMIFS('ИП + источники'!AF$27:AF$145,'ИП + источники'!$F$27:$F$145,$F336,'ИП + источники'!$AC$27:$AC$145,"Прибыль на капвложения")</f>
        <v>0</v>
      </c>
      <c r="AF336" s="128">
        <f ca="1">SUMIFS('ИП + источники'!AG$27:AG$145,'ИП + источники'!$F$27:$F$145,$F336,'ИП + источники'!$AC$27:$AC$145,"Прибыль на капвложения")</f>
        <v>0</v>
      </c>
      <c r="AG336" s="128">
        <f ca="1">SUMIFS('ИП + источники'!AH$27:AH$145,'ИП + источники'!$F$27:$F$145,$F336,'ИП + источники'!$AC$27:$AC$145,"Прибыль на капвложения")</f>
        <v>0</v>
      </c>
      <c r="AH336" s="171">
        <f t="shared" ca="1" si="21"/>
        <v>0</v>
      </c>
      <c r="AI336" s="128">
        <f ca="1">SUMIFS('ИП + источники'!AJ$27:AJ$145,'ИП + источники'!$F$27:$F$145,$F336,'ИП + источники'!$AC$27:$AC$145,"Прибыль на капвложения")</f>
        <v>0</v>
      </c>
      <c r="AJ336" s="128">
        <f ca="1">SUMIFS('ИП + источники'!AK$27:AK$145,'ИП + источники'!$F$27:$F$145,$F336,'ИП + источники'!$AC$27:$AC$145,"Прибыль на капвложения")</f>
        <v>0</v>
      </c>
      <c r="AK336" s="128">
        <f ca="1">SUMIFS('ИП + источники'!AU$27:AU$145,'ИП + источники'!$F$27:$F$145,$F336,'ИП + источники'!$AC$27:$AC$145,"Прибыль на капвложения")</f>
        <v>0</v>
      </c>
      <c r="AL336" s="171">
        <f t="shared" ca="1" si="22"/>
        <v>0</v>
      </c>
      <c r="AM336" s="196"/>
      <c r="AN336" s="601" t="str">
        <f ca="1">IF(IFERROR(INDEX('ИП + источники'!$K$28:$L$145,MATCH($F336&amp;"2komm",'ИП + источники'!$K$28:$K$145,0),2),"")=0,"",IFERROR(INDEX('ИП + источники'!$K$28:$L$145,MATCH($F336&amp;"2komm",'ИП + источники'!$K$28:$K$145,0),2),""))</f>
        <v/>
      </c>
      <c r="AO336" s="196"/>
      <c r="AR336" s="694" t="s">
        <v>1851</v>
      </c>
    </row>
    <row r="337" spans="1:48" ht="21.75" customHeight="1" x14ac:dyDescent="0.25">
      <c r="E337" s="504">
        <v>22.5</v>
      </c>
      <c r="F337" s="3" t="str" cm="1">
        <f t="array" aca="1" ref="F337" ca="1">OFFSET(E337,-1,1)</f>
        <v>3</v>
      </c>
      <c r="I337" s="38" t="s">
        <v>597</v>
      </c>
      <c r="J337" s="38"/>
      <c r="K337" s="38"/>
      <c r="L337" s="38"/>
      <c r="M337" s="38"/>
      <c r="N337" s="38"/>
      <c r="O337" s="38"/>
      <c r="P337" s="38"/>
      <c r="Q337" s="38"/>
      <c r="R337" s="38"/>
      <c r="S337" s="38"/>
      <c r="T337" s="353" t="b" cm="1">
        <f t="array" aca="1" ref="T337" ca="1">T336</f>
        <v>1</v>
      </c>
      <c r="X337" s="1078"/>
      <c r="Z337" s="1079"/>
      <c r="AB337" s="133" t="s">
        <v>643</v>
      </c>
      <c r="AC337" s="127" t="s">
        <v>1852</v>
      </c>
      <c r="AD337" s="7" t="s">
        <v>828</v>
      </c>
      <c r="AE337" s="128"/>
      <c r="AF337" s="128"/>
      <c r="AG337" s="128"/>
      <c r="AH337" s="171"/>
      <c r="AI337" s="128"/>
      <c r="AJ337" s="128"/>
      <c r="AK337" s="128"/>
      <c r="AL337" s="171">
        <f t="shared" si="22"/>
        <v>0</v>
      </c>
      <c r="AM337" s="196"/>
      <c r="AN337" s="196"/>
      <c r="AO337" s="196"/>
      <c r="AR337" s="694" t="s">
        <v>1853</v>
      </c>
    </row>
    <row r="338" spans="1:48" s="868" customFormat="1" ht="21.75" hidden="1" customHeight="1" x14ac:dyDescent="0.25">
      <c r="A338" s="423"/>
      <c r="B338" s="423" t="b">
        <f>STATUS_GO="да"</f>
        <v>0</v>
      </c>
      <c r="C338" s="423"/>
      <c r="D338" s="423"/>
      <c r="E338" s="505">
        <v>22.5</v>
      </c>
      <c r="F338" s="3" t="str" cm="1">
        <f t="array" aca="1" ref="F338" ca="1">OFFSET(E338,-1,1)</f>
        <v>3</v>
      </c>
      <c r="G338" s="423"/>
      <c r="H338" s="423"/>
      <c r="I338" s="154" t="s">
        <v>601</v>
      </c>
      <c r="J338" s="154"/>
      <c r="K338" s="154"/>
      <c r="L338" s="154"/>
      <c r="M338" s="154"/>
      <c r="N338" s="154"/>
      <c r="O338" s="154"/>
      <c r="P338" s="154"/>
      <c r="Q338" s="154"/>
      <c r="R338" s="154"/>
      <c r="S338" s="154"/>
      <c r="T338" s="353" t="b" cm="1">
        <f t="array" aca="1" ref="T338" ca="1">T337</f>
        <v>1</v>
      </c>
      <c r="U338" s="423"/>
      <c r="V338" s="423"/>
      <c r="W338" s="423"/>
      <c r="X338" s="1078"/>
      <c r="Y338" s="423"/>
      <c r="Z338" s="1079"/>
      <c r="AA338" s="423"/>
      <c r="AB338" s="131" t="s">
        <v>768</v>
      </c>
      <c r="AC338" s="132" t="s">
        <v>1854</v>
      </c>
      <c r="AD338" s="124" t="s">
        <v>828</v>
      </c>
      <c r="AE338" s="138"/>
      <c r="AF338" s="138"/>
      <c r="AG338" s="138"/>
      <c r="AH338" s="126">
        <f>AG338-AF338</f>
        <v>0</v>
      </c>
      <c r="AI338" s="138"/>
      <c r="AJ338" s="774"/>
      <c r="AK338" s="774"/>
      <c r="AL338" s="126">
        <f t="shared" si="22"/>
        <v>0</v>
      </c>
      <c r="AM338" s="777"/>
      <c r="AN338" s="777"/>
      <c r="AO338" s="777"/>
      <c r="AP338" s="423"/>
      <c r="AQ338" s="423"/>
      <c r="AR338" s="695" t="s">
        <v>1855</v>
      </c>
      <c r="AS338" s="695"/>
      <c r="AT338" s="695"/>
      <c r="AU338" s="505"/>
      <c r="AV338" s="505"/>
    </row>
    <row r="339" spans="1:48" ht="14.25" customHeight="1" x14ac:dyDescent="0.25">
      <c r="E339" s="504">
        <v>15</v>
      </c>
      <c r="F339" s="3" t="str" cm="1">
        <f t="array" aca="1" ref="F339" ca="1">OFFSET(E339,-1,1)</f>
        <v>3</v>
      </c>
      <c r="I339" s="38" t="s">
        <v>609</v>
      </c>
      <c r="J339" s="38"/>
      <c r="K339" s="38"/>
      <c r="L339" s="38"/>
      <c r="M339" s="38"/>
      <c r="N339" s="38"/>
      <c r="O339" s="38"/>
      <c r="P339" s="38"/>
      <c r="Q339" s="38"/>
      <c r="R339" s="38"/>
      <c r="S339" s="38"/>
      <c r="T339" s="353" t="b" cm="1">
        <f t="array" aca="1" ref="T339" ca="1">T338</f>
        <v>1</v>
      </c>
      <c r="X339" s="1078"/>
      <c r="Z339" s="1079"/>
      <c r="AB339" s="133" t="s">
        <v>771</v>
      </c>
      <c r="AC339" s="346" t="s">
        <v>1472</v>
      </c>
      <c r="AD339" s="7" t="s">
        <v>828</v>
      </c>
      <c r="AE339" s="128"/>
      <c r="AF339" s="128"/>
      <c r="AG339" s="128"/>
      <c r="AH339" s="171"/>
      <c r="AI339" s="129"/>
      <c r="AJ339" s="129"/>
      <c r="AK339" s="129"/>
      <c r="AL339" s="171">
        <f t="shared" si="22"/>
        <v>0</v>
      </c>
      <c r="AM339" s="196"/>
      <c r="AN339" s="196"/>
      <c r="AO339" s="196"/>
      <c r="AR339" s="694" t="s">
        <v>1856</v>
      </c>
    </row>
    <row r="340" spans="1:48" ht="101.25" hidden="1" customHeight="1" x14ac:dyDescent="0.25">
      <c r="E340" s="504">
        <v>0</v>
      </c>
      <c r="F340" s="3" t="str" cm="1">
        <f t="array" aca="1" ref="F340" ca="1">OFFSET(E340,-1,1)</f>
        <v>3</v>
      </c>
      <c r="H340" s="38" t="b">
        <f>ISERR(SEARCH("Водоснабжение",AB282))</f>
        <v>1</v>
      </c>
      <c r="I340" s="38" t="s">
        <v>767</v>
      </c>
      <c r="J340" s="38"/>
      <c r="K340" s="38"/>
      <c r="L340" s="38"/>
      <c r="M340" s="38"/>
      <c r="N340" s="38"/>
      <c r="O340" s="38"/>
      <c r="P340" s="38"/>
      <c r="Q340" s="38"/>
      <c r="R340" s="38"/>
      <c r="S340" s="38"/>
      <c r="T340" s="353" t="b" cm="1">
        <f t="array" aca="1" ref="T340" ca="1">T339</f>
        <v>1</v>
      </c>
      <c r="X340" s="1078"/>
      <c r="Z340" s="1079"/>
      <c r="AB340" s="133" t="s">
        <v>1098</v>
      </c>
      <c r="AC340" s="346" t="s">
        <v>1857</v>
      </c>
      <c r="AD340" s="9" t="s">
        <v>828</v>
      </c>
      <c r="AE340" s="128"/>
      <c r="AF340" s="128"/>
      <c r="AG340" s="128"/>
      <c r="AH340" s="171">
        <f t="shared" ref="AH340:AH355" si="23">AG340-AF340</f>
        <v>0</v>
      </c>
      <c r="AI340" s="128"/>
      <c r="AJ340" s="778"/>
      <c r="AK340" s="778">
        <f ca="1">IFERROR(SUMIFS('Плата за негативное возд'!$AL$25:$AL$38,'Плата за негативное возд'!$F$25:$F$38,F340,'Плата за негативное возд'!$G$25:$G$38,"1"),0)</f>
        <v>0</v>
      </c>
      <c r="AL340" s="171">
        <f t="shared" si="22"/>
        <v>0</v>
      </c>
      <c r="AM340" s="775"/>
      <c r="AN340" s="775"/>
      <c r="AO340" s="775"/>
      <c r="AR340" s="694" t="s">
        <v>1374</v>
      </c>
    </row>
    <row r="341" spans="1:48" ht="67.5" hidden="1" customHeight="1" x14ac:dyDescent="0.25">
      <c r="E341" s="504">
        <v>0</v>
      </c>
      <c r="F341" s="3" t="str" cm="1">
        <f t="array" aca="1" ref="F341" ca="1">OFFSET(E341,-1,1)</f>
        <v>3</v>
      </c>
      <c r="H341" s="38" t="b">
        <f>ISERR(SEARCH("Водоснабжение",AB282))</f>
        <v>1</v>
      </c>
      <c r="I341" s="38" t="s">
        <v>770</v>
      </c>
      <c r="J341" s="38"/>
      <c r="K341" s="38"/>
      <c r="L341" s="38"/>
      <c r="M341" s="38"/>
      <c r="N341" s="38"/>
      <c r="O341" s="38"/>
      <c r="P341" s="38"/>
      <c r="Q341" s="38"/>
      <c r="R341" s="38"/>
      <c r="S341" s="38"/>
      <c r="T341" s="353" t="b" cm="1">
        <f t="array" aca="1" ref="T341" ca="1">T340</f>
        <v>1</v>
      </c>
      <c r="X341" s="1078"/>
      <c r="Z341" s="1079"/>
      <c r="AB341" s="133" t="s">
        <v>1858</v>
      </c>
      <c r="AC341" s="346" t="s">
        <v>1859</v>
      </c>
      <c r="AD341" s="9" t="s">
        <v>828</v>
      </c>
      <c r="AE341" s="128"/>
      <c r="AF341" s="128"/>
      <c r="AG341" s="128"/>
      <c r="AH341" s="171">
        <f t="shared" si="23"/>
        <v>0</v>
      </c>
      <c r="AI341" s="128"/>
      <c r="AJ341" s="778"/>
      <c r="AK341" s="778">
        <f ca="1">IFERROR(SUMIFS('Плата за негативное возд'!$AL$25:$AL$38,'Плата за негативное возд'!$F$25:$F$38,F341,'Плата за негативное возд'!$G$25:$G$38,"2"),0)</f>
        <v>0</v>
      </c>
      <c r="AL341" s="171">
        <f t="shared" si="22"/>
        <v>0</v>
      </c>
      <c r="AM341" s="775"/>
      <c r="AN341" s="775"/>
      <c r="AO341" s="775"/>
      <c r="AR341" s="694" t="s">
        <v>1378</v>
      </c>
    </row>
    <row r="342" spans="1:48" ht="14.25" customHeight="1" x14ac:dyDescent="0.25">
      <c r="E342" s="504">
        <v>15</v>
      </c>
      <c r="F342" s="3" t="str" cm="1">
        <f t="array" aca="1" ref="F342" ca="1">OFFSET(E342,-1,1)</f>
        <v>3</v>
      </c>
      <c r="I342" s="38" t="s">
        <v>806</v>
      </c>
      <c r="J342" s="38"/>
      <c r="K342" s="38"/>
      <c r="L342" s="38"/>
      <c r="M342" s="38"/>
      <c r="N342" s="38"/>
      <c r="O342" s="38"/>
      <c r="P342" s="38"/>
      <c r="Q342" s="38"/>
      <c r="R342" s="38"/>
      <c r="S342" s="38"/>
      <c r="T342" s="353" t="b" cm="1">
        <f t="array" aca="1" ref="T342" ca="1">T341</f>
        <v>1</v>
      </c>
      <c r="X342" s="1078"/>
      <c r="Z342" s="1079"/>
      <c r="AB342" s="133" t="s">
        <v>1860</v>
      </c>
      <c r="AC342" s="246" t="s">
        <v>1861</v>
      </c>
      <c r="AD342" s="7" t="s">
        <v>828</v>
      </c>
      <c r="AE342" s="128"/>
      <c r="AF342" s="128"/>
      <c r="AG342" s="128"/>
      <c r="AH342" s="171">
        <f t="shared" si="23"/>
        <v>0</v>
      </c>
      <c r="AI342" s="128"/>
      <c r="AJ342" s="128"/>
      <c r="AK342" s="128"/>
      <c r="AL342" s="171">
        <f t="shared" si="22"/>
        <v>0</v>
      </c>
      <c r="AM342" s="196"/>
      <c r="AN342" s="196"/>
      <c r="AO342" s="196"/>
      <c r="AR342" s="694" t="s">
        <v>1253</v>
      </c>
    </row>
    <row r="343" spans="1:48" s="868" customFormat="1" ht="21.75" customHeight="1" x14ac:dyDescent="0.25">
      <c r="A343" s="423"/>
      <c r="B343" s="423"/>
      <c r="C343" s="423"/>
      <c r="D343" s="423"/>
      <c r="E343" s="505">
        <v>22.5</v>
      </c>
      <c r="F343" s="3" t="str" cm="1">
        <f t="array" aca="1" ref="F343" ca="1">OFFSET(E343,-1,1)</f>
        <v>3</v>
      </c>
      <c r="G343" s="423"/>
      <c r="H343" s="423"/>
      <c r="I343" s="154" t="s">
        <v>807</v>
      </c>
      <c r="J343" s="154"/>
      <c r="K343" s="154"/>
      <c r="L343" s="154"/>
      <c r="M343" s="154"/>
      <c r="N343" s="154"/>
      <c r="O343" s="154"/>
      <c r="P343" s="154"/>
      <c r="Q343" s="154"/>
      <c r="R343" s="154"/>
      <c r="S343" s="154"/>
      <c r="T343" s="353" t="b" cm="1">
        <f t="array" aca="1" ref="T343" ca="1">T342</f>
        <v>1</v>
      </c>
      <c r="U343" s="423"/>
      <c r="V343" s="423"/>
      <c r="W343" s="423"/>
      <c r="X343" s="1078"/>
      <c r="Y343" s="423"/>
      <c r="Z343" s="1079"/>
      <c r="AA343" s="423"/>
      <c r="AB343" s="131" t="s">
        <v>1862</v>
      </c>
      <c r="AC343" s="125" t="s">
        <v>1863</v>
      </c>
      <c r="AD343" s="124" t="s">
        <v>828</v>
      </c>
      <c r="AE343" s="126">
        <f>AE344+AE345</f>
        <v>0</v>
      </c>
      <c r="AF343" s="126">
        <f>AF344+AF345</f>
        <v>0</v>
      </c>
      <c r="AG343" s="126">
        <f>AG344+AG345</f>
        <v>0</v>
      </c>
      <c r="AH343" s="126">
        <f t="shared" si="23"/>
        <v>0</v>
      </c>
      <c r="AI343" s="126">
        <f>AI344+AI345</f>
        <v>0</v>
      </c>
      <c r="AJ343" s="126">
        <f>AJ344+AJ345</f>
        <v>0</v>
      </c>
      <c r="AK343" s="126">
        <f>AK344+AK345</f>
        <v>0</v>
      </c>
      <c r="AL343" s="126">
        <f t="shared" si="22"/>
        <v>0</v>
      </c>
      <c r="AM343" s="556"/>
      <c r="AN343" s="556"/>
      <c r="AO343" s="556"/>
      <c r="AP343" s="423"/>
      <c r="AQ343" s="423"/>
      <c r="AR343" s="695" t="s">
        <v>1555</v>
      </c>
      <c r="AS343" s="695"/>
      <c r="AT343" s="695"/>
      <c r="AU343" s="505"/>
      <c r="AV343" s="505"/>
    </row>
    <row r="344" spans="1:48" ht="21.75" customHeight="1" x14ac:dyDescent="0.25">
      <c r="E344" s="504">
        <v>22.5</v>
      </c>
      <c r="F344" s="3" t="str" cm="1">
        <f t="array" aca="1" ref="F344" ca="1">OFFSET(E344,-1,1)</f>
        <v>3</v>
      </c>
      <c r="I344" s="38" t="s">
        <v>1864</v>
      </c>
      <c r="J344" s="38"/>
      <c r="K344" s="38"/>
      <c r="L344" s="38"/>
      <c r="M344" s="38"/>
      <c r="N344" s="38"/>
      <c r="O344" s="38"/>
      <c r="P344" s="38"/>
      <c r="Q344" s="38"/>
      <c r="R344" s="38"/>
      <c r="S344" s="38"/>
      <c r="T344" s="353" t="b" cm="1">
        <f t="array" aca="1" ref="T344" ca="1">T343</f>
        <v>1</v>
      </c>
      <c r="X344" s="1078"/>
      <c r="Z344" s="1079"/>
      <c r="AB344" s="133" t="s">
        <v>1865</v>
      </c>
      <c r="AC344" s="550" t="s">
        <v>1556</v>
      </c>
      <c r="AD344" s="7" t="s">
        <v>828</v>
      </c>
      <c r="AE344" s="128"/>
      <c r="AF344" s="128"/>
      <c r="AG344" s="128"/>
      <c r="AH344" s="171">
        <f t="shared" si="23"/>
        <v>0</v>
      </c>
      <c r="AI344" s="128"/>
      <c r="AJ344" s="128"/>
      <c r="AK344" s="128"/>
      <c r="AL344" s="171">
        <f t="shared" si="22"/>
        <v>0</v>
      </c>
      <c r="AM344" s="196"/>
      <c r="AN344" s="196"/>
      <c r="AO344" s="196"/>
      <c r="AR344" s="694" t="s">
        <v>1594</v>
      </c>
    </row>
    <row r="345" spans="1:48" ht="21.75" customHeight="1" x14ac:dyDescent="0.25">
      <c r="E345" s="504">
        <v>22.5</v>
      </c>
      <c r="F345" s="3" t="str" cm="1">
        <f t="array" aca="1" ref="F345" ca="1">OFFSET(E345,-1,1)</f>
        <v>3</v>
      </c>
      <c r="I345" s="38" t="s">
        <v>1866</v>
      </c>
      <c r="J345" s="38"/>
      <c r="K345" s="38"/>
      <c r="L345" s="38"/>
      <c r="M345" s="38"/>
      <c r="N345" s="38"/>
      <c r="O345" s="38"/>
      <c r="P345" s="38"/>
      <c r="Q345" s="38"/>
      <c r="R345" s="38"/>
      <c r="S345" s="38"/>
      <c r="T345" s="353" t="b" cm="1">
        <f t="array" aca="1" ref="T345" ca="1">T344</f>
        <v>1</v>
      </c>
      <c r="X345" s="1078"/>
      <c r="Z345" s="1079"/>
      <c r="AB345" s="133" t="s">
        <v>1867</v>
      </c>
      <c r="AC345" s="550" t="s">
        <v>1558</v>
      </c>
      <c r="AD345" s="7" t="s">
        <v>828</v>
      </c>
      <c r="AE345" s="128"/>
      <c r="AF345" s="128"/>
      <c r="AG345" s="128"/>
      <c r="AH345" s="171">
        <f t="shared" si="23"/>
        <v>0</v>
      </c>
      <c r="AI345" s="128"/>
      <c r="AJ345" s="128"/>
      <c r="AK345" s="128"/>
      <c r="AL345" s="171">
        <f t="shared" si="22"/>
        <v>0</v>
      </c>
      <c r="AM345" s="196"/>
      <c r="AN345" s="196"/>
      <c r="AO345" s="196"/>
      <c r="AR345" s="694" t="s">
        <v>1868</v>
      </c>
    </row>
    <row r="346" spans="1:48" ht="14.25" customHeight="1" x14ac:dyDescent="0.25">
      <c r="E346" s="504">
        <v>15</v>
      </c>
      <c r="F346" s="3" t="str" cm="1">
        <f t="array" aca="1" ref="F346" ca="1">OFFSET(E346,-1,1)</f>
        <v>3</v>
      </c>
      <c r="I346" s="38" t="s">
        <v>1869</v>
      </c>
      <c r="J346" s="38"/>
      <c r="K346" s="38"/>
      <c r="L346" s="38"/>
      <c r="M346" s="38"/>
      <c r="N346" s="38"/>
      <c r="O346" s="38"/>
      <c r="P346" s="38"/>
      <c r="Q346" s="38"/>
      <c r="R346" s="38"/>
      <c r="S346" s="38"/>
      <c r="T346" s="353" t="b" cm="1">
        <f t="array" aca="1" ref="T346" ca="1">T345</f>
        <v>1</v>
      </c>
      <c r="X346" s="1078"/>
      <c r="Z346" s="1079"/>
      <c r="AB346" s="551" t="s">
        <v>340</v>
      </c>
      <c r="AC346" s="557" t="s">
        <v>1560</v>
      </c>
      <c r="AD346" s="7" t="s">
        <v>828</v>
      </c>
      <c r="AE346" s="128"/>
      <c r="AF346" s="128"/>
      <c r="AG346" s="128"/>
      <c r="AH346" s="171">
        <f t="shared" si="23"/>
        <v>0</v>
      </c>
      <c r="AI346" s="128"/>
      <c r="AJ346" s="128"/>
      <c r="AK346" s="128"/>
      <c r="AL346" s="171">
        <f t="shared" si="22"/>
        <v>0</v>
      </c>
      <c r="AM346" s="196"/>
      <c r="AN346" s="196"/>
      <c r="AO346" s="196"/>
      <c r="AR346" s="694" t="s">
        <v>1561</v>
      </c>
    </row>
    <row r="347" spans="1:48" ht="14.25" customHeight="1" x14ac:dyDescent="0.25">
      <c r="E347" s="504">
        <v>15</v>
      </c>
      <c r="F347" s="3" t="str" cm="1">
        <f t="array" aca="1" ref="F347" ca="1">OFFSET(E347,-1,1)</f>
        <v>3</v>
      </c>
      <c r="I347" s="38" t="s">
        <v>1870</v>
      </c>
      <c r="J347" s="38"/>
      <c r="K347" s="38"/>
      <c r="L347" s="38"/>
      <c r="M347" s="38"/>
      <c r="N347" s="38"/>
      <c r="O347" s="38"/>
      <c r="P347" s="38"/>
      <c r="Q347" s="38"/>
      <c r="R347" s="38"/>
      <c r="S347" s="38"/>
      <c r="T347" s="353" t="b" cm="1">
        <f t="array" aca="1" ref="T347" ca="1">T346</f>
        <v>1</v>
      </c>
      <c r="X347" s="1078"/>
      <c r="Z347" s="1079"/>
      <c r="AB347" s="551" t="s">
        <v>1871</v>
      </c>
      <c r="AC347" s="557" t="s">
        <v>1562</v>
      </c>
      <c r="AD347" s="7" t="s">
        <v>828</v>
      </c>
      <c r="AE347" s="128"/>
      <c r="AF347" s="128"/>
      <c r="AG347" s="128"/>
      <c r="AH347" s="171">
        <f t="shared" si="23"/>
        <v>0</v>
      </c>
      <c r="AI347" s="128"/>
      <c r="AJ347" s="128"/>
      <c r="AK347" s="128"/>
      <c r="AL347" s="171">
        <f t="shared" si="22"/>
        <v>0</v>
      </c>
      <c r="AM347" s="196"/>
      <c r="AN347" s="196"/>
      <c r="AO347" s="196"/>
      <c r="AR347" s="694" t="s">
        <v>1563</v>
      </c>
    </row>
    <row r="348" spans="1:48" s="868" customFormat="1" ht="14.25" customHeight="1" x14ac:dyDescent="0.25">
      <c r="A348" s="423"/>
      <c r="B348" s="423"/>
      <c r="C348" s="423"/>
      <c r="D348" s="423"/>
      <c r="E348" s="505">
        <v>15</v>
      </c>
      <c r="F348" s="3" t="str" cm="1">
        <f t="array" aca="1" ref="F348" ca="1">OFFSET(E348,-1,1)</f>
        <v>3</v>
      </c>
      <c r="G348" s="423"/>
      <c r="H348" s="423"/>
      <c r="I348" s="154" t="s">
        <v>1872</v>
      </c>
      <c r="J348" s="154"/>
      <c r="K348" s="154"/>
      <c r="L348" s="154"/>
      <c r="M348" s="154"/>
      <c r="N348" s="154"/>
      <c r="O348" s="154"/>
      <c r="P348" s="154"/>
      <c r="Q348" s="154"/>
      <c r="R348" s="154"/>
      <c r="S348" s="154"/>
      <c r="T348" s="353" t="b" cm="1">
        <f t="array" aca="1" ref="T348" ca="1">T347</f>
        <v>1</v>
      </c>
      <c r="U348" s="423"/>
      <c r="V348" s="423"/>
      <c r="W348" s="423"/>
      <c r="X348" s="1078"/>
      <c r="Y348" s="423"/>
      <c r="Z348" s="1079"/>
      <c r="AA348" s="423"/>
      <c r="AB348" s="131" t="s">
        <v>1873</v>
      </c>
      <c r="AC348" s="125" t="s">
        <v>1874</v>
      </c>
      <c r="AD348" s="124" t="s">
        <v>828</v>
      </c>
      <c r="AE348" s="126">
        <f ca="1">AE283+AE311+AE316+AE329+AE330+AE332+AE333+AE334+AE338+AE339-AE340-AE341+AE342-AE343+AE346+AE347</f>
        <v>14781.593652613899</v>
      </c>
      <c r="AF348" s="126">
        <f ca="1">AF283+AF311+AF316+AF329+AF330+AF332+AF333+AF334+AF338+AF339-AF340-AF341+AF342-AF343+AF346+AF347</f>
        <v>17591.766914636897</v>
      </c>
      <c r="AG348" s="126">
        <f ca="1">AG283+AG311+AG316+AG329+AG330+AG332+AG333+AG334+AG338+AG339-AG340-AG341+AG342-AG343+AG346+AG347</f>
        <v>12924.366225192</v>
      </c>
      <c r="AH348" s="126">
        <f t="shared" ca="1" si="23"/>
        <v>-4667.4006894448976</v>
      </c>
      <c r="AI348" s="126">
        <f ca="1">AI283+AI311+AI316+AI329+AI330+AI332+AI333+AI334+AI338+AI339-AI340-AI341+AI342-AI343+AI346+AI347</f>
        <v>13380.9165767665</v>
      </c>
      <c r="AJ348" s="126">
        <f ca="1">AJ283+AJ311+AJ316+AJ329+AJ330+AJ332+AJ333+AJ334+AJ338+AJ339-AJ340-AJ341+AJ342-AJ343+AJ346+AJ347</f>
        <v>27032.681981604303</v>
      </c>
      <c r="AK348" s="126">
        <f ca="1">AK283+AK311+AK316+AK329+AK330+AK332+AK333+AK334+AK338+AK339-AK340-AK341+AK342-AK343+AK346+AK347</f>
        <v>13006.449609182302</v>
      </c>
      <c r="AL348" s="126">
        <f t="shared" ca="1" si="22"/>
        <v>-2.7985150750763284</v>
      </c>
      <c r="AM348" s="556"/>
      <c r="AN348" s="556"/>
      <c r="AO348" s="556"/>
      <c r="AP348" s="423"/>
      <c r="AQ348" s="423"/>
      <c r="AR348" s="695" t="s">
        <v>1875</v>
      </c>
      <c r="AS348" s="695"/>
      <c r="AT348" s="695"/>
      <c r="AU348" s="505"/>
      <c r="AV348" s="505"/>
    </row>
    <row r="349" spans="1:48" ht="15" hidden="1" customHeight="1" x14ac:dyDescent="0.25">
      <c r="B349" s="278" t="b">
        <f>G282="двухставочный"</f>
        <v>0</v>
      </c>
      <c r="E349" s="504">
        <v>0</v>
      </c>
      <c r="F349" s="3" t="str" cm="1">
        <f t="array" aca="1" ref="F349" ca="1">OFFSET(E349,-1,1)</f>
        <v>3</v>
      </c>
      <c r="I349" s="38" t="s">
        <v>1876</v>
      </c>
      <c r="J349" s="38"/>
      <c r="K349" s="38"/>
      <c r="L349" s="38"/>
      <c r="M349" s="38"/>
      <c r="N349" s="38"/>
      <c r="O349" s="38"/>
      <c r="P349" s="38"/>
      <c r="Q349" s="38"/>
      <c r="R349" s="38"/>
      <c r="S349" s="38"/>
      <c r="T349" s="353" t="b" cm="1">
        <f t="array" aca="1" ref="T349" ca="1">T348</f>
        <v>1</v>
      </c>
      <c r="X349" s="1078"/>
      <c r="Z349" s="1079"/>
      <c r="AB349" s="133" t="s">
        <v>1877</v>
      </c>
      <c r="AC349" s="550" t="s">
        <v>1878</v>
      </c>
      <c r="AD349" s="7" t="s">
        <v>828</v>
      </c>
      <c r="AE349" s="128"/>
      <c r="AF349" s="128"/>
      <c r="AG349" s="128"/>
      <c r="AH349" s="171">
        <f t="shared" si="23"/>
        <v>0</v>
      </c>
      <c r="AI349" s="128"/>
      <c r="AJ349" s="778"/>
      <c r="AK349" s="778"/>
      <c r="AL349" s="171">
        <f t="shared" si="22"/>
        <v>0</v>
      </c>
      <c r="AM349" s="775"/>
      <c r="AN349" s="775"/>
      <c r="AO349" s="775"/>
      <c r="AR349" s="694" t="s">
        <v>1879</v>
      </c>
    </row>
    <row r="350" spans="1:48" ht="15" hidden="1" customHeight="1" x14ac:dyDescent="0.25">
      <c r="B350" s="278" t="b">
        <f>G282="двухставочный"</f>
        <v>0</v>
      </c>
      <c r="E350" s="504">
        <v>0</v>
      </c>
      <c r="F350" s="3" t="str" cm="1">
        <f t="array" aca="1" ref="F350" ca="1">OFFSET(E350,-1,1)</f>
        <v>3</v>
      </c>
      <c r="I350" s="38" t="s">
        <v>1880</v>
      </c>
      <c r="J350" s="38"/>
      <c r="K350" s="38"/>
      <c r="L350" s="38"/>
      <c r="M350" s="38"/>
      <c r="N350" s="38"/>
      <c r="O350" s="38"/>
      <c r="P350" s="38"/>
      <c r="Q350" s="38"/>
      <c r="R350" s="38"/>
      <c r="S350" s="38"/>
      <c r="T350" s="353" t="b" cm="1">
        <f t="array" aca="1" ref="T350" ca="1">T349</f>
        <v>1</v>
      </c>
      <c r="X350" s="1078"/>
      <c r="Z350" s="1079"/>
      <c r="AB350" s="133" t="s">
        <v>1881</v>
      </c>
      <c r="AC350" s="550" t="s">
        <v>1882</v>
      </c>
      <c r="AD350" s="7" t="s">
        <v>828</v>
      </c>
      <c r="AE350" s="128"/>
      <c r="AF350" s="128"/>
      <c r="AG350" s="128"/>
      <c r="AH350" s="171">
        <f t="shared" si="23"/>
        <v>0</v>
      </c>
      <c r="AI350" s="128"/>
      <c r="AJ350" s="778"/>
      <c r="AK350" s="778"/>
      <c r="AL350" s="171">
        <f t="shared" si="22"/>
        <v>0</v>
      </c>
      <c r="AM350" s="775"/>
      <c r="AN350" s="775"/>
      <c r="AO350" s="775"/>
      <c r="AR350" s="694" t="s">
        <v>1883</v>
      </c>
    </row>
    <row r="351" spans="1:48" s="868" customFormat="1" ht="14.25" customHeight="1" x14ac:dyDescent="0.25">
      <c r="A351" s="423"/>
      <c r="B351" s="423"/>
      <c r="C351" s="423"/>
      <c r="D351" s="423"/>
      <c r="E351" s="505">
        <v>15</v>
      </c>
      <c r="F351" s="3" t="str" cm="1">
        <f t="array" aca="1" ref="F351" ca="1">OFFSET(E351,-1,1)</f>
        <v>3</v>
      </c>
      <c r="G351" s="72" t="s">
        <v>1653</v>
      </c>
      <c r="H351" s="423"/>
      <c r="I351" s="154" t="s">
        <v>1884</v>
      </c>
      <c r="J351" s="154"/>
      <c r="K351" s="154"/>
      <c r="L351" s="154"/>
      <c r="M351" s="154"/>
      <c r="N351" s="154"/>
      <c r="O351" s="154"/>
      <c r="P351" s="154"/>
      <c r="Q351" s="154"/>
      <c r="R351" s="154"/>
      <c r="S351" s="154"/>
      <c r="T351" s="353" t="b" cm="1">
        <f t="array" aca="1" ref="T351" ca="1">T350</f>
        <v>1</v>
      </c>
      <c r="U351" s="423"/>
      <c r="V351" s="423"/>
      <c r="W351" s="423"/>
      <c r="X351" s="1078"/>
      <c r="Y351" s="423"/>
      <c r="Z351" s="1079"/>
      <c r="AA351" s="423"/>
      <c r="AB351" s="131" t="s">
        <v>1885</v>
      </c>
      <c r="AC351" s="125" t="s">
        <v>1886</v>
      </c>
      <c r="AD351" s="124" t="s">
        <v>558</v>
      </c>
      <c r="AE351" s="552">
        <f ca="1">SUMIFS(Баланс!AE$26:AE$391,Баланс!$F$26:$F$391,$F351,Баланс!$G$26:$G$391,"ПО")</f>
        <v>51631.311000000002</v>
      </c>
      <c r="AF351" s="552">
        <f ca="1">SUMIFS(Баланс!AF$26:AF$391,Баланс!$F$26:$F$391,$F351,Баланс!$G$26:$G$391,"ПО")</f>
        <v>48925.161524000003</v>
      </c>
      <c r="AG351" s="552">
        <f ca="1">SUMIFS(Баланс!AG$26:AG$391,Баланс!$F$26:$F$391,$F351,Баланс!$G$26:$G$391,"ПО")</f>
        <v>48925.161524000003</v>
      </c>
      <c r="AH351" s="552">
        <f t="shared" ca="1" si="23"/>
        <v>0</v>
      </c>
      <c r="AI351" s="552">
        <f ca="1">SUMIFS(Баланс!AH$26:AH$391,Баланс!$F$26:$F$391,$F351,Баланс!$G$26:$G$391,"ПО")</f>
        <v>51011.618589999998</v>
      </c>
      <c r="AJ351" s="552">
        <f ca="1">SUMIFS(Баланс!AI$26:AI$391,Баланс!$F$26:$F$391,$F351,Баланс!$G$26:$G$391,"ПО")</f>
        <v>52692.608</v>
      </c>
      <c r="AK351" s="552">
        <f ca="1">SUMIFS(Баланс!AS$26:AS$391,Баланс!$F$26:$F$391,$F351,Баланс!$G$26:$G$391,"ПО")</f>
        <v>46750.756560000002</v>
      </c>
      <c r="AL351" s="129"/>
      <c r="AM351" s="556"/>
      <c r="AN351" s="556"/>
      <c r="AO351" s="556"/>
      <c r="AP351" s="423"/>
      <c r="AQ351" s="423"/>
      <c r="AR351" s="695" t="s">
        <v>1887</v>
      </c>
      <c r="AS351" s="695"/>
      <c r="AT351" s="695"/>
      <c r="AU351" s="505"/>
      <c r="AV351" s="505"/>
    </row>
    <row r="352" spans="1:48" ht="14.25" customHeight="1" x14ac:dyDescent="0.25">
      <c r="E352" s="504">
        <v>15</v>
      </c>
      <c r="F352" s="3" t="str" cm="1">
        <f t="array" aca="1" ref="F352" ca="1">OFFSET(E352,-1,1)</f>
        <v>3</v>
      </c>
      <c r="G352" s="72" t="s">
        <v>1680</v>
      </c>
      <c r="I352" s="38" t="s">
        <v>1888</v>
      </c>
      <c r="J352" s="38"/>
      <c r="K352" s="38"/>
      <c r="L352" s="38"/>
      <c r="M352" s="38"/>
      <c r="N352" s="38"/>
      <c r="O352" s="38"/>
      <c r="P352" s="38"/>
      <c r="Q352" s="38"/>
      <c r="R352" s="38"/>
      <c r="S352" s="38"/>
      <c r="T352" s="353" t="b" cm="1">
        <f t="array" aca="1" ref="T352" ca="1">T351</f>
        <v>1</v>
      </c>
      <c r="X352" s="1078"/>
      <c r="Z352" s="1079"/>
      <c r="AB352" s="133" t="s">
        <v>1889</v>
      </c>
      <c r="AC352" s="127" t="s">
        <v>1890</v>
      </c>
      <c r="AD352" s="7" t="s">
        <v>558</v>
      </c>
      <c r="AE352" s="444">
        <f ca="1">AE351/2</f>
        <v>25815.655500000001</v>
      </c>
      <c r="AF352" s="444">
        <f ca="1">AF351/2</f>
        <v>24462.580762000001</v>
      </c>
      <c r="AG352" s="444">
        <f ca="1">AG351/2</f>
        <v>24462.580762000001</v>
      </c>
      <c r="AH352" s="558">
        <f t="shared" ca="1" si="23"/>
        <v>0</v>
      </c>
      <c r="AI352" s="444">
        <f ca="1">AI351/2</f>
        <v>25505.809294999999</v>
      </c>
      <c r="AJ352" s="444">
        <f ca="1">IF(god=2026,AJ351/12*9,AJ351/2)</f>
        <v>39519.456000000006</v>
      </c>
      <c r="AK352" s="444">
        <f ca="1">IF(god=2026,AK351/12*9,AK351/2)</f>
        <v>35063.067419999999</v>
      </c>
      <c r="AL352" s="542"/>
      <c r="AM352" s="196"/>
      <c r="AN352" s="196"/>
      <c r="AO352" s="196"/>
      <c r="AR352" s="694" t="s">
        <v>1891</v>
      </c>
    </row>
    <row r="353" spans="1:48" ht="14.25" customHeight="1" x14ac:dyDescent="0.25">
      <c r="E353" s="504">
        <v>15</v>
      </c>
      <c r="F353" s="3" t="str" cm="1">
        <f t="array" aca="1" ref="F353" ca="1">OFFSET(E353,-1,1)</f>
        <v>3</v>
      </c>
      <c r="G353" s="72" t="s">
        <v>1641</v>
      </c>
      <c r="I353" s="38" t="s">
        <v>1892</v>
      </c>
      <c r="J353" s="38"/>
      <c r="K353" s="38"/>
      <c r="L353" s="38"/>
      <c r="M353" s="38"/>
      <c r="N353" s="38"/>
      <c r="O353" s="38"/>
      <c r="P353" s="38"/>
      <c r="Q353" s="38"/>
      <c r="R353" s="38"/>
      <c r="S353" s="38"/>
      <c r="T353" s="353" t="b" cm="1">
        <f t="array" aca="1" ref="T353" ca="1">T352</f>
        <v>1</v>
      </c>
      <c r="X353" s="1078"/>
      <c r="Z353" s="1079"/>
      <c r="AB353" s="133" t="s">
        <v>1893</v>
      </c>
      <c r="AC353" s="127" t="s">
        <v>1894</v>
      </c>
      <c r="AD353" s="7" t="s">
        <v>1644</v>
      </c>
      <c r="AE353" s="128"/>
      <c r="AF353" s="128"/>
      <c r="AG353" s="128"/>
      <c r="AH353" s="171">
        <f t="shared" si="23"/>
        <v>0</v>
      </c>
      <c r="AI353" s="128"/>
      <c r="AJ353" s="128"/>
      <c r="AK353" s="128"/>
      <c r="AL353" s="542"/>
      <c r="AM353" s="196"/>
      <c r="AN353" s="196"/>
      <c r="AO353" s="196"/>
      <c r="AR353" s="694" t="s">
        <v>1895</v>
      </c>
    </row>
    <row r="354" spans="1:48" ht="14.25" customHeight="1" x14ac:dyDescent="0.25">
      <c r="E354" s="504">
        <v>15</v>
      </c>
      <c r="F354" s="3" t="str" cm="1">
        <f t="array" aca="1" ref="F354" ca="1">OFFSET(E354,-1,1)</f>
        <v>3</v>
      </c>
      <c r="G354" s="72" t="s">
        <v>1693</v>
      </c>
      <c r="I354" s="38" t="s">
        <v>1896</v>
      </c>
      <c r="J354" s="38"/>
      <c r="K354" s="38"/>
      <c r="L354" s="38"/>
      <c r="M354" s="38"/>
      <c r="N354" s="38"/>
      <c r="O354" s="38"/>
      <c r="P354" s="38"/>
      <c r="Q354" s="38"/>
      <c r="R354" s="38"/>
      <c r="S354" s="38"/>
      <c r="T354" s="353" t="b" cm="1">
        <f t="array" aca="1" ref="T354" ca="1">T353</f>
        <v>1</v>
      </c>
      <c r="X354" s="1078"/>
      <c r="Z354" s="1079"/>
      <c r="AB354" s="133" t="s">
        <v>1897</v>
      </c>
      <c r="AC354" s="127" t="s">
        <v>1898</v>
      </c>
      <c r="AD354" s="7" t="s">
        <v>558</v>
      </c>
      <c r="AE354" s="558">
        <f ca="1">AE351-AE352</f>
        <v>25815.655500000001</v>
      </c>
      <c r="AF354" s="558">
        <f ca="1">AF351-AF352</f>
        <v>24462.580762000001</v>
      </c>
      <c r="AG354" s="558">
        <f ca="1">AG351-AG352</f>
        <v>24462.580762000001</v>
      </c>
      <c r="AH354" s="558">
        <f t="shared" ca="1" si="23"/>
        <v>0</v>
      </c>
      <c r="AI354" s="558">
        <f ca="1">AI351-AI352</f>
        <v>25505.809294999999</v>
      </c>
      <c r="AJ354" s="558">
        <f ca="1">AJ351-AJ352</f>
        <v>13173.151999999995</v>
      </c>
      <c r="AK354" s="558">
        <f ca="1">AK351-AK352</f>
        <v>11687.689140000002</v>
      </c>
      <c r="AL354" s="542"/>
      <c r="AM354" s="196"/>
      <c r="AN354" s="196"/>
      <c r="AO354" s="196"/>
      <c r="AR354" s="694" t="s">
        <v>1899</v>
      </c>
    </row>
    <row r="355" spans="1:48" ht="14.25" customHeight="1" x14ac:dyDescent="0.25">
      <c r="E355" s="504">
        <v>15</v>
      </c>
      <c r="F355" s="3" t="str" cm="1">
        <f t="array" aca="1" ref="F355" ca="1">OFFSET(E355,-1,1)</f>
        <v>3</v>
      </c>
      <c r="G355" s="72" t="s">
        <v>1646</v>
      </c>
      <c r="I355" s="38" t="s">
        <v>1900</v>
      </c>
      <c r="J355" s="38"/>
      <c r="K355" s="38"/>
      <c r="L355" s="38"/>
      <c r="M355" s="38"/>
      <c r="N355" s="38"/>
      <c r="O355" s="38"/>
      <c r="P355" s="38"/>
      <c r="Q355" s="38"/>
      <c r="R355" s="38"/>
      <c r="S355" s="38"/>
      <c r="T355" s="353" t="b" cm="1">
        <f t="array" aca="1" ref="T355" ca="1">T354</f>
        <v>1</v>
      </c>
      <c r="X355" s="1078"/>
      <c r="Z355" s="1079"/>
      <c r="AB355" s="133" t="s">
        <v>1901</v>
      </c>
      <c r="AC355" s="127" t="s">
        <v>1902</v>
      </c>
      <c r="AD355" s="7" t="s">
        <v>1644</v>
      </c>
      <c r="AE355" s="128">
        <f ca="1">IF(AE354=0,0,(AE348-AE352*AE353)/AE354)</f>
        <v>0.57258254211727833</v>
      </c>
      <c r="AF355" s="128">
        <f ca="1">IF(AF354=0,0,(AF348-AF352*AF353)/AF354)</f>
        <v>0.71912964072718866</v>
      </c>
      <c r="AG355" s="128">
        <f ca="1">IF(AG354=0,0,(AG348-AG352*AG353)/AG354)</f>
        <v>0.52833208200455362</v>
      </c>
      <c r="AH355" s="171">
        <f t="shared" ca="1" si="23"/>
        <v>-0.19079755872263504</v>
      </c>
      <c r="AI355" s="128">
        <f ca="1">IF(AI354=0,0,(AI348-AI352*AI353)/AI354)</f>
        <v>0.52462230945126731</v>
      </c>
      <c r="AJ355" s="128">
        <f ca="1">IF(AJ354=0,0,(AJ348-AJ352*AJ353)/AJ354)</f>
        <v>2.0521043089462805</v>
      </c>
      <c r="AK355" s="128">
        <f ca="1">IF(AK354=0,0,(AK348-AK352*AK353)/AK354)</f>
        <v>1.1128332943651769</v>
      </c>
      <c r="AL355" s="542"/>
      <c r="AM355" s="196"/>
      <c r="AN355" s="196"/>
      <c r="AO355" s="196"/>
      <c r="AR355" s="694" t="s">
        <v>1903</v>
      </c>
    </row>
    <row r="356" spans="1:48" ht="14.25" customHeight="1" x14ac:dyDescent="0.25">
      <c r="E356" s="504">
        <v>15</v>
      </c>
      <c r="F356" s="3" t="str" cm="1">
        <f t="array" aca="1" ref="F356" ca="1">OFFSET(E356,-1,1)</f>
        <v>3</v>
      </c>
      <c r="G356" s="72"/>
      <c r="I356" s="38" t="s">
        <v>1904</v>
      </c>
      <c r="J356" s="38"/>
      <c r="K356" s="38"/>
      <c r="L356" s="38"/>
      <c r="M356" s="38"/>
      <c r="N356" s="38"/>
      <c r="O356" s="38"/>
      <c r="P356" s="38"/>
      <c r="Q356" s="38"/>
      <c r="R356" s="38"/>
      <c r="S356" s="38"/>
      <c r="T356" s="353" t="b" cm="1">
        <f t="array" aca="1" ref="T356" ca="1">T355</f>
        <v>1</v>
      </c>
      <c r="X356" s="1078"/>
      <c r="Z356" s="1079"/>
      <c r="AB356" s="133" t="s">
        <v>1905</v>
      </c>
      <c r="AC356" s="127" t="s">
        <v>1906</v>
      </c>
      <c r="AD356" s="7" t="s">
        <v>476</v>
      </c>
      <c r="AE356" s="171">
        <f>IF(AE353=0,0,AE355/AE353*100)</f>
        <v>0</v>
      </c>
      <c r="AF356" s="171">
        <f>IF(AF353=0,0,AF355/AF353*100)</f>
        <v>0</v>
      </c>
      <c r="AG356" s="171">
        <f>IF(AG353=0,0,AG355/AG353*100)</f>
        <v>0</v>
      </c>
      <c r="AH356" s="542"/>
      <c r="AI356" s="171">
        <f>IF(AI353=0,0,AI355/AI353*100)</f>
        <v>0</v>
      </c>
      <c r="AJ356" s="171">
        <f>IF(AJ353=0,0,AJ355/AJ353*100)</f>
        <v>0</v>
      </c>
      <c r="AK356" s="171">
        <f>IF(AK353=0,0,AK355/AK353*100)</f>
        <v>0</v>
      </c>
      <c r="AL356" s="542"/>
      <c r="AM356" s="196"/>
      <c r="AN356" s="196"/>
      <c r="AO356" s="196"/>
      <c r="AR356" s="694" t="s">
        <v>1907</v>
      </c>
    </row>
    <row r="357" spans="1:48" ht="14.25" customHeight="1" x14ac:dyDescent="0.25">
      <c r="E357" s="504">
        <v>15</v>
      </c>
      <c r="F357" s="3" t="str" cm="1">
        <f t="array" aca="1" ref="F357" ca="1">OFFSET(E357,-1,1)</f>
        <v>3</v>
      </c>
      <c r="G357" s="72"/>
      <c r="I357" s="38" t="s">
        <v>1908</v>
      </c>
      <c r="J357" s="38"/>
      <c r="K357" s="38"/>
      <c r="L357" s="38"/>
      <c r="M357" s="38"/>
      <c r="N357" s="38"/>
      <c r="O357" s="38"/>
      <c r="P357" s="38"/>
      <c r="Q357" s="38"/>
      <c r="R357" s="38"/>
      <c r="S357" s="38"/>
      <c r="T357" s="353" t="b" cm="1">
        <f t="array" aca="1" ref="T357" ca="1">T356</f>
        <v>1</v>
      </c>
      <c r="X357" s="1078"/>
      <c r="Z357" s="1079"/>
      <c r="AB357" s="133" t="s">
        <v>1909</v>
      </c>
      <c r="AC357" s="127" t="s">
        <v>1910</v>
      </c>
      <c r="AD357" s="7" t="s">
        <v>1644</v>
      </c>
      <c r="AE357" s="128">
        <f ca="1">IF(AE351=0,0,AE348/AE351)</f>
        <v>0.28629127105863916</v>
      </c>
      <c r="AF357" s="128">
        <f ca="1">IF(AF351=0,0,AF348/AF351)</f>
        <v>0.35956482036359433</v>
      </c>
      <c r="AG357" s="128">
        <f ca="1">IF(AG351=0,0,AG348/AG351)</f>
        <v>0.26416604100227681</v>
      </c>
      <c r="AH357" s="171">
        <f ca="1">AG357-AF357</f>
        <v>-9.5398779361317521E-2</v>
      </c>
      <c r="AI357" s="128">
        <f ca="1">IF(AI351=0,0,AI348/AI351)</f>
        <v>0.26231115472563366</v>
      </c>
      <c r="AJ357" s="128">
        <f ca="1">IF(AJ351=0,0,AJ348/AJ351)</f>
        <v>0.5130260772365699</v>
      </c>
      <c r="AK357" s="128">
        <f ca="1">IF(AK351=0,0,AK348/AK351)</f>
        <v>0.27820832359129422</v>
      </c>
      <c r="AL357" s="542"/>
      <c r="AM357" s="196"/>
      <c r="AN357" s="196"/>
      <c r="AO357" s="196"/>
      <c r="AR357" s="694" t="s">
        <v>1911</v>
      </c>
    </row>
    <row r="358" spans="1:48" s="868" customFormat="1" ht="14.25" customHeight="1" x14ac:dyDescent="0.25">
      <c r="A358" s="423"/>
      <c r="B358" s="423"/>
      <c r="C358" s="423"/>
      <c r="D358" s="423"/>
      <c r="E358" s="505">
        <v>15</v>
      </c>
      <c r="F358" s="3" t="str" cm="1">
        <f t="array" aca="1" ref="F358" ca="1">OFFSET(E358,-1,1)</f>
        <v>3</v>
      </c>
      <c r="G358" s="76"/>
      <c r="H358" s="423"/>
      <c r="I358" s="154" t="s">
        <v>1912</v>
      </c>
      <c r="J358" s="154"/>
      <c r="K358" s="154"/>
      <c r="L358" s="154"/>
      <c r="M358" s="154"/>
      <c r="N358" s="154"/>
      <c r="O358" s="154"/>
      <c r="P358" s="154"/>
      <c r="Q358" s="154"/>
      <c r="R358" s="154"/>
      <c r="S358" s="154"/>
      <c r="T358" s="353" t="b" cm="1">
        <f t="array" aca="1" ref="T358" ca="1">T357</f>
        <v>1</v>
      </c>
      <c r="U358" s="423"/>
      <c r="V358" s="423"/>
      <c r="W358" s="423"/>
      <c r="X358" s="1078"/>
      <c r="Y358" s="423"/>
      <c r="Z358" s="1079"/>
      <c r="AA358" s="423"/>
      <c r="AB358" s="131" t="s">
        <v>1913</v>
      </c>
      <c r="AC358" s="125" t="s">
        <v>1914</v>
      </c>
      <c r="AD358" s="124" t="s">
        <v>828</v>
      </c>
      <c r="AE358" s="138">
        <f ca="1">IF(AE351=0,0,AE348/AE351*AE359)</f>
        <v>0</v>
      </c>
      <c r="AF358" s="138">
        <f ca="1">IF(AF351=0,0,AF348/AF351*AF359)</f>
        <v>0</v>
      </c>
      <c r="AG358" s="138">
        <f ca="1">IF(AG351=0,0,AG348/AG351*AG359)</f>
        <v>0</v>
      </c>
      <c r="AH358" s="126">
        <f ca="1">AH360*AH361+AH362*AH363</f>
        <v>0</v>
      </c>
      <c r="AI358" s="138">
        <f ca="1">IF(AI351=0,0,AI348/AI351*AI359)</f>
        <v>0</v>
      </c>
      <c r="AJ358" s="138">
        <f ca="1">IF(AJ351=0,0,AJ348/AJ351*AJ359)</f>
        <v>0</v>
      </c>
      <c r="AK358" s="138">
        <f ca="1">IF(AK351=0,0,AK348/AK351*AK359)</f>
        <v>0</v>
      </c>
      <c r="AL358" s="126">
        <f ca="1">IF(AI358=0,0,(AK358-AI358)/AI358*100)</f>
        <v>0</v>
      </c>
      <c r="AM358" s="556"/>
      <c r="AN358" s="556"/>
      <c r="AO358" s="556"/>
      <c r="AP358" s="423"/>
      <c r="AQ358" s="423"/>
      <c r="AR358" s="695" t="s">
        <v>1915</v>
      </c>
      <c r="AS358" s="695"/>
      <c r="AT358" s="695"/>
      <c r="AU358" s="505"/>
      <c r="AV358" s="505"/>
    </row>
    <row r="359" spans="1:48" s="868" customFormat="1" ht="14.25" customHeight="1" x14ac:dyDescent="0.25">
      <c r="A359" s="423"/>
      <c r="B359" s="423"/>
      <c r="C359" s="423"/>
      <c r="D359" s="423"/>
      <c r="E359" s="505">
        <v>15</v>
      </c>
      <c r="F359" s="3" t="str" cm="1">
        <f t="array" aca="1" ref="F359" ca="1">OFFSET(E359,-1,1)</f>
        <v>3</v>
      </c>
      <c r="G359" s="72" t="s">
        <v>1666</v>
      </c>
      <c r="H359" s="423"/>
      <c r="I359" s="154" t="s">
        <v>1916</v>
      </c>
      <c r="J359" s="154"/>
      <c r="K359" s="154"/>
      <c r="L359" s="154"/>
      <c r="M359" s="154"/>
      <c r="N359" s="154"/>
      <c r="O359" s="154"/>
      <c r="P359" s="154"/>
      <c r="Q359" s="154"/>
      <c r="R359" s="154"/>
      <c r="S359" s="154"/>
      <c r="T359" s="353" t="b" cm="1">
        <f t="array" aca="1" ref="T359" ca="1">T358</f>
        <v>1</v>
      </c>
      <c r="U359" s="423"/>
      <c r="V359" s="423"/>
      <c r="W359" s="423"/>
      <c r="X359" s="1078"/>
      <c r="Y359" s="423"/>
      <c r="Z359" s="1079"/>
      <c r="AA359" s="423"/>
      <c r="AB359" s="131" t="s">
        <v>1917</v>
      </c>
      <c r="AC359" s="125" t="s">
        <v>1918</v>
      </c>
      <c r="AD359" s="124" t="s">
        <v>558</v>
      </c>
      <c r="AE359" s="552">
        <f ca="1">SUMIFS(Баланс!AE$26:AE$391,Баланс!$F$26:$F$391,$F359,Баланс!$G$26:$G$391,"население")</f>
        <v>0</v>
      </c>
      <c r="AF359" s="552">
        <f ca="1">SUMIFS(Баланс!AF$26:AF$391,Баланс!$F$26:$F$391,$F359,Баланс!$G$26:$G$391,"население")</f>
        <v>0</v>
      </c>
      <c r="AG359" s="552">
        <f ca="1">SUMIFS(Баланс!AG$26:AG$391,Баланс!$F$26:$F$391,$F359,Баланс!$G$26:$G$391,"население")</f>
        <v>0</v>
      </c>
      <c r="AH359" s="552">
        <f t="shared" ref="AH359:AH366" ca="1" si="24">AG359-AF359</f>
        <v>0</v>
      </c>
      <c r="AI359" s="552">
        <f ca="1">SUMIFS(Баланс!AH$26:AH$391,Баланс!$F$26:$F$391,$F359,Баланс!$G$26:$G$391,"население")</f>
        <v>0</v>
      </c>
      <c r="AJ359" s="552">
        <f ca="1">SUMIFS(Баланс!AI$26:AI$391,Баланс!$F$26:$F$391,$F359,Баланс!$G$26:$G$391,"население")</f>
        <v>0</v>
      </c>
      <c r="AK359" s="552">
        <f ca="1">SUMIFS(Баланс!AS$26:AS$391,Баланс!$F$26:$F$391,$F359,Баланс!$G$26:$G$391,"население")</f>
        <v>0</v>
      </c>
      <c r="AL359" s="129"/>
      <c r="AM359" s="556"/>
      <c r="AN359" s="556"/>
      <c r="AO359" s="556"/>
      <c r="AP359" s="423"/>
      <c r="AQ359" s="423"/>
      <c r="AR359" s="695" t="s">
        <v>1919</v>
      </c>
      <c r="AS359" s="695"/>
      <c r="AT359" s="695"/>
      <c r="AU359" s="505"/>
      <c r="AV359" s="505"/>
    </row>
    <row r="360" spans="1:48" ht="14.25" customHeight="1" x14ac:dyDescent="0.25">
      <c r="E360" s="504">
        <v>15</v>
      </c>
      <c r="F360" s="3" t="str" cm="1">
        <f t="array" aca="1" ref="F360" ca="1">OFFSET(E360,-1,1)</f>
        <v>3</v>
      </c>
      <c r="G360" s="72" t="s">
        <v>1700</v>
      </c>
      <c r="I360" s="38" t="s">
        <v>1920</v>
      </c>
      <c r="J360" s="38"/>
      <c r="K360" s="38"/>
      <c r="L360" s="38"/>
      <c r="M360" s="38"/>
      <c r="N360" s="38"/>
      <c r="O360" s="38"/>
      <c r="P360" s="38"/>
      <c r="Q360" s="38"/>
      <c r="R360" s="38"/>
      <c r="S360" s="38"/>
      <c r="T360" s="353" t="b" cm="1">
        <f t="array" aca="1" ref="T360" ca="1">T359</f>
        <v>1</v>
      </c>
      <c r="X360" s="1078"/>
      <c r="Z360" s="1079"/>
      <c r="AB360" s="133" t="s">
        <v>1921</v>
      </c>
      <c r="AC360" s="127" t="s">
        <v>1922</v>
      </c>
      <c r="AD360" s="7" t="s">
        <v>558</v>
      </c>
      <c r="AE360" s="444">
        <f ca="1">AE359/2</f>
        <v>0</v>
      </c>
      <c r="AF360" s="444">
        <f ca="1">AF359/2</f>
        <v>0</v>
      </c>
      <c r="AG360" s="444">
        <f ca="1">AG359/2</f>
        <v>0</v>
      </c>
      <c r="AH360" s="558">
        <f t="shared" ca="1" si="24"/>
        <v>0</v>
      </c>
      <c r="AI360" s="444">
        <f ca="1">AI359/2</f>
        <v>0</v>
      </c>
      <c r="AJ360" s="444">
        <f ca="1">IF(god=2026,AJ359/12*9,AJ359/2)</f>
        <v>0</v>
      </c>
      <c r="AK360" s="444">
        <f ca="1">IF(god=2026,AK359/12*9,AK359/2)</f>
        <v>0</v>
      </c>
      <c r="AL360" s="542"/>
      <c r="AM360" s="196"/>
      <c r="AN360" s="196"/>
      <c r="AO360" s="196"/>
      <c r="AR360" s="694" t="s">
        <v>1923</v>
      </c>
    </row>
    <row r="361" spans="1:48" ht="14.25" customHeight="1" x14ac:dyDescent="0.25">
      <c r="E361" s="504">
        <v>15</v>
      </c>
      <c r="F361" s="3" t="str" cm="1">
        <f t="array" aca="1" ref="F361" ca="1">OFFSET(E361,-1,1)</f>
        <v>3</v>
      </c>
      <c r="G361" s="72" t="s">
        <v>1656</v>
      </c>
      <c r="I361" s="38" t="s">
        <v>1924</v>
      </c>
      <c r="J361" s="38"/>
      <c r="K361" s="38"/>
      <c r="L361" s="38"/>
      <c r="M361" s="38"/>
      <c r="N361" s="38"/>
      <c r="O361" s="38"/>
      <c r="P361" s="38"/>
      <c r="Q361" s="38"/>
      <c r="R361" s="38"/>
      <c r="S361" s="38"/>
      <c r="T361" s="353" t="b" cm="1">
        <f t="array" aca="1" ref="T361" ca="1">T360</f>
        <v>1</v>
      </c>
      <c r="X361" s="1078"/>
      <c r="Z361" s="1079"/>
      <c r="AB361" s="133" t="s">
        <v>1925</v>
      </c>
      <c r="AC361" s="127" t="s">
        <v>1926</v>
      </c>
      <c r="AD361" s="7" t="s">
        <v>1644</v>
      </c>
      <c r="AE361" s="128">
        <f ca="1">IF(AE359=0,0,AE353*(1+Сценарии!AE$26))</f>
        <v>0</v>
      </c>
      <c r="AF361" s="128">
        <f ca="1">IF(AF359=0,0,AF353*(1+Сценарии!AF$26))</f>
        <v>0</v>
      </c>
      <c r="AG361" s="128">
        <f ca="1">IF(AG359=0,0,AG353*(1+Сценарии!AG$26))</f>
        <v>0</v>
      </c>
      <c r="AH361" s="171">
        <f t="shared" ca="1" si="24"/>
        <v>0</v>
      </c>
      <c r="AI361" s="128">
        <f ca="1">IF(AI359=0,0,AI353*(1+Сценарии!AI$26))</f>
        <v>0</v>
      </c>
      <c r="AJ361" s="128">
        <f ca="1">IF(AJ359=0,0,AJ353*(1+Сценарии!AJ$26))</f>
        <v>0</v>
      </c>
      <c r="AK361" s="128">
        <f ca="1">IF(AK359=0,0,AK353*(1+Сценарии!AK$26))</f>
        <v>0</v>
      </c>
      <c r="AL361" s="542"/>
      <c r="AM361" s="196"/>
      <c r="AN361" s="196"/>
      <c r="AO361" s="196"/>
      <c r="AR361" s="694" t="s">
        <v>1927</v>
      </c>
    </row>
    <row r="362" spans="1:48" ht="14.25" customHeight="1" x14ac:dyDescent="0.25">
      <c r="E362" s="504">
        <v>15</v>
      </c>
      <c r="F362" s="3" t="str" cm="1">
        <f t="array" aca="1" ref="F362" ca="1">OFFSET(E362,-1,1)</f>
        <v>3</v>
      </c>
      <c r="G362" s="72" t="s">
        <v>1707</v>
      </c>
      <c r="I362" s="38" t="s">
        <v>1928</v>
      </c>
      <c r="J362" s="38"/>
      <c r="K362" s="38"/>
      <c r="L362" s="38"/>
      <c r="M362" s="38"/>
      <c r="N362" s="38"/>
      <c r="O362" s="38"/>
      <c r="P362" s="38"/>
      <c r="Q362" s="38"/>
      <c r="R362" s="38"/>
      <c r="S362" s="38"/>
      <c r="T362" s="353" t="b" cm="1">
        <f t="array" aca="1" ref="T362" ca="1">T361</f>
        <v>1</v>
      </c>
      <c r="X362" s="1078"/>
      <c r="Z362" s="1079"/>
      <c r="AB362" s="133" t="s">
        <v>1929</v>
      </c>
      <c r="AC362" s="127" t="s">
        <v>1898</v>
      </c>
      <c r="AD362" s="7" t="s">
        <v>558</v>
      </c>
      <c r="AE362" s="558">
        <f ca="1">AE359-AE360</f>
        <v>0</v>
      </c>
      <c r="AF362" s="558">
        <f ca="1">AF359-AF360</f>
        <v>0</v>
      </c>
      <c r="AG362" s="558">
        <f ca="1">AG359-AG360</f>
        <v>0</v>
      </c>
      <c r="AH362" s="558">
        <f t="shared" ca="1" si="24"/>
        <v>0</v>
      </c>
      <c r="AI362" s="558">
        <f ca="1">AI359-AI360</f>
        <v>0</v>
      </c>
      <c r="AJ362" s="558">
        <f ca="1">AJ359-AJ360</f>
        <v>0</v>
      </c>
      <c r="AK362" s="558">
        <f ca="1">AK359-AK360</f>
        <v>0</v>
      </c>
      <c r="AL362" s="542"/>
      <c r="AM362" s="196"/>
      <c r="AN362" s="196"/>
      <c r="AO362" s="196"/>
      <c r="AR362" s="694" t="s">
        <v>1930</v>
      </c>
    </row>
    <row r="363" spans="1:48" ht="14.25" customHeight="1" x14ac:dyDescent="0.25">
      <c r="E363" s="504">
        <v>15</v>
      </c>
      <c r="F363" s="3" t="str" cm="1">
        <f t="array" aca="1" ref="F363" ca="1">OFFSET(E363,-1,1)</f>
        <v>3</v>
      </c>
      <c r="G363" s="72" t="s">
        <v>1660</v>
      </c>
      <c r="I363" s="38" t="s">
        <v>1931</v>
      </c>
      <c r="J363" s="38"/>
      <c r="K363" s="38"/>
      <c r="L363" s="38"/>
      <c r="M363" s="38"/>
      <c r="N363" s="38"/>
      <c r="O363" s="38"/>
      <c r="P363" s="38"/>
      <c r="Q363" s="38"/>
      <c r="R363" s="38"/>
      <c r="S363" s="38"/>
      <c r="T363" s="353" t="b" cm="1">
        <f t="array" aca="1" ref="T363" ca="1">T362</f>
        <v>1</v>
      </c>
      <c r="X363" s="1078"/>
      <c r="Z363" s="1079"/>
      <c r="AB363" s="133" t="s">
        <v>1932</v>
      </c>
      <c r="AC363" s="127" t="s">
        <v>1933</v>
      </c>
      <c r="AD363" s="7" t="s">
        <v>1644</v>
      </c>
      <c r="AE363" s="128">
        <f ca="1">IF(AE359=0,0,AE355*(1+Сценарии!AE$26))</f>
        <v>0</v>
      </c>
      <c r="AF363" s="128">
        <f ca="1">IF(AF359=0,0,AF355*(1+Сценарии!AF$26))</f>
        <v>0</v>
      </c>
      <c r="AG363" s="128">
        <f ca="1">IF(AG359=0,0,AG355*(1+Сценарии!AG$26))</f>
        <v>0</v>
      </c>
      <c r="AH363" s="171">
        <f t="shared" ca="1" si="24"/>
        <v>0</v>
      </c>
      <c r="AI363" s="128">
        <f ca="1">IF(AI359=0,0,AI355*(1+Сценарии!AI$26))</f>
        <v>0</v>
      </c>
      <c r="AJ363" s="128">
        <f ca="1">IF(AJ359=0,0,AJ355*(1+Сценарии!AJ$26))</f>
        <v>0</v>
      </c>
      <c r="AK363" s="128">
        <f ca="1">IF(AK359=0,0,AK355*(1+Сценарии!AK$26))</f>
        <v>0</v>
      </c>
      <c r="AL363" s="542"/>
      <c r="AM363" s="196"/>
      <c r="AN363" s="196"/>
      <c r="AO363" s="196"/>
      <c r="AR363" s="694" t="s">
        <v>1934</v>
      </c>
    </row>
    <row r="364" spans="1:48" ht="14.25" customHeight="1" x14ac:dyDescent="0.25">
      <c r="E364" s="504">
        <v>15</v>
      </c>
      <c r="F364" s="3" t="str" cm="1">
        <f t="array" aca="1" ref="F364" ca="1">OFFSET(E364,-1,1)</f>
        <v>3</v>
      </c>
      <c r="G364" s="72"/>
      <c r="I364" s="38"/>
      <c r="J364" s="38"/>
      <c r="K364" s="38"/>
      <c r="L364" s="38"/>
      <c r="M364" s="38"/>
      <c r="N364" s="38"/>
      <c r="O364" s="38"/>
      <c r="P364" s="38"/>
      <c r="Q364" s="38"/>
      <c r="R364" s="38"/>
      <c r="S364" s="38"/>
      <c r="T364" s="353" t="b" cm="1">
        <f t="array" aca="1" ref="T364" ca="1">T363</f>
        <v>1</v>
      </c>
      <c r="X364" s="1078"/>
      <c r="Z364" s="1079"/>
      <c r="AB364" s="131" t="s">
        <v>1935</v>
      </c>
      <c r="AC364" s="125" t="s">
        <v>1936</v>
      </c>
      <c r="AD364" s="124" t="s">
        <v>828</v>
      </c>
      <c r="AE364" s="128"/>
      <c r="AF364" s="128"/>
      <c r="AG364" s="128"/>
      <c r="AH364" s="171">
        <f t="shared" si="24"/>
        <v>0</v>
      </c>
      <c r="AI364" s="128"/>
      <c r="AJ364" s="128"/>
      <c r="AK364" s="128"/>
      <c r="AL364" s="542"/>
      <c r="AM364" s="196"/>
      <c r="AN364" s="196"/>
      <c r="AO364" s="196"/>
      <c r="AR364" s="694" t="s">
        <v>1937</v>
      </c>
    </row>
    <row r="365" spans="1:48" ht="21.75" customHeight="1" x14ac:dyDescent="0.25">
      <c r="E365" s="504">
        <v>22.5</v>
      </c>
      <c r="F365" s="3" t="str" cm="1">
        <f t="array" aca="1" ref="F365" ca="1">OFFSET(E365,-1,1)</f>
        <v>3</v>
      </c>
      <c r="G365" s="72"/>
      <c r="I365" s="38"/>
      <c r="J365" s="38"/>
      <c r="K365" s="38"/>
      <c r="L365" s="38"/>
      <c r="M365" s="38"/>
      <c r="N365" s="38"/>
      <c r="O365" s="38"/>
      <c r="P365" s="38"/>
      <c r="Q365" s="38"/>
      <c r="R365" s="38"/>
      <c r="S365" s="38"/>
      <c r="T365" s="353" t="b" cm="1">
        <f t="array" aca="1" ref="T365" ca="1">T364</f>
        <v>1</v>
      </c>
      <c r="X365" s="1078"/>
      <c r="Z365" s="1079"/>
      <c r="AB365" s="133" t="s">
        <v>1938</v>
      </c>
      <c r="AC365" s="127" t="s">
        <v>1939</v>
      </c>
      <c r="AD365" s="7" t="s">
        <v>828</v>
      </c>
      <c r="AE365" s="128"/>
      <c r="AF365" s="128"/>
      <c r="AG365" s="128"/>
      <c r="AH365" s="171">
        <f t="shared" si="24"/>
        <v>0</v>
      </c>
      <c r="AI365" s="128"/>
      <c r="AJ365" s="128"/>
      <c r="AK365" s="128"/>
      <c r="AL365" s="542"/>
      <c r="AM365" s="196"/>
      <c r="AN365" s="196"/>
      <c r="AO365" s="196"/>
      <c r="AR365" s="694" t="s">
        <v>1940</v>
      </c>
    </row>
    <row r="366" spans="1:48" ht="69.75" customHeight="1" x14ac:dyDescent="0.25">
      <c r="E366" s="504">
        <v>72</v>
      </c>
      <c r="F366" s="3" t="str" cm="1">
        <f t="array" aca="1" ref="F366" ca="1">OFFSET(E366,-1,1)</f>
        <v>3</v>
      </c>
      <c r="G366" s="72"/>
      <c r="I366" s="38"/>
      <c r="J366" s="38"/>
      <c r="K366" s="38"/>
      <c r="L366" s="38"/>
      <c r="M366" s="38"/>
      <c r="N366" s="38"/>
      <c r="O366" s="38"/>
      <c r="P366" s="38"/>
      <c r="Q366" s="38"/>
      <c r="R366" s="38"/>
      <c r="S366" s="38"/>
      <c r="T366" s="353" t="b" cm="1">
        <f t="array" aca="1" ref="T366" ca="1">T365</f>
        <v>1</v>
      </c>
      <c r="X366" s="1078"/>
      <c r="Z366" s="1079"/>
      <c r="AB366" s="133" t="s">
        <v>1941</v>
      </c>
      <c r="AC366" s="127" t="s">
        <v>1942</v>
      </c>
      <c r="AD366" s="7" t="s">
        <v>828</v>
      </c>
      <c r="AE366" s="128"/>
      <c r="AF366" s="128"/>
      <c r="AG366" s="128"/>
      <c r="AH366" s="171">
        <f t="shared" si="24"/>
        <v>0</v>
      </c>
      <c r="AI366" s="128"/>
      <c r="AJ366" s="128"/>
      <c r="AK366" s="128"/>
      <c r="AL366" s="542"/>
      <c r="AM366" s="196"/>
      <c r="AN366" s="196"/>
      <c r="AO366" s="196"/>
      <c r="AR366" s="694" t="s">
        <v>1943</v>
      </c>
    </row>
    <row r="367" spans="1:48" ht="10.7" customHeight="1" x14ac:dyDescent="0.25">
      <c r="E367" s="504">
        <v>11</v>
      </c>
      <c r="U367" s="278" t="s">
        <v>176</v>
      </c>
      <c r="V367" s="513" t="s">
        <v>1944</v>
      </c>
      <c r="AB367" s="424"/>
      <c r="AC367" s="71"/>
      <c r="AD367" s="424"/>
      <c r="AE367" s="72"/>
      <c r="AF367" s="72"/>
      <c r="AG367" s="72"/>
      <c r="AH367" s="72"/>
      <c r="AI367" s="72"/>
      <c r="AJ367" s="72"/>
      <c r="AK367" s="72"/>
      <c r="AL367" s="72"/>
      <c r="AM367" s="72"/>
      <c r="AN367" s="72"/>
      <c r="AO367" s="72"/>
    </row>
    <row r="368" spans="1:48" ht="14.65" customHeight="1" x14ac:dyDescent="0.25">
      <c r="E368" s="504">
        <v>15</v>
      </c>
      <c r="AB368" s="993" t="s">
        <v>408</v>
      </c>
      <c r="AC368" s="993"/>
      <c r="AD368" s="993"/>
      <c r="AE368" s="993"/>
      <c r="AF368" s="993"/>
      <c r="AG368" s="993"/>
      <c r="AH368" s="993"/>
      <c r="AI368" s="993"/>
      <c r="AJ368" s="993"/>
      <c r="AK368" s="993"/>
      <c r="AL368" s="993"/>
      <c r="AM368" s="993"/>
      <c r="AN368" s="993"/>
      <c r="AO368" s="993"/>
    </row>
    <row r="369" spans="5:41" ht="14.65" customHeight="1" x14ac:dyDescent="0.25">
      <c r="E369" s="504">
        <v>15</v>
      </c>
      <c r="AA369" s="481"/>
      <c r="AB369" s="1060"/>
      <c r="AC369" s="1063"/>
      <c r="AD369" s="1063"/>
      <c r="AE369" s="1063"/>
      <c r="AF369" s="1063"/>
      <c r="AG369" s="1063"/>
      <c r="AH369" s="1063"/>
      <c r="AI369" s="1063"/>
      <c r="AJ369" s="1063"/>
      <c r="AK369" s="1063"/>
      <c r="AL369" s="1063"/>
      <c r="AM369" s="1063"/>
      <c r="AN369" s="1063"/>
      <c r="AO369" s="1063"/>
    </row>
    <row r="370" spans="5:41" ht="14.65" hidden="1" customHeight="1" x14ac:dyDescent="0.25">
      <c r="E370" s="504">
        <v>15</v>
      </c>
      <c r="T370" s="353" t="b">
        <f>ROW(W370)&gt;ROW(W$370)</f>
        <v>0</v>
      </c>
      <c r="W370" s="517" t="s">
        <v>172</v>
      </c>
      <c r="X370" s="38"/>
      <c r="Y370" s="38"/>
      <c r="Z370" s="38"/>
      <c r="AA370" s="482" t="s">
        <v>173</v>
      </c>
      <c r="AB370" s="1028"/>
      <c r="AC370" s="1029"/>
      <c r="AD370" s="1029"/>
      <c r="AE370" s="1030"/>
      <c r="AF370" s="1030"/>
      <c r="AG370" s="1030"/>
      <c r="AH370" s="1030"/>
      <c r="AI370" s="1030"/>
      <c r="AJ370" s="1029"/>
      <c r="AK370" s="1029"/>
      <c r="AL370" s="1029"/>
      <c r="AM370" s="1029"/>
      <c r="AN370" s="1029"/>
      <c r="AO370" s="1031"/>
    </row>
    <row r="371" spans="5:41" ht="14.65" customHeight="1" x14ac:dyDescent="0.25">
      <c r="E371" s="504">
        <v>15</v>
      </c>
      <c r="W371" s="506" t="s">
        <v>419</v>
      </c>
      <c r="X371" s="38"/>
      <c r="Y371" s="38"/>
      <c r="Z371" s="38"/>
      <c r="AA371" s="38"/>
      <c r="AB371" s="485"/>
      <c r="AC371" s="486" t="s">
        <v>420</v>
      </c>
      <c r="AD371" s="218"/>
      <c r="AE371" s="218"/>
      <c r="AF371" s="218"/>
      <c r="AG371" s="218"/>
      <c r="AH371" s="218"/>
      <c r="AI371" s="218"/>
      <c r="AJ371" s="218"/>
      <c r="AK371" s="218"/>
      <c r="AL371" s="218"/>
      <c r="AM371" s="218"/>
      <c r="AN371" s="218"/>
      <c r="AO371" s="187"/>
    </row>
    <row r="372" spans="5:41" ht="10.7" customHeight="1" x14ac:dyDescent="0.25">
      <c r="E372" s="504">
        <v>11</v>
      </c>
    </row>
  </sheetData>
  <sheetProtection formatColumns="0" formatRows="0" insertRows="0" deleteColumns="0" deleteRows="0" sort="0" autoFilter="0"/>
  <mergeCells count="18">
    <mergeCell ref="X282:X366"/>
    <mergeCell ref="Z282:Z366"/>
    <mergeCell ref="X27:X111"/>
    <mergeCell ref="Z27:Z111"/>
    <mergeCell ref="AB370:AO370"/>
    <mergeCell ref="AO24:AO25"/>
    <mergeCell ref="AB368:AO368"/>
    <mergeCell ref="AB369:AO369"/>
    <mergeCell ref="AB24:AB25"/>
    <mergeCell ref="AC24:AC25"/>
    <mergeCell ref="AD24:AD25"/>
    <mergeCell ref="AL24:AL25"/>
    <mergeCell ref="AM24:AM25"/>
    <mergeCell ref="AN24:AN25"/>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G286:AG288 AG298:AG299 AG313 AG318 AG337:AG347 AG349:AG350 AG352:AG357 AG360:AG366 AF105:AF111 AF116:AF118 AF128:AF129 AF143 AF148 AF167:AF177 AF179:AF180 AF182:AF187 AF190:AF196 AF201:AF203 AF213:AF214 AF228 AF233 AF252:AF262 AF264:AF265 AF267:AF272 AF275:AF281 AF286:AF288 AF298:AF299 AF313 AF318 AF337:AF347 AF349:AF350 AF352:AF357 AF360:AF366 AE105:AE111 AE116:AE118 AE128:AE129 AE143 AE148 AE167:AE177 AE179:AE180 AE182:AE187 AE190:AE196 AE201:AE203 AE213:AE214 AE228 AE233 AE252:AE262 AE264:AE265 AE267:AE272 AE275:AE281 AE286:AE288 AE298:AE299 AE313 AE318 AE337:AE347 AE349:AE350 AE352:AE357 AE360:AE366 AE31:AG33 AE63:AG63 AI97:AK102 AE97:AG102 AI31:AK33 AE94:AG95 AI94:AK95 AK105:AK111 AK116:AK118 AK128:AK129 AK143 AK148 AK167:AK177 AK179:AK180 AK182:AK187 AK190:AK196 AK201:AK203 AK213:AK214 AK228 AK233 AK252:AK262 AK264:AK265 AK267:AK272 AK275:AK281 AK286:AK288 AK298:AK299 AK313 AK318 AK337:AK347 AK349:AK350 AK352:AK357 AK360:AK366 AJ105:AJ111 AJ116:AJ118 AJ128:AJ129 AJ143 AJ148 AJ167:AJ177 AJ179:AJ180 AJ182:AJ187 AJ190:AJ196 AJ201:AJ203 AJ213:AJ214 AJ228 AJ233 AJ252:AJ262 AJ264:AJ265 AJ267:AJ272 AJ275:AJ281 AJ286:AJ288 AJ298:AJ299 AJ313 AJ318 AJ337:AJ347 AJ349:AJ350 AJ352:AJ357 AJ360:AJ366 AI105:AI111 AI116:AI118 AI128:AI129 AI143 AI148 AI167:AI177 AI179:AI180 AI182:AI187 AI190:AI196 AI201:AI203 AI213:AI214 AI228 AI233 AI252:AI262 AI264:AI265 AI267:AI272 AI275:AI281 AI286:AI288 AI298:AI299 AI313 AI318 AI337:AI347 AI349:AI350 AI352:AI357 AI360:AI36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AM309 AN309 AO30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55408-2BF8-8758-304D-2F6B2C3D0DE8}">
  <sheetPr>
    <tabColor rgb="FF92D050"/>
    <outlinePr summaryBelow="0" summaryRight="0"/>
    <pageSetUpPr fitToPage="1"/>
  </sheetPr>
  <dimension ref="A1:BW6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29" hidden="1" customWidth="1"/>
    <col min="3" max="4" width="3.5703125" style="72" hidden="1" customWidth="1"/>
    <col min="5" max="5" width="3.5703125" style="507"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4" customWidth="1"/>
    <col min="29" max="29" width="75" style="71" customWidth="1"/>
    <col min="30" max="30" width="12" style="424"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6" hidden="1"/>
    <col min="74" max="75" width="9.140625" style="507" hidden="1"/>
  </cols>
  <sheetData>
    <row r="1" spans="1:75" ht="11.25" hidden="1" customHeight="1" x14ac:dyDescent="0.15">
      <c r="E1" s="72"/>
      <c r="F1" s="72" t="s">
        <v>320</v>
      </c>
      <c r="I1" s="72" t="s">
        <v>1945</v>
      </c>
      <c r="J1" s="72" t="s">
        <v>355</v>
      </c>
      <c r="K1" s="72" t="s">
        <v>1946</v>
      </c>
      <c r="L1" s="72" t="s">
        <v>1947</v>
      </c>
      <c r="M1" s="72" t="s">
        <v>1948</v>
      </c>
      <c r="R1" s="4"/>
      <c r="T1" s="353" t="s">
        <v>92</v>
      </c>
      <c r="U1" s="353" t="s">
        <v>97</v>
      </c>
      <c r="V1" s="353" t="s">
        <v>93</v>
      </c>
      <c r="W1" s="353" t="s">
        <v>94</v>
      </c>
      <c r="X1" s="353" t="s">
        <v>95</v>
      </c>
      <c r="Y1" s="355" t="s">
        <v>322</v>
      </c>
      <c r="Z1" s="353" t="s">
        <v>99</v>
      </c>
      <c r="AA1" s="354" t="s">
        <v>96</v>
      </c>
      <c r="AB1" s="315"/>
      <c r="AC1" s="354" t="s">
        <v>98</v>
      </c>
      <c r="AJ1" s="4"/>
      <c r="BS1" s="696" t="s">
        <v>323</v>
      </c>
      <c r="BT1" s="696" t="s">
        <v>324</v>
      </c>
      <c r="BU1" s="696" t="s">
        <v>325</v>
      </c>
      <c r="BV1" s="507" t="s">
        <v>328</v>
      </c>
      <c r="BW1" s="507" t="s">
        <v>329</v>
      </c>
    </row>
    <row r="2" spans="1:75" s="329" customFormat="1" ht="11.25" hidden="1" customHeight="1" x14ac:dyDescent="0.15">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7"/>
      <c r="BT2" s="697"/>
      <c r="BU2" s="697"/>
      <c r="BV2" s="452"/>
      <c r="BW2" s="452"/>
    </row>
    <row r="3" spans="1:75" ht="11.25" hidden="1" customHeight="1" x14ac:dyDescent="0.15">
      <c r="E3" s="72"/>
    </row>
    <row r="4" spans="1:75" ht="11.25" hidden="1" customHeight="1" x14ac:dyDescent="0.15">
      <c r="E4" s="72"/>
    </row>
    <row r="5" spans="1:75" s="507" customFormat="1" ht="11.25" hidden="1" customHeight="1" x14ac:dyDescent="0.15">
      <c r="A5" s="72"/>
      <c r="B5" s="329"/>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x14ac:dyDescent="0.15">
      <c r="A6" s="72" t="s">
        <v>358</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x14ac:dyDescent="0.25">
      <c r="A9" s="656" t="s">
        <v>363</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7"/>
      <c r="BW9" s="507"/>
    </row>
    <row r="10" spans="1:75" s="696" customFormat="1" ht="11.25" hidden="1" customHeight="1" x14ac:dyDescent="0.25">
      <c r="A10" s="656" t="s">
        <v>364</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7"/>
      <c r="BW10" s="507"/>
    </row>
    <row r="11" spans="1:75" s="696" customFormat="1" ht="11.25" hidden="1" customHeight="1" x14ac:dyDescent="0.25">
      <c r="A11" s="656" t="s">
        <v>365</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1"/>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x14ac:dyDescent="0.25">
      <c r="A12" s="694" t="s">
        <v>337</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325</v>
      </c>
      <c r="AD12" s="694"/>
      <c r="AE12" s="671"/>
      <c r="BV12" s="507"/>
      <c r="BW12" s="507"/>
    </row>
    <row r="13" spans="1:75" ht="11.25" hidden="1" customHeight="1" x14ac:dyDescent="0.15">
      <c r="A13" s="72" t="s">
        <v>1732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366</v>
      </c>
      <c r="AC18" s="71" t="s">
        <v>367</v>
      </c>
    </row>
    <row r="19" spans="1:75" ht="11.25" hidden="1" customHeight="1" x14ac:dyDescent="0.15"/>
    <row r="20" spans="1:75" ht="11.25" hidden="1" customHeight="1" x14ac:dyDescent="0.15"/>
    <row r="21" spans="1:75" ht="14.65" customHeight="1" x14ac:dyDescent="0.15">
      <c r="E21" s="507">
        <v>15</v>
      </c>
      <c r="AA21" s="325"/>
      <c r="AB21" s="72"/>
      <c r="AC21" s="3" t="str" cm="1">
        <f t="array" ref="AC21">tpl_title</f>
        <v>Кемеровская область / 2026 / КАО "Азот" (ИНН:4205000908, КПП:997550001) / ДПР: 2024-2028</v>
      </c>
      <c r="AD21" s="72"/>
    </row>
    <row r="22" spans="1:75" s="25" customFormat="1" ht="19.5" customHeight="1" x14ac:dyDescent="0.15">
      <c r="B22" s="329"/>
      <c r="E22" s="451">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8"/>
      <c r="BT22" s="698"/>
      <c r="BU22" s="698"/>
      <c r="BV22" s="451"/>
      <c r="BW22" s="451"/>
    </row>
    <row r="23" spans="1:75" s="25" customFormat="1" ht="10.15" customHeight="1" x14ac:dyDescent="0.15">
      <c r="B23" s="329"/>
      <c r="E23" s="451">
        <v>10.5</v>
      </c>
      <c r="AB23" s="645"/>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x14ac:dyDescent="0.15">
      <c r="B24" s="330"/>
      <c r="E24" s="508">
        <v>24.75</v>
      </c>
      <c r="AB24" s="996" t="s">
        <v>21</v>
      </c>
      <c r="AC24" s="996" t="s">
        <v>367</v>
      </c>
      <c r="AD24" s="996" t="s">
        <v>368</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6" t="s">
        <v>1735</v>
      </c>
      <c r="BO24" s="1016" t="s">
        <v>553</v>
      </c>
      <c r="BP24" s="1016" t="s">
        <v>1736</v>
      </c>
      <c r="BS24" s="699"/>
      <c r="BT24" s="699"/>
      <c r="BU24" s="699"/>
      <c r="BV24" s="508"/>
      <c r="BW24" s="508"/>
    </row>
    <row r="25" spans="1:75" s="71" customFormat="1" ht="48.95" customHeight="1" x14ac:dyDescent="0.15">
      <c r="B25" s="330"/>
      <c r="E25" s="508">
        <v>50.25</v>
      </c>
      <c r="AB25" s="996"/>
      <c r="AC25" s="996"/>
      <c r="AD25" s="996"/>
      <c r="AE25" s="10" t="s">
        <v>360</v>
      </c>
      <c r="AF25" s="727" t="s">
        <v>470</v>
      </c>
      <c r="AG25" s="10" t="s">
        <v>471</v>
      </c>
      <c r="AH25" s="10" t="s">
        <v>1737</v>
      </c>
      <c r="AI25" s="10" t="s">
        <v>360</v>
      </c>
      <c r="AJ25" s="729" t="s">
        <v>361</v>
      </c>
      <c r="AK25" s="729" t="s">
        <v>361</v>
      </c>
      <c r="AL25" s="729" t="s">
        <v>361</v>
      </c>
      <c r="AM25" s="729" t="s">
        <v>361</v>
      </c>
      <c r="AN25" s="729" t="s">
        <v>361</v>
      </c>
      <c r="AO25" s="729" t="s">
        <v>361</v>
      </c>
      <c r="AP25" s="729" t="s">
        <v>361</v>
      </c>
      <c r="AQ25" s="729" t="s">
        <v>361</v>
      </c>
      <c r="AR25" s="729" t="s">
        <v>361</v>
      </c>
      <c r="AS25" s="729" t="s">
        <v>361</v>
      </c>
      <c r="AT25" s="262" t="s">
        <v>360</v>
      </c>
      <c r="AU25" s="262" t="s">
        <v>360</v>
      </c>
      <c r="AV25" s="262" t="s">
        <v>360</v>
      </c>
      <c r="AW25" s="262" t="s">
        <v>360</v>
      </c>
      <c r="AX25" s="262" t="s">
        <v>360</v>
      </c>
      <c r="AY25" s="262" t="s">
        <v>360</v>
      </c>
      <c r="AZ25" s="262" t="s">
        <v>360</v>
      </c>
      <c r="BA25" s="262" t="s">
        <v>360</v>
      </c>
      <c r="BB25" s="262" t="s">
        <v>360</v>
      </c>
      <c r="BC25" s="262" t="s">
        <v>360</v>
      </c>
      <c r="BD25" s="1016" t="s">
        <v>1734</v>
      </c>
      <c r="BE25" s="1016"/>
      <c r="BF25" s="1016"/>
      <c r="BG25" s="1016"/>
      <c r="BH25" s="1016"/>
      <c r="BI25" s="1016"/>
      <c r="BJ25" s="1016"/>
      <c r="BK25" s="1016"/>
      <c r="BL25" s="1016"/>
      <c r="BM25" s="1016"/>
      <c r="BN25" s="1016"/>
      <c r="BO25" s="1016"/>
      <c r="BP25" s="1016"/>
      <c r="BS25" s="699"/>
      <c r="BT25" s="699"/>
      <c r="BU25" s="699"/>
      <c r="BV25" s="508"/>
      <c r="BW25" s="508"/>
    </row>
    <row r="26" spans="1:75" ht="11.25" customHeight="1" x14ac:dyDescent="0.15">
      <c r="A26"/>
      <c r="B26" s="327"/>
      <c r="C26"/>
      <c r="D26"/>
      <c r="E26" s="454" t="s">
        <v>371</v>
      </c>
      <c r="F26" s="86" t="s">
        <v>1949</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4"/>
      <c r="BW26" s="454"/>
    </row>
    <row r="27" spans="1:75" s="38" customFormat="1" ht="14.65" hidden="1" customHeight="1" x14ac:dyDescent="0.15">
      <c r="B27" s="43"/>
      <c r="C27" s="22"/>
      <c r="D27" s="22"/>
      <c r="E27" s="449">
        <v>15</v>
      </c>
      <c r="F27" s="59" cm="1">
        <f t="array" ref="F27">X27</f>
        <v>0</v>
      </c>
      <c r="G27" s="59" cm="1">
        <f t="array" ref="G27">INDEX('Общие сведения'!$AK$179:$AK$236,MATCH($X27,'Общие сведения'!$Z$179:$Z$236,0))</f>
        <v>0</v>
      </c>
      <c r="H27" s="22"/>
      <c r="I27" s="59"/>
      <c r="J27" s="22"/>
      <c r="K27" s="22"/>
      <c r="L27" s="22"/>
      <c r="M27" s="22"/>
      <c r="N27" s="22"/>
      <c r="O27" s="22"/>
      <c r="P27" s="22"/>
      <c r="Q27" s="22"/>
      <c r="R27" s="22"/>
      <c r="S27" s="22" cm="1">
        <f t="array" ref="S27">INDEX('Общие сведения'!$AE$179:$AE$236,MATCH($X27,'Общие сведения'!$Z$179:$Z$236,0))</f>
        <v>0</v>
      </c>
      <c r="T27" s="353" t="b">
        <f>X27&gt;0</f>
        <v>0</v>
      </c>
      <c r="U27" s="22"/>
      <c r="V27" s="22" t="s">
        <v>264</v>
      </c>
      <c r="W27" s="22"/>
      <c r="X27" s="1022">
        <v>0</v>
      </c>
      <c r="Z27" s="967"/>
      <c r="AB27" s="280" t="str" cm="1">
        <f t="array" ref="AB27">INDEX('Общие сведения'!$AG$179:$AG$236,MATCH($X27,'Общие сведения'!$Z$179:$Z$236,0))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6"/>
      <c r="BT27" s="656"/>
      <c r="BU27" s="656"/>
      <c r="BV27" s="448"/>
      <c r="BW27" s="448"/>
    </row>
    <row r="28" spans="1:75" s="75" customFormat="1" ht="20.45" hidden="1" customHeight="1" x14ac:dyDescent="0.15">
      <c r="B28" s="331"/>
      <c r="C28" s="575"/>
      <c r="D28" s="575"/>
      <c r="E28" s="576">
        <v>21</v>
      </c>
      <c r="F28" s="3" cm="1">
        <f t="array" aca="1" ref="F28" ca="1">OFFSET(E28,-1,1)</f>
        <v>0</v>
      </c>
      <c r="G28" s="575"/>
      <c r="H28" s="30"/>
      <c r="I28" s="30" t="s">
        <v>331</v>
      </c>
      <c r="J28" s="575"/>
      <c r="K28" s="276" t="s">
        <v>331</v>
      </c>
      <c r="L28" s="575"/>
      <c r="M28" s="575"/>
      <c r="N28" s="575"/>
      <c r="O28" s="575"/>
      <c r="P28" s="575"/>
      <c r="Q28" s="575"/>
      <c r="R28" s="575"/>
      <c r="S28" s="575"/>
      <c r="T28" s="353" t="b" cm="1">
        <f t="array" ref="T28">T27</f>
        <v>0</v>
      </c>
      <c r="U28" s="575"/>
      <c r="V28" s="575"/>
      <c r="W28" s="575"/>
      <c r="X28" s="1022"/>
      <c r="Z28" s="967"/>
      <c r="AB28" s="147" t="s">
        <v>275</v>
      </c>
      <c r="AC28" s="125" t="s">
        <v>1950</v>
      </c>
      <c r="AD28" s="147" t="s">
        <v>828</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4">
        <f t="shared" ref="AK28:AS28" ca="1" si="3">AJ28*AK29</f>
        <v>0</v>
      </c>
      <c r="AL28" s="774">
        <f t="shared" ca="1" si="3"/>
        <v>0</v>
      </c>
      <c r="AM28" s="774">
        <f t="shared" ca="1" si="3"/>
        <v>0</v>
      </c>
      <c r="AN28" s="774">
        <f t="shared" ca="1" si="3"/>
        <v>0</v>
      </c>
      <c r="AO28" s="774">
        <f t="shared" ca="1" si="3"/>
        <v>0</v>
      </c>
      <c r="AP28" s="774">
        <f t="shared" ca="1" si="3"/>
        <v>0</v>
      </c>
      <c r="AQ28" s="774">
        <f t="shared" ca="1" si="3"/>
        <v>0</v>
      </c>
      <c r="AR28" s="774">
        <f t="shared" ca="1" si="3"/>
        <v>0</v>
      </c>
      <c r="AS28" s="774">
        <f t="shared" ca="1" si="3"/>
        <v>0</v>
      </c>
      <c r="AT28" s="126">
        <f ca="1">SUM(AT30,AT47,AT53,AT73,AT74,AT75)</f>
        <v>0</v>
      </c>
      <c r="AU28" s="774">
        <f t="shared" ref="AU28:BC28" ca="1" si="4">AT28*AU29</f>
        <v>0</v>
      </c>
      <c r="AV28" s="774">
        <f t="shared" ca="1" si="4"/>
        <v>0</v>
      </c>
      <c r="AW28" s="774">
        <f t="shared" ca="1" si="4"/>
        <v>0</v>
      </c>
      <c r="AX28" s="774">
        <f t="shared" ca="1" si="4"/>
        <v>0</v>
      </c>
      <c r="AY28" s="774">
        <f t="shared" ca="1" si="4"/>
        <v>0</v>
      </c>
      <c r="AZ28" s="774">
        <f t="shared" ca="1" si="4"/>
        <v>0</v>
      </c>
      <c r="BA28" s="774">
        <f t="shared" ca="1" si="4"/>
        <v>0</v>
      </c>
      <c r="BB28" s="774">
        <f t="shared" ca="1" si="4"/>
        <v>0</v>
      </c>
      <c r="BC28" s="774">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5"/>
      <c r="BO28" s="775"/>
      <c r="BP28" s="775"/>
      <c r="BQ28" s="74"/>
      <c r="BS28" s="700" t="s">
        <v>550</v>
      </c>
      <c r="BT28" s="700"/>
      <c r="BU28" s="700"/>
      <c r="BV28" s="509"/>
      <c r="BW28" s="509"/>
    </row>
    <row r="29" spans="1:75" ht="14.65" hidden="1" customHeight="1" x14ac:dyDescent="0.15">
      <c r="C29" s="25"/>
      <c r="D29" s="25"/>
      <c r="E29" s="451">
        <v>15</v>
      </c>
      <c r="F29" s="3" cm="1">
        <f t="array" aca="1" ref="F29" ca="1">OFFSET(E29,-1,1)</f>
        <v>0</v>
      </c>
      <c r="G29" s="25"/>
      <c r="H29" s="577"/>
      <c r="I29" s="577" t="s">
        <v>482</v>
      </c>
      <c r="J29" s="25"/>
      <c r="K29" s="277" t="s">
        <v>482</v>
      </c>
      <c r="L29" s="25"/>
      <c r="M29" s="25"/>
      <c r="N29" s="25"/>
      <c r="O29" s="25"/>
      <c r="P29" s="25"/>
      <c r="Q29" s="25"/>
      <c r="R29" s="25"/>
      <c r="S29" s="25"/>
      <c r="T29" s="353" t="b" cm="1">
        <f t="array" ref="T29">T28</f>
        <v>0</v>
      </c>
      <c r="U29" s="25"/>
      <c r="V29" s="25"/>
      <c r="W29" s="25"/>
      <c r="X29" s="1022"/>
      <c r="Z29" s="967"/>
      <c r="AB29" s="7" t="s">
        <v>939</v>
      </c>
      <c r="AC29" s="127" t="s">
        <v>1951</v>
      </c>
      <c r="AD29" s="7"/>
      <c r="AE29" s="776"/>
      <c r="AF29" s="776"/>
      <c r="AG29" s="776"/>
      <c r="AH29" s="558">
        <f t="shared" si="2"/>
        <v>0</v>
      </c>
      <c r="AI29" s="776"/>
      <c r="AJ29" s="444"/>
      <c r="AK29" s="776">
        <f ca="1">SUMIFS(INDEX(Сценарии!$AE$25:$BF$136,,MATCH(AK$8,Сценарии!$AE$8:$BF$8,0)),Сценарии!$F$25:$F$136,$F29,Сценарии!$G$25:$G$136,"ИОР")</f>
        <v>1</v>
      </c>
      <c r="AL29" s="776">
        <f ca="1">SUMIFS(INDEX(Сценарии!$AE$25:$BF$136,,MATCH(AL$8,Сценарии!$AE$8:$BF$8,0)),Сценарии!$F$25:$F$136,$F29,Сценарии!$G$25:$G$136,"ИОР")</f>
        <v>1</v>
      </c>
      <c r="AM29" s="776">
        <f ca="1">SUMIFS(INDEX(Сценарии!$AE$25:$BF$136,,MATCH(AM$8,Сценарии!$AE$8:$BF$8,0)),Сценарии!$F$25:$F$136,$F29,Сценарии!$G$25:$G$136,"ИОР")</f>
        <v>1</v>
      </c>
      <c r="AN29" s="776">
        <f ca="1">SUMIFS(INDEX(Сценарии!$AE$25:$BF$136,,MATCH(AN$8,Сценарии!$AE$8:$BF$8,0)),Сценарии!$F$25:$F$136,$F29,Сценарии!$G$25:$G$136,"ИОР")</f>
        <v>1</v>
      </c>
      <c r="AO29" s="776">
        <f ca="1">SUMIFS(INDEX(Сценарии!$AE$25:$BF$136,,MATCH(AO$8,Сценарии!$AE$8:$BF$8,0)),Сценарии!$F$25:$F$136,$F29,Сценарии!$G$25:$G$136,"ИОР")</f>
        <v>1</v>
      </c>
      <c r="AP29" s="776">
        <f ca="1">SUMIFS(INDEX(Сценарии!$AE$25:$BF$136,,MATCH(AP$8,Сценарии!$AE$8:$BF$8,0)),Сценарии!$F$25:$F$136,$F29,Сценарии!$G$25:$G$136,"ИОР")</f>
        <v>1</v>
      </c>
      <c r="AQ29" s="776">
        <f ca="1">SUMIFS(INDEX(Сценарии!$AE$25:$BF$136,,MATCH(AQ$8,Сценарии!$AE$8:$BF$8,0)),Сценарии!$F$25:$F$136,$F29,Сценарии!$G$25:$G$136,"ИОР")</f>
        <v>1</v>
      </c>
      <c r="AR29" s="776">
        <f ca="1">SUMIFS(INDEX(Сценарии!$AE$25:$BF$136,,MATCH(AR$8,Сценарии!$AE$8:$BF$8,0)),Сценарии!$F$25:$F$136,$F29,Сценарии!$G$25:$G$136,"ИОР")</f>
        <v>1</v>
      </c>
      <c r="AS29" s="776">
        <f ca="1">SUMIFS(INDEX(Сценарии!$AE$25:$BF$136,,MATCH(AS$8,Сценарии!$AE$8:$BF$8,0)),Сценарии!$F$25:$F$136,$F29,Сценарии!$G$25:$G$136,"ИОР")</f>
        <v>1</v>
      </c>
      <c r="AT29" s="444"/>
      <c r="AU29" s="776">
        <f ca="1">SUMIFS(INDEX(Сценарии!$AE$25:$BF$136,,MATCH(AU$8,Сценарии!$AE$8:$BF$8,0)),Сценарии!$F$25:$F$136,$F29,Сценарии!$G$25:$G$136,"ИОР")</f>
        <v>1</v>
      </c>
      <c r="AV29" s="776">
        <f ca="1">SUMIFS(INDEX(Сценарии!$AE$25:$BF$136,,MATCH(AV$8,Сценарии!$AE$8:$BF$8,0)),Сценарии!$F$25:$F$136,$F29,Сценарии!$G$25:$G$136,"ИОР")</f>
        <v>1</v>
      </c>
      <c r="AW29" s="776">
        <f ca="1">SUMIFS(INDEX(Сценарии!$AE$25:$BF$136,,MATCH(AW$8,Сценарии!$AE$8:$BF$8,0)),Сценарии!$F$25:$F$136,$F29,Сценарии!$G$25:$G$136,"ИОР")</f>
        <v>1</v>
      </c>
      <c r="AX29" s="776">
        <f ca="1">SUMIFS(INDEX(Сценарии!$AE$25:$BF$136,,MATCH(AX$8,Сценарии!$AE$8:$BF$8,0)),Сценарии!$F$25:$F$136,$F29,Сценарии!$G$25:$G$136,"ИОР")</f>
        <v>1</v>
      </c>
      <c r="AY29" s="776">
        <f ca="1">SUMIFS(INDEX(Сценарии!$AE$25:$BF$136,,MATCH(AY$8,Сценарии!$AE$8:$BF$8,0)),Сценарии!$F$25:$F$136,$F29,Сценарии!$G$25:$G$136,"ИОР")</f>
        <v>1</v>
      </c>
      <c r="AZ29" s="776">
        <f ca="1">SUMIFS(INDEX(Сценарии!$AE$25:$BF$136,,MATCH(AZ$8,Сценарии!$AE$8:$BF$8,0)),Сценарии!$F$25:$F$136,$F29,Сценарии!$G$25:$G$136,"ИОР")</f>
        <v>1</v>
      </c>
      <c r="BA29" s="776">
        <f ca="1">SUMIFS(INDEX(Сценарии!$AE$25:$BF$136,,MATCH(BA$8,Сценарии!$AE$8:$BF$8,0)),Сценарии!$F$25:$F$136,$F29,Сценарии!$G$25:$G$136,"ИОР")</f>
        <v>1</v>
      </c>
      <c r="BB29" s="776">
        <f ca="1">SUMIFS(INDEX(Сценарии!$AE$25:$BF$136,,MATCH(BB$8,Сценарии!$AE$8:$BF$8,0)),Сценарии!$F$25:$F$136,$F29,Сценарии!$G$25:$G$136,"ИОР")</f>
        <v>1</v>
      </c>
      <c r="BC29" s="776">
        <f ca="1">SUMIFS(INDEX(Сценарии!$AE$25:$BF$136,,MATCH(BC$8,Сценарии!$AE$8:$BF$8,0)),Сценарии!$F$25:$F$136,$F29,Сценарии!$G$25:$G$136,"ИОР")</f>
        <v>1</v>
      </c>
      <c r="BD29" s="171">
        <f t="shared" si="5"/>
        <v>0</v>
      </c>
      <c r="BE29" s="542"/>
      <c r="BF29" s="542"/>
      <c r="BG29" s="542"/>
      <c r="BH29" s="542"/>
      <c r="BI29" s="542"/>
      <c r="BJ29" s="542"/>
      <c r="BK29" s="542"/>
      <c r="BL29" s="542"/>
      <c r="BM29" s="542"/>
      <c r="BN29" s="775"/>
      <c r="BO29" s="775"/>
      <c r="BP29" s="775"/>
      <c r="BS29" s="696" t="s">
        <v>1952</v>
      </c>
    </row>
    <row r="30" spans="1:75" s="74" customFormat="1" ht="20.45" hidden="1" customHeight="1" x14ac:dyDescent="0.25">
      <c r="B30" s="331"/>
      <c r="C30" s="578"/>
      <c r="D30" s="578"/>
      <c r="E30" s="579">
        <v>21</v>
      </c>
      <c r="F30" s="3" cm="1">
        <f t="array" aca="1" ref="F30" ca="1">OFFSET(E30,-1,1)</f>
        <v>0</v>
      </c>
      <c r="G30" s="578"/>
      <c r="H30" s="30"/>
      <c r="I30" s="30" t="s">
        <v>486</v>
      </c>
      <c r="J30" s="578"/>
      <c r="K30" s="276" t="s">
        <v>486</v>
      </c>
      <c r="L30" s="578" t="s">
        <v>331</v>
      </c>
      <c r="M30" s="578"/>
      <c r="N30" s="578"/>
      <c r="O30" s="578"/>
      <c r="P30" s="578"/>
      <c r="Q30" s="578"/>
      <c r="R30" s="578"/>
      <c r="S30" s="578"/>
      <c r="T30" s="353" t="b" cm="1">
        <f t="array" ref="T30">T29</f>
        <v>0</v>
      </c>
      <c r="U30" s="578"/>
      <c r="V30" s="578"/>
      <c r="W30" s="578"/>
      <c r="X30" s="1022"/>
      <c r="Z30" s="967"/>
      <c r="AB30" s="147" t="s">
        <v>942</v>
      </c>
      <c r="AC30" s="263" t="s">
        <v>1738</v>
      </c>
      <c r="AD30" s="147" t="s">
        <v>828</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7"/>
      <c r="BO30" s="777"/>
      <c r="BP30" s="777"/>
      <c r="BS30" s="694" t="s">
        <v>538</v>
      </c>
      <c r="BT30" s="701"/>
      <c r="BU30" s="701"/>
      <c r="BV30" s="510"/>
      <c r="BW30" s="510"/>
    </row>
    <row r="31" spans="1:75" ht="14.65" hidden="1" customHeight="1" x14ac:dyDescent="0.25">
      <c r="C31" s="25"/>
      <c r="D31" s="25"/>
      <c r="E31" s="451">
        <v>15</v>
      </c>
      <c r="F31" s="3" cm="1">
        <f t="array" aca="1" ref="F31" ca="1">OFFSET(E31,-1,1)</f>
        <v>0</v>
      </c>
      <c r="G31" s="25"/>
      <c r="H31" s="577"/>
      <c r="I31" s="577" t="s">
        <v>1344</v>
      </c>
      <c r="J31" s="25"/>
      <c r="K31" s="277" t="s">
        <v>1344</v>
      </c>
      <c r="L31" s="25" t="s">
        <v>482</v>
      </c>
      <c r="M31" s="25"/>
      <c r="N31" s="25"/>
      <c r="O31" s="25"/>
      <c r="P31" s="25"/>
      <c r="Q31" s="25"/>
      <c r="R31" s="25"/>
      <c r="S31" s="25"/>
      <c r="T31" s="353" t="b" cm="1">
        <f t="array" ref="T31">T30</f>
        <v>0</v>
      </c>
      <c r="U31" s="25"/>
      <c r="V31" s="25"/>
      <c r="W31" s="25"/>
      <c r="X31" s="1022"/>
      <c r="Z31" s="967"/>
      <c r="AB31" s="7" t="s">
        <v>1345</v>
      </c>
      <c r="AC31" s="134" t="s">
        <v>1953</v>
      </c>
      <c r="AD31" s="9" t="s">
        <v>828</v>
      </c>
      <c r="AE31" s="171">
        <f>SUM(AE32,AE33)</f>
        <v>0</v>
      </c>
      <c r="AF31" s="171">
        <f>SUM(AF32,AF33)</f>
        <v>0</v>
      </c>
      <c r="AG31" s="171">
        <f>SUM(AG32,AG33)</f>
        <v>0</v>
      </c>
      <c r="AH31" s="171">
        <f t="shared" si="2"/>
        <v>0</v>
      </c>
      <c r="AI31" s="171">
        <f>SUM(AI32,AI33)</f>
        <v>0</v>
      </c>
      <c r="AJ31" s="171">
        <f>SUM(AJ32,AJ33)</f>
        <v>0</v>
      </c>
      <c r="AK31" s="542"/>
      <c r="AL31" s="542"/>
      <c r="AM31" s="542"/>
      <c r="AN31" s="542"/>
      <c r="AO31" s="542"/>
      <c r="AP31" s="542"/>
      <c r="AQ31" s="542"/>
      <c r="AR31" s="542"/>
      <c r="AS31" s="542"/>
      <c r="AT31" s="171">
        <f>SUM(AT32,AT33)</f>
        <v>0</v>
      </c>
      <c r="AU31" s="542"/>
      <c r="AV31" s="542"/>
      <c r="AW31" s="542"/>
      <c r="AX31" s="542"/>
      <c r="AY31" s="542"/>
      <c r="AZ31" s="542"/>
      <c r="BA31" s="542"/>
      <c r="BB31" s="542"/>
      <c r="BC31" s="542"/>
      <c r="BD31" s="171">
        <f t="shared" si="5"/>
        <v>0</v>
      </c>
      <c r="BE31" s="542"/>
      <c r="BF31" s="542"/>
      <c r="BG31" s="542"/>
      <c r="BH31" s="542"/>
      <c r="BI31" s="542"/>
      <c r="BJ31" s="542"/>
      <c r="BK31" s="542"/>
      <c r="BL31" s="542"/>
      <c r="BM31" s="542"/>
      <c r="BN31" s="775"/>
      <c r="BO31" s="775"/>
      <c r="BP31" s="775"/>
      <c r="BQ31" s="28"/>
      <c r="BS31" s="695" t="s">
        <v>1740</v>
      </c>
    </row>
    <row r="32" spans="1:75" ht="14.65" hidden="1" customHeight="1" x14ac:dyDescent="0.25">
      <c r="C32" s="25"/>
      <c r="D32" s="25"/>
      <c r="E32" s="451">
        <v>15</v>
      </c>
      <c r="F32" s="3" cm="1">
        <f t="array" aca="1" ref="F32" ca="1">OFFSET(E32,-1,1)</f>
        <v>0</v>
      </c>
      <c r="G32" s="25"/>
      <c r="H32" s="577"/>
      <c r="I32" s="577" t="s">
        <v>1954</v>
      </c>
      <c r="J32" s="25"/>
      <c r="K32" s="277" t="s">
        <v>1954</v>
      </c>
      <c r="L32" s="25" t="s">
        <v>1074</v>
      </c>
      <c r="M32" s="25"/>
      <c r="N32" s="25"/>
      <c r="O32" s="25"/>
      <c r="P32" s="25"/>
      <c r="Q32" s="25"/>
      <c r="R32" s="25"/>
      <c r="S32" s="25"/>
      <c r="T32" s="353" t="b" cm="1">
        <f t="array" ref="T32">T31</f>
        <v>0</v>
      </c>
      <c r="U32" s="25"/>
      <c r="V32" s="25"/>
      <c r="W32" s="25"/>
      <c r="X32" s="1022"/>
      <c r="Z32" s="967"/>
      <c r="AB32" s="7" t="s">
        <v>1955</v>
      </c>
      <c r="AC32" s="543" t="s">
        <v>1743</v>
      </c>
      <c r="AD32" s="9" t="s">
        <v>828</v>
      </c>
      <c r="AE32" s="778"/>
      <c r="AF32" s="778"/>
      <c r="AG32" s="778"/>
      <c r="AH32" s="171">
        <f t="shared" si="2"/>
        <v>0</v>
      </c>
      <c r="AI32" s="778"/>
      <c r="AJ32" s="128"/>
      <c r="AK32" s="542"/>
      <c r="AL32" s="542"/>
      <c r="AM32" s="542"/>
      <c r="AN32" s="542"/>
      <c r="AO32" s="542"/>
      <c r="AP32" s="542"/>
      <c r="AQ32" s="542"/>
      <c r="AR32" s="542"/>
      <c r="AS32" s="542"/>
      <c r="AT32" s="128"/>
      <c r="AU32" s="542"/>
      <c r="AV32" s="542"/>
      <c r="AW32" s="542"/>
      <c r="AX32" s="542"/>
      <c r="AY32" s="542"/>
      <c r="AZ32" s="542"/>
      <c r="BA32" s="542"/>
      <c r="BB32" s="542"/>
      <c r="BC32" s="542"/>
      <c r="BD32" s="171">
        <f t="shared" si="5"/>
        <v>0</v>
      </c>
      <c r="BE32" s="542"/>
      <c r="BF32" s="542"/>
      <c r="BG32" s="542"/>
      <c r="BH32" s="542"/>
      <c r="BI32" s="542"/>
      <c r="BJ32" s="542"/>
      <c r="BK32" s="542"/>
      <c r="BL32" s="542"/>
      <c r="BM32" s="542"/>
      <c r="BN32" s="775"/>
      <c r="BO32" s="775"/>
      <c r="BP32" s="775"/>
      <c r="BS32" s="694" t="s">
        <v>1744</v>
      </c>
    </row>
    <row r="33" spans="2:75" ht="14.65" hidden="1" customHeight="1" x14ac:dyDescent="0.25">
      <c r="C33" s="25"/>
      <c r="D33" s="25"/>
      <c r="E33" s="451">
        <v>15</v>
      </c>
      <c r="F33" s="3" cm="1">
        <f t="array" aca="1" ref="F33" ca="1">OFFSET(E33,-1,1)</f>
        <v>0</v>
      </c>
      <c r="G33" s="25"/>
      <c r="H33" s="577"/>
      <c r="I33" s="577" t="s">
        <v>1956</v>
      </c>
      <c r="J33" s="25"/>
      <c r="K33" s="277" t="s">
        <v>1956</v>
      </c>
      <c r="L33" s="25" t="s">
        <v>1319</v>
      </c>
      <c r="M33" s="25"/>
      <c r="N33" s="25"/>
      <c r="O33" s="25"/>
      <c r="P33" s="25"/>
      <c r="Q33" s="25"/>
      <c r="R33" s="25"/>
      <c r="S33" s="25"/>
      <c r="T33" s="353" t="b" cm="1">
        <f t="array" ref="T33">T32</f>
        <v>0</v>
      </c>
      <c r="U33" s="25"/>
      <c r="V33" s="25"/>
      <c r="W33" s="25"/>
      <c r="X33" s="1022"/>
      <c r="Z33" s="967"/>
      <c r="AB33" s="7" t="s">
        <v>1957</v>
      </c>
      <c r="AC33" s="543" t="s">
        <v>1745</v>
      </c>
      <c r="AD33" s="9" t="s">
        <v>828</v>
      </c>
      <c r="AE33" s="778"/>
      <c r="AF33" s="778"/>
      <c r="AG33" s="778"/>
      <c r="AH33" s="171">
        <f t="shared" si="2"/>
        <v>0</v>
      </c>
      <c r="AI33" s="778"/>
      <c r="AJ33" s="128"/>
      <c r="AK33" s="542"/>
      <c r="AL33" s="542"/>
      <c r="AM33" s="542"/>
      <c r="AN33" s="542"/>
      <c r="AO33" s="542"/>
      <c r="AP33" s="542"/>
      <c r="AQ33" s="542"/>
      <c r="AR33" s="542"/>
      <c r="AS33" s="542"/>
      <c r="AT33" s="128"/>
      <c r="AU33" s="542"/>
      <c r="AV33" s="542"/>
      <c r="AW33" s="542"/>
      <c r="AX33" s="542"/>
      <c r="AY33" s="542"/>
      <c r="AZ33" s="542"/>
      <c r="BA33" s="542"/>
      <c r="BB33" s="542"/>
      <c r="BC33" s="542"/>
      <c r="BD33" s="171">
        <f t="shared" si="5"/>
        <v>0</v>
      </c>
      <c r="BE33" s="542"/>
      <c r="BF33" s="542"/>
      <c r="BG33" s="542"/>
      <c r="BH33" s="542"/>
      <c r="BI33" s="542"/>
      <c r="BJ33" s="542"/>
      <c r="BK33" s="542"/>
      <c r="BL33" s="542"/>
      <c r="BM33" s="542"/>
      <c r="BN33" s="775"/>
      <c r="BO33" s="775"/>
      <c r="BP33" s="775"/>
      <c r="BS33" s="694" t="s">
        <v>1746</v>
      </c>
    </row>
    <row r="34" spans="2:75" ht="21.95" hidden="1" customHeight="1" x14ac:dyDescent="0.25">
      <c r="C34" s="25"/>
      <c r="D34" s="25"/>
      <c r="E34" s="451">
        <v>22.5</v>
      </c>
      <c r="F34" s="3" cm="1">
        <f t="array" aca="1" ref="F34" ca="1">OFFSET(E34,-1,1)</f>
        <v>0</v>
      </c>
      <c r="G34" s="25"/>
      <c r="H34" s="577"/>
      <c r="I34" s="577" t="s">
        <v>1347</v>
      </c>
      <c r="J34" s="25"/>
      <c r="K34" s="277" t="s">
        <v>1347</v>
      </c>
      <c r="L34" s="25" t="s">
        <v>489</v>
      </c>
      <c r="M34" s="25"/>
      <c r="N34" s="25"/>
      <c r="O34" s="25"/>
      <c r="P34" s="25"/>
      <c r="Q34" s="25"/>
      <c r="R34" s="25"/>
      <c r="S34" s="25"/>
      <c r="T34" s="353" t="b" cm="1">
        <f t="array" ref="T34">T33</f>
        <v>0</v>
      </c>
      <c r="U34" s="25"/>
      <c r="V34" s="25"/>
      <c r="W34" s="25"/>
      <c r="X34" s="1022"/>
      <c r="Z34" s="967"/>
      <c r="AB34" s="7" t="s">
        <v>1348</v>
      </c>
      <c r="AC34" s="134" t="s">
        <v>1958</v>
      </c>
      <c r="AD34" s="9" t="s">
        <v>828</v>
      </c>
      <c r="AE34" s="778"/>
      <c r="AF34" s="778"/>
      <c r="AG34" s="778"/>
      <c r="AH34" s="171">
        <f t="shared" si="2"/>
        <v>0</v>
      </c>
      <c r="AI34" s="778"/>
      <c r="AJ34" s="128"/>
      <c r="AK34" s="542"/>
      <c r="AL34" s="542"/>
      <c r="AM34" s="542"/>
      <c r="AN34" s="542"/>
      <c r="AO34" s="542"/>
      <c r="AP34" s="542"/>
      <c r="AQ34" s="542"/>
      <c r="AR34" s="542"/>
      <c r="AS34" s="542"/>
      <c r="AT34" s="128"/>
      <c r="AU34" s="542"/>
      <c r="AV34" s="542"/>
      <c r="AW34" s="542"/>
      <c r="AX34" s="542"/>
      <c r="AY34" s="542"/>
      <c r="AZ34" s="542"/>
      <c r="BA34" s="542"/>
      <c r="BB34" s="542"/>
      <c r="BC34" s="542"/>
      <c r="BD34" s="171">
        <f t="shared" si="5"/>
        <v>0</v>
      </c>
      <c r="BE34" s="542"/>
      <c r="BF34" s="542"/>
      <c r="BG34" s="542"/>
      <c r="BH34" s="542"/>
      <c r="BI34" s="542"/>
      <c r="BJ34" s="542"/>
      <c r="BK34" s="542"/>
      <c r="BL34" s="542"/>
      <c r="BM34" s="542"/>
      <c r="BN34" s="775"/>
      <c r="BO34" s="775"/>
      <c r="BP34" s="775"/>
      <c r="BS34" s="695" t="s">
        <v>1771</v>
      </c>
    </row>
    <row r="35" spans="2:75" ht="21.95" hidden="1" customHeight="1" x14ac:dyDescent="0.25">
      <c r="C35" s="25"/>
      <c r="D35" s="25"/>
      <c r="E35" s="451">
        <v>22.5</v>
      </c>
      <c r="F35" s="3" cm="1">
        <f t="array" aca="1" ref="F35" ca="1">OFFSET(E35,-1,1)</f>
        <v>0</v>
      </c>
      <c r="G35" s="25"/>
      <c r="H35" s="577"/>
      <c r="I35" s="577" t="s">
        <v>1351</v>
      </c>
      <c r="J35" s="25"/>
      <c r="K35" s="277" t="s">
        <v>1351</v>
      </c>
      <c r="L35" s="25" t="s">
        <v>493</v>
      </c>
      <c r="M35" s="25"/>
      <c r="N35" s="25"/>
      <c r="O35" s="25"/>
      <c r="P35" s="25"/>
      <c r="Q35" s="25"/>
      <c r="R35" s="25"/>
      <c r="S35" s="25"/>
      <c r="T35" s="353" t="b" cm="1">
        <f t="array" ref="T35">T34</f>
        <v>0</v>
      </c>
      <c r="U35" s="25"/>
      <c r="V35" s="25"/>
      <c r="W35" s="25"/>
      <c r="X35" s="1022"/>
      <c r="Z35" s="967"/>
      <c r="AB35" s="7" t="s">
        <v>1352</v>
      </c>
      <c r="AC35" s="134" t="s">
        <v>1959</v>
      </c>
      <c r="AD35" s="9" t="s">
        <v>828</v>
      </c>
      <c r="AE35" s="171">
        <f ca="1">AE36+AE37</f>
        <v>0</v>
      </c>
      <c r="AF35" s="171">
        <f ca="1">AF36+AF37</f>
        <v>0</v>
      </c>
      <c r="AG35" s="171">
        <f ca="1">AG36+AG37</f>
        <v>0</v>
      </c>
      <c r="AH35" s="171">
        <f t="shared" ca="1" si="2"/>
        <v>0</v>
      </c>
      <c r="AI35" s="171">
        <f ca="1">AI36+AI37</f>
        <v>0</v>
      </c>
      <c r="AJ35" s="171">
        <f ca="1">AJ36+AJ37</f>
        <v>0</v>
      </c>
      <c r="AK35" s="542"/>
      <c r="AL35" s="542"/>
      <c r="AM35" s="542"/>
      <c r="AN35" s="542"/>
      <c r="AO35" s="542"/>
      <c r="AP35" s="542"/>
      <c r="AQ35" s="542"/>
      <c r="AR35" s="542"/>
      <c r="AS35" s="542"/>
      <c r="AT35" s="171">
        <f ca="1">AT36+AT37</f>
        <v>0</v>
      </c>
      <c r="AU35" s="542"/>
      <c r="AV35" s="542"/>
      <c r="AW35" s="542"/>
      <c r="AX35" s="542"/>
      <c r="AY35" s="542"/>
      <c r="AZ35" s="542"/>
      <c r="BA35" s="542"/>
      <c r="BB35" s="542"/>
      <c r="BC35" s="542"/>
      <c r="BD35" s="171">
        <f t="shared" ca="1" si="5"/>
        <v>0</v>
      </c>
      <c r="BE35" s="542"/>
      <c r="BF35" s="542"/>
      <c r="BG35" s="542"/>
      <c r="BH35" s="542"/>
      <c r="BI35" s="542"/>
      <c r="BJ35" s="542"/>
      <c r="BK35" s="542"/>
      <c r="BL35" s="542"/>
      <c r="BM35" s="542"/>
      <c r="BN35" s="775"/>
      <c r="BO35" s="775"/>
      <c r="BP35" s="775"/>
      <c r="BS35" s="695" t="s">
        <v>1960</v>
      </c>
    </row>
    <row r="36" spans="2:75" ht="14.65" hidden="1" customHeight="1" x14ac:dyDescent="0.25">
      <c r="C36" s="25"/>
      <c r="D36" s="25"/>
      <c r="E36" s="451">
        <v>15</v>
      </c>
      <c r="F36" s="3" cm="1">
        <f t="array" aca="1" ref="F36" ca="1">OFFSET(E36,-1,1)</f>
        <v>0</v>
      </c>
      <c r="G36" s="267" t="s">
        <v>1162</v>
      </c>
      <c r="H36" s="577"/>
      <c r="I36" s="577" t="s">
        <v>1495</v>
      </c>
      <c r="J36" s="25"/>
      <c r="K36" s="277" t="s">
        <v>1495</v>
      </c>
      <c r="L36" s="25" t="s">
        <v>1371</v>
      </c>
      <c r="M36" s="25"/>
      <c r="N36" s="25"/>
      <c r="O36" s="25"/>
      <c r="P36" s="25"/>
      <c r="Q36" s="25"/>
      <c r="R36" s="25"/>
      <c r="S36" s="25"/>
      <c r="T36" s="353" t="b" cm="1">
        <f t="array" ref="T36">T35</f>
        <v>0</v>
      </c>
      <c r="U36" s="25"/>
      <c r="V36" s="25"/>
      <c r="W36" s="25"/>
      <c r="X36" s="1022"/>
      <c r="Z36" s="967"/>
      <c r="AB36" s="7" t="s">
        <v>1961</v>
      </c>
      <c r="AC36" s="543" t="s">
        <v>1774</v>
      </c>
      <c r="AD36" s="9" t="s">
        <v>828</v>
      </c>
      <c r="AE36" s="171">
        <f ca="1">SUMIFS(ФОТ!AE$25:AE$127,ФОТ!$F$25:$F$127,$F36,ФОТ!$G$25:$G$127,$G36)</f>
        <v>0</v>
      </c>
      <c r="AF36" s="171">
        <f ca="1">SUMIFS(ФОТ!AF$25:AF$127,ФОТ!$F$25:$F$127,$F36,ФОТ!$G$25:$G$127,$G36)</f>
        <v>0</v>
      </c>
      <c r="AG36" s="171">
        <f ca="1">SUMIFS(ФОТ!AG$25:AG$127,ФОТ!$F$25:$F$127,$F36,ФОТ!$G$25:$G$127,$G36)</f>
        <v>0</v>
      </c>
      <c r="AH36" s="171">
        <f t="shared" ca="1" si="2"/>
        <v>0</v>
      </c>
      <c r="AI36" s="171">
        <f ca="1">SUMIFS(ФОТ!AH$25:AH$127,ФОТ!$F$25:$F$127,$F36,ФОТ!$G$25:$G$127,$G36)</f>
        <v>0</v>
      </c>
      <c r="AJ36" s="171">
        <f ca="1">SUMIFS(ФОТ!AI$25:AI$127,ФОТ!$F$25:$F$127,$F36,ФОТ!$G$25:$G$127,$G36)</f>
        <v>0</v>
      </c>
      <c r="AK36" s="542"/>
      <c r="AL36" s="542"/>
      <c r="AM36" s="542"/>
      <c r="AN36" s="542"/>
      <c r="AO36" s="542"/>
      <c r="AP36" s="542"/>
      <c r="AQ36" s="542"/>
      <c r="AR36" s="542"/>
      <c r="AS36" s="542"/>
      <c r="AT36" s="171">
        <f ca="1">SUMIFS(ФОТ!AJ$25:AJ$127,ФОТ!$F$25:$F$127,$F36,ФОТ!$G$25:$G$127,$G36)</f>
        <v>0</v>
      </c>
      <c r="AU36" s="542"/>
      <c r="AV36" s="542"/>
      <c r="AW36" s="542"/>
      <c r="AX36" s="542"/>
      <c r="AY36" s="542"/>
      <c r="AZ36" s="542"/>
      <c r="BA36" s="542"/>
      <c r="BB36" s="542"/>
      <c r="BC36" s="542"/>
      <c r="BD36" s="171">
        <f t="shared" ca="1" si="5"/>
        <v>0</v>
      </c>
      <c r="BE36" s="542"/>
      <c r="BF36" s="542"/>
      <c r="BG36" s="542"/>
      <c r="BH36" s="542"/>
      <c r="BI36" s="542"/>
      <c r="BJ36" s="542"/>
      <c r="BK36" s="542"/>
      <c r="BL36" s="542"/>
      <c r="BM36" s="542"/>
      <c r="BN36" s="775"/>
      <c r="BO36" s="779" t="str">
        <f ca="1">IF(IFERROR(INDEX(ФОТ!$K$26:$L$127,MATCH($F36&amp;"1komm",ФОТ!$K$26:$K$127,0),2),"")=0,"",IFERROR(INDEX(ФОТ!$K$26:$L$127,MATCH($F36&amp;"1komm",ФОТ!$K$26:$K$127,0),2),""))</f>
        <v/>
      </c>
      <c r="BP36" s="775"/>
      <c r="BS36" s="694" t="s">
        <v>1775</v>
      </c>
    </row>
    <row r="37" spans="2:75" ht="21.95" hidden="1" customHeight="1" x14ac:dyDescent="0.25">
      <c r="C37" s="25"/>
      <c r="D37" s="25"/>
      <c r="E37" s="451">
        <v>22.5</v>
      </c>
      <c r="F37" s="3" cm="1">
        <f t="array" aca="1" ref="F37" ca="1">OFFSET(E37,-1,1)</f>
        <v>0</v>
      </c>
      <c r="G37" s="267" t="s">
        <v>1174</v>
      </c>
      <c r="H37" s="577"/>
      <c r="I37" s="577" t="s">
        <v>1499</v>
      </c>
      <c r="J37" s="25"/>
      <c r="K37" s="277" t="s">
        <v>1499</v>
      </c>
      <c r="L37" s="25" t="s">
        <v>1372</v>
      </c>
      <c r="M37" s="25"/>
      <c r="N37" s="25"/>
      <c r="O37" s="25"/>
      <c r="P37" s="25"/>
      <c r="Q37" s="25"/>
      <c r="R37" s="25"/>
      <c r="S37" s="25"/>
      <c r="T37" s="353" t="b" cm="1">
        <f t="array" ref="T37">T36</f>
        <v>0</v>
      </c>
      <c r="U37" s="25"/>
      <c r="V37" s="25"/>
      <c r="W37" s="25"/>
      <c r="X37" s="1022"/>
      <c r="Z37" s="967"/>
      <c r="AB37" s="7" t="s">
        <v>1962</v>
      </c>
      <c r="AC37" s="543" t="s">
        <v>1963</v>
      </c>
      <c r="AD37" s="9" t="s">
        <v>828</v>
      </c>
      <c r="AE37" s="171">
        <f ca="1">SUMIFS(ФОТ!AE$25:AE$127,ФОТ!$F$25:$F$127,$F37,ФОТ!$G$25:$G$127,$G37)</f>
        <v>0</v>
      </c>
      <c r="AF37" s="171">
        <f ca="1">SUMIFS(ФОТ!AF$25:AF$127,ФОТ!$F$25:$F$127,$F37,ФОТ!$G$25:$G$127,$G37)</f>
        <v>0</v>
      </c>
      <c r="AG37" s="171">
        <f ca="1">SUMIFS(ФОТ!AG$25:AG$127,ФОТ!$F$25:$F$127,$F37,ФОТ!$G$25:$G$127,$G37)</f>
        <v>0</v>
      </c>
      <c r="AH37" s="171">
        <f t="shared" ca="1" si="2"/>
        <v>0</v>
      </c>
      <c r="AI37" s="171">
        <f ca="1">SUMIFS(ФОТ!AH$25:AH$127,ФОТ!$F$25:$F$127,$F37,ФОТ!$G$25:$G$127,$G37)</f>
        <v>0</v>
      </c>
      <c r="AJ37" s="171">
        <f ca="1">SUMIFS(ФОТ!AI$25:AI$127,ФОТ!$F$25:$F$127,$F37,ФОТ!$G$25:$G$127,$G37)</f>
        <v>0</v>
      </c>
      <c r="AK37" s="542"/>
      <c r="AL37" s="542"/>
      <c r="AM37" s="542"/>
      <c r="AN37" s="542"/>
      <c r="AO37" s="542"/>
      <c r="AP37" s="542"/>
      <c r="AQ37" s="542"/>
      <c r="AR37" s="542"/>
      <c r="AS37" s="542"/>
      <c r="AT37" s="171">
        <f ca="1">SUMIFS(ФОТ!AJ$25:AJ$127,ФОТ!$F$25:$F$127,$F37,ФОТ!$G$25:$G$127,$G37)</f>
        <v>0</v>
      </c>
      <c r="AU37" s="542"/>
      <c r="AV37" s="542"/>
      <c r="AW37" s="542"/>
      <c r="AX37" s="542"/>
      <c r="AY37" s="542"/>
      <c r="AZ37" s="542"/>
      <c r="BA37" s="542"/>
      <c r="BB37" s="542"/>
      <c r="BC37" s="542"/>
      <c r="BD37" s="171">
        <f t="shared" ca="1" si="5"/>
        <v>0</v>
      </c>
      <c r="BE37" s="542"/>
      <c r="BF37" s="542"/>
      <c r="BG37" s="542"/>
      <c r="BH37" s="542"/>
      <c r="BI37" s="542"/>
      <c r="BJ37" s="542"/>
      <c r="BK37" s="542"/>
      <c r="BL37" s="542"/>
      <c r="BM37" s="542"/>
      <c r="BN37" s="775"/>
      <c r="BO37" s="779" t="str">
        <f ca="1">IF(IFERROR(INDEX(ФОТ!$K$26:$L$127,MATCH($F37&amp;"2komm",ФОТ!$K$26:$K$127,0),2),"")=0,"",IFERROR(INDEX(ФОТ!$K$26:$L$127,MATCH($F37&amp;"2komm",ФОТ!$K$26:$K$127,0),2),""))</f>
        <v/>
      </c>
      <c r="BP37" s="775"/>
      <c r="BS37" s="694" t="s">
        <v>1777</v>
      </c>
    </row>
    <row r="38" spans="2:75" ht="14.65" hidden="1" customHeight="1" x14ac:dyDescent="0.25">
      <c r="C38" s="25"/>
      <c r="D38" s="25"/>
      <c r="E38" s="451">
        <v>15</v>
      </c>
      <c r="F38" s="3" cm="1">
        <f t="array" aca="1" ref="F38" ca="1">OFFSET(E38,-1,1)</f>
        <v>0</v>
      </c>
      <c r="G38" s="25"/>
      <c r="H38" s="577"/>
      <c r="I38" s="577" t="s">
        <v>1510</v>
      </c>
      <c r="J38" s="25"/>
      <c r="K38" s="277" t="s">
        <v>1510</v>
      </c>
      <c r="L38" s="25" t="s">
        <v>1779</v>
      </c>
      <c r="M38" s="25"/>
      <c r="N38" s="25"/>
      <c r="O38" s="25"/>
      <c r="P38" s="25"/>
      <c r="Q38" s="25"/>
      <c r="R38" s="25"/>
      <c r="S38" s="25"/>
      <c r="T38" s="353" t="b" cm="1">
        <f t="array" ref="T38">T37</f>
        <v>0</v>
      </c>
      <c r="U38" s="25"/>
      <c r="V38" s="25"/>
      <c r="W38" s="25"/>
      <c r="X38" s="1022"/>
      <c r="Z38" s="967"/>
      <c r="AB38" s="7" t="s">
        <v>1753</v>
      </c>
      <c r="AC38" s="134" t="s">
        <v>1964</v>
      </c>
      <c r="AD38" s="9" t="s">
        <v>828</v>
      </c>
      <c r="AE38" s="778"/>
      <c r="AF38" s="778"/>
      <c r="AG38" s="778"/>
      <c r="AH38" s="171">
        <f t="shared" si="2"/>
        <v>0</v>
      </c>
      <c r="AI38" s="778"/>
      <c r="AJ38" s="128"/>
      <c r="AK38" s="542"/>
      <c r="AL38" s="542"/>
      <c r="AM38" s="542"/>
      <c r="AN38" s="542"/>
      <c r="AO38" s="542"/>
      <c r="AP38" s="542"/>
      <c r="AQ38" s="542"/>
      <c r="AR38" s="542"/>
      <c r="AS38" s="542"/>
      <c r="AT38" s="128"/>
      <c r="AU38" s="542"/>
      <c r="AV38" s="542"/>
      <c r="AW38" s="542"/>
      <c r="AX38" s="542"/>
      <c r="AY38" s="542"/>
      <c r="AZ38" s="542"/>
      <c r="BA38" s="542"/>
      <c r="BB38" s="542"/>
      <c r="BC38" s="542"/>
      <c r="BD38" s="171">
        <f t="shared" si="5"/>
        <v>0</v>
      </c>
      <c r="BE38" s="542"/>
      <c r="BF38" s="542"/>
      <c r="BG38" s="542"/>
      <c r="BH38" s="542"/>
      <c r="BI38" s="542"/>
      <c r="BJ38" s="542"/>
      <c r="BK38" s="542"/>
      <c r="BL38" s="542"/>
      <c r="BM38" s="542"/>
      <c r="BN38" s="775"/>
      <c r="BO38" s="775"/>
      <c r="BP38" s="775"/>
      <c r="BS38" s="695" t="s">
        <v>1782</v>
      </c>
    </row>
    <row r="39" spans="2:75" ht="14.65" hidden="1" customHeight="1" x14ac:dyDescent="0.25">
      <c r="C39" s="25"/>
      <c r="D39" s="25"/>
      <c r="E39" s="451">
        <v>15</v>
      </c>
      <c r="F39" s="3" cm="1">
        <f t="array" aca="1" ref="F39" ca="1">OFFSET(E39,-1,1)</f>
        <v>0</v>
      </c>
      <c r="G39" s="25"/>
      <c r="H39" s="577"/>
      <c r="I39" s="577" t="s">
        <v>1514</v>
      </c>
      <c r="J39" s="25"/>
      <c r="K39" s="277" t="s">
        <v>1514</v>
      </c>
      <c r="L39" s="25" t="s">
        <v>1783</v>
      </c>
      <c r="N39" s="25"/>
      <c r="O39" s="25"/>
      <c r="P39" s="25"/>
      <c r="Q39" s="25"/>
      <c r="R39" s="25"/>
      <c r="S39" s="25"/>
      <c r="T39" s="353" t="b" cm="1">
        <f t="array" ref="T39">T38</f>
        <v>0</v>
      </c>
      <c r="U39" s="25"/>
      <c r="V39" s="25"/>
      <c r="W39" s="25"/>
      <c r="X39" s="1022"/>
      <c r="Z39" s="967"/>
      <c r="AB39" s="7" t="s">
        <v>1755</v>
      </c>
      <c r="AC39" s="134" t="s">
        <v>1965</v>
      </c>
      <c r="AD39" s="7" t="s">
        <v>828</v>
      </c>
      <c r="AE39" s="171">
        <f>SUM(AE40:AE46)</f>
        <v>0</v>
      </c>
      <c r="AF39" s="171">
        <f>SUM(AF40:AF46)</f>
        <v>0</v>
      </c>
      <c r="AG39" s="171">
        <f>SUM(AG40:AG46)</f>
        <v>0</v>
      </c>
      <c r="AH39" s="171">
        <f t="shared" si="2"/>
        <v>0</v>
      </c>
      <c r="AI39" s="171">
        <f>SUM(AI40:AI46)</f>
        <v>0</v>
      </c>
      <c r="AJ39" s="171">
        <f>SUM(AJ40:AJ46)</f>
        <v>0</v>
      </c>
      <c r="AK39" s="542"/>
      <c r="AL39" s="542"/>
      <c r="AM39" s="542"/>
      <c r="AN39" s="542"/>
      <c r="AO39" s="542"/>
      <c r="AP39" s="542"/>
      <c r="AQ39" s="542"/>
      <c r="AR39" s="542"/>
      <c r="AS39" s="542"/>
      <c r="AT39" s="171">
        <f>SUM(AT40:AT46)</f>
        <v>0</v>
      </c>
      <c r="AU39" s="542"/>
      <c r="AV39" s="542"/>
      <c r="AW39" s="542"/>
      <c r="AX39" s="542"/>
      <c r="AY39" s="542"/>
      <c r="AZ39" s="542"/>
      <c r="BA39" s="542"/>
      <c r="BB39" s="542"/>
      <c r="BC39" s="542"/>
      <c r="BD39" s="171">
        <f t="shared" si="5"/>
        <v>0</v>
      </c>
      <c r="BE39" s="542"/>
      <c r="BF39" s="542"/>
      <c r="BG39" s="542"/>
      <c r="BH39" s="542"/>
      <c r="BI39" s="542"/>
      <c r="BJ39" s="542"/>
      <c r="BK39" s="542"/>
      <c r="BL39" s="542"/>
      <c r="BM39" s="542"/>
      <c r="BN39" s="775"/>
      <c r="BO39" s="775"/>
      <c r="BP39" s="775"/>
      <c r="BS39" s="695" t="s">
        <v>1966</v>
      </c>
    </row>
    <row r="40" spans="2:75" ht="14.65" hidden="1" customHeight="1" x14ac:dyDescent="0.25">
      <c r="C40" s="25"/>
      <c r="D40" s="25"/>
      <c r="E40" s="451">
        <v>15</v>
      </c>
      <c r="F40" s="3" cm="1">
        <f t="array" aca="1" ref="F40" ca="1">OFFSET(E40,-1,1)</f>
        <v>0</v>
      </c>
      <c r="G40" s="25"/>
      <c r="H40" s="577"/>
      <c r="I40" s="577" t="s">
        <v>1967</v>
      </c>
      <c r="J40" s="25"/>
      <c r="K40" s="277" t="s">
        <v>1967</v>
      </c>
      <c r="L40" s="25" t="s">
        <v>1783</v>
      </c>
      <c r="M40" s="25" t="s">
        <v>1791</v>
      </c>
      <c r="N40" s="25"/>
      <c r="O40" s="25"/>
      <c r="P40" s="25"/>
      <c r="Q40" s="25"/>
      <c r="R40" s="25"/>
      <c r="S40" s="25"/>
      <c r="T40" s="353" t="b" cm="1">
        <f t="array" ref="T40">T39</f>
        <v>0</v>
      </c>
      <c r="U40" s="25"/>
      <c r="V40" s="25"/>
      <c r="W40" s="25"/>
      <c r="X40" s="1022"/>
      <c r="Z40" s="967"/>
      <c r="AB40" s="7" t="s">
        <v>1968</v>
      </c>
      <c r="AC40" s="543" t="s">
        <v>1969</v>
      </c>
      <c r="AD40" s="7" t="s">
        <v>828</v>
      </c>
      <c r="AE40" s="778"/>
      <c r="AF40" s="778"/>
      <c r="AG40" s="778"/>
      <c r="AH40" s="171">
        <f t="shared" si="2"/>
        <v>0</v>
      </c>
      <c r="AI40" s="778"/>
      <c r="AJ40" s="128"/>
      <c r="AK40" s="542"/>
      <c r="AL40" s="542"/>
      <c r="AM40" s="542"/>
      <c r="AN40" s="542"/>
      <c r="AO40" s="542"/>
      <c r="AP40" s="542"/>
      <c r="AQ40" s="542"/>
      <c r="AR40" s="542"/>
      <c r="AS40" s="542"/>
      <c r="AT40" s="128"/>
      <c r="AU40" s="542"/>
      <c r="AV40" s="542"/>
      <c r="AW40" s="542"/>
      <c r="AX40" s="542"/>
      <c r="AY40" s="542"/>
      <c r="AZ40" s="542"/>
      <c r="BA40" s="542"/>
      <c r="BB40" s="542"/>
      <c r="BC40" s="542"/>
      <c r="BD40" s="171">
        <f t="shared" si="5"/>
        <v>0</v>
      </c>
      <c r="BE40" s="542"/>
      <c r="BF40" s="542"/>
      <c r="BG40" s="542"/>
      <c r="BH40" s="542"/>
      <c r="BI40" s="542"/>
      <c r="BJ40" s="542"/>
      <c r="BK40" s="542"/>
      <c r="BL40" s="542"/>
      <c r="BM40" s="542"/>
      <c r="BN40" s="775"/>
      <c r="BO40" s="775"/>
      <c r="BP40" s="775"/>
      <c r="BS40" s="694" t="s">
        <v>1794</v>
      </c>
    </row>
    <row r="41" spans="2:75" ht="21.95" hidden="1" customHeight="1" x14ac:dyDescent="0.15">
      <c r="C41" s="25"/>
      <c r="D41" s="25"/>
      <c r="E41" s="451">
        <v>22.5</v>
      </c>
      <c r="F41" s="3" cm="1">
        <f t="array" aca="1" ref="F41" ca="1">OFFSET(E41,-1,1)</f>
        <v>0</v>
      </c>
      <c r="G41" s="25"/>
      <c r="H41" s="577"/>
      <c r="I41" s="577" t="s">
        <v>1970</v>
      </c>
      <c r="J41" s="25"/>
      <c r="K41" s="277" t="s">
        <v>1970</v>
      </c>
      <c r="L41" s="25" t="s">
        <v>1783</v>
      </c>
      <c r="M41" s="25" t="s">
        <v>1787</v>
      </c>
      <c r="N41" s="25"/>
      <c r="O41" s="25"/>
      <c r="P41" s="25"/>
      <c r="Q41" s="25"/>
      <c r="R41" s="25"/>
      <c r="S41" s="25"/>
      <c r="T41" s="353" t="b" cm="1">
        <f t="array" ref="T41">T40</f>
        <v>0</v>
      </c>
      <c r="U41" s="25"/>
      <c r="V41" s="25"/>
      <c r="W41" s="25"/>
      <c r="X41" s="1022"/>
      <c r="Z41" s="967"/>
      <c r="AB41" s="7" t="s">
        <v>1971</v>
      </c>
      <c r="AC41" s="543" t="s">
        <v>1972</v>
      </c>
      <c r="AD41" s="7" t="s">
        <v>828</v>
      </c>
      <c r="AE41" s="778"/>
      <c r="AF41" s="778"/>
      <c r="AG41" s="778"/>
      <c r="AH41" s="171">
        <f t="shared" si="2"/>
        <v>0</v>
      </c>
      <c r="AI41" s="778"/>
      <c r="AJ41" s="128"/>
      <c r="AK41" s="542"/>
      <c r="AL41" s="542"/>
      <c r="AM41" s="542"/>
      <c r="AN41" s="542"/>
      <c r="AO41" s="542"/>
      <c r="AP41" s="542"/>
      <c r="AQ41" s="542"/>
      <c r="AR41" s="542"/>
      <c r="AS41" s="542"/>
      <c r="AT41" s="128"/>
      <c r="AU41" s="542"/>
      <c r="AV41" s="542"/>
      <c r="AW41" s="542"/>
      <c r="AX41" s="542"/>
      <c r="AY41" s="542"/>
      <c r="AZ41" s="542"/>
      <c r="BA41" s="542"/>
      <c r="BB41" s="542"/>
      <c r="BC41" s="542"/>
      <c r="BD41" s="171">
        <f t="shared" si="5"/>
        <v>0</v>
      </c>
      <c r="BE41" s="542"/>
      <c r="BF41" s="542"/>
      <c r="BG41" s="542"/>
      <c r="BH41" s="542"/>
      <c r="BI41" s="542"/>
      <c r="BJ41" s="542"/>
      <c r="BK41" s="542"/>
      <c r="BL41" s="542"/>
      <c r="BM41" s="542"/>
      <c r="BN41" s="775"/>
      <c r="BO41" s="775"/>
      <c r="BP41" s="775"/>
      <c r="BS41" s="696" t="s">
        <v>1973</v>
      </c>
    </row>
    <row r="42" spans="2:75" ht="21.95" hidden="1" customHeight="1" x14ac:dyDescent="0.15">
      <c r="C42" s="25"/>
      <c r="D42" s="25"/>
      <c r="E42" s="451">
        <v>22.5</v>
      </c>
      <c r="F42" s="3" cm="1">
        <f t="array" aca="1" ref="F42" ca="1">OFFSET(E42,-1,1)</f>
        <v>0</v>
      </c>
      <c r="G42" s="25"/>
      <c r="H42" s="577"/>
      <c r="I42" s="577" t="s">
        <v>1974</v>
      </c>
      <c r="J42" s="25"/>
      <c r="K42" s="277" t="s">
        <v>1974</v>
      </c>
      <c r="N42" s="25"/>
      <c r="O42" s="25"/>
      <c r="P42" s="25"/>
      <c r="Q42" s="25"/>
      <c r="R42" s="25"/>
      <c r="S42" s="25"/>
      <c r="T42" s="353" t="b" cm="1">
        <f t="array" ref="T42">T41</f>
        <v>0</v>
      </c>
      <c r="U42" s="25"/>
      <c r="V42" s="25"/>
      <c r="W42" s="25"/>
      <c r="X42" s="1022"/>
      <c r="Z42" s="967"/>
      <c r="AB42" s="7" t="s">
        <v>1975</v>
      </c>
      <c r="AC42" s="544" t="s">
        <v>1976</v>
      </c>
      <c r="AD42" s="7" t="s">
        <v>828</v>
      </c>
      <c r="AE42" s="778"/>
      <c r="AF42" s="778"/>
      <c r="AG42" s="778"/>
      <c r="AH42" s="171">
        <f t="shared" si="2"/>
        <v>0</v>
      </c>
      <c r="AI42" s="778"/>
      <c r="AJ42" s="128"/>
      <c r="AK42" s="542"/>
      <c r="AL42" s="542"/>
      <c r="AM42" s="542"/>
      <c r="AN42" s="542"/>
      <c r="AO42" s="542"/>
      <c r="AP42" s="542"/>
      <c r="AQ42" s="542"/>
      <c r="AR42" s="542"/>
      <c r="AS42" s="542"/>
      <c r="AT42" s="128"/>
      <c r="AU42" s="542"/>
      <c r="AV42" s="542"/>
      <c r="AW42" s="542"/>
      <c r="AX42" s="542"/>
      <c r="AY42" s="542"/>
      <c r="AZ42" s="542"/>
      <c r="BA42" s="542"/>
      <c r="BB42" s="542"/>
      <c r="BC42" s="542"/>
      <c r="BD42" s="171">
        <f t="shared" si="5"/>
        <v>0</v>
      </c>
      <c r="BE42" s="542"/>
      <c r="BF42" s="542"/>
      <c r="BG42" s="542"/>
      <c r="BH42" s="542"/>
      <c r="BI42" s="542"/>
      <c r="BJ42" s="542"/>
      <c r="BK42" s="542"/>
      <c r="BL42" s="542"/>
      <c r="BM42" s="542"/>
      <c r="BN42" s="775"/>
      <c r="BO42" s="775"/>
      <c r="BP42" s="775"/>
      <c r="BS42" s="696" t="s">
        <v>1977</v>
      </c>
    </row>
    <row r="43" spans="2:75" ht="21.95" hidden="1" customHeight="1" x14ac:dyDescent="0.15">
      <c r="C43" s="25"/>
      <c r="D43" s="25"/>
      <c r="E43" s="451">
        <v>22.5</v>
      </c>
      <c r="F43" s="3" cm="1">
        <f t="array" aca="1" ref="F43" ca="1">OFFSET(E43,-1,1)</f>
        <v>0</v>
      </c>
      <c r="G43" s="25"/>
      <c r="H43" s="577"/>
      <c r="I43" s="577" t="s">
        <v>1978</v>
      </c>
      <c r="J43" s="25"/>
      <c r="K43" s="277" t="s">
        <v>1978</v>
      </c>
      <c r="L43" s="25"/>
      <c r="N43" s="25"/>
      <c r="O43" s="25"/>
      <c r="P43" s="25"/>
      <c r="Q43" s="25"/>
      <c r="R43" s="25"/>
      <c r="S43" s="25"/>
      <c r="T43" s="353" t="b" cm="1">
        <f t="array" ref="T43">T42</f>
        <v>0</v>
      </c>
      <c r="U43" s="25"/>
      <c r="V43" s="25"/>
      <c r="W43" s="25"/>
      <c r="X43" s="1022"/>
      <c r="Z43" s="967"/>
      <c r="AB43" s="7" t="s">
        <v>1979</v>
      </c>
      <c r="AC43" s="544" t="s">
        <v>1980</v>
      </c>
      <c r="AD43" s="7" t="s">
        <v>828</v>
      </c>
      <c r="AE43" s="778"/>
      <c r="AF43" s="778"/>
      <c r="AG43" s="778"/>
      <c r="AH43" s="171">
        <f t="shared" si="2"/>
        <v>0</v>
      </c>
      <c r="AI43" s="778"/>
      <c r="AJ43" s="128"/>
      <c r="AK43" s="542"/>
      <c r="AL43" s="542"/>
      <c r="AM43" s="542"/>
      <c r="AN43" s="542"/>
      <c r="AO43" s="542"/>
      <c r="AP43" s="542"/>
      <c r="AQ43" s="542"/>
      <c r="AR43" s="542"/>
      <c r="AS43" s="542"/>
      <c r="AT43" s="128"/>
      <c r="AU43" s="542"/>
      <c r="AV43" s="542"/>
      <c r="AW43" s="542"/>
      <c r="AX43" s="542"/>
      <c r="AY43" s="542"/>
      <c r="AZ43" s="542"/>
      <c r="BA43" s="542"/>
      <c r="BB43" s="542"/>
      <c r="BC43" s="542"/>
      <c r="BD43" s="171">
        <f t="shared" si="5"/>
        <v>0</v>
      </c>
      <c r="BE43" s="542"/>
      <c r="BF43" s="542"/>
      <c r="BG43" s="542"/>
      <c r="BH43" s="542"/>
      <c r="BI43" s="542"/>
      <c r="BJ43" s="542"/>
      <c r="BK43" s="542"/>
      <c r="BL43" s="542"/>
      <c r="BM43" s="542"/>
      <c r="BN43" s="775"/>
      <c r="BO43" s="775"/>
      <c r="BP43" s="775"/>
      <c r="BS43" s="696" t="s">
        <v>1981</v>
      </c>
    </row>
    <row r="44" spans="2:75" ht="43.9" hidden="1" customHeight="1" x14ac:dyDescent="0.15">
      <c r="C44" s="25"/>
      <c r="D44" s="25"/>
      <c r="E44" s="451">
        <v>45</v>
      </c>
      <c r="F44" s="3" cm="1">
        <f t="array" aca="1" ref="F44" ca="1">OFFSET(E44,-1,1)</f>
        <v>0</v>
      </c>
      <c r="G44" s="25"/>
      <c r="H44" s="577"/>
      <c r="I44" s="577" t="s">
        <v>1982</v>
      </c>
      <c r="J44" s="25"/>
      <c r="K44" s="277" t="s">
        <v>1982</v>
      </c>
      <c r="L44" s="25" t="s">
        <v>1783</v>
      </c>
      <c r="M44" s="25" t="s">
        <v>1795</v>
      </c>
      <c r="N44" s="25"/>
      <c r="O44" s="25"/>
      <c r="P44" s="25"/>
      <c r="Q44" s="25"/>
      <c r="R44" s="25"/>
      <c r="S44" s="25"/>
      <c r="T44" s="353" t="b" cm="1">
        <f t="array" ref="T44">T43</f>
        <v>0</v>
      </c>
      <c r="U44" s="25"/>
      <c r="V44" s="25"/>
      <c r="W44" s="25"/>
      <c r="X44" s="1022"/>
      <c r="Z44" s="967"/>
      <c r="AB44" s="7" t="s">
        <v>1983</v>
      </c>
      <c r="AC44" s="543" t="s">
        <v>1984</v>
      </c>
      <c r="AD44" s="7" t="s">
        <v>828</v>
      </c>
      <c r="AE44" s="778"/>
      <c r="AF44" s="778"/>
      <c r="AG44" s="778"/>
      <c r="AH44" s="171">
        <f t="shared" si="2"/>
        <v>0</v>
      </c>
      <c r="AI44" s="778"/>
      <c r="AJ44" s="128"/>
      <c r="AK44" s="542"/>
      <c r="AL44" s="542"/>
      <c r="AM44" s="542"/>
      <c r="AN44" s="542"/>
      <c r="AO44" s="542"/>
      <c r="AP44" s="542"/>
      <c r="AQ44" s="542"/>
      <c r="AR44" s="542"/>
      <c r="AS44" s="542"/>
      <c r="AT44" s="128"/>
      <c r="AU44" s="542"/>
      <c r="AV44" s="542"/>
      <c r="AW44" s="542"/>
      <c r="AX44" s="542"/>
      <c r="AY44" s="542"/>
      <c r="AZ44" s="542"/>
      <c r="BA44" s="542"/>
      <c r="BB44" s="542"/>
      <c r="BC44" s="542"/>
      <c r="BD44" s="171">
        <f t="shared" si="5"/>
        <v>0</v>
      </c>
      <c r="BE44" s="542"/>
      <c r="BF44" s="542"/>
      <c r="BG44" s="542"/>
      <c r="BH44" s="542"/>
      <c r="BI44" s="542"/>
      <c r="BJ44" s="542"/>
      <c r="BK44" s="542"/>
      <c r="BL44" s="542"/>
      <c r="BM44" s="542"/>
      <c r="BN44" s="775"/>
      <c r="BO44" s="775"/>
      <c r="BP44" s="775"/>
      <c r="BS44" s="696" t="s">
        <v>1798</v>
      </c>
    </row>
    <row r="45" spans="2:75" ht="14.65" hidden="1" customHeight="1" x14ac:dyDescent="0.15">
      <c r="C45" s="25"/>
      <c r="D45" s="25"/>
      <c r="E45" s="451">
        <v>15</v>
      </c>
      <c r="F45" s="3" cm="1">
        <f t="array" aca="1" ref="F45" ca="1">OFFSET(E45,-1,1)</f>
        <v>0</v>
      </c>
      <c r="G45" s="25"/>
      <c r="H45" s="577"/>
      <c r="I45" s="577" t="s">
        <v>1985</v>
      </c>
      <c r="J45" s="25"/>
      <c r="K45" s="277" t="s">
        <v>1985</v>
      </c>
      <c r="L45" s="25" t="s">
        <v>1783</v>
      </c>
      <c r="M45" s="25" t="s">
        <v>1799</v>
      </c>
      <c r="N45" s="25"/>
      <c r="O45" s="25"/>
      <c r="P45" s="25"/>
      <c r="Q45" s="25"/>
      <c r="R45" s="25"/>
      <c r="S45" s="25"/>
      <c r="T45" s="353" t="b" cm="1">
        <f t="array" ref="T45">T44</f>
        <v>0</v>
      </c>
      <c r="U45" s="25"/>
      <c r="V45" s="25"/>
      <c r="W45" s="25"/>
      <c r="X45" s="1022"/>
      <c r="Z45" s="967"/>
      <c r="AB45" s="7" t="s">
        <v>1986</v>
      </c>
      <c r="AC45" s="543" t="s">
        <v>1801</v>
      </c>
      <c r="AD45" s="7" t="s">
        <v>828</v>
      </c>
      <c r="AE45" s="778"/>
      <c r="AF45" s="778"/>
      <c r="AG45" s="778"/>
      <c r="AH45" s="171">
        <f t="shared" si="2"/>
        <v>0</v>
      </c>
      <c r="AI45" s="778"/>
      <c r="AJ45" s="128"/>
      <c r="AK45" s="542"/>
      <c r="AL45" s="542"/>
      <c r="AM45" s="542"/>
      <c r="AN45" s="542"/>
      <c r="AO45" s="542"/>
      <c r="AP45" s="542"/>
      <c r="AQ45" s="542"/>
      <c r="AR45" s="542"/>
      <c r="AS45" s="542"/>
      <c r="AT45" s="128"/>
      <c r="AU45" s="542"/>
      <c r="AV45" s="542"/>
      <c r="AW45" s="542"/>
      <c r="AX45" s="542"/>
      <c r="AY45" s="542"/>
      <c r="AZ45" s="542"/>
      <c r="BA45" s="542"/>
      <c r="BB45" s="542"/>
      <c r="BC45" s="542"/>
      <c r="BD45" s="171">
        <f t="shared" si="5"/>
        <v>0</v>
      </c>
      <c r="BE45" s="542"/>
      <c r="BF45" s="542"/>
      <c r="BG45" s="542"/>
      <c r="BH45" s="542"/>
      <c r="BI45" s="542"/>
      <c r="BJ45" s="542"/>
      <c r="BK45" s="542"/>
      <c r="BL45" s="542"/>
      <c r="BM45" s="542"/>
      <c r="BN45" s="775"/>
      <c r="BO45" s="775"/>
      <c r="BP45" s="775"/>
      <c r="BS45" s="696" t="s">
        <v>1802</v>
      </c>
    </row>
    <row r="46" spans="2:75" ht="14.65" hidden="1" customHeight="1" x14ac:dyDescent="0.15">
      <c r="C46" s="25"/>
      <c r="D46" s="25"/>
      <c r="E46" s="451">
        <v>15</v>
      </c>
      <c r="F46" s="3" cm="1">
        <f t="array" aca="1" ref="F46" ca="1">OFFSET(E46,-1,1)</f>
        <v>0</v>
      </c>
      <c r="G46" s="25"/>
      <c r="H46" s="577"/>
      <c r="I46" s="577" t="s">
        <v>1987</v>
      </c>
      <c r="J46" s="25"/>
      <c r="K46" s="277" t="s">
        <v>1987</v>
      </c>
      <c r="L46" s="25"/>
      <c r="M46" s="25"/>
      <c r="N46" s="25"/>
      <c r="O46" s="25"/>
      <c r="P46" s="25"/>
      <c r="Q46" s="25"/>
      <c r="R46" s="25"/>
      <c r="S46" s="25"/>
      <c r="T46" s="353" t="b" cm="1">
        <f t="array" ref="T46">T45</f>
        <v>0</v>
      </c>
      <c r="U46" s="25"/>
      <c r="V46" s="25"/>
      <c r="W46" s="25"/>
      <c r="X46" s="1022"/>
      <c r="Z46" s="967"/>
      <c r="AB46" s="7" t="s">
        <v>1988</v>
      </c>
      <c r="AC46" s="543" t="s">
        <v>1989</v>
      </c>
      <c r="AD46" s="7" t="s">
        <v>828</v>
      </c>
      <c r="AE46" s="778"/>
      <c r="AF46" s="778"/>
      <c r="AG46" s="778"/>
      <c r="AH46" s="171">
        <f t="shared" si="2"/>
        <v>0</v>
      </c>
      <c r="AI46" s="778"/>
      <c r="AJ46" s="128"/>
      <c r="AK46" s="542"/>
      <c r="AL46" s="542"/>
      <c r="AM46" s="542"/>
      <c r="AN46" s="542"/>
      <c r="AO46" s="542"/>
      <c r="AP46" s="542"/>
      <c r="AQ46" s="542"/>
      <c r="AR46" s="542"/>
      <c r="AS46" s="542"/>
      <c r="AT46" s="128"/>
      <c r="AU46" s="542"/>
      <c r="AV46" s="542"/>
      <c r="AW46" s="542"/>
      <c r="AX46" s="542"/>
      <c r="AY46" s="542"/>
      <c r="AZ46" s="542"/>
      <c r="BA46" s="542"/>
      <c r="BB46" s="542"/>
      <c r="BC46" s="542"/>
      <c r="BD46" s="171">
        <f t="shared" si="5"/>
        <v>0</v>
      </c>
      <c r="BE46" s="542"/>
      <c r="BF46" s="542"/>
      <c r="BG46" s="542"/>
      <c r="BH46" s="542"/>
      <c r="BI46" s="542"/>
      <c r="BJ46" s="542"/>
      <c r="BK46" s="542"/>
      <c r="BL46" s="542"/>
      <c r="BM46" s="542"/>
      <c r="BN46" s="775"/>
      <c r="BO46" s="775"/>
      <c r="BP46" s="775"/>
      <c r="BS46" s="696" t="s">
        <v>1786</v>
      </c>
    </row>
    <row r="47" spans="2:75" s="76" customFormat="1" ht="20.45" hidden="1" customHeight="1" x14ac:dyDescent="0.25">
      <c r="B47" s="332"/>
      <c r="C47" s="27"/>
      <c r="D47" s="27"/>
      <c r="E47" s="559">
        <v>21</v>
      </c>
      <c r="F47" s="3" cm="1">
        <f t="array" aca="1" ref="F47" ca="1">OFFSET(E47,-1,1)</f>
        <v>0</v>
      </c>
      <c r="G47" s="27"/>
      <c r="H47" s="577"/>
      <c r="I47" s="577" t="s">
        <v>489</v>
      </c>
      <c r="J47" s="27"/>
      <c r="K47" s="277" t="s">
        <v>489</v>
      </c>
      <c r="L47" s="27"/>
      <c r="M47" s="27"/>
      <c r="N47" s="27"/>
      <c r="O47" s="27"/>
      <c r="P47" s="27"/>
      <c r="Q47" s="27"/>
      <c r="R47" s="27"/>
      <c r="S47" s="27"/>
      <c r="T47" s="353" t="b" cm="1">
        <f t="array" ref="T47">T46</f>
        <v>0</v>
      </c>
      <c r="U47" s="27"/>
      <c r="V47" s="27"/>
      <c r="W47" s="27"/>
      <c r="X47" s="1022"/>
      <c r="Z47" s="967"/>
      <c r="AB47" s="124" t="s">
        <v>945</v>
      </c>
      <c r="AC47" s="263" t="s">
        <v>1806</v>
      </c>
      <c r="AD47" s="124" t="s">
        <v>828</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7"/>
      <c r="BO47" s="777"/>
      <c r="BP47" s="777"/>
      <c r="BS47" s="695" t="s">
        <v>1807</v>
      </c>
      <c r="BT47" s="702"/>
      <c r="BU47" s="702"/>
      <c r="BV47" s="511"/>
      <c r="BW47" s="511"/>
    </row>
    <row r="48" spans="2:75" ht="21.95" hidden="1" customHeight="1" x14ac:dyDescent="0.25">
      <c r="C48" s="25"/>
      <c r="D48" s="25"/>
      <c r="E48" s="451">
        <v>22.5</v>
      </c>
      <c r="F48" s="3" cm="1">
        <f t="array" aca="1" ref="F48" ca="1">OFFSET(E48,-1,1)</f>
        <v>0</v>
      </c>
      <c r="G48" s="25"/>
      <c r="H48" s="577"/>
      <c r="I48" s="577" t="s">
        <v>1357</v>
      </c>
      <c r="J48" s="25"/>
      <c r="K48" s="277" t="s">
        <v>1357</v>
      </c>
      <c r="L48" s="25"/>
      <c r="M48" s="25"/>
      <c r="N48" s="25"/>
      <c r="O48" s="25"/>
      <c r="P48" s="25"/>
      <c r="Q48" s="25"/>
      <c r="R48" s="25"/>
      <c r="S48" s="25"/>
      <c r="T48" s="353" t="b" cm="1">
        <f t="array" ref="T48">T47</f>
        <v>0</v>
      </c>
      <c r="U48" s="25"/>
      <c r="V48" s="25"/>
      <c r="W48" s="25"/>
      <c r="X48" s="1022"/>
      <c r="Z48" s="967"/>
      <c r="AB48" s="7" t="s">
        <v>1358</v>
      </c>
      <c r="AC48" s="134" t="s">
        <v>1990</v>
      </c>
      <c r="AD48" s="7" t="s">
        <v>828</v>
      </c>
      <c r="AE48" s="778"/>
      <c r="AF48" s="778"/>
      <c r="AG48" s="778"/>
      <c r="AH48" s="171">
        <f t="shared" si="2"/>
        <v>0</v>
      </c>
      <c r="AI48" s="778"/>
      <c r="AJ48" s="128"/>
      <c r="AK48" s="542"/>
      <c r="AL48" s="542"/>
      <c r="AM48" s="542"/>
      <c r="AN48" s="542"/>
      <c r="AO48" s="542"/>
      <c r="AP48" s="542"/>
      <c r="AQ48" s="542"/>
      <c r="AR48" s="542"/>
      <c r="AS48" s="542"/>
      <c r="AT48" s="128"/>
      <c r="AU48" s="542"/>
      <c r="AV48" s="542"/>
      <c r="AW48" s="542"/>
      <c r="AX48" s="542"/>
      <c r="AY48" s="542"/>
      <c r="AZ48" s="542"/>
      <c r="BA48" s="542"/>
      <c r="BB48" s="542"/>
      <c r="BC48" s="542"/>
      <c r="BD48" s="171">
        <f t="shared" si="5"/>
        <v>0</v>
      </c>
      <c r="BE48" s="542"/>
      <c r="BF48" s="542"/>
      <c r="BG48" s="542"/>
      <c r="BH48" s="542"/>
      <c r="BI48" s="542"/>
      <c r="BJ48" s="542"/>
      <c r="BK48" s="542"/>
      <c r="BL48" s="542"/>
      <c r="BM48" s="542"/>
      <c r="BN48" s="775"/>
      <c r="BO48" s="775"/>
      <c r="BP48" s="775"/>
      <c r="BS48" s="694" t="s">
        <v>1809</v>
      </c>
    </row>
    <row r="49" spans="2:75" ht="21.95" hidden="1" customHeight="1" x14ac:dyDescent="0.15">
      <c r="C49" s="25"/>
      <c r="D49" s="25"/>
      <c r="E49" s="451">
        <v>22.5</v>
      </c>
      <c r="F49" s="3" cm="1">
        <f t="array" aca="1" ref="F49" ca="1">OFFSET(E49,-1,1)</f>
        <v>0</v>
      </c>
      <c r="G49" s="25"/>
      <c r="H49" s="577"/>
      <c r="I49" s="577" t="s">
        <v>1361</v>
      </c>
      <c r="J49" s="25"/>
      <c r="K49" s="277" t="s">
        <v>1361</v>
      </c>
      <c r="L49" s="25"/>
      <c r="M49" s="25"/>
      <c r="N49" s="25"/>
      <c r="O49" s="25"/>
      <c r="P49" s="25"/>
      <c r="Q49" s="25"/>
      <c r="R49" s="25"/>
      <c r="S49" s="25"/>
      <c r="T49" s="353" t="b" cm="1">
        <f t="array" ref="T49">T48</f>
        <v>0</v>
      </c>
      <c r="U49" s="25"/>
      <c r="V49" s="25"/>
      <c r="W49" s="25"/>
      <c r="X49" s="1022"/>
      <c r="Z49" s="967"/>
      <c r="AB49" s="7" t="s">
        <v>1362</v>
      </c>
      <c r="AC49" s="134" t="s">
        <v>1991</v>
      </c>
      <c r="AD49" s="7" t="s">
        <v>828</v>
      </c>
      <c r="AE49" s="778"/>
      <c r="AF49" s="778"/>
      <c r="AG49" s="778"/>
      <c r="AH49" s="171">
        <f t="shared" si="2"/>
        <v>0</v>
      </c>
      <c r="AI49" s="778"/>
      <c r="AJ49" s="128"/>
      <c r="AK49" s="542"/>
      <c r="AL49" s="542"/>
      <c r="AM49" s="542"/>
      <c r="AN49" s="542"/>
      <c r="AO49" s="542"/>
      <c r="AP49" s="542"/>
      <c r="AQ49" s="542"/>
      <c r="AR49" s="542"/>
      <c r="AS49" s="542"/>
      <c r="AT49" s="128"/>
      <c r="AU49" s="542"/>
      <c r="AV49" s="542"/>
      <c r="AW49" s="542"/>
      <c r="AX49" s="542"/>
      <c r="AY49" s="542"/>
      <c r="AZ49" s="542"/>
      <c r="BA49" s="542"/>
      <c r="BB49" s="542"/>
      <c r="BC49" s="542"/>
      <c r="BD49" s="171">
        <f t="shared" si="5"/>
        <v>0</v>
      </c>
      <c r="BE49" s="542"/>
      <c r="BF49" s="542"/>
      <c r="BG49" s="542"/>
      <c r="BH49" s="542"/>
      <c r="BI49" s="542"/>
      <c r="BJ49" s="542"/>
      <c r="BK49" s="542"/>
      <c r="BL49" s="542"/>
      <c r="BM49" s="542"/>
      <c r="BN49" s="775"/>
      <c r="BO49" s="775"/>
      <c r="BP49" s="775"/>
      <c r="BS49" s="696" t="s">
        <v>1992</v>
      </c>
    </row>
    <row r="50" spans="2:75" ht="21.95" hidden="1" customHeight="1" x14ac:dyDescent="0.25">
      <c r="C50" s="25"/>
      <c r="D50" s="25"/>
      <c r="E50" s="451">
        <v>22.5</v>
      </c>
      <c r="F50" s="3" cm="1">
        <f t="array" aca="1" ref="F50" ca="1">OFFSET(E50,-1,1)</f>
        <v>0</v>
      </c>
      <c r="G50" s="25"/>
      <c r="H50" s="577"/>
      <c r="I50" s="577" t="s">
        <v>1365</v>
      </c>
      <c r="J50" s="25"/>
      <c r="K50" s="277" t="s">
        <v>1365</v>
      </c>
      <c r="L50" s="25" t="s">
        <v>503</v>
      </c>
      <c r="M50" s="25"/>
      <c r="N50" s="25"/>
      <c r="O50" s="25"/>
      <c r="P50" s="25"/>
      <c r="Q50" s="25"/>
      <c r="R50" s="25"/>
      <c r="S50" s="25"/>
      <c r="T50" s="353" t="b" cm="1">
        <f t="array" ref="T50">T49</f>
        <v>0</v>
      </c>
      <c r="U50" s="25"/>
      <c r="V50" s="25"/>
      <c r="W50" s="25"/>
      <c r="X50" s="1022"/>
      <c r="Z50" s="967"/>
      <c r="AB50" s="7" t="s">
        <v>1366</v>
      </c>
      <c r="AC50" s="134" t="s">
        <v>1993</v>
      </c>
      <c r="AD50" s="7" t="s">
        <v>828</v>
      </c>
      <c r="AE50" s="171">
        <f ca="1">AE51+AE52</f>
        <v>0</v>
      </c>
      <c r="AF50" s="171">
        <f ca="1">AF51+AF52</f>
        <v>0</v>
      </c>
      <c r="AG50" s="171">
        <f ca="1">AG51+AG52</f>
        <v>0</v>
      </c>
      <c r="AH50" s="171">
        <f t="shared" ca="1" si="2"/>
        <v>0</v>
      </c>
      <c r="AI50" s="171">
        <f ca="1">AI51+AI52</f>
        <v>0</v>
      </c>
      <c r="AJ50" s="171">
        <f ca="1">AJ51+AJ52</f>
        <v>0</v>
      </c>
      <c r="AK50" s="542"/>
      <c r="AL50" s="542"/>
      <c r="AM50" s="542"/>
      <c r="AN50" s="542"/>
      <c r="AO50" s="542"/>
      <c r="AP50" s="542"/>
      <c r="AQ50" s="542"/>
      <c r="AR50" s="542"/>
      <c r="AS50" s="542"/>
      <c r="AT50" s="171">
        <f ca="1">AT51+AT52</f>
        <v>0</v>
      </c>
      <c r="AU50" s="542"/>
      <c r="AV50" s="542"/>
      <c r="AW50" s="542"/>
      <c r="AX50" s="542"/>
      <c r="AY50" s="542"/>
      <c r="AZ50" s="542"/>
      <c r="BA50" s="542"/>
      <c r="BB50" s="542"/>
      <c r="BC50" s="542"/>
      <c r="BD50" s="171">
        <f t="shared" ca="1" si="5"/>
        <v>0</v>
      </c>
      <c r="BE50" s="542"/>
      <c r="BF50" s="542"/>
      <c r="BG50" s="542"/>
      <c r="BH50" s="542"/>
      <c r="BI50" s="542"/>
      <c r="BJ50" s="542"/>
      <c r="BK50" s="542"/>
      <c r="BL50" s="542"/>
      <c r="BM50" s="542"/>
      <c r="BN50" s="775"/>
      <c r="BO50" s="775"/>
      <c r="BP50" s="775"/>
      <c r="BS50" s="694" t="s">
        <v>1811</v>
      </c>
    </row>
    <row r="51" spans="2:75" ht="14.65" hidden="1" customHeight="1" x14ac:dyDescent="0.25">
      <c r="C51" s="25"/>
      <c r="D51" s="25"/>
      <c r="E51" s="451">
        <v>15</v>
      </c>
      <c r="F51" s="3" cm="1">
        <f t="array" aca="1" ref="F51" ca="1">OFFSET(E51,-1,1)</f>
        <v>0</v>
      </c>
      <c r="G51" s="571" t="s">
        <v>1177</v>
      </c>
      <c r="H51" s="577"/>
      <c r="I51" s="577" t="s">
        <v>1994</v>
      </c>
      <c r="J51" s="25"/>
      <c r="K51" s="277" t="s">
        <v>1994</v>
      </c>
      <c r="L51" s="25" t="s">
        <v>1812</v>
      </c>
      <c r="M51" s="25"/>
      <c r="N51" s="25"/>
      <c r="O51" s="25"/>
      <c r="P51" s="25"/>
      <c r="Q51" s="25"/>
      <c r="R51" s="25"/>
      <c r="S51" s="25"/>
      <c r="T51" s="353" t="b" cm="1">
        <f t="array" ref="T51">T50</f>
        <v>0</v>
      </c>
      <c r="U51" s="25"/>
      <c r="V51" s="25"/>
      <c r="W51" s="25"/>
      <c r="X51" s="1022"/>
      <c r="Z51" s="967"/>
      <c r="AB51" s="7" t="s">
        <v>1995</v>
      </c>
      <c r="AC51" s="543" t="s">
        <v>1813</v>
      </c>
      <c r="AD51" s="7" t="s">
        <v>828</v>
      </c>
      <c r="AE51" s="171">
        <f ca="1">SUMIFS(ФОТ!AE$25:AE$127,ФОТ!$F$25:$F$127,$F51,ФОТ!$G$25:$G$127,$G51)</f>
        <v>0</v>
      </c>
      <c r="AF51" s="171">
        <f ca="1">SUMIFS(ФОТ!AF$25:AF$127,ФОТ!$F$25:$F$127,$F51,ФОТ!$G$25:$G$127,$G51)</f>
        <v>0</v>
      </c>
      <c r="AG51" s="171">
        <f ca="1">SUMIFS(ФОТ!AG$25:AG$127,ФОТ!$F$25:$F$127,$F51,ФОТ!$G$25:$G$127,$G51)</f>
        <v>0</v>
      </c>
      <c r="AH51" s="171">
        <f t="shared" ca="1" si="2"/>
        <v>0</v>
      </c>
      <c r="AI51" s="171">
        <f ca="1">SUMIFS(ФОТ!AH$25:AH$127,ФОТ!$F$25:$F$127,$F51,ФОТ!$G$25:$G$127,$G51)</f>
        <v>0</v>
      </c>
      <c r="AJ51" s="171">
        <f ca="1">SUMIFS(ФОТ!AI$25:AI$127,ФОТ!$F$25:$F$127,$F51,ФОТ!$G$25:$G$127,$G51)</f>
        <v>0</v>
      </c>
      <c r="AK51" s="542"/>
      <c r="AL51" s="542"/>
      <c r="AM51" s="542"/>
      <c r="AN51" s="542"/>
      <c r="AO51" s="542"/>
      <c r="AP51" s="542"/>
      <c r="AQ51" s="542"/>
      <c r="AR51" s="542"/>
      <c r="AS51" s="542"/>
      <c r="AT51" s="171">
        <f ca="1">SUMIFS(ФОТ!AJ$25:AJ$127,ФОТ!$F$25:$F$127,$F51,ФОТ!$G$25:$G$127,$G51)</f>
        <v>0</v>
      </c>
      <c r="AU51" s="542"/>
      <c r="AV51" s="542"/>
      <c r="AW51" s="542"/>
      <c r="AX51" s="542"/>
      <c r="AY51" s="542"/>
      <c r="AZ51" s="542"/>
      <c r="BA51" s="542"/>
      <c r="BB51" s="542"/>
      <c r="BC51" s="542"/>
      <c r="BD51" s="171">
        <f t="shared" ca="1" si="5"/>
        <v>0</v>
      </c>
      <c r="BE51" s="542"/>
      <c r="BF51" s="542"/>
      <c r="BG51" s="542"/>
      <c r="BH51" s="542"/>
      <c r="BI51" s="542"/>
      <c r="BJ51" s="542"/>
      <c r="BK51" s="542"/>
      <c r="BL51" s="542"/>
      <c r="BM51" s="542"/>
      <c r="BN51" s="775"/>
      <c r="BO51" s="779" t="str">
        <f ca="1">IF(IFERROR(INDEX(ФОТ!$K$26:$L$127,MATCH($F51&amp;"3komm",ФОТ!$K$26:$K$127,0),2),"")=0,"",IFERROR(INDEX(ФОТ!$K$26:$L$127,MATCH($F51&amp;"3komm",ФОТ!$K$26:$K$127,0),2),""))</f>
        <v/>
      </c>
      <c r="BP51" s="775"/>
      <c r="BS51" s="694" t="s">
        <v>1814</v>
      </c>
    </row>
    <row r="52" spans="2:75" ht="21.95" hidden="1" customHeight="1" x14ac:dyDescent="0.25">
      <c r="C52" s="25"/>
      <c r="D52" s="25"/>
      <c r="E52" s="451">
        <v>22.5</v>
      </c>
      <c r="F52" s="3" cm="1">
        <f t="array" aca="1" ref="F52" ca="1">OFFSET(E52,-1,1)</f>
        <v>0</v>
      </c>
      <c r="G52" s="571" t="s">
        <v>1182</v>
      </c>
      <c r="H52" s="577"/>
      <c r="I52" s="577" t="s">
        <v>1996</v>
      </c>
      <c r="J52" s="25"/>
      <c r="K52" s="277" t="s">
        <v>1996</v>
      </c>
      <c r="L52" s="25" t="s">
        <v>1815</v>
      </c>
      <c r="M52" s="25"/>
      <c r="N52" s="25"/>
      <c r="O52" s="25"/>
      <c r="P52" s="25"/>
      <c r="Q52" s="25"/>
      <c r="R52" s="25"/>
      <c r="S52" s="25"/>
      <c r="T52" s="353" t="b" cm="1">
        <f t="array" ref="T52">T51</f>
        <v>0</v>
      </c>
      <c r="U52" s="25"/>
      <c r="V52" s="25"/>
      <c r="W52" s="25"/>
      <c r="X52" s="1022"/>
      <c r="Z52" s="967"/>
      <c r="AB52" s="7" t="s">
        <v>1997</v>
      </c>
      <c r="AC52" s="543" t="s">
        <v>1998</v>
      </c>
      <c r="AD52" s="7" t="s">
        <v>828</v>
      </c>
      <c r="AE52" s="171">
        <f ca="1">SUMIFS(ФОТ!AE$25:AE$127,ФОТ!$F$25:$F$127,$F52,ФОТ!$G$25:$G$127,$G52)</f>
        <v>0</v>
      </c>
      <c r="AF52" s="171">
        <f ca="1">SUMIFS(ФОТ!AF$25:AF$127,ФОТ!$F$25:$F$127,$F52,ФОТ!$G$25:$G$127,$G52)</f>
        <v>0</v>
      </c>
      <c r="AG52" s="171">
        <f ca="1">SUMIFS(ФОТ!AG$25:AG$127,ФОТ!$F$25:$F$127,$F52,ФОТ!$G$25:$G$127,$G52)</f>
        <v>0</v>
      </c>
      <c r="AH52" s="171">
        <f t="shared" ca="1" si="2"/>
        <v>0</v>
      </c>
      <c r="AI52" s="171">
        <f ca="1">SUMIFS(ФОТ!AH$25:AH$127,ФОТ!$F$25:$F$127,$F52,ФОТ!$G$25:$G$127,$G52)</f>
        <v>0</v>
      </c>
      <c r="AJ52" s="171">
        <f ca="1">SUMIFS(ФОТ!AI$25:AI$127,ФОТ!$F$25:$F$127,$F52,ФОТ!$G$25:$G$127,$G52)</f>
        <v>0</v>
      </c>
      <c r="AK52" s="542"/>
      <c r="AL52" s="542"/>
      <c r="AM52" s="542"/>
      <c r="AN52" s="542"/>
      <c r="AO52" s="542"/>
      <c r="AP52" s="542"/>
      <c r="AQ52" s="542"/>
      <c r="AR52" s="542"/>
      <c r="AS52" s="542"/>
      <c r="AT52" s="171">
        <f ca="1">SUMIFS(ФОТ!AJ$25:AJ$127,ФОТ!$F$25:$F$127,$F52,ФОТ!$G$25:$G$127,$G52)</f>
        <v>0</v>
      </c>
      <c r="AU52" s="542"/>
      <c r="AV52" s="542"/>
      <c r="AW52" s="542"/>
      <c r="AX52" s="542"/>
      <c r="AY52" s="542"/>
      <c r="AZ52" s="542"/>
      <c r="BA52" s="542"/>
      <c r="BB52" s="542"/>
      <c r="BC52" s="542"/>
      <c r="BD52" s="171">
        <f t="shared" ca="1" si="5"/>
        <v>0</v>
      </c>
      <c r="BE52" s="542"/>
      <c r="BF52" s="542"/>
      <c r="BG52" s="542"/>
      <c r="BH52" s="542"/>
      <c r="BI52" s="542"/>
      <c r="BJ52" s="542"/>
      <c r="BK52" s="542"/>
      <c r="BL52" s="542"/>
      <c r="BM52" s="542"/>
      <c r="BN52" s="775"/>
      <c r="BO52" s="779" t="str">
        <f ca="1">IF(IFERROR(INDEX(ФОТ!$K$26:$L$127,MATCH($F52&amp;"4komm",ФОТ!$K$26:$K$127,0),2),"")=0,"",IFERROR(INDEX(ФОТ!$K$26:$L$127,MATCH($F52&amp;"4komm",ФОТ!$K$26:$K$127,0),2),""))</f>
        <v/>
      </c>
      <c r="BP52" s="775"/>
      <c r="BS52" s="694" t="s">
        <v>1817</v>
      </c>
    </row>
    <row r="53" spans="2:75" s="76" customFormat="1" ht="20.45" hidden="1" customHeight="1" x14ac:dyDescent="0.25">
      <c r="B53" s="332"/>
      <c r="C53" s="27"/>
      <c r="D53" s="27"/>
      <c r="E53" s="559">
        <v>21</v>
      </c>
      <c r="F53" s="3" cm="1">
        <f t="array" aca="1" ref="F53" ca="1">OFFSET(E53,-1,1)</f>
        <v>0</v>
      </c>
      <c r="G53" s="27"/>
      <c r="H53" s="577"/>
      <c r="I53" s="577" t="s">
        <v>493</v>
      </c>
      <c r="J53" s="27"/>
      <c r="K53" s="277" t="s">
        <v>493</v>
      </c>
      <c r="L53" s="27" t="s">
        <v>333</v>
      </c>
      <c r="M53" s="27"/>
      <c r="N53" s="27"/>
      <c r="O53" s="27"/>
      <c r="P53" s="27"/>
      <c r="Q53" s="27"/>
      <c r="R53" s="27"/>
      <c r="S53" s="27"/>
      <c r="T53" s="353" t="b" cm="1">
        <f t="array" ref="T53">T52</f>
        <v>0</v>
      </c>
      <c r="U53" s="27"/>
      <c r="V53" s="27"/>
      <c r="W53" s="27"/>
      <c r="X53" s="1022"/>
      <c r="Z53" s="967"/>
      <c r="AB53" s="124" t="s">
        <v>948</v>
      </c>
      <c r="AC53" s="263" t="s">
        <v>1999</v>
      </c>
      <c r="AD53" s="124" t="s">
        <v>828</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7"/>
      <c r="BO53" s="777"/>
      <c r="BP53" s="777"/>
      <c r="BS53" s="695" t="s">
        <v>1819</v>
      </c>
      <c r="BT53" s="702"/>
      <c r="BU53" s="702"/>
      <c r="BV53" s="511"/>
      <c r="BW53" s="511"/>
    </row>
    <row r="54" spans="2:75" ht="21.95" hidden="1" customHeight="1" x14ac:dyDescent="0.25">
      <c r="C54" s="25"/>
      <c r="D54" s="25"/>
      <c r="E54" s="451">
        <v>22.5</v>
      </c>
      <c r="F54" s="3" cm="1">
        <f t="array" aca="1" ref="F54" ca="1">OFFSET(E54,-1,1)</f>
        <v>0</v>
      </c>
      <c r="G54" s="25" t="s">
        <v>1203</v>
      </c>
      <c r="H54" s="577"/>
      <c r="I54" s="577" t="s">
        <v>1371</v>
      </c>
      <c r="J54" s="25"/>
      <c r="K54" s="277" t="s">
        <v>1371</v>
      </c>
      <c r="L54" s="25" t="s">
        <v>969</v>
      </c>
      <c r="M54" s="25"/>
      <c r="N54" s="25"/>
      <c r="O54" s="25"/>
      <c r="P54" s="25"/>
      <c r="Q54" s="25"/>
      <c r="R54" s="25"/>
      <c r="S54" s="25"/>
      <c r="T54" s="353" t="b" cm="1">
        <f t="array" ref="T54">T53</f>
        <v>0</v>
      </c>
      <c r="U54" s="25"/>
      <c r="V54" s="25"/>
      <c r="W54" s="25"/>
      <c r="X54" s="1022"/>
      <c r="Z54" s="967"/>
      <c r="AB54" s="7" t="s">
        <v>1087</v>
      </c>
      <c r="AC54" s="134" t="s">
        <v>2000</v>
      </c>
      <c r="AD54" s="7" t="s">
        <v>828</v>
      </c>
      <c r="AE54" s="171">
        <f ca="1">SUMIFS(Административные!AE$25:AE$103,Административные!$F$25:$F$103,$F54,Административные!$G$25:$G$103,$G54)</f>
        <v>0</v>
      </c>
      <c r="AF54" s="171">
        <f ca="1">SUMIFS(Административные!AF$25:AF$103,Административные!$F$25:$F$103,$F54,Административные!$G$25:$G$103,$G54)</f>
        <v>0</v>
      </c>
      <c r="AG54" s="171">
        <f ca="1">SUMIFS(Административные!AG$25:AG$103,Административные!$F$25:$F$103,$F54,Административные!$G$25:$G$103,$G54)</f>
        <v>0</v>
      </c>
      <c r="AH54" s="171">
        <f t="shared" ca="1" si="2"/>
        <v>0</v>
      </c>
      <c r="AI54" s="171">
        <f ca="1">SUMIFS(Административные!AH$25:AH$103,Административные!$F$25:$F$103,$F54,Административные!$G$25:$G$103,$G54)</f>
        <v>0</v>
      </c>
      <c r="AJ54" s="171">
        <f ca="1">SUMIFS(Административные!AI$25:AI$103,Административные!$F$25:$F$103,$F54,Административные!$G$25:$G$103,$G54)</f>
        <v>0</v>
      </c>
      <c r="AK54" s="542"/>
      <c r="AL54" s="542"/>
      <c r="AM54" s="542"/>
      <c r="AN54" s="542"/>
      <c r="AO54" s="542"/>
      <c r="AP54" s="542"/>
      <c r="AQ54" s="542"/>
      <c r="AR54" s="542"/>
      <c r="AS54" s="542"/>
      <c r="AT54" s="171">
        <f ca="1">SUMIFS(Административные!AJ$25:AJ$103,Административные!$F$25:$F$103,$F54,Административные!$G$25:$G$103,$G54)</f>
        <v>0</v>
      </c>
      <c r="AU54" s="542"/>
      <c r="AV54" s="542"/>
      <c r="AW54" s="542"/>
      <c r="AX54" s="542"/>
      <c r="AY54" s="542"/>
      <c r="AZ54" s="542"/>
      <c r="BA54" s="542"/>
      <c r="BB54" s="542"/>
      <c r="BC54" s="542"/>
      <c r="BD54" s="171">
        <f t="shared" ca="1" si="5"/>
        <v>0</v>
      </c>
      <c r="BE54" s="542"/>
      <c r="BF54" s="542"/>
      <c r="BG54" s="542"/>
      <c r="BH54" s="542"/>
      <c r="BI54" s="542"/>
      <c r="BJ54" s="542"/>
      <c r="BK54" s="542"/>
      <c r="BL54" s="542"/>
      <c r="BM54" s="542"/>
      <c r="BN54" s="775"/>
      <c r="BO54" s="779" t="str">
        <f ca="1">IF(IFERROR(INDEX(Административные!$K$26:$L$103,MATCH($F54&amp;"17komm",Административные!$K$26:$K$103,0),2),"")=0,"",IFERROR(INDEX(Административные!$K$26:$L$103,MATCH($F54&amp;"17komm",Административные!$K$26:$K$103,0),2),""))</f>
        <v/>
      </c>
      <c r="BP54" s="775"/>
      <c r="BS54" s="694" t="s">
        <v>1205</v>
      </c>
    </row>
    <row r="55" spans="2:75" ht="14.65" hidden="1" customHeight="1" x14ac:dyDescent="0.15">
      <c r="C55" s="25"/>
      <c r="D55" s="25"/>
      <c r="E55" s="451">
        <v>15</v>
      </c>
      <c r="F55" s="3" cm="1">
        <f t="array" aca="1" ref="F55" ca="1">OFFSET(E55,-1,1)</f>
        <v>0</v>
      </c>
      <c r="G55" s="25" t="s">
        <v>1206</v>
      </c>
      <c r="H55" s="577"/>
      <c r="I55" s="577" t="s">
        <v>2001</v>
      </c>
      <c r="J55" s="25"/>
      <c r="K55" s="277" t="s">
        <v>2001</v>
      </c>
      <c r="L55" s="25"/>
      <c r="M55" s="25"/>
      <c r="N55" s="25"/>
      <c r="O55" s="25"/>
      <c r="P55" s="25"/>
      <c r="Q55" s="25"/>
      <c r="R55" s="25"/>
      <c r="S55" s="25"/>
      <c r="T55" s="353" t="b" cm="1">
        <f t="array" ref="T55">T54</f>
        <v>0</v>
      </c>
      <c r="U55" s="25"/>
      <c r="V55" s="25"/>
      <c r="W55" s="25"/>
      <c r="X55" s="1022"/>
      <c r="Z55" s="967"/>
      <c r="AB55" s="7" t="s">
        <v>2002</v>
      </c>
      <c r="AC55" s="543" t="s">
        <v>1207</v>
      </c>
      <c r="AD55" s="7" t="s">
        <v>828</v>
      </c>
      <c r="AE55" s="171">
        <f ca="1">SUMIFS(Административные!AE$25:AE$103,Административные!$F$25:$F$103,$F55,Административные!$G$25:$G$103,$G55)</f>
        <v>0</v>
      </c>
      <c r="AF55" s="171">
        <f ca="1">SUMIFS(Административные!AF$25:AF$103,Административные!$F$25:$F$103,$F55,Административные!$G$25:$G$103,$G55)</f>
        <v>0</v>
      </c>
      <c r="AG55" s="171">
        <f ca="1">SUMIFS(Административные!AG$25:AG$103,Административные!$F$25:$F$103,$F55,Административные!$G$25:$G$103,$G55)</f>
        <v>0</v>
      </c>
      <c r="AH55" s="171">
        <f t="shared" ca="1" si="2"/>
        <v>0</v>
      </c>
      <c r="AI55" s="171">
        <f ca="1">SUMIFS(Административные!AH$25:AH$103,Административные!$F$25:$F$103,$F55,Административные!$G$25:$G$103,$G55)</f>
        <v>0</v>
      </c>
      <c r="AJ55" s="171">
        <f ca="1">SUMIFS(Административные!AI$25:AI$103,Административные!$F$25:$F$103,$F55,Административные!$G$25:$G$103,$G55)</f>
        <v>0</v>
      </c>
      <c r="AK55" s="542"/>
      <c r="AL55" s="542"/>
      <c r="AM55" s="542"/>
      <c r="AN55" s="542"/>
      <c r="AO55" s="542"/>
      <c r="AP55" s="542"/>
      <c r="AQ55" s="542"/>
      <c r="AR55" s="542"/>
      <c r="AS55" s="542"/>
      <c r="AT55" s="171">
        <f ca="1">SUMIFS(Административные!AJ$25:AJ$103,Административные!$F$25:$F$103,$F55,Административные!$G$25:$G$103,$G55)</f>
        <v>0</v>
      </c>
      <c r="AU55" s="542"/>
      <c r="AV55" s="542"/>
      <c r="AW55" s="542"/>
      <c r="AX55" s="542"/>
      <c r="AY55" s="542"/>
      <c r="AZ55" s="542"/>
      <c r="BA55" s="542"/>
      <c r="BB55" s="542"/>
      <c r="BC55" s="542"/>
      <c r="BD55" s="171">
        <f t="shared" ca="1" si="5"/>
        <v>0</v>
      </c>
      <c r="BE55" s="542"/>
      <c r="BF55" s="542"/>
      <c r="BG55" s="542"/>
      <c r="BH55" s="542"/>
      <c r="BI55" s="542"/>
      <c r="BJ55" s="542"/>
      <c r="BK55" s="542"/>
      <c r="BL55" s="542"/>
      <c r="BM55" s="542"/>
      <c r="BN55" s="775"/>
      <c r="BO55" s="779" t="str">
        <f ca="1">IF(IFERROR(INDEX(Административные!$K$26:$L$103,MATCH($F55&amp;"18komm",Административные!$K$26:$K$103,0),2),"")=0,"",IFERROR(INDEX(Административные!$K$26:$L$103,MATCH($F55&amp;"18komm",Административные!$K$26:$K$103,0),2),""))</f>
        <v/>
      </c>
      <c r="BP55" s="775"/>
      <c r="BS55" s="696" t="s">
        <v>1208</v>
      </c>
    </row>
    <row r="56" spans="2:75" ht="14.65" hidden="1" customHeight="1" x14ac:dyDescent="0.15">
      <c r="C56" s="25"/>
      <c r="D56" s="25"/>
      <c r="E56" s="451">
        <v>15</v>
      </c>
      <c r="F56" s="3" cm="1">
        <f t="array" aca="1" ref="F56" ca="1">OFFSET(E56,-1,1)</f>
        <v>0</v>
      </c>
      <c r="G56" s="25" t="s">
        <v>1209</v>
      </c>
      <c r="H56" s="577"/>
      <c r="I56" s="577" t="s">
        <v>2003</v>
      </c>
      <c r="J56" s="25"/>
      <c r="K56" s="277" t="s">
        <v>2003</v>
      </c>
      <c r="L56" s="25"/>
      <c r="M56" s="25"/>
      <c r="N56" s="25"/>
      <c r="O56" s="25"/>
      <c r="P56" s="25"/>
      <c r="Q56" s="25"/>
      <c r="R56" s="25"/>
      <c r="S56" s="25"/>
      <c r="T56" s="353" t="b" cm="1">
        <f t="array" ref="T56">T55</f>
        <v>0</v>
      </c>
      <c r="U56" s="25"/>
      <c r="V56" s="25"/>
      <c r="W56" s="25"/>
      <c r="X56" s="1022"/>
      <c r="Z56" s="967"/>
      <c r="AB56" s="7" t="s">
        <v>2004</v>
      </c>
      <c r="AC56" s="543" t="s">
        <v>1210</v>
      </c>
      <c r="AD56" s="7" t="s">
        <v>828</v>
      </c>
      <c r="AE56" s="171">
        <f ca="1">SUMIFS(Административные!AE$25:AE$103,Административные!$F$25:$F$103,$F56,Административные!$G$25:$G$103,$G56)</f>
        <v>0</v>
      </c>
      <c r="AF56" s="171">
        <f ca="1">SUMIFS(Административные!AF$25:AF$103,Административные!$F$25:$F$103,$F56,Административные!$G$25:$G$103,$G56)</f>
        <v>0</v>
      </c>
      <c r="AG56" s="171">
        <f ca="1">SUMIFS(Административные!AG$25:AG$103,Административные!$F$25:$F$103,$F56,Административные!$G$25:$G$103,$G56)</f>
        <v>0</v>
      </c>
      <c r="AH56" s="171">
        <f t="shared" ca="1" si="2"/>
        <v>0</v>
      </c>
      <c r="AI56" s="171">
        <f ca="1">SUMIFS(Административные!AH$25:AH$103,Административные!$F$25:$F$103,$F56,Административные!$G$25:$G$103,$G56)</f>
        <v>0</v>
      </c>
      <c r="AJ56" s="171">
        <f ca="1">SUMIFS(Административные!AI$25:AI$103,Административные!$F$25:$F$103,$F56,Административные!$G$25:$G$103,$G56)</f>
        <v>0</v>
      </c>
      <c r="AK56" s="542"/>
      <c r="AL56" s="542"/>
      <c r="AM56" s="542"/>
      <c r="AN56" s="542"/>
      <c r="AO56" s="542"/>
      <c r="AP56" s="542"/>
      <c r="AQ56" s="542"/>
      <c r="AR56" s="542"/>
      <c r="AS56" s="542"/>
      <c r="AT56" s="171">
        <f ca="1">SUMIFS(Административные!AJ$25:AJ$103,Административные!$F$25:$F$103,$F56,Административные!$G$25:$G$103,$G56)</f>
        <v>0</v>
      </c>
      <c r="AU56" s="542"/>
      <c r="AV56" s="542"/>
      <c r="AW56" s="542"/>
      <c r="AX56" s="542"/>
      <c r="AY56" s="542"/>
      <c r="AZ56" s="542"/>
      <c r="BA56" s="542"/>
      <c r="BB56" s="542"/>
      <c r="BC56" s="542"/>
      <c r="BD56" s="171">
        <f t="shared" ca="1" si="5"/>
        <v>0</v>
      </c>
      <c r="BE56" s="542"/>
      <c r="BF56" s="542"/>
      <c r="BG56" s="542"/>
      <c r="BH56" s="542"/>
      <c r="BI56" s="542"/>
      <c r="BJ56" s="542"/>
      <c r="BK56" s="542"/>
      <c r="BL56" s="542"/>
      <c r="BM56" s="542"/>
      <c r="BN56" s="775"/>
      <c r="BO56" s="779" t="str">
        <f ca="1">IF(IFERROR(INDEX(Административные!$K$26:$L$103,MATCH($F56&amp;"11komm",Административные!$K$26:$K$103,0),2),"")=0,"",IFERROR(INDEX(Административные!$K$26:$L$103,MATCH($F56&amp;"11komm",Административные!$K$26:$K$103,0),2),""))</f>
        <v/>
      </c>
      <c r="BP56" s="775"/>
      <c r="BS56" s="696" t="s">
        <v>1211</v>
      </c>
    </row>
    <row r="57" spans="2:75" ht="14.65" hidden="1" customHeight="1" x14ac:dyDescent="0.15">
      <c r="C57" s="25"/>
      <c r="D57" s="25"/>
      <c r="E57" s="451">
        <v>15</v>
      </c>
      <c r="F57" s="3" cm="1">
        <f t="array" aca="1" ref="F57" ca="1">OFFSET(E57,-1,1)</f>
        <v>0</v>
      </c>
      <c r="G57" s="25" t="s">
        <v>1212</v>
      </c>
      <c r="H57" s="577"/>
      <c r="I57" s="577" t="s">
        <v>2005</v>
      </c>
      <c r="J57" s="25"/>
      <c r="K57" s="277" t="s">
        <v>2005</v>
      </c>
      <c r="L57" s="25"/>
      <c r="M57" s="25"/>
      <c r="N57" s="25"/>
      <c r="O57" s="25"/>
      <c r="P57" s="25"/>
      <c r="Q57" s="25"/>
      <c r="R57" s="25"/>
      <c r="S57" s="25"/>
      <c r="T57" s="353" t="b" cm="1">
        <f t="array" ref="T57">T56</f>
        <v>0</v>
      </c>
      <c r="U57" s="25"/>
      <c r="V57" s="25"/>
      <c r="W57" s="25"/>
      <c r="X57" s="1022"/>
      <c r="Z57" s="967"/>
      <c r="AB57" s="7" t="s">
        <v>2006</v>
      </c>
      <c r="AC57" s="543" t="s">
        <v>1213</v>
      </c>
      <c r="AD57" s="7" t="s">
        <v>828</v>
      </c>
      <c r="AE57" s="171">
        <f ca="1">SUMIFS(Административные!AE$25:AE$103,Административные!$F$25:$F$103,$F57,Административные!$G$25:$G$103,$G57)</f>
        <v>0</v>
      </c>
      <c r="AF57" s="171">
        <f ca="1">SUMIFS(Административные!AF$25:AF$103,Административные!$F$25:$F$103,$F57,Административные!$G$25:$G$103,$G57)</f>
        <v>0</v>
      </c>
      <c r="AG57" s="171">
        <f ca="1">SUMIFS(Административные!AG$25:AG$103,Административные!$F$25:$F$103,$F57,Административные!$G$25:$G$103,$G57)</f>
        <v>0</v>
      </c>
      <c r="AH57" s="171">
        <f t="shared" ca="1" si="2"/>
        <v>0</v>
      </c>
      <c r="AI57" s="171">
        <f ca="1">SUMIFS(Административные!AH$25:AH$103,Административные!$F$25:$F$103,$F57,Административные!$G$25:$G$103,$G57)</f>
        <v>0</v>
      </c>
      <c r="AJ57" s="171">
        <f ca="1">SUMIFS(Административные!AI$25:AI$103,Административные!$F$25:$F$103,$F57,Административные!$G$25:$G$103,$G57)</f>
        <v>0</v>
      </c>
      <c r="AK57" s="542"/>
      <c r="AL57" s="542"/>
      <c r="AM57" s="542"/>
      <c r="AN57" s="542"/>
      <c r="AO57" s="542"/>
      <c r="AP57" s="542"/>
      <c r="AQ57" s="542"/>
      <c r="AR57" s="542"/>
      <c r="AS57" s="542"/>
      <c r="AT57" s="171">
        <f ca="1">SUMIFS(Административные!AJ$25:AJ$103,Административные!$F$25:$F$103,$F57,Административные!$G$25:$G$103,$G57)</f>
        <v>0</v>
      </c>
      <c r="AU57" s="542"/>
      <c r="AV57" s="542"/>
      <c r="AW57" s="542"/>
      <c r="AX57" s="542"/>
      <c r="AY57" s="542"/>
      <c r="AZ57" s="542"/>
      <c r="BA57" s="542"/>
      <c r="BB57" s="542"/>
      <c r="BC57" s="542"/>
      <c r="BD57" s="171">
        <f t="shared" ca="1" si="5"/>
        <v>0</v>
      </c>
      <c r="BE57" s="542"/>
      <c r="BF57" s="542"/>
      <c r="BG57" s="542"/>
      <c r="BH57" s="542"/>
      <c r="BI57" s="542"/>
      <c r="BJ57" s="542"/>
      <c r="BK57" s="542"/>
      <c r="BL57" s="542"/>
      <c r="BM57" s="542"/>
      <c r="BN57" s="775"/>
      <c r="BO57" s="779" t="str">
        <f ca="1">IF(IFERROR(INDEX(Административные!$K$26:$L$103,MATCH($F57&amp;"12komm",Административные!$K$26:$K$103,0),2),"")=0,"",IFERROR(INDEX(Административные!$K$26:$L$103,MATCH($F57&amp;"12komm",Административные!$K$26:$K$103,0),2),""))</f>
        <v/>
      </c>
      <c r="BP57" s="775"/>
      <c r="BS57" s="696" t="s">
        <v>1214</v>
      </c>
    </row>
    <row r="58" spans="2:75" ht="14.65" hidden="1" customHeight="1" x14ac:dyDescent="0.15">
      <c r="C58" s="25"/>
      <c r="D58" s="25"/>
      <c r="E58" s="451">
        <v>15</v>
      </c>
      <c r="F58" s="3" cm="1">
        <f t="array" aca="1" ref="F58" ca="1">OFFSET(E58,-1,1)</f>
        <v>0</v>
      </c>
      <c r="G58" s="25" t="s">
        <v>1215</v>
      </c>
      <c r="H58" s="577"/>
      <c r="I58" s="577" t="s">
        <v>2007</v>
      </c>
      <c r="J58" s="25"/>
      <c r="K58" s="277" t="s">
        <v>2007</v>
      </c>
      <c r="L58" s="25"/>
      <c r="M58" s="25"/>
      <c r="N58" s="25"/>
      <c r="O58" s="25"/>
      <c r="P58" s="25"/>
      <c r="Q58" s="25"/>
      <c r="R58" s="25"/>
      <c r="S58" s="25"/>
      <c r="T58" s="353" t="b" cm="1">
        <f t="array" ref="T58">T57</f>
        <v>0</v>
      </c>
      <c r="U58" s="25"/>
      <c r="V58" s="25"/>
      <c r="W58" s="25"/>
      <c r="X58" s="1022"/>
      <c r="Z58" s="967"/>
      <c r="AB58" s="7" t="s">
        <v>2008</v>
      </c>
      <c r="AC58" s="543" t="s">
        <v>1216</v>
      </c>
      <c r="AD58" s="7" t="s">
        <v>828</v>
      </c>
      <c r="AE58" s="171">
        <f ca="1">SUMIFS(Административные!AE$25:AE$103,Административные!$F$25:$F$103,$F58,Административные!$G$25:$G$103,$G58)</f>
        <v>0</v>
      </c>
      <c r="AF58" s="171">
        <f ca="1">SUMIFS(Административные!AF$25:AF$103,Административные!$F$25:$F$103,$F58,Административные!$G$25:$G$103,$G58)</f>
        <v>0</v>
      </c>
      <c r="AG58" s="171">
        <f ca="1">SUMIFS(Административные!AG$25:AG$103,Административные!$F$25:$F$103,$F58,Административные!$G$25:$G$103,$G58)</f>
        <v>0</v>
      </c>
      <c r="AH58" s="171">
        <f t="shared" ca="1" si="2"/>
        <v>0</v>
      </c>
      <c r="AI58" s="171">
        <f ca="1">SUMIFS(Административные!AH$25:AH$103,Административные!$F$25:$F$103,$F58,Административные!$G$25:$G$103,$G58)</f>
        <v>0</v>
      </c>
      <c r="AJ58" s="171">
        <f ca="1">SUMIFS(Административные!AI$25:AI$103,Административные!$F$25:$F$103,$F58,Административные!$G$25:$G$103,$G58)</f>
        <v>0</v>
      </c>
      <c r="AK58" s="542"/>
      <c r="AL58" s="542"/>
      <c r="AM58" s="542"/>
      <c r="AN58" s="542"/>
      <c r="AO58" s="542"/>
      <c r="AP58" s="542"/>
      <c r="AQ58" s="542"/>
      <c r="AR58" s="542"/>
      <c r="AS58" s="542"/>
      <c r="AT58" s="171">
        <f ca="1">SUMIFS(Административные!AJ$25:AJ$103,Административные!$F$25:$F$103,$F58,Административные!$G$25:$G$103,$G58)</f>
        <v>0</v>
      </c>
      <c r="AU58" s="542"/>
      <c r="AV58" s="542"/>
      <c r="AW58" s="542"/>
      <c r="AX58" s="542"/>
      <c r="AY58" s="542"/>
      <c r="AZ58" s="542"/>
      <c r="BA58" s="542"/>
      <c r="BB58" s="542"/>
      <c r="BC58" s="542"/>
      <c r="BD58" s="171">
        <f t="shared" ca="1" si="5"/>
        <v>0</v>
      </c>
      <c r="BE58" s="542"/>
      <c r="BF58" s="542"/>
      <c r="BG58" s="542"/>
      <c r="BH58" s="542"/>
      <c r="BI58" s="542"/>
      <c r="BJ58" s="542"/>
      <c r="BK58" s="542"/>
      <c r="BL58" s="542"/>
      <c r="BM58" s="542"/>
      <c r="BN58" s="775"/>
      <c r="BO58" s="779" t="str">
        <f ca="1">IF(IFERROR(INDEX(Административные!$K$26:$L$103,MATCH($F58&amp;"13komm",Административные!$K$26:$K$103,0),2),"")=0,"",IFERROR(INDEX(Административные!$K$26:$L$103,MATCH($F58&amp;"13komm",Административные!$K$26:$K$103,0),2),""))</f>
        <v/>
      </c>
      <c r="BP58" s="775"/>
      <c r="BS58" s="696" t="s">
        <v>1217</v>
      </c>
    </row>
    <row r="59" spans="2:75" ht="14.65" hidden="1" customHeight="1" x14ac:dyDescent="0.15">
      <c r="C59" s="25"/>
      <c r="D59" s="25"/>
      <c r="E59" s="451">
        <v>15</v>
      </c>
      <c r="F59" s="3" cm="1">
        <f t="array" aca="1" ref="F59" ca="1">OFFSET(E59,-1,1)</f>
        <v>0</v>
      </c>
      <c r="G59" s="25" t="s">
        <v>1218</v>
      </c>
      <c r="H59" s="577"/>
      <c r="I59" s="577" t="s">
        <v>2009</v>
      </c>
      <c r="J59" s="25"/>
      <c r="K59" s="277" t="s">
        <v>2009</v>
      </c>
      <c r="L59" s="25"/>
      <c r="M59" s="25"/>
      <c r="N59" s="25"/>
      <c r="O59" s="25"/>
      <c r="P59" s="25"/>
      <c r="Q59" s="25"/>
      <c r="R59" s="25"/>
      <c r="S59" s="25"/>
      <c r="T59" s="353" t="b" cm="1">
        <f t="array" ref="T59">T58</f>
        <v>0</v>
      </c>
      <c r="U59" s="25"/>
      <c r="V59" s="25"/>
      <c r="W59" s="25"/>
      <c r="X59" s="1022"/>
      <c r="Z59" s="967"/>
      <c r="AB59" s="7" t="s">
        <v>2010</v>
      </c>
      <c r="AC59" s="543" t="s">
        <v>1219</v>
      </c>
      <c r="AD59" s="7" t="s">
        <v>828</v>
      </c>
      <c r="AE59" s="171">
        <f ca="1">SUMIFS(Административные!AE$25:AE$103,Административные!$F$25:$F$103,$F59,Административные!$G$25:$G$103,$G59)</f>
        <v>0</v>
      </c>
      <c r="AF59" s="171">
        <f ca="1">SUMIFS(Административные!AF$25:AF$103,Административные!$F$25:$F$103,$F59,Административные!$G$25:$G$103,$G59)</f>
        <v>0</v>
      </c>
      <c r="AG59" s="171">
        <f ca="1">SUMIFS(Административные!AG$25:AG$103,Административные!$F$25:$F$103,$F59,Административные!$G$25:$G$103,$G59)</f>
        <v>0</v>
      </c>
      <c r="AH59" s="171">
        <f t="shared" ca="1" si="2"/>
        <v>0</v>
      </c>
      <c r="AI59" s="171">
        <f ca="1">SUMIFS(Административные!AH$25:AH$103,Административные!$F$25:$F$103,$F59,Административные!$G$25:$G$103,$G59)</f>
        <v>0</v>
      </c>
      <c r="AJ59" s="171">
        <f ca="1">SUMIFS(Административные!AI$25:AI$103,Административные!$F$25:$F$103,$F59,Административные!$G$25:$G$103,$G59)</f>
        <v>0</v>
      </c>
      <c r="AK59" s="542"/>
      <c r="AL59" s="542"/>
      <c r="AM59" s="542"/>
      <c r="AN59" s="542"/>
      <c r="AO59" s="542"/>
      <c r="AP59" s="542"/>
      <c r="AQ59" s="542"/>
      <c r="AR59" s="542"/>
      <c r="AS59" s="542"/>
      <c r="AT59" s="171">
        <f ca="1">SUMIFS(Административные!AJ$25:AJ$103,Административные!$F$25:$F$103,$F59,Административные!$G$25:$G$103,$G59)</f>
        <v>0</v>
      </c>
      <c r="AU59" s="542"/>
      <c r="AV59" s="542"/>
      <c r="AW59" s="542"/>
      <c r="AX59" s="542"/>
      <c r="AY59" s="542"/>
      <c r="AZ59" s="542"/>
      <c r="BA59" s="542"/>
      <c r="BB59" s="542"/>
      <c r="BC59" s="542"/>
      <c r="BD59" s="171">
        <f t="shared" ca="1" si="5"/>
        <v>0</v>
      </c>
      <c r="BE59" s="542"/>
      <c r="BF59" s="542"/>
      <c r="BG59" s="542"/>
      <c r="BH59" s="542"/>
      <c r="BI59" s="542"/>
      <c r="BJ59" s="542"/>
      <c r="BK59" s="542"/>
      <c r="BL59" s="542"/>
      <c r="BM59" s="542"/>
      <c r="BN59" s="775"/>
      <c r="BO59" s="779" t="str">
        <f ca="1">IF(IFERROR(INDEX(Административные!$K$26:$L$103,MATCH($F59&amp;"14komm",Административные!$K$26:$K$103,0),2),"")=0,"",IFERROR(INDEX(Административные!$K$26:$L$103,MATCH($F59&amp;"14komm",Административные!$K$26:$K$103,0),2),""))</f>
        <v/>
      </c>
      <c r="BP59" s="775"/>
      <c r="BS59" s="696" t="s">
        <v>2011</v>
      </c>
    </row>
    <row r="60" spans="2:75" ht="14.65" hidden="1" customHeight="1" x14ac:dyDescent="0.15">
      <c r="C60" s="25"/>
      <c r="D60" s="25"/>
      <c r="E60" s="451">
        <v>15</v>
      </c>
      <c r="F60" s="3" cm="1">
        <f t="array" aca="1" ref="F60" ca="1">OFFSET(E60,-1,1)</f>
        <v>0</v>
      </c>
      <c r="G60" s="25" t="s">
        <v>1221</v>
      </c>
      <c r="H60" s="577"/>
      <c r="I60" s="577" t="s">
        <v>2012</v>
      </c>
      <c r="J60" s="25"/>
      <c r="K60" s="277" t="s">
        <v>2012</v>
      </c>
      <c r="L60" s="25"/>
      <c r="M60" s="25"/>
      <c r="N60" s="25"/>
      <c r="O60" s="25"/>
      <c r="P60" s="25"/>
      <c r="Q60" s="25"/>
      <c r="R60" s="25"/>
      <c r="S60" s="25"/>
      <c r="T60" s="353" t="b" cm="1">
        <f t="array" ref="T60">T59</f>
        <v>0</v>
      </c>
      <c r="U60" s="25"/>
      <c r="V60" s="25"/>
      <c r="W60" s="25"/>
      <c r="X60" s="1022"/>
      <c r="Z60" s="967"/>
      <c r="AB60" s="7" t="s">
        <v>2013</v>
      </c>
      <c r="AC60" s="543" t="s">
        <v>1224</v>
      </c>
      <c r="AD60" s="7" t="s">
        <v>828</v>
      </c>
      <c r="AE60" s="171">
        <f ca="1">SUMIFS(Административные!AE$25:AE$103,Административные!$F$25:$F$103,$F60,Административные!$G$25:$G$103,$G60)</f>
        <v>0</v>
      </c>
      <c r="AF60" s="171">
        <f ca="1">SUMIFS(Административные!AF$25:AF$103,Административные!$F$25:$F$103,$F60,Административные!$G$25:$G$103,$G60)</f>
        <v>0</v>
      </c>
      <c r="AG60" s="171">
        <f ca="1">SUMIFS(Административные!AG$25:AG$103,Административные!$F$25:$F$103,$F60,Административные!$G$25:$G$103,$G60)</f>
        <v>0</v>
      </c>
      <c r="AH60" s="171">
        <f t="shared" ref="AH60:AH91" ca="1" si="7">AG60-AF60</f>
        <v>0</v>
      </c>
      <c r="AI60" s="171">
        <f ca="1">SUMIFS(Административные!AH$25:AH$103,Административные!$F$25:$F$103,$F60,Административные!$G$25:$G$103,$G60)</f>
        <v>0</v>
      </c>
      <c r="AJ60" s="171">
        <f ca="1">SUMIFS(Административные!AI$25:AI$103,Административные!$F$25:$F$103,$F60,Административные!$G$25:$G$103,$G60)</f>
        <v>0</v>
      </c>
      <c r="AK60" s="542"/>
      <c r="AL60" s="542"/>
      <c r="AM60" s="542"/>
      <c r="AN60" s="542"/>
      <c r="AO60" s="542"/>
      <c r="AP60" s="542"/>
      <c r="AQ60" s="542"/>
      <c r="AR60" s="542"/>
      <c r="AS60" s="542"/>
      <c r="AT60" s="171">
        <f ca="1">SUMIFS(Административные!AJ$25:AJ$103,Административные!$F$25:$F$103,$F60,Административные!$G$25:$G$103,$G60)</f>
        <v>0</v>
      </c>
      <c r="AU60" s="542"/>
      <c r="AV60" s="542"/>
      <c r="AW60" s="542"/>
      <c r="AX60" s="542"/>
      <c r="AY60" s="542"/>
      <c r="AZ60" s="542"/>
      <c r="BA60" s="542"/>
      <c r="BB60" s="542"/>
      <c r="BC60" s="542"/>
      <c r="BD60" s="171">
        <f t="shared" ref="BD60:BD76" ca="1" si="8">IF(AI60=0,0,(AT60-AI60)/AI60*100)</f>
        <v>0</v>
      </c>
      <c r="BE60" s="542"/>
      <c r="BF60" s="542"/>
      <c r="BG60" s="542"/>
      <c r="BH60" s="542"/>
      <c r="BI60" s="542"/>
      <c r="BJ60" s="542"/>
      <c r="BK60" s="542"/>
      <c r="BL60" s="542"/>
      <c r="BM60" s="542"/>
      <c r="BN60" s="775"/>
      <c r="BO60" s="779" t="str">
        <f ca="1">IF(IFERROR(INDEX(Административные!$K$26:$L$103,MATCH($F60&amp;"15komm",Административные!$K$26:$K$103,0),2),"")=0,"",IFERROR(INDEX(Административные!$K$26:$L$103,MATCH($F60&amp;"15komm",Административные!$K$26:$K$103,0),2),""))</f>
        <v/>
      </c>
      <c r="BP60" s="775"/>
      <c r="BS60" s="696" t="s">
        <v>1225</v>
      </c>
    </row>
    <row r="61" spans="2:75" ht="14.65" hidden="1" customHeight="1" x14ac:dyDescent="0.15">
      <c r="C61" s="25"/>
      <c r="D61" s="25"/>
      <c r="E61" s="451">
        <v>15</v>
      </c>
      <c r="F61" s="3" cm="1">
        <f t="array" aca="1" ref="F61" ca="1">OFFSET(E61,-1,1)</f>
        <v>0</v>
      </c>
      <c r="G61" s="25" t="s">
        <v>1226</v>
      </c>
      <c r="H61" s="577"/>
      <c r="I61" s="577" t="s">
        <v>2014</v>
      </c>
      <c r="J61" s="25"/>
      <c r="K61" s="277" t="s">
        <v>2014</v>
      </c>
      <c r="L61" s="25"/>
      <c r="M61" s="25"/>
      <c r="N61" s="25"/>
      <c r="O61" s="25"/>
      <c r="P61" s="25"/>
      <c r="Q61" s="25"/>
      <c r="R61" s="25"/>
      <c r="S61" s="25"/>
      <c r="T61" s="353" t="b" cm="1">
        <f t="array" ref="T61">T60</f>
        <v>0</v>
      </c>
      <c r="U61" s="25"/>
      <c r="V61" s="25"/>
      <c r="W61" s="25"/>
      <c r="X61" s="1022"/>
      <c r="Z61" s="967"/>
      <c r="AB61" s="7" t="s">
        <v>2015</v>
      </c>
      <c r="AC61" s="543" t="s">
        <v>1229</v>
      </c>
      <c r="AD61" s="7" t="s">
        <v>828</v>
      </c>
      <c r="AE61" s="171">
        <f ca="1">SUMIFS(Административные!AE$25:AE$103,Административные!$F$25:$F$103,$F61,Административные!$G$25:$G$103,$G61)</f>
        <v>0</v>
      </c>
      <c r="AF61" s="171">
        <f ca="1">SUMIFS(Административные!AF$25:AF$103,Административные!$F$25:$F$103,$F61,Административные!$G$25:$G$103,$G61)</f>
        <v>0</v>
      </c>
      <c r="AG61" s="171">
        <f ca="1">SUMIFS(Административные!AG$25:AG$103,Административные!$F$25:$F$103,$F61,Административные!$G$25:$G$103,$G61)</f>
        <v>0</v>
      </c>
      <c r="AH61" s="171">
        <f t="shared" ca="1" si="7"/>
        <v>0</v>
      </c>
      <c r="AI61" s="171">
        <f ca="1">SUMIFS(Административные!AH$25:AH$103,Административные!$F$25:$F$103,$F61,Административные!$G$25:$G$103,$G61)</f>
        <v>0</v>
      </c>
      <c r="AJ61" s="171">
        <f ca="1">SUMIFS(Административные!AI$25:AI$103,Административные!$F$25:$F$103,$F61,Административные!$G$25:$G$103,$G61)</f>
        <v>0</v>
      </c>
      <c r="AK61" s="542"/>
      <c r="AL61" s="542"/>
      <c r="AM61" s="542"/>
      <c r="AN61" s="542"/>
      <c r="AO61" s="542"/>
      <c r="AP61" s="542"/>
      <c r="AQ61" s="542"/>
      <c r="AR61" s="542"/>
      <c r="AS61" s="542"/>
      <c r="AT61" s="171">
        <f ca="1">SUMIFS(Административные!AJ$25:AJ$103,Административные!$F$25:$F$103,$F61,Административные!$G$25:$G$103,$G61)</f>
        <v>0</v>
      </c>
      <c r="AU61" s="542"/>
      <c r="AV61" s="542"/>
      <c r="AW61" s="542"/>
      <c r="AX61" s="542"/>
      <c r="AY61" s="542"/>
      <c r="AZ61" s="542"/>
      <c r="BA61" s="542"/>
      <c r="BB61" s="542"/>
      <c r="BC61" s="542"/>
      <c r="BD61" s="171">
        <f t="shared" ca="1" si="8"/>
        <v>0</v>
      </c>
      <c r="BE61" s="542"/>
      <c r="BF61" s="542"/>
      <c r="BG61" s="542"/>
      <c r="BH61" s="542"/>
      <c r="BI61" s="542"/>
      <c r="BJ61" s="542"/>
      <c r="BK61" s="542"/>
      <c r="BL61" s="542"/>
      <c r="BM61" s="542"/>
      <c r="BN61" s="775"/>
      <c r="BO61" s="779" t="str">
        <f ca="1">IF(IFERROR(INDEX(Административные!$K$26:$L$103,MATCH($F61&amp;"16komm",Административные!$K$26:$K$103,0),2),"")=0,"",IFERROR(INDEX(Административные!$K$26:$L$103,MATCH($F61&amp;"16komm",Административные!$K$26:$K$103,0),2),""))</f>
        <v/>
      </c>
      <c r="BP61" s="775"/>
      <c r="BS61" s="696" t="s">
        <v>2016</v>
      </c>
    </row>
    <row r="62" spans="2:75" ht="21.95" hidden="1" customHeight="1" x14ac:dyDescent="0.25">
      <c r="C62" s="25"/>
      <c r="D62" s="25"/>
      <c r="E62" s="451">
        <v>22.5</v>
      </c>
      <c r="F62" s="3" cm="1">
        <f t="array" aca="1" ref="F62" ca="1">OFFSET(E62,-1,1)</f>
        <v>0</v>
      </c>
      <c r="G62" s="25"/>
      <c r="H62" s="577"/>
      <c r="I62" s="577" t="s">
        <v>1372</v>
      </c>
      <c r="J62" s="25"/>
      <c r="K62" s="277" t="s">
        <v>1372</v>
      </c>
      <c r="L62" s="25" t="s">
        <v>971</v>
      </c>
      <c r="M62" s="25"/>
      <c r="N62" s="25"/>
      <c r="O62" s="25"/>
      <c r="P62" s="25"/>
      <c r="Q62" s="25"/>
      <c r="R62" s="25"/>
      <c r="S62" s="25"/>
      <c r="T62" s="353" t="b" cm="1">
        <f t="array" ref="T62">T61</f>
        <v>0</v>
      </c>
      <c r="U62" s="25"/>
      <c r="V62" s="25"/>
      <c r="W62" s="25"/>
      <c r="X62" s="1022"/>
      <c r="Z62" s="967"/>
      <c r="AB62" s="7" t="s">
        <v>1090</v>
      </c>
      <c r="AC62" s="134" t="s">
        <v>2017</v>
      </c>
      <c r="AD62" s="7" t="s">
        <v>828</v>
      </c>
      <c r="AE62" s="171">
        <f ca="1">AE63+AE64</f>
        <v>0</v>
      </c>
      <c r="AF62" s="171">
        <f ca="1">AF63+AF64</f>
        <v>0</v>
      </c>
      <c r="AG62" s="171">
        <f ca="1">AG63+AG64</f>
        <v>0</v>
      </c>
      <c r="AH62" s="171">
        <f t="shared" ca="1" si="7"/>
        <v>0</v>
      </c>
      <c r="AI62" s="171">
        <f ca="1">AI63+AI64</f>
        <v>0</v>
      </c>
      <c r="AJ62" s="171">
        <f ca="1">AJ63+AJ64</f>
        <v>0</v>
      </c>
      <c r="AK62" s="542"/>
      <c r="AL62" s="542"/>
      <c r="AM62" s="542"/>
      <c r="AN62" s="542"/>
      <c r="AO62" s="542"/>
      <c r="AP62" s="542"/>
      <c r="AQ62" s="542"/>
      <c r="AR62" s="542"/>
      <c r="AS62" s="542"/>
      <c r="AT62" s="171">
        <f ca="1">AT63+AT64</f>
        <v>0</v>
      </c>
      <c r="AU62" s="542"/>
      <c r="AV62" s="542"/>
      <c r="AW62" s="542"/>
      <c r="AX62" s="542"/>
      <c r="AY62" s="542"/>
      <c r="AZ62" s="542"/>
      <c r="BA62" s="542"/>
      <c r="BB62" s="542"/>
      <c r="BC62" s="542"/>
      <c r="BD62" s="171">
        <f t="shared" ca="1" si="8"/>
        <v>0</v>
      </c>
      <c r="BE62" s="542"/>
      <c r="BF62" s="542"/>
      <c r="BG62" s="542"/>
      <c r="BH62" s="542"/>
      <c r="BI62" s="542"/>
      <c r="BJ62" s="542"/>
      <c r="BK62" s="542"/>
      <c r="BL62" s="542"/>
      <c r="BM62" s="542"/>
      <c r="BN62" s="775"/>
      <c r="BO62" s="775"/>
      <c r="BP62" s="775"/>
      <c r="BS62" s="694" t="s">
        <v>1822</v>
      </c>
    </row>
    <row r="63" spans="2:75" ht="14.65" hidden="1" customHeight="1" x14ac:dyDescent="0.25">
      <c r="C63" s="25"/>
      <c r="D63" s="25"/>
      <c r="E63" s="451">
        <v>15</v>
      </c>
      <c r="F63" s="3" cm="1">
        <f t="array" aca="1" ref="F63" ca="1">OFFSET(E63,-1,1)</f>
        <v>0</v>
      </c>
      <c r="G63" s="25" t="s">
        <v>1185</v>
      </c>
      <c r="H63" s="577"/>
      <c r="I63" s="577" t="s">
        <v>2018</v>
      </c>
      <c r="J63" s="25"/>
      <c r="K63" s="277" t="s">
        <v>2018</v>
      </c>
      <c r="L63" s="25" t="s">
        <v>518</v>
      </c>
      <c r="M63" s="25"/>
      <c r="N63" s="25"/>
      <c r="O63" s="25"/>
      <c r="P63" s="25"/>
      <c r="Q63" s="25"/>
      <c r="R63" s="25"/>
      <c r="S63" s="25"/>
      <c r="T63" s="353" t="b" cm="1">
        <f t="array" ref="T63">T62</f>
        <v>0</v>
      </c>
      <c r="U63" s="25"/>
      <c r="V63" s="25"/>
      <c r="W63" s="25"/>
      <c r="X63" s="1022"/>
      <c r="Z63" s="967"/>
      <c r="AB63" s="7" t="s">
        <v>2019</v>
      </c>
      <c r="AC63" s="543" t="s">
        <v>1823</v>
      </c>
      <c r="AD63" s="545" t="s">
        <v>828</v>
      </c>
      <c r="AE63" s="171">
        <f ca="1">SUMIFS(ФОТ!AE$25:AE$127,ФОТ!$F$25:$F$127,$F63,ФОТ!$G$25:$G$127,$G63)</f>
        <v>0</v>
      </c>
      <c r="AF63" s="171">
        <f ca="1">SUMIFS(ФОТ!AF$25:AF$127,ФОТ!$F$25:$F$127,$F63,ФОТ!$G$25:$G$127,$G63)</f>
        <v>0</v>
      </c>
      <c r="AG63" s="171">
        <f ca="1">SUMIFS(ФОТ!AG$25:AG$127,ФОТ!$F$25:$F$127,$F63,ФОТ!$G$25:$G$127,$G63)</f>
        <v>0</v>
      </c>
      <c r="AH63" s="171">
        <f t="shared" ca="1" si="7"/>
        <v>0</v>
      </c>
      <c r="AI63" s="171">
        <f ca="1">SUMIFS(ФОТ!AH$25:AH$127,ФОТ!$F$25:$F$127,$F63,ФОТ!$G$25:$G$127,$G63)</f>
        <v>0</v>
      </c>
      <c r="AJ63" s="171">
        <f ca="1">SUMIFS(ФОТ!AI$25:AI$127,ФОТ!$F$25:$F$127,$F63,ФОТ!$G$25:$G$127,$G63)</f>
        <v>0</v>
      </c>
      <c r="AK63" s="542"/>
      <c r="AL63" s="542"/>
      <c r="AM63" s="542"/>
      <c r="AN63" s="542"/>
      <c r="AO63" s="542"/>
      <c r="AP63" s="542"/>
      <c r="AQ63" s="542"/>
      <c r="AR63" s="542"/>
      <c r="AS63" s="542"/>
      <c r="AT63" s="171">
        <f ca="1">SUMIFS(ФОТ!AJ$25:AJ$127,ФОТ!$F$25:$F$127,$F63,ФОТ!$G$25:$G$127,$G63)</f>
        <v>0</v>
      </c>
      <c r="AU63" s="542"/>
      <c r="AV63" s="542"/>
      <c r="AW63" s="542"/>
      <c r="AX63" s="542"/>
      <c r="AY63" s="542"/>
      <c r="AZ63" s="542"/>
      <c r="BA63" s="542"/>
      <c r="BB63" s="542"/>
      <c r="BC63" s="542"/>
      <c r="BD63" s="171">
        <f t="shared" ca="1" si="8"/>
        <v>0</v>
      </c>
      <c r="BE63" s="542"/>
      <c r="BF63" s="542"/>
      <c r="BG63" s="542"/>
      <c r="BH63" s="542"/>
      <c r="BI63" s="542"/>
      <c r="BJ63" s="542"/>
      <c r="BK63" s="542"/>
      <c r="BL63" s="542"/>
      <c r="BM63" s="542"/>
      <c r="BN63" s="775"/>
      <c r="BO63" s="779" t="str">
        <f ca="1">IF(IFERROR(INDEX(ФОТ!$K$26:$L$127,MATCH($F63&amp;"5komm",ФОТ!$K$26:$K$127,0),2),"")=0,"",IFERROR(INDEX(ФОТ!$K$26:$L$127,MATCH($F63&amp;"5komm",ФОТ!$K$26:$K$127,0),2),""))</f>
        <v/>
      </c>
      <c r="BP63" s="775"/>
      <c r="BS63" s="694" t="s">
        <v>1202</v>
      </c>
    </row>
    <row r="64" spans="2:75" ht="21.95" hidden="1" customHeight="1" x14ac:dyDescent="0.25">
      <c r="C64" s="25"/>
      <c r="D64" s="25"/>
      <c r="E64" s="451">
        <v>22.5</v>
      </c>
      <c r="F64" s="3" cm="1">
        <f t="array" aca="1" ref="F64" ca="1">OFFSET(E64,-1,1)</f>
        <v>0</v>
      </c>
      <c r="G64" s="25" t="s">
        <v>1190</v>
      </c>
      <c r="H64" s="577"/>
      <c r="I64" s="577" t="s">
        <v>2020</v>
      </c>
      <c r="J64" s="25"/>
      <c r="K64" s="277" t="s">
        <v>2020</v>
      </c>
      <c r="L64" s="25" t="s">
        <v>523</v>
      </c>
      <c r="M64" s="25"/>
      <c r="N64" s="25"/>
      <c r="O64" s="25"/>
      <c r="P64" s="25"/>
      <c r="Q64" s="25"/>
      <c r="R64" s="25"/>
      <c r="S64" s="25"/>
      <c r="T64" s="353" t="b" cm="1">
        <f t="array" ref="T64">T63</f>
        <v>0</v>
      </c>
      <c r="U64" s="25"/>
      <c r="V64" s="25"/>
      <c r="W64" s="25"/>
      <c r="X64" s="1022"/>
      <c r="Z64" s="967"/>
      <c r="AB64" s="7" t="s">
        <v>2021</v>
      </c>
      <c r="AC64" s="543" t="s">
        <v>2022</v>
      </c>
      <c r="AD64" s="7" t="s">
        <v>828</v>
      </c>
      <c r="AE64" s="171">
        <f ca="1">SUMIFS(ФОТ!AE$25:AE$127,ФОТ!$F$25:$F$127,$F64,ФОТ!$G$25:$G$127,$G64)</f>
        <v>0</v>
      </c>
      <c r="AF64" s="171">
        <f ca="1">SUMIFS(ФОТ!AF$25:AF$127,ФОТ!$F$25:$F$127,$F64,ФОТ!$G$25:$G$127,$G64)</f>
        <v>0</v>
      </c>
      <c r="AG64" s="171">
        <f ca="1">SUMIFS(ФОТ!AG$25:AG$127,ФОТ!$F$25:$F$127,$F64,ФОТ!$G$25:$G$127,$G64)</f>
        <v>0</v>
      </c>
      <c r="AH64" s="171">
        <f t="shared" ca="1" si="7"/>
        <v>0</v>
      </c>
      <c r="AI64" s="171">
        <f ca="1">SUMIFS(ФОТ!AH$25:AH$127,ФОТ!$F$25:$F$127,$F64,ФОТ!$G$25:$G$127,$G64)</f>
        <v>0</v>
      </c>
      <c r="AJ64" s="171">
        <f ca="1">SUMIFS(ФОТ!AI$25:AI$127,ФОТ!$F$25:$F$127,$F64,ФОТ!$G$25:$G$127,$G64)</f>
        <v>0</v>
      </c>
      <c r="AK64" s="542"/>
      <c r="AL64" s="542"/>
      <c r="AM64" s="542"/>
      <c r="AN64" s="542"/>
      <c r="AO64" s="542"/>
      <c r="AP64" s="542"/>
      <c r="AQ64" s="542"/>
      <c r="AR64" s="542"/>
      <c r="AS64" s="542"/>
      <c r="AT64" s="171">
        <f ca="1">SUMIFS(ФОТ!AJ$25:AJ$127,ФОТ!$F$25:$F$127,$F64,ФОТ!$G$25:$G$127,$G64)</f>
        <v>0</v>
      </c>
      <c r="AU64" s="542"/>
      <c r="AV64" s="542"/>
      <c r="AW64" s="542"/>
      <c r="AX64" s="542"/>
      <c r="AY64" s="542"/>
      <c r="AZ64" s="542"/>
      <c r="BA64" s="542"/>
      <c r="BB64" s="542"/>
      <c r="BC64" s="542"/>
      <c r="BD64" s="171">
        <f t="shared" ca="1" si="8"/>
        <v>0</v>
      </c>
      <c r="BE64" s="542"/>
      <c r="BF64" s="542"/>
      <c r="BG64" s="542"/>
      <c r="BH64" s="542"/>
      <c r="BI64" s="542"/>
      <c r="BJ64" s="542"/>
      <c r="BK64" s="542"/>
      <c r="BL64" s="542"/>
      <c r="BM64" s="542"/>
      <c r="BN64" s="775"/>
      <c r="BO64" s="779" t="str">
        <f ca="1">IF(IFERROR(INDEX(ФОТ!$K$26:$L$127,MATCH($F64&amp;"6komm",ФОТ!$K$26:$K$127,0),2),"")=0,"",IFERROR(INDEX(ФОТ!$K$26:$L$127,MATCH($F64&amp;"6komm",ФОТ!$K$26:$K$127,0),2),""))</f>
        <v/>
      </c>
      <c r="BP64" s="775"/>
      <c r="BS64" s="694" t="s">
        <v>1825</v>
      </c>
    </row>
    <row r="65" spans="2:75" ht="32.85" hidden="1" customHeight="1" x14ac:dyDescent="0.25">
      <c r="C65" s="25"/>
      <c r="D65" s="25"/>
      <c r="E65" s="451">
        <v>33.75</v>
      </c>
      <c r="F65" s="3" cm="1">
        <f t="array" aca="1" ref="F65" ca="1">OFFSET(E65,-1,1)</f>
        <v>0</v>
      </c>
      <c r="G65" s="571" t="s">
        <v>1231</v>
      </c>
      <c r="H65" s="577"/>
      <c r="I65" s="577" t="s">
        <v>1375</v>
      </c>
      <c r="J65" s="25"/>
      <c r="K65" s="277" t="s">
        <v>1375</v>
      </c>
      <c r="L65" s="25" t="s">
        <v>973</v>
      </c>
      <c r="M65" s="25"/>
      <c r="N65" s="25"/>
      <c r="O65" s="25"/>
      <c r="P65" s="25"/>
      <c r="Q65" s="25"/>
      <c r="R65" s="25"/>
      <c r="S65" s="25"/>
      <c r="T65" s="353" t="b" cm="1">
        <f t="array" ref="T65">T64</f>
        <v>0</v>
      </c>
      <c r="U65" s="25"/>
      <c r="V65" s="25"/>
      <c r="W65" s="25"/>
      <c r="X65" s="1022"/>
      <c r="Z65" s="967"/>
      <c r="AB65" s="7" t="s">
        <v>1376</v>
      </c>
      <c r="AC65" s="134" t="s">
        <v>2023</v>
      </c>
      <c r="AD65" s="7" t="s">
        <v>828</v>
      </c>
      <c r="AE65" s="171">
        <f ca="1">SUMIFS(Административные!AE$25:AE$103,Административные!$F$25:$F$103,$F65,Административные!$G$25:$G$103,$G65)</f>
        <v>0</v>
      </c>
      <c r="AF65" s="171">
        <f ca="1">SUMIFS(Административные!AF$25:AF$103,Административные!$F$25:$F$103,$F65,Административные!$G$25:$G$103,$G65)</f>
        <v>0</v>
      </c>
      <c r="AG65" s="171">
        <f ca="1">SUMIFS(Административные!AG$25:AG$103,Административные!$F$25:$F$103,$F65,Административные!$G$25:$G$103,$G65)</f>
        <v>0</v>
      </c>
      <c r="AH65" s="171">
        <f t="shared" ca="1" si="7"/>
        <v>0</v>
      </c>
      <c r="AI65" s="171">
        <f ca="1">SUMIFS(Административные!AH$25:AH$103,Административные!$F$25:$F$103,$F65,Административные!$G$25:$G$103,$G65)</f>
        <v>0</v>
      </c>
      <c r="AJ65" s="171">
        <f ca="1">SUMIFS(Административные!AI$25:AI$103,Административные!$F$25:$F$103,$F65,Административные!$G$25:$G$103,$G65)</f>
        <v>0</v>
      </c>
      <c r="AK65" s="542"/>
      <c r="AL65" s="542"/>
      <c r="AM65" s="542"/>
      <c r="AN65" s="542"/>
      <c r="AO65" s="542"/>
      <c r="AP65" s="542"/>
      <c r="AQ65" s="542"/>
      <c r="AR65" s="542"/>
      <c r="AS65" s="542"/>
      <c r="AT65" s="171">
        <f ca="1">SUMIFS(Административные!AJ$25:AJ$103,Административные!$F$25:$F$103,$F65,Административные!$G$25:$G$103,$G65)</f>
        <v>0</v>
      </c>
      <c r="AU65" s="542"/>
      <c r="AV65" s="542"/>
      <c r="AW65" s="542"/>
      <c r="AX65" s="542"/>
      <c r="AY65" s="542"/>
      <c r="AZ65" s="542"/>
      <c r="BA65" s="542"/>
      <c r="BB65" s="542"/>
      <c r="BC65" s="542"/>
      <c r="BD65" s="171">
        <f t="shared" ca="1" si="8"/>
        <v>0</v>
      </c>
      <c r="BE65" s="542"/>
      <c r="BF65" s="542"/>
      <c r="BG65" s="542"/>
      <c r="BH65" s="542"/>
      <c r="BI65" s="542"/>
      <c r="BJ65" s="542"/>
      <c r="BK65" s="542"/>
      <c r="BL65" s="542"/>
      <c r="BM65" s="542"/>
      <c r="BN65" s="775"/>
      <c r="BO65" s="779" t="str">
        <f ca="1">IF(IFERROR(INDEX(Административные!$K$26:$L$103,MATCH($F65&amp;"2komm",Административные!$K$26:$K$103,0),2),"")=0,"",IFERROR(INDEX(Административные!$K$26:$L$103,MATCH($F65&amp;"2komm",Административные!$K$26:$K$103,0),2),""))</f>
        <v/>
      </c>
      <c r="BP65" s="775"/>
      <c r="BS65" s="694" t="s">
        <v>1233</v>
      </c>
    </row>
    <row r="66" spans="2:75" ht="14.65" hidden="1" customHeight="1" x14ac:dyDescent="0.25">
      <c r="C66" s="25"/>
      <c r="D66" s="25"/>
      <c r="E66" s="451">
        <v>15</v>
      </c>
      <c r="F66" s="3" cm="1">
        <f t="array" aca="1" ref="F66" ca="1">OFFSET(E66,-1,1)</f>
        <v>0</v>
      </c>
      <c r="G66" s="571" t="s">
        <v>1234</v>
      </c>
      <c r="H66" s="577"/>
      <c r="I66" s="577" t="s">
        <v>1379</v>
      </c>
      <c r="J66" s="25"/>
      <c r="K66" s="277" t="s">
        <v>1379</v>
      </c>
      <c r="L66" s="25" t="s">
        <v>975</v>
      </c>
      <c r="M66" s="25"/>
      <c r="N66" s="25"/>
      <c r="O66" s="25"/>
      <c r="P66" s="25"/>
      <c r="Q66" s="25"/>
      <c r="R66" s="25"/>
      <c r="S66" s="25"/>
      <c r="T66" s="353" t="b" cm="1">
        <f t="array" ref="T66">T65</f>
        <v>0</v>
      </c>
      <c r="U66" s="25"/>
      <c r="V66" s="25"/>
      <c r="W66" s="25"/>
      <c r="X66" s="1022"/>
      <c r="Z66" s="967"/>
      <c r="AB66" s="7" t="s">
        <v>1380</v>
      </c>
      <c r="AC66" s="134" t="s">
        <v>2024</v>
      </c>
      <c r="AD66" s="7" t="s">
        <v>828</v>
      </c>
      <c r="AE66" s="171">
        <f ca="1">SUMIFS(Административные!AE$25:AE$103,Административные!$F$25:$F$103,$F66,Административные!$G$25:$G$103,$G66)</f>
        <v>0</v>
      </c>
      <c r="AF66" s="171">
        <f ca="1">SUMIFS(Административные!AF$25:AF$103,Административные!$F$25:$F$103,$F66,Административные!$G$25:$G$103,$G66)</f>
        <v>0</v>
      </c>
      <c r="AG66" s="171">
        <f ca="1">SUMIFS(Административные!AG$25:AG$103,Административные!$F$25:$F$103,$F66,Административные!$G$25:$G$103,$G66)</f>
        <v>0</v>
      </c>
      <c r="AH66" s="171">
        <f t="shared" ca="1" si="7"/>
        <v>0</v>
      </c>
      <c r="AI66" s="171">
        <f ca="1">SUMIFS(Административные!AH$25:AH$103,Административные!$F$25:$F$103,$F66,Административные!$G$25:$G$103,$G66)</f>
        <v>0</v>
      </c>
      <c r="AJ66" s="171">
        <f ca="1">SUMIFS(Административные!AI$25:AI$103,Административные!$F$25:$F$103,$F66,Административные!$G$25:$G$103,$G66)</f>
        <v>0</v>
      </c>
      <c r="AK66" s="542"/>
      <c r="AL66" s="542"/>
      <c r="AM66" s="542"/>
      <c r="AN66" s="542"/>
      <c r="AO66" s="542"/>
      <c r="AP66" s="542"/>
      <c r="AQ66" s="542"/>
      <c r="AR66" s="542"/>
      <c r="AS66" s="542"/>
      <c r="AT66" s="171">
        <f ca="1">SUMIFS(Административные!AJ$25:AJ$103,Административные!$F$25:$F$103,$F66,Административные!$G$25:$G$103,$G66)</f>
        <v>0</v>
      </c>
      <c r="AU66" s="542"/>
      <c r="AV66" s="542"/>
      <c r="AW66" s="542"/>
      <c r="AX66" s="542"/>
      <c r="AY66" s="542"/>
      <c r="AZ66" s="542"/>
      <c r="BA66" s="542"/>
      <c r="BB66" s="542"/>
      <c r="BC66" s="542"/>
      <c r="BD66" s="171">
        <f t="shared" ca="1" si="8"/>
        <v>0</v>
      </c>
      <c r="BE66" s="542"/>
      <c r="BF66" s="542"/>
      <c r="BG66" s="542"/>
      <c r="BH66" s="542"/>
      <c r="BI66" s="542"/>
      <c r="BJ66" s="542"/>
      <c r="BK66" s="542"/>
      <c r="BL66" s="542"/>
      <c r="BM66" s="542"/>
      <c r="BN66" s="775"/>
      <c r="BO66" s="779" t="str">
        <f ca="1">IF(IFERROR(INDEX(Административные!$K$26:$L$103,MATCH($F66&amp;"3komm",Административные!$K$26:$K$103,0),2),"")=0,"",IFERROR(INDEX(Административные!$K$26:$L$103,MATCH($F66&amp;"3komm",Административные!$K$26:$K$103,0),2),""))</f>
        <v/>
      </c>
      <c r="BP66" s="775"/>
      <c r="BS66" s="694" t="s">
        <v>1236</v>
      </c>
    </row>
    <row r="67" spans="2:75" ht="14.65" hidden="1" customHeight="1" x14ac:dyDescent="0.25">
      <c r="C67" s="25"/>
      <c r="D67" s="25"/>
      <c r="E67" s="451">
        <v>15</v>
      </c>
      <c r="F67" s="3" cm="1">
        <f t="array" aca="1" ref="F67" ca="1">OFFSET(E67,-1,1)</f>
        <v>0</v>
      </c>
      <c r="G67" s="571" t="s">
        <v>1237</v>
      </c>
      <c r="H67" s="577"/>
      <c r="I67" s="577" t="s">
        <v>2025</v>
      </c>
      <c r="J67" s="25"/>
      <c r="K67" s="277" t="s">
        <v>2025</v>
      </c>
      <c r="L67" s="25" t="s">
        <v>978</v>
      </c>
      <c r="M67" s="25"/>
      <c r="N67" s="25"/>
      <c r="O67" s="25"/>
      <c r="P67" s="25"/>
      <c r="Q67" s="25"/>
      <c r="R67" s="25"/>
      <c r="S67" s="25"/>
      <c r="T67" s="353" t="b" cm="1">
        <f t="array" ref="T67">T66</f>
        <v>0</v>
      </c>
      <c r="U67" s="25"/>
      <c r="V67" s="25"/>
      <c r="W67" s="25"/>
      <c r="X67" s="1022"/>
      <c r="Z67" s="967"/>
      <c r="AB67" s="7" t="s">
        <v>2026</v>
      </c>
      <c r="AC67" s="134" t="s">
        <v>2027</v>
      </c>
      <c r="AD67" s="7" t="s">
        <v>828</v>
      </c>
      <c r="AE67" s="171">
        <f ca="1">SUMIFS(Административные!AE$25:AE$103,Административные!$F$25:$F$103,$F67,Административные!$G$25:$G$103,$G67)</f>
        <v>0</v>
      </c>
      <c r="AF67" s="171">
        <f ca="1">SUMIFS(Административные!AF$25:AF$103,Административные!$F$25:$F$103,$F67,Административные!$G$25:$G$103,$G67)</f>
        <v>0</v>
      </c>
      <c r="AG67" s="171">
        <f ca="1">SUMIFS(Административные!AG$25:AG$103,Административные!$F$25:$F$103,$F67,Административные!$G$25:$G$103,$G67)</f>
        <v>0</v>
      </c>
      <c r="AH67" s="171">
        <f t="shared" ca="1" si="7"/>
        <v>0</v>
      </c>
      <c r="AI67" s="171">
        <f ca="1">SUMIFS(Административные!AH$25:AH$103,Административные!$F$25:$F$103,$F67,Административные!$G$25:$G$103,$G67)</f>
        <v>0</v>
      </c>
      <c r="AJ67" s="171">
        <f ca="1">SUMIFS(Административные!AI$25:AI$103,Административные!$F$25:$F$103,$F67,Административные!$G$25:$G$103,$G67)</f>
        <v>0</v>
      </c>
      <c r="AK67" s="542"/>
      <c r="AL67" s="542"/>
      <c r="AM67" s="542"/>
      <c r="AN67" s="542"/>
      <c r="AO67" s="542"/>
      <c r="AP67" s="542"/>
      <c r="AQ67" s="542"/>
      <c r="AR67" s="542"/>
      <c r="AS67" s="542"/>
      <c r="AT67" s="171">
        <f ca="1">SUMIFS(Административные!AJ$25:AJ$103,Административные!$F$25:$F$103,$F67,Административные!$G$25:$G$103,$G67)</f>
        <v>0</v>
      </c>
      <c r="AU67" s="542"/>
      <c r="AV67" s="542"/>
      <c r="AW67" s="542"/>
      <c r="AX67" s="542"/>
      <c r="AY67" s="542"/>
      <c r="AZ67" s="542"/>
      <c r="BA67" s="542"/>
      <c r="BB67" s="542"/>
      <c r="BC67" s="542"/>
      <c r="BD67" s="171">
        <f t="shared" ca="1" si="8"/>
        <v>0</v>
      </c>
      <c r="BE67" s="542"/>
      <c r="BF67" s="542"/>
      <c r="BG67" s="542"/>
      <c r="BH67" s="542"/>
      <c r="BI67" s="542"/>
      <c r="BJ67" s="542"/>
      <c r="BK67" s="542"/>
      <c r="BL67" s="542"/>
      <c r="BM67" s="542"/>
      <c r="BN67" s="775"/>
      <c r="BO67" s="779" t="str">
        <f ca="1">IF(IFERROR(INDEX(Административные!$K$26:$L$103,MATCH($F67&amp;"4komm",Административные!$K$26:$K$103,0),2),"")=0,"",IFERROR(INDEX(Административные!$K$26:$L$103,MATCH($F67&amp;"4komm",Административные!$K$26:$K$103,0),2),""))</f>
        <v/>
      </c>
      <c r="BP67" s="775"/>
      <c r="BS67" s="694" t="s">
        <v>1239</v>
      </c>
    </row>
    <row r="68" spans="2:75" ht="14.65" hidden="1" customHeight="1" x14ac:dyDescent="0.25">
      <c r="C68" s="25"/>
      <c r="D68" s="25"/>
      <c r="E68" s="451">
        <v>15</v>
      </c>
      <c r="F68" s="3" cm="1">
        <f t="array" aca="1" ref="F68" ca="1">OFFSET(E68,-1,1)</f>
        <v>0</v>
      </c>
      <c r="G68" s="571" t="s">
        <v>1240</v>
      </c>
      <c r="H68" s="577"/>
      <c r="I68" s="577" t="s">
        <v>2028</v>
      </c>
      <c r="J68" s="25"/>
      <c r="K68" s="277" t="s">
        <v>2028</v>
      </c>
      <c r="L68" s="25" t="s">
        <v>1222</v>
      </c>
      <c r="M68" s="25"/>
      <c r="N68" s="25"/>
      <c r="O68" s="25"/>
      <c r="P68" s="25"/>
      <c r="Q68" s="25"/>
      <c r="R68" s="25"/>
      <c r="S68" s="25"/>
      <c r="T68" s="353" t="b" cm="1">
        <f t="array" ref="T68">T67</f>
        <v>0</v>
      </c>
      <c r="U68" s="25"/>
      <c r="V68" s="25"/>
      <c r="W68" s="25"/>
      <c r="X68" s="1022"/>
      <c r="Z68" s="967"/>
      <c r="AB68" s="7" t="s">
        <v>2029</v>
      </c>
      <c r="AC68" s="134" t="s">
        <v>2030</v>
      </c>
      <c r="AD68" s="7" t="s">
        <v>828</v>
      </c>
      <c r="AE68" s="171">
        <f ca="1">SUMIFS(Административные!AE$25:AE$103,Административные!$F$25:$F$103,$F68,Административные!$G$25:$G$103,$G68)</f>
        <v>0</v>
      </c>
      <c r="AF68" s="171">
        <f ca="1">SUMIFS(Административные!AF$25:AF$103,Административные!$F$25:$F$103,$F68,Административные!$G$25:$G$103,$G68)</f>
        <v>0</v>
      </c>
      <c r="AG68" s="171">
        <f ca="1">SUMIFS(Административные!AG$25:AG$103,Административные!$F$25:$F$103,$F68,Административные!$G$25:$G$103,$G68)</f>
        <v>0</v>
      </c>
      <c r="AH68" s="171">
        <f t="shared" ca="1" si="7"/>
        <v>0</v>
      </c>
      <c r="AI68" s="171">
        <f ca="1">SUMIFS(Административные!AH$25:AH$103,Административные!$F$25:$F$103,$F68,Административные!$G$25:$G$103,$G68)</f>
        <v>0</v>
      </c>
      <c r="AJ68" s="171">
        <f ca="1">SUMIFS(Административные!AI$25:AI$103,Административные!$F$25:$F$103,$F68,Административные!$G$25:$G$103,$G68)</f>
        <v>0</v>
      </c>
      <c r="AK68" s="542"/>
      <c r="AL68" s="542"/>
      <c r="AM68" s="542"/>
      <c r="AN68" s="542"/>
      <c r="AO68" s="542"/>
      <c r="AP68" s="542"/>
      <c r="AQ68" s="542"/>
      <c r="AR68" s="542"/>
      <c r="AS68" s="542"/>
      <c r="AT68" s="171">
        <f ca="1">SUMIFS(Административные!AJ$25:AJ$103,Административные!$F$25:$F$103,$F68,Административные!$G$25:$G$103,$G68)</f>
        <v>0</v>
      </c>
      <c r="AU68" s="542"/>
      <c r="AV68" s="542"/>
      <c r="AW68" s="542"/>
      <c r="AX68" s="542"/>
      <c r="AY68" s="542"/>
      <c r="AZ68" s="542"/>
      <c r="BA68" s="542"/>
      <c r="BB68" s="542"/>
      <c r="BC68" s="542"/>
      <c r="BD68" s="171">
        <f t="shared" ca="1" si="8"/>
        <v>0</v>
      </c>
      <c r="BE68" s="542"/>
      <c r="BF68" s="542"/>
      <c r="BG68" s="542"/>
      <c r="BH68" s="542"/>
      <c r="BI68" s="542"/>
      <c r="BJ68" s="542"/>
      <c r="BK68" s="542"/>
      <c r="BL68" s="542"/>
      <c r="BM68" s="542"/>
      <c r="BN68" s="775"/>
      <c r="BO68" s="779" t="str">
        <f ca="1">IF(IFERROR(INDEX(Административные!$K$26:$L$103,MATCH($F68&amp;"5komm",Административные!$K$26:$K$103,0),2),"")=0,"",IFERROR(INDEX(Административные!$K$26:$L$103,MATCH($F68&amp;"5komm",Административные!$K$26:$K$103,0),2),""))</f>
        <v/>
      </c>
      <c r="BP68" s="775"/>
      <c r="BS68" s="694" t="s">
        <v>1827</v>
      </c>
    </row>
    <row r="69" spans="2:75" ht="14.65" hidden="1" customHeight="1" x14ac:dyDescent="0.25">
      <c r="C69" s="25"/>
      <c r="D69" s="25"/>
      <c r="E69" s="451">
        <v>15</v>
      </c>
      <c r="F69" s="3" cm="1">
        <f t="array" aca="1" ref="F69" ca="1">OFFSET(E69,-1,1)</f>
        <v>0</v>
      </c>
      <c r="G69" s="571" t="s">
        <v>1243</v>
      </c>
      <c r="H69" s="577"/>
      <c r="I69" s="577" t="s">
        <v>2031</v>
      </c>
      <c r="J69" s="25"/>
      <c r="K69" s="277" t="s">
        <v>2031</v>
      </c>
      <c r="L69" s="25" t="s">
        <v>1227</v>
      </c>
      <c r="M69" s="25"/>
      <c r="N69" s="25"/>
      <c r="O69" s="25"/>
      <c r="P69" s="25"/>
      <c r="Q69" s="25"/>
      <c r="R69" s="25"/>
      <c r="S69" s="25"/>
      <c r="T69" s="353" t="b" cm="1">
        <f t="array" ref="T69">T68</f>
        <v>0</v>
      </c>
      <c r="U69" s="25"/>
      <c r="V69" s="25"/>
      <c r="W69" s="25"/>
      <c r="X69" s="1022"/>
      <c r="Z69" s="967"/>
      <c r="AB69" s="7" t="s">
        <v>2032</v>
      </c>
      <c r="AC69" s="134" t="s">
        <v>2033</v>
      </c>
      <c r="AD69" s="7" t="s">
        <v>828</v>
      </c>
      <c r="AE69" s="171">
        <f ca="1">SUMIFS(Административные!AE$25:AE$103,Административные!$F$25:$F$103,$F69,Административные!$G$25:$G$103,$G69)</f>
        <v>0</v>
      </c>
      <c r="AF69" s="171">
        <f ca="1">SUMIFS(Административные!AF$25:AF$103,Административные!$F$25:$F$103,$F69,Административные!$G$25:$G$103,$G69)</f>
        <v>0</v>
      </c>
      <c r="AG69" s="171">
        <f ca="1">SUMIFS(Административные!AG$25:AG$103,Административные!$F$25:$F$103,$F69,Административные!$G$25:$G$103,$G69)</f>
        <v>0</v>
      </c>
      <c r="AH69" s="171">
        <f t="shared" ca="1" si="7"/>
        <v>0</v>
      </c>
      <c r="AI69" s="171">
        <f ca="1">SUMIFS(Административные!AH$25:AH$103,Административные!$F$25:$F$103,$F69,Административные!$G$25:$G$103,$G69)</f>
        <v>0</v>
      </c>
      <c r="AJ69" s="171">
        <f ca="1">SUMIFS(Административные!AI$25:AI$103,Административные!$F$25:$F$103,$F69,Административные!$G$25:$G$103,$G69)</f>
        <v>0</v>
      </c>
      <c r="AK69" s="542"/>
      <c r="AL69" s="542"/>
      <c r="AM69" s="542"/>
      <c r="AN69" s="542"/>
      <c r="AO69" s="542"/>
      <c r="AP69" s="542"/>
      <c r="AQ69" s="542"/>
      <c r="AR69" s="542"/>
      <c r="AS69" s="542"/>
      <c r="AT69" s="171">
        <f ca="1">SUMIFS(Административные!AJ$25:AJ$103,Административные!$F$25:$F$103,$F69,Административные!$G$25:$G$103,$G69)</f>
        <v>0</v>
      </c>
      <c r="AU69" s="542"/>
      <c r="AV69" s="542"/>
      <c r="AW69" s="542"/>
      <c r="AX69" s="542"/>
      <c r="AY69" s="542"/>
      <c r="AZ69" s="542"/>
      <c r="BA69" s="542"/>
      <c r="BB69" s="542"/>
      <c r="BC69" s="542"/>
      <c r="BD69" s="171">
        <f t="shared" ca="1" si="8"/>
        <v>0</v>
      </c>
      <c r="BE69" s="542"/>
      <c r="BF69" s="542"/>
      <c r="BG69" s="542"/>
      <c r="BH69" s="542"/>
      <c r="BI69" s="542"/>
      <c r="BJ69" s="542"/>
      <c r="BK69" s="542"/>
      <c r="BL69" s="542"/>
      <c r="BM69" s="542"/>
      <c r="BN69" s="775"/>
      <c r="BO69" s="779" t="str">
        <f ca="1">IF(IFERROR(INDEX(Административные!$K$26:$L$103,MATCH($F69&amp;"6komm",Административные!$K$26:$K$103,0),2),"")=0,"",IFERROR(INDEX(Административные!$K$26:$L$103,MATCH($F69&amp;"6komm",Административные!$K$26:$K$103,0),2),""))</f>
        <v/>
      </c>
      <c r="BP69" s="775"/>
      <c r="BS69" s="694" t="s">
        <v>1829</v>
      </c>
    </row>
    <row r="70" spans="2:75" ht="14.65" hidden="1" customHeight="1" x14ac:dyDescent="0.25">
      <c r="C70" s="25"/>
      <c r="D70" s="25"/>
      <c r="E70" s="451">
        <v>15</v>
      </c>
      <c r="F70" s="3" cm="1">
        <f t="array" aca="1" ref="F70" ca="1">OFFSET(E70,-1,1)</f>
        <v>0</v>
      </c>
      <c r="G70" s="571" t="s">
        <v>1245</v>
      </c>
      <c r="H70" s="577"/>
      <c r="I70" s="577" t="s">
        <v>2034</v>
      </c>
      <c r="J70" s="25"/>
      <c r="K70" s="277" t="s">
        <v>2034</v>
      </c>
      <c r="L70" s="25" t="s">
        <v>1830</v>
      </c>
      <c r="M70" s="25"/>
      <c r="N70" s="25"/>
      <c r="O70" s="25"/>
      <c r="P70" s="25"/>
      <c r="Q70" s="25"/>
      <c r="R70" s="25"/>
      <c r="S70" s="25"/>
      <c r="T70" s="353" t="b" cm="1">
        <f t="array" ref="T70">T69</f>
        <v>0</v>
      </c>
      <c r="U70" s="25"/>
      <c r="V70" s="25"/>
      <c r="W70" s="25"/>
      <c r="X70" s="1022"/>
      <c r="Z70" s="967"/>
      <c r="AB70" s="7" t="s">
        <v>2035</v>
      </c>
      <c r="AC70" s="543" t="s">
        <v>1832</v>
      </c>
      <c r="AD70" s="7" t="s">
        <v>828</v>
      </c>
      <c r="AE70" s="171">
        <f ca="1">SUMIFS(Административные!AE$25:AE$103,Административные!$F$25:$F$103,$F70,Административные!$G$25:$G$103,$G70)</f>
        <v>0</v>
      </c>
      <c r="AF70" s="171">
        <f ca="1">SUMIFS(Административные!AF$25:AF$103,Административные!$F$25:$F$103,$F70,Административные!$G$25:$G$103,$G70)</f>
        <v>0</v>
      </c>
      <c r="AG70" s="171">
        <f ca="1">SUMIFS(Административные!AG$25:AG$103,Административные!$F$25:$F$103,$F70,Административные!$G$25:$G$103,$G70)</f>
        <v>0</v>
      </c>
      <c r="AH70" s="171">
        <f t="shared" ca="1" si="7"/>
        <v>0</v>
      </c>
      <c r="AI70" s="171">
        <f ca="1">SUMIFS(Административные!AH$25:AH$103,Административные!$F$25:$F$103,$F70,Административные!$G$25:$G$103,$G70)</f>
        <v>0</v>
      </c>
      <c r="AJ70" s="171">
        <f ca="1">SUMIFS(Административные!AI$25:AI$103,Административные!$F$25:$F$103,$F70,Административные!$G$25:$G$103,$G70)</f>
        <v>0</v>
      </c>
      <c r="AK70" s="542"/>
      <c r="AL70" s="542"/>
      <c r="AM70" s="542"/>
      <c r="AN70" s="542"/>
      <c r="AO70" s="542"/>
      <c r="AP70" s="542"/>
      <c r="AQ70" s="542"/>
      <c r="AR70" s="542"/>
      <c r="AS70" s="542"/>
      <c r="AT70" s="171">
        <f ca="1">SUMIFS(Административные!AJ$25:AJ$103,Административные!$F$25:$F$103,$F70,Административные!$G$25:$G$103,$G70)</f>
        <v>0</v>
      </c>
      <c r="AU70" s="542"/>
      <c r="AV70" s="542"/>
      <c r="AW70" s="542"/>
      <c r="AX70" s="542"/>
      <c r="AY70" s="542"/>
      <c r="AZ70" s="542"/>
      <c r="BA70" s="542"/>
      <c r="BB70" s="542"/>
      <c r="BC70" s="542"/>
      <c r="BD70" s="171">
        <f t="shared" ca="1" si="8"/>
        <v>0</v>
      </c>
      <c r="BE70" s="542"/>
      <c r="BF70" s="542"/>
      <c r="BG70" s="542"/>
      <c r="BH70" s="542"/>
      <c r="BI70" s="542"/>
      <c r="BJ70" s="542"/>
      <c r="BK70" s="542"/>
      <c r="BL70" s="542"/>
      <c r="BM70" s="542"/>
      <c r="BN70" s="775"/>
      <c r="BO70" s="779" t="str">
        <f ca="1">IF(IFERROR(INDEX(Административные!$K$26:$L$103,MATCH($F70&amp;"7komm",Административные!$K$26:$K$103,0),2),"")=0,"",IFERROR(INDEX(Административные!$K$26:$L$103,MATCH($F70&amp;"7komm",Административные!$K$26:$K$103,0),2),""))</f>
        <v/>
      </c>
      <c r="BP70" s="775"/>
      <c r="BS70" s="694" t="s">
        <v>1833</v>
      </c>
    </row>
    <row r="71" spans="2:75" ht="14.65" hidden="1" customHeight="1" x14ac:dyDescent="0.25">
      <c r="C71" s="25"/>
      <c r="D71" s="25"/>
      <c r="E71" s="451">
        <v>15</v>
      </c>
      <c r="F71" s="3" cm="1">
        <f t="array" aca="1" ref="F71" ca="1">OFFSET(E71,-1,1)</f>
        <v>0</v>
      </c>
      <c r="G71" s="571" t="s">
        <v>1248</v>
      </c>
      <c r="H71" s="577"/>
      <c r="I71" s="577" t="s">
        <v>2036</v>
      </c>
      <c r="J71" s="25"/>
      <c r="K71" s="277" t="s">
        <v>2036</v>
      </c>
      <c r="L71" s="25" t="s">
        <v>1834</v>
      </c>
      <c r="M71" s="25"/>
      <c r="N71" s="25"/>
      <c r="O71" s="25"/>
      <c r="P71" s="25"/>
      <c r="Q71" s="25"/>
      <c r="R71" s="25"/>
      <c r="S71" s="25"/>
      <c r="T71" s="353" t="b" cm="1">
        <f t="array" ref="T71">T70</f>
        <v>0</v>
      </c>
      <c r="U71" s="25"/>
      <c r="V71" s="25"/>
      <c r="W71" s="25"/>
      <c r="X71" s="1022"/>
      <c r="Z71" s="967"/>
      <c r="AB71" s="7" t="s">
        <v>2037</v>
      </c>
      <c r="AC71" s="543" t="s">
        <v>1249</v>
      </c>
      <c r="AD71" s="7" t="s">
        <v>828</v>
      </c>
      <c r="AE71" s="171">
        <f ca="1">SUMIFS(Административные!AE$25:AE$103,Административные!$F$25:$F$103,$F71,Административные!$G$25:$G$103,$G71)</f>
        <v>0</v>
      </c>
      <c r="AF71" s="171">
        <f ca="1">SUMIFS(Административные!AF$25:AF$103,Административные!$F$25:$F$103,$F71,Административные!$G$25:$G$103,$G71)</f>
        <v>0</v>
      </c>
      <c r="AG71" s="171">
        <f ca="1">SUMIFS(Административные!AG$25:AG$103,Административные!$F$25:$F$103,$F71,Административные!$G$25:$G$103,$G71)</f>
        <v>0</v>
      </c>
      <c r="AH71" s="171">
        <f t="shared" ca="1" si="7"/>
        <v>0</v>
      </c>
      <c r="AI71" s="171">
        <f ca="1">SUMIFS(Административные!AH$25:AH$103,Административные!$F$25:$F$103,$F71,Административные!$G$25:$G$103,$G71)</f>
        <v>0</v>
      </c>
      <c r="AJ71" s="171">
        <f ca="1">SUMIFS(Административные!AI$25:AI$103,Административные!$F$25:$F$103,$F71,Административные!$G$25:$G$103,$G71)</f>
        <v>0</v>
      </c>
      <c r="AK71" s="542"/>
      <c r="AL71" s="542"/>
      <c r="AM71" s="542"/>
      <c r="AN71" s="542"/>
      <c r="AO71" s="542"/>
      <c r="AP71" s="542"/>
      <c r="AQ71" s="542"/>
      <c r="AR71" s="542"/>
      <c r="AS71" s="542"/>
      <c r="AT71" s="171">
        <f ca="1">SUMIFS(Административные!AJ$25:AJ$103,Административные!$F$25:$F$103,$F71,Административные!$G$25:$G$103,$G71)</f>
        <v>0</v>
      </c>
      <c r="AU71" s="542"/>
      <c r="AV71" s="542"/>
      <c r="AW71" s="542"/>
      <c r="AX71" s="542"/>
      <c r="AY71" s="542"/>
      <c r="AZ71" s="542"/>
      <c r="BA71" s="542"/>
      <c r="BB71" s="542"/>
      <c r="BC71" s="542"/>
      <c r="BD71" s="171">
        <f t="shared" ca="1" si="8"/>
        <v>0</v>
      </c>
      <c r="BE71" s="542"/>
      <c r="BF71" s="542"/>
      <c r="BG71" s="542"/>
      <c r="BH71" s="542"/>
      <c r="BI71" s="542"/>
      <c r="BJ71" s="542"/>
      <c r="BK71" s="542"/>
      <c r="BL71" s="542"/>
      <c r="BM71" s="542"/>
      <c r="BN71" s="775"/>
      <c r="BO71" s="779" t="str">
        <f ca="1">IF(IFERROR(INDEX(Административные!$K$26:$L$103,MATCH($F71&amp;"8komm",Административные!$K$26:$K$103,0),2),"")=0,"",IFERROR(INDEX(Административные!$K$26:$L$103,MATCH($F71&amp;"8komm",Административные!$K$26:$K$103,0),2),""))</f>
        <v/>
      </c>
      <c r="BP71" s="775"/>
      <c r="BS71" s="694" t="s">
        <v>1836</v>
      </c>
    </row>
    <row r="72" spans="2:75" ht="14.65" hidden="1" customHeight="1" x14ac:dyDescent="0.25">
      <c r="C72" s="25"/>
      <c r="D72" s="25"/>
      <c r="E72" s="451">
        <v>15</v>
      </c>
      <c r="F72" s="3" cm="1">
        <f t="array" aca="1" ref="F72" ca="1">OFFSET(E72,-1,1)</f>
        <v>0</v>
      </c>
      <c r="G72" s="25" t="s">
        <v>1251</v>
      </c>
      <c r="H72" s="577"/>
      <c r="I72" s="577" t="s">
        <v>2038</v>
      </c>
      <c r="J72" s="25"/>
      <c r="K72" s="277" t="s">
        <v>2038</v>
      </c>
      <c r="L72" s="25" t="s">
        <v>1837</v>
      </c>
      <c r="M72" s="25"/>
      <c r="N72" s="25"/>
      <c r="O72" s="25"/>
      <c r="P72" s="25"/>
      <c r="Q72" s="25"/>
      <c r="R72" s="25"/>
      <c r="S72" s="25"/>
      <c r="T72" s="353" t="b" cm="1">
        <f t="array" ref="T72">T71</f>
        <v>0</v>
      </c>
      <c r="U72" s="25"/>
      <c r="V72" s="25"/>
      <c r="W72" s="25"/>
      <c r="X72" s="1022"/>
      <c r="Z72" s="967"/>
      <c r="AB72" s="7" t="s">
        <v>2039</v>
      </c>
      <c r="AC72" s="543" t="s">
        <v>1252</v>
      </c>
      <c r="AD72" s="7" t="s">
        <v>828</v>
      </c>
      <c r="AE72" s="171">
        <f ca="1">SUMIFS(Административные!AE$25:AE$103,Административные!$F$25:$F$103,$F72,Административные!$G$25:$G$103,$G72)</f>
        <v>0</v>
      </c>
      <c r="AF72" s="171">
        <f ca="1">SUMIFS(Административные!AF$25:AF$103,Административные!$F$25:$F$103,$F72,Административные!$G$25:$G$103,$G72)</f>
        <v>0</v>
      </c>
      <c r="AG72" s="171">
        <f ca="1">SUMIFS(Административные!AG$25:AG$103,Административные!$F$25:$F$103,$F72,Административные!$G$25:$G$103,$G72)</f>
        <v>0</v>
      </c>
      <c r="AH72" s="171">
        <f t="shared" ca="1" si="7"/>
        <v>0</v>
      </c>
      <c r="AI72" s="171">
        <f ca="1">SUMIFS(Административные!AH$25:AH$103,Административные!$F$25:$F$103,$F72,Административные!$G$25:$G$103,$G72)</f>
        <v>0</v>
      </c>
      <c r="AJ72" s="171">
        <f ca="1">SUMIFS(Административные!AI$25:AI$103,Административные!$F$25:$F$103,$F72,Административные!$G$25:$G$103,$G72)</f>
        <v>0</v>
      </c>
      <c r="AK72" s="542"/>
      <c r="AL72" s="542"/>
      <c r="AM72" s="542"/>
      <c r="AN72" s="542"/>
      <c r="AO72" s="542"/>
      <c r="AP72" s="542"/>
      <c r="AQ72" s="542"/>
      <c r="AR72" s="542"/>
      <c r="AS72" s="542"/>
      <c r="AT72" s="171">
        <f ca="1">SUMIFS(Административные!AJ$25:AJ$103,Административные!$F$25:$F$103,$F72,Административные!$G$25:$G$103,$G72)</f>
        <v>0</v>
      </c>
      <c r="AU72" s="542"/>
      <c r="AV72" s="542"/>
      <c r="AW72" s="542"/>
      <c r="AX72" s="542"/>
      <c r="AY72" s="542"/>
      <c r="AZ72" s="542"/>
      <c r="BA72" s="542"/>
      <c r="BB72" s="542"/>
      <c r="BC72" s="542"/>
      <c r="BD72" s="171">
        <f t="shared" ca="1" si="8"/>
        <v>0</v>
      </c>
      <c r="BE72" s="542"/>
      <c r="BF72" s="542"/>
      <c r="BG72" s="542"/>
      <c r="BH72" s="542"/>
      <c r="BI72" s="542"/>
      <c r="BJ72" s="542"/>
      <c r="BK72" s="542"/>
      <c r="BL72" s="542"/>
      <c r="BM72" s="542"/>
      <c r="BN72" s="775"/>
      <c r="BO72" s="779" t="str">
        <f ca="1">IF(IFERROR(INDEX(Административные!$K$26:$L$103,MATCH($F72&amp;"9komm",Административные!$K$26:$K$103,0),2),"")=0,"",IFERROR(INDEX(Административные!$K$26:$L$103,MATCH($F72&amp;"9komm",Административные!$K$26:$K$103,0),2),""))</f>
        <v/>
      </c>
      <c r="BP72" s="775"/>
      <c r="BS72" s="694" t="s">
        <v>1839</v>
      </c>
    </row>
    <row r="73" spans="2:75" ht="21.95" hidden="1" customHeight="1" x14ac:dyDescent="0.25">
      <c r="B73" s="329" t="b">
        <f>STATUS_GO="да"</f>
        <v>0</v>
      </c>
      <c r="C73" s="25"/>
      <c r="D73" s="25"/>
      <c r="E73" s="451">
        <v>22.5</v>
      </c>
      <c r="F73" s="3" cm="1">
        <f t="array" aca="1" ref="F73" ca="1">OFFSET(E73,-1,1)</f>
        <v>0</v>
      </c>
      <c r="G73" s="25"/>
      <c r="H73" s="577"/>
      <c r="I73" s="577" t="s">
        <v>951</v>
      </c>
      <c r="J73" s="25"/>
      <c r="K73" s="277" t="s">
        <v>951</v>
      </c>
      <c r="L73" s="25" t="s">
        <v>335</v>
      </c>
      <c r="M73" s="25"/>
      <c r="N73" s="25"/>
      <c r="O73" s="25"/>
      <c r="P73" s="25"/>
      <c r="Q73" s="25"/>
      <c r="R73" s="25"/>
      <c r="S73" s="25"/>
      <c r="T73" s="353" t="b" cm="1">
        <f t="array" ref="T73">T72</f>
        <v>0</v>
      </c>
      <c r="U73" s="25"/>
      <c r="V73" s="25"/>
      <c r="W73" s="25"/>
      <c r="X73" s="1022"/>
      <c r="Z73" s="967"/>
      <c r="AB73" s="7" t="s">
        <v>952</v>
      </c>
      <c r="AC73" s="127" t="s">
        <v>2040</v>
      </c>
      <c r="AD73" s="7" t="s">
        <v>828</v>
      </c>
      <c r="AE73" s="171">
        <f ca="1">SUMIFS('Сбытовые расходы ГО'!AE$25:AE$75,'Сбытовые расходы ГО'!$F$25:$F$75,$F73,'Сбытовые расходы ГО'!$G$25:$G$75,"L0")-SUMIFS('Сбытовые расходы ГО'!AE$25:AE$75,'Сбытовые расходы ГО'!$F$25:$F$75,$F73,'Сбытовые расходы ГО'!$G$25:$G$75,"L1")</f>
        <v>0</v>
      </c>
      <c r="AF73" s="171">
        <f ca="1">SUMIFS('Сбытовые расходы ГО'!AF$25:AF$75,'Сбытовые расходы ГО'!$F$25:$F$75,$F73,'Сбытовые расходы ГО'!$G$25:$G$75,"L0")-SUMIFS('Сбытовые расходы ГО'!AF$25:AF$75,'Сбытовые расходы ГО'!$F$25:$F$75,$F73,'Сбытовые расходы ГО'!$G$25:$G$75,"L1")</f>
        <v>0</v>
      </c>
      <c r="AG73" s="171">
        <f ca="1">SUMIFS('Сбытовые расходы ГО'!AG$25:AG$75,'Сбытовые расходы ГО'!$F$25:$F$75,$F73,'Сбытовые расходы ГО'!$G$25:$G$75,"L0")-SUMIFS('Сбытовые расходы ГО'!AG$25:AG$75,'Сбытовые расходы ГО'!$F$25:$F$75,$F73,'Сбытовые расходы ГО'!$G$25:$G$75,"L1")</f>
        <v>0</v>
      </c>
      <c r="AH73" s="171">
        <f t="shared" ca="1" si="7"/>
        <v>0</v>
      </c>
      <c r="AI73" s="171">
        <f ca="1">SUMIFS('Сбытовые расходы ГО'!AH$25:AH$75,'Сбытовые расходы ГО'!$F$25:$F$75,$F73,'Сбытовые расходы ГО'!$G$25:$G$75,"L0")-SUMIFS('Сбытовые расходы ГО'!AH$25:AH$75,'Сбытовые расходы ГО'!$F$25:$F$75,$F73,'Сбытовые расходы ГО'!$G$25:$G$75,"L1")</f>
        <v>0</v>
      </c>
      <c r="AJ73" s="171">
        <f ca="1">SUMIFS('Сбытовые расходы ГО'!AI$25:AI$75,'Сбытовые расходы ГО'!$F$25:$F$75,$F73,'Сбытовые расходы ГО'!$G$25:$G$75,"L0")-SUMIFS('Сбытовые расходы ГО'!AI$25:AI$75,'Сбытовые расходы ГО'!$F$25:$F$75,$F73,'Сбытовые расходы ГО'!$G$25:$G$75,"L1")</f>
        <v>0</v>
      </c>
      <c r="AK73" s="542"/>
      <c r="AL73" s="542"/>
      <c r="AM73" s="542"/>
      <c r="AN73" s="542"/>
      <c r="AO73" s="542"/>
      <c r="AP73" s="542"/>
      <c r="AQ73" s="542"/>
      <c r="AR73" s="542"/>
      <c r="AS73" s="542"/>
      <c r="AT73" s="171">
        <f ca="1">SUMIFS('Сбытовые расходы ГО'!AJ$25:AJ$75,'Сбытовые расходы ГО'!$F$25:$F$75,$F73,'Сбытовые расходы ГО'!$G$25:$G$75,"L0")-SUMIFS('Сбытовые расходы ГО'!AJ$25:AJ$75,'Сбытовые расходы ГО'!$F$25:$F$75,$F73,'Сбытовые расходы ГО'!$G$25:$G$75,"L1")</f>
        <v>0</v>
      </c>
      <c r="AU73" s="542"/>
      <c r="AV73" s="542"/>
      <c r="AW73" s="542"/>
      <c r="AX73" s="542"/>
      <c r="AY73" s="542"/>
      <c r="AZ73" s="542"/>
      <c r="BA73" s="542"/>
      <c r="BB73" s="542"/>
      <c r="BC73" s="542"/>
      <c r="BD73" s="171">
        <f t="shared" ca="1" si="8"/>
        <v>0</v>
      </c>
      <c r="BE73" s="542"/>
      <c r="BF73" s="542"/>
      <c r="BG73" s="542"/>
      <c r="BH73" s="542"/>
      <c r="BI73" s="542"/>
      <c r="BJ73" s="542"/>
      <c r="BK73" s="542"/>
      <c r="BL73" s="542"/>
      <c r="BM73" s="542"/>
      <c r="BN73" s="775"/>
      <c r="BO73" s="775"/>
      <c r="BP73" s="775"/>
      <c r="BS73" s="695" t="s">
        <v>1841</v>
      </c>
    </row>
    <row r="74" spans="2:75" ht="14.65" hidden="1" customHeight="1" x14ac:dyDescent="0.15">
      <c r="C74" s="25"/>
      <c r="D74" s="25"/>
      <c r="E74" s="451">
        <v>15</v>
      </c>
      <c r="F74" s="3" cm="1">
        <f t="array" aca="1" ref="F74" ca="1">OFFSET(E74,-1,1)</f>
        <v>0</v>
      </c>
      <c r="G74" s="25"/>
      <c r="H74" s="577"/>
      <c r="I74" s="577" t="s">
        <v>1779</v>
      </c>
      <c r="J74" s="25"/>
      <c r="K74" s="277" t="s">
        <v>1779</v>
      </c>
      <c r="L74" s="25"/>
      <c r="M74" s="25"/>
      <c r="N74" s="25"/>
      <c r="O74" s="25"/>
      <c r="P74" s="25"/>
      <c r="Q74" s="25"/>
      <c r="R74" s="25"/>
      <c r="S74" s="25"/>
      <c r="T74" s="353" t="b" cm="1">
        <f t="array" ref="T74">T73</f>
        <v>0</v>
      </c>
      <c r="U74" s="25"/>
      <c r="V74" s="25"/>
      <c r="W74" s="25"/>
      <c r="X74" s="1022"/>
      <c r="Z74" s="967"/>
      <c r="AB74" s="7" t="s">
        <v>1780</v>
      </c>
      <c r="AC74" s="127" t="s">
        <v>2041</v>
      </c>
      <c r="AD74" s="7" t="s">
        <v>828</v>
      </c>
      <c r="AE74" s="778"/>
      <c r="AF74" s="778"/>
      <c r="AG74" s="778"/>
      <c r="AH74" s="171">
        <f t="shared" si="7"/>
        <v>0</v>
      </c>
      <c r="AI74" s="778"/>
      <c r="AJ74" s="128"/>
      <c r="AK74" s="542"/>
      <c r="AL74" s="542"/>
      <c r="AM74" s="542"/>
      <c r="AN74" s="542"/>
      <c r="AO74" s="542"/>
      <c r="AP74" s="542"/>
      <c r="AQ74" s="542"/>
      <c r="AR74" s="542"/>
      <c r="AS74" s="542"/>
      <c r="AT74" s="128"/>
      <c r="AU74" s="542"/>
      <c r="AV74" s="542"/>
      <c r="AW74" s="542"/>
      <c r="AX74" s="542"/>
      <c r="AY74" s="542"/>
      <c r="AZ74" s="542"/>
      <c r="BA74" s="542"/>
      <c r="BB74" s="542"/>
      <c r="BC74" s="542"/>
      <c r="BD74" s="171">
        <f t="shared" si="8"/>
        <v>0</v>
      </c>
      <c r="BE74" s="542"/>
      <c r="BF74" s="542"/>
      <c r="BG74" s="542"/>
      <c r="BH74" s="542"/>
      <c r="BI74" s="542"/>
      <c r="BJ74" s="542"/>
      <c r="BK74" s="542"/>
      <c r="BL74" s="542"/>
      <c r="BM74" s="542"/>
      <c r="BN74" s="775"/>
      <c r="BO74" s="775"/>
      <c r="BP74" s="775"/>
      <c r="BS74" s="696" t="s">
        <v>2042</v>
      </c>
    </row>
    <row r="75" spans="2:75" s="76" customFormat="1" ht="20.45" hidden="1" customHeight="1" x14ac:dyDescent="0.15">
      <c r="B75" s="332"/>
      <c r="C75" s="27"/>
      <c r="D75" s="27"/>
      <c r="E75" s="559">
        <v>21</v>
      </c>
      <c r="F75" s="3" cm="1">
        <f t="array" aca="1" ref="F75" ca="1">OFFSET(E75,-1,1)</f>
        <v>0</v>
      </c>
      <c r="G75" s="27"/>
      <c r="H75" s="577"/>
      <c r="I75" s="577" t="s">
        <v>1783</v>
      </c>
      <c r="J75" s="27"/>
      <c r="K75" s="277" t="s">
        <v>1783</v>
      </c>
      <c r="L75" s="27"/>
      <c r="M75" s="27"/>
      <c r="N75" s="27"/>
      <c r="O75" s="27"/>
      <c r="P75" s="27"/>
      <c r="Q75" s="27"/>
      <c r="R75" s="27"/>
      <c r="S75" s="27"/>
      <c r="T75" s="353" t="b">
        <f ca="1">AND(F75&gt;0,method_reg="Метод индексации")</f>
        <v>0</v>
      </c>
      <c r="U75" s="27"/>
      <c r="V75" s="27"/>
      <c r="W75" s="27"/>
      <c r="X75" s="1022"/>
      <c r="Z75" s="967"/>
      <c r="AB75" s="124" t="s">
        <v>1784</v>
      </c>
      <c r="AC75" s="263" t="s">
        <v>2043</v>
      </c>
      <c r="AD75" s="124" t="s">
        <v>828</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7"/>
      <c r="BO75" s="777"/>
      <c r="BP75" s="777"/>
      <c r="BS75" s="702" t="s">
        <v>2044</v>
      </c>
      <c r="BT75" s="702"/>
      <c r="BU75" s="702"/>
      <c r="BV75" s="511"/>
      <c r="BW75" s="511"/>
    </row>
    <row r="76" spans="2:75" ht="14.65" hidden="1" customHeight="1" x14ac:dyDescent="0.15">
      <c r="B76" s="329" t="b">
        <f>method_reg="Метод индексации"</f>
        <v>1</v>
      </c>
      <c r="C76" s="25"/>
      <c r="D76" s="25"/>
      <c r="E76" s="451">
        <v>15</v>
      </c>
      <c r="F76" s="3" cm="1">
        <f t="array" aca="1" ref="F76" ca="1">OFFSET(E76,-1,1)</f>
        <v>0</v>
      </c>
      <c r="G76" s="25"/>
      <c r="H76" s="25"/>
      <c r="I76" s="577" t="s">
        <v>1783</v>
      </c>
      <c r="J76" s="25" cm="1">
        <f t="array" ref="J76">AC76</f>
        <v>0</v>
      </c>
      <c r="K76" s="277" t="s">
        <v>1783</v>
      </c>
      <c r="L76" s="25"/>
      <c r="M76" s="25"/>
      <c r="N76" s="25"/>
      <c r="O76" s="25"/>
      <c r="P76" s="25"/>
      <c r="Q76" s="25"/>
      <c r="R76" s="25"/>
      <c r="S76" s="25"/>
      <c r="T76" s="353" t="b">
        <f ca="1">AND(F76&gt;0,Y76&gt;0)</f>
        <v>0</v>
      </c>
      <c r="U76" s="25"/>
      <c r="V76" s="25"/>
      <c r="W76" s="25" t="s">
        <v>172</v>
      </c>
      <c r="X76" s="1022"/>
      <c r="Y76" s="72">
        <v>0</v>
      </c>
      <c r="Z76" s="967"/>
      <c r="AA76" s="320" t="s">
        <v>173</v>
      </c>
      <c r="AB76" s="7" t="str">
        <f>"1.7."&amp;Y76</f>
        <v>1.7.0</v>
      </c>
      <c r="AC76" s="780"/>
      <c r="AD76" s="7" t="s">
        <v>828</v>
      </c>
      <c r="AE76" s="778"/>
      <c r="AF76" s="778"/>
      <c r="AG76" s="778"/>
      <c r="AH76" s="171">
        <f t="shared" si="7"/>
        <v>0</v>
      </c>
      <c r="AI76" s="778"/>
      <c r="AJ76" s="128"/>
      <c r="AK76" s="542"/>
      <c r="AL76" s="542"/>
      <c r="AM76" s="542"/>
      <c r="AN76" s="542"/>
      <c r="AO76" s="542"/>
      <c r="AP76" s="542"/>
      <c r="AQ76" s="542"/>
      <c r="AR76" s="542"/>
      <c r="AS76" s="542"/>
      <c r="AT76" s="128"/>
      <c r="AU76" s="542"/>
      <c r="AV76" s="542"/>
      <c r="AW76" s="542"/>
      <c r="AX76" s="542"/>
      <c r="AY76" s="542"/>
      <c r="AZ76" s="542"/>
      <c r="BA76" s="542"/>
      <c r="BB76" s="542"/>
      <c r="BC76" s="542"/>
      <c r="BD76" s="171">
        <f t="shared" si="8"/>
        <v>0</v>
      </c>
      <c r="BE76" s="542"/>
      <c r="BF76" s="542"/>
      <c r="BG76" s="542"/>
      <c r="BH76" s="542"/>
      <c r="BI76" s="542"/>
      <c r="BJ76" s="542"/>
      <c r="BK76" s="542"/>
      <c r="BL76" s="542"/>
      <c r="BM76" s="542"/>
      <c r="BN76" s="775"/>
      <c r="BO76" s="775"/>
      <c r="BP76" s="775"/>
      <c r="BS76" s="696" t="s">
        <v>2044</v>
      </c>
      <c r="BT76" s="696" t="s">
        <v>2045</v>
      </c>
      <c r="BU76" s="696" cm="1">
        <f t="array" ref="BU76">AC76</f>
        <v>0</v>
      </c>
      <c r="BW76" s="507" t="b">
        <v>1</v>
      </c>
    </row>
    <row r="77" spans="2:75" ht="14.65" hidden="1" customHeight="1" x14ac:dyDescent="0.15">
      <c r="B77" s="329" t="b" cm="1">
        <f t="array" ref="B77">B76</f>
        <v>1</v>
      </c>
      <c r="C77" s="25"/>
      <c r="D77" s="25"/>
      <c r="E77" s="451">
        <v>15</v>
      </c>
      <c r="F77" s="3" cm="1">
        <f t="array" aca="1" ref="F77" ca="1">OFFSET(E77,-1,1)</f>
        <v>0</v>
      </c>
      <c r="G77" s="362"/>
      <c r="H77" s="25"/>
      <c r="I77" s="25"/>
      <c r="J77" s="25" t="s">
        <v>2046</v>
      </c>
      <c r="L77" s="25"/>
      <c r="M77" s="25"/>
      <c r="N77" s="25"/>
      <c r="O77" s="25"/>
      <c r="P77" s="25"/>
      <c r="Q77" s="25"/>
      <c r="R77" s="25"/>
      <c r="S77" s="25"/>
      <c r="T77" s="353" t="b">
        <f ca="1">F77&gt;0</f>
        <v>0</v>
      </c>
      <c r="U77" s="25"/>
      <c r="V77" s="25"/>
      <c r="W77" s="506" t="s">
        <v>397</v>
      </c>
      <c r="X77" s="1022"/>
      <c r="Z77" s="967"/>
      <c r="AB77" s="589"/>
      <c r="AC77" s="172" t="s">
        <v>176</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7" t="s">
        <v>2045</v>
      </c>
    </row>
    <row r="78" spans="2:75" s="76" customFormat="1" ht="20.45" hidden="1" customHeight="1" x14ac:dyDescent="0.15">
      <c r="B78" s="332"/>
      <c r="C78" s="27"/>
      <c r="D78" s="27"/>
      <c r="E78" s="559">
        <v>21</v>
      </c>
      <c r="F78" s="3" cm="1">
        <f t="array" aca="1" ref="F78" ca="1">OFFSET(E78,-1,1)</f>
        <v>0</v>
      </c>
      <c r="G78" s="27"/>
      <c r="H78" s="25"/>
      <c r="I78" s="25" t="s">
        <v>332</v>
      </c>
      <c r="J78" s="27"/>
      <c r="K78" s="72" t="s">
        <v>332</v>
      </c>
      <c r="L78" s="27"/>
      <c r="M78" s="27"/>
      <c r="N78" s="27"/>
      <c r="O78" s="27"/>
      <c r="P78" s="27"/>
      <c r="Q78" s="27"/>
      <c r="R78" s="27"/>
      <c r="S78" s="27"/>
      <c r="T78" s="353" t="b">
        <f ca="1">F78&gt;0</f>
        <v>0</v>
      </c>
      <c r="U78" s="27"/>
      <c r="V78" s="27"/>
      <c r="W78" s="27"/>
      <c r="X78" s="1022"/>
      <c r="Z78" s="967"/>
      <c r="AB78" s="147" t="s">
        <v>285</v>
      </c>
      <c r="AC78" s="125" t="s">
        <v>2047</v>
      </c>
      <c r="AD78" s="147" t="s">
        <v>828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5"/>
      <c r="BO78" s="775"/>
      <c r="BP78" s="775"/>
      <c r="BQ78" s="74"/>
      <c r="BS78" s="702" t="s">
        <v>2048</v>
      </c>
      <c r="BT78" s="702"/>
      <c r="BU78" s="702"/>
      <c r="BV78" s="511"/>
      <c r="BW78" s="511"/>
    </row>
    <row r="79" spans="2:75" s="76" customFormat="1" ht="21.95" hidden="1" customHeight="1" x14ac:dyDescent="0.15">
      <c r="B79" s="332"/>
      <c r="C79" s="27"/>
      <c r="D79" s="27"/>
      <c r="E79" s="559">
        <v>22.5</v>
      </c>
      <c r="F79" s="3" cm="1">
        <f t="array" aca="1" ref="F79" ca="1">OFFSET(E79,-1,1)</f>
        <v>0</v>
      </c>
      <c r="G79" s="267" cm="1">
        <f t="array" aca="1" ref="G79" ca="1">F78</f>
        <v>0</v>
      </c>
      <c r="H79" s="25"/>
      <c r="I79" s="25" t="s">
        <v>500</v>
      </c>
      <c r="J79" s="27"/>
      <c r="K79" s="72" t="s">
        <v>500</v>
      </c>
      <c r="L79" s="27" t="s">
        <v>486</v>
      </c>
      <c r="M79" s="27"/>
      <c r="N79" s="27"/>
      <c r="O79" s="27"/>
      <c r="P79" s="27"/>
      <c r="Q79" s="27"/>
      <c r="R79" s="27"/>
      <c r="S79" s="27"/>
      <c r="T79" s="353" t="b" cm="1">
        <f t="array" aca="1" ref="T79" ca="1">T78</f>
        <v>0</v>
      </c>
      <c r="U79" s="27"/>
      <c r="V79" s="27"/>
      <c r="W79" s="27"/>
      <c r="X79" s="1022"/>
      <c r="Z79" s="967"/>
      <c r="AB79" s="124" t="s">
        <v>561</v>
      </c>
      <c r="AC79" s="263" t="s">
        <v>2049</v>
      </c>
      <c r="AD79" s="124" t="s">
        <v>828</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7"/>
      <c r="BO79" s="777"/>
      <c r="BP79" s="777"/>
      <c r="BS79" s="702" t="s">
        <v>2050</v>
      </c>
      <c r="BT79" s="702"/>
      <c r="BU79" s="702"/>
      <c r="BV79" s="511"/>
      <c r="BW79" s="511"/>
    </row>
    <row r="80" spans="2:75" ht="14.65" hidden="1" customHeight="1" x14ac:dyDescent="0.15">
      <c r="C80" s="25"/>
      <c r="D80" s="25"/>
      <c r="E80" s="451">
        <v>15</v>
      </c>
      <c r="F80" s="3" cm="1">
        <f t="array" aca="1" ref="F80" ca="1">OFFSET(E80,-1,1)</f>
        <v>0</v>
      </c>
      <c r="G80" s="25" t="s">
        <v>1148</v>
      </c>
      <c r="H80" s="25"/>
      <c r="I80" s="25" t="s">
        <v>1570</v>
      </c>
      <c r="J80" s="25"/>
      <c r="K80" s="72" t="s">
        <v>1570</v>
      </c>
      <c r="L80" s="25" t="s">
        <v>1347</v>
      </c>
      <c r="M80" s="25"/>
      <c r="N80" s="25"/>
      <c r="O80" s="25"/>
      <c r="P80" s="25"/>
      <c r="Q80" s="25"/>
      <c r="R80" s="25"/>
      <c r="S80" s="25"/>
      <c r="T80" s="353" t="b" cm="1">
        <f t="array" aca="1" ref="T80" ca="1">T79</f>
        <v>0</v>
      </c>
      <c r="U80" s="25"/>
      <c r="V80" s="25"/>
      <c r="W80" s="25"/>
      <c r="X80" s="1022"/>
      <c r="Z80" s="967"/>
      <c r="AB80" s="7" t="s">
        <v>508</v>
      </c>
      <c r="AC80" s="134" t="s">
        <v>2051</v>
      </c>
      <c r="AD80" s="7" t="s">
        <v>828</v>
      </c>
      <c r="AE80" s="171">
        <f ca="1">SUMIFS(Покупка!AE$25:AE$150,Покупка!$F$25:$F$150,$F80,Покупка!$AC$25:$AC$150,$G80)</f>
        <v>0</v>
      </c>
      <c r="AF80" s="171">
        <f ca="1">SUMIFS(Покупка!AF$25:AF$150,Покупка!$F$25:$F$150,$F80,Покупка!$AC$25:$AC$150,$G80)</f>
        <v>0</v>
      </c>
      <c r="AG80" s="171">
        <f ca="1">SUMIFS(Покупка!AG$25:AG$150,Покупка!$F$25:$F$150,$F80,Покупка!$AC$25:$AC$150,$G80)</f>
        <v>0</v>
      </c>
      <c r="AH80" s="171">
        <f t="shared" ca="1" si="9"/>
        <v>0</v>
      </c>
      <c r="AI80" s="171">
        <f ca="1">SUMIFS(Покупка!AH$25:AH$150,Покупка!$F$25:$F$150,$F80,Покупка!$AC$25:$AC$150,$G80)</f>
        <v>0</v>
      </c>
      <c r="AJ80" s="171">
        <f ca="1">SUMIFS(Покупка!AI$25:AI$150,Покупка!$F$25:$F$150,$F80,Покупка!$AC$25:$AC$150,$G80)</f>
        <v>0</v>
      </c>
      <c r="AK80" s="171">
        <f ca="1">SUMIFS(Покупка!AJ$25:AJ$150,Покупка!$F$25:$F$150,$F80,Покупка!$AC$25:$AC$150,$G80)</f>
        <v>0</v>
      </c>
      <c r="AL80" s="171">
        <f ca="1">SUMIFS(Покупка!AK$25:AK$150,Покупка!$F$25:$F$150,$F80,Покупка!$AC$25:$AC$150,$G80)</f>
        <v>0</v>
      </c>
      <c r="AM80" s="171">
        <f ca="1">SUMIFS(Покупка!AL$25:AL$150,Покупка!$F$25:$F$150,$F80,Покупка!$AC$25:$AC$150,$G80)</f>
        <v>0</v>
      </c>
      <c r="AN80" s="171">
        <f ca="1">SUMIFS(Покупка!AM$25:AM$150,Покупка!$F$25:$F$150,$F80,Покупка!$AC$25:$AC$150,$G80)</f>
        <v>0</v>
      </c>
      <c r="AO80" s="171">
        <f ca="1">SUMIFS(Покупка!AN$25:AN$150,Покупка!$F$25:$F$150,$F80,Покупка!$AC$25:$AC$150,$G80)</f>
        <v>0</v>
      </c>
      <c r="AP80" s="171">
        <f ca="1">SUMIFS(Покупка!AO$25:AO$150,Покупка!$F$25:$F$150,$F80,Покупка!$AC$25:$AC$150,$G80)</f>
        <v>0</v>
      </c>
      <c r="AQ80" s="171">
        <f ca="1">SUMIFS(Покупка!AP$25:AP$150,Покупка!$F$25:$F$150,$F80,Покупка!$AC$25:$AC$150,$G80)</f>
        <v>0</v>
      </c>
      <c r="AR80" s="171">
        <f ca="1">SUMIFS(Покупка!AQ$25:AQ$150,Покупка!$F$25:$F$150,$F80,Покупка!$AC$25:$AC$150,$G80)</f>
        <v>0</v>
      </c>
      <c r="AS80" s="171">
        <f ca="1">SUMIFS(Покупка!AR$25:AR$150,Покупка!$F$25:$F$150,$F80,Покупка!$AC$25:$AC$150,$G80)</f>
        <v>0</v>
      </c>
      <c r="AT80" s="171">
        <f ca="1">SUMIFS(Покупка!AS$25:AS$150,Покупка!$F$25:$F$150,$F80,Покупка!$AC$25:$AC$150,$G80)</f>
        <v>0</v>
      </c>
      <c r="AU80" s="171">
        <f ca="1">SUMIFS(Покупка!AT$25:AT$150,Покупка!$F$25:$F$150,$F80,Покупка!$AC$25:$AC$150,$G80)</f>
        <v>0</v>
      </c>
      <c r="AV80" s="171">
        <f ca="1">SUMIFS(Покупка!AU$25:AU$150,Покупка!$F$25:$F$150,$F80,Покупка!$AC$25:$AC$150,$G80)</f>
        <v>0</v>
      </c>
      <c r="AW80" s="171">
        <f ca="1">SUMIFS(Покупка!AV$25:AV$150,Покупка!$F$25:$F$150,$F80,Покупка!$AC$25:$AC$150,$G80)</f>
        <v>0</v>
      </c>
      <c r="AX80" s="171">
        <f ca="1">SUMIFS(Покупка!AW$25:AW$150,Покупка!$F$25:$F$150,$F80,Покупка!$AC$25:$AC$150,$G80)</f>
        <v>0</v>
      </c>
      <c r="AY80" s="171">
        <f ca="1">SUMIFS(Покупка!AX$25:AX$150,Покупка!$F$25:$F$150,$F80,Покупка!$AC$25:$AC$150,$G80)</f>
        <v>0</v>
      </c>
      <c r="AZ80" s="171">
        <f ca="1">SUMIFS(Покупка!AY$25:AY$150,Покупка!$F$25:$F$150,$F80,Покупка!$AC$25:$AC$150,$G80)</f>
        <v>0</v>
      </c>
      <c r="BA80" s="171">
        <f ca="1">SUMIFS(Покупка!AZ$25:AZ$150,Покупка!$F$25:$F$150,$F80,Покупка!$AC$25:$AC$150,$G80)</f>
        <v>0</v>
      </c>
      <c r="BB80" s="171">
        <f ca="1">SUMIFS(Покупка!BA$25:BA$150,Покупка!$F$25:$F$150,$F80,Покупка!$AC$25:$AC$150,$G80)</f>
        <v>0</v>
      </c>
      <c r="BC80" s="171">
        <f ca="1">SUMIFS(Покупка!BB$25:BB$150,Покупка!$F$25:$F$150,$F80,Покупка!$AC$25:$AC$150,$G80)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5"/>
      <c r="BO80" s="779" t="str">
        <f ca="1">IF(IFERROR(INDEX(Покупка!$K$26:$L$150,MATCH($F80&amp;"6komm",Покупка!$K$26:$K$150,0),2),"")=0,"",IFERROR(INDEX(Покупка!$K$26:$L$150,MATCH($F80&amp;"6komm",Покупка!$K$26:$K$150,0),2),""))</f>
        <v/>
      </c>
      <c r="BP80" s="775"/>
      <c r="BS80" s="696" t="s">
        <v>1149</v>
      </c>
    </row>
    <row r="81" spans="2:75" ht="14.65" hidden="1" customHeight="1" x14ac:dyDescent="0.15">
      <c r="C81" s="25"/>
      <c r="D81" s="25"/>
      <c r="E81" s="451">
        <v>15</v>
      </c>
      <c r="F81" s="3" cm="1">
        <f t="array" aca="1" ref="F81" ca="1">OFFSET(E81,-1,1)</f>
        <v>0</v>
      </c>
      <c r="G81" s="25" t="s">
        <v>1150</v>
      </c>
      <c r="H81" s="25"/>
      <c r="I81" s="25" t="s">
        <v>1574</v>
      </c>
      <c r="J81" s="25"/>
      <c r="K81" s="25" t="s">
        <v>1574</v>
      </c>
      <c r="L81" s="25" t="s">
        <v>1351</v>
      </c>
      <c r="M81" s="25"/>
      <c r="N81" s="25"/>
      <c r="O81" s="25"/>
      <c r="P81" s="25"/>
      <c r="Q81" s="25"/>
      <c r="R81" s="25"/>
      <c r="S81" s="25"/>
      <c r="T81" s="353" t="b" cm="1">
        <f t="array" aca="1" ref="T81" ca="1">T80</f>
        <v>0</v>
      </c>
      <c r="U81" s="25"/>
      <c r="V81" s="25"/>
      <c r="W81" s="25"/>
      <c r="X81" s="1022"/>
      <c r="Z81" s="967"/>
      <c r="AB81" s="7" t="s">
        <v>2052</v>
      </c>
      <c r="AC81" s="134" t="s">
        <v>2053</v>
      </c>
      <c r="AD81" s="7" t="s">
        <v>828</v>
      </c>
      <c r="AE81" s="171">
        <f ca="1">SUMIFS(Покупка!AE$25:AE$150,Покупка!$F$25:$F$150,$F81,Покупка!$AC$25:$AC$150,$G81)</f>
        <v>0</v>
      </c>
      <c r="AF81" s="171">
        <f ca="1">SUMIFS(Покупка!AF$25:AF$150,Покупка!$F$25:$F$150,$F81,Покупка!$AC$25:$AC$150,$G81)</f>
        <v>0</v>
      </c>
      <c r="AG81" s="171">
        <f ca="1">SUMIFS(Покупка!AG$25:AG$150,Покупка!$F$25:$F$150,$F81,Покупка!$AC$25:$AC$150,$G81)</f>
        <v>0</v>
      </c>
      <c r="AH81" s="171">
        <f t="shared" ca="1" si="9"/>
        <v>0</v>
      </c>
      <c r="AI81" s="171">
        <f ca="1">SUMIFS(Покупка!AH$25:AH$150,Покупка!$F$25:$F$150,$F81,Покупка!$AC$25:$AC$150,$G81)</f>
        <v>0</v>
      </c>
      <c r="AJ81" s="171">
        <f ca="1">SUMIFS(Покупка!AI$25:AI$150,Покупка!$F$25:$F$150,$F81,Покупка!$AC$25:$AC$150,$G81)</f>
        <v>0</v>
      </c>
      <c r="AK81" s="171">
        <f ca="1">SUMIFS(Покупка!AJ$25:AJ$150,Покупка!$F$25:$F$150,$F81,Покупка!$AC$25:$AC$150,$G81)</f>
        <v>0</v>
      </c>
      <c r="AL81" s="171">
        <f ca="1">SUMIFS(Покупка!AK$25:AK$150,Покупка!$F$25:$F$150,$F81,Покупка!$AC$25:$AC$150,$G81)</f>
        <v>0</v>
      </c>
      <c r="AM81" s="171">
        <f ca="1">SUMIFS(Покупка!AL$25:AL$150,Покупка!$F$25:$F$150,$F81,Покупка!$AC$25:$AC$150,$G81)</f>
        <v>0</v>
      </c>
      <c r="AN81" s="171">
        <f ca="1">SUMIFS(Покупка!AM$25:AM$150,Покупка!$F$25:$F$150,$F81,Покупка!$AC$25:$AC$150,$G81)</f>
        <v>0</v>
      </c>
      <c r="AO81" s="171">
        <f ca="1">SUMIFS(Покупка!AN$25:AN$150,Покупка!$F$25:$F$150,$F81,Покупка!$AC$25:$AC$150,$G81)</f>
        <v>0</v>
      </c>
      <c r="AP81" s="171">
        <f ca="1">SUMIFS(Покупка!AO$25:AO$150,Покупка!$F$25:$F$150,$F81,Покупка!$AC$25:$AC$150,$G81)</f>
        <v>0</v>
      </c>
      <c r="AQ81" s="171">
        <f ca="1">SUMIFS(Покупка!AP$25:AP$150,Покупка!$F$25:$F$150,$F81,Покупка!$AC$25:$AC$150,$G81)</f>
        <v>0</v>
      </c>
      <c r="AR81" s="171">
        <f ca="1">SUMIFS(Покупка!AQ$25:AQ$150,Покупка!$F$25:$F$150,$F81,Покупка!$AC$25:$AC$150,$G81)</f>
        <v>0</v>
      </c>
      <c r="AS81" s="171">
        <f ca="1">SUMIFS(Покупка!AR$25:AR$150,Покупка!$F$25:$F$150,$F81,Покупка!$AC$25:$AC$150,$G81)</f>
        <v>0</v>
      </c>
      <c r="AT81" s="171">
        <f ca="1">SUMIFS(Покупка!AS$25:AS$150,Покупка!$F$25:$F$150,$F81,Покупка!$AC$25:$AC$150,$G81)</f>
        <v>0</v>
      </c>
      <c r="AU81" s="171">
        <f ca="1">SUMIFS(Покупка!AT$25:AT$150,Покупка!$F$25:$F$150,$F81,Покупка!$AC$25:$AC$150,$G81)</f>
        <v>0</v>
      </c>
      <c r="AV81" s="171">
        <f ca="1">SUMIFS(Покупка!AU$25:AU$150,Покупка!$F$25:$F$150,$F81,Покупка!$AC$25:$AC$150,$G81)</f>
        <v>0</v>
      </c>
      <c r="AW81" s="171">
        <f ca="1">SUMIFS(Покупка!AV$25:AV$150,Покупка!$F$25:$F$150,$F81,Покупка!$AC$25:$AC$150,$G81)</f>
        <v>0</v>
      </c>
      <c r="AX81" s="171">
        <f ca="1">SUMIFS(Покупка!AW$25:AW$150,Покупка!$F$25:$F$150,$F81,Покупка!$AC$25:$AC$150,$G81)</f>
        <v>0</v>
      </c>
      <c r="AY81" s="171">
        <f ca="1">SUMIFS(Покупка!AX$25:AX$150,Покупка!$F$25:$F$150,$F81,Покупка!$AC$25:$AC$150,$G81)</f>
        <v>0</v>
      </c>
      <c r="AZ81" s="171">
        <f ca="1">SUMIFS(Покупка!AY$25:AY$150,Покупка!$F$25:$F$150,$F81,Покупка!$AC$25:$AC$150,$G81)</f>
        <v>0</v>
      </c>
      <c r="BA81" s="171">
        <f ca="1">SUMIFS(Покупка!AZ$25:AZ$150,Покупка!$F$25:$F$150,$F81,Покупка!$AC$25:$AC$150,$G81)</f>
        <v>0</v>
      </c>
      <c r="BB81" s="171">
        <f ca="1">SUMIFS(Покупка!BA$25:BA$150,Покупка!$F$25:$F$150,$F81,Покупка!$AC$25:$AC$150,$G81)</f>
        <v>0</v>
      </c>
      <c r="BC81" s="171">
        <f ca="1">SUMIFS(Покупка!BB$25:BB$150,Покупка!$F$25:$F$150,$F81,Покупка!$AC$25:$AC$150,$G81)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5"/>
      <c r="BO81" s="779" t="str">
        <f ca="1">IF(IFERROR(INDEX(Покупка!$K$26:$L$150,MATCH($F81&amp;"7komm",Покупка!$K$26:$K$150,0),2),"")=0,"",IFERROR(INDEX(Покупка!$K$26:$L$150,MATCH($F81&amp;"7komm",Покупка!$K$26:$K$150,0),2),""))</f>
        <v/>
      </c>
      <c r="BP81" s="775"/>
      <c r="BS81" s="696" t="s">
        <v>1151</v>
      </c>
    </row>
    <row r="82" spans="2:75" ht="14.65" hidden="1" customHeight="1" x14ac:dyDescent="0.15">
      <c r="C82" s="25"/>
      <c r="D82" s="25"/>
      <c r="E82" s="451">
        <v>15</v>
      </c>
      <c r="F82" s="3" cm="1">
        <f t="array" aca="1" ref="F82" ca="1">OFFSET(E82,-1,1)</f>
        <v>0</v>
      </c>
      <c r="G82" s="25" t="s">
        <v>1125</v>
      </c>
      <c r="H82" s="25"/>
      <c r="I82" s="25" t="s">
        <v>1681</v>
      </c>
      <c r="J82" s="25"/>
      <c r="K82" s="25" t="s">
        <v>1681</v>
      </c>
      <c r="L82" s="25" t="s">
        <v>1519</v>
      </c>
      <c r="M82" s="25"/>
      <c r="N82" s="25"/>
      <c r="O82" s="25"/>
      <c r="P82" s="25"/>
      <c r="Q82" s="25"/>
      <c r="R82" s="25"/>
      <c r="S82" s="25"/>
      <c r="T82" s="353" t="b" cm="1">
        <f t="array" aca="1" ref="T82" ca="1">T81</f>
        <v>0</v>
      </c>
      <c r="U82" s="25"/>
      <c r="V82" s="25"/>
      <c r="W82" s="25"/>
      <c r="X82" s="1022"/>
      <c r="Z82" s="967"/>
      <c r="AB82" s="7" t="s">
        <v>2054</v>
      </c>
      <c r="AC82" s="134" t="s">
        <v>2055</v>
      </c>
      <c r="AD82" s="7" t="s">
        <v>828</v>
      </c>
      <c r="AE82" s="171">
        <f ca="1">SUMIFS(Покупка!AE$25:AE$150,Покупка!$F$25:$F$150,$F82,Покупка!$AC$25:$AC$150,$G82)</f>
        <v>0</v>
      </c>
      <c r="AF82" s="171">
        <f ca="1">SUMIFS(Покупка!AF$25:AF$150,Покупка!$F$25:$F$150,$F82,Покупка!$AC$25:$AC$150,$G82)</f>
        <v>0</v>
      </c>
      <c r="AG82" s="171">
        <f ca="1">SUMIFS(Покупка!AG$25:AG$150,Покупка!$F$25:$F$150,$F82,Покупка!$AC$25:$AC$150,$G82)</f>
        <v>0</v>
      </c>
      <c r="AH82" s="171">
        <f t="shared" ca="1" si="9"/>
        <v>0</v>
      </c>
      <c r="AI82" s="171">
        <f ca="1">SUMIFS(Покупка!AH$25:AH$150,Покупка!$F$25:$F$150,$F82,Покупка!$AC$25:$AC$150,$G82)</f>
        <v>0</v>
      </c>
      <c r="AJ82" s="171">
        <f ca="1">SUMIFS(Покупка!AI$25:AI$150,Покупка!$F$25:$F$150,$F82,Покупка!$AC$25:$AC$150,$G82)</f>
        <v>0</v>
      </c>
      <c r="AK82" s="171">
        <f ca="1">SUMIFS(Покупка!AJ$25:AJ$150,Покупка!$F$25:$F$150,$F82,Покупка!$AC$25:$AC$150,$G82)</f>
        <v>0</v>
      </c>
      <c r="AL82" s="171">
        <f ca="1">SUMIFS(Покупка!AK$25:AK$150,Покупка!$F$25:$F$150,$F82,Покупка!$AC$25:$AC$150,$G82)</f>
        <v>0</v>
      </c>
      <c r="AM82" s="171">
        <f ca="1">SUMIFS(Покупка!AL$25:AL$150,Покупка!$F$25:$F$150,$F82,Покупка!$AC$25:$AC$150,$G82)</f>
        <v>0</v>
      </c>
      <c r="AN82" s="171">
        <f ca="1">SUMIFS(Покупка!AM$25:AM$150,Покупка!$F$25:$F$150,$F82,Покупка!$AC$25:$AC$150,$G82)</f>
        <v>0</v>
      </c>
      <c r="AO82" s="171">
        <f ca="1">SUMIFS(Покупка!AN$25:AN$150,Покупка!$F$25:$F$150,$F82,Покупка!$AC$25:$AC$150,$G82)</f>
        <v>0</v>
      </c>
      <c r="AP82" s="171">
        <f ca="1">SUMIFS(Покупка!AO$25:AO$150,Покупка!$F$25:$F$150,$F82,Покупка!$AC$25:$AC$150,$G82)</f>
        <v>0</v>
      </c>
      <c r="AQ82" s="171">
        <f ca="1">SUMIFS(Покупка!AP$25:AP$150,Покупка!$F$25:$F$150,$F82,Покупка!$AC$25:$AC$150,$G82)</f>
        <v>0</v>
      </c>
      <c r="AR82" s="171">
        <f ca="1">SUMIFS(Покупка!AQ$25:AQ$150,Покупка!$F$25:$F$150,$F82,Покупка!$AC$25:$AC$150,$G82)</f>
        <v>0</v>
      </c>
      <c r="AS82" s="171">
        <f ca="1">SUMIFS(Покупка!AR$25:AR$150,Покупка!$F$25:$F$150,$F82,Покупка!$AC$25:$AC$150,$G82)</f>
        <v>0</v>
      </c>
      <c r="AT82" s="171">
        <f ca="1">SUMIFS(Покупка!AS$25:AS$150,Покупка!$F$25:$F$150,$F82,Покупка!$AC$25:$AC$150,$G82)</f>
        <v>0</v>
      </c>
      <c r="AU82" s="171">
        <f ca="1">SUMIFS(Покупка!AT$25:AT$150,Покупка!$F$25:$F$150,$F82,Покупка!$AC$25:$AC$150,$G82)</f>
        <v>0</v>
      </c>
      <c r="AV82" s="171">
        <f ca="1">SUMIFS(Покупка!AU$25:AU$150,Покупка!$F$25:$F$150,$F82,Покупка!$AC$25:$AC$150,$G82)</f>
        <v>0</v>
      </c>
      <c r="AW82" s="171">
        <f ca="1">SUMIFS(Покупка!AV$25:AV$150,Покупка!$F$25:$F$150,$F82,Покупка!$AC$25:$AC$150,$G82)</f>
        <v>0</v>
      </c>
      <c r="AX82" s="171">
        <f ca="1">SUMIFS(Покупка!AW$25:AW$150,Покупка!$F$25:$F$150,$F82,Покупка!$AC$25:$AC$150,$G82)</f>
        <v>0</v>
      </c>
      <c r="AY82" s="171">
        <f ca="1">SUMIFS(Покупка!AX$25:AX$150,Покупка!$F$25:$F$150,$F82,Покупка!$AC$25:$AC$150,$G82)</f>
        <v>0</v>
      </c>
      <c r="AZ82" s="171">
        <f ca="1">SUMIFS(Покупка!AY$25:AY$150,Покупка!$F$25:$F$150,$F82,Покупка!$AC$25:$AC$150,$G82)</f>
        <v>0</v>
      </c>
      <c r="BA82" s="171">
        <f ca="1">SUMIFS(Покупка!AZ$25:AZ$150,Покупка!$F$25:$F$150,$F82,Покупка!$AC$25:$AC$150,$G82)</f>
        <v>0</v>
      </c>
      <c r="BB82" s="171">
        <f ca="1">SUMIFS(Покупка!BA$25:BA$150,Покупка!$F$25:$F$150,$F82,Покупка!$AC$25:$AC$150,$G82)</f>
        <v>0</v>
      </c>
      <c r="BC82" s="171">
        <f ca="1">SUMIFS(Покупка!BB$25:BB$150,Покупка!$F$25:$F$150,$F82,Покупка!$AC$25:$AC$150,$G82)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5"/>
      <c r="BO82" s="779" t="str">
        <f ca="1">IF(IFERROR(INDEX(Покупка!$K$26:$L$150,MATCH($F82&amp;"2komm",Покупка!$K$26:$K$150,0),2),"")=0,"",IFERROR(INDEX(Покупка!$K$26:$L$150,MATCH($F82&amp;"2komm",Покупка!$K$26:$K$150,0),2),""))</f>
        <v/>
      </c>
      <c r="BP82" s="775"/>
      <c r="BS82" s="696" t="s">
        <v>2056</v>
      </c>
    </row>
    <row r="83" spans="2:75" ht="14.65" hidden="1" customHeight="1" x14ac:dyDescent="0.15">
      <c r="C83" s="25"/>
      <c r="D83" s="25"/>
      <c r="E83" s="451">
        <v>15</v>
      </c>
      <c r="F83" s="3" cm="1">
        <f t="array" aca="1" ref="F83" ca="1">OFFSET(E83,-1,1)</f>
        <v>0</v>
      </c>
      <c r="G83" s="25" t="s">
        <v>1116</v>
      </c>
      <c r="H83" s="25"/>
      <c r="I83" s="25" t="s">
        <v>1683</v>
      </c>
      <c r="J83" s="25"/>
      <c r="K83" s="25" t="s">
        <v>1683</v>
      </c>
      <c r="L83" s="25" t="s">
        <v>1514</v>
      </c>
      <c r="M83" s="25"/>
      <c r="N83" s="25"/>
      <c r="O83" s="25"/>
      <c r="P83" s="25"/>
      <c r="Q83" s="25"/>
      <c r="R83" s="25"/>
      <c r="S83" s="25"/>
      <c r="T83" s="353" t="b" cm="1">
        <f t="array" aca="1" ref="T83" ca="1">T82</f>
        <v>0</v>
      </c>
      <c r="U83" s="25"/>
      <c r="V83" s="25"/>
      <c r="W83" s="25"/>
      <c r="X83" s="1022"/>
      <c r="Z83" s="967"/>
      <c r="AB83" s="7" t="s">
        <v>2057</v>
      </c>
      <c r="AC83" s="134" t="s">
        <v>2058</v>
      </c>
      <c r="AD83" s="7" t="s">
        <v>828</v>
      </c>
      <c r="AE83" s="171">
        <f ca="1">SUMIFS(Покупка!AE$25:AE$150,Покупка!$F$25:$F$150,$F83,Покупка!$AC$25:$AC$150,$G83)</f>
        <v>0</v>
      </c>
      <c r="AF83" s="171">
        <f ca="1">SUMIFS(Покупка!AF$25:AF$150,Покупка!$F$25:$F$150,$F83,Покупка!$AC$25:$AC$150,$G83)</f>
        <v>0</v>
      </c>
      <c r="AG83" s="171">
        <f ca="1">SUMIFS(Покупка!AG$25:AG$150,Покупка!$F$25:$F$150,$F83,Покупка!$AC$25:$AC$150,$G83)</f>
        <v>0</v>
      </c>
      <c r="AH83" s="171">
        <f t="shared" ca="1" si="9"/>
        <v>0</v>
      </c>
      <c r="AI83" s="171">
        <f ca="1">SUMIFS(Покупка!AH$25:AH$150,Покупка!$F$25:$F$150,$F83,Покупка!$AC$25:$AC$150,$G83)</f>
        <v>0</v>
      </c>
      <c r="AJ83" s="171">
        <f ca="1">SUMIFS(Покупка!AI$25:AI$150,Покупка!$F$25:$F$150,$F83,Покупка!$AC$25:$AC$150,$G83)</f>
        <v>0</v>
      </c>
      <c r="AK83" s="171">
        <f ca="1">SUMIFS(Покупка!AJ$25:AJ$150,Покупка!$F$25:$F$150,$F83,Покупка!$AC$25:$AC$150,$G83)</f>
        <v>0</v>
      </c>
      <c r="AL83" s="171">
        <f ca="1">SUMIFS(Покупка!AK$25:AK$150,Покупка!$F$25:$F$150,$F83,Покупка!$AC$25:$AC$150,$G83)</f>
        <v>0</v>
      </c>
      <c r="AM83" s="171">
        <f ca="1">SUMIFS(Покупка!AL$25:AL$150,Покупка!$F$25:$F$150,$F83,Покупка!$AC$25:$AC$150,$G83)</f>
        <v>0</v>
      </c>
      <c r="AN83" s="171">
        <f ca="1">SUMIFS(Покупка!AM$25:AM$150,Покупка!$F$25:$F$150,$F83,Покупка!$AC$25:$AC$150,$G83)</f>
        <v>0</v>
      </c>
      <c r="AO83" s="171">
        <f ca="1">SUMIFS(Покупка!AN$25:AN$150,Покупка!$F$25:$F$150,$F83,Покупка!$AC$25:$AC$150,$G83)</f>
        <v>0</v>
      </c>
      <c r="AP83" s="171">
        <f ca="1">SUMIFS(Покупка!AO$25:AO$150,Покупка!$F$25:$F$150,$F83,Покупка!$AC$25:$AC$150,$G83)</f>
        <v>0</v>
      </c>
      <c r="AQ83" s="171">
        <f ca="1">SUMIFS(Покупка!AP$25:AP$150,Покупка!$F$25:$F$150,$F83,Покупка!$AC$25:$AC$150,$G83)</f>
        <v>0</v>
      </c>
      <c r="AR83" s="171">
        <f ca="1">SUMIFS(Покупка!AQ$25:AQ$150,Покупка!$F$25:$F$150,$F83,Покупка!$AC$25:$AC$150,$G83)</f>
        <v>0</v>
      </c>
      <c r="AS83" s="171">
        <f ca="1">SUMIFS(Покупка!AR$25:AR$150,Покупка!$F$25:$F$150,$F83,Покупка!$AC$25:$AC$150,$G83)</f>
        <v>0</v>
      </c>
      <c r="AT83" s="171">
        <f ca="1">SUMIFS(Покупка!AS$25:AS$150,Покупка!$F$25:$F$150,$F83,Покупка!$AC$25:$AC$150,$G83)</f>
        <v>0</v>
      </c>
      <c r="AU83" s="171">
        <f ca="1">SUMIFS(Покупка!AT$25:AT$150,Покупка!$F$25:$F$150,$F83,Покупка!$AC$25:$AC$150,$G83)</f>
        <v>0</v>
      </c>
      <c r="AV83" s="171">
        <f ca="1">SUMIFS(Покупка!AU$25:AU$150,Покупка!$F$25:$F$150,$F83,Покупка!$AC$25:$AC$150,$G83)</f>
        <v>0</v>
      </c>
      <c r="AW83" s="171">
        <f ca="1">SUMIFS(Покупка!AV$25:AV$150,Покупка!$F$25:$F$150,$F83,Покупка!$AC$25:$AC$150,$G83)</f>
        <v>0</v>
      </c>
      <c r="AX83" s="171">
        <f ca="1">SUMIFS(Покупка!AW$25:AW$150,Покупка!$F$25:$F$150,$F83,Покупка!$AC$25:$AC$150,$G83)</f>
        <v>0</v>
      </c>
      <c r="AY83" s="171">
        <f ca="1">SUMIFS(Покупка!AX$25:AX$150,Покупка!$F$25:$F$150,$F83,Покупка!$AC$25:$AC$150,$G83)</f>
        <v>0</v>
      </c>
      <c r="AZ83" s="171">
        <f ca="1">SUMIFS(Покупка!AY$25:AY$150,Покупка!$F$25:$F$150,$F83,Покупка!$AC$25:$AC$150,$G83)</f>
        <v>0</v>
      </c>
      <c r="BA83" s="171">
        <f ca="1">SUMIFS(Покупка!AZ$25:AZ$150,Покупка!$F$25:$F$150,$F83,Покупка!$AC$25:$AC$150,$G83)</f>
        <v>0</v>
      </c>
      <c r="BB83" s="171">
        <f ca="1">SUMIFS(Покупка!BA$25:BA$150,Покупка!$F$25:$F$150,$F83,Покупка!$AC$25:$AC$150,$G83)</f>
        <v>0</v>
      </c>
      <c r="BC83" s="171">
        <f ca="1">SUMIFS(Покупка!BB$25:BB$150,Покупка!$F$25:$F$150,$F83,Покупка!$AC$25:$AC$150,$G83)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5"/>
      <c r="BO83" s="779" t="str">
        <f ca="1">IF(IFERROR(INDEX(Покупка!$K$26:$L$150,MATCH($F83&amp;"1komm",Покупка!$K$26:$K$150,0),2),"")=0,"",IFERROR(INDEX(Покупка!$K$26:$L$150,MATCH($F83&amp;"1komm",Покупка!$K$26:$K$150,0),2),""))</f>
        <v/>
      </c>
      <c r="BP83" s="775"/>
      <c r="BS83" s="696" t="s">
        <v>2059</v>
      </c>
    </row>
    <row r="84" spans="2:75" ht="14.65" hidden="1" customHeight="1" x14ac:dyDescent="0.15">
      <c r="C84" s="25"/>
      <c r="D84" s="25"/>
      <c r="E84" s="451">
        <v>15</v>
      </c>
      <c r="F84" s="3" cm="1">
        <f t="array" aca="1" ref="F84" ca="1">OFFSET(E84,-1,1)</f>
        <v>0</v>
      </c>
      <c r="G84" s="25" t="s">
        <v>1152</v>
      </c>
      <c r="H84" s="25"/>
      <c r="I84" s="25" t="s">
        <v>1686</v>
      </c>
      <c r="J84" s="25"/>
      <c r="K84" s="25" t="s">
        <v>1686</v>
      </c>
      <c r="L84" s="25"/>
      <c r="M84" s="25"/>
      <c r="N84" s="25"/>
      <c r="O84" s="25"/>
      <c r="P84" s="25"/>
      <c r="Q84" s="25"/>
      <c r="R84" s="25"/>
      <c r="S84" s="25"/>
      <c r="T84" s="353" t="b" cm="1">
        <f t="array" aca="1" ref="T84" ca="1">T83</f>
        <v>0</v>
      </c>
      <c r="U84" s="25"/>
      <c r="V84" s="25"/>
      <c r="W84" s="25"/>
      <c r="X84" s="1022"/>
      <c r="Z84" s="967"/>
      <c r="AB84" s="7" t="s">
        <v>2060</v>
      </c>
      <c r="AC84" s="134" t="s">
        <v>2061</v>
      </c>
      <c r="AD84" s="7" t="s">
        <v>828</v>
      </c>
      <c r="AE84" s="171">
        <f ca="1">SUMIFS(Покупка!AE$25:AE$150,Покупка!$F$25:$F$150,$F84,Покупка!$AC$25:$AC$150,$G84)</f>
        <v>0</v>
      </c>
      <c r="AF84" s="171">
        <f ca="1">SUMIFS(Покупка!AF$25:AF$150,Покупка!$F$25:$F$150,$F84,Покупка!$AC$25:$AC$150,$G84)</f>
        <v>0</v>
      </c>
      <c r="AG84" s="171">
        <f ca="1">SUMIFS(Покупка!AG$25:AG$150,Покупка!$F$25:$F$150,$F84,Покупка!$AC$25:$AC$150,$G84)</f>
        <v>0</v>
      </c>
      <c r="AH84" s="171">
        <f t="shared" ca="1" si="9"/>
        <v>0</v>
      </c>
      <c r="AI84" s="171">
        <f ca="1">SUMIFS(Покупка!AH$25:AH$150,Покупка!$F$25:$F$150,$F84,Покупка!$AC$25:$AC$150,$G84)</f>
        <v>0</v>
      </c>
      <c r="AJ84" s="171">
        <f ca="1">SUMIFS(Покупка!AI$25:AI$150,Покупка!$F$25:$F$150,$F84,Покупка!$AC$25:$AC$150,$G84)</f>
        <v>0</v>
      </c>
      <c r="AK84" s="171">
        <f ca="1">SUMIFS(Покупка!AJ$25:AJ$150,Покупка!$F$25:$F$150,$F84,Покупка!$AC$25:$AC$150,$G84)</f>
        <v>0</v>
      </c>
      <c r="AL84" s="171">
        <f ca="1">SUMIFS(Покупка!AK$25:AK$150,Покупка!$F$25:$F$150,$F84,Покупка!$AC$25:$AC$150,$G84)</f>
        <v>0</v>
      </c>
      <c r="AM84" s="171">
        <f ca="1">SUMIFS(Покупка!AL$25:AL$150,Покупка!$F$25:$F$150,$F84,Покупка!$AC$25:$AC$150,$G84)</f>
        <v>0</v>
      </c>
      <c r="AN84" s="171">
        <f ca="1">SUMIFS(Покупка!AM$25:AM$150,Покупка!$F$25:$F$150,$F84,Покупка!$AC$25:$AC$150,$G84)</f>
        <v>0</v>
      </c>
      <c r="AO84" s="171">
        <f ca="1">SUMIFS(Покупка!AN$25:AN$150,Покупка!$F$25:$F$150,$F84,Покупка!$AC$25:$AC$150,$G84)</f>
        <v>0</v>
      </c>
      <c r="AP84" s="171">
        <f ca="1">SUMIFS(Покупка!AO$25:AO$150,Покупка!$F$25:$F$150,$F84,Покупка!$AC$25:$AC$150,$G84)</f>
        <v>0</v>
      </c>
      <c r="AQ84" s="171">
        <f ca="1">SUMIFS(Покупка!AP$25:AP$150,Покупка!$F$25:$F$150,$F84,Покупка!$AC$25:$AC$150,$G84)</f>
        <v>0</v>
      </c>
      <c r="AR84" s="171">
        <f ca="1">SUMIFS(Покупка!AQ$25:AQ$150,Покупка!$F$25:$F$150,$F84,Покупка!$AC$25:$AC$150,$G84)</f>
        <v>0</v>
      </c>
      <c r="AS84" s="171">
        <f ca="1">SUMIFS(Покупка!AR$25:AR$150,Покупка!$F$25:$F$150,$F84,Покупка!$AC$25:$AC$150,$G84)</f>
        <v>0</v>
      </c>
      <c r="AT84" s="171">
        <f ca="1">SUMIFS(Покупка!AS$25:AS$150,Покупка!$F$25:$F$150,$F84,Покупка!$AC$25:$AC$150,$G84)</f>
        <v>0</v>
      </c>
      <c r="AU84" s="171">
        <f ca="1">SUMIFS(Покупка!AT$25:AT$150,Покупка!$F$25:$F$150,$F84,Покупка!$AC$25:$AC$150,$G84)</f>
        <v>0</v>
      </c>
      <c r="AV84" s="171">
        <f ca="1">SUMIFS(Покупка!AU$25:AU$150,Покупка!$F$25:$F$150,$F84,Покупка!$AC$25:$AC$150,$G84)</f>
        <v>0</v>
      </c>
      <c r="AW84" s="171">
        <f ca="1">SUMIFS(Покупка!AV$25:AV$150,Покупка!$F$25:$F$150,$F84,Покупка!$AC$25:$AC$150,$G84)</f>
        <v>0</v>
      </c>
      <c r="AX84" s="171">
        <f ca="1">SUMIFS(Покупка!AW$25:AW$150,Покупка!$F$25:$F$150,$F84,Покупка!$AC$25:$AC$150,$G84)</f>
        <v>0</v>
      </c>
      <c r="AY84" s="171">
        <f ca="1">SUMIFS(Покупка!AX$25:AX$150,Покупка!$F$25:$F$150,$F84,Покупка!$AC$25:$AC$150,$G84)</f>
        <v>0</v>
      </c>
      <c r="AZ84" s="171">
        <f ca="1">SUMIFS(Покупка!AY$25:AY$150,Покупка!$F$25:$F$150,$F84,Покупка!$AC$25:$AC$150,$G84)</f>
        <v>0</v>
      </c>
      <c r="BA84" s="171">
        <f ca="1">SUMIFS(Покупка!AZ$25:AZ$150,Покупка!$F$25:$F$150,$F84,Покупка!$AC$25:$AC$150,$G84)</f>
        <v>0</v>
      </c>
      <c r="BB84" s="171">
        <f ca="1">SUMIFS(Покупка!BA$25:BA$150,Покупка!$F$25:$F$150,$F84,Покупка!$AC$25:$AC$150,$G84)</f>
        <v>0</v>
      </c>
      <c r="BC84" s="171">
        <f ca="1">SUMIFS(Покупка!BB$25:BB$150,Покупка!$F$25:$F$150,$F84,Покупка!$AC$25:$AC$150,$G84)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5"/>
      <c r="BO84" s="779" t="str">
        <f ca="1">IF(IFERROR(INDEX(Покупка!$K$26:$L$150,MATCH($F84&amp;"8komm",Покупка!$K$26:$K$150,0),2),"")=0,"",IFERROR(INDEX(Покупка!$K$26:$L$150,MATCH($F84&amp;"8komm",Покупка!$K$26:$K$150,0),2),""))</f>
        <v/>
      </c>
      <c r="BP84" s="775"/>
      <c r="BS84" s="696" t="s">
        <v>1153</v>
      </c>
    </row>
    <row r="85" spans="2:75" ht="14.65" hidden="1" customHeight="1" x14ac:dyDescent="0.15">
      <c r="C85" s="25"/>
      <c r="D85" s="25"/>
      <c r="E85" s="451">
        <v>15</v>
      </c>
      <c r="F85" s="3" cm="1">
        <f t="array" aca="1" ref="F85" ca="1">OFFSET(E85,-1,1)</f>
        <v>0</v>
      </c>
      <c r="G85" s="25"/>
      <c r="H85" s="25"/>
      <c r="I85" s="25" t="s">
        <v>2062</v>
      </c>
      <c r="J85" s="25"/>
      <c r="K85" s="25" t="s">
        <v>2062</v>
      </c>
      <c r="L85" s="25"/>
      <c r="M85" s="25"/>
      <c r="N85" s="25"/>
      <c r="O85" s="25"/>
      <c r="P85" s="25"/>
      <c r="Q85" s="25"/>
      <c r="R85" s="25"/>
      <c r="S85" s="25"/>
      <c r="T85" s="353" t="b" cm="1">
        <f t="array" aca="1" ref="T85" ca="1">T84</f>
        <v>0</v>
      </c>
      <c r="U85" s="25"/>
      <c r="V85" s="25"/>
      <c r="W85" s="25"/>
      <c r="X85" s="1022"/>
      <c r="Z85" s="967"/>
      <c r="AB85" s="7" t="s">
        <v>2063</v>
      </c>
      <c r="AC85" s="134" t="s">
        <v>2064</v>
      </c>
      <c r="AD85" s="7" t="s">
        <v>828</v>
      </c>
      <c r="AE85" s="778"/>
      <c r="AF85" s="778"/>
      <c r="AG85" s="778"/>
      <c r="AH85" s="171">
        <f t="shared" si="9"/>
        <v>0</v>
      </c>
      <c r="AI85" s="778"/>
      <c r="AJ85" s="128"/>
      <c r="AK85" s="778"/>
      <c r="AL85" s="778"/>
      <c r="AM85" s="778"/>
      <c r="AN85" s="778"/>
      <c r="AO85" s="778"/>
      <c r="AP85" s="778"/>
      <c r="AQ85" s="778"/>
      <c r="AR85" s="778"/>
      <c r="AS85" s="778"/>
      <c r="AT85" s="128"/>
      <c r="AU85" s="778"/>
      <c r="AV85" s="778"/>
      <c r="AW85" s="778"/>
      <c r="AX85" s="778"/>
      <c r="AY85" s="778"/>
      <c r="AZ85" s="778"/>
      <c r="BA85" s="778"/>
      <c r="BB85" s="778"/>
      <c r="BC85" s="778"/>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5"/>
      <c r="BO85" s="775"/>
      <c r="BP85" s="775"/>
      <c r="BS85" s="696" t="s">
        <v>2065</v>
      </c>
    </row>
    <row r="86" spans="2:75" ht="14.65" hidden="1" customHeight="1" x14ac:dyDescent="0.15">
      <c r="C86" s="25"/>
      <c r="D86" s="25"/>
      <c r="E86" s="451">
        <v>15</v>
      </c>
      <c r="F86" s="3" cm="1">
        <f t="array" aca="1" ref="F86" ca="1">OFFSET(E86,-1,1)</f>
        <v>0</v>
      </c>
      <c r="G86" s="25"/>
      <c r="H86" s="25"/>
      <c r="I86" s="25" t="s">
        <v>2066</v>
      </c>
      <c r="J86" s="25"/>
      <c r="K86" s="25" t="s">
        <v>2066</v>
      </c>
      <c r="L86" s="25"/>
      <c r="M86" s="25"/>
      <c r="N86" s="25"/>
      <c r="O86" s="25"/>
      <c r="P86" s="25"/>
      <c r="Q86" s="25"/>
      <c r="R86" s="25"/>
      <c r="S86" s="25"/>
      <c r="T86" s="353" t="b" cm="1">
        <f t="array" aca="1" ref="T86" ca="1">T85</f>
        <v>0</v>
      </c>
      <c r="U86" s="25"/>
      <c r="V86" s="25"/>
      <c r="W86" s="25"/>
      <c r="X86" s="1022"/>
      <c r="Z86" s="967"/>
      <c r="AB86" s="7" t="s">
        <v>2067</v>
      </c>
      <c r="AC86" s="134" t="s">
        <v>2068</v>
      </c>
      <c r="AD86" s="7" t="s">
        <v>828</v>
      </c>
      <c r="AE86" s="778"/>
      <c r="AF86" s="778"/>
      <c r="AG86" s="778"/>
      <c r="AH86" s="171">
        <f t="shared" si="9"/>
        <v>0</v>
      </c>
      <c r="AI86" s="778"/>
      <c r="AJ86" s="128"/>
      <c r="AK86" s="778"/>
      <c r="AL86" s="778"/>
      <c r="AM86" s="778"/>
      <c r="AN86" s="778"/>
      <c r="AO86" s="778"/>
      <c r="AP86" s="778"/>
      <c r="AQ86" s="778"/>
      <c r="AR86" s="778"/>
      <c r="AS86" s="778"/>
      <c r="AT86" s="128"/>
      <c r="AU86" s="778"/>
      <c r="AV86" s="778"/>
      <c r="AW86" s="778"/>
      <c r="AX86" s="778"/>
      <c r="AY86" s="778"/>
      <c r="AZ86" s="778"/>
      <c r="BA86" s="778"/>
      <c r="BB86" s="778"/>
      <c r="BC86" s="778"/>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5"/>
      <c r="BO86" s="775"/>
      <c r="BP86" s="775"/>
      <c r="BS86" s="696" t="s">
        <v>2069</v>
      </c>
    </row>
    <row r="87" spans="2:75" ht="14.65" hidden="1" customHeight="1" x14ac:dyDescent="0.15">
      <c r="C87" s="25"/>
      <c r="D87" s="25"/>
      <c r="E87" s="451">
        <v>15</v>
      </c>
      <c r="F87" s="3" cm="1">
        <f t="array" aca="1" ref="F87" ca="1">OFFSET(E87,-1,1)</f>
        <v>0</v>
      </c>
      <c r="G87" s="25" t="s">
        <v>1130</v>
      </c>
      <c r="H87" s="25"/>
      <c r="I87" s="25" t="s">
        <v>2070</v>
      </c>
      <c r="J87" s="25"/>
      <c r="K87" s="25" t="s">
        <v>2070</v>
      </c>
      <c r="L87" s="25" t="s">
        <v>1528</v>
      </c>
      <c r="M87" s="25"/>
      <c r="N87" s="25"/>
      <c r="O87" s="25"/>
      <c r="P87" s="25"/>
      <c r="Q87" s="25"/>
      <c r="R87" s="25"/>
      <c r="S87" s="25"/>
      <c r="T87" s="353" t="b" cm="1">
        <f t="array" aca="1" ref="T87" ca="1">T86</f>
        <v>0</v>
      </c>
      <c r="U87" s="25"/>
      <c r="V87" s="25"/>
      <c r="W87" s="25"/>
      <c r="X87" s="1022"/>
      <c r="Z87" s="967"/>
      <c r="AB87" s="7" t="s">
        <v>2071</v>
      </c>
      <c r="AC87" s="134" t="s">
        <v>2072</v>
      </c>
      <c r="AD87" s="7" t="s">
        <v>828</v>
      </c>
      <c r="AE87" s="171">
        <f ca="1">SUMIFS(Покупка!AE$25:AE$150,Покупка!$F$25:$F$150,$F87,Покупка!$AC$25:$AC$150,$G87)</f>
        <v>0</v>
      </c>
      <c r="AF87" s="171">
        <f ca="1">SUMIFS(Покупка!AF$25:AF$150,Покупка!$F$25:$F$150,$F87,Покупка!$AC$25:$AC$150,$G87)</f>
        <v>0</v>
      </c>
      <c r="AG87" s="171">
        <f ca="1">SUMIFS(Покупка!AG$25:AG$150,Покупка!$F$25:$F$150,$F87,Покупка!$AC$25:$AC$150,$G87)</f>
        <v>0</v>
      </c>
      <c r="AH87" s="171">
        <f t="shared" ca="1" si="9"/>
        <v>0</v>
      </c>
      <c r="AI87" s="171">
        <f ca="1">SUMIFS(Покупка!AH$25:AH$150,Покупка!$F$25:$F$150,$F87,Покупка!$AC$25:$AC$150,$G87)</f>
        <v>0</v>
      </c>
      <c r="AJ87" s="171">
        <f ca="1">SUMIFS(Покупка!AI$25:AI$150,Покупка!$F$25:$F$150,$F87,Покупка!$AC$25:$AC$150,$G87)</f>
        <v>0</v>
      </c>
      <c r="AK87" s="171">
        <f ca="1">SUMIFS(Покупка!AJ$25:AJ$150,Покупка!$F$25:$F$150,$F87,Покупка!$AC$25:$AC$150,$G87)</f>
        <v>0</v>
      </c>
      <c r="AL87" s="171">
        <f ca="1">SUMIFS(Покупка!AK$25:AK$150,Покупка!$F$25:$F$150,$F87,Покупка!$AC$25:$AC$150,$G87)</f>
        <v>0</v>
      </c>
      <c r="AM87" s="171">
        <f ca="1">SUMIFS(Покупка!AL$25:AL$150,Покупка!$F$25:$F$150,$F87,Покупка!$AC$25:$AC$150,$G87)</f>
        <v>0</v>
      </c>
      <c r="AN87" s="171">
        <f ca="1">SUMIFS(Покупка!AM$25:AM$150,Покупка!$F$25:$F$150,$F87,Покупка!$AC$25:$AC$150,$G87)</f>
        <v>0</v>
      </c>
      <c r="AO87" s="171">
        <f ca="1">SUMIFS(Покупка!AN$25:AN$150,Покупка!$F$25:$F$150,$F87,Покупка!$AC$25:$AC$150,$G87)</f>
        <v>0</v>
      </c>
      <c r="AP87" s="171">
        <f ca="1">SUMIFS(Покупка!AO$25:AO$150,Покупка!$F$25:$F$150,$F87,Покупка!$AC$25:$AC$150,$G87)</f>
        <v>0</v>
      </c>
      <c r="AQ87" s="171">
        <f ca="1">SUMIFS(Покупка!AP$25:AP$150,Покупка!$F$25:$F$150,$F87,Покупка!$AC$25:$AC$150,$G87)</f>
        <v>0</v>
      </c>
      <c r="AR87" s="171">
        <f ca="1">SUMIFS(Покупка!AQ$25:AQ$150,Покупка!$F$25:$F$150,$F87,Покупка!$AC$25:$AC$150,$G87)</f>
        <v>0</v>
      </c>
      <c r="AS87" s="171">
        <f ca="1">SUMIFS(Покупка!AR$25:AR$150,Покупка!$F$25:$F$150,$F87,Покупка!$AC$25:$AC$150,$G87)</f>
        <v>0</v>
      </c>
      <c r="AT87" s="171">
        <f ca="1">SUMIFS(Покупка!AS$25:AS$150,Покупка!$F$25:$F$150,$F87,Покупка!$AC$25:$AC$150,$G87)</f>
        <v>0</v>
      </c>
      <c r="AU87" s="171">
        <f ca="1">SUMIFS(Покупка!AT$25:AT$150,Покупка!$F$25:$F$150,$F87,Покупка!$AC$25:$AC$150,$G87)</f>
        <v>0</v>
      </c>
      <c r="AV87" s="171">
        <f ca="1">SUMIFS(Покупка!AU$25:AU$150,Покупка!$F$25:$F$150,$F87,Покупка!$AC$25:$AC$150,$G87)</f>
        <v>0</v>
      </c>
      <c r="AW87" s="171">
        <f ca="1">SUMIFS(Покупка!AV$25:AV$150,Покупка!$F$25:$F$150,$F87,Покупка!$AC$25:$AC$150,$G87)</f>
        <v>0</v>
      </c>
      <c r="AX87" s="171">
        <f ca="1">SUMIFS(Покупка!AW$25:AW$150,Покупка!$F$25:$F$150,$F87,Покупка!$AC$25:$AC$150,$G87)</f>
        <v>0</v>
      </c>
      <c r="AY87" s="171">
        <f ca="1">SUMIFS(Покупка!AX$25:AX$150,Покупка!$F$25:$F$150,$F87,Покупка!$AC$25:$AC$150,$G87)</f>
        <v>0</v>
      </c>
      <c r="AZ87" s="171">
        <f ca="1">SUMIFS(Покупка!AY$25:AY$150,Покупка!$F$25:$F$150,$F87,Покупка!$AC$25:$AC$150,$G87)</f>
        <v>0</v>
      </c>
      <c r="BA87" s="171">
        <f ca="1">SUMIFS(Покупка!AZ$25:AZ$150,Покупка!$F$25:$F$150,$F87,Покупка!$AC$25:$AC$150,$G87)</f>
        <v>0</v>
      </c>
      <c r="BB87" s="171">
        <f ca="1">SUMIFS(Покупка!BA$25:BA$150,Покупка!$F$25:$F$150,$F87,Покупка!$AC$25:$AC$150,$G87)</f>
        <v>0</v>
      </c>
      <c r="BC87" s="171">
        <f ca="1">SUMIFS(Покупка!BB$25:BB$150,Покупка!$F$25:$F$150,$F87,Покупка!$AC$25:$AC$150,$G87)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5"/>
      <c r="BO87" s="779" t="str">
        <f ca="1">IF(IFERROR(INDEX(Покупка!$K$26:$L$150,MATCH($F87&amp;"3komm",Покупка!$K$26:$K$150,0),2),"")=0,"",IFERROR(INDEX(Покупка!$K$26:$L$150,MATCH($F87&amp;"3komm",Покупка!$K$26:$K$150,0),2),""))</f>
        <v/>
      </c>
      <c r="BP87" s="775"/>
      <c r="BS87" s="696" t="s">
        <v>1763</v>
      </c>
    </row>
    <row r="88" spans="2:75" ht="14.65" hidden="1" customHeight="1" x14ac:dyDescent="0.15">
      <c r="C88" s="25"/>
      <c r="D88" s="25"/>
      <c r="E88" s="451">
        <v>15</v>
      </c>
      <c r="F88" s="3" cm="1">
        <f t="array" aca="1" ref="F88" ca="1">OFFSET(E88,-1,1)</f>
        <v>0</v>
      </c>
      <c r="G88" s="25" t="s">
        <v>1136</v>
      </c>
      <c r="H88" s="25"/>
      <c r="I88" s="25" t="s">
        <v>2073</v>
      </c>
      <c r="J88" s="25"/>
      <c r="K88" s="25" t="s">
        <v>2073</v>
      </c>
      <c r="L88" s="25" t="s">
        <v>1533</v>
      </c>
      <c r="M88" s="25"/>
      <c r="N88" s="25"/>
      <c r="O88" s="25"/>
      <c r="P88" s="25"/>
      <c r="Q88" s="25"/>
      <c r="R88" s="25"/>
      <c r="S88" s="25"/>
      <c r="T88" s="353" t="b" cm="1">
        <f t="array" aca="1" ref="T88" ca="1">T87</f>
        <v>0</v>
      </c>
      <c r="U88" s="25"/>
      <c r="V88" s="25"/>
      <c r="W88" s="25"/>
      <c r="X88" s="1022"/>
      <c r="Z88" s="967"/>
      <c r="AB88" s="7" t="s">
        <v>2074</v>
      </c>
      <c r="AC88" s="134" t="s">
        <v>2075</v>
      </c>
      <c r="AD88" s="7" t="s">
        <v>828</v>
      </c>
      <c r="AE88" s="171">
        <f ca="1">SUMIFS(Покупка!AE$25:AE$150,Покупка!$F$25:$F$150,$F88,Покупка!$AC$25:$AC$150,$G88)</f>
        <v>0</v>
      </c>
      <c r="AF88" s="171">
        <f ca="1">SUMIFS(Покупка!AF$25:AF$150,Покупка!$F$25:$F$150,$F88,Покупка!$AC$25:$AC$150,$G88)</f>
        <v>0</v>
      </c>
      <c r="AG88" s="171">
        <f ca="1">SUMIFS(Покупка!AG$25:AG$150,Покупка!$F$25:$F$150,$F88,Покупка!$AC$25:$AC$150,$G88)</f>
        <v>0</v>
      </c>
      <c r="AH88" s="171">
        <f t="shared" ca="1" si="9"/>
        <v>0</v>
      </c>
      <c r="AI88" s="171">
        <f ca="1">SUMIFS(Покупка!AH$25:AH$150,Покупка!$F$25:$F$150,$F88,Покупка!$AC$25:$AC$150,$G88)</f>
        <v>0</v>
      </c>
      <c r="AJ88" s="171">
        <f ca="1">SUMIFS(Покупка!AI$25:AI$150,Покупка!$F$25:$F$150,$F88,Покупка!$AC$25:$AC$150,$G88)</f>
        <v>0</v>
      </c>
      <c r="AK88" s="171">
        <f ca="1">SUMIFS(Покупка!AJ$25:AJ$150,Покупка!$F$25:$F$150,$F88,Покупка!$AC$25:$AC$150,$G88)</f>
        <v>0</v>
      </c>
      <c r="AL88" s="171">
        <f ca="1">SUMIFS(Покупка!AK$25:AK$150,Покупка!$F$25:$F$150,$F88,Покупка!$AC$25:$AC$150,$G88)</f>
        <v>0</v>
      </c>
      <c r="AM88" s="171">
        <f ca="1">SUMIFS(Покупка!AL$25:AL$150,Покупка!$F$25:$F$150,$F88,Покупка!$AC$25:$AC$150,$G88)</f>
        <v>0</v>
      </c>
      <c r="AN88" s="171">
        <f ca="1">SUMIFS(Покупка!AM$25:AM$150,Покупка!$F$25:$F$150,$F88,Покупка!$AC$25:$AC$150,$G88)</f>
        <v>0</v>
      </c>
      <c r="AO88" s="171">
        <f ca="1">SUMIFS(Покупка!AN$25:AN$150,Покупка!$F$25:$F$150,$F88,Покупка!$AC$25:$AC$150,$G88)</f>
        <v>0</v>
      </c>
      <c r="AP88" s="171">
        <f ca="1">SUMIFS(Покупка!AO$25:AO$150,Покупка!$F$25:$F$150,$F88,Покупка!$AC$25:$AC$150,$G88)</f>
        <v>0</v>
      </c>
      <c r="AQ88" s="171">
        <f ca="1">SUMIFS(Покупка!AP$25:AP$150,Покупка!$F$25:$F$150,$F88,Покупка!$AC$25:$AC$150,$G88)</f>
        <v>0</v>
      </c>
      <c r="AR88" s="171">
        <f ca="1">SUMIFS(Покупка!AQ$25:AQ$150,Покупка!$F$25:$F$150,$F88,Покупка!$AC$25:$AC$150,$G88)</f>
        <v>0</v>
      </c>
      <c r="AS88" s="171">
        <f ca="1">SUMIFS(Покупка!AR$25:AR$150,Покупка!$F$25:$F$150,$F88,Покупка!$AC$25:$AC$150,$G88)</f>
        <v>0</v>
      </c>
      <c r="AT88" s="171">
        <f ca="1">SUMIFS(Покупка!AS$25:AS$150,Покупка!$F$25:$F$150,$F88,Покупка!$AC$25:$AC$150,$G88)</f>
        <v>0</v>
      </c>
      <c r="AU88" s="171">
        <f ca="1">SUMIFS(Покупка!AT$25:AT$150,Покупка!$F$25:$F$150,$F88,Покупка!$AC$25:$AC$150,$G88)</f>
        <v>0</v>
      </c>
      <c r="AV88" s="171">
        <f ca="1">SUMIFS(Покупка!AU$25:AU$150,Покупка!$F$25:$F$150,$F88,Покупка!$AC$25:$AC$150,$G88)</f>
        <v>0</v>
      </c>
      <c r="AW88" s="171">
        <f ca="1">SUMIFS(Покупка!AV$25:AV$150,Покупка!$F$25:$F$150,$F88,Покупка!$AC$25:$AC$150,$G88)</f>
        <v>0</v>
      </c>
      <c r="AX88" s="171">
        <f ca="1">SUMIFS(Покупка!AW$25:AW$150,Покупка!$F$25:$F$150,$F88,Покупка!$AC$25:$AC$150,$G88)</f>
        <v>0</v>
      </c>
      <c r="AY88" s="171">
        <f ca="1">SUMIFS(Покупка!AX$25:AX$150,Покупка!$F$25:$F$150,$F88,Покупка!$AC$25:$AC$150,$G88)</f>
        <v>0</v>
      </c>
      <c r="AZ88" s="171">
        <f ca="1">SUMIFS(Покупка!AY$25:AY$150,Покупка!$F$25:$F$150,$F88,Покупка!$AC$25:$AC$150,$G88)</f>
        <v>0</v>
      </c>
      <c r="BA88" s="171">
        <f ca="1">SUMIFS(Покупка!AZ$25:AZ$150,Покупка!$F$25:$F$150,$F88,Покупка!$AC$25:$AC$150,$G88)</f>
        <v>0</v>
      </c>
      <c r="BB88" s="171">
        <f ca="1">SUMIFS(Покупка!BA$25:BA$150,Покупка!$F$25:$F$150,$F88,Покупка!$AC$25:$AC$150,$G88)</f>
        <v>0</v>
      </c>
      <c r="BC88" s="171">
        <f ca="1">SUMIFS(Покупка!BB$25:BB$150,Покупка!$F$25:$F$150,$F88,Покупка!$AC$25:$AC$150,$G88)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5"/>
      <c r="BO88" s="779" t="str">
        <f ca="1">IF(IFERROR(INDEX(Покупка!$K$26:$L$150,MATCH($F88&amp;"4komm",Покупка!$K$26:$K$150,0),2),"")=0,"",IFERROR(INDEX(Покупка!$K$26:$L$150,MATCH($F87&amp;"3komm",Покупка!$K$26:$K$150,0),2),""))</f>
        <v/>
      </c>
      <c r="BP88" s="775"/>
      <c r="BS88" s="696" t="s">
        <v>1766</v>
      </c>
    </row>
    <row r="89" spans="2:75" ht="14.65" hidden="1" customHeight="1" x14ac:dyDescent="0.15">
      <c r="C89" s="25"/>
      <c r="D89" s="25"/>
      <c r="E89" s="451">
        <v>15</v>
      </c>
      <c r="F89" s="3" cm="1">
        <f t="array" aca="1" ref="F89" ca="1">OFFSET(E89,-1,1)</f>
        <v>0</v>
      </c>
      <c r="G89" s="25" t="s">
        <v>1142</v>
      </c>
      <c r="H89" s="25"/>
      <c r="I89" s="25" t="s">
        <v>2076</v>
      </c>
      <c r="J89" s="25"/>
      <c r="K89" s="25" t="s">
        <v>2076</v>
      </c>
      <c r="L89" s="25" t="s">
        <v>1543</v>
      </c>
      <c r="M89" s="25"/>
      <c r="N89" s="25"/>
      <c r="O89" s="25"/>
      <c r="P89" s="25"/>
      <c r="Q89" s="25"/>
      <c r="R89" s="25"/>
      <c r="S89" s="25"/>
      <c r="T89" s="353" t="b" cm="1">
        <f t="array" aca="1" ref="T89" ca="1">T88</f>
        <v>0</v>
      </c>
      <c r="U89" s="25"/>
      <c r="V89" s="25"/>
      <c r="W89" s="25"/>
      <c r="X89" s="1022"/>
      <c r="Z89" s="967"/>
      <c r="AB89" s="7" t="s">
        <v>2077</v>
      </c>
      <c r="AC89" s="134" t="s">
        <v>2078</v>
      </c>
      <c r="AD89" s="7" t="s">
        <v>828</v>
      </c>
      <c r="AE89" s="171">
        <f ca="1">SUMIFS(Покупка!AE$25:AE$150,Покупка!$F$25:$F$150,$F89,Покупка!$AC$25:$AC$150,$G89)</f>
        <v>0</v>
      </c>
      <c r="AF89" s="171">
        <f ca="1">SUMIFS(Покупка!AF$25:AF$150,Покупка!$F$25:$F$150,$F89,Покупка!$AC$25:$AC$150,$G89)</f>
        <v>0</v>
      </c>
      <c r="AG89" s="171">
        <f ca="1">SUMIFS(Покупка!AG$25:AG$150,Покупка!$F$25:$F$150,$F89,Покупка!$AC$25:$AC$150,$G89)</f>
        <v>0</v>
      </c>
      <c r="AH89" s="171">
        <f t="shared" ca="1" si="9"/>
        <v>0</v>
      </c>
      <c r="AI89" s="171">
        <f ca="1">SUMIFS(Покупка!AH$25:AH$150,Покупка!$F$25:$F$150,$F89,Покупка!$AC$25:$AC$150,$G89)</f>
        <v>0</v>
      </c>
      <c r="AJ89" s="171">
        <f ca="1">SUMIFS(Покупка!AI$25:AI$150,Покупка!$F$25:$F$150,$F89,Покупка!$AC$25:$AC$150,$G89)</f>
        <v>0</v>
      </c>
      <c r="AK89" s="171">
        <f ca="1">SUMIFS(Покупка!AJ$25:AJ$150,Покупка!$F$25:$F$150,$F89,Покупка!$AC$25:$AC$150,$G89)</f>
        <v>0</v>
      </c>
      <c r="AL89" s="171">
        <f ca="1">SUMIFS(Покупка!AK$25:AK$150,Покупка!$F$25:$F$150,$F89,Покупка!$AC$25:$AC$150,$G89)</f>
        <v>0</v>
      </c>
      <c r="AM89" s="171">
        <f ca="1">SUMIFS(Покупка!AL$25:AL$150,Покупка!$F$25:$F$150,$F89,Покупка!$AC$25:$AC$150,$G89)</f>
        <v>0</v>
      </c>
      <c r="AN89" s="171">
        <f ca="1">SUMIFS(Покупка!AM$25:AM$150,Покупка!$F$25:$F$150,$F89,Покупка!$AC$25:$AC$150,$G89)</f>
        <v>0</v>
      </c>
      <c r="AO89" s="171">
        <f ca="1">SUMIFS(Покупка!AN$25:AN$150,Покупка!$F$25:$F$150,$F89,Покупка!$AC$25:$AC$150,$G89)</f>
        <v>0</v>
      </c>
      <c r="AP89" s="171">
        <f ca="1">SUMIFS(Покупка!AO$25:AO$150,Покупка!$F$25:$F$150,$F89,Покупка!$AC$25:$AC$150,$G89)</f>
        <v>0</v>
      </c>
      <c r="AQ89" s="171">
        <f ca="1">SUMIFS(Покупка!AP$25:AP$150,Покупка!$F$25:$F$150,$F89,Покупка!$AC$25:$AC$150,$G89)</f>
        <v>0</v>
      </c>
      <c r="AR89" s="171">
        <f ca="1">SUMIFS(Покупка!AQ$25:AQ$150,Покупка!$F$25:$F$150,$F89,Покупка!$AC$25:$AC$150,$G89)</f>
        <v>0</v>
      </c>
      <c r="AS89" s="171">
        <f ca="1">SUMIFS(Покупка!AR$25:AR$150,Покупка!$F$25:$F$150,$F89,Покупка!$AC$25:$AC$150,$G89)</f>
        <v>0</v>
      </c>
      <c r="AT89" s="171">
        <f ca="1">SUMIFS(Покупка!AS$25:AS$150,Покупка!$F$25:$F$150,$F89,Покупка!$AC$25:$AC$150,$G89)</f>
        <v>0</v>
      </c>
      <c r="AU89" s="171">
        <f ca="1">SUMIFS(Покупка!AT$25:AT$150,Покупка!$F$25:$F$150,$F89,Покупка!$AC$25:$AC$150,$G89)</f>
        <v>0</v>
      </c>
      <c r="AV89" s="171">
        <f ca="1">SUMIFS(Покупка!AU$25:AU$150,Покупка!$F$25:$F$150,$F89,Покупка!$AC$25:$AC$150,$G89)</f>
        <v>0</v>
      </c>
      <c r="AW89" s="171">
        <f ca="1">SUMIFS(Покупка!AV$25:AV$150,Покупка!$F$25:$F$150,$F89,Покупка!$AC$25:$AC$150,$G89)</f>
        <v>0</v>
      </c>
      <c r="AX89" s="171">
        <f ca="1">SUMIFS(Покупка!AW$25:AW$150,Покупка!$F$25:$F$150,$F89,Покупка!$AC$25:$AC$150,$G89)</f>
        <v>0</v>
      </c>
      <c r="AY89" s="171">
        <f ca="1">SUMIFS(Покупка!AX$25:AX$150,Покупка!$F$25:$F$150,$F89,Покупка!$AC$25:$AC$150,$G89)</f>
        <v>0</v>
      </c>
      <c r="AZ89" s="171">
        <f ca="1">SUMIFS(Покупка!AY$25:AY$150,Покупка!$F$25:$F$150,$F89,Покупка!$AC$25:$AC$150,$G89)</f>
        <v>0</v>
      </c>
      <c r="BA89" s="171">
        <f ca="1">SUMIFS(Покупка!AZ$25:AZ$150,Покупка!$F$25:$F$150,$F89,Покупка!$AC$25:$AC$150,$G89)</f>
        <v>0</v>
      </c>
      <c r="BB89" s="171">
        <f ca="1">SUMIFS(Покупка!BA$25:BA$150,Покупка!$F$25:$F$150,$F89,Покупка!$AC$25:$AC$150,$G89)</f>
        <v>0</v>
      </c>
      <c r="BC89" s="171">
        <f ca="1">SUMIFS(Покупка!BB$25:BB$150,Покупка!$F$25:$F$150,$F89,Покупка!$AC$25:$AC$150,$G89)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5"/>
      <c r="BO89" s="779" t="str">
        <f ca="1">IF(IFERROR(INDEX(Покупка!$K$26:$L$150,MATCH($F89&amp;"5komm",Покупка!$K$26:$K$150,0),2),"")=0,"",IFERROR(INDEX(Покупка!$K$26:$L$150,MATCH($F89&amp;"5komm",Покупка!$K$26:$K$150,0),2),""))</f>
        <v/>
      </c>
      <c r="BP89" s="775"/>
      <c r="BS89" s="696" t="s">
        <v>1769</v>
      </c>
    </row>
    <row r="90" spans="2:75" ht="14.65" hidden="1" customHeight="1" x14ac:dyDescent="0.15">
      <c r="C90" s="25"/>
      <c r="D90" s="25"/>
      <c r="E90" s="451">
        <v>15</v>
      </c>
      <c r="F90" s="3" cm="1">
        <f t="array" aca="1" ref="F90" ca="1">OFFSET(E90,-1,1)</f>
        <v>0</v>
      </c>
      <c r="G90" s="25" t="s">
        <v>1154</v>
      </c>
      <c r="H90" s="25"/>
      <c r="I90" s="25"/>
      <c r="J90" s="25"/>
      <c r="K90" s="25"/>
      <c r="L90" s="25" t="s">
        <v>1510</v>
      </c>
      <c r="M90" s="25"/>
      <c r="N90" s="25"/>
      <c r="O90" s="25"/>
      <c r="P90" s="25"/>
      <c r="Q90" s="25"/>
      <c r="R90" s="25"/>
      <c r="S90" s="25"/>
      <c r="T90" s="353" t="b" cm="1">
        <f t="array" aca="1" ref="T90" ca="1">T89</f>
        <v>0</v>
      </c>
      <c r="U90" s="25"/>
      <c r="V90" s="25"/>
      <c r="W90" s="25"/>
      <c r="X90" s="1022"/>
      <c r="Z90" s="967"/>
      <c r="AB90" s="7" t="s">
        <v>2079</v>
      </c>
      <c r="AC90" s="134" t="s">
        <v>2080</v>
      </c>
      <c r="AD90" s="7" t="s">
        <v>828</v>
      </c>
      <c r="AE90" s="171">
        <f ca="1">SUMIFS(Покупка!AE$25:AE$150,Покупка!$F$25:$F$150,$F90,Покупка!$AC$25:$AC$150,$G90)</f>
        <v>0</v>
      </c>
      <c r="AF90" s="171">
        <f ca="1">SUMIFS(Покупка!AF$25:AF$150,Покупка!$F$25:$F$150,$F90,Покупка!$AC$25:$AC$150,$G90)</f>
        <v>0</v>
      </c>
      <c r="AG90" s="171">
        <f ca="1">SUMIFS(Покупка!AG$25:AG$150,Покупка!$F$25:$F$150,$F90,Покупка!$AC$25:$AC$150,$G90)</f>
        <v>0</v>
      </c>
      <c r="AH90" s="171">
        <f t="shared" ca="1" si="9"/>
        <v>0</v>
      </c>
      <c r="AI90" s="171">
        <f ca="1">SUMIFS(Покупка!AH$25:AH$150,Покупка!$F$25:$F$150,$F90,Покупка!$AC$25:$AC$150,$G90)</f>
        <v>0</v>
      </c>
      <c r="AJ90" s="171">
        <f ca="1">SUMIFS(Покупка!AI$25:AI$150,Покупка!$F$25:$F$150,$F90,Покупка!$AC$25:$AC$150,$G90)</f>
        <v>0</v>
      </c>
      <c r="AK90" s="171">
        <f ca="1">SUMIFS(Покупка!AJ$25:AJ$150,Покупка!$F$25:$F$150,$F90,Покупка!$AC$25:$AC$150,$G90)</f>
        <v>0</v>
      </c>
      <c r="AL90" s="171">
        <f ca="1">SUMIFS(Покупка!AK$25:AK$150,Покупка!$F$25:$F$150,$F90,Покупка!$AC$25:$AC$150,$G90)</f>
        <v>0</v>
      </c>
      <c r="AM90" s="171">
        <f ca="1">SUMIFS(Покупка!AL$25:AL$150,Покупка!$F$25:$F$150,$F90,Покупка!$AC$25:$AC$150,$G90)</f>
        <v>0</v>
      </c>
      <c r="AN90" s="171">
        <f ca="1">SUMIFS(Покупка!AM$25:AM$150,Покупка!$F$25:$F$150,$F90,Покупка!$AC$25:$AC$150,$G90)</f>
        <v>0</v>
      </c>
      <c r="AO90" s="171">
        <f ca="1">SUMIFS(Покупка!AN$25:AN$150,Покупка!$F$25:$F$150,$F90,Покупка!$AC$25:$AC$150,$G90)</f>
        <v>0</v>
      </c>
      <c r="AP90" s="171">
        <f ca="1">SUMIFS(Покупка!AO$25:AO$150,Покупка!$F$25:$F$150,$F90,Покупка!$AC$25:$AC$150,$G90)</f>
        <v>0</v>
      </c>
      <c r="AQ90" s="171">
        <f ca="1">SUMIFS(Покупка!AP$25:AP$150,Покупка!$F$25:$F$150,$F90,Покупка!$AC$25:$AC$150,$G90)</f>
        <v>0</v>
      </c>
      <c r="AR90" s="171">
        <f ca="1">SUMIFS(Покупка!AQ$25:AQ$150,Покупка!$F$25:$F$150,$F90,Покупка!$AC$25:$AC$150,$G90)</f>
        <v>0</v>
      </c>
      <c r="AS90" s="171">
        <f ca="1">SUMIFS(Покупка!AR$25:AR$150,Покупка!$F$25:$F$150,$F90,Покупка!$AC$25:$AC$150,$G90)</f>
        <v>0</v>
      </c>
      <c r="AT90" s="171">
        <f ca="1">SUMIFS(Покупка!AS$25:AS$150,Покупка!$F$25:$F$150,$F90,Покупка!$AC$25:$AC$150,$G90)</f>
        <v>0</v>
      </c>
      <c r="AU90" s="171">
        <f ca="1">SUMIFS(Покупка!AT$25:AT$150,Покупка!$F$25:$F$150,$F90,Покупка!$AC$25:$AC$150,$G90)</f>
        <v>0</v>
      </c>
      <c r="AV90" s="171">
        <f ca="1">SUMIFS(Покупка!AU$25:AU$150,Покупка!$F$25:$F$150,$F90,Покупка!$AC$25:$AC$150,$G90)</f>
        <v>0</v>
      </c>
      <c r="AW90" s="171">
        <f ca="1">SUMIFS(Покупка!AV$25:AV$150,Покупка!$F$25:$F$150,$F90,Покупка!$AC$25:$AC$150,$G90)</f>
        <v>0</v>
      </c>
      <c r="AX90" s="171">
        <f ca="1">SUMIFS(Покупка!AW$25:AW$150,Покупка!$F$25:$F$150,$F90,Покупка!$AC$25:$AC$150,$G90)</f>
        <v>0</v>
      </c>
      <c r="AY90" s="171">
        <f ca="1">SUMIFS(Покупка!AX$25:AX$150,Покупка!$F$25:$F$150,$F90,Покупка!$AC$25:$AC$150,$G90)</f>
        <v>0</v>
      </c>
      <c r="AZ90" s="171">
        <f ca="1">SUMIFS(Покупка!AY$25:AY$150,Покупка!$F$25:$F$150,$F90,Покупка!$AC$25:$AC$150,$G90)</f>
        <v>0</v>
      </c>
      <c r="BA90" s="171">
        <f ca="1">SUMIFS(Покупка!AZ$25:AZ$150,Покупка!$F$25:$F$150,$F90,Покупка!$AC$25:$AC$150,$G90)</f>
        <v>0</v>
      </c>
      <c r="BB90" s="171">
        <f ca="1">SUMIFS(Покупка!BA$25:BA$150,Покупка!$F$25:$F$150,$F90,Покупка!$AC$25:$AC$150,$G90)</f>
        <v>0</v>
      </c>
      <c r="BC90" s="171">
        <f ca="1">SUMIFS(Покупка!BB$25:BB$150,Покупка!$F$25:$F$150,$F90,Покупка!$AC$25:$AC$150,$G90)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5"/>
      <c r="BO90" s="779" t="str">
        <f ca="1">IF(IFERROR(INDEX(Покупка!$K$26:$L$150,MATCH($F90&amp;"9komm",Покупка!$K$26:$K$150,0),2),"")=0,"",IFERROR(INDEX(Покупка!$K$26:$L$150,MATCH($F90&amp;"9komm",Покупка!$K$26:$K$150,0),2),""))</f>
        <v/>
      </c>
      <c r="BP90" s="775"/>
      <c r="BS90" s="696" t="s">
        <v>1155</v>
      </c>
    </row>
    <row r="91" spans="2:75" ht="14.65" hidden="1" customHeight="1" x14ac:dyDescent="0.15">
      <c r="C91" s="25"/>
      <c r="D91" s="25"/>
      <c r="E91" s="451">
        <v>15</v>
      </c>
      <c r="F91" s="3" cm="1">
        <f t="array" aca="1" ref="F91" ca="1">OFFSET(E91,-1,1)</f>
        <v>0</v>
      </c>
      <c r="G91" s="25"/>
      <c r="H91" s="25"/>
      <c r="I91" s="25" t="s">
        <v>503</v>
      </c>
      <c r="J91" s="25"/>
      <c r="K91" s="25" t="s">
        <v>503</v>
      </c>
      <c r="L91" s="25"/>
      <c r="M91" s="25"/>
      <c r="N91" s="25"/>
      <c r="O91" s="25"/>
      <c r="P91" s="25"/>
      <c r="Q91" s="25"/>
      <c r="R91" s="25"/>
      <c r="S91" s="25"/>
      <c r="T91" s="353" t="b" cm="1">
        <f t="array" aca="1" ref="T91" ca="1">T90</f>
        <v>0</v>
      </c>
      <c r="U91" s="25"/>
      <c r="V91" s="25"/>
      <c r="W91" s="25"/>
      <c r="X91" s="1022"/>
      <c r="Z91" s="967"/>
      <c r="AB91" s="7" t="s">
        <v>565</v>
      </c>
      <c r="AC91" s="127" t="s">
        <v>2081</v>
      </c>
      <c r="AD91" s="99" t="s">
        <v>828</v>
      </c>
      <c r="AE91" s="171">
        <f ca="1">SUMIFS('Сырье и материалы'!AE$25:AE$48,'Сырье и материалы'!$F$25:$F$48,$F91,'Сырье и материалы'!$AC$25:$AC$48,"Всего по тарифу")</f>
        <v>0</v>
      </c>
      <c r="AF91" s="171">
        <f ca="1">SUMIFS('Сырье и материалы'!AF$25:AF$48,'Сырье и материалы'!$F$25:$F$48,$F91,'Сырье и материалы'!$AC$25:$AC$48,"Всего по тарифу")</f>
        <v>0</v>
      </c>
      <c r="AG91" s="171">
        <f ca="1">SUMIFS('Сырье и материалы'!AG$25:AG$48,'Сырье и материалы'!$F$25:$F$48,$F91,'Сырье и материалы'!$AC$25:$AC$48,"Всего по тарифу")</f>
        <v>0</v>
      </c>
      <c r="AH91" s="171">
        <f t="shared" ca="1" si="9"/>
        <v>0</v>
      </c>
      <c r="AI91" s="171">
        <f ca="1">SUMIFS('Сырье и материалы'!AH$25:AH$48,'Сырье и материалы'!$F$25:$F$48,$F91,'Сырье и материалы'!$AC$25:$AC$48,"Всего по тарифу")</f>
        <v>0</v>
      </c>
      <c r="AJ91" s="171">
        <f ca="1">SUMIFS('Сырье и материалы'!AI$25:AI$48,'Сырье и материалы'!$F$25:$F$48,$F91,'Сырье и материалы'!$AC$25:$AC$48,"Всего по тарифу")</f>
        <v>0</v>
      </c>
      <c r="AK91" s="171">
        <f ca="1">SUMIFS('Сырье и материалы'!AJ$25:AJ$48,'Сырье и материалы'!$F$25:$F$48,$F91,'Сырье и материалы'!$AC$25:$AC$48,"Всего по тарифу")</f>
        <v>0</v>
      </c>
      <c r="AL91" s="171">
        <f ca="1">SUMIFS('Сырье и материалы'!AK$25:AK$48,'Сырье и материалы'!$F$25:$F$48,$F91,'Сырье и материалы'!$AC$25:$AC$48,"Всего по тарифу")</f>
        <v>0</v>
      </c>
      <c r="AM91" s="171">
        <f ca="1">SUMIFS('Сырье и материалы'!AL$25:AL$48,'Сырье и материалы'!$F$25:$F$48,$F91,'Сырье и материалы'!$AC$25:$AC$48,"Всего по тарифу")</f>
        <v>0</v>
      </c>
      <c r="AN91" s="171">
        <f ca="1">SUMIFS('Сырье и материалы'!AM$25:AM$48,'Сырье и материалы'!$F$25:$F$48,$F91,'Сырье и материалы'!$AC$25:$AC$48,"Всего по тарифу")</f>
        <v>0</v>
      </c>
      <c r="AO91" s="171">
        <f ca="1">SUMIFS('Сырье и материалы'!AN$25:AN$48,'Сырье и материалы'!$F$25:$F$48,$F91,'Сырье и материалы'!$AC$25:$AC$48,"Всего по тарифу")</f>
        <v>0</v>
      </c>
      <c r="AP91" s="171">
        <f ca="1">SUMIFS('Сырье и материалы'!AO$25:AO$48,'Сырье и материалы'!$F$25:$F$48,$F91,'Сырье и материалы'!$AC$25:$AC$48,"Всего по тарифу")</f>
        <v>0</v>
      </c>
      <c r="AQ91" s="171">
        <f ca="1">SUMIFS('Сырье и материалы'!AP$25:AP$48,'Сырье и материалы'!$F$25:$F$48,$F91,'Сырье и материалы'!$AC$25:$AC$48,"Всего по тарифу")</f>
        <v>0</v>
      </c>
      <c r="AR91" s="171">
        <f ca="1">SUMIFS('Сырье и материалы'!AQ$25:AQ$48,'Сырье и материалы'!$F$25:$F$48,$F91,'Сырье и материалы'!$AC$25:$AC$48,"Всего по тарифу")</f>
        <v>0</v>
      </c>
      <c r="AS91" s="171">
        <f ca="1">SUMIFS('Сырье и материалы'!AR$25:AR$48,'Сырье и материалы'!$F$25:$F$48,$F91,'Сырье и материалы'!$AC$25:$AC$48,"Всего по тарифу")</f>
        <v>0</v>
      </c>
      <c r="AT91" s="171">
        <f ca="1">SUMIFS('Сырье и материалы'!AS$25:AS$48,'Сырье и материалы'!$F$25:$F$48,$F91,'Сырье и материалы'!$AC$25:$AC$48,"Всего по тарифу")</f>
        <v>0</v>
      </c>
      <c r="AU91" s="171">
        <f ca="1">SUMIFS('Сырье и материалы'!AT$25:AT$48,'Сырье и материалы'!$F$25:$F$48,$F91,'Сырье и материалы'!$AC$25:$AC$48,"Всего по тарифу")</f>
        <v>0</v>
      </c>
      <c r="AV91" s="171">
        <f ca="1">SUMIFS('Сырье и материалы'!AU$25:AU$48,'Сырье и материалы'!$F$25:$F$48,$F91,'Сырье и материалы'!$AC$25:$AC$48,"Всего по тарифу")</f>
        <v>0</v>
      </c>
      <c r="AW91" s="171">
        <f ca="1">SUMIFS('Сырье и материалы'!AV$25:AV$48,'Сырье и материалы'!$F$25:$F$48,$F91,'Сырье и материалы'!$AC$25:$AC$48,"Всего по тарифу")</f>
        <v>0</v>
      </c>
      <c r="AX91" s="171">
        <f ca="1">SUMIFS('Сырье и материалы'!AW$25:AW$48,'Сырье и материалы'!$F$25:$F$48,$F91,'Сырье и материалы'!$AC$25:$AC$48,"Всего по тарифу")</f>
        <v>0</v>
      </c>
      <c r="AY91" s="171">
        <f ca="1">SUMIFS('Сырье и материалы'!AX$25:AX$48,'Сырье и материалы'!$F$25:$F$48,$F91,'Сырье и материалы'!$AC$25:$AC$48,"Всего по тарифу")</f>
        <v>0</v>
      </c>
      <c r="AZ91" s="171">
        <f ca="1">SUMIFS('Сырье и материалы'!AY$25:AY$48,'Сырье и материалы'!$F$25:$F$48,$F91,'Сырье и материалы'!$AC$25:$AC$48,"Всего по тарифу")</f>
        <v>0</v>
      </c>
      <c r="BA91" s="171">
        <f ca="1">SUMIFS('Сырье и материалы'!AZ$25:AZ$48,'Сырье и материалы'!$F$25:$F$48,$F91,'Сырье и материалы'!$AC$25:$AC$48,"Всего по тарифу")</f>
        <v>0</v>
      </c>
      <c r="BB91" s="171">
        <f ca="1">SUMIFS('Сырье и материалы'!BA$25:BA$48,'Сырье и материалы'!$F$25:$F$48,$F91,'Сырье и материалы'!$AC$25:$AC$48,"Всего по тарифу")</f>
        <v>0</v>
      </c>
      <c r="BC91" s="171">
        <f ca="1">SUMIFS('Сырье и материалы'!BB$25:BB$48,'Сырье и материалы'!$F$25:$F$48,$F91,'Сырье и материалы'!$AC$25:$AC$48,"Всего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5"/>
      <c r="BO91" s="779" t="str">
        <f ca="1">IF(IFERROR(INDEX('Сырье и материалы'!$K$26:$L$48,MATCH($F91&amp;"komm",'Сырье и материалы'!$K$26:$K$48,0),2),"")=0,"",IFERROR(INDEX('Сырье и материалы'!$K$26:$L$48,MATCH($F91&amp;"komm",'Сырье и материалы'!$K$26:$K$48,0),2),""))</f>
        <v/>
      </c>
      <c r="BP91" s="775"/>
      <c r="BS91" s="696" t="s">
        <v>1742</v>
      </c>
    </row>
    <row r="92" spans="2:75" s="76" customFormat="1" ht="20.45" hidden="1" customHeight="1" x14ac:dyDescent="0.15">
      <c r="B92" s="332"/>
      <c r="C92" s="27"/>
      <c r="D92" s="27"/>
      <c r="E92" s="559">
        <v>21</v>
      </c>
      <c r="F92" s="3" cm="1">
        <f t="array" aca="1" ref="F92" ca="1">OFFSET(E92,-1,1)</f>
        <v>0</v>
      </c>
      <c r="G92" s="27"/>
      <c r="H92" s="25"/>
      <c r="I92" s="25" t="s">
        <v>959</v>
      </c>
      <c r="J92" s="27"/>
      <c r="K92" s="25" t="s">
        <v>959</v>
      </c>
      <c r="L92" s="27" t="s">
        <v>535</v>
      </c>
      <c r="M92" s="27"/>
      <c r="N92" s="27"/>
      <c r="O92" s="27"/>
      <c r="P92" s="27"/>
      <c r="Q92" s="27"/>
      <c r="R92" s="27"/>
      <c r="S92" s="27"/>
      <c r="T92" s="353" t="b" cm="1">
        <f t="array" aca="1" ref="T92" ca="1">T91</f>
        <v>0</v>
      </c>
      <c r="U92" s="27"/>
      <c r="V92" s="27"/>
      <c r="W92" s="27"/>
      <c r="X92" s="1022"/>
      <c r="Z92" s="967"/>
      <c r="AB92" s="124" t="s">
        <v>569</v>
      </c>
      <c r="AC92" s="263" t="s">
        <v>2082</v>
      </c>
      <c r="AD92" s="124" t="s">
        <v>828</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7"/>
      <c r="BO92" s="779" t="str">
        <f ca="1">IF(IFERROR(INDEX(Налоги!$K$26:$L$83,MATCH($F92&amp;"komm",Налоги!$K$26:$K$83,0),2),"")=0,"",IFERROR(INDEX(Налоги!$K$26:$L$83,MATCH($F92&amp;"komm",Налоги!$K$26:$K$83,0),2),""))</f>
        <v/>
      </c>
      <c r="BP92" s="777"/>
      <c r="BS92" s="702" t="s">
        <v>1275</v>
      </c>
      <c r="BT92" s="702"/>
      <c r="BU92" s="702"/>
      <c r="BV92" s="511"/>
      <c r="BW92" s="511"/>
    </row>
    <row r="93" spans="2:75" ht="14.65" hidden="1" customHeight="1" x14ac:dyDescent="0.15">
      <c r="C93" s="25"/>
      <c r="D93" s="25"/>
      <c r="E93" s="451">
        <v>15</v>
      </c>
      <c r="F93" s="3" cm="1">
        <f t="array" aca="1" ref="F93" ca="1">OFFSET(E93,-1,1)</f>
        <v>0</v>
      </c>
      <c r="G93" s="611">
        <v>7</v>
      </c>
      <c r="H93" s="25"/>
      <c r="I93" s="25" t="s">
        <v>2083</v>
      </c>
      <c r="J93" s="25"/>
      <c r="K93" s="25" t="s">
        <v>2083</v>
      </c>
      <c r="L93" s="25"/>
      <c r="M93" s="25"/>
      <c r="N93" s="25"/>
      <c r="O93" s="25"/>
      <c r="P93" s="25"/>
      <c r="Q93" s="25"/>
      <c r="R93" s="25"/>
      <c r="S93" s="25"/>
      <c r="T93" s="353" t="b" cm="1">
        <f t="array" aca="1" ref="T93" ca="1">T92</f>
        <v>0</v>
      </c>
      <c r="U93" s="25"/>
      <c r="V93" s="25"/>
      <c r="W93" s="25"/>
      <c r="X93" s="1022"/>
      <c r="Z93" s="967"/>
      <c r="AB93" s="7" t="s">
        <v>519</v>
      </c>
      <c r="AC93" s="134" t="s">
        <v>1289</v>
      </c>
      <c r="AD93" s="7" t="s">
        <v>828</v>
      </c>
      <c r="AE93" s="171">
        <f ca="1">SUMIFS(Налоги!AE$25:AE$83,Налоги!$F$25:$F$83,$F93,Налоги!$AB$25:$AB$83,$G93)</f>
        <v>0</v>
      </c>
      <c r="AF93" s="171">
        <f ca="1">SUMIFS(Налоги!AF$25:AF$83,Налоги!$F$25:$F$83,$F93,Налоги!$AB$25:$AB$83,$G93)</f>
        <v>0</v>
      </c>
      <c r="AG93" s="171">
        <f ca="1">SUMIFS(Налоги!AG$25:AG$83,Налоги!$F$25:$F$83,$F93,Налоги!$AB$25:$AB$83,$G93)</f>
        <v>0</v>
      </c>
      <c r="AH93" s="171">
        <f t="shared" ca="1" si="9"/>
        <v>0</v>
      </c>
      <c r="AI93" s="171">
        <f ca="1">SUMIFS(Налоги!AH$25:AH$83,Налоги!$F$25:$F$83,$F93,Налоги!$AB$25:$AB$83,$G93)</f>
        <v>0</v>
      </c>
      <c r="AJ93" s="171">
        <f ca="1">SUMIFS(Налоги!AI$25:AI$83,Налоги!$F$25:$F$83,$F93,Налоги!$AB$25:$AB$83,$G93)</f>
        <v>0</v>
      </c>
      <c r="AK93" s="171">
        <f ca="1">SUMIFS(Налоги!AJ$25:AJ$83,Налоги!$F$25:$F$83,$F93,Налоги!$AB$25:$AB$83,$G93)</f>
        <v>0</v>
      </c>
      <c r="AL93" s="171">
        <f ca="1">SUMIFS(Налоги!AK$25:AK$83,Налоги!$F$25:$F$83,$F93,Налоги!$AB$25:$AB$83,$G93)</f>
        <v>0</v>
      </c>
      <c r="AM93" s="171">
        <f ca="1">SUMIFS(Налоги!AL$25:AL$83,Налоги!$F$25:$F$83,$F93,Налоги!$AB$25:$AB$83,$G93)</f>
        <v>0</v>
      </c>
      <c r="AN93" s="171">
        <f ca="1">SUMIFS(Налоги!AM$25:AM$83,Налоги!$F$25:$F$83,$F93,Налоги!$AB$25:$AB$83,$G93)</f>
        <v>0</v>
      </c>
      <c r="AO93" s="171">
        <f ca="1">SUMIFS(Налоги!AN$25:AN$83,Налоги!$F$25:$F$83,$F93,Налоги!$AB$25:$AB$83,$G93)</f>
        <v>0</v>
      </c>
      <c r="AP93" s="171">
        <f ca="1">SUMIFS(Налоги!AO$25:AO$83,Налоги!$F$25:$F$83,$F93,Налоги!$AB$25:$AB$83,$G93)</f>
        <v>0</v>
      </c>
      <c r="AQ93" s="171">
        <f ca="1">SUMIFS(Налоги!AP$25:AP$83,Налоги!$F$25:$F$83,$F93,Налоги!$AB$25:$AB$83,$G93)</f>
        <v>0</v>
      </c>
      <c r="AR93" s="171">
        <f ca="1">SUMIFS(Налоги!AQ$25:AQ$83,Налоги!$F$25:$F$83,$F93,Налоги!$AB$25:$AB$83,$G93)</f>
        <v>0</v>
      </c>
      <c r="AS93" s="171">
        <f ca="1">SUMIFS(Налоги!AR$25:AR$83,Налоги!$F$25:$F$83,$F93,Налоги!$AB$25:$AB$83,$G93)</f>
        <v>0</v>
      </c>
      <c r="AT93" s="171">
        <f ca="1">SUMIFS(Налоги!AS$25:AS$83,Налоги!$F$25:$F$83,$F93,Налоги!$AB$25:$AB$83,$G93)</f>
        <v>0</v>
      </c>
      <c r="AU93" s="171">
        <f ca="1">SUMIFS(Налоги!AT$25:AT$83,Налоги!$F$25:$F$83,$F93,Налоги!$AB$25:$AB$83,$G93)</f>
        <v>0</v>
      </c>
      <c r="AV93" s="171">
        <f ca="1">SUMIFS(Налоги!AU$25:AU$83,Налоги!$F$25:$F$83,$F93,Налоги!$AB$25:$AB$83,$G93)</f>
        <v>0</v>
      </c>
      <c r="AW93" s="171">
        <f ca="1">SUMIFS(Налоги!AV$25:AV$83,Налоги!$F$25:$F$83,$F93,Налоги!$AB$25:$AB$83,$G93)</f>
        <v>0</v>
      </c>
      <c r="AX93" s="171">
        <f ca="1">SUMIFS(Налоги!AW$25:AW$83,Налоги!$F$25:$F$83,$F93,Налоги!$AB$25:$AB$83,$G93)</f>
        <v>0</v>
      </c>
      <c r="AY93" s="171">
        <f ca="1">SUMIFS(Налоги!AX$25:AX$83,Налоги!$F$25:$F$83,$F93,Налоги!$AB$25:$AB$83,$G93)</f>
        <v>0</v>
      </c>
      <c r="AZ93" s="171">
        <f ca="1">SUMIFS(Налоги!AY$25:AY$83,Налоги!$F$25:$F$83,$F93,Налоги!$AB$25:$AB$83,$G93)</f>
        <v>0</v>
      </c>
      <c r="BA93" s="171">
        <f ca="1">SUMIFS(Налоги!AZ$25:AZ$83,Налоги!$F$25:$F$83,$F93,Налоги!$AB$25:$AB$83,$G93)</f>
        <v>0</v>
      </c>
      <c r="BB93" s="171">
        <f ca="1">SUMIFS(Налоги!BA$25:BA$83,Налоги!$F$25:$F$83,$F93,Налоги!$AB$25:$AB$83,$G93)</f>
        <v>0</v>
      </c>
      <c r="BC93" s="171">
        <f ca="1">SUMIFS(Налоги!BB$25:BB$83,Налоги!$F$25:$F$83,$F93,Налоги!$AB$25:$AB$83,$G93)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5"/>
      <c r="BO93" s="779" t="str">
        <f ca="1">IF(IFERROR(INDEX(Налоги!$K$26:$L$83,MATCH($F93&amp;"7komm",Налоги!$K$26:$K$83,0),2),"")=0,"",IFERROR(INDEX(Налоги!$K$26:$L$83,MATCH($F93&amp;"7komm",Налоги!$K$26:$K$83,0),2),""))</f>
        <v/>
      </c>
      <c r="BP93" s="775"/>
      <c r="BS93" s="696" t="s">
        <v>2084</v>
      </c>
    </row>
    <row r="94" spans="2:75" ht="14.65" hidden="1" customHeight="1" x14ac:dyDescent="0.15">
      <c r="C94" s="25"/>
      <c r="D94" s="25"/>
      <c r="E94" s="451">
        <v>15</v>
      </c>
      <c r="F94" s="3" cm="1">
        <f t="array" aca="1" ref="F94" ca="1">OFFSET(E94,-1,1)</f>
        <v>0</v>
      </c>
      <c r="G94" s="611">
        <v>6</v>
      </c>
      <c r="H94" s="25"/>
      <c r="I94" s="25" t="s">
        <v>2085</v>
      </c>
      <c r="J94" s="25"/>
      <c r="K94" s="25" t="s">
        <v>2085</v>
      </c>
      <c r="L94" s="25"/>
      <c r="M94" s="25"/>
      <c r="N94" s="25"/>
      <c r="O94" s="25"/>
      <c r="P94" s="25"/>
      <c r="Q94" s="25"/>
      <c r="R94" s="25"/>
      <c r="S94" s="25"/>
      <c r="T94" s="353" t="b" cm="1">
        <f t="array" aca="1" ref="T94" ca="1">T93</f>
        <v>0</v>
      </c>
      <c r="U94" s="25"/>
      <c r="V94" s="25"/>
      <c r="W94" s="25"/>
      <c r="X94" s="1022"/>
      <c r="Z94" s="967"/>
      <c r="AB94" s="7" t="s">
        <v>1500</v>
      </c>
      <c r="AC94" s="134" t="s">
        <v>2086</v>
      </c>
      <c r="AD94" s="7" t="s">
        <v>828</v>
      </c>
      <c r="AE94" s="171">
        <f ca="1">SUMIFS(Налоги!AE$25:AE$83,Налоги!$F$25:$F$83,$F94,Налоги!$AB$25:$AB$83,$G94)</f>
        <v>0</v>
      </c>
      <c r="AF94" s="171">
        <f ca="1">SUMIFS(Налоги!AF$25:AF$83,Налоги!$F$25:$F$83,$F94,Налоги!$AB$25:$AB$83,$G94)</f>
        <v>0</v>
      </c>
      <c r="AG94" s="171">
        <f ca="1">SUMIFS(Налоги!AG$25:AG$83,Налоги!$F$25:$F$83,$F94,Налоги!$AB$25:$AB$83,$G94)</f>
        <v>0</v>
      </c>
      <c r="AH94" s="171">
        <f t="shared" ca="1" si="9"/>
        <v>0</v>
      </c>
      <c r="AI94" s="171">
        <f ca="1">SUMIFS(Налоги!AH$25:AH$83,Налоги!$F$25:$F$83,$F94,Налоги!$AB$25:$AB$83,$G94)</f>
        <v>0</v>
      </c>
      <c r="AJ94" s="171">
        <f ca="1">SUMIFS(Налоги!AI$25:AI$83,Налоги!$F$25:$F$83,$F94,Налоги!$AB$25:$AB$83,$G94)</f>
        <v>0</v>
      </c>
      <c r="AK94" s="171">
        <f ca="1">SUMIFS(Налоги!AJ$25:AJ$83,Налоги!$F$25:$F$83,$F94,Налоги!$AB$25:$AB$83,$G94)</f>
        <v>0</v>
      </c>
      <c r="AL94" s="171">
        <f ca="1">SUMIFS(Налоги!AK$25:AK$83,Налоги!$F$25:$F$83,$F94,Налоги!$AB$25:$AB$83,$G94)</f>
        <v>0</v>
      </c>
      <c r="AM94" s="171">
        <f ca="1">SUMIFS(Налоги!AL$25:AL$83,Налоги!$F$25:$F$83,$F94,Налоги!$AB$25:$AB$83,$G94)</f>
        <v>0</v>
      </c>
      <c r="AN94" s="171">
        <f ca="1">SUMIFS(Налоги!AM$25:AM$83,Налоги!$F$25:$F$83,$F94,Налоги!$AB$25:$AB$83,$G94)</f>
        <v>0</v>
      </c>
      <c r="AO94" s="171">
        <f ca="1">SUMIFS(Налоги!AN$25:AN$83,Налоги!$F$25:$F$83,$F94,Налоги!$AB$25:$AB$83,$G94)</f>
        <v>0</v>
      </c>
      <c r="AP94" s="171">
        <f ca="1">SUMIFS(Налоги!AO$25:AO$83,Налоги!$F$25:$F$83,$F94,Налоги!$AB$25:$AB$83,$G94)</f>
        <v>0</v>
      </c>
      <c r="AQ94" s="171">
        <f ca="1">SUMIFS(Налоги!AP$25:AP$83,Налоги!$F$25:$F$83,$F94,Налоги!$AB$25:$AB$83,$G94)</f>
        <v>0</v>
      </c>
      <c r="AR94" s="171">
        <f ca="1">SUMIFS(Налоги!AQ$25:AQ$83,Налоги!$F$25:$F$83,$F94,Налоги!$AB$25:$AB$83,$G94)</f>
        <v>0</v>
      </c>
      <c r="AS94" s="171">
        <f ca="1">SUMIFS(Налоги!AR$25:AR$83,Налоги!$F$25:$F$83,$F94,Налоги!$AB$25:$AB$83,$G94)</f>
        <v>0</v>
      </c>
      <c r="AT94" s="171">
        <f ca="1">SUMIFS(Налоги!AS$25:AS$83,Налоги!$F$25:$F$83,$F94,Налоги!$AB$25:$AB$83,$G94)</f>
        <v>0</v>
      </c>
      <c r="AU94" s="171">
        <f ca="1">SUMIFS(Налоги!AT$25:AT$83,Налоги!$F$25:$F$83,$F94,Налоги!$AB$25:$AB$83,$G94)</f>
        <v>0</v>
      </c>
      <c r="AV94" s="171">
        <f ca="1">SUMIFS(Налоги!AU$25:AU$83,Налоги!$F$25:$F$83,$F94,Налоги!$AB$25:$AB$83,$G94)</f>
        <v>0</v>
      </c>
      <c r="AW94" s="171">
        <f ca="1">SUMIFS(Налоги!AV$25:AV$83,Налоги!$F$25:$F$83,$F94,Налоги!$AB$25:$AB$83,$G94)</f>
        <v>0</v>
      </c>
      <c r="AX94" s="171">
        <f ca="1">SUMIFS(Налоги!AW$25:AW$83,Налоги!$F$25:$F$83,$F94,Налоги!$AB$25:$AB$83,$G94)</f>
        <v>0</v>
      </c>
      <c r="AY94" s="171">
        <f ca="1">SUMIFS(Налоги!AX$25:AX$83,Налоги!$F$25:$F$83,$F94,Налоги!$AB$25:$AB$83,$G94)</f>
        <v>0</v>
      </c>
      <c r="AZ94" s="171">
        <f ca="1">SUMIFS(Налоги!AY$25:AY$83,Налоги!$F$25:$F$83,$F94,Налоги!$AB$25:$AB$83,$G94)</f>
        <v>0</v>
      </c>
      <c r="BA94" s="171">
        <f ca="1">SUMIFS(Налоги!AZ$25:AZ$83,Налоги!$F$25:$F$83,$F94,Налоги!$AB$25:$AB$83,$G94)</f>
        <v>0</v>
      </c>
      <c r="BB94" s="171">
        <f ca="1">SUMIFS(Налоги!BA$25:BA$83,Налоги!$F$25:$F$83,$F94,Налоги!$AB$25:$AB$83,$G94)</f>
        <v>0</v>
      </c>
      <c r="BC94" s="171">
        <f ca="1">SUMIFS(Налоги!BB$25:BB$83,Налоги!$F$25:$F$83,$F94,Налоги!$AB$25:$AB$83,$G94)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5"/>
      <c r="BO94" s="779" t="str">
        <f ca="1">IF(IFERROR(INDEX(Налоги!$K$26:$L$83,MATCH($F94&amp;"6komm",Налоги!$K$26:$K$83,0),2),"")=0,"",IFERROR(INDEX(Налоги!$K$26:$L$83,MATCH($F94&amp;"6komm",Налоги!$K$26:$K$83,0),2),""))</f>
        <v/>
      </c>
      <c r="BP94" s="775"/>
      <c r="BS94" s="696" t="s">
        <v>2087</v>
      </c>
    </row>
    <row r="95" spans="2:75" ht="14.65" hidden="1" customHeight="1" x14ac:dyDescent="0.15">
      <c r="C95" s="25"/>
      <c r="D95" s="25"/>
      <c r="E95" s="451">
        <v>15</v>
      </c>
      <c r="F95" s="3" cm="1">
        <f t="array" aca="1" ref="F95" ca="1">OFFSET(E95,-1,1)</f>
        <v>0</v>
      </c>
      <c r="G95" s="611">
        <v>2</v>
      </c>
      <c r="H95" s="25"/>
      <c r="I95" s="25" t="s">
        <v>2088</v>
      </c>
      <c r="J95" s="25"/>
      <c r="K95" s="25" t="s">
        <v>2088</v>
      </c>
      <c r="L95" s="25"/>
      <c r="M95" s="25"/>
      <c r="N95" s="25"/>
      <c r="O95" s="25"/>
      <c r="P95" s="25"/>
      <c r="Q95" s="25"/>
      <c r="R95" s="25"/>
      <c r="S95" s="25"/>
      <c r="T95" s="353" t="b" cm="1">
        <f t="array" aca="1" ref="T95" ca="1">T94</f>
        <v>0</v>
      </c>
      <c r="U95" s="25"/>
      <c r="V95" s="25"/>
      <c r="W95" s="25"/>
      <c r="X95" s="1022"/>
      <c r="Z95" s="967"/>
      <c r="AB95" s="7" t="s">
        <v>1505</v>
      </c>
      <c r="AC95" s="134" t="s">
        <v>2089</v>
      </c>
      <c r="AD95" s="7" t="s">
        <v>828</v>
      </c>
      <c r="AE95" s="171">
        <f ca="1">SUMIFS(Налоги!AE$25:AE$83,Налоги!$F$25:$F$83,$F95,Налоги!$AB$25:$AB$83,$G95)</f>
        <v>0</v>
      </c>
      <c r="AF95" s="171">
        <f ca="1">SUMIFS(Налоги!AF$25:AF$83,Налоги!$F$25:$F$83,$F95,Налоги!$AB$25:$AB$83,$G95)</f>
        <v>0</v>
      </c>
      <c r="AG95" s="171">
        <f ca="1">SUMIFS(Налоги!AG$25:AG$83,Налоги!$F$25:$F$83,$F95,Налоги!$AB$25:$AB$83,$G95)</f>
        <v>0</v>
      </c>
      <c r="AH95" s="171">
        <f t="shared" ca="1" si="9"/>
        <v>0</v>
      </c>
      <c r="AI95" s="171">
        <f ca="1">SUMIFS(Налоги!AH$25:AH$83,Налоги!$F$25:$F$83,$F95,Налоги!$AB$25:$AB$83,$G95)</f>
        <v>0</v>
      </c>
      <c r="AJ95" s="171">
        <f ca="1">SUMIFS(Налоги!AI$25:AI$83,Налоги!$F$25:$F$83,$F95,Налоги!$AB$25:$AB$83,$G95)</f>
        <v>0</v>
      </c>
      <c r="AK95" s="171">
        <f ca="1">SUMIFS(Налоги!AJ$25:AJ$83,Налоги!$F$25:$F$83,$F95,Налоги!$AB$25:$AB$83,$G95)</f>
        <v>0</v>
      </c>
      <c r="AL95" s="171">
        <f ca="1">SUMIFS(Налоги!AK$25:AK$83,Налоги!$F$25:$F$83,$F95,Налоги!$AB$25:$AB$83,$G95)</f>
        <v>0</v>
      </c>
      <c r="AM95" s="171">
        <f ca="1">SUMIFS(Налоги!AL$25:AL$83,Налоги!$F$25:$F$83,$F95,Налоги!$AB$25:$AB$83,$G95)</f>
        <v>0</v>
      </c>
      <c r="AN95" s="171">
        <f ca="1">SUMIFS(Налоги!AM$25:AM$83,Налоги!$F$25:$F$83,$F95,Налоги!$AB$25:$AB$83,$G95)</f>
        <v>0</v>
      </c>
      <c r="AO95" s="171">
        <f ca="1">SUMIFS(Налоги!AN$25:AN$83,Налоги!$F$25:$F$83,$F95,Налоги!$AB$25:$AB$83,$G95)</f>
        <v>0</v>
      </c>
      <c r="AP95" s="171">
        <f ca="1">SUMIFS(Налоги!AO$25:AO$83,Налоги!$F$25:$F$83,$F95,Налоги!$AB$25:$AB$83,$G95)</f>
        <v>0</v>
      </c>
      <c r="AQ95" s="171">
        <f ca="1">SUMIFS(Налоги!AP$25:AP$83,Налоги!$F$25:$F$83,$F95,Налоги!$AB$25:$AB$83,$G95)</f>
        <v>0</v>
      </c>
      <c r="AR95" s="171">
        <f ca="1">SUMIFS(Налоги!AQ$25:AQ$83,Налоги!$F$25:$F$83,$F95,Налоги!$AB$25:$AB$83,$G95)</f>
        <v>0</v>
      </c>
      <c r="AS95" s="171">
        <f ca="1">SUMIFS(Налоги!AR$25:AR$83,Налоги!$F$25:$F$83,$F95,Налоги!$AB$25:$AB$83,$G95)</f>
        <v>0</v>
      </c>
      <c r="AT95" s="171">
        <f ca="1">SUMIFS(Налоги!AS$25:AS$83,Налоги!$F$25:$F$83,$F95,Налоги!$AB$25:$AB$83,$G95)</f>
        <v>0</v>
      </c>
      <c r="AU95" s="171">
        <f ca="1">SUMIFS(Налоги!AT$25:AT$83,Налоги!$F$25:$F$83,$F95,Налоги!$AB$25:$AB$83,$G95)</f>
        <v>0</v>
      </c>
      <c r="AV95" s="171">
        <f ca="1">SUMIFS(Налоги!AU$25:AU$83,Налоги!$F$25:$F$83,$F95,Налоги!$AB$25:$AB$83,$G95)</f>
        <v>0</v>
      </c>
      <c r="AW95" s="171">
        <f ca="1">SUMIFS(Налоги!AV$25:AV$83,Налоги!$F$25:$F$83,$F95,Налоги!$AB$25:$AB$83,$G95)</f>
        <v>0</v>
      </c>
      <c r="AX95" s="171">
        <f ca="1">SUMIFS(Налоги!AW$25:AW$83,Налоги!$F$25:$F$83,$F95,Налоги!$AB$25:$AB$83,$G95)</f>
        <v>0</v>
      </c>
      <c r="AY95" s="171">
        <f ca="1">SUMIFS(Налоги!AX$25:AX$83,Налоги!$F$25:$F$83,$F95,Налоги!$AB$25:$AB$83,$G95)</f>
        <v>0</v>
      </c>
      <c r="AZ95" s="171">
        <f ca="1">SUMIFS(Налоги!AY$25:AY$83,Налоги!$F$25:$F$83,$F95,Налоги!$AB$25:$AB$83,$G95)</f>
        <v>0</v>
      </c>
      <c r="BA95" s="171">
        <f ca="1">SUMIFS(Налоги!AZ$25:AZ$83,Налоги!$F$25:$F$83,$F95,Налоги!$AB$25:$AB$83,$G95)</f>
        <v>0</v>
      </c>
      <c r="BB95" s="171">
        <f ca="1">SUMIFS(Налоги!BA$25:BA$83,Налоги!$F$25:$F$83,$F95,Налоги!$AB$25:$AB$83,$G95)</f>
        <v>0</v>
      </c>
      <c r="BC95" s="171">
        <f ca="1">SUMIFS(Налоги!BB$25:BB$83,Налоги!$F$25:$F$83,$F95,Налоги!$AB$25:$AB$83,$G95)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5"/>
      <c r="BO95" s="779" t="str">
        <f ca="1">IF(IFERROR(INDEX(Налоги!$K$26:$L$83,MATCH($F95&amp;"2komm",Налоги!$K$26:$K$83,0),2),"")=0,"",IFERROR(INDEX(Налоги!$K$26:$L$83,MATCH($F95&amp;"2komm",Налоги!$K$26:$K$83,0),2),""))</f>
        <v/>
      </c>
      <c r="BP95" s="775"/>
      <c r="BS95" s="696" t="s">
        <v>2090</v>
      </c>
    </row>
    <row r="96" spans="2:75" ht="14.65" hidden="1" customHeight="1" x14ac:dyDescent="0.15">
      <c r="C96" s="25"/>
      <c r="D96" s="25"/>
      <c r="E96" s="451">
        <v>15</v>
      </c>
      <c r="F96" s="3" cm="1">
        <f t="array" aca="1" ref="F96" ca="1">OFFSET(E96,-1,1)</f>
        <v>0</v>
      </c>
      <c r="G96" s="611">
        <v>4</v>
      </c>
      <c r="H96" s="25"/>
      <c r="I96" s="25" t="s">
        <v>2091</v>
      </c>
      <c r="J96" s="25"/>
      <c r="K96" s="25" t="s">
        <v>2091</v>
      </c>
      <c r="L96" s="25"/>
      <c r="M96" s="25"/>
      <c r="N96" s="25"/>
      <c r="O96" s="25"/>
      <c r="P96" s="25"/>
      <c r="Q96" s="25"/>
      <c r="R96" s="25"/>
      <c r="S96" s="25"/>
      <c r="T96" s="353" t="b" cm="1">
        <f t="array" aca="1" ref="T96" ca="1">T95</f>
        <v>0</v>
      </c>
      <c r="U96" s="25"/>
      <c r="V96" s="25"/>
      <c r="W96" s="25"/>
      <c r="X96" s="1022"/>
      <c r="Z96" s="967"/>
      <c r="AB96" s="7" t="s">
        <v>2092</v>
      </c>
      <c r="AC96" s="134" t="s">
        <v>2093</v>
      </c>
      <c r="AD96" s="7" t="s">
        <v>828</v>
      </c>
      <c r="AE96" s="171">
        <f ca="1">SUMIFS(Налоги!AE$25:AE$83,Налоги!$F$25:$F$83,$F96,Налоги!$AB$25:$AB$83,$G96)</f>
        <v>0</v>
      </c>
      <c r="AF96" s="171">
        <f ca="1">SUMIFS(Налоги!AF$25:AF$83,Налоги!$F$25:$F$83,$F96,Налоги!$AB$25:$AB$83,$G96)</f>
        <v>0</v>
      </c>
      <c r="AG96" s="171">
        <f ca="1">SUMIFS(Налоги!AG$25:AG$83,Налоги!$F$25:$F$83,$F96,Налоги!$AB$25:$AB$83,$G96)</f>
        <v>0</v>
      </c>
      <c r="AH96" s="171">
        <f t="shared" ca="1" si="9"/>
        <v>0</v>
      </c>
      <c r="AI96" s="171">
        <f ca="1">SUMIFS(Налоги!AH$25:AH$83,Налоги!$F$25:$F$83,$F96,Налоги!$AB$25:$AB$83,$G96)</f>
        <v>0</v>
      </c>
      <c r="AJ96" s="171">
        <f ca="1">SUMIFS(Налоги!AI$25:AI$83,Налоги!$F$25:$F$83,$F96,Налоги!$AB$25:$AB$83,$G96)</f>
        <v>0</v>
      </c>
      <c r="AK96" s="171">
        <f ca="1">SUMIFS(Налоги!AJ$25:AJ$83,Налоги!$F$25:$F$83,$F96,Налоги!$AB$25:$AB$83,$G96)</f>
        <v>0</v>
      </c>
      <c r="AL96" s="171">
        <f ca="1">SUMIFS(Налоги!AK$25:AK$83,Налоги!$F$25:$F$83,$F96,Налоги!$AB$25:$AB$83,$G96)</f>
        <v>0</v>
      </c>
      <c r="AM96" s="171">
        <f ca="1">SUMIFS(Налоги!AL$25:AL$83,Налоги!$F$25:$F$83,$F96,Налоги!$AB$25:$AB$83,$G96)</f>
        <v>0</v>
      </c>
      <c r="AN96" s="171">
        <f ca="1">SUMIFS(Налоги!AM$25:AM$83,Налоги!$F$25:$F$83,$F96,Налоги!$AB$25:$AB$83,$G96)</f>
        <v>0</v>
      </c>
      <c r="AO96" s="171">
        <f ca="1">SUMIFS(Налоги!AN$25:AN$83,Налоги!$F$25:$F$83,$F96,Налоги!$AB$25:$AB$83,$G96)</f>
        <v>0</v>
      </c>
      <c r="AP96" s="171">
        <f ca="1">SUMIFS(Налоги!AO$25:AO$83,Налоги!$F$25:$F$83,$F96,Налоги!$AB$25:$AB$83,$G96)</f>
        <v>0</v>
      </c>
      <c r="AQ96" s="171">
        <f ca="1">SUMIFS(Налоги!AP$25:AP$83,Налоги!$F$25:$F$83,$F96,Налоги!$AB$25:$AB$83,$G96)</f>
        <v>0</v>
      </c>
      <c r="AR96" s="171">
        <f ca="1">SUMIFS(Налоги!AQ$25:AQ$83,Налоги!$F$25:$F$83,$F96,Налоги!$AB$25:$AB$83,$G96)</f>
        <v>0</v>
      </c>
      <c r="AS96" s="171">
        <f ca="1">SUMIFS(Налоги!AR$25:AR$83,Налоги!$F$25:$F$83,$F96,Налоги!$AB$25:$AB$83,$G96)</f>
        <v>0</v>
      </c>
      <c r="AT96" s="171">
        <f ca="1">SUMIFS(Налоги!AS$25:AS$83,Налоги!$F$25:$F$83,$F96,Налоги!$AB$25:$AB$83,$G96)</f>
        <v>0</v>
      </c>
      <c r="AU96" s="171">
        <f ca="1">SUMIFS(Налоги!AT$25:AT$83,Налоги!$F$25:$F$83,$F96,Налоги!$AB$25:$AB$83,$G96)</f>
        <v>0</v>
      </c>
      <c r="AV96" s="171">
        <f ca="1">SUMIFS(Налоги!AU$25:AU$83,Налоги!$F$25:$F$83,$F96,Налоги!$AB$25:$AB$83,$G96)</f>
        <v>0</v>
      </c>
      <c r="AW96" s="171">
        <f ca="1">SUMIFS(Налоги!AV$25:AV$83,Налоги!$F$25:$F$83,$F96,Налоги!$AB$25:$AB$83,$G96)</f>
        <v>0</v>
      </c>
      <c r="AX96" s="171">
        <f ca="1">SUMIFS(Налоги!AW$25:AW$83,Налоги!$F$25:$F$83,$F96,Налоги!$AB$25:$AB$83,$G96)</f>
        <v>0</v>
      </c>
      <c r="AY96" s="171">
        <f ca="1">SUMIFS(Налоги!AX$25:AX$83,Налоги!$F$25:$F$83,$F96,Налоги!$AB$25:$AB$83,$G96)</f>
        <v>0</v>
      </c>
      <c r="AZ96" s="171">
        <f ca="1">SUMIFS(Налоги!AY$25:AY$83,Налоги!$F$25:$F$83,$F96,Налоги!$AB$25:$AB$83,$G96)</f>
        <v>0</v>
      </c>
      <c r="BA96" s="171">
        <f ca="1">SUMIFS(Налоги!AZ$25:AZ$83,Налоги!$F$25:$F$83,$F96,Налоги!$AB$25:$AB$83,$G96)</f>
        <v>0</v>
      </c>
      <c r="BB96" s="171">
        <f ca="1">SUMIFS(Налоги!BA$25:BA$83,Налоги!$F$25:$F$83,$F96,Налоги!$AB$25:$AB$83,$G96)</f>
        <v>0</v>
      </c>
      <c r="BC96" s="171">
        <f ca="1">SUMIFS(Налоги!BB$25:BB$83,Налоги!$F$25:$F$83,$F96,Налоги!$AB$25:$AB$83,$G96)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5"/>
      <c r="BO96" s="779" t="str">
        <f ca="1">IF(IFERROR(INDEX(Налоги!$K$26:$L$83,MATCH($F96&amp;"4komm",Налоги!$K$26:$K$83,0),2),"")=0,"",IFERROR(INDEX(Налоги!$K$26:$L$83,MATCH($F96&amp;"4komm",Налоги!$K$26:$K$83,0),2),""))</f>
        <v/>
      </c>
      <c r="BP96" s="775"/>
      <c r="BS96" s="696" t="s">
        <v>2094</v>
      </c>
    </row>
    <row r="97" spans="2:75" ht="14.65" hidden="1" customHeight="1" x14ac:dyDescent="0.15">
      <c r="C97" s="25"/>
      <c r="D97" s="25"/>
      <c r="E97" s="451">
        <v>15</v>
      </c>
      <c r="F97" s="3" cm="1">
        <f t="array" aca="1" ref="F97" ca="1">OFFSET(E97,-1,1)</f>
        <v>0</v>
      </c>
      <c r="G97" s="611">
        <v>5</v>
      </c>
      <c r="H97" s="25"/>
      <c r="I97" s="25" t="s">
        <v>2095</v>
      </c>
      <c r="J97" s="25"/>
      <c r="K97" s="25" t="s">
        <v>2095</v>
      </c>
      <c r="L97" s="25"/>
      <c r="M97" s="25"/>
      <c r="N97" s="25"/>
      <c r="O97" s="25"/>
      <c r="P97" s="25"/>
      <c r="Q97" s="25"/>
      <c r="R97" s="25"/>
      <c r="S97" s="25"/>
      <c r="T97" s="353" t="b" cm="1">
        <f t="array" aca="1" ref="T97" ca="1">T96</f>
        <v>0</v>
      </c>
      <c r="U97" s="25"/>
      <c r="V97" s="25"/>
      <c r="W97" s="25"/>
      <c r="X97" s="1022"/>
      <c r="Z97" s="967"/>
      <c r="AB97" s="7" t="s">
        <v>2096</v>
      </c>
      <c r="AC97" s="134" t="s">
        <v>2097</v>
      </c>
      <c r="AD97" s="7" t="s">
        <v>828</v>
      </c>
      <c r="AE97" s="171">
        <f ca="1">SUMIFS(Налоги!AE$25:AE$83,Налоги!$F$25:$F$83,$F97,Налоги!$AB$25:$AB$83,$G97)</f>
        <v>0</v>
      </c>
      <c r="AF97" s="171">
        <f ca="1">SUMIFS(Налоги!AF$25:AF$83,Налоги!$F$25:$F$83,$F97,Налоги!$AB$25:$AB$83,$G97)</f>
        <v>0</v>
      </c>
      <c r="AG97" s="171">
        <f ca="1">SUMIFS(Налоги!AG$25:AG$83,Налоги!$F$25:$F$83,$F97,Налоги!$AB$25:$AB$83,$G97)</f>
        <v>0</v>
      </c>
      <c r="AH97" s="171">
        <f t="shared" ca="1" si="9"/>
        <v>0</v>
      </c>
      <c r="AI97" s="171">
        <f ca="1">SUMIFS(Налоги!AH$25:AH$83,Налоги!$F$25:$F$83,$F97,Налоги!$AB$25:$AB$83,$G97)</f>
        <v>0</v>
      </c>
      <c r="AJ97" s="171">
        <f ca="1">SUMIFS(Налоги!AI$25:AI$83,Налоги!$F$25:$F$83,$F97,Налоги!$AB$25:$AB$83,$G97)</f>
        <v>0</v>
      </c>
      <c r="AK97" s="171">
        <f ca="1">SUMIFS(Налоги!AJ$25:AJ$83,Налоги!$F$25:$F$83,$F97,Налоги!$AB$25:$AB$83,$G97)</f>
        <v>0</v>
      </c>
      <c r="AL97" s="171">
        <f ca="1">SUMIFS(Налоги!AK$25:AK$83,Налоги!$F$25:$F$83,$F97,Налоги!$AB$25:$AB$83,$G97)</f>
        <v>0</v>
      </c>
      <c r="AM97" s="171">
        <f ca="1">SUMIFS(Налоги!AL$25:AL$83,Налоги!$F$25:$F$83,$F97,Налоги!$AB$25:$AB$83,$G97)</f>
        <v>0</v>
      </c>
      <c r="AN97" s="171">
        <f ca="1">SUMIFS(Налоги!AM$25:AM$83,Налоги!$F$25:$F$83,$F97,Налоги!$AB$25:$AB$83,$G97)</f>
        <v>0</v>
      </c>
      <c r="AO97" s="171">
        <f ca="1">SUMIFS(Налоги!AN$25:AN$83,Налоги!$F$25:$F$83,$F97,Налоги!$AB$25:$AB$83,$G97)</f>
        <v>0</v>
      </c>
      <c r="AP97" s="171">
        <f ca="1">SUMIFS(Налоги!AO$25:AO$83,Налоги!$F$25:$F$83,$F97,Налоги!$AB$25:$AB$83,$G97)</f>
        <v>0</v>
      </c>
      <c r="AQ97" s="171">
        <f ca="1">SUMIFS(Налоги!AP$25:AP$83,Налоги!$F$25:$F$83,$F97,Налоги!$AB$25:$AB$83,$G97)</f>
        <v>0</v>
      </c>
      <c r="AR97" s="171">
        <f ca="1">SUMIFS(Налоги!AQ$25:AQ$83,Налоги!$F$25:$F$83,$F97,Налоги!$AB$25:$AB$83,$G97)</f>
        <v>0</v>
      </c>
      <c r="AS97" s="171">
        <f ca="1">SUMIFS(Налоги!AR$25:AR$83,Налоги!$F$25:$F$83,$F97,Налоги!$AB$25:$AB$83,$G97)</f>
        <v>0</v>
      </c>
      <c r="AT97" s="171">
        <f ca="1">SUMIFS(Налоги!AS$25:AS$83,Налоги!$F$25:$F$83,$F97,Налоги!$AB$25:$AB$83,$G97)</f>
        <v>0</v>
      </c>
      <c r="AU97" s="171">
        <f ca="1">SUMIFS(Налоги!AT$25:AT$83,Налоги!$F$25:$F$83,$F97,Налоги!$AB$25:$AB$83,$G97)</f>
        <v>0</v>
      </c>
      <c r="AV97" s="171">
        <f ca="1">SUMIFS(Налоги!AU$25:AU$83,Налоги!$F$25:$F$83,$F97,Налоги!$AB$25:$AB$83,$G97)</f>
        <v>0</v>
      </c>
      <c r="AW97" s="171">
        <f ca="1">SUMIFS(Налоги!AV$25:AV$83,Налоги!$F$25:$F$83,$F97,Налоги!$AB$25:$AB$83,$G97)</f>
        <v>0</v>
      </c>
      <c r="AX97" s="171">
        <f ca="1">SUMIFS(Налоги!AW$25:AW$83,Налоги!$F$25:$F$83,$F97,Налоги!$AB$25:$AB$83,$G97)</f>
        <v>0</v>
      </c>
      <c r="AY97" s="171">
        <f ca="1">SUMIFS(Налоги!AX$25:AX$83,Налоги!$F$25:$F$83,$F97,Налоги!$AB$25:$AB$83,$G97)</f>
        <v>0</v>
      </c>
      <c r="AZ97" s="171">
        <f ca="1">SUMIFS(Налоги!AY$25:AY$83,Налоги!$F$25:$F$83,$F97,Налоги!$AB$25:$AB$83,$G97)</f>
        <v>0</v>
      </c>
      <c r="BA97" s="171">
        <f ca="1">SUMIFS(Налоги!AZ$25:AZ$83,Налоги!$F$25:$F$83,$F97,Налоги!$AB$25:$AB$83,$G97)</f>
        <v>0</v>
      </c>
      <c r="BB97" s="171">
        <f ca="1">SUMIFS(Налоги!BA$25:BA$83,Налоги!$F$25:$F$83,$F97,Налоги!$AB$25:$AB$83,$G97)</f>
        <v>0</v>
      </c>
      <c r="BC97" s="171">
        <f ca="1">SUMIFS(Налоги!BB$25:BB$83,Налоги!$F$25:$F$83,$F97,Налоги!$AB$25:$AB$83,$G97)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5"/>
      <c r="BO97" s="779" t="str">
        <f ca="1">IF(IFERROR(INDEX(Налоги!$K$26:$L$83,MATCH($F97&amp;"5komm",Налоги!$K$26:$K$83,0),2),"")=0,"",IFERROR(INDEX(Налоги!$K$26:$L$83,MATCH($F97&amp;"5komm",Налоги!$K$26:$K$83,0),2),""))</f>
        <v/>
      </c>
      <c r="BP97" s="775"/>
      <c r="BS97" s="696" t="s">
        <v>2098</v>
      </c>
    </row>
    <row r="98" spans="2:75" ht="14.65" hidden="1" customHeight="1" x14ac:dyDescent="0.15">
      <c r="C98" s="25"/>
      <c r="D98" s="25"/>
      <c r="E98" s="451">
        <v>15</v>
      </c>
      <c r="F98" s="3" cm="1">
        <f t="array" aca="1" ref="F98" ca="1">OFFSET(E98,-1,1)</f>
        <v>0</v>
      </c>
      <c r="G98" s="611">
        <v>1</v>
      </c>
      <c r="H98" s="25"/>
      <c r="I98" s="25" t="s">
        <v>2099</v>
      </c>
      <c r="J98" s="25"/>
      <c r="K98" s="25" t="s">
        <v>2099</v>
      </c>
      <c r="L98" s="25"/>
      <c r="M98" s="25"/>
      <c r="N98" s="25"/>
      <c r="O98" s="25"/>
      <c r="P98" s="25"/>
      <c r="Q98" s="25"/>
      <c r="R98" s="25"/>
      <c r="S98" s="25"/>
      <c r="T98" s="353" t="b" cm="1">
        <f t="array" aca="1" ref="T98" ca="1">T97</f>
        <v>0</v>
      </c>
      <c r="U98" s="25"/>
      <c r="V98" s="25"/>
      <c r="W98" s="25"/>
      <c r="X98" s="1022"/>
      <c r="Z98" s="967"/>
      <c r="AB98" s="7" t="s">
        <v>2100</v>
      </c>
      <c r="AC98" s="134" t="s">
        <v>2101</v>
      </c>
      <c r="AD98" s="7" t="s">
        <v>828</v>
      </c>
      <c r="AE98" s="171">
        <f ca="1">SUMIFS(Налоги!AE$25:AE$83,Налоги!$F$25:$F$83,$F98,Налоги!$AB$25:$AB$83,$G98)</f>
        <v>0</v>
      </c>
      <c r="AF98" s="171">
        <f ca="1">SUMIFS(Налоги!AF$25:AF$83,Налоги!$F$25:$F$83,$F98,Налоги!$AB$25:$AB$83,$G98)</f>
        <v>0</v>
      </c>
      <c r="AG98" s="171">
        <f ca="1">SUMIFS(Налоги!AG$25:AG$83,Налоги!$F$25:$F$83,$F98,Налоги!$AB$25:$AB$83,$G98)</f>
        <v>0</v>
      </c>
      <c r="AH98" s="171">
        <f t="shared" ca="1" si="9"/>
        <v>0</v>
      </c>
      <c r="AI98" s="171">
        <f ca="1">SUMIFS(Налоги!AH$25:AH$83,Налоги!$F$25:$F$83,$F98,Налоги!$AB$25:$AB$83,$G98)</f>
        <v>0</v>
      </c>
      <c r="AJ98" s="171">
        <f ca="1">SUMIFS(Налоги!AI$25:AI$83,Налоги!$F$25:$F$83,$F98,Налоги!$AB$25:$AB$83,$G98)</f>
        <v>0</v>
      </c>
      <c r="AK98" s="171">
        <f ca="1">SUMIFS(Налоги!AJ$25:AJ$83,Налоги!$F$25:$F$83,$F98,Налоги!$AB$25:$AB$83,$G98)</f>
        <v>0</v>
      </c>
      <c r="AL98" s="171">
        <f ca="1">SUMIFS(Налоги!AK$25:AK$83,Налоги!$F$25:$F$83,$F98,Налоги!$AB$25:$AB$83,$G98)</f>
        <v>0</v>
      </c>
      <c r="AM98" s="171">
        <f ca="1">SUMIFS(Налоги!AL$25:AL$83,Налоги!$F$25:$F$83,$F98,Налоги!$AB$25:$AB$83,$G98)</f>
        <v>0</v>
      </c>
      <c r="AN98" s="171">
        <f ca="1">SUMIFS(Налоги!AM$25:AM$83,Налоги!$F$25:$F$83,$F98,Налоги!$AB$25:$AB$83,$G98)</f>
        <v>0</v>
      </c>
      <c r="AO98" s="171">
        <f ca="1">SUMIFS(Налоги!AN$25:AN$83,Налоги!$F$25:$F$83,$F98,Налоги!$AB$25:$AB$83,$G98)</f>
        <v>0</v>
      </c>
      <c r="AP98" s="171">
        <f ca="1">SUMIFS(Налоги!AO$25:AO$83,Налоги!$F$25:$F$83,$F98,Налоги!$AB$25:$AB$83,$G98)</f>
        <v>0</v>
      </c>
      <c r="AQ98" s="171">
        <f ca="1">SUMIFS(Налоги!AP$25:AP$83,Налоги!$F$25:$F$83,$F98,Налоги!$AB$25:$AB$83,$G98)</f>
        <v>0</v>
      </c>
      <c r="AR98" s="171">
        <f ca="1">SUMIFS(Налоги!AQ$25:AQ$83,Налоги!$F$25:$F$83,$F98,Налоги!$AB$25:$AB$83,$G98)</f>
        <v>0</v>
      </c>
      <c r="AS98" s="171">
        <f ca="1">SUMIFS(Налоги!AR$25:AR$83,Налоги!$F$25:$F$83,$F98,Налоги!$AB$25:$AB$83,$G98)</f>
        <v>0</v>
      </c>
      <c r="AT98" s="171">
        <f ca="1">SUMIFS(Налоги!AS$25:AS$83,Налоги!$F$25:$F$83,$F98,Налоги!$AB$25:$AB$83,$G98)</f>
        <v>0</v>
      </c>
      <c r="AU98" s="171">
        <f ca="1">SUMIFS(Налоги!AT$25:AT$83,Налоги!$F$25:$F$83,$F98,Налоги!$AB$25:$AB$83,$G98)</f>
        <v>0</v>
      </c>
      <c r="AV98" s="171">
        <f ca="1">SUMIFS(Налоги!AU$25:AU$83,Налоги!$F$25:$F$83,$F98,Налоги!$AB$25:$AB$83,$G98)</f>
        <v>0</v>
      </c>
      <c r="AW98" s="171">
        <f ca="1">SUMIFS(Налоги!AV$25:AV$83,Налоги!$F$25:$F$83,$F98,Налоги!$AB$25:$AB$83,$G98)</f>
        <v>0</v>
      </c>
      <c r="AX98" s="171">
        <f ca="1">SUMIFS(Налоги!AW$25:AW$83,Налоги!$F$25:$F$83,$F98,Налоги!$AB$25:$AB$83,$G98)</f>
        <v>0</v>
      </c>
      <c r="AY98" s="171">
        <f ca="1">SUMIFS(Налоги!AX$25:AX$83,Налоги!$F$25:$F$83,$F98,Налоги!$AB$25:$AB$83,$G98)</f>
        <v>0</v>
      </c>
      <c r="AZ98" s="171">
        <f ca="1">SUMIFS(Налоги!AY$25:AY$83,Налоги!$F$25:$F$83,$F98,Налоги!$AB$25:$AB$83,$G98)</f>
        <v>0</v>
      </c>
      <c r="BA98" s="171">
        <f ca="1">SUMIFS(Налоги!AZ$25:AZ$83,Налоги!$F$25:$F$83,$F98,Налоги!$AB$25:$AB$83,$G98)</f>
        <v>0</v>
      </c>
      <c r="BB98" s="171">
        <f ca="1">SUMIFS(Налоги!BA$25:BA$83,Налоги!$F$25:$F$83,$F98,Налоги!$AB$25:$AB$83,$G98)</f>
        <v>0</v>
      </c>
      <c r="BC98" s="171">
        <f ca="1">SUMIFS(Налоги!BB$25:BB$83,Налоги!$F$25:$F$83,$F98,Налоги!$AB$25:$AB$83,$G98)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5"/>
      <c r="BO98" s="779" t="str">
        <f ca="1">IF(IFERROR(INDEX(Налоги!$K$26:$L$83,MATCH($F98&amp;"1komm",Налоги!$K$26:$K$83,0),2),"")=0,"",IFERROR(INDEX(Налоги!$K$26:$L$83,MATCH($F98&amp;"1komm",Налоги!$K$26:$K$83,0),2),""))</f>
        <v/>
      </c>
      <c r="BP98" s="775"/>
      <c r="BS98" s="696" t="s">
        <v>2102</v>
      </c>
    </row>
    <row r="99" spans="2:75" ht="14.65" hidden="1" customHeight="1" x14ac:dyDescent="0.15">
      <c r="C99" s="25"/>
      <c r="D99" s="25"/>
      <c r="E99" s="451">
        <v>15</v>
      </c>
      <c r="F99" s="3" cm="1">
        <f t="array" aca="1" ref="F99" ca="1">OFFSET(E99,-1,1)</f>
        <v>0</v>
      </c>
      <c r="G99" s="611">
        <v>3</v>
      </c>
      <c r="H99" s="25"/>
      <c r="I99" s="25" t="s">
        <v>2103</v>
      </c>
      <c r="J99" s="25"/>
      <c r="K99" s="25" t="s">
        <v>2103</v>
      </c>
      <c r="L99" s="25"/>
      <c r="M99" s="25"/>
      <c r="N99" s="25"/>
      <c r="O99" s="25"/>
      <c r="P99" s="25"/>
      <c r="Q99" s="25"/>
      <c r="R99" s="25"/>
      <c r="S99" s="25"/>
      <c r="T99" s="353" t="b" cm="1">
        <f t="array" aca="1" ref="T99" ca="1">T98</f>
        <v>0</v>
      </c>
      <c r="U99" s="25"/>
      <c r="V99" s="25"/>
      <c r="W99" s="25"/>
      <c r="X99" s="1022"/>
      <c r="Z99" s="967"/>
      <c r="AB99" s="7" t="s">
        <v>2104</v>
      </c>
      <c r="AC99" s="134" t="s">
        <v>2105</v>
      </c>
      <c r="AD99" s="7" t="s">
        <v>828</v>
      </c>
      <c r="AE99" s="171">
        <f ca="1">SUMIFS(Налоги!AE$25:AE$83,Налоги!$F$25:$F$83,$F99,Налоги!$AB$25:$AB$83,$G99)</f>
        <v>0</v>
      </c>
      <c r="AF99" s="171">
        <f ca="1">SUMIFS(Налоги!AF$25:AF$83,Налоги!$F$25:$F$83,$F99,Налоги!$AB$25:$AB$83,$G99)</f>
        <v>0</v>
      </c>
      <c r="AG99" s="171">
        <f ca="1">SUMIFS(Налоги!AG$25:AG$83,Налоги!$F$25:$F$83,$F99,Налоги!$AB$25:$AB$83,$G99)</f>
        <v>0</v>
      </c>
      <c r="AH99" s="171">
        <f t="shared" ca="1" si="9"/>
        <v>0</v>
      </c>
      <c r="AI99" s="171">
        <f ca="1">SUMIFS(Налоги!AH$25:AH$83,Налоги!$F$25:$F$83,$F99,Налоги!$AB$25:$AB$83,$G99)</f>
        <v>0</v>
      </c>
      <c r="AJ99" s="171">
        <f ca="1">SUMIFS(Налоги!AI$25:AI$83,Налоги!$F$25:$F$83,$F99,Налоги!$AB$25:$AB$83,$G99)</f>
        <v>0</v>
      </c>
      <c r="AK99" s="171">
        <f ca="1">SUMIFS(Налоги!AJ$25:AJ$83,Налоги!$F$25:$F$83,$F99,Налоги!$AB$25:$AB$83,$G99)</f>
        <v>0</v>
      </c>
      <c r="AL99" s="171">
        <f ca="1">SUMIFS(Налоги!AK$25:AK$83,Налоги!$F$25:$F$83,$F99,Налоги!$AB$25:$AB$83,$G99)</f>
        <v>0</v>
      </c>
      <c r="AM99" s="171">
        <f ca="1">SUMIFS(Налоги!AL$25:AL$83,Налоги!$F$25:$F$83,$F99,Налоги!$AB$25:$AB$83,$G99)</f>
        <v>0</v>
      </c>
      <c r="AN99" s="171">
        <f ca="1">SUMIFS(Налоги!AM$25:AM$83,Налоги!$F$25:$F$83,$F99,Налоги!$AB$25:$AB$83,$G99)</f>
        <v>0</v>
      </c>
      <c r="AO99" s="171">
        <f ca="1">SUMIFS(Налоги!AN$25:AN$83,Налоги!$F$25:$F$83,$F99,Налоги!$AB$25:$AB$83,$G99)</f>
        <v>0</v>
      </c>
      <c r="AP99" s="171">
        <f ca="1">SUMIFS(Налоги!AO$25:AO$83,Налоги!$F$25:$F$83,$F99,Налоги!$AB$25:$AB$83,$G99)</f>
        <v>0</v>
      </c>
      <c r="AQ99" s="171">
        <f ca="1">SUMIFS(Налоги!AP$25:AP$83,Налоги!$F$25:$F$83,$F99,Налоги!$AB$25:$AB$83,$G99)</f>
        <v>0</v>
      </c>
      <c r="AR99" s="171">
        <f ca="1">SUMIFS(Налоги!AQ$25:AQ$83,Налоги!$F$25:$F$83,$F99,Налоги!$AB$25:$AB$83,$G99)</f>
        <v>0</v>
      </c>
      <c r="AS99" s="171">
        <f ca="1">SUMIFS(Налоги!AR$25:AR$83,Налоги!$F$25:$F$83,$F99,Налоги!$AB$25:$AB$83,$G99)</f>
        <v>0</v>
      </c>
      <c r="AT99" s="171">
        <f ca="1">SUMIFS(Налоги!AS$25:AS$83,Налоги!$F$25:$F$83,$F99,Налоги!$AB$25:$AB$83,$G99)</f>
        <v>0</v>
      </c>
      <c r="AU99" s="171">
        <f ca="1">SUMIFS(Налоги!AT$25:AT$83,Налоги!$F$25:$F$83,$F99,Налоги!$AB$25:$AB$83,$G99)</f>
        <v>0</v>
      </c>
      <c r="AV99" s="171">
        <f ca="1">SUMIFS(Налоги!AU$25:AU$83,Налоги!$F$25:$F$83,$F99,Налоги!$AB$25:$AB$83,$G99)</f>
        <v>0</v>
      </c>
      <c r="AW99" s="171">
        <f ca="1">SUMIFS(Налоги!AV$25:AV$83,Налоги!$F$25:$F$83,$F99,Налоги!$AB$25:$AB$83,$G99)</f>
        <v>0</v>
      </c>
      <c r="AX99" s="171">
        <f ca="1">SUMIFS(Налоги!AW$25:AW$83,Налоги!$F$25:$F$83,$F99,Налоги!$AB$25:$AB$83,$G99)</f>
        <v>0</v>
      </c>
      <c r="AY99" s="171">
        <f ca="1">SUMIFS(Налоги!AX$25:AX$83,Налоги!$F$25:$F$83,$F99,Налоги!$AB$25:$AB$83,$G99)</f>
        <v>0</v>
      </c>
      <c r="AZ99" s="171">
        <f ca="1">SUMIFS(Налоги!AY$25:AY$83,Налоги!$F$25:$F$83,$F99,Налоги!$AB$25:$AB$83,$G99)</f>
        <v>0</v>
      </c>
      <c r="BA99" s="171">
        <f ca="1">SUMIFS(Налоги!AZ$25:AZ$83,Налоги!$F$25:$F$83,$F99,Налоги!$AB$25:$AB$83,$G99)</f>
        <v>0</v>
      </c>
      <c r="BB99" s="171">
        <f ca="1">SUMIFS(Налоги!BA$25:BA$83,Налоги!$F$25:$F$83,$F99,Налоги!$AB$25:$AB$83,$G99)</f>
        <v>0</v>
      </c>
      <c r="BC99" s="171">
        <f ca="1">SUMIFS(Налоги!BB$25:BB$83,Налоги!$F$25:$F$83,$F99,Налоги!$AB$25:$AB$83,$G99)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5"/>
      <c r="BO99" s="779" t="str">
        <f ca="1">IF(IFERROR(INDEX(Налоги!$K$26:$L$83,MATCH($F99&amp;"5komm",Налоги!$K$26:$K$83,0),2),"")=0,"",IFERROR(INDEX(Налоги!$K$26:$L$83,MATCH($F99&amp;"5komm",Налоги!$K$26:$K$83,0),2),""))</f>
        <v/>
      </c>
      <c r="BP99" s="775"/>
      <c r="BS99" s="696" t="s">
        <v>2106</v>
      </c>
    </row>
    <row r="100" spans="2:75" ht="14.65" hidden="1" customHeight="1" x14ac:dyDescent="0.15">
      <c r="C100" s="25"/>
      <c r="D100" s="25"/>
      <c r="E100" s="451">
        <v>15</v>
      </c>
      <c r="F100" s="3" cm="1">
        <f t="array" aca="1" ref="F100" ca="1">OFFSET(E100,-1,1)</f>
        <v>0</v>
      </c>
      <c r="G100" s="611">
        <v>8</v>
      </c>
      <c r="H100" s="25"/>
      <c r="I100" s="25" t="s">
        <v>2107</v>
      </c>
      <c r="J100" s="25"/>
      <c r="K100" s="25" t="s">
        <v>2107</v>
      </c>
      <c r="L100" s="25"/>
      <c r="M100" s="25"/>
      <c r="N100" s="25"/>
      <c r="O100" s="25"/>
      <c r="P100" s="25"/>
      <c r="Q100" s="25"/>
      <c r="R100" s="25"/>
      <c r="S100" s="25"/>
      <c r="T100" s="353" t="b" cm="1">
        <f t="array" aca="1" ref="T100" ca="1">T99</f>
        <v>0</v>
      </c>
      <c r="U100" s="25"/>
      <c r="V100" s="25"/>
      <c r="W100" s="25"/>
      <c r="X100" s="1022"/>
      <c r="Z100" s="967"/>
      <c r="AB100" s="7" t="s">
        <v>2108</v>
      </c>
      <c r="AC100" s="134" t="s">
        <v>2109</v>
      </c>
      <c r="AD100" s="7" t="s">
        <v>828</v>
      </c>
      <c r="AE100" s="171">
        <f ca="1">SUMIFS(Налоги!AE$25:AE$83,Налоги!$F$25:$F$83,$F100,Налоги!$AB$25:$AB$83,$G100)</f>
        <v>0</v>
      </c>
      <c r="AF100" s="171">
        <f ca="1">SUMIFS(Налоги!AF$25:AF$83,Налоги!$F$25:$F$83,$F100,Налоги!$AB$25:$AB$83,$G100)</f>
        <v>0</v>
      </c>
      <c r="AG100" s="171">
        <f ca="1">SUMIFS(Налоги!AG$25:AG$83,Налоги!$F$25:$F$83,$F100,Налоги!$AB$25:$AB$83,$G100)</f>
        <v>0</v>
      </c>
      <c r="AH100" s="171">
        <f t="shared" ca="1" si="9"/>
        <v>0</v>
      </c>
      <c r="AI100" s="171">
        <f ca="1">SUMIFS(Налоги!AH$25:AH$83,Налоги!$F$25:$F$83,$F100,Налоги!$AB$25:$AB$83,$G100)</f>
        <v>0</v>
      </c>
      <c r="AJ100" s="171">
        <f ca="1">SUMIFS(Налоги!AI$25:AI$83,Налоги!$F$25:$F$83,$F100,Налоги!$AB$25:$AB$83,$G100)</f>
        <v>0</v>
      </c>
      <c r="AK100" s="171">
        <f ca="1">SUMIFS(Налоги!AJ$25:AJ$83,Налоги!$F$25:$F$83,$F100,Налоги!$AB$25:$AB$83,$G100)</f>
        <v>0</v>
      </c>
      <c r="AL100" s="171">
        <f ca="1">SUMIFS(Налоги!AK$25:AK$83,Налоги!$F$25:$F$83,$F100,Налоги!$AB$25:$AB$83,$G100)</f>
        <v>0</v>
      </c>
      <c r="AM100" s="171">
        <f ca="1">SUMIFS(Налоги!AL$25:AL$83,Налоги!$F$25:$F$83,$F100,Налоги!$AB$25:$AB$83,$G100)</f>
        <v>0</v>
      </c>
      <c r="AN100" s="171">
        <f ca="1">SUMIFS(Налоги!AM$25:AM$83,Налоги!$F$25:$F$83,$F100,Налоги!$AB$25:$AB$83,$G100)</f>
        <v>0</v>
      </c>
      <c r="AO100" s="171">
        <f ca="1">SUMIFS(Налоги!AN$25:AN$83,Налоги!$F$25:$F$83,$F100,Налоги!$AB$25:$AB$83,$G100)</f>
        <v>0</v>
      </c>
      <c r="AP100" s="171">
        <f ca="1">SUMIFS(Налоги!AO$25:AO$83,Налоги!$F$25:$F$83,$F100,Налоги!$AB$25:$AB$83,$G100)</f>
        <v>0</v>
      </c>
      <c r="AQ100" s="171">
        <f ca="1">SUMIFS(Налоги!AP$25:AP$83,Налоги!$F$25:$F$83,$F100,Налоги!$AB$25:$AB$83,$G100)</f>
        <v>0</v>
      </c>
      <c r="AR100" s="171">
        <f ca="1">SUMIFS(Налоги!AQ$25:AQ$83,Налоги!$F$25:$F$83,$F100,Налоги!$AB$25:$AB$83,$G100)</f>
        <v>0</v>
      </c>
      <c r="AS100" s="171">
        <f ca="1">SUMIFS(Налоги!AR$25:AR$83,Налоги!$F$25:$F$83,$F100,Налоги!$AB$25:$AB$83,$G100)</f>
        <v>0</v>
      </c>
      <c r="AT100" s="171">
        <f ca="1">SUMIFS(Налоги!AS$25:AS$83,Налоги!$F$25:$F$83,$F100,Налоги!$AB$25:$AB$83,$G100)</f>
        <v>0</v>
      </c>
      <c r="AU100" s="171">
        <f ca="1">SUMIFS(Налоги!AT$25:AT$83,Налоги!$F$25:$F$83,$F100,Налоги!$AB$25:$AB$83,$G100)</f>
        <v>0</v>
      </c>
      <c r="AV100" s="171">
        <f ca="1">SUMIFS(Налоги!AU$25:AU$83,Налоги!$F$25:$F$83,$F100,Налоги!$AB$25:$AB$83,$G100)</f>
        <v>0</v>
      </c>
      <c r="AW100" s="171">
        <f ca="1">SUMIFS(Налоги!AV$25:AV$83,Налоги!$F$25:$F$83,$F100,Налоги!$AB$25:$AB$83,$G100)</f>
        <v>0</v>
      </c>
      <c r="AX100" s="171">
        <f ca="1">SUMIFS(Налоги!AW$25:AW$83,Налоги!$F$25:$F$83,$F100,Налоги!$AB$25:$AB$83,$G100)</f>
        <v>0</v>
      </c>
      <c r="AY100" s="171">
        <f ca="1">SUMIFS(Налоги!AX$25:AX$83,Налоги!$F$25:$F$83,$F100,Налоги!$AB$25:$AB$83,$G100)</f>
        <v>0</v>
      </c>
      <c r="AZ100" s="171">
        <f ca="1">SUMIFS(Налоги!AY$25:AY$83,Налоги!$F$25:$F$83,$F100,Налоги!$AB$25:$AB$83,$G100)</f>
        <v>0</v>
      </c>
      <c r="BA100" s="171">
        <f ca="1">SUMIFS(Налоги!AZ$25:AZ$83,Налоги!$F$25:$F$83,$F100,Налоги!$AB$25:$AB$83,$G100)</f>
        <v>0</v>
      </c>
      <c r="BB100" s="171">
        <f ca="1">SUMIFS(Налоги!BA$25:BA$83,Налоги!$F$25:$F$83,$F100,Налоги!$AB$25:$AB$83,$G100)</f>
        <v>0</v>
      </c>
      <c r="BC100" s="171">
        <f ca="1">SUMIFS(Налоги!BB$25:BB$83,Налоги!$F$25:$F$83,$F100,Налоги!$AB$25:$AB$83,$G100)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5"/>
      <c r="BO100" s="779" t="str">
        <f ca="1">IF(IFERROR(INDEX(Налоги!$K$26:$L$83,MATCH($F100&amp;"8komm",Налоги!$K$26:$K$83,0),2),"")=0,"",IFERROR(INDEX(Налоги!$K$26:$L$83,MATCH($F100&amp;"8komm",Налоги!$K$26:$K$83,0),2),""))</f>
        <v/>
      </c>
      <c r="BP100" s="775"/>
      <c r="BS100" s="696" t="s">
        <v>1293</v>
      </c>
    </row>
    <row r="101" spans="2:75" s="376" customFormat="1" ht="14.65" hidden="1" customHeight="1" x14ac:dyDescent="0.15">
      <c r="B101" s="537"/>
      <c r="C101" s="25"/>
      <c r="D101" s="25"/>
      <c r="E101" s="451">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W101" s="25"/>
      <c r="X101" s="1022"/>
      <c r="Z101" s="967"/>
      <c r="AB101" s="7" t="s">
        <v>2110</v>
      </c>
      <c r="AC101" s="549" t="s">
        <v>2111</v>
      </c>
      <c r="AD101" s="7" t="s">
        <v>828</v>
      </c>
      <c r="AE101" s="171">
        <f ca="1">SUMIFS(Налоги!AE$25:AE$83,Налоги!$F$25:$F$83,$F101,Налоги!$AB$25:$AB$83,$G101)</f>
        <v>0</v>
      </c>
      <c r="AF101" s="171">
        <f ca="1">SUMIFS(Налоги!AF$25:AF$83,Налоги!$F$25:$F$83,$F101,Налоги!$AB$25:$AB$83,$G101)</f>
        <v>0</v>
      </c>
      <c r="AG101" s="171">
        <f ca="1">SUMIFS(Налоги!AG$25:AG$83,Налоги!$F$25:$F$83,$F101,Налоги!$AB$25:$AB$83,$G101)</f>
        <v>0</v>
      </c>
      <c r="AH101" s="171">
        <f t="shared" ca="1" si="9"/>
        <v>0</v>
      </c>
      <c r="AI101" s="171">
        <f ca="1">SUMIFS(Налоги!AH$25:AH$83,Налоги!$F$25:$F$83,$F101,Налоги!$AB$25:$AB$83,$G101)</f>
        <v>0</v>
      </c>
      <c r="AJ101" s="171">
        <f ca="1">SUMIFS(Налоги!AI$25:AI$83,Налоги!$F$25:$F$83,$F101,Налоги!$AB$25:$AB$83,$G101)</f>
        <v>0</v>
      </c>
      <c r="AK101" s="171">
        <f ca="1">SUMIFS(Налоги!AJ$25:AJ$83,Налоги!$F$25:$F$83,$F101,Налоги!$AB$25:$AB$83,$G101)</f>
        <v>0</v>
      </c>
      <c r="AL101" s="171">
        <f ca="1">SUMIFS(Налоги!AK$25:AK$83,Налоги!$F$25:$F$83,$F101,Налоги!$AB$25:$AB$83,$G101)</f>
        <v>0</v>
      </c>
      <c r="AM101" s="171">
        <f ca="1">SUMIFS(Налоги!AL$25:AL$83,Налоги!$F$25:$F$83,$F101,Налоги!$AB$25:$AB$83,$G101)</f>
        <v>0</v>
      </c>
      <c r="AN101" s="171">
        <f ca="1">SUMIFS(Налоги!AM$25:AM$83,Налоги!$F$25:$F$83,$F101,Налоги!$AB$25:$AB$83,$G101)</f>
        <v>0</v>
      </c>
      <c r="AO101" s="171">
        <f ca="1">SUMIFS(Налоги!AN$25:AN$83,Налоги!$F$25:$F$83,$F101,Налоги!$AB$25:$AB$83,$G101)</f>
        <v>0</v>
      </c>
      <c r="AP101" s="171">
        <f ca="1">SUMIFS(Налоги!AO$25:AO$83,Налоги!$F$25:$F$83,$F101,Налоги!$AB$25:$AB$83,$G101)</f>
        <v>0</v>
      </c>
      <c r="AQ101" s="171">
        <f ca="1">SUMIFS(Налоги!AP$25:AP$83,Налоги!$F$25:$F$83,$F101,Налоги!$AB$25:$AB$83,$G101)</f>
        <v>0</v>
      </c>
      <c r="AR101" s="171">
        <f ca="1">SUMIFS(Налоги!AQ$25:AQ$83,Налоги!$F$25:$F$83,$F101,Налоги!$AB$25:$AB$83,$G101)</f>
        <v>0</v>
      </c>
      <c r="AS101" s="171">
        <f ca="1">SUMIFS(Налоги!AR$25:AR$83,Налоги!$F$25:$F$83,$F101,Налоги!$AB$25:$AB$83,$G101)</f>
        <v>0</v>
      </c>
      <c r="AT101" s="171">
        <f ca="1">SUMIFS(Налоги!AS$25:AS$83,Налоги!$F$25:$F$83,$F101,Налоги!$AB$25:$AB$83,$G101)</f>
        <v>0</v>
      </c>
      <c r="AU101" s="171">
        <f ca="1">SUMIFS(Налоги!AT$25:AT$83,Налоги!$F$25:$F$83,$F101,Налоги!$AB$25:$AB$83,$G101)</f>
        <v>0</v>
      </c>
      <c r="AV101" s="171">
        <f ca="1">SUMIFS(Налоги!AU$25:AU$83,Налоги!$F$25:$F$83,$F101,Налоги!$AB$25:$AB$83,$G101)</f>
        <v>0</v>
      </c>
      <c r="AW101" s="171">
        <f ca="1">SUMIFS(Налоги!AV$25:AV$83,Налоги!$F$25:$F$83,$F101,Налоги!$AB$25:$AB$83,$G101)</f>
        <v>0</v>
      </c>
      <c r="AX101" s="171">
        <f ca="1">SUMIFS(Налоги!AW$25:AW$83,Налоги!$F$25:$F$83,$F101,Налоги!$AB$25:$AB$83,$G101)</f>
        <v>0</v>
      </c>
      <c r="AY101" s="171">
        <f ca="1">SUMIFS(Налоги!AX$25:AX$83,Налоги!$F$25:$F$83,$F101,Налоги!$AB$25:$AB$83,$G101)</f>
        <v>0</v>
      </c>
      <c r="AZ101" s="171">
        <f ca="1">SUMIFS(Налоги!AY$25:AY$83,Налоги!$F$25:$F$83,$F101,Налоги!$AB$25:$AB$83,$G101)</f>
        <v>0</v>
      </c>
      <c r="BA101" s="171">
        <f ca="1">SUMIFS(Налоги!AZ$25:AZ$83,Налоги!$F$25:$F$83,$F101,Налоги!$AB$25:$AB$83,$G101)</f>
        <v>0</v>
      </c>
      <c r="BB101" s="171">
        <f ca="1">SUMIFS(Налоги!BA$25:BA$83,Налоги!$F$25:$F$83,$F101,Налоги!$AB$25:$AB$83,$G101)</f>
        <v>0</v>
      </c>
      <c r="BC101" s="171">
        <f ca="1">SUMIFS(Налоги!BB$25:BB$83,Налоги!$F$25:$F$83,$F101,Налоги!$AB$25:$AB$83,$G101)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5"/>
      <c r="BO101" s="779" t="str">
        <f ca="1">IF(IFERROR(INDEX(Налоги!$K$26:$L$83,MATCH($F101&amp;"9komm",Налоги!$K$26:$K$83,0),2),"")=0,"",IFERROR(INDEX(Налоги!$K$26:$L$83,MATCH($F101&amp;"9komm",Налоги!$K$26:$K$83,0),2),""))</f>
        <v/>
      </c>
      <c r="BP101" s="775"/>
      <c r="BS101" s="703" t="s">
        <v>2112</v>
      </c>
      <c r="BT101" s="703"/>
      <c r="BU101" s="703"/>
      <c r="BV101" s="704"/>
      <c r="BW101" s="704"/>
    </row>
    <row r="102" spans="2:75" ht="14.65" hidden="1" customHeight="1" x14ac:dyDescent="0.15">
      <c r="C102" s="25"/>
      <c r="D102" s="25"/>
      <c r="E102" s="451">
        <v>15</v>
      </c>
      <c r="F102" s="3" cm="1">
        <f t="array" aca="1" ref="F102" ca="1">OFFSET(E102,-1,1)</f>
        <v>0</v>
      </c>
      <c r="G102" s="611">
        <v>10</v>
      </c>
      <c r="H102" s="25"/>
      <c r="I102" s="25" t="s">
        <v>2113</v>
      </c>
      <c r="J102" s="25"/>
      <c r="K102" s="25" t="s">
        <v>2113</v>
      </c>
      <c r="L102" s="25"/>
      <c r="M102" s="25"/>
      <c r="N102" s="25"/>
      <c r="O102" s="25"/>
      <c r="P102" s="25"/>
      <c r="Q102" s="25"/>
      <c r="R102" s="25"/>
      <c r="S102" s="25"/>
      <c r="T102" s="353" t="b" cm="1">
        <f t="array" aca="1" ref="T102" ca="1">T101</f>
        <v>0</v>
      </c>
      <c r="U102" s="25"/>
      <c r="V102" s="25"/>
      <c r="W102" s="25"/>
      <c r="X102" s="1022"/>
      <c r="Z102" s="967"/>
      <c r="AB102" s="7" t="s">
        <v>2114</v>
      </c>
      <c r="AC102" s="549" t="s">
        <v>2115</v>
      </c>
      <c r="AD102" s="7" t="s">
        <v>828</v>
      </c>
      <c r="AE102" s="171">
        <f ca="1">SUMIFS(Налоги!AE$25:AE$83,Налоги!$F$25:$F$83,$F102,Налоги!$AB$25:$AB$83,$G102)</f>
        <v>0</v>
      </c>
      <c r="AF102" s="171">
        <f ca="1">SUMIFS(Налоги!AF$25:AF$83,Налоги!$F$25:$F$83,$F102,Налоги!$AB$25:$AB$83,$G102)</f>
        <v>0</v>
      </c>
      <c r="AG102" s="171">
        <f ca="1">SUMIFS(Налоги!AG$25:AG$83,Налоги!$F$25:$F$83,$F102,Налоги!$AB$25:$AB$83,$G102)</f>
        <v>0</v>
      </c>
      <c r="AH102" s="171">
        <f t="shared" ca="1" si="9"/>
        <v>0</v>
      </c>
      <c r="AI102" s="171">
        <f ca="1">SUMIFS(Налоги!AH$25:AH$83,Налоги!$F$25:$F$83,$F102,Налоги!$AB$25:$AB$83,$G102)</f>
        <v>0</v>
      </c>
      <c r="AJ102" s="171">
        <f ca="1">SUMIFS(Налоги!AI$25:AI$83,Налоги!$F$25:$F$83,$F102,Налоги!$AB$25:$AB$83,$G102)</f>
        <v>0</v>
      </c>
      <c r="AK102" s="171">
        <f ca="1">SUMIFS(Налоги!AJ$25:AJ$83,Налоги!$F$25:$F$83,$F102,Налоги!$AB$25:$AB$83,$G102)</f>
        <v>0</v>
      </c>
      <c r="AL102" s="171">
        <f ca="1">SUMIFS(Налоги!AK$25:AK$83,Налоги!$F$25:$F$83,$F102,Налоги!$AB$25:$AB$83,$G102)</f>
        <v>0</v>
      </c>
      <c r="AM102" s="171">
        <f ca="1">SUMIFS(Налоги!AL$25:AL$83,Налоги!$F$25:$F$83,$F102,Налоги!$AB$25:$AB$83,$G102)</f>
        <v>0</v>
      </c>
      <c r="AN102" s="171">
        <f ca="1">SUMIFS(Налоги!AM$25:AM$83,Налоги!$F$25:$F$83,$F102,Налоги!$AB$25:$AB$83,$G102)</f>
        <v>0</v>
      </c>
      <c r="AO102" s="171">
        <f ca="1">SUMIFS(Налоги!AN$25:AN$83,Налоги!$F$25:$F$83,$F102,Налоги!$AB$25:$AB$83,$G102)</f>
        <v>0</v>
      </c>
      <c r="AP102" s="171">
        <f ca="1">SUMIFS(Налоги!AO$25:AO$83,Налоги!$F$25:$F$83,$F102,Налоги!$AB$25:$AB$83,$G102)</f>
        <v>0</v>
      </c>
      <c r="AQ102" s="171">
        <f ca="1">SUMIFS(Налоги!AP$25:AP$83,Налоги!$F$25:$F$83,$F102,Налоги!$AB$25:$AB$83,$G102)</f>
        <v>0</v>
      </c>
      <c r="AR102" s="171">
        <f ca="1">SUMIFS(Налоги!AQ$25:AQ$83,Налоги!$F$25:$F$83,$F102,Налоги!$AB$25:$AB$83,$G102)</f>
        <v>0</v>
      </c>
      <c r="AS102" s="171">
        <f ca="1">SUMIFS(Налоги!AR$25:AR$83,Налоги!$F$25:$F$83,$F102,Налоги!$AB$25:$AB$83,$G102)</f>
        <v>0</v>
      </c>
      <c r="AT102" s="171">
        <f ca="1">SUMIFS(Налоги!AS$25:AS$83,Налоги!$F$25:$F$83,$F102,Налоги!$AB$25:$AB$83,$G102)</f>
        <v>0</v>
      </c>
      <c r="AU102" s="171">
        <f ca="1">SUMIFS(Налоги!AT$25:AT$83,Налоги!$F$25:$F$83,$F102,Налоги!$AB$25:$AB$83,$G102)</f>
        <v>0</v>
      </c>
      <c r="AV102" s="171">
        <f ca="1">SUMIFS(Налоги!AU$25:AU$83,Налоги!$F$25:$F$83,$F102,Налоги!$AB$25:$AB$83,$G102)</f>
        <v>0</v>
      </c>
      <c r="AW102" s="171">
        <f ca="1">SUMIFS(Налоги!AV$25:AV$83,Налоги!$F$25:$F$83,$F102,Налоги!$AB$25:$AB$83,$G102)</f>
        <v>0</v>
      </c>
      <c r="AX102" s="171">
        <f ca="1">SUMIFS(Налоги!AW$25:AW$83,Налоги!$F$25:$F$83,$F102,Налоги!$AB$25:$AB$83,$G102)</f>
        <v>0</v>
      </c>
      <c r="AY102" s="171">
        <f ca="1">SUMIFS(Налоги!AX$25:AX$83,Налоги!$F$25:$F$83,$F102,Налоги!$AB$25:$AB$83,$G102)</f>
        <v>0</v>
      </c>
      <c r="AZ102" s="171">
        <f ca="1">SUMIFS(Налоги!AY$25:AY$83,Налоги!$F$25:$F$83,$F102,Налоги!$AB$25:$AB$83,$G102)</f>
        <v>0</v>
      </c>
      <c r="BA102" s="171">
        <f ca="1">SUMIFS(Налоги!AZ$25:AZ$83,Налоги!$F$25:$F$83,$F102,Налоги!$AB$25:$AB$83,$G102)</f>
        <v>0</v>
      </c>
      <c r="BB102" s="171">
        <f ca="1">SUMIFS(Налоги!BA$25:BA$83,Налоги!$F$25:$F$83,$F102,Налоги!$AB$25:$AB$83,$G102)</f>
        <v>0</v>
      </c>
      <c r="BC102" s="171">
        <f ca="1">SUMIFS(Налоги!BB$25:BB$83,Налоги!$F$25:$F$83,$F102,Налоги!$AB$25:$AB$83,$G102)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5"/>
      <c r="BO102" s="779" t="str">
        <f ca="1">IF(IFERROR(INDEX(Налоги!$K$26:$L$83,MATCH($F102&amp;"10komm",Налоги!$K$26:$K$83,0),2),"")=0,"",IFERROR(INDEX(Налоги!$K$26:$L$83,MATCH($F102&amp;"10komm",Налоги!$K$26:$K$83,0),2),""))</f>
        <v/>
      </c>
      <c r="BP102" s="775"/>
      <c r="BS102" s="696" t="s">
        <v>2116</v>
      </c>
    </row>
    <row r="103" spans="2:75" ht="65.849999999999994" hidden="1" customHeight="1" x14ac:dyDescent="0.15">
      <c r="C103" s="25"/>
      <c r="D103" s="25"/>
      <c r="E103" s="451">
        <v>67.5</v>
      </c>
      <c r="F103" s="3" cm="1">
        <f t="array" aca="1" ref="F103" ca="1">OFFSET(E103,-1,1)</f>
        <v>0</v>
      </c>
      <c r="G103" s="25" t="s">
        <v>1453</v>
      </c>
      <c r="H103" s="25"/>
      <c r="I103" s="25" t="s">
        <v>961</v>
      </c>
      <c r="J103" s="25"/>
      <c r="K103" s="72" t="s">
        <v>961</v>
      </c>
      <c r="L103" s="25"/>
      <c r="M103" s="25"/>
      <c r="N103" s="25"/>
      <c r="O103" s="25"/>
      <c r="P103" s="25"/>
      <c r="Q103" s="25"/>
      <c r="R103" s="25"/>
      <c r="S103" s="25"/>
      <c r="T103" s="353" t="b" cm="1">
        <f t="array" aca="1" ref="T103" ca="1">T102</f>
        <v>0</v>
      </c>
      <c r="U103" s="25"/>
      <c r="V103" s="25"/>
      <c r="W103" s="25"/>
      <c r="X103" s="1022"/>
      <c r="Z103" s="967"/>
      <c r="AB103" s="7" t="s">
        <v>962</v>
      </c>
      <c r="AC103" s="550" t="s">
        <v>1456</v>
      </c>
      <c r="AD103" s="7" t="s">
        <v>828</v>
      </c>
      <c r="AE103" s="781"/>
      <c r="AF103" s="781"/>
      <c r="AG103" s="781"/>
      <c r="AH103" s="171">
        <f t="shared" si="9"/>
        <v>0</v>
      </c>
      <c r="AI103" s="781"/>
      <c r="AJ103" s="141"/>
      <c r="AK103" s="781"/>
      <c r="AL103" s="781"/>
      <c r="AM103" s="781"/>
      <c r="AN103" s="781"/>
      <c r="AO103" s="781"/>
      <c r="AP103" s="781"/>
      <c r="AQ103" s="781"/>
      <c r="AR103" s="781"/>
      <c r="AS103" s="781"/>
      <c r="AT103" s="141"/>
      <c r="AU103" s="781"/>
      <c r="AV103" s="781"/>
      <c r="AW103" s="781"/>
      <c r="AX103" s="781"/>
      <c r="AY103" s="781"/>
      <c r="AZ103" s="781"/>
      <c r="BA103" s="781"/>
      <c r="BB103" s="781"/>
      <c r="BC103" s="781"/>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5"/>
      <c r="BO103" s="775"/>
      <c r="BP103" s="775"/>
      <c r="BS103" s="696" t="s">
        <v>2117</v>
      </c>
    </row>
    <row r="104" spans="2:75" ht="14.65" hidden="1" customHeight="1" x14ac:dyDescent="0.15">
      <c r="C104" s="25"/>
      <c r="D104" s="25"/>
      <c r="E104" s="451">
        <v>15</v>
      </c>
      <c r="F104" s="3" cm="1">
        <f t="array" aca="1" ref="F104" ca="1">OFFSET(E104,-1,1)</f>
        <v>0</v>
      </c>
      <c r="G104" s="25" t="s">
        <v>1065</v>
      </c>
      <c r="H104" s="25"/>
      <c r="I104" s="25" t="s">
        <v>964</v>
      </c>
      <c r="J104" s="25"/>
      <c r="K104" s="72" t="s">
        <v>964</v>
      </c>
      <c r="L104" s="25" t="s">
        <v>532</v>
      </c>
      <c r="M104" s="25"/>
      <c r="N104" s="25"/>
      <c r="O104" s="25"/>
      <c r="P104" s="25"/>
      <c r="Q104" s="25"/>
      <c r="R104" s="25"/>
      <c r="S104" s="25"/>
      <c r="T104" s="353" t="b" cm="1">
        <f t="array" aca="1" ref="T104" ca="1">T103</f>
        <v>0</v>
      </c>
      <c r="U104" s="25"/>
      <c r="V104" s="25"/>
      <c r="W104" s="25"/>
      <c r="X104" s="1022"/>
      <c r="Z104" s="967"/>
      <c r="AB104" s="7" t="s">
        <v>965</v>
      </c>
      <c r="AC104" s="127" t="s">
        <v>1065</v>
      </c>
      <c r="AD104" s="7" t="s">
        <v>828</v>
      </c>
      <c r="AE104" s="171">
        <f ca="1">SUMIFS(Аренда!AE$25:AE$67,Аренда!$F$25:$F$67,$F104,Аренда!$G$25:$G$67,"Арендная и концессионная плата, лизинговые платежи")</f>
        <v>0</v>
      </c>
      <c r="AF104" s="171">
        <f ca="1">SUMIFS(Аренда!AF$25:AF$67,Аренда!$F$25:$F$67,$F104,Аренда!$G$25:$G$67,"Арендная и концессионная плата, лизинговые платежи")</f>
        <v>0</v>
      </c>
      <c r="AG104" s="171">
        <f ca="1">SUMIFS(Аренда!AG$25:AG$67,Аренда!$F$25:$F$67,$F104,Аренда!$G$25:$G$67,"Арендная и концессионная плата, лизинговые платежи")</f>
        <v>0</v>
      </c>
      <c r="AH104" s="171">
        <f t="shared" ca="1" si="9"/>
        <v>0</v>
      </c>
      <c r="AI104" s="171">
        <f ca="1">SUMIFS(Аренда!AH$25:AH$67,Аренда!$F$25:$F$67,$F104,Аренда!$G$25:$G$67,"Арендная и концессионная плата, лизинговые платежи")</f>
        <v>0</v>
      </c>
      <c r="AJ104" s="171">
        <f ca="1">SUMIFS(Аренда!AI$25:AI$67,Аренда!$F$25:$F$67,$F104,Аренда!$G$25:$G$67,"Арендная и концессионная плата, лизинговые платежи")</f>
        <v>0</v>
      </c>
      <c r="AK104" s="171">
        <f ca="1">SUMIFS(Аренда!AJ$25:AJ$67,Аренда!$F$25:$F$67,$F104,Аренда!$G$25:$G$67,"Арендная и концессионная плата, лизинговые платежи")</f>
        <v>0</v>
      </c>
      <c r="AL104" s="171">
        <f ca="1">SUMIFS(Аренда!AK$25:AK$67,Аренда!$F$25:$F$67,$F104,Аренда!$G$25:$G$67,"Арендная и концессионная плата, лизинговые платежи")</f>
        <v>0</v>
      </c>
      <c r="AM104" s="171">
        <f ca="1">SUMIFS(Аренда!AL$25:AL$67,Аренда!$F$25:$F$67,$F104,Аренда!$G$25:$G$67,"Арендная и концессионная плата, лизинговые платежи")</f>
        <v>0</v>
      </c>
      <c r="AN104" s="171">
        <f ca="1">SUMIFS(Аренда!AM$25:AM$67,Аренда!$F$25:$F$67,$F104,Аренда!$G$25:$G$67,"Арендная и концессионная плата, лизинговые платежи")</f>
        <v>0</v>
      </c>
      <c r="AO104" s="171">
        <f ca="1">SUMIFS(Аренда!AN$25:AN$67,Аренда!$F$25:$F$67,$F104,Аренда!$G$25:$G$67,"Арендная и концессионная плата, лизинговые платежи")</f>
        <v>0</v>
      </c>
      <c r="AP104" s="171">
        <f ca="1">SUMIFS(Аренда!AO$25:AO$67,Аренда!$F$25:$F$67,$F104,Аренда!$G$25:$G$67,"Арендная и концессионная плата, лизинговые платежи")</f>
        <v>0</v>
      </c>
      <c r="AQ104" s="171">
        <f ca="1">SUMIFS(Аренда!AP$25:AP$67,Аренда!$F$25:$F$67,$F104,Аренда!$G$25:$G$67,"Арендная и концессионная плата, лизинговые платежи")</f>
        <v>0</v>
      </c>
      <c r="AR104" s="171">
        <f ca="1">SUMIFS(Аренда!AQ$25:AQ$67,Аренда!$F$25:$F$67,$F104,Аренда!$G$25:$G$67,"Арендная и концессионная плата, лизинговые платежи")</f>
        <v>0</v>
      </c>
      <c r="AS104" s="171">
        <f ca="1">SUMIFS(Аренда!AR$25:AR$67,Аренда!$F$25:$F$67,$F104,Аренда!$G$25:$G$67,"Арендная и концессионная плата, лизинговые платежи")</f>
        <v>0</v>
      </c>
      <c r="AT104" s="171">
        <f ca="1">SUMIFS(Аренда!AS$25:AS$67,Аренда!$F$25:$F$67,$F104,Аренда!$G$25:$G$67,"Арендная и концессионная плата, лизинговые платежи")</f>
        <v>0</v>
      </c>
      <c r="AU104" s="171">
        <f ca="1">SUMIFS(Аренда!AT$25:AT$67,Аренда!$F$25:$F$67,$F104,Аренда!$G$25:$G$67,"Арендная и концессионная плата, лизинговые платежи")</f>
        <v>0</v>
      </c>
      <c r="AV104" s="171">
        <f ca="1">SUMIFS(Аренда!AU$25:AU$67,Аренда!$F$25:$F$67,$F104,Аренда!$G$25:$G$67,"Арендная и концессионная плата, лизинговые платежи")</f>
        <v>0</v>
      </c>
      <c r="AW104" s="171">
        <f ca="1">SUMIFS(Аренда!AV$25:AV$67,Аренда!$F$25:$F$67,$F104,Аренда!$G$25:$G$67,"Арендная и концессионная плата, лизинговые платежи")</f>
        <v>0</v>
      </c>
      <c r="AX104" s="171">
        <f ca="1">SUMIFS(Аренда!AW$25:AW$67,Аренда!$F$25:$F$67,$F104,Аренда!$G$25:$G$67,"Арендная и концессионная плата, лизинговые платежи")</f>
        <v>0</v>
      </c>
      <c r="AY104" s="171">
        <f ca="1">SUMIFS(Аренда!AX$25:AX$67,Аренда!$F$25:$F$67,$F104,Аренда!$G$25:$G$67,"Арендная и концессионная плата, лизинговые платежи")</f>
        <v>0</v>
      </c>
      <c r="AZ104" s="171">
        <f ca="1">SUMIFS(Аренда!AY$25:AY$67,Аренда!$F$25:$F$67,$F104,Аренда!$G$25:$G$67,"Арендная и концессионная плата, лизинговые платежи")</f>
        <v>0</v>
      </c>
      <c r="BA104" s="171">
        <f ca="1">SUMIFS(Аренда!AZ$25:AZ$67,Аренда!$F$25:$F$67,$F104,Аренда!$G$25:$G$67,"Арендная и концессионная плата, лизинговые платежи")</f>
        <v>0</v>
      </c>
      <c r="BB104" s="171">
        <f ca="1">SUMIFS(Аренда!BA$25:BA$67,Аренда!$F$25:$F$67,$F104,Аренда!$G$25:$G$67,"Арендная и концессионная плата, лизинговые платежи")</f>
        <v>0</v>
      </c>
      <c r="BC104" s="171">
        <f ca="1">SUMIFS(Аренда!BB$25:BB$67,Аренда!$F$25:$F$67,$F104,Аренда!$G$25:$G$67,"Арендная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5"/>
      <c r="BO104" s="779" t="str">
        <f ca="1">IF(IFERROR(INDEX(Аренда!$K$26:$L$67,MATCH($F104&amp;"komm",Аренда!$K$26:$K$67,0),2),"")=0,"",IFERROR(INDEX(Аренда!$K$26:$L$67,MATCH($F104&amp;"komm",Аренда!$K$26:$K$67,0),2),""))</f>
        <v/>
      </c>
      <c r="BP104" s="775"/>
      <c r="BS104" s="696" t="s">
        <v>2118</v>
      </c>
    </row>
    <row r="105" spans="2:75" ht="14.65" hidden="1" customHeight="1" x14ac:dyDescent="0.15">
      <c r="B105" s="329" t="b">
        <f>STATUS_GO="да"</f>
        <v>0</v>
      </c>
      <c r="C105" s="25"/>
      <c r="D105" s="25"/>
      <c r="E105" s="451">
        <v>15</v>
      </c>
      <c r="F105" s="3" cm="1">
        <f t="array" aca="1" ref="F105" ca="1">OFFSET(E105,-1,1)</f>
        <v>0</v>
      </c>
      <c r="G105" s="25"/>
      <c r="H105" s="25"/>
      <c r="I105" s="25" t="s">
        <v>2119</v>
      </c>
      <c r="J105" s="25"/>
      <c r="K105" s="72" t="s">
        <v>2119</v>
      </c>
      <c r="L105" s="25"/>
      <c r="M105" s="25"/>
      <c r="N105" s="25"/>
      <c r="O105" s="25"/>
      <c r="P105" s="25"/>
      <c r="Q105" s="25"/>
      <c r="R105" s="25"/>
      <c r="S105" s="25"/>
      <c r="T105" s="353" t="b" cm="1">
        <f t="array" aca="1" ref="T105" ca="1">T104</f>
        <v>0</v>
      </c>
      <c r="U105" s="25"/>
      <c r="V105" s="25"/>
      <c r="W105" s="25"/>
      <c r="X105" s="1022"/>
      <c r="Z105" s="967"/>
      <c r="AB105" s="7" t="s">
        <v>1520</v>
      </c>
      <c r="AC105" s="127" t="s">
        <v>2120</v>
      </c>
      <c r="AD105" s="7" t="s">
        <v>828</v>
      </c>
      <c r="AE105" s="778" cm="1">
        <f t="array" aca="1" ref="AE105" ca="1">AE106</f>
        <v>0</v>
      </c>
      <c r="AF105" s="778" cm="1">
        <f t="array" aca="1" ref="AF105" ca="1">AF106</f>
        <v>0</v>
      </c>
      <c r="AG105" s="778" cm="1">
        <f t="array" aca="1" ref="AG105" ca="1">AG106</f>
        <v>0</v>
      </c>
      <c r="AH105" s="171">
        <f t="shared" ca="1" si="9"/>
        <v>0</v>
      </c>
      <c r="AI105" s="778" cm="1">
        <f t="array" aca="1" ref="AI105" ca="1">AI106</f>
        <v>0</v>
      </c>
      <c r="AJ105" s="128" cm="1">
        <f t="array" aca="1" ref="AJ105" ca="1">AJ106</f>
        <v>0</v>
      </c>
      <c r="AK105" s="778" cm="1">
        <f t="array" ref="AK105">AK106</f>
        <v>0</v>
      </c>
      <c r="AL105" s="778" cm="1">
        <f t="array" ref="AL105">AL106</f>
        <v>0</v>
      </c>
      <c r="AM105" s="778" cm="1">
        <f t="array" ref="AM105">AM106</f>
        <v>0</v>
      </c>
      <c r="AN105" s="778" cm="1">
        <f t="array" ref="AN105">AN106</f>
        <v>0</v>
      </c>
      <c r="AO105" s="778" cm="1">
        <f t="array" ref="AO105">AO106</f>
        <v>0</v>
      </c>
      <c r="AP105" s="778" cm="1">
        <f t="array" ref="AP105">AP106</f>
        <v>0</v>
      </c>
      <c r="AQ105" s="778" cm="1">
        <f t="array" ref="AQ105">AQ106</f>
        <v>0</v>
      </c>
      <c r="AR105" s="778" cm="1">
        <f t="array" ref="AR105">AR106</f>
        <v>0</v>
      </c>
      <c r="AS105" s="778" cm="1">
        <f t="array" ref="AS105">AS106</f>
        <v>0</v>
      </c>
      <c r="AT105" s="128" cm="1">
        <f t="array" aca="1" ref="AT105" ca="1">AT106</f>
        <v>0</v>
      </c>
      <c r="AU105" s="778" cm="1">
        <f t="array" ref="AU105">AU106</f>
        <v>0</v>
      </c>
      <c r="AV105" s="778" cm="1">
        <f t="array" ref="AV105">AV106</f>
        <v>0</v>
      </c>
      <c r="AW105" s="778" cm="1">
        <f t="array" ref="AW105">AW106</f>
        <v>0</v>
      </c>
      <c r="AX105" s="778" cm="1">
        <f t="array" ref="AX105">AX106</f>
        <v>0</v>
      </c>
      <c r="AY105" s="778" cm="1">
        <f t="array" ref="AY105">AY106</f>
        <v>0</v>
      </c>
      <c r="AZ105" s="778" cm="1">
        <f t="array" ref="AZ105">AZ106</f>
        <v>0</v>
      </c>
      <c r="BA105" s="778" cm="1">
        <f t="array" ref="BA105">BA106</f>
        <v>0</v>
      </c>
      <c r="BB105" s="778" cm="1">
        <f t="array" ref="BB105">BB106</f>
        <v>0</v>
      </c>
      <c r="BC105" s="778"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5"/>
      <c r="BO105" s="775"/>
      <c r="BP105" s="775"/>
      <c r="BS105" s="696" t="s">
        <v>2121</v>
      </c>
    </row>
    <row r="106" spans="2:75" ht="14.65" hidden="1" customHeight="1" x14ac:dyDescent="0.15">
      <c r="B106" s="329" t="b">
        <f>STATUS_GO="да"</f>
        <v>0</v>
      </c>
      <c r="C106" s="25"/>
      <c r="D106" s="25"/>
      <c r="E106" s="451">
        <v>15</v>
      </c>
      <c r="F106" s="3" cm="1">
        <f t="array" aca="1" ref="F106" ca="1">OFFSET(E106,-1,1)</f>
        <v>0</v>
      </c>
      <c r="G106" s="25" t="s">
        <v>1462</v>
      </c>
      <c r="H106" s="25"/>
      <c r="I106" s="25" t="s">
        <v>2122</v>
      </c>
      <c r="J106" s="25"/>
      <c r="K106" s="72" t="s">
        <v>2122</v>
      </c>
      <c r="L106" s="25"/>
      <c r="M106" s="25"/>
      <c r="N106" s="25"/>
      <c r="O106" s="25"/>
      <c r="P106" s="25"/>
      <c r="Q106" s="25"/>
      <c r="R106" s="25"/>
      <c r="S106" s="25"/>
      <c r="T106" s="353" t="b" cm="1">
        <f t="array" aca="1" ref="T106" ca="1">T105</f>
        <v>0</v>
      </c>
      <c r="U106" s="25"/>
      <c r="V106" s="25"/>
      <c r="W106" s="25"/>
      <c r="X106" s="1022"/>
      <c r="Z106" s="967"/>
      <c r="AB106" s="7" t="s">
        <v>2123</v>
      </c>
      <c r="AC106" s="134" t="s">
        <v>1462</v>
      </c>
      <c r="AD106" s="7" t="s">
        <v>828</v>
      </c>
      <c r="AE106" s="171">
        <f ca="1">SUMIFS('Сбытовые расходы ГО'!AE$25:AE$75,'Сбытовые расходы ГО'!$F$25:$F$75,$F106,'Сбытовые расходы ГО'!$G$25:$G$75,"l1")</f>
        <v>0</v>
      </c>
      <c r="AF106" s="171">
        <f ca="1">SUMIFS('Сбытовые расходы ГО'!AF$25:AF$75,'Сбытовые расходы ГО'!$F$25:$F$75,$F106,'Сбытовые расходы ГО'!$G$25:$G$75,"l1")</f>
        <v>0</v>
      </c>
      <c r="AG106" s="171">
        <f ca="1">SUMIFS('Сбытовые расходы ГО'!AG$25:AG$75,'Сбытовые расходы ГО'!$F$25:$F$75,$F106,'Сбытовые расходы ГО'!$G$25:$G$75,"l1")</f>
        <v>0</v>
      </c>
      <c r="AH106" s="171">
        <f t="shared" ca="1" si="9"/>
        <v>0</v>
      </c>
      <c r="AI106" s="171">
        <f ca="1">SUMIFS('Сбытовые расходы ГО'!AH$25:AH$75,'Сбытовые расходы ГО'!$F$25:$F$75,$F106,'Сбытовые расходы ГО'!$G$25:$G$75,"l1")</f>
        <v>0</v>
      </c>
      <c r="AJ106" s="171">
        <f ca="1">SUMIFS('Сбытовые расходы ГО'!AI$25:AI$75,'Сбытовые расходы ГО'!$F$25:$F$75,$F106,'Сбытовые расходы ГО'!$G$25:$G$75,"l1")</f>
        <v>0</v>
      </c>
      <c r="AK106" s="778"/>
      <c r="AL106" s="778"/>
      <c r="AM106" s="778"/>
      <c r="AN106" s="778"/>
      <c r="AO106" s="778"/>
      <c r="AP106" s="778"/>
      <c r="AQ106" s="778"/>
      <c r="AR106" s="778"/>
      <c r="AS106" s="778"/>
      <c r="AT106" s="171">
        <f ca="1">SUMIFS('Сбытовые расходы ГО'!AJ$25:AJ$75,'Сбытовые расходы ГО'!$F$25:$F$75,$F106,'Сбытовые расходы ГО'!$G$25:$G$75,"l1")</f>
        <v>0</v>
      </c>
      <c r="AU106" s="778"/>
      <c r="AV106" s="778"/>
      <c r="AW106" s="778"/>
      <c r="AX106" s="778"/>
      <c r="AY106" s="778"/>
      <c r="AZ106" s="778"/>
      <c r="BA106" s="778"/>
      <c r="BB106" s="778"/>
      <c r="BC106" s="778"/>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5"/>
      <c r="BO106" s="779" t="str">
        <f ca="1">IF(IFERROR(INDEX('Сбытовые расходы ГО'!$K$26:$M$75,MATCH($F106&amp;"komm",'Сбытовые расходы ГО'!$K$26:$K$75,0),2),"")=0,"",IFERROR(INDEX('Сбытовые расходы ГО'!$K$26:$M$75,MATCH($F106&amp;"komm",'Сбытовые расходы ГО'!$K$26:$K$75,0),2),""))</f>
        <v/>
      </c>
      <c r="BP106" s="775"/>
      <c r="BS106" s="696" t="s">
        <v>2124</v>
      </c>
    </row>
    <row r="107" spans="2:75" ht="14.65" hidden="1" customHeight="1" x14ac:dyDescent="0.15">
      <c r="C107" s="25"/>
      <c r="D107" s="25"/>
      <c r="E107" s="451">
        <v>15</v>
      </c>
      <c r="F107" s="3" cm="1">
        <f t="array" aca="1" ref="F107" ca="1">OFFSET(E107,-1,1)</f>
        <v>0</v>
      </c>
      <c r="G107" s="25" t="s">
        <v>1467</v>
      </c>
      <c r="H107" s="25"/>
      <c r="I107" s="25" t="s">
        <v>2125</v>
      </c>
      <c r="J107" s="25"/>
      <c r="K107" s="72" t="s">
        <v>2125</v>
      </c>
      <c r="L107" s="25"/>
      <c r="M107" s="25"/>
      <c r="N107" s="25"/>
      <c r="O107" s="25"/>
      <c r="P107" s="25"/>
      <c r="Q107" s="25"/>
      <c r="R107" s="25"/>
      <c r="S107" s="25"/>
      <c r="T107" s="353" t="b" cm="1">
        <f t="array" aca="1" ref="T107" ca="1">T106</f>
        <v>0</v>
      </c>
      <c r="U107" s="25"/>
      <c r="V107" s="25"/>
      <c r="W107" s="25"/>
      <c r="X107" s="1022"/>
      <c r="Z107" s="967"/>
      <c r="AB107" s="7" t="s">
        <v>1525</v>
      </c>
      <c r="AC107" s="127" t="s">
        <v>1467</v>
      </c>
      <c r="AD107" s="7" t="s">
        <v>828</v>
      </c>
      <c r="AE107" s="778"/>
      <c r="AF107" s="778"/>
      <c r="AG107" s="778"/>
      <c r="AH107" s="171">
        <f t="shared" si="9"/>
        <v>0</v>
      </c>
      <c r="AI107" s="778"/>
      <c r="AJ107" s="128">
        <f ca="1">SUMIFS(Экономия_корр!AE$25:AE$59,Экономия_корр!$F$25:$F$59,$F107,Экономия_корр!$AC$25:$AC$59,"Экономия расходов с учетом ИПЦ")</f>
        <v>0</v>
      </c>
      <c r="AK107" s="778">
        <f ca="1">SUMIFS(Экономия_корр!AF$25:AF$59,Экономия_корр!$F$25:$F$59,$F107,Экономия_корр!$AC$25:$AC$59,"Экономия расходов с учетом ИПЦ")</f>
        <v>0</v>
      </c>
      <c r="AL107" s="778">
        <f ca="1">SUMIFS(Экономия_корр!AG$25:AG$59,Экономия_корр!$F$25:$F$59,$F107,Экономия_корр!$AC$25:$AC$59,"Экономия расходов с учетом ИПЦ")</f>
        <v>0</v>
      </c>
      <c r="AM107" s="778">
        <f ca="1">SUMIFS(Экономия_корр!AH$25:AH$59,Экономия_корр!$F$25:$F$59,$F107,Экономия_корр!$AC$25:$AC$59,"Экономия расходов с учетом ИПЦ")</f>
        <v>0</v>
      </c>
      <c r="AN107" s="778">
        <f ca="1">SUMIFS(Экономия_корр!AI$25:AI$59,Экономия_корр!$F$25:$F$59,$F107,Экономия_корр!$AC$25:$AC$59,"Экономия расходов с учетом ИПЦ")</f>
        <v>0</v>
      </c>
      <c r="AO107" s="778">
        <f ca="1">SUMIFS(Экономия_корр!AJ$25:AJ$59,Экономия_корр!$F$25:$F$59,$F107,Экономия_корр!$AC$25:$AC$59,"Экономия расходов с учетом ИПЦ")</f>
        <v>0</v>
      </c>
      <c r="AP107" s="778">
        <f ca="1">SUMIFS(Экономия_корр!AK$25:AK$59,Экономия_корр!$F$25:$F$59,$F107,Экономия_корр!$AC$25:$AC$59,"Экономия расходов с учетом ИПЦ")</f>
        <v>0</v>
      </c>
      <c r="AQ107" s="778">
        <f ca="1">SUMIFS(Экономия_корр!AL$25:AL$59,Экономия_корр!$F$25:$F$59,$F107,Экономия_корр!$AC$25:$AC$59,"Экономия расходов с учетом ИПЦ")</f>
        <v>0</v>
      </c>
      <c r="AR107" s="778">
        <f ca="1">SUMIFS(Экономия_корр!AM$25:AM$59,Экономия_корр!$F$25:$F$59,$F107,Экономия_корр!$AC$25:$AC$59,"Экономия расходов с учетом ИПЦ")</f>
        <v>0</v>
      </c>
      <c r="AS107" s="778">
        <f ca="1">SUMIFS(Экономия_корр!AN$25:AN$59,Экономия_корр!$F$25:$F$59,$F107,Экономия_корр!$AC$25:$AC$59,"Экономия расходов с учетом ИПЦ")</f>
        <v>0</v>
      </c>
      <c r="AT107" s="128">
        <f ca="1">SUMIFS(Экономия_корр!AO$25:AO$59,Экономия_корр!$F$25:$F$59,$F107,Экономия_корр!$AC$25:$AC$59,"Экономия расходов с учетом ИПЦ")</f>
        <v>0</v>
      </c>
      <c r="AU107" s="778">
        <f ca="1">SUMIFS(Экономия_корр!AP$25:AP$59,Экономия_корр!$F$25:$F$59,$F107,Экономия_корр!$AC$25:$AC$59,"Экономия расходов с учетом ИПЦ")</f>
        <v>0</v>
      </c>
      <c r="AV107" s="778">
        <f ca="1">SUMIFS(Экономия_корр!AQ$25:AQ$59,Экономия_корр!$F$25:$F$59,$F107,Экономия_корр!$AC$25:$AC$59,"Экономия расходов с учетом ИПЦ")</f>
        <v>0</v>
      </c>
      <c r="AW107" s="778">
        <f ca="1">SUMIFS(Экономия_корр!AR$25:AR$59,Экономия_корр!$F$25:$F$59,$F107,Экономия_корр!$AC$25:$AC$59,"Экономия расходов с учетом ИПЦ")</f>
        <v>0</v>
      </c>
      <c r="AX107" s="778">
        <f ca="1">SUMIFS(Экономия_корр!AS$25:AS$59,Экономия_корр!$F$25:$F$59,$F107,Экономия_корр!$AC$25:$AC$59,"Экономия расходов с учетом ИПЦ")</f>
        <v>0</v>
      </c>
      <c r="AY107" s="778">
        <f ca="1">SUMIFS(Экономия_корр!AT$25:AT$59,Экономия_корр!$F$25:$F$59,$F107,Экономия_корр!$AC$25:$AC$59,"Экономия расходов с учетом ИПЦ")</f>
        <v>0</v>
      </c>
      <c r="AZ107" s="778">
        <f ca="1">SUMIFS(Экономия_корр!AU$25:AU$59,Экономия_корр!$F$25:$F$59,$F107,Экономия_корр!$AC$25:$AC$59,"Экономия расходов с учетом ИПЦ")</f>
        <v>0</v>
      </c>
      <c r="BA107" s="778">
        <f ca="1">SUMIFS(Экономия_корр!AV$25:AV$59,Экономия_корр!$F$25:$F$59,$F107,Экономия_корр!$AC$25:$AC$59,"Экономия расходов с учетом ИПЦ")</f>
        <v>0</v>
      </c>
      <c r="BB107" s="778">
        <f ca="1">SUMIFS(Экономия_корр!AW$25:AW$59,Экономия_корр!$F$25:$F$59,$F107,Экономия_корр!$AC$25:$AC$59,"Экономия расходов с учетом ИПЦ")</f>
        <v>0</v>
      </c>
      <c r="BC107" s="778">
        <f ca="1">SUMIFS(Экономия_корр!AX$25:AX$59,Экономия_корр!$F$25:$F$59,$F107,Экономия_корр!$AC$25:$AC$59,"Экономия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5"/>
      <c r="BO107" s="775"/>
      <c r="BP107" s="775"/>
      <c r="BS107" s="696" t="s">
        <v>2126</v>
      </c>
    </row>
    <row r="108" spans="2:75" ht="14.65" hidden="1" customHeight="1" x14ac:dyDescent="0.15">
      <c r="C108" s="25"/>
      <c r="D108" s="25"/>
      <c r="E108" s="451">
        <v>15</v>
      </c>
      <c r="F108" s="3" cm="1">
        <f t="array" aca="1" ref="F108" ca="1">OFFSET(E108,-1,1)</f>
        <v>0</v>
      </c>
      <c r="G108" s="25" t="s">
        <v>1472</v>
      </c>
      <c r="H108" s="25"/>
      <c r="I108" s="25" t="s">
        <v>2127</v>
      </c>
      <c r="J108" s="25"/>
      <c r="K108" s="72" t="s">
        <v>2127</v>
      </c>
      <c r="L108" s="25"/>
      <c r="M108" s="25"/>
      <c r="N108" s="25"/>
      <c r="O108" s="25"/>
      <c r="P108" s="25"/>
      <c r="Q108" s="25"/>
      <c r="R108" s="25"/>
      <c r="S108" s="25"/>
      <c r="T108" s="353" t="b" cm="1">
        <f t="array" aca="1" ref="T108" ca="1">T107</f>
        <v>0</v>
      </c>
      <c r="U108" s="25"/>
      <c r="V108" s="25"/>
      <c r="W108" s="25"/>
      <c r="X108" s="1022"/>
      <c r="Z108" s="967"/>
      <c r="AB108" s="7" t="s">
        <v>2128</v>
      </c>
      <c r="AC108" s="127" t="s">
        <v>1472</v>
      </c>
      <c r="AD108" s="7" t="s">
        <v>828</v>
      </c>
      <c r="AE108" s="778"/>
      <c r="AF108" s="778"/>
      <c r="AG108" s="778"/>
      <c r="AH108" s="171">
        <f t="shared" si="9"/>
        <v>0</v>
      </c>
      <c r="AI108" s="778"/>
      <c r="AJ108" s="128"/>
      <c r="AK108" s="778"/>
      <c r="AL108" s="778"/>
      <c r="AM108" s="778"/>
      <c r="AN108" s="778"/>
      <c r="AO108" s="778"/>
      <c r="AP108" s="778"/>
      <c r="AQ108" s="778"/>
      <c r="AR108" s="778"/>
      <c r="AS108" s="778"/>
      <c r="AT108" s="128"/>
      <c r="AU108" s="778"/>
      <c r="AV108" s="778"/>
      <c r="AW108" s="778"/>
      <c r="AX108" s="778"/>
      <c r="AY108" s="778"/>
      <c r="AZ108" s="778"/>
      <c r="BA108" s="778"/>
      <c r="BB108" s="778"/>
      <c r="BC108" s="778"/>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5"/>
      <c r="BO108" s="775"/>
      <c r="BP108" s="775"/>
      <c r="BS108" s="696" t="s">
        <v>1856</v>
      </c>
    </row>
    <row r="109" spans="2:75" ht="14.65" hidden="1" customHeight="1" x14ac:dyDescent="0.15">
      <c r="C109" s="25"/>
      <c r="D109" s="25"/>
      <c r="E109" s="451">
        <v>15</v>
      </c>
      <c r="F109" s="3" cm="1">
        <f t="array" aca="1" ref="F109" ca="1">OFFSET(E109,-1,1)</f>
        <v>0</v>
      </c>
      <c r="G109" s="25" t="s">
        <v>1477</v>
      </c>
      <c r="H109" s="25"/>
      <c r="I109" s="25" t="s">
        <v>2129</v>
      </c>
      <c r="J109" s="25"/>
      <c r="K109" s="72" t="s">
        <v>2129</v>
      </c>
      <c r="L109" s="25"/>
      <c r="M109" s="25"/>
      <c r="N109" s="25"/>
      <c r="O109" s="25"/>
      <c r="P109" s="25"/>
      <c r="Q109" s="25"/>
      <c r="R109" s="25"/>
      <c r="S109" s="25"/>
      <c r="T109" s="353" t="b" cm="1">
        <f t="array" aca="1" ref="T109" ca="1">T108</f>
        <v>0</v>
      </c>
      <c r="U109" s="25"/>
      <c r="V109" s="25"/>
      <c r="W109" s="25"/>
      <c r="X109" s="1022"/>
      <c r="Z109" s="967"/>
      <c r="AB109" s="7" t="s">
        <v>1544</v>
      </c>
      <c r="AC109" s="127" t="s">
        <v>1477</v>
      </c>
      <c r="AD109" s="7" t="s">
        <v>828</v>
      </c>
      <c r="AE109" s="778"/>
      <c r="AF109" s="778"/>
      <c r="AG109" s="778"/>
      <c r="AH109" s="171">
        <f t="shared" si="9"/>
        <v>0</v>
      </c>
      <c r="AI109" s="778"/>
      <c r="AJ109" s="128"/>
      <c r="AK109" s="778"/>
      <c r="AL109" s="778"/>
      <c r="AM109" s="778"/>
      <c r="AN109" s="778"/>
      <c r="AO109" s="778"/>
      <c r="AP109" s="778"/>
      <c r="AQ109" s="778"/>
      <c r="AR109" s="778"/>
      <c r="AS109" s="778"/>
      <c r="AT109" s="128"/>
      <c r="AU109" s="778"/>
      <c r="AV109" s="778"/>
      <c r="AW109" s="778"/>
      <c r="AX109" s="778"/>
      <c r="AY109" s="778"/>
      <c r="AZ109" s="778"/>
      <c r="BA109" s="778"/>
      <c r="BB109" s="778"/>
      <c r="BC109" s="778"/>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5"/>
      <c r="BO109" s="775"/>
      <c r="BP109" s="775"/>
      <c r="BS109" s="696" t="s">
        <v>2130</v>
      </c>
    </row>
    <row r="110" spans="2:75" ht="14.65" hidden="1" customHeight="1" x14ac:dyDescent="0.15">
      <c r="C110" s="25"/>
      <c r="D110" s="25"/>
      <c r="E110" s="451">
        <v>15</v>
      </c>
      <c r="F110" s="3" cm="1">
        <f t="array" aca="1" ref="F110" ca="1">OFFSET(E110,-1,1)</f>
        <v>0</v>
      </c>
      <c r="G110" s="25" t="s">
        <v>1482</v>
      </c>
      <c r="H110" s="25"/>
      <c r="I110" s="25" t="s">
        <v>2131</v>
      </c>
      <c r="J110" s="25"/>
      <c r="K110" s="72" t="s">
        <v>2131</v>
      </c>
      <c r="L110" s="25"/>
      <c r="M110" s="25"/>
      <c r="N110" s="25"/>
      <c r="O110" s="25"/>
      <c r="P110" s="25"/>
      <c r="Q110" s="25"/>
      <c r="R110" s="25"/>
      <c r="S110" s="25"/>
      <c r="T110" s="353" t="b" cm="1">
        <f t="array" aca="1" ref="T110" ca="1">T109</f>
        <v>0</v>
      </c>
      <c r="U110" s="25"/>
      <c r="V110" s="25"/>
      <c r="W110" s="25"/>
      <c r="X110" s="1022"/>
      <c r="Z110" s="967"/>
      <c r="AB110" s="7" t="s">
        <v>1548</v>
      </c>
      <c r="AC110" s="127" t="s">
        <v>1482</v>
      </c>
      <c r="AD110" s="7" t="s">
        <v>828</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5"/>
      <c r="BO110" s="775"/>
      <c r="BP110" s="775"/>
      <c r="BS110" s="696" t="s">
        <v>2132</v>
      </c>
    </row>
    <row r="111" spans="2:75" ht="14.65" hidden="1" customHeight="1" x14ac:dyDescent="0.15">
      <c r="C111" s="25"/>
      <c r="D111" s="25"/>
      <c r="E111" s="451">
        <v>15</v>
      </c>
      <c r="F111" s="3" cm="1">
        <f t="array" aca="1" ref="F111" ca="1">OFFSET(E111,-1,1)</f>
        <v>0</v>
      </c>
      <c r="G111" s="25"/>
      <c r="H111" s="25"/>
      <c r="I111" s="25" t="s">
        <v>2133</v>
      </c>
      <c r="J111" s="25"/>
      <c r="K111" s="72" t="s">
        <v>2133</v>
      </c>
      <c r="L111" s="25"/>
      <c r="M111" s="25"/>
      <c r="N111" s="25"/>
      <c r="O111" s="25"/>
      <c r="P111" s="25"/>
      <c r="Q111" s="25"/>
      <c r="R111" s="25"/>
      <c r="S111" s="25"/>
      <c r="T111" s="353" t="b" cm="1">
        <f t="array" aca="1" ref="T111" ca="1">T110</f>
        <v>0</v>
      </c>
      <c r="U111" s="25"/>
      <c r="V111" s="25"/>
      <c r="W111" s="25"/>
      <c r="X111" s="1022"/>
      <c r="Z111" s="967"/>
      <c r="AB111" s="7" t="s">
        <v>2134</v>
      </c>
      <c r="AC111" s="134" t="s">
        <v>2135</v>
      </c>
      <c r="AD111" s="7" t="s">
        <v>828</v>
      </c>
      <c r="AE111" s="778"/>
      <c r="AF111" s="778"/>
      <c r="AG111" s="778"/>
      <c r="AH111" s="171">
        <f t="shared" si="9"/>
        <v>0</v>
      </c>
      <c r="AI111" s="778"/>
      <c r="AJ111" s="128"/>
      <c r="AK111" s="778"/>
      <c r="AL111" s="778"/>
      <c r="AM111" s="778"/>
      <c r="AN111" s="778"/>
      <c r="AO111" s="778"/>
      <c r="AP111" s="778"/>
      <c r="AQ111" s="778"/>
      <c r="AR111" s="778"/>
      <c r="AS111" s="778"/>
      <c r="AT111" s="128"/>
      <c r="AU111" s="778"/>
      <c r="AV111" s="778"/>
      <c r="AW111" s="778"/>
      <c r="AX111" s="778"/>
      <c r="AY111" s="778"/>
      <c r="AZ111" s="778"/>
      <c r="BA111" s="778"/>
      <c r="BB111" s="778"/>
      <c r="BC111" s="778"/>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5"/>
      <c r="BO111" s="775"/>
      <c r="BP111" s="775"/>
      <c r="BS111" s="696" t="s">
        <v>1268</v>
      </c>
    </row>
    <row r="112" spans="2:75" ht="14.65" hidden="1" customHeight="1" x14ac:dyDescent="0.15">
      <c r="C112" s="25"/>
      <c r="D112" s="25"/>
      <c r="E112" s="451">
        <v>15</v>
      </c>
      <c r="F112" s="3" cm="1">
        <f t="array" aca="1" ref="F112" ca="1">OFFSET(E112,-1,1)</f>
        <v>0</v>
      </c>
      <c r="G112" s="25"/>
      <c r="H112" s="25"/>
      <c r="I112" s="25" t="s">
        <v>2136</v>
      </c>
      <c r="J112" s="25"/>
      <c r="K112" s="72" t="s">
        <v>2136</v>
      </c>
      <c r="L112" s="25" t="s">
        <v>951</v>
      </c>
      <c r="M112" s="25"/>
      <c r="N112" s="25"/>
      <c r="O112" s="25"/>
      <c r="P112" s="25"/>
      <c r="Q112" s="25"/>
      <c r="R112" s="25"/>
      <c r="S112" s="25"/>
      <c r="T112" s="353" t="b" cm="1">
        <f t="array" aca="1" ref="T112" ca="1">T111</f>
        <v>0</v>
      </c>
      <c r="U112" s="25"/>
      <c r="V112" s="25"/>
      <c r="W112" s="25"/>
      <c r="X112" s="1022"/>
      <c r="Z112" s="967"/>
      <c r="AB112" s="7" t="s">
        <v>2137</v>
      </c>
      <c r="AC112" s="134" t="s">
        <v>2138</v>
      </c>
      <c r="AD112" s="7" t="s">
        <v>828</v>
      </c>
      <c r="AE112" s="778"/>
      <c r="AF112" s="778"/>
      <c r="AG112" s="778"/>
      <c r="AH112" s="171">
        <f t="shared" si="9"/>
        <v>0</v>
      </c>
      <c r="AI112" s="778"/>
      <c r="AJ112" s="128"/>
      <c r="AK112" s="778"/>
      <c r="AL112" s="778"/>
      <c r="AM112" s="778"/>
      <c r="AN112" s="778"/>
      <c r="AO112" s="778"/>
      <c r="AP112" s="778"/>
      <c r="AQ112" s="778"/>
      <c r="AR112" s="778"/>
      <c r="AS112" s="778"/>
      <c r="AT112" s="128"/>
      <c r="AU112" s="778"/>
      <c r="AV112" s="778"/>
      <c r="AW112" s="778"/>
      <c r="AX112" s="778"/>
      <c r="AY112" s="778"/>
      <c r="AZ112" s="778"/>
      <c r="BA112" s="778"/>
      <c r="BB112" s="778"/>
      <c r="BC112" s="778"/>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5"/>
      <c r="BO112" s="775"/>
      <c r="BP112" s="775"/>
      <c r="BS112" s="696" t="s">
        <v>2139</v>
      </c>
    </row>
    <row r="113" spans="2:75" ht="21.95" hidden="1" customHeight="1" x14ac:dyDescent="0.15">
      <c r="C113" s="25"/>
      <c r="D113" s="25"/>
      <c r="E113" s="451">
        <v>22.5</v>
      </c>
      <c r="F113" s="3" cm="1">
        <f t="array" aca="1" ref="F113" ca="1">OFFSET(E113,-1,1)</f>
        <v>0</v>
      </c>
      <c r="G113" s="25" t="s">
        <v>1487</v>
      </c>
      <c r="H113" s="25"/>
      <c r="I113" s="25" t="s">
        <v>2140</v>
      </c>
      <c r="J113" s="25"/>
      <c r="K113" s="72" t="s">
        <v>2140</v>
      </c>
      <c r="L113" s="25"/>
      <c r="M113" s="25"/>
      <c r="N113" s="25"/>
      <c r="O113" s="25"/>
      <c r="P113" s="25"/>
      <c r="Q113" s="25"/>
      <c r="R113" s="25"/>
      <c r="S113" s="25"/>
      <c r="T113" s="353" t="b" cm="1">
        <f t="array" aca="1" ref="T113" ca="1">T112</f>
        <v>0</v>
      </c>
      <c r="U113" s="25"/>
      <c r="V113" s="25"/>
      <c r="W113" s="25"/>
      <c r="X113" s="1022"/>
      <c r="Z113" s="967"/>
      <c r="AB113" s="7" t="s">
        <v>1551</v>
      </c>
      <c r="AC113" s="127" t="s">
        <v>2141</v>
      </c>
      <c r="AD113" s="7" t="s">
        <v>828</v>
      </c>
      <c r="AE113" s="778"/>
      <c r="AF113" s="778"/>
      <c r="AG113" s="778"/>
      <c r="AH113" s="171">
        <f t="shared" si="9"/>
        <v>0</v>
      </c>
      <c r="AI113" s="778"/>
      <c r="AJ113" s="128"/>
      <c r="AK113" s="778"/>
      <c r="AL113" s="778"/>
      <c r="AM113" s="778"/>
      <c r="AN113" s="778"/>
      <c r="AO113" s="778"/>
      <c r="AP113" s="778"/>
      <c r="AQ113" s="778"/>
      <c r="AR113" s="778"/>
      <c r="AS113" s="778"/>
      <c r="AT113" s="128"/>
      <c r="AU113" s="778"/>
      <c r="AV113" s="778"/>
      <c r="AW113" s="778"/>
      <c r="AX113" s="778"/>
      <c r="AY113" s="778"/>
      <c r="AZ113" s="778"/>
      <c r="BA113" s="778"/>
      <c r="BB113" s="778"/>
      <c r="BC113" s="778"/>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5"/>
      <c r="BO113" s="775"/>
      <c r="BP113" s="775"/>
      <c r="BS113" s="696" t="s">
        <v>2142</v>
      </c>
    </row>
    <row r="114" spans="2:75" s="76" customFormat="1" ht="20.45" hidden="1" customHeight="1" x14ac:dyDescent="0.15">
      <c r="B114" s="332"/>
      <c r="C114" s="27"/>
      <c r="D114" s="27"/>
      <c r="E114" s="559">
        <v>21</v>
      </c>
      <c r="F114" s="3" cm="1">
        <f t="array" aca="1" ref="F114" ca="1">OFFSET(E114,-1,1)</f>
        <v>0</v>
      </c>
      <c r="G114" s="25" t="s">
        <v>2143</v>
      </c>
      <c r="H114" s="25"/>
      <c r="I114" s="25" t="s">
        <v>333</v>
      </c>
      <c r="J114" s="27"/>
      <c r="K114" s="72" t="s">
        <v>333</v>
      </c>
      <c r="L114" s="27" t="s">
        <v>1344</v>
      </c>
      <c r="M114" s="27"/>
      <c r="N114" s="27"/>
      <c r="O114" s="27"/>
      <c r="P114" s="27"/>
      <c r="Q114" s="27"/>
      <c r="R114" s="27"/>
      <c r="S114" s="27"/>
      <c r="T114" s="353" t="b" cm="1">
        <f t="array" aca="1" ref="T114" ca="1">T113</f>
        <v>0</v>
      </c>
      <c r="U114" s="27"/>
      <c r="V114" s="27"/>
      <c r="W114" s="27"/>
      <c r="X114" s="1022"/>
      <c r="Z114" s="967"/>
      <c r="AB114" s="124" t="s">
        <v>291</v>
      </c>
      <c r="AC114" s="125" t="s">
        <v>2144</v>
      </c>
      <c r="AD114" s="124" t="s">
        <v>828</v>
      </c>
      <c r="AE114" s="126">
        <f ca="1">SUMIFS(ЭЭ!AE$25:AE$116,ЭЭ!$F$25:$F$116,$F114,ЭЭ!$AC$25:$AC$116,"Всего по тарифу")</f>
        <v>0</v>
      </c>
      <c r="AF114" s="126">
        <f ca="1">SUMIFS(ЭЭ!AF$25:AF$116,ЭЭ!$F$25:$F$116,$F114,ЭЭ!$AC$25:$AC$116,"Всего по тарифу")</f>
        <v>0</v>
      </c>
      <c r="AG114" s="126">
        <f ca="1">SUMIFS(ЭЭ!AG$25:AG$116,ЭЭ!$F$25:$F$116,$F114,ЭЭ!$AC$25:$AC$116,"Всего по тарифу")</f>
        <v>0</v>
      </c>
      <c r="AH114" s="126">
        <f t="shared" ca="1" si="9"/>
        <v>0</v>
      </c>
      <c r="AI114" s="126">
        <f ca="1">SUMIFS(ЭЭ!AH$25:AH$116,ЭЭ!$F$25:$F$116,$F114,ЭЭ!$AC$25:$AC$116,"Всего по тарифу")</f>
        <v>0</v>
      </c>
      <c r="AJ114" s="126">
        <f ca="1">SUMIFS(ЭЭ!AI$25:AI$116,ЭЭ!$F$25:$F$116,$F114,ЭЭ!$AC$25:$AC$116,"Всего по тарифу")</f>
        <v>0</v>
      </c>
      <c r="AK114" s="126">
        <f ca="1">SUMIFS(ЭЭ!AJ$25:AJ$116,ЭЭ!$F$25:$F$116,$F114,ЭЭ!$AC$25:$AC$116,"Всего по тарифу")</f>
        <v>0</v>
      </c>
      <c r="AL114" s="126">
        <f ca="1">SUMIFS(ЭЭ!AK$25:AK$116,ЭЭ!$F$25:$F$116,$F114,ЭЭ!$AC$25:$AC$116,"Всего по тарифу")</f>
        <v>0</v>
      </c>
      <c r="AM114" s="126">
        <f ca="1">SUMIFS(ЭЭ!AL$25:AL$116,ЭЭ!$F$25:$F$116,$F114,ЭЭ!$AC$25:$AC$116,"Всего по тарифу")</f>
        <v>0</v>
      </c>
      <c r="AN114" s="126">
        <f ca="1">SUMIFS(ЭЭ!AM$25:AM$116,ЭЭ!$F$25:$F$116,$F114,ЭЭ!$AC$25:$AC$116,"Всего по тарифу")</f>
        <v>0</v>
      </c>
      <c r="AO114" s="126">
        <f ca="1">SUMIFS(ЭЭ!AN$25:AN$116,ЭЭ!$F$25:$F$116,$F114,ЭЭ!$AC$25:$AC$116,"Всего по тарифу")</f>
        <v>0</v>
      </c>
      <c r="AP114" s="126">
        <f ca="1">SUMIFS(ЭЭ!AO$25:AO$116,ЭЭ!$F$25:$F$116,$F114,ЭЭ!$AC$25:$AC$116,"Всего по тарифу")</f>
        <v>0</v>
      </c>
      <c r="AQ114" s="126">
        <f ca="1">SUMIFS(ЭЭ!AP$25:AP$116,ЭЭ!$F$25:$F$116,$F114,ЭЭ!$AC$25:$AC$116,"Всего по тарифу")</f>
        <v>0</v>
      </c>
      <c r="AR114" s="126">
        <f ca="1">SUMIFS(ЭЭ!AQ$25:AQ$116,ЭЭ!$F$25:$F$116,$F114,ЭЭ!$AC$25:$AC$116,"Всего по тарифу")</f>
        <v>0</v>
      </c>
      <c r="AS114" s="126">
        <f ca="1">SUMIFS(ЭЭ!AR$25:AR$116,ЭЭ!$F$25:$F$116,$F114,ЭЭ!$AC$25:$AC$116,"Всего по тарифу")</f>
        <v>0</v>
      </c>
      <c r="AT114" s="126">
        <f ca="1">SUMIFS(ЭЭ!AS$25:AS$116,ЭЭ!$F$25:$F$116,$F114,ЭЭ!$AC$25:$AC$116,"Всего по тарифу")</f>
        <v>0</v>
      </c>
      <c r="AU114" s="126">
        <f ca="1">SUMIFS(ЭЭ!AT$25:AT$116,ЭЭ!$F$25:$F$116,$F114,ЭЭ!$AC$25:$AC$116,"Всего по тарифу")</f>
        <v>0</v>
      </c>
      <c r="AV114" s="126">
        <f ca="1">SUMIFS(ЭЭ!AU$25:AU$116,ЭЭ!$F$25:$F$116,$F114,ЭЭ!$AC$25:$AC$116,"Всего по тарифу")</f>
        <v>0</v>
      </c>
      <c r="AW114" s="126">
        <f ca="1">SUMIFS(ЭЭ!AV$25:AV$116,ЭЭ!$F$25:$F$116,$F114,ЭЭ!$AC$25:$AC$116,"Всего по тарифу")</f>
        <v>0</v>
      </c>
      <c r="AX114" s="126">
        <f ca="1">SUMIFS(ЭЭ!AW$25:AW$116,ЭЭ!$F$25:$F$116,$F114,ЭЭ!$AC$25:$AC$116,"Всего по тарифу")</f>
        <v>0</v>
      </c>
      <c r="AY114" s="126">
        <f ca="1">SUMIFS(ЭЭ!AX$25:AX$116,ЭЭ!$F$25:$F$116,$F114,ЭЭ!$AC$25:$AC$116,"Всего по тарифу")</f>
        <v>0</v>
      </c>
      <c r="AZ114" s="126">
        <f ca="1">SUMIFS(ЭЭ!AY$25:AY$116,ЭЭ!$F$25:$F$116,$F114,ЭЭ!$AC$25:$AC$116,"Всего по тарифу")</f>
        <v>0</v>
      </c>
      <c r="BA114" s="126">
        <f ca="1">SUMIFS(ЭЭ!AZ$25:AZ$116,ЭЭ!$F$25:$F$116,$F114,ЭЭ!$AC$25:$AC$116,"Всего по тарифу")</f>
        <v>0</v>
      </c>
      <c r="BB114" s="126">
        <f ca="1">SUMIFS(ЭЭ!BA$25:BA$116,ЭЭ!$F$25:$F$116,$F114,ЭЭ!$AC$25:$AC$116,"Всего по тарифу")</f>
        <v>0</v>
      </c>
      <c r="BC114" s="126">
        <f ca="1">SUMIFS(ЭЭ!BB$25:BB$116,ЭЭ!$F$25:$F$116,$F114,ЭЭ!$AC$25:$AC$116,"Всего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5"/>
      <c r="BO114" s="779" t="str">
        <f ca="1">IF(IFERROR(INDEX(ЭЭ!$K$26:$L$116,MATCH($F114&amp;"komm",ЭЭ!$K$26:$K$116,0),2),"")=0,"",IFERROR(INDEX(ЭЭ!$K$26:$L$116,MATCH($F114&amp;"komm",ЭЭ!$K$26:$K$116,0),2),""))</f>
        <v/>
      </c>
      <c r="BP114" s="775"/>
      <c r="BS114" s="702" t="s">
        <v>1750</v>
      </c>
      <c r="BT114" s="702"/>
      <c r="BU114" s="702"/>
      <c r="BV114" s="511"/>
      <c r="BW114" s="511"/>
    </row>
    <row r="115" spans="2:75" s="76" customFormat="1" ht="21.95" hidden="1" customHeight="1" x14ac:dyDescent="0.15">
      <c r="B115" s="76" t="b">
        <f>method_reg="Метод индексации"</f>
        <v>1</v>
      </c>
      <c r="C115" s="27"/>
      <c r="D115" s="27"/>
      <c r="E115" s="559">
        <v>22.5</v>
      </c>
      <c r="F115" s="3" cm="1">
        <f t="array" aca="1" ref="F115" ca="1">OFFSET(E115,-1,1)</f>
        <v>0</v>
      </c>
      <c r="G115" s="25" t="s">
        <v>1509</v>
      </c>
      <c r="H115" s="25"/>
      <c r="I115" s="25" t="s">
        <v>335</v>
      </c>
      <c r="J115" s="27"/>
      <c r="K115" s="72"/>
      <c r="L115" s="27" t="s">
        <v>334</v>
      </c>
      <c r="M115" s="27"/>
      <c r="N115" s="27"/>
      <c r="O115" s="27"/>
      <c r="P115" s="27"/>
      <c r="Q115" s="27"/>
      <c r="R115" s="27"/>
      <c r="S115" s="27"/>
      <c r="T115" s="353" t="b" cm="1">
        <f t="array" aca="1" ref="T115" ca="1">T114</f>
        <v>0</v>
      </c>
      <c r="U115" s="27"/>
      <c r="V115" s="27"/>
      <c r="W115" s="27"/>
      <c r="X115" s="1022"/>
      <c r="Z115" s="967"/>
      <c r="AB115" s="124" t="s">
        <v>454</v>
      </c>
      <c r="AC115" s="125" t="s">
        <v>2145</v>
      </c>
      <c r="AD115" s="124" t="s">
        <v>828</v>
      </c>
      <c r="AE115" s="126">
        <f ca="1">SUMIFS(Амортизация!AE$25:AE$223,Амортизация!$F$25:$F$223,$F115,Амортизация!$AC$25:$AC$223,"Сумма амортизационных отчислений")</f>
        <v>0</v>
      </c>
      <c r="AF115" s="126">
        <f ca="1">SUMIFS(Амортизация!AF$25:AF$223,Амортизация!$F$25:$F$223,$F115,Амортизация!$AC$25:$AC$223,"Сумма амортизационных отчислений")</f>
        <v>0</v>
      </c>
      <c r="AG115" s="126">
        <f ca="1">SUMIFS(Амортизация!AG$25:AG$223,Амортизация!$F$25:$F$223,$F115,Амортизация!$AC$25:$AC$223,"Сумма амортизационных отчислений")</f>
        <v>0</v>
      </c>
      <c r="AH115" s="126">
        <f t="shared" ca="1" si="9"/>
        <v>0</v>
      </c>
      <c r="AI115" s="126">
        <f ca="1">SUMIFS(Амортизация!AH$25:AH$223,Амортизация!$F$25:$F$223,$F115,Амортизация!$AC$25:$AC$223,"Сумма амортизационных отчислений")</f>
        <v>0</v>
      </c>
      <c r="AJ115" s="126">
        <f ca="1">SUMIFS(Амортизация!AI$25:AI$223,Амортизация!$F$25:$F$223,$F115,Амортизация!$AC$25:$AC$223,"Сумма амортизационных отчислений")</f>
        <v>0</v>
      </c>
      <c r="AK115" s="126">
        <f ca="1">SUMIFS(Амортизация!AJ$25:AJ$223,Амортизация!$F$25:$F$223,$F115,Амортизация!$AC$25:$AC$223,"Сумма амортизационных отчислений")</f>
        <v>0</v>
      </c>
      <c r="AL115" s="126">
        <f ca="1">SUMIFS(Амортизация!AK$25:AK$223,Амортизация!$F$25:$F$223,$F115,Амортизация!$AC$25:$AC$223,"Сумма амортизационных отчислений")</f>
        <v>0</v>
      </c>
      <c r="AM115" s="126">
        <f ca="1">SUMIFS(Амортизация!AL$25:AL$223,Амортизация!$F$25:$F$223,$F115,Амортизация!$AC$25:$AC$223,"Сумма амортизационных отчислений")</f>
        <v>0</v>
      </c>
      <c r="AN115" s="126">
        <f ca="1">SUMIFS(Амортизация!AM$25:AM$223,Амортизация!$F$25:$F$223,$F115,Амортизация!$AC$25:$AC$223,"Сумма амортизационных отчислений")</f>
        <v>0</v>
      </c>
      <c r="AO115" s="126">
        <f ca="1">SUMIFS(Амортизация!AN$25:AN$223,Амортизация!$F$25:$F$223,$F115,Амортизация!$AC$25:$AC$223,"Сумма амортизационных отчислений")</f>
        <v>0</v>
      </c>
      <c r="AP115" s="126">
        <f ca="1">SUMIFS(Амортизация!AO$25:AO$223,Амортизация!$F$25:$F$223,$F115,Амортизация!$AC$25:$AC$223,"Сумма амортизационных отчислений")</f>
        <v>0</v>
      </c>
      <c r="AQ115" s="126">
        <f ca="1">SUMIFS(Амортизация!AP$25:AP$223,Амортизация!$F$25:$F$223,$F115,Амортизация!$AC$25:$AC$223,"Сумма амортизационных отчислений")</f>
        <v>0</v>
      </c>
      <c r="AR115" s="126">
        <f ca="1">SUMIFS(Амортизация!AQ$25:AQ$223,Амортизация!$F$25:$F$223,$F115,Амортизация!$AC$25:$AC$223,"Сумма амортизационных отчислений")</f>
        <v>0</v>
      </c>
      <c r="AS115" s="126">
        <f ca="1">SUMIFS(Амортизация!AR$25:AR$223,Амортизация!$F$25:$F$223,$F115,Амортизация!$AC$25:$AC$223,"Сумма амортизационных отчислений")</f>
        <v>0</v>
      </c>
      <c r="AT115" s="126">
        <f ca="1">SUMIFS(Амортизация!AS$25:AS$223,Амортизация!$F$25:$F$223,$F115,Амортизация!$AC$25:$AC$223,"Сумма амортизационных отчислений")</f>
        <v>0</v>
      </c>
      <c r="AU115" s="126">
        <f ca="1">SUMIFS(Амортизация!AT$25:AT$223,Амортизация!$F$25:$F$223,$F115,Амортизация!$AC$25:$AC$223,"Сумма амортизационных отчислений")</f>
        <v>0</v>
      </c>
      <c r="AV115" s="126">
        <f ca="1">SUMIFS(Амортизация!AU$25:AU$223,Амортизация!$F$25:$F$223,$F115,Амортизация!$AC$25:$AC$223,"Сумма амортизационных отчислений")</f>
        <v>0</v>
      </c>
      <c r="AW115" s="126">
        <f ca="1">SUMIFS(Амортизация!AV$25:AV$223,Амортизация!$F$25:$F$223,$F115,Амортизация!$AC$25:$AC$223,"Сумма амортизационных отчислений")</f>
        <v>0</v>
      </c>
      <c r="AX115" s="126">
        <f ca="1">SUMIFS(Амортизация!AW$25:AW$223,Амортизация!$F$25:$F$223,$F115,Амортизация!$AC$25:$AC$223,"Сумма амортизационных отчислений")</f>
        <v>0</v>
      </c>
      <c r="AY115" s="126">
        <f ca="1">SUMIFS(Амортизация!AX$25:AX$223,Амортизация!$F$25:$F$223,$F115,Амортизация!$AC$25:$AC$223,"Сумма амортизационных отчислений")</f>
        <v>0</v>
      </c>
      <c r="AZ115" s="126">
        <f ca="1">SUMIFS(Амортизация!AY$25:AY$223,Амортизация!$F$25:$F$223,$F115,Амортизация!$AC$25:$AC$223,"Сумма амортизационных отчислений")</f>
        <v>0</v>
      </c>
      <c r="BA115" s="126">
        <f ca="1">SUMIFS(Амортизация!AZ$25:AZ$223,Амортизация!$F$25:$F$223,$F115,Амортизация!$AC$25:$AC$223,"Сумма амортизационных отчислений")</f>
        <v>0</v>
      </c>
      <c r="BB115" s="126">
        <f ca="1">SUMIFS(Амортизация!BA$25:BA$223,Амортизация!$F$25:$F$223,$F115,Амортизация!$AC$25:$AC$223,"Сумма амортизационных отчислений")</f>
        <v>0</v>
      </c>
      <c r="BC115" s="126">
        <f ca="1">SUMIFS(Амортизация!BB$25:BB$223,Амортизация!$F$25:$F$223,$F115,Амортизация!$AC$25:$AC$223,"Сумма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5"/>
      <c r="BO115" s="779" t="str">
        <f ca="1">IF(IFERROR(INDEX(Амортизация!$K$26:$L$223,MATCH($F115&amp;"komm",Амортизация!$K$26:$K$223,0),2),"")=0,"",IFERROR(INDEX(Амортизация!$K$26:$L$223,MATCH($F115&amp;"komm",Амортизация!$K$26:$K$223,0),2),""))</f>
        <v/>
      </c>
      <c r="BP115" s="775"/>
      <c r="BS115" s="702" t="s">
        <v>1247</v>
      </c>
      <c r="BT115" s="702"/>
      <c r="BU115" s="702"/>
      <c r="BV115" s="511"/>
      <c r="BW115" s="511"/>
    </row>
    <row r="116" spans="2:75" ht="14.65" hidden="1" customHeight="1" x14ac:dyDescent="0.15">
      <c r="B116" s="329" t="b" cm="1">
        <f t="array" ref="B116">B115</f>
        <v>1</v>
      </c>
      <c r="C116" s="25"/>
      <c r="D116" s="25"/>
      <c r="E116" s="451">
        <v>15</v>
      </c>
      <c r="F116" s="3" cm="1">
        <f t="array" aca="1" ref="F116" ca="1">OFFSET(E116,-1,1)</f>
        <v>0</v>
      </c>
      <c r="G116" s="25"/>
      <c r="H116" s="25"/>
      <c r="I116" s="25" t="s">
        <v>560</v>
      </c>
      <c r="J116" s="25"/>
      <c r="L116" s="25" t="s">
        <v>574</v>
      </c>
      <c r="M116" s="25"/>
      <c r="N116" s="25"/>
      <c r="O116" s="25"/>
      <c r="P116" s="25"/>
      <c r="Q116" s="25"/>
      <c r="R116" s="25"/>
      <c r="S116" s="25"/>
      <c r="T116" s="353" t="b" cm="1">
        <f t="array" aca="1" ref="T116" ca="1">T115</f>
        <v>0</v>
      </c>
      <c r="U116" s="25"/>
      <c r="V116" s="25"/>
      <c r="W116" s="25"/>
      <c r="X116" s="1022"/>
      <c r="Z116" s="967"/>
      <c r="AB116" s="7" t="s">
        <v>697</v>
      </c>
      <c r="AC116" s="127" t="s">
        <v>1843</v>
      </c>
      <c r="AD116" s="7" t="s">
        <v>828</v>
      </c>
      <c r="AE116" s="778">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78">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78">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1">
        <f t="shared" ca="1" si="9"/>
        <v>0</v>
      </c>
      <c r="AI116" s="778">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8">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78">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78">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78">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78">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78">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78">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78">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78">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78">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8">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78">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78">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78">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78">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78">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78">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78">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78">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78">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5"/>
      <c r="BO116" s="775"/>
      <c r="BP116" s="775"/>
      <c r="BS116" s="696" t="s">
        <v>1844</v>
      </c>
    </row>
    <row r="117" spans="2:75" s="76" customFormat="1" ht="20.45" hidden="1" customHeight="1" x14ac:dyDescent="0.25">
      <c r="B117" s="329" t="b" cm="1">
        <f t="array" ref="B117">B116</f>
        <v>1</v>
      </c>
      <c r="C117" s="27"/>
      <c r="D117" s="27"/>
      <c r="E117" s="559">
        <v>21</v>
      </c>
      <c r="F117" s="3" cm="1">
        <f t="array" aca="1" ref="F117" ca="1">OFFSET(E117,-1,1)</f>
        <v>0</v>
      </c>
      <c r="G117" s="25" t="s">
        <v>1513</v>
      </c>
      <c r="H117" s="25"/>
      <c r="I117" s="25" t="s">
        <v>334</v>
      </c>
      <c r="J117" s="27"/>
      <c r="K117" s="72"/>
      <c r="L117" s="27" t="s">
        <v>586</v>
      </c>
      <c r="M117" s="27"/>
      <c r="N117" s="27"/>
      <c r="O117" s="27"/>
      <c r="P117" s="27"/>
      <c r="Q117" s="27"/>
      <c r="R117" s="27"/>
      <c r="S117" s="27"/>
      <c r="T117" s="353" t="b" cm="1">
        <f t="array" aca="1" ref="T117" ca="1">T116</f>
        <v>0</v>
      </c>
      <c r="U117" s="27"/>
      <c r="V117" s="27"/>
      <c r="W117" s="27"/>
      <c r="X117" s="1022"/>
      <c r="Z117" s="967"/>
      <c r="AB117" s="124" t="s">
        <v>460</v>
      </c>
      <c r="AC117" s="125" t="s">
        <v>1513</v>
      </c>
      <c r="AD117" s="147" t="s">
        <v>828</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5"/>
      <c r="BO117" s="775"/>
      <c r="BP117" s="775"/>
      <c r="BS117" s="695" t="s">
        <v>1517</v>
      </c>
      <c r="BT117" s="702"/>
      <c r="BU117" s="702"/>
      <c r="BV117" s="511"/>
      <c r="BW117" s="511"/>
    </row>
    <row r="118" spans="2:75" ht="14.65" hidden="1" customHeight="1" x14ac:dyDescent="0.15">
      <c r="B118" s="329" t="b" cm="1">
        <f t="array" ref="B118">B117</f>
        <v>1</v>
      </c>
      <c r="C118" s="25"/>
      <c r="D118" s="25"/>
      <c r="E118" s="451">
        <v>15</v>
      </c>
      <c r="F118" s="3" cm="1">
        <f t="array" aca="1" ref="F118" ca="1">OFFSET(E118,-1,1)</f>
        <v>0</v>
      </c>
      <c r="G118" s="25"/>
      <c r="H118" s="25"/>
      <c r="I118" s="25" t="s">
        <v>574</v>
      </c>
      <c r="J118" s="25"/>
      <c r="L118" s="25"/>
      <c r="M118" s="25"/>
      <c r="N118" s="25"/>
      <c r="O118" s="25"/>
      <c r="P118" s="25"/>
      <c r="Q118" s="25"/>
      <c r="R118" s="25"/>
      <c r="S118" s="25"/>
      <c r="T118" s="353" t="b" cm="1">
        <f t="array" aca="1" ref="T118" ca="1">T117</f>
        <v>0</v>
      </c>
      <c r="U118" s="25"/>
      <c r="V118" s="25"/>
      <c r="W118" s="25"/>
      <c r="X118" s="1022"/>
      <c r="Z118" s="967"/>
      <c r="AB118" s="7" t="s">
        <v>704</v>
      </c>
      <c r="AC118" s="127" t="s">
        <v>2146</v>
      </c>
      <c r="AD118" s="7" t="s">
        <v>828</v>
      </c>
      <c r="AE118" s="778">
        <f ca="1">SUMIFS('ИП + источники'!AF$27:AF$145,'ИП + источники'!$F$27:$F$145,$F118,'ИП + источники'!$AC$27:$AC$145,"погашение займов и кредитов из нормативной прибыли")</f>
        <v>0</v>
      </c>
      <c r="AF118" s="778">
        <f ca="1">SUMIFS('ИП + источники'!AG$27:AG$145,'ИП + источники'!$F$27:$F$145,$F118,'ИП + источники'!$AC$27:$AC$145,"погашение займов и кредитов из нормативной прибыли")</f>
        <v>0</v>
      </c>
      <c r="AG118" s="778">
        <f ca="1">SUMIFS('ИП + источники'!AH$27:AH$145,'ИП + источники'!$F$27:$F$145,$F118,'ИП + источники'!$AC$27:$AC$145,"погашение займов и кредитов из нормативной прибыли")</f>
        <v>0</v>
      </c>
      <c r="AH118" s="171">
        <f t="shared" ca="1" si="9"/>
        <v>0</v>
      </c>
      <c r="AI118" s="778">
        <f ca="1">SUMIFS('ИП + источники'!AJ$27:AJ$145,'ИП + источники'!$F$27:$F$145,$F118,'ИП + источники'!$AC$27:$AC$145,"погашение займов и кредитов из нормативной прибыли")</f>
        <v>0</v>
      </c>
      <c r="AJ118" s="128">
        <f ca="1">SUMIFS('ИП + источники'!AK$27:AK$145,'ИП + источники'!$F$27:$F$145,$F118,'ИП + источники'!$AC$27:$AC$145,"погашение займов и кредитов из нормативной прибыли")</f>
        <v>0</v>
      </c>
      <c r="AK118" s="778">
        <f ca="1">SUMIFS('ИП + источники'!AL$27:AL$145,'ИП + источники'!$F$27:$F$145,$F118,'ИП + источники'!$AC$27:$AC$145,"погашение займов и кредитов из нормативной прибыли")</f>
        <v>0</v>
      </c>
      <c r="AL118" s="778">
        <f ca="1">SUMIFS('ИП + источники'!AM$27:AM$145,'ИП + источники'!$F$27:$F$145,$F118,'ИП + источники'!$AC$27:$AC$145,"погашение займов и кредитов из нормативной прибыли")</f>
        <v>0</v>
      </c>
      <c r="AM118" s="778">
        <f ca="1">SUMIFS('ИП + источники'!AN$27:AN$145,'ИП + источники'!$F$27:$F$145,$F118,'ИП + источники'!$AC$27:$AC$145,"погашение займов и кредитов из нормативной прибыли")</f>
        <v>0</v>
      </c>
      <c r="AN118" s="778">
        <f ca="1">SUMIFS('ИП + источники'!AO$27:AO$145,'ИП + источники'!$F$27:$F$145,$F118,'ИП + источники'!$AC$27:$AC$145,"погашение займов и кредитов из нормативной прибыли")</f>
        <v>0</v>
      </c>
      <c r="AO118" s="778">
        <f ca="1">SUMIFS('ИП + источники'!AP$27:AP$145,'ИП + источники'!$F$27:$F$145,$F118,'ИП + источники'!$AC$27:$AC$145,"погашение займов и кредитов из нормативной прибыли")</f>
        <v>0</v>
      </c>
      <c r="AP118" s="778">
        <f ca="1">SUMIFS('ИП + источники'!AQ$27:AQ$145,'ИП + источники'!$F$27:$F$145,$F118,'ИП + источники'!$AC$27:$AC$145,"погашение займов и кредитов из нормативной прибыли")</f>
        <v>0</v>
      </c>
      <c r="AQ118" s="778">
        <f ca="1">SUMIFS('ИП + источники'!AR$27:AR$145,'ИП + источники'!$F$27:$F$145,$F118,'ИП + источники'!$AC$27:$AC$145,"погашение займов и кредитов из нормативной прибыли")</f>
        <v>0</v>
      </c>
      <c r="AR118" s="778">
        <f ca="1">SUMIFS('ИП + источники'!AS$27:AS$145,'ИП + источники'!$F$27:$F$145,$F118,'ИП + источники'!$AC$27:$AC$145,"погашение займов и кредитов из нормативной прибыли")</f>
        <v>0</v>
      </c>
      <c r="AS118" s="778">
        <f ca="1">SUMIFS('ИП + источники'!AT$27:AT$145,'ИП + источники'!$F$27:$F$145,$F118,'ИП + источники'!$AC$27:$AC$145,"погашение займов и кредитов из нормативной прибыли")</f>
        <v>0</v>
      </c>
      <c r="AT118" s="128">
        <f ca="1">SUMIFS('ИП + источники'!AU$27:AU$145,'ИП + источники'!$F$27:$F$145,$F118,'ИП + источники'!$AC$27:$AC$145,"погашение займов и кредитов из нормативной прибыли")</f>
        <v>0</v>
      </c>
      <c r="AU118" s="778">
        <f ca="1">SUMIFS('ИП + источники'!AV$27:AV$145,'ИП + источники'!$F$27:$F$145,$F118,'ИП + источники'!$AC$27:$AC$145,"погашение займов и кредитов из нормативной прибыли")</f>
        <v>0</v>
      </c>
      <c r="AV118" s="778">
        <f ca="1">SUMIFS('ИП + источники'!AW$27:AW$145,'ИП + источники'!$F$27:$F$145,$F118,'ИП + источники'!$AC$27:$AC$145,"погашение займов и кредитов из нормативной прибыли")</f>
        <v>0</v>
      </c>
      <c r="AW118" s="778">
        <f ca="1">SUMIFS('ИП + источники'!AX$27:AX$145,'ИП + источники'!$F$27:$F$145,$F118,'ИП + источники'!$AC$27:$AC$145,"погашение займов и кредитов из нормативной прибыли")</f>
        <v>0</v>
      </c>
      <c r="AX118" s="778">
        <f ca="1">SUMIFS('ИП + источники'!AY$27:AY$145,'ИП + источники'!$F$27:$F$145,$F118,'ИП + источники'!$AC$27:$AC$145,"погашение займов и кредитов из нормативной прибыли")</f>
        <v>0</v>
      </c>
      <c r="AY118" s="778">
        <f ca="1">SUMIFS('ИП + источники'!AZ$27:AZ$145,'ИП + источники'!$F$27:$F$145,$F118,'ИП + источники'!$AC$27:$AC$145,"погашение займов и кредитов из нормативной прибыли")</f>
        <v>0</v>
      </c>
      <c r="AZ118" s="778">
        <f ca="1">SUMIFS('ИП + источники'!BA$27:BA$145,'ИП + источники'!$F$27:$F$145,$F118,'ИП + источники'!$AC$27:$AC$145,"погашение займов и кредитов из нормативной прибыли")</f>
        <v>0</v>
      </c>
      <c r="BA118" s="778">
        <f ca="1">SUMIFS('ИП + источники'!BB$27:BB$145,'ИП + источники'!$F$27:$F$145,$F118,'ИП + источники'!$AC$27:$AC$145,"погашение займов и кредитов из нормативной прибыли")</f>
        <v>0</v>
      </c>
      <c r="BB118" s="778">
        <f ca="1">SUMIFS('ИП + источники'!BC$27:BC$145,'ИП + источники'!$F$27:$F$145,$F118,'ИП + источники'!$AC$27:$AC$145,"погашение займов и кредитов из нормативной прибыли")</f>
        <v>0</v>
      </c>
      <c r="BC118" s="778">
        <f ca="1">SUMIFS('ИП + источники'!BD$27:BD$145,'ИП + источники'!$F$27:$F$145,$F118,'ИП + источники'!$AC$27:$AC$145,"погашение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5"/>
      <c r="BO118" s="779" t="str">
        <f ca="1">IF(IFERROR(INDEX('ИП + источники'!$K$28:$L$145,MATCH($F118&amp;"2komm",'ИП + источники'!$K$28:$K$145,0),2),"")=0,"",IFERROR(INDEX('ИП + источники'!$K$28:$L$145,MATCH($F118&amp;"2komm",'ИП + источники'!$K$28:$K$145,0),2),""))</f>
        <v/>
      </c>
      <c r="BP118" s="775"/>
      <c r="BS118" s="696" t="s">
        <v>2147</v>
      </c>
    </row>
    <row r="119" spans="2:75" ht="14.65" hidden="1" customHeight="1" x14ac:dyDescent="0.15">
      <c r="B119" s="329" t="b" cm="1">
        <f t="array" ref="B119">B118</f>
        <v>1</v>
      </c>
      <c r="C119" s="25"/>
      <c r="D119" s="25"/>
      <c r="E119" s="451">
        <v>15</v>
      </c>
      <c r="F119" s="3" cm="1">
        <f t="array" aca="1" ref="F119" ca="1">OFFSET(E119,-1,1)</f>
        <v>0</v>
      </c>
      <c r="G119" s="25"/>
      <c r="H119" s="25"/>
      <c r="I119" s="25" t="s">
        <v>578</v>
      </c>
      <c r="J119" s="25"/>
      <c r="L119" s="25"/>
      <c r="M119" s="25"/>
      <c r="N119" s="25"/>
      <c r="O119" s="25"/>
      <c r="P119" s="25"/>
      <c r="Q119" s="25"/>
      <c r="R119" s="25"/>
      <c r="S119" s="25"/>
      <c r="T119" s="353" t="b" cm="1">
        <f t="array" aca="1" ref="T119" ca="1">T118</f>
        <v>0</v>
      </c>
      <c r="U119" s="25"/>
      <c r="V119" s="25"/>
      <c r="W119" s="25"/>
      <c r="X119" s="1022"/>
      <c r="Z119" s="967"/>
      <c r="AB119" s="7" t="s">
        <v>707</v>
      </c>
      <c r="AC119" s="127" t="s">
        <v>2148</v>
      </c>
      <c r="AD119" s="7" t="s">
        <v>828</v>
      </c>
      <c r="AE119" s="778">
        <f ca="1">SUMIFS('ИП + источники'!AF$27:AF$145,'ИП + источники'!$F$27:$F$145,$F119,'ИП + источники'!$AC$27:$AC$145,"уплата процентов по кредитам из нормативной прибыли")</f>
        <v>0</v>
      </c>
      <c r="AF119" s="778">
        <f ca="1">SUMIFS('ИП + источники'!AG$27:AG$145,'ИП + источники'!$F$27:$F$145,$F119,'ИП + источники'!$AC$27:$AC$145,"уплата процентов по кредитам из нормативной прибыли")</f>
        <v>0</v>
      </c>
      <c r="AG119" s="778">
        <f ca="1">SUMIFS('ИП + источники'!AH$27:AH$145,'ИП + источники'!$F$27:$F$145,$F119,'ИП + источники'!$AC$27:$AC$145,"уплата процентов по кредитам из нормативной прибыли")</f>
        <v>0</v>
      </c>
      <c r="AH119" s="171">
        <f t="shared" ca="1" si="9"/>
        <v>0</v>
      </c>
      <c r="AI119" s="778">
        <f ca="1">SUMIFS('ИП + источники'!AJ$27:AJ$145,'ИП + источники'!$F$27:$F$145,$F119,'ИП + источники'!$AC$27:$AC$145,"уплата процентов по кредитам из нормативной прибыли")</f>
        <v>0</v>
      </c>
      <c r="AJ119" s="128">
        <f ca="1">SUMIFS('ИП + источники'!AK$27:AK$145,'ИП + источники'!$F$27:$F$145,$F119,'ИП + источники'!$AC$27:$AC$145,"уплата процентов по кредитам из нормативной прибыли")</f>
        <v>0</v>
      </c>
      <c r="AK119" s="778">
        <f ca="1">SUMIFS('ИП + источники'!AL$27:AL$145,'ИП + источники'!$F$27:$F$145,$F119,'ИП + источники'!$AC$27:$AC$145,"уплата процентов по кредитам из нормативной прибыли")</f>
        <v>0</v>
      </c>
      <c r="AL119" s="778">
        <f ca="1">SUMIFS('ИП + источники'!AM$27:AM$145,'ИП + источники'!$F$27:$F$145,$F119,'ИП + источники'!$AC$27:$AC$145,"уплата процентов по кредитам из нормативной прибыли")</f>
        <v>0</v>
      </c>
      <c r="AM119" s="778">
        <f ca="1">SUMIFS('ИП + источники'!AN$27:AN$145,'ИП + источники'!$F$27:$F$145,$F119,'ИП + источники'!$AC$27:$AC$145,"уплата процентов по кредитам из нормативной прибыли")</f>
        <v>0</v>
      </c>
      <c r="AN119" s="778">
        <f ca="1">SUMIFS('ИП + источники'!AO$27:AO$145,'ИП + источники'!$F$27:$F$145,$F119,'ИП + источники'!$AC$27:$AC$145,"уплата процентов по кредитам из нормативной прибыли")</f>
        <v>0</v>
      </c>
      <c r="AO119" s="778">
        <f ca="1">SUMIFS('ИП + источники'!AP$27:AP$145,'ИП + источники'!$F$27:$F$145,$F119,'ИП + источники'!$AC$27:$AC$145,"уплата процентов по кредитам из нормативной прибыли")</f>
        <v>0</v>
      </c>
      <c r="AP119" s="778">
        <f ca="1">SUMIFS('ИП + источники'!AQ$27:AQ$145,'ИП + источники'!$F$27:$F$145,$F119,'ИП + источники'!$AC$27:$AC$145,"уплата процентов по кредитам из нормативной прибыли")</f>
        <v>0</v>
      </c>
      <c r="AQ119" s="778">
        <f ca="1">SUMIFS('ИП + источники'!AR$27:AR$145,'ИП + источники'!$F$27:$F$145,$F119,'ИП + источники'!$AC$27:$AC$145,"уплата процентов по кредитам из нормативной прибыли")</f>
        <v>0</v>
      </c>
      <c r="AR119" s="778">
        <f ca="1">SUMIFS('ИП + источники'!AS$27:AS$145,'ИП + источники'!$F$27:$F$145,$F119,'ИП + источники'!$AC$27:$AC$145,"уплата процентов по кредитам из нормативной прибыли")</f>
        <v>0</v>
      </c>
      <c r="AS119" s="778">
        <f ca="1">SUMIFS('ИП + источники'!AT$27:AT$145,'ИП + источники'!$F$27:$F$145,$F119,'ИП + источники'!$AC$27:$AC$145,"уплата процентов по кредитам из нормативной прибыли")</f>
        <v>0</v>
      </c>
      <c r="AT119" s="128">
        <f ca="1">SUMIFS('ИП + источники'!AU$27:AU$145,'ИП + источники'!$F$27:$F$145,$F119,'ИП + источники'!$AC$27:$AC$145,"уплата процентов по кредитам из нормативной прибыли")</f>
        <v>0</v>
      </c>
      <c r="AU119" s="778">
        <f ca="1">SUMIFS('ИП + источники'!AV$27:AV$145,'ИП + источники'!$F$27:$F$145,$F119,'ИП + источники'!$AC$27:$AC$145,"уплата процентов по кредитам из нормативной прибыли")</f>
        <v>0</v>
      </c>
      <c r="AV119" s="778">
        <f ca="1">SUMIFS('ИП + источники'!AW$27:AW$145,'ИП + источники'!$F$27:$F$145,$F119,'ИП + источники'!$AC$27:$AC$145,"уплата процентов по кредитам из нормативной прибыли")</f>
        <v>0</v>
      </c>
      <c r="AW119" s="778">
        <f ca="1">SUMIFS('ИП + источники'!AX$27:AX$145,'ИП + источники'!$F$27:$F$145,$F119,'ИП + источники'!$AC$27:$AC$145,"уплата процентов по кредитам из нормативной прибыли")</f>
        <v>0</v>
      </c>
      <c r="AX119" s="778">
        <f ca="1">SUMIFS('ИП + источники'!AY$27:AY$145,'ИП + источники'!$F$27:$F$145,$F119,'ИП + источники'!$AC$27:$AC$145,"уплата процентов по кредитам из нормативной прибыли")</f>
        <v>0</v>
      </c>
      <c r="AY119" s="778">
        <f ca="1">SUMIFS('ИП + источники'!AZ$27:AZ$145,'ИП + источники'!$F$27:$F$145,$F119,'ИП + источники'!$AC$27:$AC$145,"уплата процентов по кредитам из нормативной прибыли")</f>
        <v>0</v>
      </c>
      <c r="AZ119" s="778">
        <f ca="1">SUMIFS('ИП + источники'!BA$27:BA$145,'ИП + источники'!$F$27:$F$145,$F119,'ИП + источники'!$AC$27:$AC$145,"уплата процентов по кредитам из нормативной прибыли")</f>
        <v>0</v>
      </c>
      <c r="BA119" s="778">
        <f ca="1">SUMIFS('ИП + источники'!BB$27:BB$145,'ИП + источники'!$F$27:$F$145,$F119,'ИП + источники'!$AC$27:$AC$145,"уплата процентов по кредитам из нормативной прибыли")</f>
        <v>0</v>
      </c>
      <c r="BB119" s="778">
        <f ca="1">SUMIFS('ИП + источники'!BC$27:BC$145,'ИП + источники'!$F$27:$F$145,$F119,'ИП + источники'!$AC$27:$AC$145,"уплата процентов по кредитам из нормативной прибыли")</f>
        <v>0</v>
      </c>
      <c r="BC119" s="778">
        <f ca="1">SUMIFS('ИП + источники'!BD$27:BD$145,'ИП + источники'!$F$27:$F$145,$F119,'ИП + источники'!$AC$27:$AC$145,"уплата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5"/>
      <c r="BO119" s="779" t="str">
        <f ca="1">IF(IFERROR(INDEX('ИП + источники'!$K$28:$L$145,MATCH($F119&amp;"3komm",'ИП + источники'!$K$28:$K$145,0),2),"")=0,"",IFERROR(INDEX('ИП + источники'!$K$28:$L$145,MATCH($F119&amp;"3komm",'ИП + источники'!$K$28:$K$145,0),2),""))</f>
        <v/>
      </c>
      <c r="BP119" s="775"/>
      <c r="BS119" s="696" t="s">
        <v>2149</v>
      </c>
    </row>
    <row r="120" spans="2:75" ht="14.65" hidden="1" customHeight="1" x14ac:dyDescent="0.15">
      <c r="B120" s="329" t="b" cm="1">
        <f t="array" ref="B120">B119</f>
        <v>1</v>
      </c>
      <c r="C120" s="25"/>
      <c r="D120" s="25"/>
      <c r="E120" s="451">
        <v>15</v>
      </c>
      <c r="F120" s="3" cm="1">
        <f t="array" aca="1" ref="F120" ca="1">OFFSET(E120,-1,1)</f>
        <v>0</v>
      </c>
      <c r="G120" s="25"/>
      <c r="H120" s="25"/>
      <c r="I120" s="25" t="s">
        <v>794</v>
      </c>
      <c r="J120" s="25"/>
      <c r="L120" s="25" t="s">
        <v>593</v>
      </c>
      <c r="M120" s="25"/>
      <c r="N120" s="25"/>
      <c r="O120" s="25"/>
      <c r="P120" s="25"/>
      <c r="Q120" s="25"/>
      <c r="R120" s="25"/>
      <c r="S120" s="25"/>
      <c r="T120" s="353" t="b" cm="1">
        <f t="array" aca="1" ref="T120" ca="1">T119</f>
        <v>0</v>
      </c>
      <c r="U120" s="25"/>
      <c r="V120" s="25"/>
      <c r="W120" s="25"/>
      <c r="X120" s="1022"/>
      <c r="Z120" s="967"/>
      <c r="AB120" s="7" t="s">
        <v>994</v>
      </c>
      <c r="AC120" s="127" t="s">
        <v>2150</v>
      </c>
      <c r="AD120" s="7" t="s">
        <v>828</v>
      </c>
      <c r="AE120" s="778">
        <f ca="1">SUMIFS('ИП + источники'!AF$27:AF$145,'ИП + источники'!$F$27:$F$145,$F120,'ИП + источники'!$AC$27:$AC$145,"Прибыль на капвложения")</f>
        <v>0</v>
      </c>
      <c r="AF120" s="778">
        <f ca="1">SUMIFS('ИП + источники'!AG$27:AG$145,'ИП + источники'!$F$27:$F$145,$F120,'ИП + источники'!$AC$27:$AC$145,"Прибыль на капвложения")</f>
        <v>0</v>
      </c>
      <c r="AG120" s="778">
        <f ca="1">SUMIFS('ИП + источники'!AH$27:AH$145,'ИП + источники'!$F$27:$F$145,$F120,'ИП + источники'!$AC$27:$AC$145,"Прибыль на капвложения")</f>
        <v>0</v>
      </c>
      <c r="AH120" s="171">
        <f t="shared" ca="1" si="9"/>
        <v>0</v>
      </c>
      <c r="AI120" s="778">
        <f ca="1">SUMIFS('ИП + источники'!AJ$27:AJ$145,'ИП + источники'!$F$27:$F$145,$F120,'ИП + источники'!$AC$27:$AC$145,"Прибыль на капвложения")</f>
        <v>0</v>
      </c>
      <c r="AJ120" s="128">
        <f ca="1">SUMIFS('ИП + источники'!AK$27:AK$145,'ИП + источники'!$F$27:$F$145,$F120,'ИП + источники'!$AC$27:$AC$145,"Прибыль на капвложения")</f>
        <v>0</v>
      </c>
      <c r="AK120" s="778">
        <f ca="1">SUMIFS('ИП + источники'!AL$27:AL$145,'ИП + источники'!$F$27:$F$145,$F120,'ИП + источники'!$AC$27:$AC$145,"Прибыль на капвложения")</f>
        <v>0</v>
      </c>
      <c r="AL120" s="778">
        <f ca="1">SUMIFS('ИП + источники'!AM$27:AM$145,'ИП + источники'!$F$27:$F$145,$F120,'ИП + источники'!$AC$27:$AC$145,"Прибыль на капвложения")</f>
        <v>0</v>
      </c>
      <c r="AM120" s="778">
        <f ca="1">SUMIFS('ИП + источники'!AN$27:AN$145,'ИП + источники'!$F$27:$F$145,$F120,'ИП + источники'!$AC$27:$AC$145,"Прибыль на капвложения")</f>
        <v>0</v>
      </c>
      <c r="AN120" s="778">
        <f ca="1">SUMIFS('ИП + источники'!AO$27:AO$145,'ИП + источники'!$F$27:$F$145,$F120,'ИП + источники'!$AC$27:$AC$145,"Прибыль на капвложения")</f>
        <v>0</v>
      </c>
      <c r="AO120" s="778">
        <f ca="1">SUMIFS('ИП + источники'!AP$27:AP$145,'ИП + источники'!$F$27:$F$145,$F120,'ИП + источники'!$AC$27:$AC$145,"Прибыль на капвложения")</f>
        <v>0</v>
      </c>
      <c r="AP120" s="778">
        <f ca="1">SUMIFS('ИП + источники'!AQ$27:AQ$145,'ИП + источники'!$F$27:$F$145,$F120,'ИП + источники'!$AC$27:$AC$145,"Прибыль на капвложения")</f>
        <v>0</v>
      </c>
      <c r="AQ120" s="778">
        <f ca="1">SUMIFS('ИП + источники'!AR$27:AR$145,'ИП + источники'!$F$27:$F$145,$F120,'ИП + источники'!$AC$27:$AC$145,"Прибыль на капвложения")</f>
        <v>0</v>
      </c>
      <c r="AR120" s="778">
        <f ca="1">SUMIFS('ИП + источники'!AS$27:AS$145,'ИП + источники'!$F$27:$F$145,$F120,'ИП + источники'!$AC$27:$AC$145,"Прибыль на капвложения")</f>
        <v>0</v>
      </c>
      <c r="AS120" s="778">
        <f ca="1">SUMIFS('ИП + источники'!AT$27:AT$145,'ИП + источники'!$F$27:$F$145,$F120,'ИП + источники'!$AC$27:$AC$145,"Прибыль на капвложения")</f>
        <v>0</v>
      </c>
      <c r="AT120" s="128">
        <f ca="1">SUMIFS('ИП + источники'!AU$27:AU$145,'ИП + источники'!$F$27:$F$145,$F120,'ИП + источники'!$AC$27:$AC$145,"Прибыль на капвложения")</f>
        <v>0</v>
      </c>
      <c r="AU120" s="778">
        <f ca="1">SUMIFS('ИП + источники'!AV$27:AV$145,'ИП + источники'!$F$27:$F$145,$F120,'ИП + источники'!$AC$27:$AC$145,"Прибыль на капвложения")</f>
        <v>0</v>
      </c>
      <c r="AV120" s="778">
        <f ca="1">SUMIFS('ИП + источники'!AW$27:AW$145,'ИП + источники'!$F$27:$F$145,$F120,'ИП + источники'!$AC$27:$AC$145,"Прибыль на капвложения")</f>
        <v>0</v>
      </c>
      <c r="AW120" s="778">
        <f ca="1">SUMIFS('ИП + источники'!AX$27:AX$145,'ИП + источники'!$F$27:$F$145,$F120,'ИП + источники'!$AC$27:$AC$145,"Прибыль на капвложения")</f>
        <v>0</v>
      </c>
      <c r="AX120" s="778">
        <f ca="1">SUMIFS('ИП + источники'!AY$27:AY$145,'ИП + источники'!$F$27:$F$145,$F120,'ИП + источники'!$AC$27:$AC$145,"Прибыль на капвложения")</f>
        <v>0</v>
      </c>
      <c r="AY120" s="778">
        <f ca="1">SUMIFS('ИП + источники'!AZ$27:AZ$145,'ИП + источники'!$F$27:$F$145,$F120,'ИП + источники'!$AC$27:$AC$145,"Прибыль на капвложения")</f>
        <v>0</v>
      </c>
      <c r="AZ120" s="778">
        <f ca="1">SUMIFS('ИП + источники'!BA$27:BA$145,'ИП + источники'!$F$27:$F$145,$F120,'ИП + источники'!$AC$27:$AC$145,"Прибыль на капвложения")</f>
        <v>0</v>
      </c>
      <c r="BA120" s="778">
        <f ca="1">SUMIFS('ИП + источники'!BB$27:BB$145,'ИП + источники'!$F$27:$F$145,$F120,'ИП + источники'!$AC$27:$AC$145,"Прибыль на капвложения")</f>
        <v>0</v>
      </c>
      <c r="BB120" s="778">
        <f ca="1">SUMIFS('ИП + источники'!BC$27:BC$145,'ИП + источники'!$F$27:$F$145,$F120,'ИП + источники'!$AC$27:$AC$145,"Прибыль на капвложения")</f>
        <v>0</v>
      </c>
      <c r="BC120" s="778">
        <f ca="1">SUMIFS('ИП + источники'!BD$27:BD$145,'ИП + источники'!$F$27:$F$145,$F120,'ИП + источники'!$AC$27:$AC$145,"Прибыль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5"/>
      <c r="BO120" s="779" t="str">
        <f ca="1">IF(IFERROR(INDEX('ИП + источники'!$K$28:$L$145,MATCH($F120&amp;"1komm",'ИП + источники'!$K$28:$K$145,0),2),"")=0,"",IFERROR(INDEX('ИП + источники'!$K$28:$L$145,MATCH($F120&amp;"1komm",'ИП + источники'!$K$28:$K$145,0),2),""))</f>
        <v/>
      </c>
      <c r="BP120" s="775"/>
      <c r="BS120" s="696" t="s">
        <v>1851</v>
      </c>
    </row>
    <row r="121" spans="2:75" ht="21.95" hidden="1" customHeight="1" x14ac:dyDescent="0.15">
      <c r="B121" s="329" t="b" cm="1">
        <f t="array" ref="B121">B120</f>
        <v>1</v>
      </c>
      <c r="C121" s="25"/>
      <c r="D121" s="25"/>
      <c r="E121" s="451">
        <v>22.5</v>
      </c>
      <c r="F121" s="3" cm="1">
        <f t="array" aca="1" ref="F121" ca="1">OFFSET(E121,-1,1)</f>
        <v>0</v>
      </c>
      <c r="G121" s="25" t="s">
        <v>2151</v>
      </c>
      <c r="H121" s="25"/>
      <c r="I121" s="25" t="s">
        <v>996</v>
      </c>
      <c r="J121" s="25"/>
      <c r="L121" s="25" t="s">
        <v>597</v>
      </c>
      <c r="M121" s="25"/>
      <c r="N121" s="25"/>
      <c r="O121" s="25"/>
      <c r="P121" s="25"/>
      <c r="Q121" s="25"/>
      <c r="R121" s="25"/>
      <c r="S121" s="25"/>
      <c r="T121" s="353" t="b" cm="1">
        <f t="array" aca="1" ref="T121" ca="1">T120</f>
        <v>0</v>
      </c>
      <c r="U121" s="25"/>
      <c r="V121" s="25"/>
      <c r="W121" s="25"/>
      <c r="X121" s="1022"/>
      <c r="Z121" s="967"/>
      <c r="AB121" s="7" t="s">
        <v>997</v>
      </c>
      <c r="AC121" s="127" t="s">
        <v>2152</v>
      </c>
      <c r="AD121" s="7" t="s">
        <v>828</v>
      </c>
      <c r="AE121" s="778"/>
      <c r="AF121" s="778"/>
      <c r="AG121" s="778"/>
      <c r="AH121" s="171">
        <f t="shared" si="9"/>
        <v>0</v>
      </c>
      <c r="AI121" s="778"/>
      <c r="AJ121" s="128"/>
      <c r="AK121" s="778"/>
      <c r="AL121" s="778"/>
      <c r="AM121" s="778"/>
      <c r="AN121" s="778"/>
      <c r="AO121" s="778"/>
      <c r="AP121" s="778"/>
      <c r="AQ121" s="778"/>
      <c r="AR121" s="778"/>
      <c r="AS121" s="778"/>
      <c r="AT121" s="128"/>
      <c r="AU121" s="778"/>
      <c r="AV121" s="778"/>
      <c r="AW121" s="778"/>
      <c r="AX121" s="778"/>
      <c r="AY121" s="778"/>
      <c r="AZ121" s="778"/>
      <c r="BA121" s="778"/>
      <c r="BB121" s="778"/>
      <c r="BC121" s="778"/>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5"/>
      <c r="BO121" s="775"/>
      <c r="BP121" s="775"/>
      <c r="BS121" s="696" t="s">
        <v>2153</v>
      </c>
    </row>
    <row r="122" spans="2:75" ht="14.65" hidden="1" customHeight="1" x14ac:dyDescent="0.15">
      <c r="B122" s="329" t="b">
        <f>AND(method_reg="Метод индексации",STATUS_GO="да")</f>
        <v>0</v>
      </c>
      <c r="C122" s="25"/>
      <c r="D122" s="25"/>
      <c r="E122" s="451">
        <v>15</v>
      </c>
      <c r="F122" s="3" cm="1">
        <f t="array" aca="1" ref="F122" ca="1">OFFSET(E122,-1,1)</f>
        <v>0</v>
      </c>
      <c r="G122" s="25" t="s">
        <v>1854</v>
      </c>
      <c r="H122" s="25"/>
      <c r="I122" s="25" t="s">
        <v>532</v>
      </c>
      <c r="J122" s="25"/>
      <c r="L122" s="25" t="s">
        <v>601</v>
      </c>
      <c r="M122" s="25"/>
      <c r="N122" s="25"/>
      <c r="O122" s="25"/>
      <c r="P122" s="25"/>
      <c r="Q122" s="25"/>
      <c r="R122" s="25"/>
      <c r="S122" s="25"/>
      <c r="T122" s="353" t="b" cm="1">
        <f t="array" aca="1" ref="T122" ca="1">T121</f>
        <v>0</v>
      </c>
      <c r="U122" s="25"/>
      <c r="V122" s="25"/>
      <c r="W122" s="25"/>
      <c r="X122" s="1022"/>
      <c r="Z122" s="967"/>
      <c r="AB122" s="7" t="s">
        <v>536</v>
      </c>
      <c r="AC122" s="346" t="s">
        <v>1854</v>
      </c>
      <c r="AD122" s="7" t="s">
        <v>828</v>
      </c>
      <c r="AE122" s="778"/>
      <c r="AF122" s="778"/>
      <c r="AG122" s="778"/>
      <c r="AH122" s="171">
        <f t="shared" si="9"/>
        <v>0</v>
      </c>
      <c r="AI122" s="778"/>
      <c r="AJ122" s="128"/>
      <c r="AK122" s="778"/>
      <c r="AL122" s="778"/>
      <c r="AM122" s="778"/>
      <c r="AN122" s="778"/>
      <c r="AO122" s="778"/>
      <c r="AP122" s="778"/>
      <c r="AQ122" s="778"/>
      <c r="AR122" s="778"/>
      <c r="AS122" s="778"/>
      <c r="AT122" s="128"/>
      <c r="AU122" s="778"/>
      <c r="AV122" s="778"/>
      <c r="AW122" s="778"/>
      <c r="AX122" s="778"/>
      <c r="AY122" s="778"/>
      <c r="AZ122" s="778"/>
      <c r="BA122" s="778"/>
      <c r="BB122" s="778"/>
      <c r="BC122" s="778"/>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5"/>
      <c r="BO122" s="775"/>
      <c r="BP122" s="775"/>
      <c r="BS122" s="696" t="s">
        <v>1855</v>
      </c>
    </row>
    <row r="123" spans="2:75" ht="14.65" hidden="1" customHeight="1" x14ac:dyDescent="0.15">
      <c r="B123" s="580" t="b">
        <f>method_reg="Метод обеспечения доходности инвестированного капитала"</f>
        <v>0</v>
      </c>
      <c r="C123" s="25"/>
      <c r="D123" s="25"/>
      <c r="E123" s="451">
        <v>15</v>
      </c>
      <c r="F123" s="3" cm="1">
        <f t="array" aca="1" ref="F123" ca="1">OFFSET(E123,-1,1)</f>
        <v>0</v>
      </c>
      <c r="G123" s="25"/>
      <c r="H123" s="25"/>
      <c r="I123" s="25"/>
      <c r="J123" s="25"/>
      <c r="K123" s="25" t="s">
        <v>335</v>
      </c>
      <c r="L123" s="25"/>
      <c r="M123" s="25"/>
      <c r="N123" s="25"/>
      <c r="O123" s="25"/>
      <c r="P123" s="25"/>
      <c r="Q123" s="25"/>
      <c r="R123" s="25"/>
      <c r="S123" s="25"/>
      <c r="T123" s="580" t="b" cm="1">
        <f t="array" aca="1" ref="T123" ca="1">T122</f>
        <v>0</v>
      </c>
      <c r="U123" s="25"/>
      <c r="V123" s="25"/>
      <c r="W123" s="25"/>
      <c r="X123" s="1022"/>
      <c r="Z123" s="967"/>
      <c r="AB123" s="124" t="s">
        <v>454</v>
      </c>
      <c r="AC123" s="132" t="s">
        <v>2154</v>
      </c>
      <c r="AD123" s="124" t="s">
        <v>828</v>
      </c>
      <c r="AE123" s="774"/>
      <c r="AF123" s="774"/>
      <c r="AG123" s="774"/>
      <c r="AH123" s="126">
        <f t="shared" si="9"/>
        <v>0</v>
      </c>
      <c r="AI123" s="774"/>
      <c r="AJ123" s="138"/>
      <c r="AK123" s="774"/>
      <c r="AL123" s="774"/>
      <c r="AM123" s="774"/>
      <c r="AN123" s="774"/>
      <c r="AO123" s="774"/>
      <c r="AP123" s="774"/>
      <c r="AQ123" s="774"/>
      <c r="AR123" s="774"/>
      <c r="AS123" s="774"/>
      <c r="AT123" s="138"/>
      <c r="AU123" s="774"/>
      <c r="AV123" s="774"/>
      <c r="AW123" s="774"/>
      <c r="AX123" s="774"/>
      <c r="AY123" s="774"/>
      <c r="AZ123" s="774"/>
      <c r="BA123" s="774"/>
      <c r="BB123" s="774"/>
      <c r="BC123" s="774"/>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7"/>
      <c r="BO123" s="777"/>
      <c r="BP123" s="777"/>
      <c r="BS123" s="696" t="s">
        <v>2155</v>
      </c>
    </row>
    <row r="124" spans="2:75" ht="14.65" hidden="1" customHeight="1" x14ac:dyDescent="0.15">
      <c r="B124" s="580" t="b" cm="1">
        <f t="array" ref="B124">B123</f>
        <v>0</v>
      </c>
      <c r="C124" s="25"/>
      <c r="D124" s="25"/>
      <c r="E124" s="451">
        <v>15</v>
      </c>
      <c r="F124" s="3" cm="1">
        <f t="array" aca="1" ref="F124" ca="1">OFFSET(E124,-1,1)</f>
        <v>0</v>
      </c>
      <c r="G124" s="25"/>
      <c r="H124" s="25"/>
      <c r="I124" s="25"/>
      <c r="J124" s="25"/>
      <c r="K124" s="25" t="s">
        <v>560</v>
      </c>
      <c r="L124" s="25"/>
      <c r="M124" s="25"/>
      <c r="N124" s="25"/>
      <c r="O124" s="25"/>
      <c r="P124" s="25"/>
      <c r="Q124" s="25"/>
      <c r="R124" s="25"/>
      <c r="S124" s="25"/>
      <c r="T124" s="580" t="b" cm="1">
        <f t="array" aca="1" ref="T124" ca="1">T123</f>
        <v>0</v>
      </c>
      <c r="U124" s="25"/>
      <c r="V124" s="25"/>
      <c r="W124" s="25"/>
      <c r="X124" s="1022"/>
      <c r="Z124" s="967"/>
      <c r="AB124" s="7" t="s">
        <v>697</v>
      </c>
      <c r="AC124" s="127" t="s">
        <v>2156</v>
      </c>
      <c r="AD124" s="7" t="s">
        <v>828</v>
      </c>
      <c r="AE124" s="778"/>
      <c r="AF124" s="778"/>
      <c r="AG124" s="778"/>
      <c r="AH124" s="542"/>
      <c r="AI124" s="778"/>
      <c r="AJ124" s="128"/>
      <c r="AK124" s="778"/>
      <c r="AL124" s="778"/>
      <c r="AM124" s="778"/>
      <c r="AN124" s="778"/>
      <c r="AO124" s="778"/>
      <c r="AP124" s="778"/>
      <c r="AQ124" s="778"/>
      <c r="AR124" s="778"/>
      <c r="AS124" s="778"/>
      <c r="AT124" s="128"/>
      <c r="AU124" s="778"/>
      <c r="AV124" s="778"/>
      <c r="AW124" s="778"/>
      <c r="AX124" s="778"/>
      <c r="AY124" s="778"/>
      <c r="AZ124" s="778"/>
      <c r="BA124" s="778"/>
      <c r="BB124" s="778"/>
      <c r="BC124" s="778"/>
      <c r="BD124" s="542"/>
      <c r="BE124" s="542"/>
      <c r="BF124" s="542"/>
      <c r="BG124" s="542"/>
      <c r="BH124" s="542"/>
      <c r="BI124" s="542"/>
      <c r="BJ124" s="542"/>
      <c r="BK124" s="542"/>
      <c r="BL124" s="542"/>
      <c r="BM124" s="542"/>
      <c r="BN124" s="775"/>
      <c r="BO124" s="775"/>
      <c r="BP124" s="775"/>
      <c r="BS124" s="696" t="s">
        <v>2157</v>
      </c>
    </row>
    <row r="125" spans="2:75" ht="14.65" hidden="1" customHeight="1" x14ac:dyDescent="0.15">
      <c r="B125" s="580" t="b" cm="1">
        <f t="array" ref="B125">B124</f>
        <v>0</v>
      </c>
      <c r="C125" s="25"/>
      <c r="D125" s="25"/>
      <c r="E125" s="451">
        <v>15</v>
      </c>
      <c r="F125" s="3" cm="1">
        <f t="array" aca="1" ref="F125" ca="1">OFFSET(E125,-1,1)</f>
        <v>0</v>
      </c>
      <c r="G125" s="25"/>
      <c r="H125" s="25"/>
      <c r="I125" s="25"/>
      <c r="J125" s="25"/>
      <c r="K125" s="25" t="s">
        <v>564</v>
      </c>
      <c r="L125" s="25"/>
      <c r="M125" s="25"/>
      <c r="N125" s="25"/>
      <c r="O125" s="25"/>
      <c r="P125" s="25"/>
      <c r="Q125" s="25"/>
      <c r="R125" s="25"/>
      <c r="S125" s="25"/>
      <c r="T125" s="580" t="b" cm="1">
        <f t="array" aca="1" ref="T125" ca="1">T124</f>
        <v>0</v>
      </c>
      <c r="U125" s="25"/>
      <c r="V125" s="25"/>
      <c r="W125" s="25"/>
      <c r="X125" s="1022"/>
      <c r="Z125" s="967"/>
      <c r="AB125" s="7" t="s">
        <v>700</v>
      </c>
      <c r="AC125" s="127" t="s">
        <v>2158</v>
      </c>
      <c r="AD125" s="7" t="s">
        <v>2159</v>
      </c>
      <c r="AE125" s="778"/>
      <c r="AF125" s="778"/>
      <c r="AG125" s="778"/>
      <c r="AH125" s="542"/>
      <c r="AI125" s="778"/>
      <c r="AJ125" s="128"/>
      <c r="AK125" s="778"/>
      <c r="AL125" s="778"/>
      <c r="AM125" s="778"/>
      <c r="AN125" s="778"/>
      <c r="AO125" s="778"/>
      <c r="AP125" s="778"/>
      <c r="AQ125" s="778"/>
      <c r="AR125" s="778"/>
      <c r="AS125" s="778"/>
      <c r="AT125" s="128"/>
      <c r="AU125" s="778"/>
      <c r="AV125" s="778"/>
      <c r="AW125" s="778"/>
      <c r="AX125" s="778"/>
      <c r="AY125" s="778"/>
      <c r="AZ125" s="778"/>
      <c r="BA125" s="778"/>
      <c r="BB125" s="778"/>
      <c r="BC125" s="778"/>
      <c r="BD125" s="542"/>
      <c r="BE125" s="542"/>
      <c r="BF125" s="542"/>
      <c r="BG125" s="542"/>
      <c r="BH125" s="542"/>
      <c r="BI125" s="542"/>
      <c r="BJ125" s="542"/>
      <c r="BK125" s="542"/>
      <c r="BL125" s="542"/>
      <c r="BM125" s="542"/>
      <c r="BN125" s="775"/>
      <c r="BO125" s="775"/>
      <c r="BP125" s="775"/>
      <c r="BS125" s="696" t="s">
        <v>2160</v>
      </c>
    </row>
    <row r="126" spans="2:75" ht="14.65" hidden="1" customHeight="1" x14ac:dyDescent="0.15">
      <c r="B126" s="580" t="b" cm="1">
        <f t="array" ref="B126">B125</f>
        <v>0</v>
      </c>
      <c r="C126" s="25"/>
      <c r="D126" s="25"/>
      <c r="E126" s="451">
        <v>15</v>
      </c>
      <c r="F126" s="3" cm="1">
        <f t="array" aca="1" ref="F126" ca="1">OFFSET(E126,-1,1)</f>
        <v>0</v>
      </c>
      <c r="G126" s="25"/>
      <c r="H126" s="25"/>
      <c r="I126" s="25"/>
      <c r="J126" s="25"/>
      <c r="K126" s="25" t="s">
        <v>334</v>
      </c>
      <c r="L126" s="25"/>
      <c r="M126" s="25"/>
      <c r="N126" s="25"/>
      <c r="O126" s="25"/>
      <c r="P126" s="25"/>
      <c r="Q126" s="25"/>
      <c r="R126" s="25"/>
      <c r="S126" s="25"/>
      <c r="T126" s="580" t="b" cm="1">
        <f t="array" aca="1" ref="T126" ca="1">T125</f>
        <v>0</v>
      </c>
      <c r="U126" s="25"/>
      <c r="V126" s="25"/>
      <c r="W126" s="25"/>
      <c r="X126" s="1022"/>
      <c r="Z126" s="967"/>
      <c r="AB126" s="124" t="s">
        <v>460</v>
      </c>
      <c r="AC126" s="132" t="s">
        <v>2161</v>
      </c>
      <c r="AD126" s="124" t="s">
        <v>828</v>
      </c>
      <c r="AE126" s="774"/>
      <c r="AF126" s="774"/>
      <c r="AG126" s="774"/>
      <c r="AH126" s="126">
        <f>AG126-AF126</f>
        <v>0</v>
      </c>
      <c r="AI126" s="774"/>
      <c r="AJ126" s="138"/>
      <c r="AK126" s="774"/>
      <c r="AL126" s="774"/>
      <c r="AM126" s="774"/>
      <c r="AN126" s="774"/>
      <c r="AO126" s="774"/>
      <c r="AP126" s="774"/>
      <c r="AQ126" s="774"/>
      <c r="AR126" s="774"/>
      <c r="AS126" s="774"/>
      <c r="AT126" s="138"/>
      <c r="AU126" s="774"/>
      <c r="AV126" s="774"/>
      <c r="AW126" s="774"/>
      <c r="AX126" s="774"/>
      <c r="AY126" s="774"/>
      <c r="AZ126" s="774"/>
      <c r="BA126" s="774"/>
      <c r="BB126" s="774"/>
      <c r="BC126" s="774"/>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7"/>
      <c r="BO126" s="777"/>
      <c r="BP126" s="777"/>
      <c r="BS126" s="696" t="s">
        <v>2162</v>
      </c>
    </row>
    <row r="127" spans="2:75" ht="14.65" hidden="1" customHeight="1" x14ac:dyDescent="0.15">
      <c r="B127" s="580" t="b" cm="1">
        <f t="array" ref="B127">B126</f>
        <v>0</v>
      </c>
      <c r="C127" s="25"/>
      <c r="D127" s="25"/>
      <c r="E127" s="451">
        <v>15</v>
      </c>
      <c r="F127" s="3" cm="1">
        <f t="array" aca="1" ref="F127" ca="1">OFFSET(E127,-1,1)</f>
        <v>0</v>
      </c>
      <c r="G127" s="25"/>
      <c r="H127" s="25"/>
      <c r="I127" s="25"/>
      <c r="J127" s="25"/>
      <c r="K127" s="25" t="s">
        <v>574</v>
      </c>
      <c r="L127" s="25"/>
      <c r="M127" s="25"/>
      <c r="N127" s="25"/>
      <c r="O127" s="25"/>
      <c r="P127" s="25"/>
      <c r="Q127" s="25"/>
      <c r="R127" s="25"/>
      <c r="S127" s="25"/>
      <c r="T127" s="580" t="b" cm="1">
        <f t="array" aca="1" ref="T127" ca="1">T126</f>
        <v>0</v>
      </c>
      <c r="U127" s="25"/>
      <c r="V127" s="25"/>
      <c r="W127" s="25"/>
      <c r="X127" s="1022"/>
      <c r="Z127" s="967"/>
      <c r="AB127" s="7" t="s">
        <v>704</v>
      </c>
      <c r="AC127" s="127" t="s">
        <v>2163</v>
      </c>
      <c r="AD127" s="7" t="s">
        <v>828</v>
      </c>
      <c r="AE127" s="778"/>
      <c r="AF127" s="778"/>
      <c r="AG127" s="778"/>
      <c r="AH127" s="542"/>
      <c r="AI127" s="778"/>
      <c r="AJ127" s="128"/>
      <c r="AK127" s="778"/>
      <c r="AL127" s="778"/>
      <c r="AM127" s="778"/>
      <c r="AN127" s="778"/>
      <c r="AO127" s="778"/>
      <c r="AP127" s="778"/>
      <c r="AQ127" s="778"/>
      <c r="AR127" s="778"/>
      <c r="AS127" s="778"/>
      <c r="AT127" s="128"/>
      <c r="AU127" s="778"/>
      <c r="AV127" s="778"/>
      <c r="AW127" s="778"/>
      <c r="AX127" s="778"/>
      <c r="AY127" s="778"/>
      <c r="AZ127" s="778"/>
      <c r="BA127" s="778"/>
      <c r="BB127" s="778"/>
      <c r="BC127" s="778"/>
      <c r="BD127" s="542"/>
      <c r="BE127" s="542"/>
      <c r="BF127" s="542"/>
      <c r="BG127" s="542"/>
      <c r="BH127" s="542"/>
      <c r="BI127" s="542"/>
      <c r="BJ127" s="542"/>
      <c r="BK127" s="542"/>
      <c r="BL127" s="542"/>
      <c r="BM127" s="542"/>
      <c r="BN127" s="775"/>
      <c r="BO127" s="775"/>
      <c r="BP127" s="775"/>
      <c r="BS127" s="696" t="s">
        <v>2164</v>
      </c>
    </row>
    <row r="128" spans="2:75" ht="14.65" hidden="1" customHeight="1" x14ac:dyDescent="0.15">
      <c r="B128" s="580" t="b" cm="1">
        <f t="array" ref="B128">B127</f>
        <v>0</v>
      </c>
      <c r="C128" s="25"/>
      <c r="D128" s="25"/>
      <c r="E128" s="451">
        <v>15</v>
      </c>
      <c r="F128" s="3" cm="1">
        <f t="array" aca="1" ref="F128" ca="1">OFFSET(E128,-1,1)</f>
        <v>0</v>
      </c>
      <c r="G128" s="25"/>
      <c r="H128" s="25"/>
      <c r="I128" s="25"/>
      <c r="J128" s="25"/>
      <c r="K128" s="25" t="s">
        <v>578</v>
      </c>
      <c r="L128" s="25"/>
      <c r="M128" s="25"/>
      <c r="N128" s="25"/>
      <c r="O128" s="25"/>
      <c r="P128" s="25"/>
      <c r="Q128" s="25"/>
      <c r="R128" s="25"/>
      <c r="S128" s="25"/>
      <c r="T128" s="580" t="b" cm="1">
        <f t="array" aca="1" ref="T128" ca="1">T127</f>
        <v>0</v>
      </c>
      <c r="U128" s="25"/>
      <c r="V128" s="25"/>
      <c r="W128" s="25"/>
      <c r="X128" s="1022"/>
      <c r="Z128" s="967"/>
      <c r="AB128" s="7" t="s">
        <v>707</v>
      </c>
      <c r="AC128" s="127" t="s">
        <v>2165</v>
      </c>
      <c r="AD128" s="7" t="s">
        <v>476</v>
      </c>
      <c r="AE128" s="778"/>
      <c r="AF128" s="778"/>
      <c r="AG128" s="778"/>
      <c r="AH128" s="542"/>
      <c r="AI128" s="778"/>
      <c r="AJ128" s="128"/>
      <c r="AK128" s="778"/>
      <c r="AL128" s="778"/>
      <c r="AM128" s="778"/>
      <c r="AN128" s="778"/>
      <c r="AO128" s="778"/>
      <c r="AP128" s="778"/>
      <c r="AQ128" s="778"/>
      <c r="AR128" s="778"/>
      <c r="AS128" s="778"/>
      <c r="AT128" s="128"/>
      <c r="AU128" s="778"/>
      <c r="AV128" s="778"/>
      <c r="AW128" s="778"/>
      <c r="AX128" s="778"/>
      <c r="AY128" s="778"/>
      <c r="AZ128" s="778"/>
      <c r="BA128" s="778"/>
      <c r="BB128" s="778"/>
      <c r="BC128" s="778"/>
      <c r="BD128" s="542"/>
      <c r="BE128" s="542"/>
      <c r="BF128" s="542"/>
      <c r="BG128" s="542"/>
      <c r="BH128" s="542"/>
      <c r="BI128" s="542"/>
      <c r="BJ128" s="542"/>
      <c r="BK128" s="542"/>
      <c r="BL128" s="542"/>
      <c r="BM128" s="542"/>
      <c r="BN128" s="775"/>
      <c r="BO128" s="775"/>
      <c r="BP128" s="775"/>
      <c r="BS128" s="696" t="s">
        <v>2166</v>
      </c>
    </row>
    <row r="129" spans="2:75" ht="14.65" hidden="1" customHeight="1" x14ac:dyDescent="0.15">
      <c r="B129" s="580" t="b" cm="1">
        <f t="array" ref="B129">B128</f>
        <v>0</v>
      </c>
      <c r="C129" s="25"/>
      <c r="D129" s="25"/>
      <c r="E129" s="451">
        <v>15</v>
      </c>
      <c r="F129" s="3" cm="1">
        <f t="array" aca="1" ref="F129" ca="1">OFFSET(E129,-1,1)</f>
        <v>0</v>
      </c>
      <c r="G129" s="25"/>
      <c r="H129" s="25"/>
      <c r="I129" s="25"/>
      <c r="J129" s="25"/>
      <c r="K129" s="25" t="s">
        <v>794</v>
      </c>
      <c r="L129" s="25"/>
      <c r="M129" s="25"/>
      <c r="N129" s="25"/>
      <c r="O129" s="25"/>
      <c r="P129" s="25"/>
      <c r="Q129" s="25"/>
      <c r="R129" s="25"/>
      <c r="S129" s="25"/>
      <c r="T129" s="580" t="b" cm="1">
        <f t="array" aca="1" ref="T129" ca="1">T128</f>
        <v>0</v>
      </c>
      <c r="U129" s="25"/>
      <c r="V129" s="25"/>
      <c r="W129" s="25"/>
      <c r="X129" s="1022"/>
      <c r="Z129" s="967"/>
      <c r="AB129" s="7" t="s">
        <v>994</v>
      </c>
      <c r="AC129" s="127" t="s">
        <v>2167</v>
      </c>
      <c r="AD129" s="7" t="s">
        <v>828</v>
      </c>
      <c r="AE129" s="778"/>
      <c r="AF129" s="778"/>
      <c r="AG129" s="778"/>
      <c r="AH129" s="542"/>
      <c r="AI129" s="778"/>
      <c r="AJ129" s="128"/>
      <c r="AK129" s="778"/>
      <c r="AL129" s="778"/>
      <c r="AM129" s="778"/>
      <c r="AN129" s="778"/>
      <c r="AO129" s="778"/>
      <c r="AP129" s="778"/>
      <c r="AQ129" s="778"/>
      <c r="AR129" s="778"/>
      <c r="AS129" s="778"/>
      <c r="AT129" s="128"/>
      <c r="AU129" s="778"/>
      <c r="AV129" s="778"/>
      <c r="AW129" s="778"/>
      <c r="AX129" s="778"/>
      <c r="AY129" s="778"/>
      <c r="AZ129" s="778"/>
      <c r="BA129" s="778"/>
      <c r="BB129" s="778"/>
      <c r="BC129" s="778"/>
      <c r="BD129" s="542"/>
      <c r="BE129" s="542"/>
      <c r="BF129" s="542"/>
      <c r="BG129" s="542"/>
      <c r="BH129" s="542"/>
      <c r="BI129" s="542"/>
      <c r="BJ129" s="542"/>
      <c r="BK129" s="542"/>
      <c r="BL129" s="542"/>
      <c r="BM129" s="542"/>
      <c r="BN129" s="775"/>
      <c r="BO129" s="775"/>
      <c r="BP129" s="775"/>
      <c r="BS129" s="696" t="s">
        <v>2168</v>
      </c>
    </row>
    <row r="130" spans="2:75" ht="14.65" hidden="1" customHeight="1" x14ac:dyDescent="0.15">
      <c r="B130" s="580" t="b" cm="1">
        <f t="array" ref="B130">B129</f>
        <v>0</v>
      </c>
      <c r="C130" s="25"/>
      <c r="D130" s="25"/>
      <c r="E130" s="451">
        <v>15</v>
      </c>
      <c r="F130" s="3" cm="1">
        <f t="array" aca="1" ref="F130" ca="1">OFFSET(E130,-1,1)</f>
        <v>0</v>
      </c>
      <c r="G130" s="25"/>
      <c r="H130" s="25"/>
      <c r="I130" s="25"/>
      <c r="J130" s="25"/>
      <c r="K130" s="25" t="s">
        <v>996</v>
      </c>
      <c r="L130" s="25"/>
      <c r="M130" s="25"/>
      <c r="N130" s="25"/>
      <c r="O130" s="25"/>
      <c r="P130" s="25"/>
      <c r="Q130" s="25"/>
      <c r="R130" s="25"/>
      <c r="S130" s="25"/>
      <c r="T130" s="580" t="b" cm="1">
        <f t="array" aca="1" ref="T130" ca="1">T129</f>
        <v>0</v>
      </c>
      <c r="U130" s="25"/>
      <c r="V130" s="25"/>
      <c r="W130" s="25"/>
      <c r="X130" s="1022"/>
      <c r="Z130" s="967"/>
      <c r="AB130" s="7" t="s">
        <v>997</v>
      </c>
      <c r="AC130" s="127" t="s">
        <v>2169</v>
      </c>
      <c r="AD130" s="7" t="s">
        <v>828</v>
      </c>
      <c r="AE130" s="778"/>
      <c r="AF130" s="778"/>
      <c r="AG130" s="778"/>
      <c r="AH130" s="542"/>
      <c r="AI130" s="778"/>
      <c r="AJ130" s="128"/>
      <c r="AK130" s="778"/>
      <c r="AL130" s="778"/>
      <c r="AM130" s="778"/>
      <c r="AN130" s="778"/>
      <c r="AO130" s="778"/>
      <c r="AP130" s="778"/>
      <c r="AQ130" s="778"/>
      <c r="AR130" s="778"/>
      <c r="AS130" s="778"/>
      <c r="AT130" s="128"/>
      <c r="AU130" s="778"/>
      <c r="AV130" s="778"/>
      <c r="AW130" s="778"/>
      <c r="AX130" s="778"/>
      <c r="AY130" s="778"/>
      <c r="AZ130" s="778"/>
      <c r="BA130" s="778"/>
      <c r="BB130" s="778"/>
      <c r="BC130" s="778"/>
      <c r="BD130" s="542"/>
      <c r="BE130" s="542"/>
      <c r="BF130" s="542"/>
      <c r="BG130" s="542"/>
      <c r="BH130" s="542"/>
      <c r="BI130" s="542"/>
      <c r="BJ130" s="542"/>
      <c r="BK130" s="542"/>
      <c r="BL130" s="542"/>
      <c r="BM130" s="542"/>
      <c r="BN130" s="775"/>
      <c r="BO130" s="775"/>
      <c r="BP130" s="775"/>
      <c r="BS130" s="696" t="s">
        <v>2170</v>
      </c>
    </row>
    <row r="131" spans="2:75" ht="14.65" hidden="1" customHeight="1" x14ac:dyDescent="0.15">
      <c r="B131" s="580" t="b" cm="1">
        <f t="array" ref="B131">B130</f>
        <v>0</v>
      </c>
      <c r="C131" s="25"/>
      <c r="D131" s="25"/>
      <c r="E131" s="451">
        <v>15</v>
      </c>
      <c r="F131" s="3" cm="1">
        <f t="array" aca="1" ref="F131" ca="1">OFFSET(E131,-1,1)</f>
        <v>0</v>
      </c>
      <c r="G131" s="25"/>
      <c r="H131" s="25"/>
      <c r="I131" s="25"/>
      <c r="J131" s="25"/>
      <c r="K131" s="25" t="s">
        <v>2171</v>
      </c>
      <c r="L131" s="25"/>
      <c r="M131" s="25"/>
      <c r="N131" s="25"/>
      <c r="O131" s="25"/>
      <c r="P131" s="25"/>
      <c r="Q131" s="25"/>
      <c r="R131" s="25"/>
      <c r="S131" s="25"/>
      <c r="T131" s="580" t="b" cm="1">
        <f t="array" aca="1" ref="T131" ca="1">T130</f>
        <v>0</v>
      </c>
      <c r="U131" s="25"/>
      <c r="V131" s="25"/>
      <c r="W131" s="25"/>
      <c r="X131" s="1022"/>
      <c r="Z131" s="967"/>
      <c r="AB131" s="7" t="s">
        <v>2172</v>
      </c>
      <c r="AC131" s="134" t="s">
        <v>2173</v>
      </c>
      <c r="AD131" s="7" t="s">
        <v>476</v>
      </c>
      <c r="AE131" s="778"/>
      <c r="AF131" s="778"/>
      <c r="AG131" s="778"/>
      <c r="AH131" s="542"/>
      <c r="AI131" s="778"/>
      <c r="AJ131" s="128"/>
      <c r="AK131" s="778"/>
      <c r="AL131" s="778"/>
      <c r="AM131" s="778"/>
      <c r="AN131" s="778"/>
      <c r="AO131" s="778"/>
      <c r="AP131" s="778"/>
      <c r="AQ131" s="778"/>
      <c r="AR131" s="778"/>
      <c r="AS131" s="778"/>
      <c r="AT131" s="128"/>
      <c r="AU131" s="778"/>
      <c r="AV131" s="778"/>
      <c r="AW131" s="778"/>
      <c r="AX131" s="778"/>
      <c r="AY131" s="778"/>
      <c r="AZ131" s="778"/>
      <c r="BA131" s="778"/>
      <c r="BB131" s="778"/>
      <c r="BC131" s="778"/>
      <c r="BD131" s="542"/>
      <c r="BE131" s="542"/>
      <c r="BF131" s="542"/>
      <c r="BG131" s="542"/>
      <c r="BH131" s="542"/>
      <c r="BI131" s="542"/>
      <c r="BJ131" s="542"/>
      <c r="BK131" s="542"/>
      <c r="BL131" s="542"/>
      <c r="BM131" s="542"/>
      <c r="BN131" s="775"/>
      <c r="BO131" s="775"/>
      <c r="BP131" s="775"/>
      <c r="BS131" s="696" t="s">
        <v>2174</v>
      </c>
    </row>
    <row r="132" spans="2:75" ht="14.65" hidden="1" customHeight="1" x14ac:dyDescent="0.15">
      <c r="B132" s="580" t="b" cm="1">
        <f t="array" ref="B132">B131</f>
        <v>0</v>
      </c>
      <c r="C132" s="25"/>
      <c r="D132" s="25"/>
      <c r="E132" s="451">
        <v>15</v>
      </c>
      <c r="F132" s="3" cm="1">
        <f t="array" aca="1" ref="F132" ca="1">OFFSET(E132,-1,1)</f>
        <v>0</v>
      </c>
      <c r="G132" s="25"/>
      <c r="H132" s="25"/>
      <c r="I132" s="25"/>
      <c r="J132" s="25"/>
      <c r="K132" s="25" t="s">
        <v>999</v>
      </c>
      <c r="L132" s="25"/>
      <c r="M132" s="25"/>
      <c r="N132" s="25"/>
      <c r="O132" s="25"/>
      <c r="P132" s="25"/>
      <c r="Q132" s="25"/>
      <c r="R132" s="25"/>
      <c r="S132" s="25"/>
      <c r="T132" s="580" t="b" cm="1">
        <f t="array" aca="1" ref="T132" ca="1">T131</f>
        <v>0</v>
      </c>
      <c r="U132" s="25"/>
      <c r="V132" s="25"/>
      <c r="W132" s="25"/>
      <c r="X132" s="1022"/>
      <c r="Z132" s="967"/>
      <c r="AB132" s="7" t="s">
        <v>1000</v>
      </c>
      <c r="AC132" s="127" t="s">
        <v>2175</v>
      </c>
      <c r="AD132" s="7" t="s">
        <v>476</v>
      </c>
      <c r="AE132" s="778"/>
      <c r="AF132" s="778"/>
      <c r="AG132" s="778"/>
      <c r="AH132" s="542"/>
      <c r="AI132" s="778"/>
      <c r="AJ132" s="128"/>
      <c r="AK132" s="778"/>
      <c r="AL132" s="778"/>
      <c r="AM132" s="778"/>
      <c r="AN132" s="778"/>
      <c r="AO132" s="778"/>
      <c r="AP132" s="778"/>
      <c r="AQ132" s="778"/>
      <c r="AR132" s="778"/>
      <c r="AS132" s="778"/>
      <c r="AT132" s="128"/>
      <c r="AU132" s="778"/>
      <c r="AV132" s="778"/>
      <c r="AW132" s="778"/>
      <c r="AX132" s="778"/>
      <c r="AY132" s="778"/>
      <c r="AZ132" s="778"/>
      <c r="BA132" s="778"/>
      <c r="BB132" s="778"/>
      <c r="BC132" s="778"/>
      <c r="BD132" s="542"/>
      <c r="BE132" s="542"/>
      <c r="BF132" s="542"/>
      <c r="BG132" s="542"/>
      <c r="BH132" s="542"/>
      <c r="BI132" s="542"/>
      <c r="BJ132" s="542"/>
      <c r="BK132" s="542"/>
      <c r="BL132" s="542"/>
      <c r="BM132" s="542"/>
      <c r="BN132" s="775"/>
      <c r="BO132" s="775"/>
      <c r="BP132" s="775"/>
      <c r="BS132" s="696" t="s">
        <v>2176</v>
      </c>
    </row>
    <row r="133" spans="2:75" ht="14.65" hidden="1" customHeight="1" x14ac:dyDescent="0.15">
      <c r="B133" s="580" t="b" cm="1">
        <f t="array" ref="B133">B132</f>
        <v>0</v>
      </c>
      <c r="C133" s="25"/>
      <c r="D133" s="25"/>
      <c r="E133" s="451">
        <v>15</v>
      </c>
      <c r="F133" s="3" cm="1">
        <f t="array" aca="1" ref="F133" ca="1">OFFSET(E133,-1,1)</f>
        <v>0</v>
      </c>
      <c r="G133" s="25"/>
      <c r="H133" s="25"/>
      <c r="I133" s="25"/>
      <c r="J133" s="25"/>
      <c r="K133" s="25" t="s">
        <v>2177</v>
      </c>
      <c r="L133" s="25"/>
      <c r="M133" s="25"/>
      <c r="N133" s="25"/>
      <c r="O133" s="25"/>
      <c r="P133" s="25"/>
      <c r="Q133" s="25"/>
      <c r="R133" s="25"/>
      <c r="S133" s="25"/>
      <c r="T133" s="580" t="b" cm="1">
        <f t="array" aca="1" ref="T133" ca="1">T132</f>
        <v>0</v>
      </c>
      <c r="U133" s="25"/>
      <c r="V133" s="25"/>
      <c r="W133" s="25"/>
      <c r="X133" s="1022"/>
      <c r="Z133" s="967"/>
      <c r="AB133" s="7" t="s">
        <v>2178</v>
      </c>
      <c r="AC133" s="134" t="s">
        <v>2179</v>
      </c>
      <c r="AD133" s="7" t="s">
        <v>476</v>
      </c>
      <c r="AE133" s="778"/>
      <c r="AF133" s="778"/>
      <c r="AG133" s="778"/>
      <c r="AH133" s="542"/>
      <c r="AI133" s="778"/>
      <c r="AJ133" s="128"/>
      <c r="AK133" s="778"/>
      <c r="AL133" s="778"/>
      <c r="AM133" s="778"/>
      <c r="AN133" s="778"/>
      <c r="AO133" s="778"/>
      <c r="AP133" s="778"/>
      <c r="AQ133" s="778"/>
      <c r="AR133" s="778"/>
      <c r="AS133" s="778"/>
      <c r="AT133" s="128"/>
      <c r="AU133" s="778"/>
      <c r="AV133" s="778"/>
      <c r="AW133" s="778"/>
      <c r="AX133" s="778"/>
      <c r="AY133" s="778"/>
      <c r="AZ133" s="778"/>
      <c r="BA133" s="778"/>
      <c r="BB133" s="778"/>
      <c r="BC133" s="778"/>
      <c r="BD133" s="542"/>
      <c r="BE133" s="542"/>
      <c r="BF133" s="542"/>
      <c r="BG133" s="542"/>
      <c r="BH133" s="542"/>
      <c r="BI133" s="542"/>
      <c r="BJ133" s="542"/>
      <c r="BK133" s="542"/>
      <c r="BL133" s="542"/>
      <c r="BM133" s="542"/>
      <c r="BN133" s="775"/>
      <c r="BO133" s="775"/>
      <c r="BP133" s="775"/>
      <c r="BS133" s="696" t="s">
        <v>2180</v>
      </c>
    </row>
    <row r="134" spans="2:75" ht="14.65" hidden="1" customHeight="1" x14ac:dyDescent="0.15">
      <c r="B134" s="580" t="b" cm="1">
        <f t="array" ref="B134">B133</f>
        <v>0</v>
      </c>
      <c r="C134" s="25"/>
      <c r="D134" s="25"/>
      <c r="E134" s="451">
        <v>15</v>
      </c>
      <c r="F134" s="3" cm="1">
        <f t="array" aca="1" ref="F134" ca="1">OFFSET(E134,-1,1)</f>
        <v>0</v>
      </c>
      <c r="G134" s="25"/>
      <c r="H134" s="25"/>
      <c r="I134" s="25"/>
      <c r="J134" s="25"/>
      <c r="K134" s="25" t="s">
        <v>2181</v>
      </c>
      <c r="L134" s="25"/>
      <c r="M134" s="25"/>
      <c r="N134" s="25"/>
      <c r="O134" s="25"/>
      <c r="P134" s="25"/>
      <c r="Q134" s="25"/>
      <c r="R134" s="25"/>
      <c r="S134" s="25"/>
      <c r="T134" s="580" t="b" cm="1">
        <f t="array" aca="1" ref="T134" ca="1">T133</f>
        <v>0</v>
      </c>
      <c r="U134" s="25"/>
      <c r="V134" s="25"/>
      <c r="W134" s="25"/>
      <c r="X134" s="1022"/>
      <c r="Z134" s="967"/>
      <c r="AB134" s="7" t="s">
        <v>2182</v>
      </c>
      <c r="AC134" s="134" t="s">
        <v>2183</v>
      </c>
      <c r="AD134" s="7" t="s">
        <v>476</v>
      </c>
      <c r="AE134" s="778"/>
      <c r="AF134" s="778"/>
      <c r="AG134" s="778"/>
      <c r="AH134" s="542"/>
      <c r="AI134" s="778"/>
      <c r="AJ134" s="128"/>
      <c r="AK134" s="778"/>
      <c r="AL134" s="778"/>
      <c r="AM134" s="778"/>
      <c r="AN134" s="778"/>
      <c r="AO134" s="778"/>
      <c r="AP134" s="778"/>
      <c r="AQ134" s="778"/>
      <c r="AR134" s="778"/>
      <c r="AS134" s="778"/>
      <c r="AT134" s="128"/>
      <c r="AU134" s="778"/>
      <c r="AV134" s="778"/>
      <c r="AW134" s="778"/>
      <c r="AX134" s="778"/>
      <c r="AY134" s="778"/>
      <c r="AZ134" s="778"/>
      <c r="BA134" s="778"/>
      <c r="BB134" s="778"/>
      <c r="BC134" s="778"/>
      <c r="BD134" s="542"/>
      <c r="BE134" s="542"/>
      <c r="BF134" s="542"/>
      <c r="BG134" s="542"/>
      <c r="BH134" s="542"/>
      <c r="BI134" s="542"/>
      <c r="BJ134" s="542"/>
      <c r="BK134" s="542"/>
      <c r="BL134" s="542"/>
      <c r="BM134" s="542"/>
      <c r="BN134" s="775"/>
      <c r="BO134" s="775"/>
      <c r="BP134" s="775"/>
      <c r="BS134" s="696" t="s">
        <v>2184</v>
      </c>
    </row>
    <row r="135" spans="2:75" s="76" customFormat="1" ht="20.45" hidden="1" customHeight="1" x14ac:dyDescent="0.15">
      <c r="B135" s="332"/>
      <c r="C135" s="27"/>
      <c r="D135" s="27" t="str">
        <f>IF(B134,"6","7")</f>
        <v>7</v>
      </c>
      <c r="E135" s="559">
        <v>21</v>
      </c>
      <c r="F135" s="3" cm="1">
        <f t="array" aca="1" ref="F135" ca="1">OFFSET(E135,-1,1)</f>
        <v>0</v>
      </c>
      <c r="G135" s="25" t="s">
        <v>2185</v>
      </c>
      <c r="H135" s="25"/>
      <c r="I135" s="283" t="s">
        <v>2186</v>
      </c>
      <c r="J135" s="27"/>
      <c r="K135" s="279" t="s">
        <v>2186</v>
      </c>
      <c r="L135" s="27"/>
      <c r="M135" s="27"/>
      <c r="N135" s="27"/>
      <c r="O135" s="27"/>
      <c r="P135" s="27"/>
      <c r="Q135" s="27"/>
      <c r="R135" s="27"/>
      <c r="S135" s="27"/>
      <c r="T135" s="353" t="b" cm="1">
        <f t="array" aca="1" ref="T135" ca="1">T134</f>
        <v>0</v>
      </c>
      <c r="U135" s="27"/>
      <c r="V135" s="27"/>
      <c r="W135" s="27"/>
      <c r="X135" s="1022"/>
      <c r="Z135" s="967"/>
      <c r="AB135" s="124" t="str" cm="1">
        <f t="array" ref="AB135">D135</f>
        <v>7</v>
      </c>
      <c r="AC135" s="132" t="s">
        <v>1598</v>
      </c>
      <c r="AD135" s="124" t="s">
        <v>828</v>
      </c>
      <c r="AE135" s="774"/>
      <c r="AF135" s="774"/>
      <c r="AG135" s="774"/>
      <c r="AH135" s="126">
        <f>AG135-AF135</f>
        <v>0</v>
      </c>
      <c r="AI135" s="774"/>
      <c r="AJ135" s="128">
        <f ca="1">SUMIFS('Корректировка НВВ'!$AF$25:$AF$231,'Корректировка НВВ'!$F$25:$F$231,$F135,'Корректировка НВВ'!$I$25:$I$231,$G135)</f>
        <v>0</v>
      </c>
      <c r="AK135" s="774"/>
      <c r="AL135" s="774"/>
      <c r="AM135" s="774"/>
      <c r="AN135" s="774"/>
      <c r="AO135" s="774"/>
      <c r="AP135" s="774"/>
      <c r="AQ135" s="774"/>
      <c r="AR135" s="774"/>
      <c r="AS135" s="774"/>
      <c r="AT135" s="128">
        <f ca="1">SUMIFS('Корректировка НВВ'!$AG$25:$AG$231,'Корректировка НВВ'!$F$25:$F$231,$F135,'Корректировка НВВ'!$I$25:$I$231,$G135)</f>
        <v>0</v>
      </c>
      <c r="AU135" s="774"/>
      <c r="AV135" s="774"/>
      <c r="AW135" s="774"/>
      <c r="AX135" s="774"/>
      <c r="AY135" s="774"/>
      <c r="AZ135" s="774"/>
      <c r="BA135" s="774"/>
      <c r="BB135" s="774"/>
      <c r="BC135" s="774"/>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7"/>
      <c r="BO135" s="779" t="str">
        <f ca="1">IF(IFERROR(INDEX('Корректировка НВВ'!$K$26:$L$231,MATCH($F135&amp;"11komm",'Корректировка НВВ'!$K$26:$K$231,0),2),"")=0,"",IFERROR(INDEX('Корректировка НВВ'!$K$26:$L$231,MATCH($F135&amp;"11komm",'Корректировка НВВ'!$K$26:$K$231,0),2),""))</f>
        <v/>
      </c>
      <c r="BP135" s="777"/>
      <c r="BS135" s="702" t="s">
        <v>2187</v>
      </c>
      <c r="BT135" s="702"/>
      <c r="BU135" s="702"/>
      <c r="BV135" s="511"/>
      <c r="BW135" s="511"/>
    </row>
    <row r="136" spans="2:75" ht="14.65" hidden="1" customHeight="1" x14ac:dyDescent="0.15">
      <c r="C136" s="25"/>
      <c r="D136" s="25" t="str" cm="1">
        <f t="array" ref="D136">D135</f>
        <v>7</v>
      </c>
      <c r="E136" s="451">
        <v>15</v>
      </c>
      <c r="F136" s="3" cm="1">
        <f t="array" aca="1" ref="F136" ca="1">OFFSET(E136,-1,1)</f>
        <v>0</v>
      </c>
      <c r="G136" s="25"/>
      <c r="H136" s="25"/>
      <c r="I136" s="25"/>
      <c r="J136" s="25"/>
      <c r="L136" s="25"/>
      <c r="M136" s="25"/>
      <c r="N136" s="25"/>
      <c r="O136" s="25"/>
      <c r="P136" s="25"/>
      <c r="Q136" s="25"/>
      <c r="R136" s="25"/>
      <c r="S136" s="25"/>
      <c r="T136" s="353" t="b" cm="1">
        <f t="array" aca="1" ref="T136" ca="1">T135</f>
        <v>0</v>
      </c>
      <c r="U136" s="25"/>
      <c r="V136" s="25"/>
      <c r="W136" s="25"/>
      <c r="X136" s="1022"/>
      <c r="Z136" s="967"/>
      <c r="AB136" s="7"/>
      <c r="AC136" s="346" t="s">
        <v>2188</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x14ac:dyDescent="0.15">
      <c r="C137" s="25"/>
      <c r="D137" s="25" t="str" cm="1">
        <f t="array" ref="D137">D136</f>
        <v>7</v>
      </c>
      <c r="E137" s="451">
        <v>22.5</v>
      </c>
      <c r="F137" s="3" cm="1">
        <f t="array" aca="1" ref="F137" ca="1">OFFSET(E137,-1,1)</f>
        <v>0</v>
      </c>
      <c r="G137" s="25" t="s">
        <v>373</v>
      </c>
      <c r="H137" s="25"/>
      <c r="I137" s="25" t="s">
        <v>535</v>
      </c>
      <c r="J137" s="25"/>
      <c r="K137" s="72" t="s">
        <v>535</v>
      </c>
      <c r="L137" s="25"/>
      <c r="M137" s="25"/>
      <c r="N137" s="25"/>
      <c r="O137" s="25"/>
      <c r="P137" s="25"/>
      <c r="Q137" s="25"/>
      <c r="R137" s="25"/>
      <c r="S137" s="25"/>
      <c r="T137" s="353" t="b" cm="1">
        <f t="array" aca="1" ref="T137" ca="1">T136</f>
        <v>0</v>
      </c>
      <c r="U137" s="25"/>
      <c r="V137" s="25"/>
      <c r="W137" s="25"/>
      <c r="X137" s="1022"/>
      <c r="Z137" s="967"/>
      <c r="AB137" s="7" t="str">
        <f>D137&amp;".1"</f>
        <v>7.1</v>
      </c>
      <c r="AC137" s="127" t="s">
        <v>2189</v>
      </c>
      <c r="AD137" s="7" t="s">
        <v>828</v>
      </c>
      <c r="AE137" s="778"/>
      <c r="AF137" s="778"/>
      <c r="AG137" s="778"/>
      <c r="AH137" s="171">
        <f t="shared" ref="AH137:AH150" si="27">AG137-AF137</f>
        <v>0</v>
      </c>
      <c r="AI137" s="778"/>
      <c r="AJ137" s="128">
        <f ca="1">SUMIFS('Корректировка НВВ'!$AF$25:$AF$231,'Корректировка НВВ'!$F$25:$F$231,$F137,'Корректировка НВВ'!$I$25:$I$231,$G137)</f>
        <v>0</v>
      </c>
      <c r="AK137" s="778"/>
      <c r="AL137" s="778"/>
      <c r="AM137" s="778"/>
      <c r="AN137" s="778"/>
      <c r="AO137" s="778"/>
      <c r="AP137" s="778"/>
      <c r="AQ137" s="778"/>
      <c r="AR137" s="778"/>
      <c r="AS137" s="778"/>
      <c r="AT137" s="128">
        <f ca="1">SUMIFS('Корректировка НВВ'!$AG$25:$AG$231,'Корректировка НВВ'!$F$25:$F$231,$F137,'Корректировка НВВ'!$I$25:$I$231,$G137)</f>
        <v>0</v>
      </c>
      <c r="AU137" s="778"/>
      <c r="AV137" s="778"/>
      <c r="AW137" s="778"/>
      <c r="AX137" s="778"/>
      <c r="AY137" s="778"/>
      <c r="AZ137" s="778"/>
      <c r="BA137" s="778"/>
      <c r="BB137" s="778"/>
      <c r="BC137" s="778"/>
      <c r="BD137" s="542"/>
      <c r="BE137" s="542"/>
      <c r="BF137" s="542"/>
      <c r="BG137" s="542"/>
      <c r="BH137" s="542"/>
      <c r="BI137" s="542"/>
      <c r="BJ137" s="542"/>
      <c r="BK137" s="542"/>
      <c r="BL137" s="542"/>
      <c r="BM137" s="542"/>
      <c r="BN137" s="775"/>
      <c r="BO137" s="779" t="str">
        <f ca="1">IF(IFERROR(INDEX('Корректировка НВВ'!$K$26:$L$231,MATCH($F137&amp;"1komm",'Корректировка НВВ'!$K$26:$K$231,0),2),"")=0,"",IFERROR(INDEX('Корректировка НВВ'!$K$26:$L$231,MATCH($F137&amp;"1komm",'Корректировка НВВ'!$K$26:$K$231,0),2),""))</f>
        <v/>
      </c>
      <c r="BP137" s="775"/>
      <c r="BS137" s="696" t="s">
        <v>2190</v>
      </c>
    </row>
    <row r="138" spans="2:75" ht="98.65" hidden="1" customHeight="1" x14ac:dyDescent="0.15">
      <c r="C138" s="25"/>
      <c r="D138" s="25" t="str" cm="1">
        <f t="array" ref="D138">D137</f>
        <v>7</v>
      </c>
      <c r="E138" s="451">
        <v>101.25</v>
      </c>
      <c r="F138" s="3" cm="1">
        <f t="array" aca="1" ref="F138" ca="1">OFFSET(E138,-1,1)</f>
        <v>0</v>
      </c>
      <c r="G138" s="25" t="s">
        <v>2191</v>
      </c>
      <c r="H138" s="25"/>
      <c r="I138" s="25" t="s">
        <v>586</v>
      </c>
      <c r="J138" s="25"/>
      <c r="K138" s="72" t="s">
        <v>586</v>
      </c>
      <c r="L138" s="25"/>
      <c r="M138" s="25"/>
      <c r="N138" s="25"/>
      <c r="O138" s="25"/>
      <c r="P138" s="25"/>
      <c r="Q138" s="25"/>
      <c r="R138" s="25"/>
      <c r="S138" s="25"/>
      <c r="T138" s="353" t="b" cm="1">
        <f t="array" aca="1" ref="T138" ca="1">T137</f>
        <v>0</v>
      </c>
      <c r="U138" s="25"/>
      <c r="V138" s="25"/>
      <c r="W138" s="25"/>
      <c r="X138" s="1022"/>
      <c r="Z138" s="967"/>
      <c r="AB138" s="7" t="str">
        <f>D138&amp;".2"</f>
        <v>7.2</v>
      </c>
      <c r="AC138" s="127" t="s">
        <v>2192</v>
      </c>
      <c r="AD138" s="7" t="s">
        <v>828</v>
      </c>
      <c r="AE138" s="778"/>
      <c r="AF138" s="778"/>
      <c r="AG138" s="778"/>
      <c r="AH138" s="171">
        <f t="shared" si="27"/>
        <v>0</v>
      </c>
      <c r="AI138" s="778"/>
      <c r="AJ138" s="128">
        <f ca="1">SUMIFS('Корректировка НВВ'!$AF$25:$AF$231,'Корректировка НВВ'!$F$25:$F$231,$F138,'Корректировка НВВ'!$I$25:$I$231,$G138)</f>
        <v>0</v>
      </c>
      <c r="AK138" s="778"/>
      <c r="AL138" s="778"/>
      <c r="AM138" s="778"/>
      <c r="AN138" s="778"/>
      <c r="AO138" s="778"/>
      <c r="AP138" s="778"/>
      <c r="AQ138" s="778"/>
      <c r="AR138" s="778"/>
      <c r="AS138" s="778"/>
      <c r="AT138" s="128">
        <f ca="1">SUMIFS('Корректировка НВВ'!$AG$25:$AG$231,'Корректировка НВВ'!$F$25:$F$231,$F138,'Корректировка НВВ'!$I$25:$I$231,$G138)</f>
        <v>0</v>
      </c>
      <c r="AU138" s="778"/>
      <c r="AV138" s="778"/>
      <c r="AW138" s="778"/>
      <c r="AX138" s="778"/>
      <c r="AY138" s="778"/>
      <c r="AZ138" s="778"/>
      <c r="BA138" s="778"/>
      <c r="BB138" s="778"/>
      <c r="BC138" s="778"/>
      <c r="BD138" s="542"/>
      <c r="BE138" s="542"/>
      <c r="BF138" s="542"/>
      <c r="BG138" s="542"/>
      <c r="BH138" s="542"/>
      <c r="BI138" s="542"/>
      <c r="BJ138" s="542"/>
      <c r="BK138" s="542"/>
      <c r="BL138" s="542"/>
      <c r="BM138" s="542"/>
      <c r="BN138" s="775"/>
      <c r="BO138" s="779" t="str">
        <f ca="1">IF(IFERROR(INDEX('Корректировка НВВ'!$K$26:$L$231,MATCH($F138&amp;"2komm",'Корректировка НВВ'!$K$26:$K$231,0),2),"")=0,"",IFERROR(INDEX('Корректировка НВВ'!$K$26:$L$231,MATCH($F138&amp;"2komm",'Корректировка НВВ'!$K$26:$K$231,0),2),""))</f>
        <v/>
      </c>
      <c r="BP138" s="775"/>
      <c r="BS138" s="696" t="s">
        <v>2193</v>
      </c>
    </row>
    <row r="139" spans="2:75" ht="43.9" hidden="1" customHeight="1" x14ac:dyDescent="0.15">
      <c r="C139" s="25"/>
      <c r="D139" s="25" t="str" cm="1">
        <f t="array" ref="D139">D138</f>
        <v>7</v>
      </c>
      <c r="E139" s="451">
        <v>45</v>
      </c>
      <c r="F139" s="3" cm="1">
        <f t="array" aca="1" ref="F139" ca="1">OFFSET(E139,-1,1)</f>
        <v>0</v>
      </c>
      <c r="G139" s="25"/>
      <c r="H139" s="25"/>
      <c r="I139" s="25" t="s">
        <v>601</v>
      </c>
      <c r="J139" s="25"/>
      <c r="K139" s="72" t="s">
        <v>601</v>
      </c>
      <c r="L139" s="25"/>
      <c r="M139" s="25"/>
      <c r="N139" s="25"/>
      <c r="O139" s="25"/>
      <c r="P139" s="25"/>
      <c r="Q139" s="25"/>
      <c r="R139" s="25"/>
      <c r="S139" s="25"/>
      <c r="T139" s="353" t="b" cm="1">
        <f t="array" aca="1" ref="T139" ca="1">T138</f>
        <v>0</v>
      </c>
      <c r="U139" s="25"/>
      <c r="V139" s="25"/>
      <c r="W139" s="25"/>
      <c r="X139" s="1022"/>
      <c r="Z139" s="967"/>
      <c r="AB139" s="7" t="str">
        <f>D139&amp;".3"</f>
        <v>7.3</v>
      </c>
      <c r="AC139" s="127" t="s">
        <v>2194</v>
      </c>
      <c r="AD139" s="7" t="s">
        <v>828</v>
      </c>
      <c r="AE139" s="778"/>
      <c r="AF139" s="778"/>
      <c r="AG139" s="778"/>
      <c r="AH139" s="171">
        <f t="shared" si="27"/>
        <v>0</v>
      </c>
      <c r="AI139" s="778"/>
      <c r="AJ139" s="128">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78"/>
      <c r="AL139" s="778"/>
      <c r="AM139" s="778"/>
      <c r="AN139" s="778"/>
      <c r="AO139" s="778"/>
      <c r="AP139" s="778"/>
      <c r="AQ139" s="778"/>
      <c r="AR139" s="778"/>
      <c r="AS139" s="778"/>
      <c r="AT139" s="128">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78"/>
      <c r="AV139" s="778"/>
      <c r="AW139" s="778"/>
      <c r="AX139" s="778"/>
      <c r="AY139" s="778"/>
      <c r="AZ139" s="778"/>
      <c r="BA139" s="778"/>
      <c r="BB139" s="778"/>
      <c r="BC139" s="778"/>
      <c r="BD139" s="542"/>
      <c r="BE139" s="542"/>
      <c r="BF139" s="542"/>
      <c r="BG139" s="542"/>
      <c r="BH139" s="542"/>
      <c r="BI139" s="542"/>
      <c r="BJ139" s="542"/>
      <c r="BK139" s="542"/>
      <c r="BL139" s="542"/>
      <c r="BM139" s="542"/>
      <c r="BN139" s="775"/>
      <c r="BO139" s="779"/>
      <c r="BP139" s="775"/>
      <c r="BS139" s="696" t="s">
        <v>2195</v>
      </c>
    </row>
    <row r="140" spans="2:75" ht="87.75" hidden="1" customHeight="1" x14ac:dyDescent="0.25">
      <c r="B140" s="341" t="b">
        <f>S27="Водоотведение"</f>
        <v>0</v>
      </c>
      <c r="C140" s="25"/>
      <c r="D140" s="25" t="str" cm="1">
        <f t="array" ref="D140">D139</f>
        <v>7</v>
      </c>
      <c r="E140" s="451">
        <v>90</v>
      </c>
      <c r="F140" s="3" cm="1">
        <f t="array" aca="1" ref="F140" ca="1">OFFSET(E140,-1,1)</f>
        <v>0</v>
      </c>
      <c r="G140" s="25" t="s">
        <v>2196</v>
      </c>
      <c r="H140" s="571"/>
      <c r="I140" s="25" t="s">
        <v>770</v>
      </c>
      <c r="J140" s="25"/>
      <c r="K140" s="72" t="s">
        <v>770</v>
      </c>
      <c r="L140" s="25" t="s">
        <v>767</v>
      </c>
      <c r="M140" s="25"/>
      <c r="N140" s="25"/>
      <c r="O140" s="25"/>
      <c r="P140" s="25"/>
      <c r="Q140" s="25"/>
      <c r="R140" s="25"/>
      <c r="S140" s="25"/>
      <c r="T140" s="353" t="b" cm="1">
        <f t="array" aca="1" ref="T140" ca="1">T139</f>
        <v>0</v>
      </c>
      <c r="U140" s="25"/>
      <c r="V140" s="25"/>
      <c r="W140" s="25"/>
      <c r="X140" s="1022"/>
      <c r="Z140" s="967"/>
      <c r="AB140" s="7" t="str">
        <f>D140&amp;".4"</f>
        <v>7.4</v>
      </c>
      <c r="AC140" s="127" t="s">
        <v>1857</v>
      </c>
      <c r="AD140" s="9" t="s">
        <v>828</v>
      </c>
      <c r="AE140" s="778"/>
      <c r="AF140" s="778"/>
      <c r="AG140" s="778"/>
      <c r="AH140" s="171">
        <f t="shared" si="27"/>
        <v>0</v>
      </c>
      <c r="AI140" s="778"/>
      <c r="AJ140" s="128">
        <f ca="1">SUMIFS('Корректировка НВВ'!$AF$25:$AF$231,'Корректировка НВВ'!$F$25:$F$231,$F140,'Корректировка НВВ'!$I$25:$I$231,$G140)</f>
        <v>0</v>
      </c>
      <c r="AK140" s="778"/>
      <c r="AL140" s="778"/>
      <c r="AM140" s="778"/>
      <c r="AN140" s="778"/>
      <c r="AO140" s="778"/>
      <c r="AP140" s="778"/>
      <c r="AQ140" s="778"/>
      <c r="AR140" s="778"/>
      <c r="AS140" s="778"/>
      <c r="AT140" s="128">
        <f ca="1">SUMIFS('Корректировка НВВ'!$AG$25:$AG$231,'Корректировка НВВ'!$F$25:$F$231,$F140,'Корректировка НВВ'!$I$25:$I$231,$G140)</f>
        <v>0</v>
      </c>
      <c r="AU140" s="778"/>
      <c r="AV140" s="778"/>
      <c r="AW140" s="778"/>
      <c r="AX140" s="778"/>
      <c r="AY140" s="778"/>
      <c r="AZ140" s="778"/>
      <c r="BA140" s="778"/>
      <c r="BB140" s="778"/>
      <c r="BC140" s="778"/>
      <c r="BD140" s="542"/>
      <c r="BE140" s="542"/>
      <c r="BF140" s="542"/>
      <c r="BG140" s="542"/>
      <c r="BH140" s="542"/>
      <c r="BI140" s="542"/>
      <c r="BJ140" s="542"/>
      <c r="BK140" s="542"/>
      <c r="BL140" s="542"/>
      <c r="BM140" s="542"/>
      <c r="BN140" s="775"/>
      <c r="BO140" s="779" t="str">
        <f ca="1">IF(IFERROR(INDEX('Корректировка НВВ'!$K$26:$L$231,MATCH($F140&amp;"3komm",'Корректировка НВВ'!$K$26:$K$231,0),2),"")=0,"",IFERROR(INDEX('Корректировка НВВ'!$K$26:$L$231,MATCH($F140&amp;"3komm",'Корректировка НВВ'!$K$26:$K$231,0),2),""))</f>
        <v/>
      </c>
      <c r="BP140" s="775"/>
      <c r="BS140" s="696" t="s">
        <v>1374</v>
      </c>
    </row>
    <row r="141" spans="2:75" ht="54.75" hidden="1" customHeight="1" x14ac:dyDescent="0.25">
      <c r="B141" s="341" t="b" cm="1">
        <f t="array" ref="B141">B140</f>
        <v>0</v>
      </c>
      <c r="C141" s="25"/>
      <c r="D141" s="25" t="str" cm="1">
        <f t="array" ref="D141">D140</f>
        <v>7</v>
      </c>
      <c r="E141" s="451">
        <v>56.25</v>
      </c>
      <c r="F141" s="3" cm="1">
        <f t="array" aca="1" ref="F141" ca="1">OFFSET(E141,-1,1)</f>
        <v>0</v>
      </c>
      <c r="G141" s="25" t="s">
        <v>2197</v>
      </c>
      <c r="H141" s="571"/>
      <c r="I141" s="25" t="s">
        <v>806</v>
      </c>
      <c r="J141" s="25"/>
      <c r="K141" s="72" t="s">
        <v>806</v>
      </c>
      <c r="L141" s="25" t="s">
        <v>770</v>
      </c>
      <c r="M141" s="25"/>
      <c r="N141" s="25"/>
      <c r="O141" s="25"/>
      <c r="P141" s="25"/>
      <c r="Q141" s="25"/>
      <c r="R141" s="25"/>
      <c r="S141" s="25"/>
      <c r="T141" s="353" t="b" cm="1">
        <f t="array" aca="1" ref="T141" ca="1">T140</f>
        <v>0</v>
      </c>
      <c r="U141" s="25"/>
      <c r="V141" s="25"/>
      <c r="W141" s="25"/>
      <c r="X141" s="1022"/>
      <c r="Z141" s="967"/>
      <c r="AB141" s="7" t="str">
        <f>D141&amp;".5"</f>
        <v>7.5</v>
      </c>
      <c r="AC141" s="127" t="s">
        <v>1859</v>
      </c>
      <c r="AD141" s="9" t="s">
        <v>828</v>
      </c>
      <c r="AE141" s="778"/>
      <c r="AF141" s="778"/>
      <c r="AG141" s="778"/>
      <c r="AH141" s="171">
        <f t="shared" si="27"/>
        <v>0</v>
      </c>
      <c r="AI141" s="778"/>
      <c r="AJ141" s="128">
        <f ca="1">SUMIFS('Корректировка НВВ'!$AF$25:$AF$231,'Корректировка НВВ'!$F$25:$F$231,$F141,'Корректировка НВВ'!$I$25:$I$231,$G141)</f>
        <v>0</v>
      </c>
      <c r="AK141" s="778"/>
      <c r="AL141" s="778"/>
      <c r="AM141" s="778"/>
      <c r="AN141" s="778"/>
      <c r="AO141" s="778"/>
      <c r="AP141" s="778"/>
      <c r="AQ141" s="778"/>
      <c r="AR141" s="778"/>
      <c r="AS141" s="778"/>
      <c r="AT141" s="128">
        <f ca="1">SUMIFS('Корректировка НВВ'!$AG$25:$AG$231,'Корректировка НВВ'!$F$25:$F$231,$F141,'Корректировка НВВ'!$I$25:$I$231,$G141)</f>
        <v>0</v>
      </c>
      <c r="AU141" s="778"/>
      <c r="AV141" s="778"/>
      <c r="AW141" s="778"/>
      <c r="AX141" s="778"/>
      <c r="AY141" s="778"/>
      <c r="AZ141" s="778"/>
      <c r="BA141" s="778"/>
      <c r="BB141" s="778"/>
      <c r="BC141" s="778"/>
      <c r="BD141" s="542"/>
      <c r="BE141" s="542"/>
      <c r="BF141" s="542"/>
      <c r="BG141" s="542"/>
      <c r="BH141" s="542"/>
      <c r="BI141" s="542"/>
      <c r="BJ141" s="542"/>
      <c r="BK141" s="542"/>
      <c r="BL141" s="542"/>
      <c r="BM141" s="542"/>
      <c r="BN141" s="775"/>
      <c r="BO141" s="779" t="str">
        <f ca="1">IF(IFERROR(INDEX('Корректировка НВВ'!$K$26:$L$231,MATCH($F141&amp;"4komm",'Корректировка НВВ'!$K$26:$K$231,0),2),"")=0,"",IFERROR(INDEX('Корректировка НВВ'!$K$26:$L$231,MATCH($F141&amp;"4komm",'Корректировка НВВ'!$K$26:$K$231,0),2),""))</f>
        <v/>
      </c>
      <c r="BP141" s="775"/>
      <c r="BS141" s="696" t="s">
        <v>1378</v>
      </c>
    </row>
    <row r="142" spans="2:75" ht="14.65" hidden="1" customHeight="1" x14ac:dyDescent="0.15">
      <c r="B142" s="46"/>
      <c r="C142" s="25"/>
      <c r="D142" s="25" t="str" cm="1">
        <f t="array" ref="D142">D141</f>
        <v>7</v>
      </c>
      <c r="E142" s="451">
        <v>15</v>
      </c>
      <c r="F142" s="3" cm="1">
        <f t="array" aca="1" ref="F142" ca="1">OFFSET(E142,-1,1)</f>
        <v>0</v>
      </c>
      <c r="G142" s="25" t="s">
        <v>2198</v>
      </c>
      <c r="H142" s="25"/>
      <c r="I142" s="25" t="s">
        <v>807</v>
      </c>
      <c r="J142" s="25"/>
      <c r="K142" s="72" t="s">
        <v>807</v>
      </c>
      <c r="L142" s="25" t="s">
        <v>806</v>
      </c>
      <c r="M142" s="25"/>
      <c r="N142" s="25"/>
      <c r="O142" s="25"/>
      <c r="P142" s="25"/>
      <c r="Q142" s="25"/>
      <c r="R142" s="25"/>
      <c r="S142" s="25"/>
      <c r="T142" s="353" t="b" cm="1">
        <f t="array" aca="1" ref="T142" ca="1">T141</f>
        <v>0</v>
      </c>
      <c r="U142" s="25"/>
      <c r="V142" s="25"/>
      <c r="W142" s="25"/>
      <c r="X142" s="1022"/>
      <c r="Z142" s="967"/>
      <c r="AB142" s="7" t="str">
        <f>IF(B141,D142&amp;".6",D142&amp;".4")</f>
        <v>7.4</v>
      </c>
      <c r="AC142" s="127" t="s">
        <v>1591</v>
      </c>
      <c r="AD142" s="7" t="s">
        <v>828</v>
      </c>
      <c r="AE142" s="778"/>
      <c r="AF142" s="778"/>
      <c r="AG142" s="778"/>
      <c r="AH142" s="171">
        <f t="shared" si="27"/>
        <v>0</v>
      </c>
      <c r="AI142" s="778"/>
      <c r="AJ142" s="128">
        <f ca="1">SUMIFS('Корректировка НВВ'!$AF$25:$AF$231,'Корректировка НВВ'!$F$25:$F$231,$F142,'Корректировка НВВ'!$I$25:$I$231,$G142)</f>
        <v>0</v>
      </c>
      <c r="AK142" s="778"/>
      <c r="AL142" s="778"/>
      <c r="AM142" s="778"/>
      <c r="AN142" s="778"/>
      <c r="AO142" s="778"/>
      <c r="AP142" s="778"/>
      <c r="AQ142" s="778"/>
      <c r="AR142" s="778"/>
      <c r="AS142" s="778"/>
      <c r="AT142" s="128">
        <f ca="1">SUMIFS('Корректировка НВВ'!$AG$25:$AG$231,'Корректировка НВВ'!$F$25:$F$231,$F142,'Корректировка НВВ'!$I$25:$I$231,$G142)</f>
        <v>0</v>
      </c>
      <c r="AU142" s="778"/>
      <c r="AV142" s="778"/>
      <c r="AW142" s="778"/>
      <c r="AX142" s="778"/>
      <c r="AY142" s="778"/>
      <c r="AZ142" s="778"/>
      <c r="BA142" s="778"/>
      <c r="BB142" s="778"/>
      <c r="BC142" s="778"/>
      <c r="BD142" s="542"/>
      <c r="BE142" s="542"/>
      <c r="BF142" s="542"/>
      <c r="BG142" s="542"/>
      <c r="BH142" s="542"/>
      <c r="BI142" s="542"/>
      <c r="BJ142" s="542"/>
      <c r="BK142" s="542"/>
      <c r="BL142" s="542"/>
      <c r="BM142" s="542"/>
      <c r="BN142" s="775"/>
      <c r="BO142" s="779" t="str">
        <f ca="1">IF(IFERROR(INDEX('Корректировка НВВ'!$K$26:$L$231,MATCH($F142&amp;"5komm",'Корректировка НВВ'!$K$26:$K$231,0),2),"")=0,"",IFERROR(INDEX('Корректировка НВВ'!$K$26:$L$231,MATCH($F142&amp;"5komm",'Корректировка НВВ'!$K$26:$K$231,0),2),""))</f>
        <v/>
      </c>
      <c r="BP142" s="775"/>
      <c r="BS142" s="696" t="s">
        <v>2199</v>
      </c>
    </row>
    <row r="143" spans="2:75" ht="14.65" hidden="1" customHeight="1" x14ac:dyDescent="0.15">
      <c r="C143" s="25"/>
      <c r="D143" s="25" t="str" cm="1">
        <f t="array" ref="D143">D142</f>
        <v>7</v>
      </c>
      <c r="E143" s="451">
        <v>15</v>
      </c>
      <c r="F143" s="3" cm="1">
        <f t="array" aca="1" ref="F143" ca="1">OFFSET(E143,-1,1)</f>
        <v>0</v>
      </c>
      <c r="G143" s="25" t="s">
        <v>2200</v>
      </c>
      <c r="H143" s="25"/>
      <c r="I143" s="25" t="s">
        <v>1869</v>
      </c>
      <c r="J143" s="25"/>
      <c r="K143" s="72" t="s">
        <v>1869</v>
      </c>
      <c r="L143" s="25" t="s">
        <v>807</v>
      </c>
      <c r="M143" s="25"/>
      <c r="N143" s="25"/>
      <c r="O143" s="25"/>
      <c r="P143" s="25"/>
      <c r="Q143" s="25"/>
      <c r="R143" s="25"/>
      <c r="S143" s="25"/>
      <c r="T143" s="353" t="b" cm="1">
        <f t="array" aca="1" ref="T143" ca="1">T142</f>
        <v>0</v>
      </c>
      <c r="U143" s="25"/>
      <c r="V143" s="25"/>
      <c r="W143" s="25"/>
      <c r="X143" s="1022"/>
      <c r="Z143" s="967"/>
      <c r="AB143" s="7" t="str">
        <f>IF(B141,D142&amp;".7",D142&amp;".5")</f>
        <v>7.5</v>
      </c>
      <c r="AC143" s="127" t="s">
        <v>1553</v>
      </c>
      <c r="AD143" s="7" t="s">
        <v>828</v>
      </c>
      <c r="AE143" s="778">
        <f>AE144+AE145</f>
        <v>0</v>
      </c>
      <c r="AF143" s="778">
        <f>AF144+AF145</f>
        <v>0</v>
      </c>
      <c r="AG143" s="778">
        <f>AG144+AG145</f>
        <v>0</v>
      </c>
      <c r="AH143" s="171">
        <f t="shared" si="27"/>
        <v>0</v>
      </c>
      <c r="AI143" s="778">
        <f>AI144+AI145</f>
        <v>0</v>
      </c>
      <c r="AJ143" s="128">
        <f ca="1">SUMIFS('Корректировка НВВ'!$AF$25:$AF$231,'Корректировка НВВ'!$F$25:$F$231,$F143,'Корректировка НВВ'!$I$25:$I$231,$G143)</f>
        <v>0</v>
      </c>
      <c r="AK143" s="778">
        <f t="shared" ref="AK143:AS143" si="28">AK144+AK145</f>
        <v>0</v>
      </c>
      <c r="AL143" s="778">
        <f t="shared" si="28"/>
        <v>0</v>
      </c>
      <c r="AM143" s="778">
        <f t="shared" si="28"/>
        <v>0</v>
      </c>
      <c r="AN143" s="778">
        <f t="shared" si="28"/>
        <v>0</v>
      </c>
      <c r="AO143" s="778">
        <f t="shared" si="28"/>
        <v>0</v>
      </c>
      <c r="AP143" s="778">
        <f t="shared" si="28"/>
        <v>0</v>
      </c>
      <c r="AQ143" s="778">
        <f t="shared" si="28"/>
        <v>0</v>
      </c>
      <c r="AR143" s="778">
        <f t="shared" si="28"/>
        <v>0</v>
      </c>
      <c r="AS143" s="778">
        <f t="shared" si="28"/>
        <v>0</v>
      </c>
      <c r="AT143" s="128">
        <f ca="1">SUMIFS('Корректировка НВВ'!$AG$25:$AG$231,'Корректировка НВВ'!$F$25:$F$231,$F143,'Корректировка НВВ'!$I$25:$I$231,$G143)</f>
        <v>0</v>
      </c>
      <c r="AU143" s="778">
        <f t="shared" ref="AU143:BC143" si="29">AU144+AU145</f>
        <v>0</v>
      </c>
      <c r="AV143" s="778">
        <f t="shared" si="29"/>
        <v>0</v>
      </c>
      <c r="AW143" s="778">
        <f t="shared" si="29"/>
        <v>0</v>
      </c>
      <c r="AX143" s="778">
        <f t="shared" si="29"/>
        <v>0</v>
      </c>
      <c r="AY143" s="778">
        <f t="shared" si="29"/>
        <v>0</v>
      </c>
      <c r="AZ143" s="778">
        <f t="shared" si="29"/>
        <v>0</v>
      </c>
      <c r="BA143" s="778">
        <f t="shared" si="29"/>
        <v>0</v>
      </c>
      <c r="BB143" s="778">
        <f t="shared" si="29"/>
        <v>0</v>
      </c>
      <c r="BC143" s="778">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5"/>
      <c r="BO143" s="779" t="str">
        <f ca="1">IF(IFERROR(INDEX('Корректировка НВВ'!$K$26:$L$231,MATCH($F143&amp;"6komm",'Корректировка НВВ'!$K$26:$K$231,0),2),"")=0,"",IFERROR(INDEX('Корректировка НВВ'!$K$26:$L$231,MATCH($F143&amp;"6komm",'Корректировка НВВ'!$K$26:$K$231,0),2),""))</f>
        <v/>
      </c>
      <c r="BP143" s="775"/>
      <c r="BS143" s="696" t="s">
        <v>1555</v>
      </c>
    </row>
    <row r="144" spans="2:75" ht="21.95" hidden="1" customHeight="1" x14ac:dyDescent="0.15">
      <c r="C144" s="25"/>
      <c r="D144" s="25" t="str" cm="1">
        <f t="array" ref="D144">D143</f>
        <v>7</v>
      </c>
      <c r="E144" s="451">
        <v>22.5</v>
      </c>
      <c r="F144" s="3" cm="1">
        <f t="array" aca="1" ref="F144" ca="1">OFFSET(E144,-1,1)</f>
        <v>0</v>
      </c>
      <c r="G144" s="25" t="s">
        <v>2201</v>
      </c>
      <c r="H144" s="25"/>
      <c r="I144" s="25" t="s">
        <v>2202</v>
      </c>
      <c r="J144" s="25"/>
      <c r="K144" s="72" t="s">
        <v>2202</v>
      </c>
      <c r="L144" s="25" t="s">
        <v>1864</v>
      </c>
      <c r="M144" s="25"/>
      <c r="N144" s="25"/>
      <c r="O144" s="25"/>
      <c r="P144" s="25"/>
      <c r="Q144" s="25"/>
      <c r="R144" s="25"/>
      <c r="S144" s="25"/>
      <c r="T144" s="353" t="b" cm="1">
        <f t="array" aca="1" ref="T144" ca="1">T143</f>
        <v>0</v>
      </c>
      <c r="U144" s="25"/>
      <c r="V144" s="25"/>
      <c r="W144" s="25"/>
      <c r="X144" s="1022"/>
      <c r="Z144" s="967"/>
      <c r="AB144" s="7" t="str">
        <f>AB143&amp;".1"</f>
        <v>7.5.1</v>
      </c>
      <c r="AC144" s="549" t="s">
        <v>1556</v>
      </c>
      <c r="AD144" s="7" t="s">
        <v>828</v>
      </c>
      <c r="AE144" s="778"/>
      <c r="AF144" s="778"/>
      <c r="AG144" s="778"/>
      <c r="AH144" s="171">
        <f t="shared" si="27"/>
        <v>0</v>
      </c>
      <c r="AI144" s="778"/>
      <c r="AJ144" s="128">
        <f ca="1">SUMIFS('Корректировка НВВ'!$AF$25:$AF$231,'Корректировка НВВ'!$F$25:$F$231,$F144,'Корректировка НВВ'!$I$25:$I$231,$G144)</f>
        <v>0</v>
      </c>
      <c r="AK144" s="778"/>
      <c r="AL144" s="778"/>
      <c r="AM144" s="778"/>
      <c r="AN144" s="778"/>
      <c r="AO144" s="778"/>
      <c r="AP144" s="778"/>
      <c r="AQ144" s="778"/>
      <c r="AR144" s="778"/>
      <c r="AS144" s="778"/>
      <c r="AT144" s="128">
        <f ca="1">SUMIFS('Корректировка НВВ'!$AG$25:$AG$231,'Корректировка НВВ'!$F$25:$F$231,$F144,'Корректировка НВВ'!$I$25:$I$231,$G144)</f>
        <v>0</v>
      </c>
      <c r="AU144" s="778"/>
      <c r="AV144" s="778"/>
      <c r="AW144" s="778"/>
      <c r="AX144" s="778"/>
      <c r="AY144" s="778"/>
      <c r="AZ144" s="778"/>
      <c r="BA144" s="778"/>
      <c r="BB144" s="778"/>
      <c r="BC144" s="778"/>
      <c r="BD144" s="542"/>
      <c r="BE144" s="542"/>
      <c r="BF144" s="542"/>
      <c r="BG144" s="542"/>
      <c r="BH144" s="542"/>
      <c r="BI144" s="542"/>
      <c r="BJ144" s="542"/>
      <c r="BK144" s="542"/>
      <c r="BL144" s="542"/>
      <c r="BM144" s="542"/>
      <c r="BN144" s="775"/>
      <c r="BO144" s="779" t="str">
        <f ca="1">IF(IFERROR(INDEX('Корректировка НВВ'!$K$26:$L$231,MATCH($F144&amp;"7komm",'Корректировка НВВ'!$K$26:$K$231,0),2),"")=0,"",IFERROR(INDEX('Корректировка НВВ'!$K$26:$L$231,MATCH($F144&amp;"7komm",'Корректировка НВВ'!$K$26:$K$231,0),2),""))</f>
        <v/>
      </c>
      <c r="BP144" s="775"/>
      <c r="BS144" s="696" t="s">
        <v>1557</v>
      </c>
    </row>
    <row r="145" spans="2:75" ht="21.95" hidden="1" customHeight="1" x14ac:dyDescent="0.15">
      <c r="C145" s="25"/>
      <c r="D145" s="25" t="str" cm="1">
        <f t="array" ref="D145">D144</f>
        <v>7</v>
      </c>
      <c r="E145" s="451">
        <v>22.5</v>
      </c>
      <c r="F145" s="3" cm="1">
        <f t="array" aca="1" ref="F145" ca="1">OFFSET(E145,-1,1)</f>
        <v>0</v>
      </c>
      <c r="G145" s="25" t="s">
        <v>2203</v>
      </c>
      <c r="H145" s="25"/>
      <c r="I145" s="25" t="s">
        <v>2204</v>
      </c>
      <c r="J145" s="25"/>
      <c r="K145" s="72" t="s">
        <v>2204</v>
      </c>
      <c r="L145" s="25" t="s">
        <v>1866</v>
      </c>
      <c r="M145" s="25"/>
      <c r="N145" s="25"/>
      <c r="O145" s="25"/>
      <c r="P145" s="25"/>
      <c r="Q145" s="25"/>
      <c r="R145" s="25"/>
      <c r="S145" s="25"/>
      <c r="T145" s="353" t="b" cm="1">
        <f t="array" aca="1" ref="T145" ca="1">T144</f>
        <v>0</v>
      </c>
      <c r="U145" s="25"/>
      <c r="V145" s="25"/>
      <c r="W145" s="25"/>
      <c r="X145" s="1022"/>
      <c r="Z145" s="967"/>
      <c r="AB145" s="7" t="str">
        <f>AB143&amp;".2"</f>
        <v>7.5.2</v>
      </c>
      <c r="AC145" s="549" t="s">
        <v>1558</v>
      </c>
      <c r="AD145" s="7" t="s">
        <v>828</v>
      </c>
      <c r="AE145" s="778"/>
      <c r="AF145" s="778"/>
      <c r="AG145" s="778"/>
      <c r="AH145" s="171">
        <f t="shared" si="27"/>
        <v>0</v>
      </c>
      <c r="AI145" s="778"/>
      <c r="AJ145" s="128">
        <f ca="1">SUMIFS('Корректировка НВВ'!$AF$25:$AF$231,'Корректировка НВВ'!$F$25:$F$231,$F145,'Корректировка НВВ'!$I$25:$I$231,$G145)</f>
        <v>0</v>
      </c>
      <c r="AK145" s="778"/>
      <c r="AL145" s="778"/>
      <c r="AM145" s="778"/>
      <c r="AN145" s="778"/>
      <c r="AO145" s="778"/>
      <c r="AP145" s="778"/>
      <c r="AQ145" s="778"/>
      <c r="AR145" s="778"/>
      <c r="AS145" s="778"/>
      <c r="AT145" s="128">
        <f ca="1">SUMIFS('Корректировка НВВ'!$AG$25:$AG$231,'Корректировка НВВ'!$F$25:$F$231,$F145,'Корректировка НВВ'!$I$25:$I$231,$G145)</f>
        <v>0</v>
      </c>
      <c r="AU145" s="778"/>
      <c r="AV145" s="778"/>
      <c r="AW145" s="778"/>
      <c r="AX145" s="778"/>
      <c r="AY145" s="778"/>
      <c r="AZ145" s="778"/>
      <c r="BA145" s="778"/>
      <c r="BB145" s="778"/>
      <c r="BC145" s="778"/>
      <c r="BD145" s="542"/>
      <c r="BE145" s="542"/>
      <c r="BF145" s="542"/>
      <c r="BG145" s="542"/>
      <c r="BH145" s="542"/>
      <c r="BI145" s="542"/>
      <c r="BJ145" s="542"/>
      <c r="BK145" s="542"/>
      <c r="BL145" s="542"/>
      <c r="BM145" s="542"/>
      <c r="BN145" s="775"/>
      <c r="BO145" s="779" t="str">
        <f ca="1">IF(IFERROR(INDEX('Корректировка НВВ'!$K$26:$L$231,MATCH($F145&amp;"8komm",'Корректировка НВВ'!$K$26:$K$231,0),2),"")=0,"",IFERROR(INDEX('Корректировка НВВ'!$K$26:$L$231,MATCH($F145&amp;"8komm",'Корректировка НВВ'!$K$26:$K$231,0),2),""))</f>
        <v/>
      </c>
      <c r="BP145" s="775"/>
      <c r="BS145" s="696" t="s">
        <v>1559</v>
      </c>
    </row>
    <row r="146" spans="2:75" ht="14.65" hidden="1" customHeight="1" x14ac:dyDescent="0.15">
      <c r="C146" s="25"/>
      <c r="D146" s="25" t="str" cm="1">
        <f t="array" ref="D146">D145</f>
        <v>7</v>
      </c>
      <c r="E146" s="451">
        <v>15</v>
      </c>
      <c r="F146" s="3" cm="1">
        <f t="array" aca="1" ref="F146" ca="1">OFFSET(E146,-1,1)</f>
        <v>0</v>
      </c>
      <c r="G146" s="25" t="s">
        <v>319</v>
      </c>
      <c r="H146" s="25"/>
      <c r="I146" s="25" t="s">
        <v>1870</v>
      </c>
      <c r="J146" s="25"/>
      <c r="K146" s="72" t="s">
        <v>1870</v>
      </c>
      <c r="L146" s="25" t="s">
        <v>1869</v>
      </c>
      <c r="M146" s="25"/>
      <c r="N146" s="25"/>
      <c r="O146" s="25"/>
      <c r="P146" s="25"/>
      <c r="Q146" s="25"/>
      <c r="R146" s="25"/>
      <c r="S146" s="25"/>
      <c r="T146" s="353" t="b" cm="1">
        <f t="array" aca="1" ref="T146" ca="1">T145</f>
        <v>0</v>
      </c>
      <c r="U146" s="25"/>
      <c r="V146" s="25"/>
      <c r="W146" s="25"/>
      <c r="X146" s="1022"/>
      <c r="Z146" s="967"/>
      <c r="AB146" s="7" t="str">
        <f>IF(B141,D142&amp;".8",D142&amp;".6")</f>
        <v>7.6</v>
      </c>
      <c r="AC146" s="550" t="s">
        <v>1560</v>
      </c>
      <c r="AD146" s="7" t="s">
        <v>828</v>
      </c>
      <c r="AE146" s="778"/>
      <c r="AF146" s="778"/>
      <c r="AG146" s="778"/>
      <c r="AH146" s="171">
        <f t="shared" si="27"/>
        <v>0</v>
      </c>
      <c r="AI146" s="778"/>
      <c r="AJ146" s="128">
        <f ca="1">SUMIFS('Корректировка НВВ'!$AF$25:$AF$231,'Корректировка НВВ'!$F$25:$F$231,$F146,'Корректировка НВВ'!$I$25:$I$231,$G146)</f>
        <v>0</v>
      </c>
      <c r="AK146" s="778"/>
      <c r="AL146" s="778"/>
      <c r="AM146" s="778"/>
      <c r="AN146" s="778"/>
      <c r="AO146" s="778"/>
      <c r="AP146" s="778"/>
      <c r="AQ146" s="778"/>
      <c r="AR146" s="778"/>
      <c r="AS146" s="778"/>
      <c r="AT146" s="128">
        <f ca="1">SUMIFS('Корректировка НВВ'!$AG$25:$AG$231,'Корректировка НВВ'!$F$25:$F$231,$F146,'Корректировка НВВ'!$I$25:$I$231,$G146)</f>
        <v>0</v>
      </c>
      <c r="AU146" s="778"/>
      <c r="AV146" s="778"/>
      <c r="AW146" s="778"/>
      <c r="AX146" s="778"/>
      <c r="AY146" s="778"/>
      <c r="AZ146" s="778"/>
      <c r="BA146" s="778"/>
      <c r="BB146" s="778"/>
      <c r="BC146" s="778"/>
      <c r="BD146" s="542"/>
      <c r="BE146" s="542"/>
      <c r="BF146" s="542"/>
      <c r="BG146" s="542"/>
      <c r="BH146" s="542"/>
      <c r="BI146" s="542"/>
      <c r="BJ146" s="542"/>
      <c r="BK146" s="542"/>
      <c r="BL146" s="542"/>
      <c r="BM146" s="542"/>
      <c r="BN146" s="775"/>
      <c r="BO146" s="779" t="str">
        <f ca="1">IF(IFERROR(INDEX('Корректировка НВВ'!$K$26:$L$231,MATCH($F146&amp;"9komm",'Корректировка НВВ'!$K$26:$K$231,0),2),"")=0,"",IFERROR(INDEX('Корректировка НВВ'!$K$26:$L$231,MATCH($F146&amp;"9komm",'Корректировка НВВ'!$K$26:$K$231,0),2),""))</f>
        <v/>
      </c>
      <c r="BP146" s="775"/>
      <c r="BS146" s="696" t="s">
        <v>2205</v>
      </c>
    </row>
    <row r="147" spans="2:75" ht="14.65" hidden="1" customHeight="1" x14ac:dyDescent="0.15">
      <c r="C147" s="25"/>
      <c r="D147" s="25" t="str" cm="1">
        <f t="array" ref="D147">D146</f>
        <v>7</v>
      </c>
      <c r="E147" s="451">
        <v>15</v>
      </c>
      <c r="F147" s="3" cm="1">
        <f t="array" aca="1" ref="F147" ca="1">OFFSET(E147,-1,1)</f>
        <v>0</v>
      </c>
      <c r="G147" s="25" t="s">
        <v>2206</v>
      </c>
      <c r="H147" s="25"/>
      <c r="I147" s="25" t="s">
        <v>1872</v>
      </c>
      <c r="J147" s="25"/>
      <c r="K147" s="72" t="s">
        <v>1872</v>
      </c>
      <c r="L147" s="25" t="s">
        <v>1870</v>
      </c>
      <c r="M147" s="25"/>
      <c r="N147" s="25"/>
      <c r="O147" s="25"/>
      <c r="P147" s="25"/>
      <c r="Q147" s="25"/>
      <c r="R147" s="25"/>
      <c r="S147" s="25"/>
      <c r="T147" s="353" t="b" cm="1">
        <f t="array" aca="1" ref="T147" ca="1">T146</f>
        <v>0</v>
      </c>
      <c r="U147" s="25"/>
      <c r="V147" s="25"/>
      <c r="W147" s="25"/>
      <c r="X147" s="1022"/>
      <c r="Z147" s="967"/>
      <c r="AB147" s="7" t="str">
        <f>IF(B141,D142&amp;".9",D142&amp;".7")</f>
        <v>7.7</v>
      </c>
      <c r="AC147" s="550" t="s">
        <v>1562</v>
      </c>
      <c r="AD147" s="7" t="s">
        <v>828</v>
      </c>
      <c r="AE147" s="778"/>
      <c r="AF147" s="778"/>
      <c r="AG147" s="778"/>
      <c r="AH147" s="171">
        <f t="shared" si="27"/>
        <v>0</v>
      </c>
      <c r="AI147" s="778"/>
      <c r="AJ147" s="128">
        <f ca="1">SUMIFS('Корректировка НВВ'!$AF$25:$AF$231,'Корректировка НВВ'!$F$25:$F$231,$F147,'Корректировка НВВ'!$I$25:$I$231,$G147)</f>
        <v>0</v>
      </c>
      <c r="AK147" s="778"/>
      <c r="AL147" s="778"/>
      <c r="AM147" s="778"/>
      <c r="AN147" s="778"/>
      <c r="AO147" s="778"/>
      <c r="AP147" s="778"/>
      <c r="AQ147" s="778"/>
      <c r="AR147" s="778"/>
      <c r="AS147" s="778"/>
      <c r="AT147" s="128">
        <f ca="1">SUMIFS('Корректировка НВВ'!$AG$25:$AG$231,'Корректировка НВВ'!$F$25:$F$231,$F147,'Корректировка НВВ'!$I$25:$I$231,$G147)</f>
        <v>0</v>
      </c>
      <c r="AU147" s="778"/>
      <c r="AV147" s="778"/>
      <c r="AW147" s="778"/>
      <c r="AX147" s="778"/>
      <c r="AY147" s="778"/>
      <c r="AZ147" s="778"/>
      <c r="BA147" s="778"/>
      <c r="BB147" s="778"/>
      <c r="BC147" s="778"/>
      <c r="BD147" s="542"/>
      <c r="BE147" s="542"/>
      <c r="BF147" s="542"/>
      <c r="BG147" s="542"/>
      <c r="BH147" s="542"/>
      <c r="BI147" s="542"/>
      <c r="BJ147" s="542"/>
      <c r="BK147" s="542"/>
      <c r="BL147" s="542"/>
      <c r="BM147" s="542"/>
      <c r="BN147" s="775"/>
      <c r="BO147" s="779" t="str">
        <f ca="1">IF(IFERROR(INDEX('Корректировка НВВ'!$K$26:$L$231,MATCH($F147&amp;"10komm",'Корректировка НВВ'!$K$26:$K$231,0),2),"")=0,"",IFERROR(INDEX('Корректировка НВВ'!$K$26:$L$231,MATCH($F147&amp;"10komm",'Корректировка НВВ'!$K$26:$K$231,0),2),""))</f>
        <v/>
      </c>
      <c r="BP147" s="775"/>
      <c r="BS147" s="696" t="s">
        <v>1563</v>
      </c>
    </row>
    <row r="148" spans="2:75" s="76" customFormat="1" ht="20.45" hidden="1" customHeight="1" x14ac:dyDescent="0.15">
      <c r="B148" s="332"/>
      <c r="C148" s="27"/>
      <c r="D148" s="27">
        <f>D147+1</f>
        <v>8</v>
      </c>
      <c r="E148" s="559">
        <v>21</v>
      </c>
      <c r="F148" s="3" cm="1">
        <f t="array" aca="1" ref="F148" ca="1">OFFSET(E148,-1,1)</f>
        <v>0</v>
      </c>
      <c r="G148" s="27"/>
      <c r="H148" s="27"/>
      <c r="I148" s="27" t="s">
        <v>609</v>
      </c>
      <c r="J148" s="27"/>
      <c r="K148" s="76" t="s">
        <v>609</v>
      </c>
      <c r="L148" s="27"/>
      <c r="M148" s="27"/>
      <c r="N148" s="27"/>
      <c r="O148" s="27"/>
      <c r="P148" s="27"/>
      <c r="Q148" s="27"/>
      <c r="R148" s="27"/>
      <c r="S148" s="27"/>
      <c r="T148" s="353" t="b" cm="1">
        <f t="array" aca="1" ref="T148" ca="1">T147</f>
        <v>0</v>
      </c>
      <c r="U148" s="27"/>
      <c r="V148" s="27"/>
      <c r="W148" s="27"/>
      <c r="X148" s="1022"/>
      <c r="Z148" s="967"/>
      <c r="AB148" s="124" cm="1">
        <f t="array" ref="AB148">D148</f>
        <v>8</v>
      </c>
      <c r="AC148" s="125" t="s">
        <v>2207</v>
      </c>
      <c r="AD148" s="124" t="s">
        <v>828</v>
      </c>
      <c r="AE148" s="774"/>
      <c r="AF148" s="774"/>
      <c r="AG148" s="774"/>
      <c r="AH148" s="126">
        <f t="shared" si="27"/>
        <v>0</v>
      </c>
      <c r="AI148" s="774"/>
      <c r="AJ148" s="138"/>
      <c r="AK148" s="774"/>
      <c r="AL148" s="774"/>
      <c r="AM148" s="774"/>
      <c r="AN148" s="774"/>
      <c r="AO148" s="774"/>
      <c r="AP148" s="774"/>
      <c r="AQ148" s="774"/>
      <c r="AR148" s="774"/>
      <c r="AS148" s="774"/>
      <c r="AT148" s="138"/>
      <c r="AU148" s="774"/>
      <c r="AV148" s="774"/>
      <c r="AW148" s="774"/>
      <c r="AX148" s="774"/>
      <c r="AY148" s="774"/>
      <c r="AZ148" s="774"/>
      <c r="BA148" s="774"/>
      <c r="BB148" s="774"/>
      <c r="BC148" s="774"/>
      <c r="BD148" s="129"/>
      <c r="BE148" s="129"/>
      <c r="BF148" s="129"/>
      <c r="BG148" s="129"/>
      <c r="BH148" s="129"/>
      <c r="BI148" s="129"/>
      <c r="BJ148" s="129"/>
      <c r="BK148" s="129"/>
      <c r="BL148" s="129"/>
      <c r="BM148" s="129"/>
      <c r="BN148" s="777"/>
      <c r="BO148" s="777"/>
      <c r="BP148" s="777"/>
      <c r="BS148" s="702" t="s">
        <v>2208</v>
      </c>
      <c r="BT148" s="702"/>
      <c r="BU148" s="702"/>
      <c r="BV148" s="511"/>
      <c r="BW148" s="511"/>
    </row>
    <row r="149" spans="2:75" ht="14.65" hidden="1" customHeight="1" x14ac:dyDescent="0.15">
      <c r="C149" s="25"/>
      <c r="D149" s="27" cm="1">
        <f t="array" ref="D149">D148</f>
        <v>8</v>
      </c>
      <c r="E149" s="451">
        <v>15</v>
      </c>
      <c r="F149" s="3" cm="1">
        <f t="array" aca="1" ref="F149" ca="1">OFFSET(E149,-1,1)</f>
        <v>0</v>
      </c>
      <c r="G149" s="25"/>
      <c r="H149" s="25"/>
      <c r="I149" s="25" t="s">
        <v>613</v>
      </c>
      <c r="J149" s="25"/>
      <c r="K149" s="72" t="s">
        <v>613</v>
      </c>
      <c r="L149" s="25"/>
      <c r="M149" s="25"/>
      <c r="N149" s="25"/>
      <c r="O149" s="25"/>
      <c r="P149" s="25"/>
      <c r="Q149" s="25"/>
      <c r="R149" s="25"/>
      <c r="S149" s="25"/>
      <c r="T149" s="353" t="b" cm="1">
        <f t="array" aca="1" ref="T149" ca="1">T148</f>
        <v>0</v>
      </c>
      <c r="U149" s="25"/>
      <c r="V149" s="25"/>
      <c r="W149" s="25"/>
      <c r="X149" s="1022"/>
      <c r="Z149" s="967"/>
      <c r="AB149" s="7" t="str">
        <f>D149&amp;".1"</f>
        <v>8.1</v>
      </c>
      <c r="AC149" s="127" t="s">
        <v>2209</v>
      </c>
      <c r="AD149" s="7" t="s">
        <v>476</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2"/>
      <c r="BE149" s="542"/>
      <c r="BF149" s="542"/>
      <c r="BG149" s="542"/>
      <c r="BH149" s="542"/>
      <c r="BI149" s="542"/>
      <c r="BJ149" s="542"/>
      <c r="BK149" s="542"/>
      <c r="BL149" s="542"/>
      <c r="BM149" s="542"/>
      <c r="BN149" s="775"/>
      <c r="BO149" s="775"/>
      <c r="BP149" s="775"/>
      <c r="BS149" s="696" t="s">
        <v>2210</v>
      </c>
    </row>
    <row r="150" spans="2:75" s="76" customFormat="1" ht="20.45" hidden="1" customHeight="1" x14ac:dyDescent="0.15">
      <c r="B150" s="332"/>
      <c r="C150" s="27"/>
      <c r="D150" s="27">
        <f>D149+1</f>
        <v>9</v>
      </c>
      <c r="E150" s="559">
        <v>21</v>
      </c>
      <c r="F150" s="3" cm="1">
        <f t="array" aca="1" ref="F150" ca="1">OFFSET(E150,-1,1)</f>
        <v>0</v>
      </c>
      <c r="G150" s="27"/>
      <c r="H150" s="25"/>
      <c r="I150" s="25" t="s">
        <v>767</v>
      </c>
      <c r="J150" s="27"/>
      <c r="K150" s="72" t="s">
        <v>767</v>
      </c>
      <c r="L150" s="27" t="s">
        <v>1872</v>
      </c>
      <c r="M150" s="27"/>
      <c r="N150" s="27"/>
      <c r="O150" s="27"/>
      <c r="P150" s="27"/>
      <c r="Q150" s="27"/>
      <c r="R150" s="27"/>
      <c r="S150" s="27"/>
      <c r="T150" s="353" t="b" cm="1">
        <f t="array" aca="1" ref="T150" ca="1">T149</f>
        <v>0</v>
      </c>
      <c r="U150" s="27"/>
      <c r="V150" s="27"/>
      <c r="W150" s="27"/>
      <c r="X150" s="1022"/>
      <c r="Z150" s="967"/>
      <c r="AB150" s="124" cm="1">
        <f t="array" ref="AB150">D150</f>
        <v>9</v>
      </c>
      <c r="AC150" s="125" t="s">
        <v>1874</v>
      </c>
      <c r="AD150" s="147" t="s">
        <v>828</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5"/>
      <c r="BO150" s="775"/>
      <c r="BP150" s="775"/>
      <c r="BS150" s="702" t="s">
        <v>1875</v>
      </c>
      <c r="BT150" s="702"/>
      <c r="BU150" s="702"/>
      <c r="BV150" s="511"/>
      <c r="BW150" s="511"/>
    </row>
    <row r="151" spans="2:75" s="76" customFormat="1" ht="20.45" hidden="1" customHeight="1" x14ac:dyDescent="0.15">
      <c r="B151" s="332"/>
      <c r="C151" s="27"/>
      <c r="D151" s="27">
        <f>D150+1</f>
        <v>10</v>
      </c>
      <c r="E151" s="559">
        <v>21</v>
      </c>
      <c r="F151" s="3" cm="1">
        <f t="array" aca="1" ref="F151" ca="1">OFFSET(E151,-1,1)</f>
        <v>0</v>
      </c>
      <c r="G151" s="27"/>
      <c r="H151" s="25"/>
      <c r="I151" s="25" t="s">
        <v>1884</v>
      </c>
      <c r="J151" s="27"/>
      <c r="K151" s="72" t="s">
        <v>1884</v>
      </c>
      <c r="L151" s="27"/>
      <c r="M151" s="27"/>
      <c r="N151" s="27"/>
      <c r="O151" s="27"/>
      <c r="P151" s="27"/>
      <c r="Q151" s="27"/>
      <c r="R151" s="27"/>
      <c r="S151" s="27"/>
      <c r="T151" s="353" t="b" cm="1">
        <f t="array" aca="1" ref="T151" ca="1">T150</f>
        <v>0</v>
      </c>
      <c r="U151" s="27"/>
      <c r="V151" s="27"/>
      <c r="W151" s="27"/>
      <c r="X151" s="1022"/>
      <c r="Z151" s="967"/>
      <c r="AB151" s="124" cm="1">
        <f t="array" ref="AB151">D151</f>
        <v>10</v>
      </c>
      <c r="AC151" s="125" t="s">
        <v>2211</v>
      </c>
      <c r="AD151" s="124" t="s">
        <v>828</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5"/>
      <c r="BO151" s="775"/>
      <c r="BP151" s="775"/>
      <c r="BS151" s="702" t="s">
        <v>2212</v>
      </c>
      <c r="BT151" s="702"/>
      <c r="BU151" s="702"/>
      <c r="BV151" s="511"/>
      <c r="BW151" s="511"/>
    </row>
    <row r="152" spans="2:75" ht="14.65" hidden="1" customHeight="1" x14ac:dyDescent="0.25">
      <c r="B152" s="341" t="b">
        <f>A27="двухставочный"</f>
        <v>0</v>
      </c>
      <c r="C152" s="25"/>
      <c r="D152" s="25" cm="1">
        <f t="array" ref="D152">D151</f>
        <v>10</v>
      </c>
      <c r="E152" s="451">
        <v>15</v>
      </c>
      <c r="F152" s="3" cm="1">
        <f t="array" aca="1" ref="F152" ca="1">OFFSET(E152,-1,1)</f>
        <v>0</v>
      </c>
      <c r="G152" s="25"/>
      <c r="H152" s="571"/>
      <c r="I152" s="571" t="s">
        <v>1888</v>
      </c>
      <c r="J152" s="25"/>
      <c r="K152" s="278" t="s">
        <v>1888</v>
      </c>
      <c r="L152" s="25" t="s">
        <v>1876</v>
      </c>
      <c r="M152" s="25"/>
      <c r="N152" s="25"/>
      <c r="O152" s="25"/>
      <c r="P152" s="25"/>
      <c r="Q152" s="25"/>
      <c r="R152" s="25"/>
      <c r="S152" s="25"/>
      <c r="T152" s="353" t="b" cm="1">
        <f t="array" aca="1" ref="T152" ca="1">T151</f>
        <v>0</v>
      </c>
      <c r="U152" s="25"/>
      <c r="V152" s="25"/>
      <c r="W152" s="25"/>
      <c r="X152" s="1022"/>
      <c r="Z152" s="967"/>
      <c r="AB152" s="7" t="str">
        <f>D152&amp;".1"</f>
        <v>10.1</v>
      </c>
      <c r="AC152" s="550" t="s">
        <v>1878</v>
      </c>
      <c r="AD152" s="7" t="s">
        <v>828</v>
      </c>
      <c r="AE152" s="778"/>
      <c r="AF152" s="778"/>
      <c r="AG152" s="778"/>
      <c r="AH152" s="171">
        <f t="shared" ref="AH152:AH158" si="35">AG152-AF152</f>
        <v>0</v>
      </c>
      <c r="AI152" s="778"/>
      <c r="AJ152" s="128"/>
      <c r="AK152" s="778"/>
      <c r="AL152" s="778"/>
      <c r="AM152" s="778"/>
      <c r="AN152" s="778"/>
      <c r="AO152" s="778"/>
      <c r="AP152" s="778"/>
      <c r="AQ152" s="778"/>
      <c r="AR152" s="778"/>
      <c r="AS152" s="778"/>
      <c r="AT152" s="128"/>
      <c r="AU152" s="778"/>
      <c r="AV152" s="778"/>
      <c r="AW152" s="778"/>
      <c r="AX152" s="778"/>
      <c r="AY152" s="778"/>
      <c r="AZ152" s="778"/>
      <c r="BA152" s="778"/>
      <c r="BB152" s="778"/>
      <c r="BC152" s="778"/>
      <c r="BD152" s="542"/>
      <c r="BE152" s="542"/>
      <c r="BF152" s="542"/>
      <c r="BG152" s="542"/>
      <c r="BH152" s="542"/>
      <c r="BI152" s="542"/>
      <c r="BJ152" s="542"/>
      <c r="BK152" s="542"/>
      <c r="BL152" s="542"/>
      <c r="BM152" s="542"/>
      <c r="BN152" s="775"/>
      <c r="BO152" s="775"/>
      <c r="BP152" s="775"/>
      <c r="BS152" s="694" t="s">
        <v>1879</v>
      </c>
    </row>
    <row r="153" spans="2:75" ht="14.65" hidden="1" customHeight="1" x14ac:dyDescent="0.25">
      <c r="B153" s="341" t="b">
        <f>A27="двухставочный"</f>
        <v>0</v>
      </c>
      <c r="C153" s="25"/>
      <c r="D153" s="25" cm="1">
        <f t="array" ref="D153">D152</f>
        <v>10</v>
      </c>
      <c r="E153" s="451">
        <v>15</v>
      </c>
      <c r="F153" s="3" cm="1">
        <f t="array" aca="1" ref="F153" ca="1">OFFSET(E153,-1,1)</f>
        <v>0</v>
      </c>
      <c r="G153" s="25"/>
      <c r="H153" s="571"/>
      <c r="I153" s="571" t="s">
        <v>1892</v>
      </c>
      <c r="J153" s="25"/>
      <c r="K153" s="278" t="s">
        <v>1892</v>
      </c>
      <c r="L153" s="25" t="s">
        <v>1880</v>
      </c>
      <c r="M153" s="25"/>
      <c r="N153" s="25"/>
      <c r="O153" s="25"/>
      <c r="P153" s="25"/>
      <c r="Q153" s="25"/>
      <c r="R153" s="25"/>
      <c r="S153" s="25"/>
      <c r="T153" s="353" t="b" cm="1">
        <f t="array" aca="1" ref="T153" ca="1">T152</f>
        <v>0</v>
      </c>
      <c r="U153" s="25"/>
      <c r="V153" s="25"/>
      <c r="W153" s="25"/>
      <c r="X153" s="1022"/>
      <c r="Z153" s="967"/>
      <c r="AB153" s="7" t="str">
        <f>D153&amp;".2"</f>
        <v>10.2</v>
      </c>
      <c r="AC153" s="550" t="s">
        <v>1882</v>
      </c>
      <c r="AD153" s="7" t="s">
        <v>828</v>
      </c>
      <c r="AE153" s="778"/>
      <c r="AF153" s="778"/>
      <c r="AG153" s="778"/>
      <c r="AH153" s="171">
        <f t="shared" si="35"/>
        <v>0</v>
      </c>
      <c r="AI153" s="778"/>
      <c r="AJ153" s="128"/>
      <c r="AK153" s="778"/>
      <c r="AL153" s="778"/>
      <c r="AM153" s="778"/>
      <c r="AN153" s="778"/>
      <c r="AO153" s="778"/>
      <c r="AP153" s="778"/>
      <c r="AQ153" s="778"/>
      <c r="AR153" s="778"/>
      <c r="AS153" s="778"/>
      <c r="AT153" s="128"/>
      <c r="AU153" s="778"/>
      <c r="AV153" s="778"/>
      <c r="AW153" s="778"/>
      <c r="AX153" s="778"/>
      <c r="AY153" s="778"/>
      <c r="AZ153" s="778"/>
      <c r="BA153" s="778"/>
      <c r="BB153" s="778"/>
      <c r="BC153" s="778"/>
      <c r="BD153" s="542"/>
      <c r="BE153" s="542"/>
      <c r="BF153" s="542"/>
      <c r="BG153" s="542"/>
      <c r="BH153" s="542"/>
      <c r="BI153" s="542"/>
      <c r="BJ153" s="542"/>
      <c r="BK153" s="542"/>
      <c r="BL153" s="542"/>
      <c r="BM153" s="542"/>
      <c r="BN153" s="775"/>
      <c r="BO153" s="775"/>
      <c r="BP153" s="775"/>
      <c r="BS153" s="694" t="s">
        <v>1883</v>
      </c>
    </row>
    <row r="154" spans="2:75" s="76" customFormat="1" ht="20.45" hidden="1" customHeight="1" x14ac:dyDescent="0.25">
      <c r="B154" s="332"/>
      <c r="C154" s="27"/>
      <c r="D154" s="27">
        <f>D153+1</f>
        <v>11</v>
      </c>
      <c r="E154" s="559">
        <v>21</v>
      </c>
      <c r="F154" s="3" cm="1">
        <f t="array" aca="1" ref="F154" ca="1">OFFSET(E154,-1,1)</f>
        <v>0</v>
      </c>
      <c r="G154" s="25" t="s">
        <v>1653</v>
      </c>
      <c r="H154" s="25"/>
      <c r="I154" s="25" t="s">
        <v>1912</v>
      </c>
      <c r="J154" s="27"/>
      <c r="K154" s="72" t="s">
        <v>1912</v>
      </c>
      <c r="L154" s="27" t="s">
        <v>1884</v>
      </c>
      <c r="M154" s="27"/>
      <c r="N154" s="27"/>
      <c r="O154" s="27"/>
      <c r="P154" s="27"/>
      <c r="Q154" s="27"/>
      <c r="R154" s="27"/>
      <c r="S154" s="27"/>
      <c r="T154" s="353" t="b" cm="1">
        <f t="array" aca="1" ref="T154" ca="1">T153</f>
        <v>0</v>
      </c>
      <c r="U154" s="27"/>
      <c r="V154" s="27"/>
      <c r="W154" s="27"/>
      <c r="X154" s="1022"/>
      <c r="Z154" s="967"/>
      <c r="AB154" s="124" cm="1">
        <f t="array" ref="AB154">D154</f>
        <v>11</v>
      </c>
      <c r="AC154" s="125" t="s">
        <v>1886</v>
      </c>
      <c r="AD154" s="124" t="s">
        <v>558</v>
      </c>
      <c r="AE154" s="552">
        <f ca="1">SUMIFS(Баланс!AE$26:AE$391,Баланс!$F$26:$F$391,$F154,Баланс!$G$26:$G$391,"ПО")</f>
        <v>0</v>
      </c>
      <c r="AF154" s="552">
        <f ca="1">SUMIFS(Баланс!AF$26:AF$391,Баланс!$F$26:$F$391,$F154,Баланс!$G$26:$G$391,"ПО")</f>
        <v>0</v>
      </c>
      <c r="AG154" s="552">
        <f ca="1">SUMIFS(Баланс!AG$26:AG$391,Баланс!$F$26:$F$391,$F154,Баланс!$G$26:$G$391,"ПО")</f>
        <v>0</v>
      </c>
      <c r="AH154" s="552">
        <f t="shared" ca="1" si="35"/>
        <v>0</v>
      </c>
      <c r="AI154" s="552">
        <f ca="1">SUMIFS(Баланс!AH$26:AH$391,Баланс!$F$26:$F$391,$F154,Баланс!$G$26:$G$391,"ПО")</f>
        <v>0</v>
      </c>
      <c r="AJ154" s="552">
        <f ca="1">SUMIFS(Баланс!AI$26:AI$391,Баланс!$F$26:$F$391,$F154,Баланс!$G$26:$G$391,"ПО")</f>
        <v>0</v>
      </c>
      <c r="AK154" s="552">
        <f ca="1">SUMIFS(Баланс!AJ$26:AJ$391,Баланс!$F$26:$F$391,$F154,Баланс!$G$26:$G$391,"ПО")</f>
        <v>0</v>
      </c>
      <c r="AL154" s="552">
        <f ca="1">SUMIFS(Баланс!AK$26:AK$391,Баланс!$F$26:$F$391,$F154,Баланс!$G$26:$G$391,"ПО")</f>
        <v>0</v>
      </c>
      <c r="AM154" s="552">
        <f ca="1">SUMIFS(Баланс!AL$26:AL$391,Баланс!$F$26:$F$391,$F154,Баланс!$G$26:$G$391,"ПО")</f>
        <v>0</v>
      </c>
      <c r="AN154" s="552">
        <f ca="1">SUMIFS(Баланс!AM$26:AM$391,Баланс!$F$26:$F$391,$F154,Баланс!$G$26:$G$391,"ПО")</f>
        <v>0</v>
      </c>
      <c r="AO154" s="552">
        <f ca="1">SUMIFS(Баланс!AN$26:AN$391,Баланс!$F$26:$F$391,$F154,Баланс!$G$26:$G$391,"ПО")</f>
        <v>0</v>
      </c>
      <c r="AP154" s="552">
        <f ca="1">SUMIFS(Баланс!AO$26:AO$391,Баланс!$F$26:$F$391,$F154,Баланс!$G$26:$G$391,"ПО")</f>
        <v>0</v>
      </c>
      <c r="AQ154" s="552">
        <f ca="1">SUMIFS(Баланс!AP$26:AP$391,Баланс!$F$26:$F$391,$F154,Баланс!$G$26:$G$391,"ПО")</f>
        <v>0</v>
      </c>
      <c r="AR154" s="552">
        <f ca="1">SUMIFS(Баланс!AQ$26:AQ$391,Баланс!$F$26:$F$391,$F154,Баланс!$G$26:$G$391,"ПО")</f>
        <v>0</v>
      </c>
      <c r="AS154" s="552">
        <f ca="1">SUMIFS(Баланс!AR$26:AR$391,Баланс!$F$26:$F$391,$F154,Баланс!$G$26:$G$391,"ПО")</f>
        <v>0</v>
      </c>
      <c r="AT154" s="552">
        <f ca="1">SUMIFS(Баланс!AS$26:AS$391,Баланс!$F$26:$F$391,$F154,Баланс!$G$26:$G$391,"ПО")</f>
        <v>0</v>
      </c>
      <c r="AU154" s="552">
        <f ca="1">SUMIFS(Баланс!AT$26:AT$391,Баланс!$F$26:$F$391,$F154,Баланс!$G$26:$G$391,"ПО")</f>
        <v>0</v>
      </c>
      <c r="AV154" s="552">
        <f ca="1">SUMIFS(Баланс!AU$26:AU$391,Баланс!$F$26:$F$391,$F154,Баланс!$G$26:$G$391,"ПО")</f>
        <v>0</v>
      </c>
      <c r="AW154" s="552">
        <f ca="1">SUMIFS(Баланс!AV$26:AV$391,Баланс!$F$26:$F$391,$F154,Баланс!$G$26:$G$391,"ПО")</f>
        <v>0</v>
      </c>
      <c r="AX154" s="552">
        <f ca="1">SUMIFS(Баланс!AW$26:AW$391,Баланс!$F$26:$F$391,$F154,Баланс!$G$26:$G$391,"ПО")</f>
        <v>0</v>
      </c>
      <c r="AY154" s="552">
        <f ca="1">SUMIFS(Баланс!AX$26:AX$391,Баланс!$F$26:$F$391,$F154,Баланс!$G$26:$G$391,"ПО")</f>
        <v>0</v>
      </c>
      <c r="AZ154" s="552">
        <f ca="1">SUMIFS(Баланс!AY$26:AY$391,Баланс!$F$26:$F$391,$F154,Баланс!$G$26:$G$391,"ПО")</f>
        <v>0</v>
      </c>
      <c r="BA154" s="552">
        <f ca="1">SUMIFS(Баланс!AZ$26:AZ$391,Баланс!$F$26:$F$391,$F154,Баланс!$G$26:$G$391,"ПО")</f>
        <v>0</v>
      </c>
      <c r="BB154" s="552">
        <f ca="1">SUMIFS(Баланс!BA$26:BA$391,Баланс!$F$26:$F$391,$F154,Баланс!$G$26:$G$391,"ПО")</f>
        <v>0</v>
      </c>
      <c r="BC154" s="552">
        <f ca="1">SUMIFS(Баланс!BB$26:BB$391,Баланс!$F$26:$F$391,$F154,Баланс!$G$26:$G$391,"ПО")</f>
        <v>0</v>
      </c>
      <c r="BD154" s="129"/>
      <c r="BE154" s="129"/>
      <c r="BF154" s="129"/>
      <c r="BG154" s="129"/>
      <c r="BH154" s="129"/>
      <c r="BI154" s="129"/>
      <c r="BJ154" s="129"/>
      <c r="BK154" s="129"/>
      <c r="BL154" s="129"/>
      <c r="BM154" s="129"/>
      <c r="BN154" s="775"/>
      <c r="BO154" s="775"/>
      <c r="BP154" s="775"/>
      <c r="BS154" s="695" t="s">
        <v>1887</v>
      </c>
      <c r="BT154" s="702"/>
      <c r="BU154" s="702"/>
      <c r="BV154" s="511"/>
      <c r="BW154" s="511"/>
    </row>
    <row r="155" spans="2:75" ht="14.65" hidden="1" customHeight="1" x14ac:dyDescent="0.25">
      <c r="C155" s="25"/>
      <c r="D155" s="25" cm="1">
        <f t="array" ref="D155">D154</f>
        <v>11</v>
      </c>
      <c r="E155" s="451">
        <v>15</v>
      </c>
      <c r="F155" s="3" cm="1">
        <f t="array" aca="1" ref="F155" ca="1">OFFSET(E155,-1,1)</f>
        <v>0</v>
      </c>
      <c r="G155" s="25" t="s">
        <v>1680</v>
      </c>
      <c r="H155" s="25"/>
      <c r="I155" s="25" t="s">
        <v>2213</v>
      </c>
      <c r="J155" s="25"/>
      <c r="K155" s="72" t="s">
        <v>2213</v>
      </c>
      <c r="L155" s="25" t="s">
        <v>1888</v>
      </c>
      <c r="M155" s="25"/>
      <c r="N155" s="25"/>
      <c r="O155" s="25"/>
      <c r="P155" s="25"/>
      <c r="Q155" s="25"/>
      <c r="R155" s="25"/>
      <c r="S155" s="25"/>
      <c r="T155" s="353" t="b" cm="1">
        <f t="array" aca="1" ref="T155" ca="1">T154</f>
        <v>0</v>
      </c>
      <c r="U155" s="25"/>
      <c r="V155" s="25"/>
      <c r="W155" s="25"/>
      <c r="X155" s="1022"/>
      <c r="Z155" s="967"/>
      <c r="AB155" s="7" t="str">
        <f>D155&amp;".1"</f>
        <v>11.1</v>
      </c>
      <c r="AC155" s="127" t="s">
        <v>1890</v>
      </c>
      <c r="AD155" s="7" t="s">
        <v>558</v>
      </c>
      <c r="AE155" s="776">
        <f ca="1">AE154/2</f>
        <v>0</v>
      </c>
      <c r="AF155" s="776">
        <f ca="1">AF154/2</f>
        <v>0</v>
      </c>
      <c r="AG155" s="776">
        <f ca="1">AG154/2</f>
        <v>0</v>
      </c>
      <c r="AH155" s="558">
        <f t="shared" ca="1" si="35"/>
        <v>0</v>
      </c>
      <c r="AI155" s="776">
        <f ca="1">AI154/2</f>
        <v>0</v>
      </c>
      <c r="AJ155" s="444">
        <f ca="1">IF(god=2026,AJ154/12*9,AJ154/2)</f>
        <v>0</v>
      </c>
      <c r="AK155" s="776">
        <f ca="1">IF(god=2025,AK154/12*9,AK154/2)</f>
        <v>0</v>
      </c>
      <c r="AL155" s="776">
        <f t="shared" ref="AL155:AS155" ca="1" si="36">AL154/2</f>
        <v>0</v>
      </c>
      <c r="AM155" s="776">
        <f t="shared" ca="1" si="36"/>
        <v>0</v>
      </c>
      <c r="AN155" s="776">
        <f t="shared" ca="1" si="36"/>
        <v>0</v>
      </c>
      <c r="AO155" s="776">
        <f t="shared" ca="1" si="36"/>
        <v>0</v>
      </c>
      <c r="AP155" s="776">
        <f t="shared" ca="1" si="36"/>
        <v>0</v>
      </c>
      <c r="AQ155" s="776">
        <f t="shared" ca="1" si="36"/>
        <v>0</v>
      </c>
      <c r="AR155" s="776">
        <f t="shared" ca="1" si="36"/>
        <v>0</v>
      </c>
      <c r="AS155" s="776">
        <f t="shared" ca="1" si="36"/>
        <v>0</v>
      </c>
      <c r="AT155" s="444">
        <f ca="1">IF(god=2026,AT154/12*9,AT154/2)</f>
        <v>0</v>
      </c>
      <c r="AU155" s="776">
        <f ca="1">IF(god=2025,AU154/12*9,AU154/2)</f>
        <v>0</v>
      </c>
      <c r="AV155" s="776">
        <f t="shared" ref="AV155:BC155" ca="1" si="37">AV154/2</f>
        <v>0</v>
      </c>
      <c r="AW155" s="776">
        <f t="shared" ca="1" si="37"/>
        <v>0</v>
      </c>
      <c r="AX155" s="776">
        <f t="shared" ca="1" si="37"/>
        <v>0</v>
      </c>
      <c r="AY155" s="776">
        <f t="shared" ca="1" si="37"/>
        <v>0</v>
      </c>
      <c r="AZ155" s="776">
        <f t="shared" ca="1" si="37"/>
        <v>0</v>
      </c>
      <c r="BA155" s="776">
        <f t="shared" ca="1" si="37"/>
        <v>0</v>
      </c>
      <c r="BB155" s="776">
        <f t="shared" ca="1" si="37"/>
        <v>0</v>
      </c>
      <c r="BC155" s="776">
        <f t="shared" ca="1" si="37"/>
        <v>0</v>
      </c>
      <c r="BD155" s="542"/>
      <c r="BE155" s="542"/>
      <c r="BF155" s="542"/>
      <c r="BG155" s="542"/>
      <c r="BH155" s="542"/>
      <c r="BI155" s="542"/>
      <c r="BJ155" s="542"/>
      <c r="BK155" s="542"/>
      <c r="BL155" s="542"/>
      <c r="BM155" s="542"/>
      <c r="BN155" s="775"/>
      <c r="BO155" s="775"/>
      <c r="BP155" s="775"/>
      <c r="BS155" s="694" t="s">
        <v>1891</v>
      </c>
    </row>
    <row r="156" spans="2:75" ht="14.65" hidden="1" customHeight="1" x14ac:dyDescent="0.25">
      <c r="C156" s="25"/>
      <c r="D156" s="25" cm="1">
        <f t="array" ref="D156">D155</f>
        <v>11</v>
      </c>
      <c r="E156" s="451">
        <v>15</v>
      </c>
      <c r="F156" s="3" cm="1">
        <f t="array" aca="1" ref="F156" ca="1">OFFSET(E156,-1,1)</f>
        <v>0</v>
      </c>
      <c r="G156" s="25" t="s">
        <v>1641</v>
      </c>
      <c r="H156" s="25"/>
      <c r="I156" s="25" t="s">
        <v>2214</v>
      </c>
      <c r="J156" s="25"/>
      <c r="K156" s="72" t="s">
        <v>2214</v>
      </c>
      <c r="L156" s="25" t="s">
        <v>1892</v>
      </c>
      <c r="M156" s="25"/>
      <c r="N156" s="25"/>
      <c r="O156" s="25"/>
      <c r="P156" s="25"/>
      <c r="Q156" s="25"/>
      <c r="R156" s="25"/>
      <c r="S156" s="25"/>
      <c r="T156" s="353" t="b" cm="1">
        <f t="array" aca="1" ref="T156" ca="1">T155</f>
        <v>0</v>
      </c>
      <c r="U156" s="25"/>
      <c r="V156" s="25"/>
      <c r="W156" s="25"/>
      <c r="X156" s="1022"/>
      <c r="Z156" s="967"/>
      <c r="AB156" s="7" t="str">
        <f>D156&amp;".2"</f>
        <v>11.2</v>
      </c>
      <c r="AC156" s="127" t="s">
        <v>1894</v>
      </c>
      <c r="AD156" s="7" t="s">
        <v>1644</v>
      </c>
      <c r="AE156" s="778"/>
      <c r="AF156" s="778"/>
      <c r="AG156" s="778"/>
      <c r="AH156" s="171">
        <f t="shared" si="35"/>
        <v>0</v>
      </c>
      <c r="AI156" s="778"/>
      <c r="AJ156" s="128"/>
      <c r="AK156" s="778"/>
      <c r="AL156" s="778"/>
      <c r="AM156" s="778"/>
      <c r="AN156" s="778"/>
      <c r="AO156" s="778"/>
      <c r="AP156" s="778"/>
      <c r="AQ156" s="778"/>
      <c r="AR156" s="778"/>
      <c r="AS156" s="778"/>
      <c r="AT156" s="128"/>
      <c r="AU156" s="778" cm="1">
        <f t="array" aca="1" ref="AU156" ca="1">AT158</f>
        <v>0</v>
      </c>
      <c r="AV156" s="778" cm="1">
        <f t="array" aca="1" ref="AV156" ca="1">AU158</f>
        <v>0</v>
      </c>
      <c r="AW156" s="778" cm="1">
        <f t="array" aca="1" ref="AW156" ca="1">AV158</f>
        <v>0</v>
      </c>
      <c r="AX156" s="778" cm="1">
        <f t="array" aca="1" ref="AX156" ca="1">AW158</f>
        <v>0</v>
      </c>
      <c r="AY156" s="778" cm="1">
        <f t="array" aca="1" ref="AY156" ca="1">AX158</f>
        <v>0</v>
      </c>
      <c r="AZ156" s="778" cm="1">
        <f t="array" aca="1" ref="AZ156" ca="1">AY158</f>
        <v>0</v>
      </c>
      <c r="BA156" s="778" cm="1">
        <f t="array" aca="1" ref="BA156" ca="1">AZ158</f>
        <v>0</v>
      </c>
      <c r="BB156" s="778" cm="1">
        <f t="array" aca="1" ref="BB156" ca="1">BA158</f>
        <v>0</v>
      </c>
      <c r="BC156" s="778" cm="1">
        <f t="array" aca="1" ref="BC156" ca="1">BB158</f>
        <v>0</v>
      </c>
      <c r="BD156" s="542"/>
      <c r="BE156" s="542"/>
      <c r="BF156" s="542"/>
      <c r="BG156" s="542"/>
      <c r="BH156" s="542"/>
      <c r="BI156" s="542"/>
      <c r="BJ156" s="542"/>
      <c r="BK156" s="542"/>
      <c r="BL156" s="542"/>
      <c r="BM156" s="542"/>
      <c r="BN156" s="775"/>
      <c r="BO156" s="775"/>
      <c r="BP156" s="775"/>
      <c r="BS156" s="694" t="s">
        <v>1895</v>
      </c>
    </row>
    <row r="157" spans="2:75" ht="14.65" hidden="1" customHeight="1" x14ac:dyDescent="0.25">
      <c r="C157" s="25"/>
      <c r="D157" s="25" cm="1">
        <f t="array" ref="D157">D156</f>
        <v>11</v>
      </c>
      <c r="E157" s="451">
        <v>15</v>
      </c>
      <c r="F157" s="3" cm="1">
        <f t="array" aca="1" ref="F157" ca="1">OFFSET(E157,-1,1)</f>
        <v>0</v>
      </c>
      <c r="G157" s="25" t="s">
        <v>1693</v>
      </c>
      <c r="H157" s="25"/>
      <c r="I157" s="25" t="s">
        <v>2215</v>
      </c>
      <c r="J157" s="25"/>
      <c r="K157" s="72" t="s">
        <v>2215</v>
      </c>
      <c r="L157" s="25" t="s">
        <v>1896</v>
      </c>
      <c r="M157" s="25"/>
      <c r="N157" s="25"/>
      <c r="O157" s="25"/>
      <c r="P157" s="25"/>
      <c r="Q157" s="25"/>
      <c r="R157" s="25"/>
      <c r="S157" s="25"/>
      <c r="T157" s="353" t="b" cm="1">
        <f t="array" aca="1" ref="T157" ca="1">T156</f>
        <v>0</v>
      </c>
      <c r="U157" s="25"/>
      <c r="V157" s="25"/>
      <c r="W157" s="25"/>
      <c r="X157" s="1022"/>
      <c r="Z157" s="967"/>
      <c r="AB157" s="7" t="str">
        <f>D157&amp;".3"</f>
        <v>11.3</v>
      </c>
      <c r="AC157" s="127" t="s">
        <v>2216</v>
      </c>
      <c r="AD157" s="7" t="s">
        <v>558</v>
      </c>
      <c r="AE157" s="558">
        <f ca="1">AE154-AE155</f>
        <v>0</v>
      </c>
      <c r="AF157" s="558">
        <f ca="1">AF154-AF155</f>
        <v>0</v>
      </c>
      <c r="AG157" s="558">
        <f ca="1">AG154-AG155</f>
        <v>0</v>
      </c>
      <c r="AH157" s="558">
        <f t="shared" ca="1" si="35"/>
        <v>0</v>
      </c>
      <c r="AI157" s="558">
        <f t="shared" ref="AI157:BC157" ca="1" si="38">AI154-AI155</f>
        <v>0</v>
      </c>
      <c r="AJ157" s="558">
        <f t="shared" ca="1" si="38"/>
        <v>0</v>
      </c>
      <c r="AK157" s="558">
        <f t="shared" ca="1" si="38"/>
        <v>0</v>
      </c>
      <c r="AL157" s="558">
        <f t="shared" ca="1" si="38"/>
        <v>0</v>
      </c>
      <c r="AM157" s="558">
        <f t="shared" ca="1" si="38"/>
        <v>0</v>
      </c>
      <c r="AN157" s="558">
        <f t="shared" ca="1" si="38"/>
        <v>0</v>
      </c>
      <c r="AO157" s="558">
        <f t="shared" ca="1" si="38"/>
        <v>0</v>
      </c>
      <c r="AP157" s="558">
        <f t="shared" ca="1" si="38"/>
        <v>0</v>
      </c>
      <c r="AQ157" s="558">
        <f t="shared" ca="1" si="38"/>
        <v>0</v>
      </c>
      <c r="AR157" s="558">
        <f t="shared" ca="1" si="38"/>
        <v>0</v>
      </c>
      <c r="AS157" s="558">
        <f t="shared" ca="1" si="38"/>
        <v>0</v>
      </c>
      <c r="AT157" s="558">
        <f t="shared" ca="1" si="38"/>
        <v>0</v>
      </c>
      <c r="AU157" s="558">
        <f t="shared" ca="1" si="38"/>
        <v>0</v>
      </c>
      <c r="AV157" s="558">
        <f t="shared" ca="1" si="38"/>
        <v>0</v>
      </c>
      <c r="AW157" s="558">
        <f t="shared" ca="1" si="38"/>
        <v>0</v>
      </c>
      <c r="AX157" s="558">
        <f t="shared" ca="1" si="38"/>
        <v>0</v>
      </c>
      <c r="AY157" s="558">
        <f t="shared" ca="1" si="38"/>
        <v>0</v>
      </c>
      <c r="AZ157" s="558">
        <f t="shared" ca="1" si="38"/>
        <v>0</v>
      </c>
      <c r="BA157" s="558">
        <f t="shared" ca="1" si="38"/>
        <v>0</v>
      </c>
      <c r="BB157" s="558">
        <f t="shared" ca="1" si="38"/>
        <v>0</v>
      </c>
      <c r="BC157" s="558">
        <f t="shared" ca="1" si="38"/>
        <v>0</v>
      </c>
      <c r="BD157" s="542"/>
      <c r="BE157" s="542"/>
      <c r="BF157" s="542"/>
      <c r="BG157" s="542"/>
      <c r="BH157" s="542"/>
      <c r="BI157" s="542"/>
      <c r="BJ157" s="542"/>
      <c r="BK157" s="542"/>
      <c r="BL157" s="542"/>
      <c r="BM157" s="542"/>
      <c r="BN157" s="775"/>
      <c r="BO157" s="775"/>
      <c r="BP157" s="775"/>
      <c r="BS157" s="694" t="s">
        <v>1899</v>
      </c>
    </row>
    <row r="158" spans="2:75" ht="14.65" hidden="1" customHeight="1" x14ac:dyDescent="0.25">
      <c r="C158" s="25"/>
      <c r="D158" s="25" cm="1">
        <f t="array" ref="D158">D157</f>
        <v>11</v>
      </c>
      <c r="E158" s="451">
        <v>15</v>
      </c>
      <c r="F158" s="3" cm="1">
        <f t="array" aca="1" ref="F158" ca="1">OFFSET(E158,-1,1)</f>
        <v>0</v>
      </c>
      <c r="G158" s="25" t="s">
        <v>1646</v>
      </c>
      <c r="H158" s="25"/>
      <c r="I158" s="25" t="s">
        <v>2217</v>
      </c>
      <c r="J158" s="25"/>
      <c r="K158" s="72" t="s">
        <v>2217</v>
      </c>
      <c r="L158" s="25" t="s">
        <v>1900</v>
      </c>
      <c r="M158" s="25"/>
      <c r="N158" s="25"/>
      <c r="O158" s="25"/>
      <c r="P158" s="25"/>
      <c r="Q158" s="25"/>
      <c r="R158" s="25"/>
      <c r="S158" s="25"/>
      <c r="T158" s="353" t="b" cm="1">
        <f t="array" aca="1" ref="T158" ca="1">T157</f>
        <v>0</v>
      </c>
      <c r="U158" s="25"/>
      <c r="V158" s="25"/>
      <c r="W158" s="25"/>
      <c r="X158" s="1022"/>
      <c r="Z158" s="967"/>
      <c r="AB158" s="7" t="str">
        <f>D158&amp;".4"</f>
        <v>11.4</v>
      </c>
      <c r="AC158" s="127" t="s">
        <v>1902</v>
      </c>
      <c r="AD158" s="7" t="s">
        <v>1644</v>
      </c>
      <c r="AE158" s="778">
        <f ca="1">IF(AE157=0,0,(AE151-AE155*AE156)/AE157)</f>
        <v>0</v>
      </c>
      <c r="AF158" s="778">
        <f ca="1">IF(AF157=0,0,(AF151-AF155*AF156)/AF157)</f>
        <v>0</v>
      </c>
      <c r="AG158" s="778">
        <f ca="1">IF(AG157=0,0,(AG151-AG155*AG156)/AG157)</f>
        <v>0</v>
      </c>
      <c r="AH158" s="171">
        <f t="shared" ca="1" si="35"/>
        <v>0</v>
      </c>
      <c r="AI158" s="778">
        <f t="shared" ref="AI158:BC158" ca="1" si="39">IF(AI157=0,0,(AI151-AI155*AI156)/AI157)</f>
        <v>0</v>
      </c>
      <c r="AJ158" s="128">
        <f t="shared" ca="1" si="39"/>
        <v>0</v>
      </c>
      <c r="AK158" s="778">
        <f t="shared" ca="1" si="39"/>
        <v>0</v>
      </c>
      <c r="AL158" s="778">
        <f t="shared" ca="1" si="39"/>
        <v>0</v>
      </c>
      <c r="AM158" s="778">
        <f t="shared" ca="1" si="39"/>
        <v>0</v>
      </c>
      <c r="AN158" s="778">
        <f t="shared" ca="1" si="39"/>
        <v>0</v>
      </c>
      <c r="AO158" s="778">
        <f t="shared" ca="1" si="39"/>
        <v>0</v>
      </c>
      <c r="AP158" s="778">
        <f t="shared" ca="1" si="39"/>
        <v>0</v>
      </c>
      <c r="AQ158" s="778">
        <f t="shared" ca="1" si="39"/>
        <v>0</v>
      </c>
      <c r="AR158" s="778">
        <f t="shared" ca="1" si="39"/>
        <v>0</v>
      </c>
      <c r="AS158" s="778">
        <f t="shared" ca="1" si="39"/>
        <v>0</v>
      </c>
      <c r="AT158" s="128">
        <f t="shared" ca="1" si="39"/>
        <v>0</v>
      </c>
      <c r="AU158" s="778">
        <f t="shared" ca="1" si="39"/>
        <v>0</v>
      </c>
      <c r="AV158" s="778">
        <f t="shared" ca="1" si="39"/>
        <v>0</v>
      </c>
      <c r="AW158" s="778">
        <f t="shared" ca="1" si="39"/>
        <v>0</v>
      </c>
      <c r="AX158" s="778">
        <f t="shared" ca="1" si="39"/>
        <v>0</v>
      </c>
      <c r="AY158" s="778">
        <f t="shared" ca="1" si="39"/>
        <v>0</v>
      </c>
      <c r="AZ158" s="778">
        <f t="shared" ca="1" si="39"/>
        <v>0</v>
      </c>
      <c r="BA158" s="778">
        <f t="shared" ca="1" si="39"/>
        <v>0</v>
      </c>
      <c r="BB158" s="778">
        <f t="shared" ca="1" si="39"/>
        <v>0</v>
      </c>
      <c r="BC158" s="778">
        <f t="shared" ca="1" si="39"/>
        <v>0</v>
      </c>
      <c r="BD158" s="542"/>
      <c r="BE158" s="542"/>
      <c r="BF158" s="542"/>
      <c r="BG158" s="542"/>
      <c r="BH158" s="542"/>
      <c r="BI158" s="542"/>
      <c r="BJ158" s="542"/>
      <c r="BK158" s="542"/>
      <c r="BL158" s="542"/>
      <c r="BM158" s="542"/>
      <c r="BN158" s="775"/>
      <c r="BO158" s="775"/>
      <c r="BP158" s="775"/>
      <c r="BS158" s="694" t="s">
        <v>1903</v>
      </c>
    </row>
    <row r="159" spans="2:75" ht="14.65" hidden="1" customHeight="1" x14ac:dyDescent="0.25">
      <c r="C159" s="25"/>
      <c r="D159" s="25" cm="1">
        <f t="array" ref="D159">D158</f>
        <v>11</v>
      </c>
      <c r="E159" s="451">
        <v>15</v>
      </c>
      <c r="F159" s="3" cm="1">
        <f t="array" aca="1" ref="F159" ca="1">OFFSET(E159,-1,1)</f>
        <v>0</v>
      </c>
      <c r="G159" s="25"/>
      <c r="H159" s="25"/>
      <c r="I159" s="25" t="s">
        <v>2218</v>
      </c>
      <c r="J159" s="25"/>
      <c r="K159" s="72" t="s">
        <v>2218</v>
      </c>
      <c r="L159" s="25" t="s">
        <v>1904</v>
      </c>
      <c r="M159" s="25"/>
      <c r="N159" s="25"/>
      <c r="O159" s="25"/>
      <c r="P159" s="25"/>
      <c r="Q159" s="25"/>
      <c r="R159" s="25"/>
      <c r="S159" s="25"/>
      <c r="T159" s="353" t="b" cm="1">
        <f t="array" aca="1" ref="T159" ca="1">T158</f>
        <v>0</v>
      </c>
      <c r="U159" s="25"/>
      <c r="V159" s="25"/>
      <c r="W159" s="25"/>
      <c r="X159" s="1022"/>
      <c r="Z159" s="967"/>
      <c r="AB159" s="7" t="str">
        <f>D159&amp;".5"</f>
        <v>11.5</v>
      </c>
      <c r="AC159" s="127" t="s">
        <v>1906</v>
      </c>
      <c r="AD159" s="7" t="s">
        <v>476</v>
      </c>
      <c r="AE159" s="171">
        <f>IF(AE156=0,0,AE158/AE156*100)</f>
        <v>0</v>
      </c>
      <c r="AF159" s="171">
        <f>IF(AF156=0,0,AF158/AF156*100)</f>
        <v>0</v>
      </c>
      <c r="AG159" s="171">
        <f>IF(AG156=0,0,AG158/AG156*100)</f>
        <v>0</v>
      </c>
      <c r="AH159" s="542"/>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2"/>
      <c r="BE159" s="542"/>
      <c r="BF159" s="542"/>
      <c r="BG159" s="542"/>
      <c r="BH159" s="542"/>
      <c r="BI159" s="542"/>
      <c r="BJ159" s="542"/>
      <c r="BK159" s="542"/>
      <c r="BL159" s="542"/>
      <c r="BM159" s="542"/>
      <c r="BN159" s="775"/>
      <c r="BO159" s="775"/>
      <c r="BP159" s="775"/>
      <c r="BS159" s="694" t="s">
        <v>1907</v>
      </c>
    </row>
    <row r="160" spans="2:75" ht="14.65" hidden="1" customHeight="1" x14ac:dyDescent="0.25">
      <c r="C160" s="25"/>
      <c r="D160" s="25" cm="1">
        <f t="array" ref="D160">D159</f>
        <v>11</v>
      </c>
      <c r="E160" s="451">
        <v>15</v>
      </c>
      <c r="F160" s="3" cm="1">
        <f t="array" aca="1" ref="F160" ca="1">OFFSET(E160,-1,1)</f>
        <v>0</v>
      </c>
      <c r="G160" s="25"/>
      <c r="H160" s="25"/>
      <c r="I160" s="25" t="s">
        <v>2219</v>
      </c>
      <c r="J160" s="25"/>
      <c r="K160" s="72" t="s">
        <v>2219</v>
      </c>
      <c r="L160" s="25" t="s">
        <v>1908</v>
      </c>
      <c r="M160" s="25"/>
      <c r="N160" s="25"/>
      <c r="O160" s="25"/>
      <c r="P160" s="25"/>
      <c r="Q160" s="25"/>
      <c r="R160" s="25"/>
      <c r="S160" s="25"/>
      <c r="T160" s="353" t="b" cm="1">
        <f t="array" aca="1" ref="T160" ca="1">T159</f>
        <v>0</v>
      </c>
      <c r="U160" s="25"/>
      <c r="V160" s="25"/>
      <c r="W160" s="25"/>
      <c r="X160" s="1022"/>
      <c r="Z160" s="967"/>
      <c r="AB160" s="7" t="str">
        <f>D160&amp;".6"</f>
        <v>11.6</v>
      </c>
      <c r="AC160" s="127" t="s">
        <v>1910</v>
      </c>
      <c r="AD160" s="7" t="s">
        <v>1644</v>
      </c>
      <c r="AE160" s="778">
        <f ca="1">IF(AE154=0,0,AE151/AE154)</f>
        <v>0</v>
      </c>
      <c r="AF160" s="778">
        <f ca="1">IF(AF154=0,0,AF151/AF154)</f>
        <v>0</v>
      </c>
      <c r="AG160" s="778">
        <f ca="1">IF(AG154=0,0,AG151/AG154)</f>
        <v>0</v>
      </c>
      <c r="AH160" s="171">
        <f ca="1">AG160-AF160</f>
        <v>0</v>
      </c>
      <c r="AI160" s="778">
        <f t="shared" ref="AI160:BC160" ca="1" si="41">IF(AI154=0,0,AI151/AI154)</f>
        <v>0</v>
      </c>
      <c r="AJ160" s="128">
        <f t="shared" ca="1" si="41"/>
        <v>0</v>
      </c>
      <c r="AK160" s="778">
        <f t="shared" ca="1" si="41"/>
        <v>0</v>
      </c>
      <c r="AL160" s="778">
        <f t="shared" ca="1" si="41"/>
        <v>0</v>
      </c>
      <c r="AM160" s="778">
        <f t="shared" ca="1" si="41"/>
        <v>0</v>
      </c>
      <c r="AN160" s="778">
        <f t="shared" ca="1" si="41"/>
        <v>0</v>
      </c>
      <c r="AO160" s="778">
        <f t="shared" ca="1" si="41"/>
        <v>0</v>
      </c>
      <c r="AP160" s="778">
        <f t="shared" ca="1" si="41"/>
        <v>0</v>
      </c>
      <c r="AQ160" s="778">
        <f t="shared" ca="1" si="41"/>
        <v>0</v>
      </c>
      <c r="AR160" s="778">
        <f t="shared" ca="1" si="41"/>
        <v>0</v>
      </c>
      <c r="AS160" s="778">
        <f t="shared" ca="1" si="41"/>
        <v>0</v>
      </c>
      <c r="AT160" s="128">
        <f t="shared" ca="1" si="41"/>
        <v>0</v>
      </c>
      <c r="AU160" s="778">
        <f t="shared" ca="1" si="41"/>
        <v>0</v>
      </c>
      <c r="AV160" s="778">
        <f t="shared" ca="1" si="41"/>
        <v>0</v>
      </c>
      <c r="AW160" s="778">
        <f t="shared" ca="1" si="41"/>
        <v>0</v>
      </c>
      <c r="AX160" s="778">
        <f t="shared" ca="1" si="41"/>
        <v>0</v>
      </c>
      <c r="AY160" s="778">
        <f t="shared" ca="1" si="41"/>
        <v>0</v>
      </c>
      <c r="AZ160" s="778">
        <f t="shared" ca="1" si="41"/>
        <v>0</v>
      </c>
      <c r="BA160" s="778">
        <f t="shared" ca="1" si="41"/>
        <v>0</v>
      </c>
      <c r="BB160" s="778">
        <f t="shared" ca="1" si="41"/>
        <v>0</v>
      </c>
      <c r="BC160" s="778">
        <f t="shared" ca="1" si="41"/>
        <v>0</v>
      </c>
      <c r="BD160" s="542"/>
      <c r="BE160" s="542"/>
      <c r="BF160" s="542"/>
      <c r="BG160" s="542"/>
      <c r="BH160" s="542"/>
      <c r="BI160" s="542"/>
      <c r="BJ160" s="542"/>
      <c r="BK160" s="542"/>
      <c r="BL160" s="542"/>
      <c r="BM160" s="542"/>
      <c r="BN160" s="775"/>
      <c r="BO160" s="775"/>
      <c r="BP160" s="775"/>
      <c r="BS160" s="694" t="s">
        <v>1911</v>
      </c>
    </row>
    <row r="161" spans="1:75" s="76" customFormat="1" ht="20.45" hidden="1" customHeight="1" x14ac:dyDescent="0.25">
      <c r="B161" s="332"/>
      <c r="C161" s="27"/>
      <c r="D161" s="27">
        <f>D160+1</f>
        <v>12</v>
      </c>
      <c r="E161" s="559">
        <v>21</v>
      </c>
      <c r="F161" s="3" cm="1">
        <f t="array" aca="1" ref="F161" ca="1">OFFSET(E161,-1,1)</f>
        <v>0</v>
      </c>
      <c r="G161" s="27"/>
      <c r="H161" s="25"/>
      <c r="I161" s="25" t="s">
        <v>1916</v>
      </c>
      <c r="J161" s="27"/>
      <c r="K161" s="72" t="s">
        <v>1916</v>
      </c>
      <c r="L161" s="27" t="s">
        <v>1912</v>
      </c>
      <c r="M161" s="27"/>
      <c r="N161" s="27"/>
      <c r="O161" s="27"/>
      <c r="P161" s="27"/>
      <c r="Q161" s="27"/>
      <c r="R161" s="27"/>
      <c r="S161" s="27"/>
      <c r="T161" s="353" t="b" cm="1">
        <f t="array" aca="1" ref="T161" ca="1">T160</f>
        <v>0</v>
      </c>
      <c r="U161" s="27"/>
      <c r="V161" s="27"/>
      <c r="W161" s="27"/>
      <c r="X161" s="1022"/>
      <c r="Z161" s="967"/>
      <c r="AB161" s="124" cm="1">
        <f t="array" ref="AB161">D161</f>
        <v>12</v>
      </c>
      <c r="AC161" s="125" t="s">
        <v>1914</v>
      </c>
      <c r="AD161" s="124" t="s">
        <v>828</v>
      </c>
      <c r="AE161" s="774">
        <f ca="1">IF(AE154=0,0,AE151/AE154*AE162)</f>
        <v>0</v>
      </c>
      <c r="AF161" s="774">
        <f ca="1">IF(AF154=0,0,AF151/AF154*AF162)</f>
        <v>0</v>
      </c>
      <c r="AG161" s="774">
        <f ca="1">IF(AG154=0,0,AG151/AG154*AG162)</f>
        <v>0</v>
      </c>
      <c r="AH161" s="126">
        <f ca="1">AH163*AH164+AH165*AH166</f>
        <v>0</v>
      </c>
      <c r="AI161" s="774">
        <f t="shared" ref="AI161:BC161" ca="1" si="42">IF(AI154=0,0,AI151/AI154*AI162)</f>
        <v>0</v>
      </c>
      <c r="AJ161" s="138">
        <f t="shared" ca="1" si="42"/>
        <v>0</v>
      </c>
      <c r="AK161" s="774">
        <f t="shared" ca="1" si="42"/>
        <v>0</v>
      </c>
      <c r="AL161" s="774">
        <f t="shared" ca="1" si="42"/>
        <v>0</v>
      </c>
      <c r="AM161" s="774">
        <f t="shared" ca="1" si="42"/>
        <v>0</v>
      </c>
      <c r="AN161" s="774">
        <f t="shared" ca="1" si="42"/>
        <v>0</v>
      </c>
      <c r="AO161" s="774">
        <f t="shared" ca="1" si="42"/>
        <v>0</v>
      </c>
      <c r="AP161" s="774">
        <f t="shared" ca="1" si="42"/>
        <v>0</v>
      </c>
      <c r="AQ161" s="774">
        <f t="shared" ca="1" si="42"/>
        <v>0</v>
      </c>
      <c r="AR161" s="774">
        <f t="shared" ca="1" si="42"/>
        <v>0</v>
      </c>
      <c r="AS161" s="774">
        <f t="shared" ca="1" si="42"/>
        <v>0</v>
      </c>
      <c r="AT161" s="138">
        <f t="shared" ca="1" si="42"/>
        <v>0</v>
      </c>
      <c r="AU161" s="774">
        <f t="shared" ca="1" si="42"/>
        <v>0</v>
      </c>
      <c r="AV161" s="774">
        <f t="shared" ca="1" si="42"/>
        <v>0</v>
      </c>
      <c r="AW161" s="774">
        <f t="shared" ca="1" si="42"/>
        <v>0</v>
      </c>
      <c r="AX161" s="774">
        <f t="shared" ca="1" si="42"/>
        <v>0</v>
      </c>
      <c r="AY161" s="774">
        <f t="shared" ca="1" si="42"/>
        <v>0</v>
      </c>
      <c r="AZ161" s="774">
        <f t="shared" ca="1" si="42"/>
        <v>0</v>
      </c>
      <c r="BA161" s="774">
        <f t="shared" ca="1" si="42"/>
        <v>0</v>
      </c>
      <c r="BB161" s="774">
        <f t="shared" ca="1" si="42"/>
        <v>0</v>
      </c>
      <c r="BC161" s="774">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5"/>
      <c r="BO161" s="775"/>
      <c r="BP161" s="775"/>
      <c r="BS161" s="695" t="s">
        <v>1915</v>
      </c>
      <c r="BT161" s="702"/>
      <c r="BU161" s="702"/>
      <c r="BV161" s="511"/>
      <c r="BW161" s="511"/>
    </row>
    <row r="162" spans="1:75" s="76" customFormat="1" ht="20.45" hidden="1" customHeight="1" x14ac:dyDescent="0.25">
      <c r="B162" s="332"/>
      <c r="C162" s="27"/>
      <c r="D162" s="27">
        <f>D161+1</f>
        <v>13</v>
      </c>
      <c r="E162" s="559">
        <v>21</v>
      </c>
      <c r="F162" s="3" cm="1">
        <f t="array" aca="1" ref="F162" ca="1">OFFSET(E162,-1,1)</f>
        <v>0</v>
      </c>
      <c r="G162" s="25" t="s">
        <v>1666</v>
      </c>
      <c r="H162" s="25"/>
      <c r="I162" s="25" t="s">
        <v>2220</v>
      </c>
      <c r="J162" s="27"/>
      <c r="K162" s="72" t="s">
        <v>2220</v>
      </c>
      <c r="L162" s="27" t="s">
        <v>1916</v>
      </c>
      <c r="M162" s="27"/>
      <c r="N162" s="27"/>
      <c r="O162" s="27"/>
      <c r="P162" s="27"/>
      <c r="Q162" s="27"/>
      <c r="R162" s="27"/>
      <c r="S162" s="27"/>
      <c r="T162" s="353" t="b" cm="1">
        <f t="array" aca="1" ref="T162" ca="1">T161</f>
        <v>0</v>
      </c>
      <c r="U162" s="27"/>
      <c r="V162" s="27"/>
      <c r="W162" s="27"/>
      <c r="X162" s="1022"/>
      <c r="Z162" s="967"/>
      <c r="AB162" s="124" cm="1">
        <f t="array" ref="AB162">D162</f>
        <v>13</v>
      </c>
      <c r="AC162" s="125" t="s">
        <v>1918</v>
      </c>
      <c r="AD162" s="124" t="s">
        <v>558</v>
      </c>
      <c r="AE162" s="552">
        <f ca="1">SUMIFS(Баланс!AE$26:AE$391,Баланс!$F$26:$F$391,$F162,Баланс!$G$26:$G$391,"население")</f>
        <v>0</v>
      </c>
      <c r="AF162" s="552">
        <f ca="1">SUMIFS(Баланс!AF$26:AF$391,Баланс!$F$26:$F$391,$F162,Баланс!$G$26:$G$391,"население")</f>
        <v>0</v>
      </c>
      <c r="AG162" s="552">
        <f ca="1">SUMIFS(Баланс!AG$26:AG$391,Баланс!$F$26:$F$391,$F162,Баланс!$G$26:$G$391,"население")</f>
        <v>0</v>
      </c>
      <c r="AH162" s="552">
        <f t="shared" ref="AH162:AH170" ca="1" si="44">AG162-AF162</f>
        <v>0</v>
      </c>
      <c r="AI162" s="552">
        <f ca="1">SUMIFS(Баланс!AH$26:AH$391,Баланс!$F$26:$F$391,$F162,Баланс!$G$26:$G$391,"население")</f>
        <v>0</v>
      </c>
      <c r="AJ162" s="552">
        <f ca="1">SUMIFS(Баланс!AI$26:AI$391,Баланс!$F$26:$F$391,$F162,Баланс!$G$26:$G$391,"население")</f>
        <v>0</v>
      </c>
      <c r="AK162" s="552">
        <f ca="1">SUMIFS(Баланс!AJ$26:AJ$391,Баланс!$F$26:$F$391,$F162,Баланс!$G$26:$G$391,"население")</f>
        <v>0</v>
      </c>
      <c r="AL162" s="552">
        <f ca="1">SUMIFS(Баланс!AK$26:AK$391,Баланс!$F$26:$F$391,$F162,Баланс!$G$26:$G$391,"население")</f>
        <v>0</v>
      </c>
      <c r="AM162" s="552">
        <f ca="1">SUMIFS(Баланс!AL$26:AL$391,Баланс!$F$26:$F$391,$F162,Баланс!$G$26:$G$391,"население")</f>
        <v>0</v>
      </c>
      <c r="AN162" s="552">
        <f ca="1">SUMIFS(Баланс!AM$26:AM$391,Баланс!$F$26:$F$391,$F162,Баланс!$G$26:$G$391,"население")</f>
        <v>0</v>
      </c>
      <c r="AO162" s="552">
        <f ca="1">SUMIFS(Баланс!AN$26:AN$391,Баланс!$F$26:$F$391,$F162,Баланс!$G$26:$G$391,"население")</f>
        <v>0</v>
      </c>
      <c r="AP162" s="552">
        <f ca="1">SUMIFS(Баланс!AO$26:AO$391,Баланс!$F$26:$F$391,$F162,Баланс!$G$26:$G$391,"население")</f>
        <v>0</v>
      </c>
      <c r="AQ162" s="552">
        <f ca="1">SUMIFS(Баланс!AP$26:AP$391,Баланс!$F$26:$F$391,$F162,Баланс!$G$26:$G$391,"население")</f>
        <v>0</v>
      </c>
      <c r="AR162" s="552">
        <f ca="1">SUMIFS(Баланс!AQ$26:AQ$391,Баланс!$F$26:$F$391,$F162,Баланс!$G$26:$G$391,"население")</f>
        <v>0</v>
      </c>
      <c r="AS162" s="552">
        <f ca="1">SUMIFS(Баланс!AR$26:AR$391,Баланс!$F$26:$F$391,$F162,Баланс!$G$26:$G$391,"население")</f>
        <v>0</v>
      </c>
      <c r="AT162" s="552">
        <f ca="1">SUMIFS(Баланс!AS$26:AS$391,Баланс!$F$26:$F$391,$F162,Баланс!$G$26:$G$391,"население")</f>
        <v>0</v>
      </c>
      <c r="AU162" s="552">
        <f ca="1">SUMIFS(Баланс!AT$26:AT$391,Баланс!$F$26:$F$391,$F162,Баланс!$G$26:$G$391,"население")</f>
        <v>0</v>
      </c>
      <c r="AV162" s="552">
        <f ca="1">SUMIFS(Баланс!AU$26:AU$391,Баланс!$F$26:$F$391,$F162,Баланс!$G$26:$G$391,"население")</f>
        <v>0</v>
      </c>
      <c r="AW162" s="552">
        <f ca="1">SUMIFS(Баланс!AV$26:AV$391,Баланс!$F$26:$F$391,$F162,Баланс!$G$26:$G$391,"население")</f>
        <v>0</v>
      </c>
      <c r="AX162" s="552">
        <f ca="1">SUMIFS(Баланс!AW$26:AW$391,Баланс!$F$26:$F$391,$F162,Баланс!$G$26:$G$391,"население")</f>
        <v>0</v>
      </c>
      <c r="AY162" s="552">
        <f ca="1">SUMIFS(Баланс!AX$26:AX$391,Баланс!$F$26:$F$391,$F162,Баланс!$G$26:$G$391,"население")</f>
        <v>0</v>
      </c>
      <c r="AZ162" s="552">
        <f ca="1">SUMIFS(Баланс!AY$26:AY$391,Баланс!$F$26:$F$391,$F162,Баланс!$G$26:$G$391,"население")</f>
        <v>0</v>
      </c>
      <c r="BA162" s="552">
        <f ca="1">SUMIFS(Баланс!AZ$26:AZ$391,Баланс!$F$26:$F$391,$F162,Баланс!$G$26:$G$391,"население")</f>
        <v>0</v>
      </c>
      <c r="BB162" s="552">
        <f ca="1">SUMIFS(Баланс!BA$26:BA$391,Баланс!$F$26:$F$391,$F162,Баланс!$G$26:$G$391,"население")</f>
        <v>0</v>
      </c>
      <c r="BC162" s="552">
        <f ca="1">SUMIFS(Баланс!BB$26:BB$391,Баланс!$F$26:$F$391,$F162,Баланс!$G$26:$G$391,"население")</f>
        <v>0</v>
      </c>
      <c r="BD162" s="129"/>
      <c r="BE162" s="129"/>
      <c r="BF162" s="129"/>
      <c r="BG162" s="129"/>
      <c r="BH162" s="129"/>
      <c r="BI162" s="129"/>
      <c r="BJ162" s="129"/>
      <c r="BK162" s="129"/>
      <c r="BL162" s="129"/>
      <c r="BM162" s="129"/>
      <c r="BN162" s="775"/>
      <c r="BO162" s="775"/>
      <c r="BP162" s="775"/>
      <c r="BS162" s="695" t="s">
        <v>1919</v>
      </c>
      <c r="BT162" s="702"/>
      <c r="BU162" s="702"/>
      <c r="BV162" s="511"/>
      <c r="BW162" s="511"/>
    </row>
    <row r="163" spans="1:75" ht="14.65" hidden="1" customHeight="1" x14ac:dyDescent="0.25">
      <c r="C163" s="25"/>
      <c r="D163" s="25" cm="1">
        <f t="array" ref="D163">D162</f>
        <v>13</v>
      </c>
      <c r="E163" s="451">
        <v>15</v>
      </c>
      <c r="F163" s="3" cm="1">
        <f t="array" aca="1" ref="F163" ca="1">OFFSET(E163,-1,1)</f>
        <v>0</v>
      </c>
      <c r="G163" s="25" t="s">
        <v>1700</v>
      </c>
      <c r="H163" s="25"/>
      <c r="I163" s="25" t="s">
        <v>2221</v>
      </c>
      <c r="J163" s="25"/>
      <c r="K163" s="72" t="s">
        <v>2221</v>
      </c>
      <c r="L163" s="25" t="s">
        <v>1920</v>
      </c>
      <c r="M163" s="25"/>
      <c r="N163" s="25"/>
      <c r="O163" s="25"/>
      <c r="P163" s="25"/>
      <c r="Q163" s="25"/>
      <c r="R163" s="25"/>
      <c r="S163" s="25"/>
      <c r="T163" s="353" t="b" cm="1">
        <f t="array" aca="1" ref="T163" ca="1">T162</f>
        <v>0</v>
      </c>
      <c r="U163" s="25"/>
      <c r="V163" s="25"/>
      <c r="W163" s="25"/>
      <c r="X163" s="1022"/>
      <c r="Z163" s="967"/>
      <c r="AB163" s="7" t="str">
        <f>D163&amp;".1"</f>
        <v>13.1</v>
      </c>
      <c r="AC163" s="127" t="s">
        <v>1922</v>
      </c>
      <c r="AD163" s="7" t="s">
        <v>558</v>
      </c>
      <c r="AE163" s="776">
        <f ca="1">AE162/2</f>
        <v>0</v>
      </c>
      <c r="AF163" s="776">
        <f ca="1">AF162/2</f>
        <v>0</v>
      </c>
      <c r="AG163" s="776">
        <f ca="1">AG162/2</f>
        <v>0</v>
      </c>
      <c r="AH163" s="558">
        <f t="shared" ca="1" si="44"/>
        <v>0</v>
      </c>
      <c r="AI163" s="776">
        <f ca="1">AI162/2</f>
        <v>0</v>
      </c>
      <c r="AJ163" s="444">
        <f ca="1">IF(god=2026,AJ162/12*9,AJ162/2)</f>
        <v>0</v>
      </c>
      <c r="AK163" s="776">
        <f ca="1">IF(god=2025,AK162/12*9,AK162/2)</f>
        <v>0</v>
      </c>
      <c r="AL163" s="776">
        <f t="shared" ref="AL163:AS163" ca="1" si="45">AL162/2</f>
        <v>0</v>
      </c>
      <c r="AM163" s="776">
        <f t="shared" ca="1" si="45"/>
        <v>0</v>
      </c>
      <c r="AN163" s="776">
        <f t="shared" ca="1" si="45"/>
        <v>0</v>
      </c>
      <c r="AO163" s="776">
        <f t="shared" ca="1" si="45"/>
        <v>0</v>
      </c>
      <c r="AP163" s="776">
        <f t="shared" ca="1" si="45"/>
        <v>0</v>
      </c>
      <c r="AQ163" s="776">
        <f t="shared" ca="1" si="45"/>
        <v>0</v>
      </c>
      <c r="AR163" s="776">
        <f t="shared" ca="1" si="45"/>
        <v>0</v>
      </c>
      <c r="AS163" s="776">
        <f t="shared" ca="1" si="45"/>
        <v>0</v>
      </c>
      <c r="AT163" s="444">
        <f ca="1">IF(god=2026,AT162/12*9,AT162/2)</f>
        <v>0</v>
      </c>
      <c r="AU163" s="776">
        <f ca="1">IF(god=2025,AU162/12*9,AU162/2)</f>
        <v>0</v>
      </c>
      <c r="AV163" s="776">
        <f t="shared" ref="AV163:BC163" ca="1" si="46">AV162/2</f>
        <v>0</v>
      </c>
      <c r="AW163" s="776">
        <f t="shared" ca="1" si="46"/>
        <v>0</v>
      </c>
      <c r="AX163" s="776">
        <f t="shared" ca="1" si="46"/>
        <v>0</v>
      </c>
      <c r="AY163" s="776">
        <f t="shared" ca="1" si="46"/>
        <v>0</v>
      </c>
      <c r="AZ163" s="776">
        <f t="shared" ca="1" si="46"/>
        <v>0</v>
      </c>
      <c r="BA163" s="776">
        <f t="shared" ca="1" si="46"/>
        <v>0</v>
      </c>
      <c r="BB163" s="776">
        <f t="shared" ca="1" si="46"/>
        <v>0</v>
      </c>
      <c r="BC163" s="776">
        <f t="shared" ca="1" si="46"/>
        <v>0</v>
      </c>
      <c r="BD163" s="542"/>
      <c r="BE163" s="542"/>
      <c r="BF163" s="542"/>
      <c r="BG163" s="542"/>
      <c r="BH163" s="542"/>
      <c r="BI163" s="542"/>
      <c r="BJ163" s="542"/>
      <c r="BK163" s="542"/>
      <c r="BL163" s="542"/>
      <c r="BM163" s="542"/>
      <c r="BN163" s="775"/>
      <c r="BO163" s="775"/>
      <c r="BP163" s="775"/>
      <c r="BS163" s="694" t="s">
        <v>1923</v>
      </c>
    </row>
    <row r="164" spans="1:75" ht="14.65" hidden="1" customHeight="1" x14ac:dyDescent="0.25">
      <c r="C164" s="25"/>
      <c r="D164" s="25" cm="1">
        <f t="array" ref="D164">D163</f>
        <v>13</v>
      </c>
      <c r="E164" s="451">
        <v>15</v>
      </c>
      <c r="F164" s="3" cm="1">
        <f t="array" aca="1" ref="F164" ca="1">OFFSET(E164,-1,1)</f>
        <v>0</v>
      </c>
      <c r="G164" s="25" t="s">
        <v>1656</v>
      </c>
      <c r="H164" s="25"/>
      <c r="I164" s="25" t="s">
        <v>2222</v>
      </c>
      <c r="J164" s="25"/>
      <c r="K164" s="72" t="s">
        <v>2222</v>
      </c>
      <c r="L164" s="25" t="s">
        <v>1924</v>
      </c>
      <c r="M164" s="25"/>
      <c r="N164" s="25"/>
      <c r="O164" s="25"/>
      <c r="P164" s="25"/>
      <c r="Q164" s="25"/>
      <c r="R164" s="25"/>
      <c r="S164" s="25"/>
      <c r="T164" s="353" t="b" cm="1">
        <f t="array" aca="1" ref="T164" ca="1">T163</f>
        <v>0</v>
      </c>
      <c r="U164" s="25"/>
      <c r="V164" s="25"/>
      <c r="W164" s="25"/>
      <c r="X164" s="1022"/>
      <c r="Z164" s="967"/>
      <c r="AB164" s="7" t="str">
        <f>D164&amp;".2"</f>
        <v>13.2</v>
      </c>
      <c r="AC164" s="127" t="s">
        <v>1926</v>
      </c>
      <c r="AD164" s="7" t="s">
        <v>1644</v>
      </c>
      <c r="AE164" s="778">
        <f ca="1">IF(AE162=0,0,AE156*(1+Сценарии!AE$26))</f>
        <v>0</v>
      </c>
      <c r="AF164" s="778">
        <f ca="1">IF(AF162=0,0,AF156*(1+Сценарии!AF$26))</f>
        <v>0</v>
      </c>
      <c r="AG164" s="778">
        <f ca="1">IF(AG162=0,0,AG156*(1+Сценарии!AG$26))</f>
        <v>0</v>
      </c>
      <c r="AH164" s="171">
        <f t="shared" ca="1" si="44"/>
        <v>0</v>
      </c>
      <c r="AI164" s="778">
        <f ca="1">IF(AI162=0,0,AI156*(1+Сценарии!AI$26))</f>
        <v>0</v>
      </c>
      <c r="AJ164" s="128">
        <f ca="1">IF(AJ162=0,0,AJ156*(1+Сценарии!AJ$26))</f>
        <v>0</v>
      </c>
      <c r="AK164" s="778">
        <f ca="1">IF(AK162=0,0,AK156*(1+Сценарии!AO$26))</f>
        <v>0</v>
      </c>
      <c r="AL164" s="778">
        <f ca="1">IF(AL162=0,0,AL156*(1+Сценарии!AP$26))</f>
        <v>0</v>
      </c>
      <c r="AM164" s="778">
        <f ca="1">IF(AM162=0,0,AM156*(1+Сценарии!AQ$26))</f>
        <v>0</v>
      </c>
      <c r="AN164" s="778">
        <f ca="1">IF(AN162=0,0,AN156*(1+Сценарии!AR$26))</f>
        <v>0</v>
      </c>
      <c r="AO164" s="778">
        <f ca="1">IF(AO162=0,0,AO156*(1+Сценарии!AS$26))</f>
        <v>0</v>
      </c>
      <c r="AP164" s="778">
        <f ca="1">IF(AP162=0,0,AP156*(1+Сценарии!AT$26))</f>
        <v>0</v>
      </c>
      <c r="AQ164" s="778">
        <f ca="1">IF(AQ162=0,0,AQ156*(1+Сценарии!AU$26))</f>
        <v>0</v>
      </c>
      <c r="AR164" s="778">
        <f ca="1">IF(AR162=0,0,AR156*(1+Сценарии!AV$26))</f>
        <v>0</v>
      </c>
      <c r="AS164" s="778">
        <f ca="1">IF(AS162=0,0,AS156*(1+Сценарии!AW$26))</f>
        <v>0</v>
      </c>
      <c r="AT164" s="128">
        <f ca="1">IF(AT162=0,0,AT156*(1+Сценарии!AK$26))</f>
        <v>0</v>
      </c>
      <c r="AU164" s="778">
        <f ca="1">IF(AU162=0,0,AU156*(1+Сценарии!AX$26))</f>
        <v>0</v>
      </c>
      <c r="AV164" s="778">
        <f ca="1">IF(AV162=0,0,AV156*(1+Сценарии!AY$26))</f>
        <v>0</v>
      </c>
      <c r="AW164" s="778">
        <f ca="1">IF(AW162=0,0,AW156*(1+Сценарии!AZ$26))</f>
        <v>0</v>
      </c>
      <c r="AX164" s="778">
        <f ca="1">IF(AX162=0,0,AX156*(1+Сценарии!BA$26))</f>
        <v>0</v>
      </c>
      <c r="AY164" s="778">
        <f ca="1">IF(AY162=0,0,AY156*(1+Сценарии!BB$26))</f>
        <v>0</v>
      </c>
      <c r="AZ164" s="778">
        <f ca="1">IF(AZ162=0,0,AZ156*(1+Сценарии!BC$26))</f>
        <v>0</v>
      </c>
      <c r="BA164" s="778">
        <f ca="1">IF(BA162=0,0,BA156*(1+Сценарии!BD$26))</f>
        <v>0</v>
      </c>
      <c r="BB164" s="778">
        <f ca="1">IF(BB162=0,0,BB156*(1+Сценарии!BE$26))</f>
        <v>0</v>
      </c>
      <c r="BC164" s="778">
        <f ca="1">IF(BC162=0,0,BC156*(1+Сценарии!BF$26))</f>
        <v>0</v>
      </c>
      <c r="BD164" s="542"/>
      <c r="BE164" s="542"/>
      <c r="BF164" s="542"/>
      <c r="BG164" s="542"/>
      <c r="BH164" s="542"/>
      <c r="BI164" s="542"/>
      <c r="BJ164" s="542"/>
      <c r="BK164" s="542"/>
      <c r="BL164" s="542"/>
      <c r="BM164" s="542"/>
      <c r="BN164" s="775"/>
      <c r="BO164" s="775"/>
      <c r="BP164" s="775"/>
      <c r="BS164" s="694" t="s">
        <v>1927</v>
      </c>
    </row>
    <row r="165" spans="1:75" ht="14.65" hidden="1" customHeight="1" x14ac:dyDescent="0.25">
      <c r="C165" s="25"/>
      <c r="D165" s="25" cm="1">
        <f t="array" ref="D165">D164</f>
        <v>13</v>
      </c>
      <c r="E165" s="451">
        <v>15</v>
      </c>
      <c r="F165" s="3" cm="1">
        <f t="array" aca="1" ref="F165" ca="1">OFFSET(E165,-1,1)</f>
        <v>0</v>
      </c>
      <c r="G165" s="25" t="s">
        <v>1707</v>
      </c>
      <c r="H165" s="25"/>
      <c r="I165" s="25" t="s">
        <v>2223</v>
      </c>
      <c r="J165" s="25"/>
      <c r="K165" s="25" t="s">
        <v>2223</v>
      </c>
      <c r="L165" s="25" t="s">
        <v>1928</v>
      </c>
      <c r="M165" s="25"/>
      <c r="N165" s="25"/>
      <c r="O165" s="25"/>
      <c r="P165" s="25"/>
      <c r="Q165" s="25"/>
      <c r="R165" s="25"/>
      <c r="S165" s="25"/>
      <c r="T165" s="353" t="b" cm="1">
        <f t="array" aca="1" ref="T165" ca="1">T164</f>
        <v>0</v>
      </c>
      <c r="U165" s="25"/>
      <c r="V165" s="25"/>
      <c r="W165" s="25"/>
      <c r="X165" s="1022"/>
      <c r="Z165" s="967"/>
      <c r="AB165" s="7" t="str">
        <f>D165&amp;".3"</f>
        <v>13.3</v>
      </c>
      <c r="AC165" s="127" t="s">
        <v>1898</v>
      </c>
      <c r="AD165" s="7" t="s">
        <v>558</v>
      </c>
      <c r="AE165" s="558">
        <f ca="1">AE162-AE163</f>
        <v>0</v>
      </c>
      <c r="AF165" s="558">
        <f ca="1">AF162-AF163</f>
        <v>0</v>
      </c>
      <c r="AG165" s="558">
        <f ca="1">AG162-AG163</f>
        <v>0</v>
      </c>
      <c r="AH165" s="558">
        <f t="shared" ca="1" si="44"/>
        <v>0</v>
      </c>
      <c r="AI165" s="558">
        <f t="shared" ref="AI165:BC165" ca="1" si="47">AI162-AI163</f>
        <v>0</v>
      </c>
      <c r="AJ165" s="558">
        <f t="shared" ca="1" si="47"/>
        <v>0</v>
      </c>
      <c r="AK165" s="558">
        <f t="shared" ca="1" si="47"/>
        <v>0</v>
      </c>
      <c r="AL165" s="558">
        <f t="shared" ca="1" si="47"/>
        <v>0</v>
      </c>
      <c r="AM165" s="558">
        <f t="shared" ca="1" si="47"/>
        <v>0</v>
      </c>
      <c r="AN165" s="558">
        <f t="shared" ca="1" si="47"/>
        <v>0</v>
      </c>
      <c r="AO165" s="558">
        <f t="shared" ca="1" si="47"/>
        <v>0</v>
      </c>
      <c r="AP165" s="558">
        <f t="shared" ca="1" si="47"/>
        <v>0</v>
      </c>
      <c r="AQ165" s="558">
        <f t="shared" ca="1" si="47"/>
        <v>0</v>
      </c>
      <c r="AR165" s="558">
        <f t="shared" ca="1" si="47"/>
        <v>0</v>
      </c>
      <c r="AS165" s="558">
        <f t="shared" ca="1" si="47"/>
        <v>0</v>
      </c>
      <c r="AT165" s="558">
        <f t="shared" ca="1" si="47"/>
        <v>0</v>
      </c>
      <c r="AU165" s="558">
        <f t="shared" ca="1" si="47"/>
        <v>0</v>
      </c>
      <c r="AV165" s="558">
        <f t="shared" ca="1" si="47"/>
        <v>0</v>
      </c>
      <c r="AW165" s="558">
        <f t="shared" ca="1" si="47"/>
        <v>0</v>
      </c>
      <c r="AX165" s="558">
        <f t="shared" ca="1" si="47"/>
        <v>0</v>
      </c>
      <c r="AY165" s="558">
        <f t="shared" ca="1" si="47"/>
        <v>0</v>
      </c>
      <c r="AZ165" s="558">
        <f t="shared" ca="1" si="47"/>
        <v>0</v>
      </c>
      <c r="BA165" s="558">
        <f t="shared" ca="1" si="47"/>
        <v>0</v>
      </c>
      <c r="BB165" s="558">
        <f t="shared" ca="1" si="47"/>
        <v>0</v>
      </c>
      <c r="BC165" s="558">
        <f t="shared" ca="1" si="47"/>
        <v>0</v>
      </c>
      <c r="BD165" s="542"/>
      <c r="BE165" s="542"/>
      <c r="BF165" s="542"/>
      <c r="BG165" s="542"/>
      <c r="BH165" s="542"/>
      <c r="BI165" s="542"/>
      <c r="BJ165" s="542"/>
      <c r="BK165" s="542"/>
      <c r="BL165" s="542"/>
      <c r="BM165" s="542"/>
      <c r="BN165" s="775"/>
      <c r="BO165" s="775"/>
      <c r="BP165" s="775"/>
      <c r="BS165" s="694" t="s">
        <v>1930</v>
      </c>
    </row>
    <row r="166" spans="1:75" ht="14.65" hidden="1" customHeight="1" x14ac:dyDescent="0.25">
      <c r="C166" s="25"/>
      <c r="D166" s="25" cm="1">
        <f t="array" ref="D166">D165</f>
        <v>13</v>
      </c>
      <c r="E166" s="451">
        <v>15</v>
      </c>
      <c r="F166" s="3" cm="1">
        <f t="array" aca="1" ref="F166" ca="1">OFFSET(E166,-1,1)</f>
        <v>0</v>
      </c>
      <c r="G166" s="25" t="s">
        <v>1660</v>
      </c>
      <c r="H166" s="25"/>
      <c r="I166" s="25" t="s">
        <v>2224</v>
      </c>
      <c r="J166" s="25"/>
      <c r="K166" s="25" t="s">
        <v>2224</v>
      </c>
      <c r="L166" s="25" t="s">
        <v>1931</v>
      </c>
      <c r="M166" s="25"/>
      <c r="N166" s="25"/>
      <c r="O166" s="25"/>
      <c r="P166" s="25"/>
      <c r="Q166" s="25"/>
      <c r="R166" s="25"/>
      <c r="S166" s="25"/>
      <c r="T166" s="353" t="b" cm="1">
        <f t="array" aca="1" ref="T166" ca="1">T165</f>
        <v>0</v>
      </c>
      <c r="U166" s="25"/>
      <c r="V166" s="25"/>
      <c r="W166" s="25"/>
      <c r="X166" s="1022"/>
      <c r="Z166" s="967"/>
      <c r="AB166" s="7" t="str">
        <f>D166&amp;".4"</f>
        <v>13.4</v>
      </c>
      <c r="AC166" s="127" t="s">
        <v>1902</v>
      </c>
      <c r="AD166" s="7" t="s">
        <v>1644</v>
      </c>
      <c r="AE166" s="778">
        <f ca="1">IF(AE162=0,0,AE158*(1+Сценарии!AE$26))</f>
        <v>0</v>
      </c>
      <c r="AF166" s="778">
        <f ca="1">IF(AF162=0,0,AF158*(1+Сценарии!AF$26))</f>
        <v>0</v>
      </c>
      <c r="AG166" s="778">
        <f ca="1">IF(AG162=0,0,AG158*(1+Сценарии!AG$26))</f>
        <v>0</v>
      </c>
      <c r="AH166" s="171">
        <f t="shared" ca="1" si="44"/>
        <v>0</v>
      </c>
      <c r="AI166" s="778">
        <f ca="1">IF(AI162=0,0,AI158*(1+Сценарии!AI$26))</f>
        <v>0</v>
      </c>
      <c r="AJ166" s="128">
        <f ca="1">IF(AJ162=0,0,AJ158*(1+Сценарии!AJ$26))</f>
        <v>0</v>
      </c>
      <c r="AK166" s="778">
        <f ca="1">IF(AK162=0,0,AK158*(1+Сценарии!AO$26))</f>
        <v>0</v>
      </c>
      <c r="AL166" s="778">
        <f ca="1">IF(AL162=0,0,AL158*(1+Сценарии!AP$26))</f>
        <v>0</v>
      </c>
      <c r="AM166" s="778">
        <f ca="1">IF(AM162=0,0,AM158*(1+Сценарии!AQ$26))</f>
        <v>0</v>
      </c>
      <c r="AN166" s="778">
        <f ca="1">IF(AN162=0,0,AN158*(1+Сценарии!AR$26))</f>
        <v>0</v>
      </c>
      <c r="AO166" s="778">
        <f ca="1">IF(AO162=0,0,AO158*(1+Сценарии!AS$26))</f>
        <v>0</v>
      </c>
      <c r="AP166" s="778">
        <f ca="1">IF(AP162=0,0,AP158*(1+Сценарии!AT$26))</f>
        <v>0</v>
      </c>
      <c r="AQ166" s="778">
        <f ca="1">IF(AQ162=0,0,AQ158*(1+Сценарии!AU$26))</f>
        <v>0</v>
      </c>
      <c r="AR166" s="778">
        <f ca="1">IF(AR162=0,0,AR158*(1+Сценарии!AV$26))</f>
        <v>0</v>
      </c>
      <c r="AS166" s="778">
        <f ca="1">IF(AS162=0,0,AS158*(1+Сценарии!AW$26))</f>
        <v>0</v>
      </c>
      <c r="AT166" s="128">
        <f ca="1">IF(AT162=0,0,AT158*(1+Сценарии!AK$26))</f>
        <v>0</v>
      </c>
      <c r="AU166" s="778">
        <f ca="1">IF(AU162=0,0,AU158*(1+Сценарии!AX$26))</f>
        <v>0</v>
      </c>
      <c r="AV166" s="778">
        <f ca="1">IF(AV162=0,0,AV158*(1+Сценарии!AY$26))</f>
        <v>0</v>
      </c>
      <c r="AW166" s="778">
        <f ca="1">IF(AW162=0,0,AW158*(1+Сценарии!AZ$26))</f>
        <v>0</v>
      </c>
      <c r="AX166" s="778">
        <f ca="1">IF(AX162=0,0,AX158*(1+Сценарии!BA$26))</f>
        <v>0</v>
      </c>
      <c r="AY166" s="778">
        <f ca="1">IF(AY162=0,0,AY158*(1+Сценарии!BB$26))</f>
        <v>0</v>
      </c>
      <c r="AZ166" s="778">
        <f ca="1">IF(AZ162=0,0,AZ158*(1+Сценарии!BC$26))</f>
        <v>0</v>
      </c>
      <c r="BA166" s="778">
        <f ca="1">IF(BA162=0,0,BA158*(1+Сценарии!BD$26))</f>
        <v>0</v>
      </c>
      <c r="BB166" s="778">
        <f ca="1">IF(BB162=0,0,BB158*(1+Сценарии!BE$26))</f>
        <v>0</v>
      </c>
      <c r="BC166" s="778">
        <f ca="1">IF(BC162=0,0,BC158*(1+Сценарии!BF$26))</f>
        <v>0</v>
      </c>
      <c r="BD166" s="542"/>
      <c r="BE166" s="542"/>
      <c r="BF166" s="542"/>
      <c r="BG166" s="542"/>
      <c r="BH166" s="542"/>
      <c r="BI166" s="542"/>
      <c r="BJ166" s="542"/>
      <c r="BK166" s="542"/>
      <c r="BL166" s="542"/>
      <c r="BM166" s="542"/>
      <c r="BN166" s="775"/>
      <c r="BO166" s="775"/>
      <c r="BP166" s="775"/>
      <c r="BS166" s="694" t="s">
        <v>1934</v>
      </c>
    </row>
    <row r="167" spans="1:75" ht="14.65" hidden="1" customHeight="1" x14ac:dyDescent="0.2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22"/>
      <c r="Z167" s="967"/>
      <c r="AB167" s="124" cm="1">
        <f t="array" ref="AB167">D167</f>
        <v>14</v>
      </c>
      <c r="AC167" s="125" t="s">
        <v>1936</v>
      </c>
      <c r="AD167" s="124" t="s">
        <v>828</v>
      </c>
      <c r="AE167" s="778"/>
      <c r="AF167" s="778"/>
      <c r="AG167" s="778"/>
      <c r="AH167" s="171">
        <f t="shared" si="44"/>
        <v>0</v>
      </c>
      <c r="AI167" s="778"/>
      <c r="AJ167" s="128"/>
      <c r="AK167" s="778"/>
      <c r="AL167" s="778"/>
      <c r="AM167" s="778"/>
      <c r="AN167" s="778"/>
      <c r="AO167" s="778"/>
      <c r="AP167" s="778"/>
      <c r="AQ167" s="778"/>
      <c r="AR167" s="778"/>
      <c r="AS167" s="778"/>
      <c r="AT167" s="128"/>
      <c r="AU167" s="778"/>
      <c r="AV167" s="778"/>
      <c r="AW167" s="778"/>
      <c r="AX167" s="778"/>
      <c r="AY167" s="778"/>
      <c r="AZ167" s="778"/>
      <c r="BA167" s="778"/>
      <c r="BB167" s="778"/>
      <c r="BC167" s="778"/>
      <c r="BD167" s="542"/>
      <c r="BE167" s="542"/>
      <c r="BF167" s="542"/>
      <c r="BG167" s="542"/>
      <c r="BH167" s="542"/>
      <c r="BI167" s="542"/>
      <c r="BJ167" s="542"/>
      <c r="BK167" s="542"/>
      <c r="BL167" s="542"/>
      <c r="BM167" s="542"/>
      <c r="BN167" s="775"/>
      <c r="BO167" s="775"/>
      <c r="BP167" s="775"/>
      <c r="BS167" s="694" t="s">
        <v>1937</v>
      </c>
    </row>
    <row r="168" spans="1:75" s="376" customFormat="1" ht="20.45" hidden="1" customHeight="1" x14ac:dyDescent="0.25">
      <c r="B168" s="537"/>
      <c r="C168" s="25"/>
      <c r="D168" s="25" cm="1">
        <f t="array" ref="D168">D167</f>
        <v>14</v>
      </c>
      <c r="E168" s="451">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22"/>
      <c r="Z168" s="967"/>
      <c r="AB168" s="7" t="str">
        <f>D168&amp;".1"</f>
        <v>14.1</v>
      </c>
      <c r="AC168" s="127" t="s">
        <v>1939</v>
      </c>
      <c r="AD168" s="7" t="s">
        <v>828</v>
      </c>
      <c r="AE168" s="778"/>
      <c r="AF168" s="778"/>
      <c r="AG168" s="778"/>
      <c r="AH168" s="171">
        <f t="shared" si="44"/>
        <v>0</v>
      </c>
      <c r="AI168" s="778"/>
      <c r="AJ168" s="128"/>
      <c r="AK168" s="778"/>
      <c r="AL168" s="778"/>
      <c r="AM168" s="778"/>
      <c r="AN168" s="778"/>
      <c r="AO168" s="778"/>
      <c r="AP168" s="778"/>
      <c r="AQ168" s="778"/>
      <c r="AR168" s="778"/>
      <c r="AS168" s="778"/>
      <c r="AT168" s="128"/>
      <c r="AU168" s="778"/>
      <c r="AV168" s="778"/>
      <c r="AW168" s="778"/>
      <c r="AX168" s="778"/>
      <c r="AY168" s="778"/>
      <c r="AZ168" s="778"/>
      <c r="BA168" s="778"/>
      <c r="BB168" s="778"/>
      <c r="BC168" s="778"/>
      <c r="BD168" s="542"/>
      <c r="BE168" s="542"/>
      <c r="BF168" s="542"/>
      <c r="BG168" s="542"/>
      <c r="BH168" s="542"/>
      <c r="BI168" s="542"/>
      <c r="BJ168" s="542"/>
      <c r="BK168" s="542"/>
      <c r="BL168" s="542"/>
      <c r="BM168" s="542"/>
      <c r="BN168" s="775"/>
      <c r="BO168" s="775"/>
      <c r="BP168" s="775"/>
      <c r="BS168" s="694" t="s">
        <v>1940</v>
      </c>
      <c r="BT168" s="703"/>
      <c r="BU168" s="703"/>
      <c r="BV168" s="704"/>
      <c r="BW168" s="704"/>
    </row>
    <row r="169" spans="1:75" s="376" customFormat="1" ht="64.900000000000006" hidden="1" customHeight="1" x14ac:dyDescent="0.25">
      <c r="B169" s="537"/>
      <c r="C169" s="25"/>
      <c r="D169" s="25" cm="1">
        <f t="array" ref="D169">D168</f>
        <v>14</v>
      </c>
      <c r="E169" s="451">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22"/>
      <c r="Z169" s="967"/>
      <c r="AB169" s="7" t="str">
        <f>D169&amp;".2"</f>
        <v>14.2</v>
      </c>
      <c r="AC169" s="127" t="s">
        <v>1942</v>
      </c>
      <c r="AD169" s="7" t="s">
        <v>828</v>
      </c>
      <c r="AE169" s="778"/>
      <c r="AF169" s="778"/>
      <c r="AG169" s="778"/>
      <c r="AH169" s="171">
        <f t="shared" si="44"/>
        <v>0</v>
      </c>
      <c r="AI169" s="778"/>
      <c r="AJ169" s="128"/>
      <c r="AK169" s="778"/>
      <c r="AL169" s="778"/>
      <c r="AM169" s="778"/>
      <c r="AN169" s="778"/>
      <c r="AO169" s="778"/>
      <c r="AP169" s="778"/>
      <c r="AQ169" s="778"/>
      <c r="AR169" s="778"/>
      <c r="AS169" s="778"/>
      <c r="AT169" s="128"/>
      <c r="AU169" s="778"/>
      <c r="AV169" s="778"/>
      <c r="AW169" s="778"/>
      <c r="AX169" s="778"/>
      <c r="AY169" s="778"/>
      <c r="AZ169" s="778"/>
      <c r="BA169" s="778"/>
      <c r="BB169" s="778"/>
      <c r="BC169" s="778"/>
      <c r="BD169" s="542"/>
      <c r="BE169" s="542"/>
      <c r="BF169" s="542"/>
      <c r="BG169" s="542"/>
      <c r="BH169" s="542"/>
      <c r="BI169" s="542"/>
      <c r="BJ169" s="542"/>
      <c r="BK169" s="542"/>
      <c r="BL169" s="542"/>
      <c r="BM169" s="542"/>
      <c r="BN169" s="775"/>
      <c r="BO169" s="775"/>
      <c r="BP169" s="775"/>
      <c r="BS169" s="694" t="s">
        <v>1943</v>
      </c>
      <c r="BT169" s="703"/>
      <c r="BU169" s="703"/>
      <c r="BV169" s="704"/>
      <c r="BW169" s="704"/>
    </row>
    <row r="170" spans="1:75" s="376" customFormat="1" ht="44.45" hidden="1" customHeight="1" x14ac:dyDescent="0.15">
      <c r="B170" s="537"/>
      <c r="C170" s="25"/>
      <c r="D170" s="25" cm="1">
        <f t="array" ref="D170">D169</f>
        <v>14</v>
      </c>
      <c r="E170" s="451">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22"/>
      <c r="Z170" s="967"/>
      <c r="AB170" s="7" t="str">
        <f>D170&amp;".3"</f>
        <v>14.3</v>
      </c>
      <c r="AC170" s="127" t="s">
        <v>2225</v>
      </c>
      <c r="AD170" s="7" t="s">
        <v>828</v>
      </c>
      <c r="AE170" s="542"/>
      <c r="AF170" s="778"/>
      <c r="AG170" s="778"/>
      <c r="AH170" s="171">
        <f t="shared" si="44"/>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75"/>
      <c r="BO170" s="775"/>
      <c r="BP170" s="775"/>
      <c r="BS170" s="703" t="s">
        <v>2226</v>
      </c>
      <c r="BT170" s="703"/>
      <c r="BU170" s="703"/>
      <c r="BV170" s="704"/>
      <c r="BW170" s="704"/>
    </row>
    <row r="171" spans="1:75" s="396" customFormat="1" ht="14.25" customHeight="1" x14ac:dyDescent="0.15">
      <c r="A171" s="38"/>
      <c r="B171" s="43"/>
      <c r="C171" s="22"/>
      <c r="D171" s="22"/>
      <c r="E171" s="449">
        <v>15</v>
      </c>
      <c r="F171" s="59" t="str" cm="1">
        <f t="array" ref="F171">X171</f>
        <v>1</v>
      </c>
      <c r="G171" s="59" t="str" cm="1">
        <f t="array" ref="G171">INDEX('Общие сведения'!$AK$179:$AK$236,MATCH($X171,'Общие сведения'!$Z$179:$Z$236,0))</f>
        <v>одноставочный</v>
      </c>
      <c r="H171" s="22"/>
      <c r="I171" s="59"/>
      <c r="J171" s="22"/>
      <c r="K171" s="22"/>
      <c r="L171" s="22"/>
      <c r="M171" s="22"/>
      <c r="N171" s="22"/>
      <c r="O171" s="22"/>
      <c r="P171" s="22"/>
      <c r="Q171" s="22"/>
      <c r="R171" s="22"/>
      <c r="S171" s="22" t="str" cm="1">
        <f t="array" ref="S171">INDEX('Общие сведения'!$AE$179:$AE$236,MATCH($X171,'Общие сведения'!$Z$179:$Z$236,0))</f>
        <v>Водоснабжение</v>
      </c>
      <c r="T171" s="353" t="b">
        <f>X171&gt;0</f>
        <v>1</v>
      </c>
      <c r="U171" s="22"/>
      <c r="V171" s="22" t="str" cm="1">
        <f t="array" ref="V171">'Калькуляция (МЭОР)'!$AB$112</f>
        <v>Тариф 1 (Водоснабжение) - тариф на техническую воду</v>
      </c>
      <c r="W171" s="22"/>
      <c r="X171" s="1022" t="s">
        <v>275</v>
      </c>
      <c r="Y171" s="38"/>
      <c r="Z171" s="967"/>
      <c r="AA171" s="38"/>
      <c r="AB171" s="280" t="str" cm="1">
        <f t="array" ref="AB171">'Калькуляция (МЭОР)'!$AB$112</f>
        <v>Тариф 1 (Водоснабжение) - тариф на техническую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6"/>
      <c r="BT171" s="656"/>
      <c r="BU171" s="656"/>
      <c r="BV171" s="448"/>
      <c r="BW171" s="448"/>
    </row>
    <row r="172" spans="1:75" s="869" customFormat="1" ht="317.25" customHeight="1" x14ac:dyDescent="0.15">
      <c r="A172" s="75"/>
      <c r="B172" s="331"/>
      <c r="C172" s="575"/>
      <c r="D172" s="575"/>
      <c r="E172" s="576">
        <v>21</v>
      </c>
      <c r="F172" s="3" t="str" cm="1">
        <f t="array" aca="1" ref="F172" ca="1">OFFSET(E172,-1,1)</f>
        <v>1</v>
      </c>
      <c r="G172" s="575"/>
      <c r="H172" s="30"/>
      <c r="I172" s="30" t="s">
        <v>331</v>
      </c>
      <c r="J172" s="575"/>
      <c r="K172" s="276" t="s">
        <v>331</v>
      </c>
      <c r="L172" s="575"/>
      <c r="M172" s="575"/>
      <c r="N172" s="575"/>
      <c r="O172" s="575"/>
      <c r="P172" s="575"/>
      <c r="Q172" s="575"/>
      <c r="R172" s="575"/>
      <c r="S172" s="575"/>
      <c r="T172" s="353" t="b" cm="1">
        <f t="array" ref="T172">T171</f>
        <v>1</v>
      </c>
      <c r="U172" s="575"/>
      <c r="V172" s="575"/>
      <c r="W172" s="575"/>
      <c r="X172" s="1022"/>
      <c r="Y172" s="75"/>
      <c r="Z172" s="967"/>
      <c r="AA172" s="75"/>
      <c r="AB172" s="147" t="s">
        <v>275</v>
      </c>
      <c r="AC172" s="125" t="s">
        <v>1950</v>
      </c>
      <c r="AD172" s="147" t="s">
        <v>828</v>
      </c>
      <c r="AE172" s="126">
        <f ca="1">SUM(AE174,AE191,AE197,AE217,AE218,AE219)</f>
        <v>9632.3921118421003</v>
      </c>
      <c r="AF172" s="126">
        <f ca="1">SUM(AF174,AF191,AF197,AF217,AF218,AF219)</f>
        <v>26772.3705141879</v>
      </c>
      <c r="AG172" s="126">
        <f ca="1">SUM(AG174,AG191,AG197,AG217,AG218,AG219)</f>
        <v>9632.3921118421003</v>
      </c>
      <c r="AH172" s="126">
        <f t="shared" ref="AH172:AH203" ca="1" si="48">AG172-AF172</f>
        <v>-17139.978402345798</v>
      </c>
      <c r="AI172" s="126">
        <f ca="1">SUM(AI174,AI191,AI197,AI217,AI218,AI219)</f>
        <v>0</v>
      </c>
      <c r="AJ172" s="126">
        <f ca="1">SUM(AJ174,AJ191,AJ197,AJ217,AJ218,AJ219)</f>
        <v>0</v>
      </c>
      <c r="AK172" s="774">
        <f t="shared" ref="AK172:AS172" ca="1" si="49">AJ172*AK173</f>
        <v>0</v>
      </c>
      <c r="AL172" s="774">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4">
        <f t="shared" ref="AU172:BC172" ca="1" si="50">AT172*AU173</f>
        <v>0</v>
      </c>
      <c r="AV172" s="774">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t="s">
        <v>2227</v>
      </c>
      <c r="BO172" s="196" t="s">
        <v>2228</v>
      </c>
      <c r="BP172" s="196" t="s">
        <v>2229</v>
      </c>
      <c r="BQ172" s="74"/>
      <c r="BR172" s="75"/>
      <c r="BS172" s="700" t="s">
        <v>550</v>
      </c>
      <c r="BT172" s="700"/>
      <c r="BU172" s="700"/>
      <c r="BV172" s="509"/>
      <c r="BW172" s="509"/>
    </row>
    <row r="173" spans="1:75" ht="14.65" customHeight="1" x14ac:dyDescent="0.15">
      <c r="C173" s="25"/>
      <c r="D173" s="25"/>
      <c r="E173" s="451">
        <v>15</v>
      </c>
      <c r="F173" s="3" t="str" cm="1">
        <f t="array" aca="1" ref="F173" ca="1">OFFSET(E173,-1,1)</f>
        <v>1</v>
      </c>
      <c r="G173" s="25"/>
      <c r="H173" s="577"/>
      <c r="I173" s="577" t="s">
        <v>482</v>
      </c>
      <c r="J173" s="25"/>
      <c r="K173" s="277" t="s">
        <v>482</v>
      </c>
      <c r="L173" s="25"/>
      <c r="M173" s="25"/>
      <c r="N173" s="25"/>
      <c r="O173" s="25"/>
      <c r="P173" s="25"/>
      <c r="Q173" s="25"/>
      <c r="R173" s="25"/>
      <c r="S173" s="25"/>
      <c r="T173" s="353" t="b" cm="1">
        <f t="array" ref="T173">T172</f>
        <v>1</v>
      </c>
      <c r="U173" s="25"/>
      <c r="V173" s="25"/>
      <c r="W173" s="25"/>
      <c r="X173" s="1022"/>
      <c r="Z173" s="967"/>
      <c r="AB173" s="7" t="s">
        <v>939</v>
      </c>
      <c r="AC173" s="127" t="s">
        <v>1951</v>
      </c>
      <c r="AD173" s="7"/>
      <c r="AE173" s="444"/>
      <c r="AF173" s="444"/>
      <c r="AG173" s="444"/>
      <c r="AH173" s="558">
        <f t="shared" si="48"/>
        <v>0</v>
      </c>
      <c r="AI173" s="444">
        <v>1.0315797180999999</v>
      </c>
      <c r="AJ173" s="444">
        <v>2.6472792159999998</v>
      </c>
      <c r="AK173" s="776">
        <f ca="1">SUMIFS(INDEX(Сценарии!$AE$25:$BF$136,,MATCH(AK$8,Сценарии!$AE$8:$BF$8,0)),Сценарии!$F$25:$F$136,$F173,Сценарии!$G$25:$G$136,"ИОР")</f>
        <v>1</v>
      </c>
      <c r="AL173" s="776">
        <f ca="1">SUMIFS(INDEX(Сценарии!$AE$25:$BF$136,,MATCH(AL$8,Сценарии!$AE$8:$BF$8,0)),Сценарии!$F$25:$F$136,$F173,Сценарии!$G$25:$G$136,"ИОР")</f>
        <v>1</v>
      </c>
      <c r="AM173" s="444">
        <f ca="1">SUMIFS(INDEX(Сценарии!$AE$25:$BF$136,,MATCH(AM$8,Сценарии!$AE$8:$BF$8,0)),Сценарии!$F$25:$F$136,$F173,Сценарии!$G$25:$G$136,"ИОР")</f>
        <v>1</v>
      </c>
      <c r="AN173" s="444">
        <f ca="1">SUMIFS(INDEX(Сценарии!$AE$25:$BF$136,,MATCH(AN$8,Сценарии!$AE$8:$BF$8,0)),Сценарии!$F$25:$F$136,$F173,Сценарии!$G$25:$G$136,"ИОР")</f>
        <v>1</v>
      </c>
      <c r="AO173" s="444">
        <f ca="1">SUMIFS(INDEX(Сценарии!$AE$25:$BF$136,,MATCH(AO$8,Сценарии!$AE$8:$BF$8,0)),Сценарии!$F$25:$F$136,$F173,Сценарии!$G$25:$G$136,"ИОР")</f>
        <v>1</v>
      </c>
      <c r="AP173" s="444">
        <f ca="1">SUMIFS(INDEX(Сценарии!$AE$25:$BF$136,,MATCH(AP$8,Сценарии!$AE$8:$BF$8,0)),Сценарии!$F$25:$F$136,$F173,Сценарии!$G$25:$G$136,"ИОР")</f>
        <v>1</v>
      </c>
      <c r="AQ173" s="444">
        <f ca="1">SUMIFS(INDEX(Сценарии!$AE$25:$BF$136,,MATCH(AQ$8,Сценарии!$AE$8:$BF$8,0)),Сценарии!$F$25:$F$136,$F173,Сценарии!$G$25:$G$136,"ИОР")</f>
        <v>1</v>
      </c>
      <c r="AR173" s="444">
        <f ca="1">SUMIFS(INDEX(Сценарии!$AE$25:$BF$136,,MATCH(AR$8,Сценарии!$AE$8:$BF$8,0)),Сценарии!$F$25:$F$136,$F173,Сценарии!$G$25:$G$136,"ИОР")</f>
        <v>1</v>
      </c>
      <c r="AS173" s="444">
        <f ca="1">SUMIFS(INDEX(Сценарии!$AE$25:$BF$136,,MATCH(AS$8,Сценарии!$AE$8:$BF$8,0)),Сценарии!$F$25:$F$136,$F173,Сценарии!$G$25:$G$136,"ИОР")</f>
        <v>1</v>
      </c>
      <c r="AT173" s="444">
        <v>1.03257</v>
      </c>
      <c r="AU173" s="776">
        <f ca="1">SUMIFS(INDEX(Сценарии!$AE$25:$BF$136,,MATCH(AU$8,Сценарии!$AE$8:$BF$8,0)),Сценарии!$F$25:$F$136,$F173,Сценарии!$G$25:$G$136,"ИОР")</f>
        <v>1</v>
      </c>
      <c r="AV173" s="776">
        <f ca="1">SUMIFS(INDEX(Сценарии!$AE$25:$BF$136,,MATCH(AV$8,Сценарии!$AE$8:$BF$8,0)),Сценарии!$F$25:$F$136,$F173,Сценарии!$G$25:$G$136,"ИОР")</f>
        <v>1</v>
      </c>
      <c r="AW173" s="444">
        <f ca="1">SUMIFS(INDEX(Сценарии!$AE$25:$BF$136,,MATCH(AW$8,Сценарии!$AE$8:$BF$8,0)),Сценарии!$F$25:$F$136,$F173,Сценарии!$G$25:$G$136,"ИОР")</f>
        <v>1</v>
      </c>
      <c r="AX173" s="444">
        <f ca="1">SUMIFS(INDEX(Сценарии!$AE$25:$BF$136,,MATCH(AX$8,Сценарии!$AE$8:$BF$8,0)),Сценарии!$F$25:$F$136,$F173,Сценарии!$G$25:$G$136,"ИОР")</f>
        <v>1</v>
      </c>
      <c r="AY173" s="444">
        <f ca="1">SUMIFS(INDEX(Сценарии!$AE$25:$BF$136,,MATCH(AY$8,Сценарии!$AE$8:$BF$8,0)),Сценарии!$F$25:$F$136,$F173,Сценарии!$G$25:$G$136,"ИОР")</f>
        <v>1</v>
      </c>
      <c r="AZ173" s="444">
        <f ca="1">SUMIFS(INDEX(Сценарии!$AE$25:$BF$136,,MATCH(AZ$8,Сценарии!$AE$8:$BF$8,0)),Сценарии!$F$25:$F$136,$F173,Сценарии!$G$25:$G$136,"ИОР")</f>
        <v>1</v>
      </c>
      <c r="BA173" s="444">
        <f ca="1">SUMIFS(INDEX(Сценарии!$AE$25:$BF$136,,MATCH(BA$8,Сценарии!$AE$8:$BF$8,0)),Сценарии!$F$25:$F$136,$F173,Сценарии!$G$25:$G$136,"ИОР")</f>
        <v>1</v>
      </c>
      <c r="BB173" s="444">
        <f ca="1">SUMIFS(INDEX(Сценарии!$AE$25:$BF$136,,MATCH(BB$8,Сценарии!$AE$8:$BF$8,0)),Сценарии!$F$25:$F$136,$F173,Сценарии!$G$25:$G$136,"ИОР")</f>
        <v>1</v>
      </c>
      <c r="BC173" s="444">
        <f ca="1">SUMIFS(INDEX(Сценарии!$AE$25:$BF$136,,MATCH(BC$8,Сценарии!$AE$8:$BF$8,0)),Сценарии!$F$25:$F$136,$F173,Сценарии!$G$25:$G$136,"ИОР")</f>
        <v>1</v>
      </c>
      <c r="BD173" s="171">
        <f t="shared" si="51"/>
        <v>9.5996643073207419E-2</v>
      </c>
      <c r="BE173" s="542"/>
      <c r="BF173" s="542"/>
      <c r="BG173" s="542"/>
      <c r="BH173" s="542"/>
      <c r="BI173" s="542"/>
      <c r="BJ173" s="542"/>
      <c r="BK173" s="542"/>
      <c r="BL173" s="542"/>
      <c r="BM173" s="542"/>
      <c r="BN173" s="196"/>
      <c r="BO173" s="196"/>
      <c r="BP173" s="196"/>
      <c r="BS173" s="696" t="s">
        <v>1952</v>
      </c>
    </row>
    <row r="174" spans="1:75" s="331" customFormat="1" ht="20.25" customHeight="1" x14ac:dyDescent="0.25">
      <c r="A174" s="74"/>
      <c r="C174" s="578"/>
      <c r="D174" s="578"/>
      <c r="E174" s="579">
        <v>21</v>
      </c>
      <c r="F174" s="3" t="str" cm="1">
        <f t="array" aca="1" ref="F174" ca="1">OFFSET(E174,-1,1)</f>
        <v>1</v>
      </c>
      <c r="G174" s="578"/>
      <c r="H174" s="30"/>
      <c r="I174" s="30" t="s">
        <v>486</v>
      </c>
      <c r="J174" s="578"/>
      <c r="K174" s="276" t="s">
        <v>486</v>
      </c>
      <c r="L174" s="578" t="s">
        <v>331</v>
      </c>
      <c r="M174" s="578"/>
      <c r="N174" s="578"/>
      <c r="O174" s="578"/>
      <c r="P174" s="578"/>
      <c r="Q174" s="578"/>
      <c r="R174" s="578"/>
      <c r="S174" s="578"/>
      <c r="T174" s="353" t="b" cm="1">
        <f t="array" ref="T174">T173</f>
        <v>1</v>
      </c>
      <c r="U174" s="578"/>
      <c r="V174" s="578"/>
      <c r="W174" s="578"/>
      <c r="X174" s="1022"/>
      <c r="Y174" s="74"/>
      <c r="Z174" s="967"/>
      <c r="AA174" s="74"/>
      <c r="AB174" s="147" t="s">
        <v>942</v>
      </c>
      <c r="AC174" s="263" t="s">
        <v>1738</v>
      </c>
      <c r="AD174" s="147" t="s">
        <v>828</v>
      </c>
      <c r="AE174" s="126">
        <f ca="1">SUM(AE175,AE178,AE179,AE182,AE183)</f>
        <v>5708.1821118421003</v>
      </c>
      <c r="AF174" s="126">
        <f ca="1">SUM(AF175,AF178,AF179,AF182,AF183)</f>
        <v>15213.2324280638</v>
      </c>
      <c r="AG174" s="126">
        <f ca="1">SUM(AG175,AG178,AG179,AG182,AG183)</f>
        <v>5708.1821118421003</v>
      </c>
      <c r="AH174" s="126">
        <f t="shared" ca="1" si="48"/>
        <v>-9505.0503162216992</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6"/>
      <c r="BO174" s="556"/>
      <c r="BP174" s="556"/>
      <c r="BQ174" s="74"/>
      <c r="BR174" s="74"/>
      <c r="BS174" s="694" t="s">
        <v>538</v>
      </c>
      <c r="BT174" s="701"/>
      <c r="BU174" s="701"/>
      <c r="BV174" s="510"/>
      <c r="BW174" s="510"/>
    </row>
    <row r="175" spans="1:75" ht="54.75" customHeight="1" x14ac:dyDescent="0.25">
      <c r="C175" s="25"/>
      <c r="D175" s="25"/>
      <c r="E175" s="451">
        <v>15</v>
      </c>
      <c r="F175" s="3" t="str" cm="1">
        <f t="array" aca="1" ref="F175" ca="1">OFFSET(E175,-1,1)</f>
        <v>1</v>
      </c>
      <c r="G175" s="25"/>
      <c r="H175" s="577"/>
      <c r="I175" s="577" t="s">
        <v>1344</v>
      </c>
      <c r="J175" s="25"/>
      <c r="K175" s="277" t="s">
        <v>1344</v>
      </c>
      <c r="L175" s="25" t="s">
        <v>482</v>
      </c>
      <c r="M175" s="25"/>
      <c r="N175" s="25"/>
      <c r="O175" s="25"/>
      <c r="P175" s="25"/>
      <c r="Q175" s="25"/>
      <c r="R175" s="25"/>
      <c r="S175" s="25"/>
      <c r="T175" s="353" t="b" cm="1">
        <f t="array" ref="T175">T174</f>
        <v>1</v>
      </c>
      <c r="U175" s="25"/>
      <c r="V175" s="25"/>
      <c r="W175" s="25"/>
      <c r="X175" s="1022"/>
      <c r="Z175" s="967"/>
      <c r="AB175" s="7" t="s">
        <v>1345</v>
      </c>
      <c r="AC175" s="134" t="s">
        <v>1953</v>
      </c>
      <c r="AD175" s="9" t="s">
        <v>828</v>
      </c>
      <c r="AE175" s="171">
        <f>SUM(AE176,AE177)</f>
        <v>183.44642784210001</v>
      </c>
      <c r="AF175" s="171">
        <f>SUM(AF176,AF177)</f>
        <v>288.03192966939997</v>
      </c>
      <c r="AG175" s="171">
        <f>SUM(AG176,AG177)</f>
        <v>183.44642784210001</v>
      </c>
      <c r="AH175" s="171">
        <f t="shared" si="48"/>
        <v>-104.58550182729996</v>
      </c>
      <c r="AI175" s="171">
        <f>SUM(AI176,AI177)</f>
        <v>0</v>
      </c>
      <c r="AJ175" s="171">
        <f>SUM(AJ176,AJ177)</f>
        <v>0</v>
      </c>
      <c r="AK175" s="542"/>
      <c r="AL175" s="542"/>
      <c r="AM175" s="542"/>
      <c r="AN175" s="542"/>
      <c r="AO175" s="542"/>
      <c r="AP175" s="542"/>
      <c r="AQ175" s="542"/>
      <c r="AR175" s="542"/>
      <c r="AS175" s="542"/>
      <c r="AT175" s="171">
        <f>SUM(AT176,AT177)</f>
        <v>0</v>
      </c>
      <c r="AU175" s="542"/>
      <c r="AV175" s="542"/>
      <c r="AW175" s="542"/>
      <c r="AX175" s="542"/>
      <c r="AY175" s="542"/>
      <c r="AZ175" s="542"/>
      <c r="BA175" s="542"/>
      <c r="BB175" s="542"/>
      <c r="BC175" s="542"/>
      <c r="BD175" s="171">
        <f t="shared" si="51"/>
        <v>0</v>
      </c>
      <c r="BE175" s="542"/>
      <c r="BF175" s="542"/>
      <c r="BG175" s="542"/>
      <c r="BH175" s="542"/>
      <c r="BI175" s="542"/>
      <c r="BJ175" s="542"/>
      <c r="BK175" s="542"/>
      <c r="BL175" s="542"/>
      <c r="BM175" s="542"/>
      <c r="BN175" s="196" t="s">
        <v>2230</v>
      </c>
      <c r="BO175" s="196"/>
      <c r="BP175" s="196"/>
      <c r="BQ175" s="28"/>
      <c r="BS175" s="695" t="s">
        <v>1740</v>
      </c>
    </row>
    <row r="176" spans="1:75" ht="14.25" customHeight="1" x14ac:dyDescent="0.25">
      <c r="C176" s="25"/>
      <c r="D176" s="25"/>
      <c r="E176" s="451">
        <v>15</v>
      </c>
      <c r="F176" s="3" t="str" cm="1">
        <f t="array" aca="1" ref="F176" ca="1">OFFSET(E176,-1,1)</f>
        <v>1</v>
      </c>
      <c r="G176" s="25"/>
      <c r="H176" s="577"/>
      <c r="I176" s="577" t="s">
        <v>1954</v>
      </c>
      <c r="J176" s="25"/>
      <c r="K176" s="277" t="s">
        <v>1954</v>
      </c>
      <c r="L176" s="25" t="s">
        <v>1074</v>
      </c>
      <c r="M176" s="25"/>
      <c r="N176" s="25"/>
      <c r="O176" s="25"/>
      <c r="P176" s="25"/>
      <c r="Q176" s="25"/>
      <c r="R176" s="25"/>
      <c r="S176" s="25"/>
      <c r="T176" s="353" t="b" cm="1">
        <f t="array" ref="T176">T175</f>
        <v>1</v>
      </c>
      <c r="U176" s="25"/>
      <c r="V176" s="25"/>
      <c r="W176" s="25"/>
      <c r="X176" s="1022"/>
      <c r="Z176" s="967"/>
      <c r="AB176" s="7" t="s">
        <v>1955</v>
      </c>
      <c r="AC176" s="543" t="s">
        <v>1743</v>
      </c>
      <c r="AD176" s="9" t="s">
        <v>828</v>
      </c>
      <c r="AE176" s="128"/>
      <c r="AF176" s="128"/>
      <c r="AG176" s="128"/>
      <c r="AH176" s="171">
        <f t="shared" si="48"/>
        <v>0</v>
      </c>
      <c r="AI176" s="128"/>
      <c r="AJ176" s="128"/>
      <c r="AK176" s="542"/>
      <c r="AL176" s="542"/>
      <c r="AM176" s="542"/>
      <c r="AN176" s="542"/>
      <c r="AO176" s="542"/>
      <c r="AP176" s="542"/>
      <c r="AQ176" s="542"/>
      <c r="AR176" s="542"/>
      <c r="AS176" s="542"/>
      <c r="AT176" s="128"/>
      <c r="AU176" s="542"/>
      <c r="AV176" s="542"/>
      <c r="AW176" s="542"/>
      <c r="AX176" s="542"/>
      <c r="AY176" s="542"/>
      <c r="AZ176" s="542"/>
      <c r="BA176" s="542"/>
      <c r="BB176" s="542"/>
      <c r="BC176" s="542"/>
      <c r="BD176" s="171">
        <f t="shared" si="51"/>
        <v>0</v>
      </c>
      <c r="BE176" s="542"/>
      <c r="BF176" s="542"/>
      <c r="BG176" s="542"/>
      <c r="BH176" s="542"/>
      <c r="BI176" s="542"/>
      <c r="BJ176" s="542"/>
      <c r="BK176" s="542"/>
      <c r="BL176" s="542"/>
      <c r="BM176" s="542"/>
      <c r="BN176" s="196"/>
      <c r="BO176" s="196"/>
      <c r="BP176" s="196"/>
      <c r="BS176" s="694" t="s">
        <v>1744</v>
      </c>
    </row>
    <row r="177" spans="1:75" ht="359.25" customHeight="1" x14ac:dyDescent="0.25">
      <c r="C177" s="25"/>
      <c r="D177" s="25"/>
      <c r="E177" s="451">
        <v>15</v>
      </c>
      <c r="F177" s="3" t="str" cm="1">
        <f t="array" aca="1" ref="F177" ca="1">OFFSET(E177,-1,1)</f>
        <v>1</v>
      </c>
      <c r="G177" s="25"/>
      <c r="H177" s="577"/>
      <c r="I177" s="577" t="s">
        <v>1956</v>
      </c>
      <c r="J177" s="25"/>
      <c r="K177" s="277" t="s">
        <v>1956</v>
      </c>
      <c r="L177" s="25" t="s">
        <v>1319</v>
      </c>
      <c r="M177" s="25"/>
      <c r="N177" s="25"/>
      <c r="O177" s="25"/>
      <c r="P177" s="25"/>
      <c r="Q177" s="25"/>
      <c r="R177" s="25"/>
      <c r="S177" s="25"/>
      <c r="T177" s="353" t="b" cm="1">
        <f t="array" ref="T177">T176</f>
        <v>1</v>
      </c>
      <c r="U177" s="25"/>
      <c r="V177" s="25"/>
      <c r="W177" s="25"/>
      <c r="X177" s="1022"/>
      <c r="Z177" s="967"/>
      <c r="AB177" s="7" t="s">
        <v>1957</v>
      </c>
      <c r="AC177" s="543" t="s">
        <v>1745</v>
      </c>
      <c r="AD177" s="9" t="s">
        <v>828</v>
      </c>
      <c r="AE177" s="128">
        <v>183.44642784210001</v>
      </c>
      <c r="AF177" s="128">
        <v>288.03192966939997</v>
      </c>
      <c r="AG177" s="128">
        <v>183.44642784210001</v>
      </c>
      <c r="AH177" s="171">
        <f t="shared" si="48"/>
        <v>-104.58550182729996</v>
      </c>
      <c r="AI177" s="128"/>
      <c r="AJ177" s="128"/>
      <c r="AK177" s="542"/>
      <c r="AL177" s="542"/>
      <c r="AM177" s="542"/>
      <c r="AN177" s="542"/>
      <c r="AO177" s="542"/>
      <c r="AP177" s="542"/>
      <c r="AQ177" s="542"/>
      <c r="AR177" s="542"/>
      <c r="AS177" s="542"/>
      <c r="AT177" s="128"/>
      <c r="AU177" s="542"/>
      <c r="AV177" s="542"/>
      <c r="AW177" s="542"/>
      <c r="AX177" s="542"/>
      <c r="AY177" s="542"/>
      <c r="AZ177" s="542"/>
      <c r="BA177" s="542"/>
      <c r="BB177" s="542"/>
      <c r="BC177" s="542"/>
      <c r="BD177" s="171">
        <f t="shared" si="51"/>
        <v>0</v>
      </c>
      <c r="BE177" s="542"/>
      <c r="BF177" s="542"/>
      <c r="BG177" s="542"/>
      <c r="BH177" s="542"/>
      <c r="BI177" s="542"/>
      <c r="BJ177" s="542"/>
      <c r="BK177" s="542"/>
      <c r="BL177" s="542"/>
      <c r="BM177" s="542"/>
      <c r="BN177" s="196" t="s">
        <v>2231</v>
      </c>
      <c r="BO177" s="196"/>
      <c r="BP177" s="196"/>
      <c r="BS177" s="694" t="s">
        <v>1746</v>
      </c>
    </row>
    <row r="178" spans="1:75" ht="369.75" customHeight="1" x14ac:dyDescent="0.25">
      <c r="C178" s="25"/>
      <c r="D178" s="25"/>
      <c r="E178" s="451">
        <v>22.5</v>
      </c>
      <c r="F178" s="3" t="str" cm="1">
        <f t="array" aca="1" ref="F178" ca="1">OFFSET(E178,-1,1)</f>
        <v>1</v>
      </c>
      <c r="G178" s="25"/>
      <c r="H178" s="577"/>
      <c r="I178" s="577" t="s">
        <v>1347</v>
      </c>
      <c r="J178" s="25"/>
      <c r="K178" s="277" t="s">
        <v>1347</v>
      </c>
      <c r="L178" s="25" t="s">
        <v>489</v>
      </c>
      <c r="M178" s="25"/>
      <c r="N178" s="25"/>
      <c r="O178" s="25"/>
      <c r="P178" s="25"/>
      <c r="Q178" s="25"/>
      <c r="R178" s="25"/>
      <c r="S178" s="25"/>
      <c r="T178" s="353" t="b" cm="1">
        <f t="array" ref="T178">T177</f>
        <v>1</v>
      </c>
      <c r="U178" s="25"/>
      <c r="V178" s="25"/>
      <c r="W178" s="25"/>
      <c r="X178" s="1022"/>
      <c r="Z178" s="967"/>
      <c r="AB178" s="7" t="s">
        <v>1348</v>
      </c>
      <c r="AC178" s="134" t="s">
        <v>1958</v>
      </c>
      <c r="AD178" s="9" t="s">
        <v>828</v>
      </c>
      <c r="AE178" s="128">
        <v>869.35212000000001</v>
      </c>
      <c r="AF178" s="128">
        <v>834.26103438739995</v>
      </c>
      <c r="AG178" s="128">
        <v>869.35212000000001</v>
      </c>
      <c r="AH178" s="171">
        <f t="shared" si="48"/>
        <v>35.091085612600068</v>
      </c>
      <c r="AI178" s="128"/>
      <c r="AJ178" s="128"/>
      <c r="AK178" s="542"/>
      <c r="AL178" s="542"/>
      <c r="AM178" s="542"/>
      <c r="AN178" s="542"/>
      <c r="AO178" s="542"/>
      <c r="AP178" s="542"/>
      <c r="AQ178" s="542"/>
      <c r="AR178" s="542"/>
      <c r="AS178" s="542"/>
      <c r="AT178" s="128"/>
      <c r="AU178" s="542"/>
      <c r="AV178" s="542"/>
      <c r="AW178" s="542"/>
      <c r="AX178" s="542"/>
      <c r="AY178" s="542"/>
      <c r="AZ178" s="542"/>
      <c r="BA178" s="542"/>
      <c r="BB178" s="542"/>
      <c r="BC178" s="542"/>
      <c r="BD178" s="171">
        <f t="shared" si="51"/>
        <v>0</v>
      </c>
      <c r="BE178" s="542"/>
      <c r="BF178" s="542"/>
      <c r="BG178" s="542"/>
      <c r="BH178" s="542"/>
      <c r="BI178" s="542"/>
      <c r="BJ178" s="542"/>
      <c r="BK178" s="542"/>
      <c r="BL178" s="542"/>
      <c r="BM178" s="542"/>
      <c r="BN178" s="196" t="s">
        <v>2232</v>
      </c>
      <c r="BO178" s="196"/>
      <c r="BP178" s="196"/>
      <c r="BS178" s="695" t="s">
        <v>1771</v>
      </c>
    </row>
    <row r="179" spans="1:75" ht="212.25" customHeight="1" x14ac:dyDescent="0.25">
      <c r="C179" s="25"/>
      <c r="D179" s="25"/>
      <c r="E179" s="451">
        <v>22.5</v>
      </c>
      <c r="F179" s="3" t="str" cm="1">
        <f t="array" aca="1" ref="F179" ca="1">OFFSET(E179,-1,1)</f>
        <v>1</v>
      </c>
      <c r="G179" s="25"/>
      <c r="H179" s="577"/>
      <c r="I179" s="577" t="s">
        <v>1351</v>
      </c>
      <c r="J179" s="25"/>
      <c r="K179" s="277" t="s">
        <v>1351</v>
      </c>
      <c r="L179" s="25" t="s">
        <v>493</v>
      </c>
      <c r="M179" s="25"/>
      <c r="N179" s="25"/>
      <c r="O179" s="25"/>
      <c r="P179" s="25"/>
      <c r="Q179" s="25"/>
      <c r="R179" s="25"/>
      <c r="S179" s="25"/>
      <c r="T179" s="353" t="b" cm="1">
        <f t="array" ref="T179">T178</f>
        <v>1</v>
      </c>
      <c r="U179" s="25"/>
      <c r="V179" s="25"/>
      <c r="W179" s="25"/>
      <c r="X179" s="1022"/>
      <c r="Z179" s="967"/>
      <c r="AB179" s="7" t="s">
        <v>1352</v>
      </c>
      <c r="AC179" s="134" t="s">
        <v>1959</v>
      </c>
      <c r="AD179" s="9" t="s">
        <v>828</v>
      </c>
      <c r="AE179" s="171">
        <f ca="1">AE180+AE181</f>
        <v>0</v>
      </c>
      <c r="AF179" s="171">
        <f ca="1">AF180+AF181</f>
        <v>0</v>
      </c>
      <c r="AG179" s="171">
        <f ca="1">AG180+AG181</f>
        <v>0</v>
      </c>
      <c r="AH179" s="171">
        <f t="shared" ca="1" si="48"/>
        <v>0</v>
      </c>
      <c r="AI179" s="171">
        <f ca="1">AI180+AI181</f>
        <v>0</v>
      </c>
      <c r="AJ179" s="171">
        <f ca="1">AJ180+AJ181</f>
        <v>0</v>
      </c>
      <c r="AK179" s="542"/>
      <c r="AL179" s="542"/>
      <c r="AM179" s="542"/>
      <c r="AN179" s="542"/>
      <c r="AO179" s="542"/>
      <c r="AP179" s="542"/>
      <c r="AQ179" s="542"/>
      <c r="AR179" s="542"/>
      <c r="AS179" s="542"/>
      <c r="AT179" s="171">
        <f ca="1">AT180+AT181</f>
        <v>0</v>
      </c>
      <c r="AU179" s="542"/>
      <c r="AV179" s="542"/>
      <c r="AW179" s="542"/>
      <c r="AX179" s="542"/>
      <c r="AY179" s="542"/>
      <c r="AZ179" s="542"/>
      <c r="BA179" s="542"/>
      <c r="BB179" s="542"/>
      <c r="BC179" s="542"/>
      <c r="BD179" s="171">
        <f t="shared" ca="1" si="51"/>
        <v>0</v>
      </c>
      <c r="BE179" s="542"/>
      <c r="BF179" s="542"/>
      <c r="BG179" s="542"/>
      <c r="BH179" s="542"/>
      <c r="BI179" s="542"/>
      <c r="BJ179" s="542"/>
      <c r="BK179" s="542"/>
      <c r="BL179" s="542"/>
      <c r="BM179" s="542"/>
      <c r="BN179" s="196" t="s">
        <v>2233</v>
      </c>
      <c r="BO179" s="196"/>
      <c r="BP179" s="196"/>
      <c r="BS179" s="695" t="s">
        <v>1960</v>
      </c>
    </row>
    <row r="180" spans="1:75" ht="212.25" customHeight="1" x14ac:dyDescent="0.25">
      <c r="C180" s="25"/>
      <c r="D180" s="25"/>
      <c r="E180" s="451">
        <v>15</v>
      </c>
      <c r="F180" s="3" t="str" cm="1">
        <f t="array" aca="1" ref="F180" ca="1">OFFSET(E180,-1,1)</f>
        <v>1</v>
      </c>
      <c r="G180" s="267" t="s">
        <v>1162</v>
      </c>
      <c r="H180" s="577"/>
      <c r="I180" s="577" t="s">
        <v>1495</v>
      </c>
      <c r="J180" s="25"/>
      <c r="K180" s="277" t="s">
        <v>1495</v>
      </c>
      <c r="L180" s="25" t="s">
        <v>1371</v>
      </c>
      <c r="M180" s="25"/>
      <c r="N180" s="25"/>
      <c r="O180" s="25"/>
      <c r="P180" s="25"/>
      <c r="Q180" s="25"/>
      <c r="R180" s="25"/>
      <c r="S180" s="25"/>
      <c r="T180" s="353" t="b" cm="1">
        <f t="array" ref="T180">T179</f>
        <v>1</v>
      </c>
      <c r="U180" s="25"/>
      <c r="V180" s="25"/>
      <c r="W180" s="25"/>
      <c r="X180" s="1022"/>
      <c r="Z180" s="967"/>
      <c r="AB180" s="7" t="s">
        <v>1961</v>
      </c>
      <c r="AC180" s="543" t="s">
        <v>1774</v>
      </c>
      <c r="AD180" s="9" t="s">
        <v>828</v>
      </c>
      <c r="AE180" s="171">
        <f ca="1">SUMIFS(ФОТ!AE$25:AE$127,ФОТ!$F$25:$F$127,$F180,ФОТ!$G$25:$G$127,$G180)</f>
        <v>0</v>
      </c>
      <c r="AF180" s="171">
        <f ca="1">SUMIFS(ФОТ!AF$25:AF$127,ФОТ!$F$25:$F$127,$F180,ФОТ!$G$25:$G$127,$G180)</f>
        <v>0</v>
      </c>
      <c r="AG180" s="171">
        <f ca="1">SUMIFS(ФОТ!AG$25:AG$127,ФОТ!$F$25:$F$127,$F180,ФОТ!$G$25:$G$127,$G180)</f>
        <v>0</v>
      </c>
      <c r="AH180" s="171">
        <f t="shared" ca="1" si="48"/>
        <v>0</v>
      </c>
      <c r="AI180" s="171">
        <f ca="1">SUMIFS(ФОТ!AH$25:AH$127,ФОТ!$F$25:$F$127,$F180,ФОТ!$G$25:$G$127,$G180)</f>
        <v>0</v>
      </c>
      <c r="AJ180" s="171">
        <f ca="1">SUMIFS(ФОТ!AI$25:AI$127,ФОТ!$F$25:$F$127,$F180,ФОТ!$G$25:$G$127,$G180)</f>
        <v>0</v>
      </c>
      <c r="AK180" s="542"/>
      <c r="AL180" s="542"/>
      <c r="AM180" s="542"/>
      <c r="AN180" s="542"/>
      <c r="AO180" s="542"/>
      <c r="AP180" s="542"/>
      <c r="AQ180" s="542"/>
      <c r="AR180" s="542"/>
      <c r="AS180" s="542"/>
      <c r="AT180" s="171">
        <f ca="1">SUMIFS(ФОТ!AJ$25:AJ$127,ФОТ!$F$25:$F$127,$F180,ФОТ!$G$25:$G$127,$G180)</f>
        <v>0</v>
      </c>
      <c r="AU180" s="542"/>
      <c r="AV180" s="542"/>
      <c r="AW180" s="542"/>
      <c r="AX180" s="542"/>
      <c r="AY180" s="542"/>
      <c r="AZ180" s="542"/>
      <c r="BA180" s="542"/>
      <c r="BB180" s="542"/>
      <c r="BC180" s="542"/>
      <c r="BD180" s="171">
        <f t="shared" ca="1" si="51"/>
        <v>0</v>
      </c>
      <c r="BE180" s="542"/>
      <c r="BF180" s="542"/>
      <c r="BG180" s="542"/>
      <c r="BH180" s="542"/>
      <c r="BI180" s="542"/>
      <c r="BJ180" s="542"/>
      <c r="BK180" s="542"/>
      <c r="BL180" s="542"/>
      <c r="BM180" s="542"/>
      <c r="BN180" s="196" t="s">
        <v>2234</v>
      </c>
      <c r="BO180" s="601" t="str">
        <f ca="1">IF(IFERROR(INDEX(ФОТ!$K$26:$L$127,MATCH($F180&amp;"1komm",ФОТ!$K$26:$K$127,0),2),"")=0,"",IFERROR(INDEX(ФОТ!$K$26:$L$127,MATCH($F180&amp;"1komm",ФОТ!$K$26:$K$127,0),2),""))</f>
        <v/>
      </c>
      <c r="BP180" s="196"/>
      <c r="BS180" s="694" t="s">
        <v>1775</v>
      </c>
    </row>
    <row r="181" spans="1:75" ht="107.25" customHeight="1" x14ac:dyDescent="0.25">
      <c r="C181" s="25"/>
      <c r="D181" s="25"/>
      <c r="E181" s="451">
        <v>22.5</v>
      </c>
      <c r="F181" s="3" t="str" cm="1">
        <f t="array" aca="1" ref="F181" ca="1">OFFSET(E181,-1,1)</f>
        <v>1</v>
      </c>
      <c r="G181" s="267" t="s">
        <v>1174</v>
      </c>
      <c r="H181" s="577"/>
      <c r="I181" s="577" t="s">
        <v>1499</v>
      </c>
      <c r="J181" s="25"/>
      <c r="K181" s="277" t="s">
        <v>1499</v>
      </c>
      <c r="L181" s="25" t="s">
        <v>1372</v>
      </c>
      <c r="M181" s="25"/>
      <c r="N181" s="25"/>
      <c r="O181" s="25"/>
      <c r="P181" s="25"/>
      <c r="Q181" s="25"/>
      <c r="R181" s="25"/>
      <c r="S181" s="25"/>
      <c r="T181" s="353" t="b" cm="1">
        <f t="array" ref="T181">T180</f>
        <v>1</v>
      </c>
      <c r="U181" s="25"/>
      <c r="V181" s="25"/>
      <c r="W181" s="25"/>
      <c r="X181" s="1022"/>
      <c r="Z181" s="967"/>
      <c r="AB181" s="7" t="s">
        <v>1962</v>
      </c>
      <c r="AC181" s="543" t="s">
        <v>1963</v>
      </c>
      <c r="AD181" s="9" t="s">
        <v>828</v>
      </c>
      <c r="AE181" s="171">
        <f ca="1">SUMIFS(ФОТ!AE$25:AE$127,ФОТ!$F$25:$F$127,$F181,ФОТ!$G$25:$G$127,$G181)</f>
        <v>0</v>
      </c>
      <c r="AF181" s="171">
        <f ca="1">SUMIFS(ФОТ!AF$25:AF$127,ФОТ!$F$25:$F$127,$F181,ФОТ!$G$25:$G$127,$G181)</f>
        <v>0</v>
      </c>
      <c r="AG181" s="171">
        <f ca="1">SUMIFS(ФОТ!AG$25:AG$127,ФОТ!$F$25:$F$127,$F181,ФОТ!$G$25:$G$127,$G181)</f>
        <v>0</v>
      </c>
      <c r="AH181" s="171">
        <f t="shared" ca="1" si="48"/>
        <v>0</v>
      </c>
      <c r="AI181" s="171">
        <f ca="1">SUMIFS(ФОТ!AH$25:AH$127,ФОТ!$F$25:$F$127,$F181,ФОТ!$G$25:$G$127,$G181)</f>
        <v>0</v>
      </c>
      <c r="AJ181" s="171">
        <f ca="1">SUMIFS(ФОТ!AI$25:AI$127,ФОТ!$F$25:$F$127,$F181,ФОТ!$G$25:$G$127,$G181)</f>
        <v>0</v>
      </c>
      <c r="AK181" s="542"/>
      <c r="AL181" s="542"/>
      <c r="AM181" s="542"/>
      <c r="AN181" s="542"/>
      <c r="AO181" s="542"/>
      <c r="AP181" s="542"/>
      <c r="AQ181" s="542"/>
      <c r="AR181" s="542"/>
      <c r="AS181" s="542"/>
      <c r="AT181" s="171">
        <f ca="1">SUMIFS(ФОТ!AJ$25:AJ$127,ФОТ!$F$25:$F$127,$F181,ФОТ!$G$25:$G$127,$G181)</f>
        <v>0</v>
      </c>
      <c r="AU181" s="542"/>
      <c r="AV181" s="542"/>
      <c r="AW181" s="542"/>
      <c r="AX181" s="542"/>
      <c r="AY181" s="542"/>
      <c r="AZ181" s="542"/>
      <c r="BA181" s="542"/>
      <c r="BB181" s="542"/>
      <c r="BC181" s="542"/>
      <c r="BD181" s="171">
        <f t="shared" ca="1" si="51"/>
        <v>0</v>
      </c>
      <c r="BE181" s="542"/>
      <c r="BF181" s="542"/>
      <c r="BG181" s="542"/>
      <c r="BH181" s="542"/>
      <c r="BI181" s="542"/>
      <c r="BJ181" s="542"/>
      <c r="BK181" s="542"/>
      <c r="BL181" s="542"/>
      <c r="BM181" s="542"/>
      <c r="BN181" s="196" t="s">
        <v>2235</v>
      </c>
      <c r="BO181" s="601" t="str">
        <f ca="1">IF(IFERROR(INDEX(ФОТ!$K$26:$L$127,MATCH($F181&amp;"2komm",ФОТ!$K$26:$K$127,0),2),"")=0,"",IFERROR(INDEX(ФОТ!$K$26:$L$127,MATCH($F181&amp;"2komm",ФОТ!$K$26:$K$127,0),2),""))</f>
        <v/>
      </c>
      <c r="BP181" s="196"/>
      <c r="BS181" s="694" t="s">
        <v>1777</v>
      </c>
    </row>
    <row r="182" spans="1:75" ht="54.75" customHeight="1" x14ac:dyDescent="0.25">
      <c r="C182" s="25"/>
      <c r="D182" s="25"/>
      <c r="E182" s="451">
        <v>15</v>
      </c>
      <c r="F182" s="3" t="str" cm="1">
        <f t="array" aca="1" ref="F182" ca="1">OFFSET(E182,-1,1)</f>
        <v>1</v>
      </c>
      <c r="G182" s="25"/>
      <c r="H182" s="577"/>
      <c r="I182" s="577" t="s">
        <v>1510</v>
      </c>
      <c r="J182" s="25"/>
      <c r="K182" s="277" t="s">
        <v>1510</v>
      </c>
      <c r="L182" s="25" t="s">
        <v>1779</v>
      </c>
      <c r="M182" s="25"/>
      <c r="N182" s="25"/>
      <c r="O182" s="25"/>
      <c r="P182" s="25"/>
      <c r="Q182" s="25"/>
      <c r="R182" s="25"/>
      <c r="S182" s="25"/>
      <c r="T182" s="353" t="b" cm="1">
        <f t="array" ref="T182">T181</f>
        <v>1</v>
      </c>
      <c r="U182" s="25"/>
      <c r="V182" s="25"/>
      <c r="W182" s="25"/>
      <c r="X182" s="1022"/>
      <c r="Z182" s="967"/>
      <c r="AB182" s="7" t="s">
        <v>1753</v>
      </c>
      <c r="AC182" s="134" t="s">
        <v>1964</v>
      </c>
      <c r="AD182" s="9" t="s">
        <v>828</v>
      </c>
      <c r="AE182" s="128">
        <v>119.92874399999999</v>
      </c>
      <c r="AF182" s="128"/>
      <c r="AG182" s="128">
        <v>119.92874399999999</v>
      </c>
      <c r="AH182" s="171">
        <f t="shared" si="48"/>
        <v>119.92874399999999</v>
      </c>
      <c r="AI182" s="128"/>
      <c r="AJ182" s="128"/>
      <c r="AK182" s="542"/>
      <c r="AL182" s="542"/>
      <c r="AM182" s="542"/>
      <c r="AN182" s="542"/>
      <c r="AO182" s="542"/>
      <c r="AP182" s="542"/>
      <c r="AQ182" s="542"/>
      <c r="AR182" s="542"/>
      <c r="AS182" s="542"/>
      <c r="AT182" s="128"/>
      <c r="AU182" s="542"/>
      <c r="AV182" s="542"/>
      <c r="AW182" s="542"/>
      <c r="AX182" s="542"/>
      <c r="AY182" s="542"/>
      <c r="AZ182" s="542"/>
      <c r="BA182" s="542"/>
      <c r="BB182" s="542"/>
      <c r="BC182" s="542"/>
      <c r="BD182" s="171">
        <f t="shared" si="51"/>
        <v>0</v>
      </c>
      <c r="BE182" s="542"/>
      <c r="BF182" s="542"/>
      <c r="BG182" s="542"/>
      <c r="BH182" s="542"/>
      <c r="BI182" s="542"/>
      <c r="BJ182" s="542"/>
      <c r="BK182" s="542"/>
      <c r="BL182" s="542"/>
      <c r="BM182" s="542"/>
      <c r="BN182" s="196" t="s">
        <v>2236</v>
      </c>
      <c r="BO182" s="196"/>
      <c r="BP182" s="196"/>
      <c r="BS182" s="695" t="s">
        <v>1782</v>
      </c>
    </row>
    <row r="183" spans="1:75" ht="14.25" customHeight="1" x14ac:dyDescent="0.25">
      <c r="C183" s="25"/>
      <c r="D183" s="25"/>
      <c r="E183" s="451">
        <v>15</v>
      </c>
      <c r="F183" s="3" t="str" cm="1">
        <f t="array" aca="1" ref="F183" ca="1">OFFSET(E183,-1,1)</f>
        <v>1</v>
      </c>
      <c r="G183" s="25"/>
      <c r="H183" s="577"/>
      <c r="I183" s="577" t="s">
        <v>1514</v>
      </c>
      <c r="J183" s="25"/>
      <c r="K183" s="277" t="s">
        <v>1514</v>
      </c>
      <c r="L183" s="25" t="s">
        <v>1783</v>
      </c>
      <c r="N183" s="25"/>
      <c r="O183" s="25"/>
      <c r="P183" s="25"/>
      <c r="Q183" s="25"/>
      <c r="R183" s="25"/>
      <c r="S183" s="25"/>
      <c r="T183" s="353" t="b" cm="1">
        <f t="array" ref="T183">T182</f>
        <v>1</v>
      </c>
      <c r="U183" s="25"/>
      <c r="V183" s="25"/>
      <c r="W183" s="25"/>
      <c r="X183" s="1022"/>
      <c r="Z183" s="967"/>
      <c r="AB183" s="7" t="s">
        <v>1755</v>
      </c>
      <c r="AC183" s="134" t="s">
        <v>1965</v>
      </c>
      <c r="AD183" s="7" t="s">
        <v>828</v>
      </c>
      <c r="AE183" s="171">
        <f>SUM(AE184:AE190)</f>
        <v>4535.4548199999999</v>
      </c>
      <c r="AF183" s="171">
        <f>SUM(AF184:AF190)</f>
        <v>14090.939464007</v>
      </c>
      <c r="AG183" s="171">
        <f>SUM(AG184:AG190)</f>
        <v>4535.4548199999999</v>
      </c>
      <c r="AH183" s="171">
        <f t="shared" si="48"/>
        <v>-9555.4846440069996</v>
      </c>
      <c r="AI183" s="171">
        <f>SUM(AI184:AI190)</f>
        <v>0</v>
      </c>
      <c r="AJ183" s="171">
        <f>SUM(AJ184:AJ190)</f>
        <v>0</v>
      </c>
      <c r="AK183" s="542"/>
      <c r="AL183" s="542"/>
      <c r="AM183" s="542"/>
      <c r="AN183" s="542"/>
      <c r="AO183" s="542"/>
      <c r="AP183" s="542"/>
      <c r="AQ183" s="542"/>
      <c r="AR183" s="542"/>
      <c r="AS183" s="542"/>
      <c r="AT183" s="171">
        <f>SUM(AT184:AT190)</f>
        <v>0</v>
      </c>
      <c r="AU183" s="542"/>
      <c r="AV183" s="542"/>
      <c r="AW183" s="542"/>
      <c r="AX183" s="542"/>
      <c r="AY183" s="542"/>
      <c r="AZ183" s="542"/>
      <c r="BA183" s="542"/>
      <c r="BB183" s="542"/>
      <c r="BC183" s="542"/>
      <c r="BD183" s="171">
        <f t="shared" si="51"/>
        <v>0</v>
      </c>
      <c r="BE183" s="542"/>
      <c r="BF183" s="542"/>
      <c r="BG183" s="542"/>
      <c r="BH183" s="542"/>
      <c r="BI183" s="542"/>
      <c r="BJ183" s="542"/>
      <c r="BK183" s="542"/>
      <c r="BL183" s="542"/>
      <c r="BM183" s="542"/>
      <c r="BN183" s="196"/>
      <c r="BO183" s="196"/>
      <c r="BP183" s="196"/>
      <c r="BS183" s="695" t="s">
        <v>1966</v>
      </c>
    </row>
    <row r="184" spans="1:75" ht="14.25" customHeight="1" x14ac:dyDescent="0.25">
      <c r="C184" s="25"/>
      <c r="D184" s="25"/>
      <c r="E184" s="451">
        <v>15</v>
      </c>
      <c r="F184" s="3" t="str" cm="1">
        <f t="array" aca="1" ref="F184" ca="1">OFFSET(E184,-1,1)</f>
        <v>1</v>
      </c>
      <c r="G184" s="25"/>
      <c r="H184" s="577"/>
      <c r="I184" s="577" t="s">
        <v>1967</v>
      </c>
      <c r="J184" s="25"/>
      <c r="K184" s="277" t="s">
        <v>1967</v>
      </c>
      <c r="L184" s="25" t="s">
        <v>1783</v>
      </c>
      <c r="M184" s="25" t="s">
        <v>1791</v>
      </c>
      <c r="N184" s="25"/>
      <c r="O184" s="25"/>
      <c r="P184" s="25"/>
      <c r="Q184" s="25"/>
      <c r="R184" s="25"/>
      <c r="S184" s="25"/>
      <c r="T184" s="353" t="b" cm="1">
        <f t="array" ref="T184">T183</f>
        <v>1</v>
      </c>
      <c r="U184" s="25"/>
      <c r="V184" s="25"/>
      <c r="W184" s="25"/>
      <c r="X184" s="1022"/>
      <c r="Z184" s="967"/>
      <c r="AB184" s="7" t="s">
        <v>1968</v>
      </c>
      <c r="AC184" s="543" t="s">
        <v>1969</v>
      </c>
      <c r="AD184" s="7" t="s">
        <v>828</v>
      </c>
      <c r="AE184" s="128"/>
      <c r="AF184" s="128"/>
      <c r="AG184" s="128"/>
      <c r="AH184" s="171">
        <f t="shared" si="48"/>
        <v>0</v>
      </c>
      <c r="AI184" s="128"/>
      <c r="AJ184" s="128"/>
      <c r="AK184" s="542"/>
      <c r="AL184" s="542"/>
      <c r="AM184" s="542"/>
      <c r="AN184" s="542"/>
      <c r="AO184" s="542"/>
      <c r="AP184" s="542"/>
      <c r="AQ184" s="542"/>
      <c r="AR184" s="542"/>
      <c r="AS184" s="542"/>
      <c r="AT184" s="128"/>
      <c r="AU184" s="542"/>
      <c r="AV184" s="542"/>
      <c r="AW184" s="542"/>
      <c r="AX184" s="542"/>
      <c r="AY184" s="542"/>
      <c r="AZ184" s="542"/>
      <c r="BA184" s="542"/>
      <c r="BB184" s="542"/>
      <c r="BC184" s="542"/>
      <c r="BD184" s="171">
        <f t="shared" si="51"/>
        <v>0</v>
      </c>
      <c r="BE184" s="542"/>
      <c r="BF184" s="542"/>
      <c r="BG184" s="542"/>
      <c r="BH184" s="542"/>
      <c r="BI184" s="542"/>
      <c r="BJ184" s="542"/>
      <c r="BK184" s="542"/>
      <c r="BL184" s="542"/>
      <c r="BM184" s="542"/>
      <c r="BN184" s="196"/>
      <c r="BO184" s="196"/>
      <c r="BP184" s="196"/>
      <c r="BS184" s="694" t="s">
        <v>1794</v>
      </c>
    </row>
    <row r="185" spans="1:75" ht="21.75" customHeight="1" x14ac:dyDescent="0.15">
      <c r="C185" s="25"/>
      <c r="D185" s="25"/>
      <c r="E185" s="451">
        <v>22.5</v>
      </c>
      <c r="F185" s="3" t="str" cm="1">
        <f t="array" aca="1" ref="F185" ca="1">OFFSET(E185,-1,1)</f>
        <v>1</v>
      </c>
      <c r="G185" s="25"/>
      <c r="H185" s="577"/>
      <c r="I185" s="577" t="s">
        <v>1970</v>
      </c>
      <c r="J185" s="25"/>
      <c r="K185" s="277" t="s">
        <v>1970</v>
      </c>
      <c r="L185" s="25" t="s">
        <v>1783</v>
      </c>
      <c r="M185" s="25" t="s">
        <v>1787</v>
      </c>
      <c r="N185" s="25"/>
      <c r="O185" s="25"/>
      <c r="P185" s="25"/>
      <c r="Q185" s="25"/>
      <c r="R185" s="25"/>
      <c r="S185" s="25"/>
      <c r="T185" s="353" t="b" cm="1">
        <f t="array" ref="T185">T184</f>
        <v>1</v>
      </c>
      <c r="U185" s="25"/>
      <c r="V185" s="25"/>
      <c r="W185" s="25"/>
      <c r="X185" s="1022"/>
      <c r="Z185" s="967"/>
      <c r="AB185" s="7" t="s">
        <v>1971</v>
      </c>
      <c r="AC185" s="543" t="s">
        <v>1972</v>
      </c>
      <c r="AD185" s="7" t="s">
        <v>828</v>
      </c>
      <c r="AE185" s="128"/>
      <c r="AF185" s="128"/>
      <c r="AG185" s="128"/>
      <c r="AH185" s="171">
        <f t="shared" si="48"/>
        <v>0</v>
      </c>
      <c r="AI185" s="128"/>
      <c r="AJ185" s="128"/>
      <c r="AK185" s="542"/>
      <c r="AL185" s="542"/>
      <c r="AM185" s="542"/>
      <c r="AN185" s="542"/>
      <c r="AO185" s="542"/>
      <c r="AP185" s="542"/>
      <c r="AQ185" s="542"/>
      <c r="AR185" s="542"/>
      <c r="AS185" s="542"/>
      <c r="AT185" s="128"/>
      <c r="AU185" s="542"/>
      <c r="AV185" s="542"/>
      <c r="AW185" s="542"/>
      <c r="AX185" s="542"/>
      <c r="AY185" s="542"/>
      <c r="AZ185" s="542"/>
      <c r="BA185" s="542"/>
      <c r="BB185" s="542"/>
      <c r="BC185" s="542"/>
      <c r="BD185" s="171">
        <f t="shared" si="51"/>
        <v>0</v>
      </c>
      <c r="BE185" s="542"/>
      <c r="BF185" s="542"/>
      <c r="BG185" s="542"/>
      <c r="BH185" s="542"/>
      <c r="BI185" s="542"/>
      <c r="BJ185" s="542"/>
      <c r="BK185" s="542"/>
      <c r="BL185" s="542"/>
      <c r="BM185" s="542"/>
      <c r="BN185" s="196"/>
      <c r="BO185" s="196"/>
      <c r="BP185" s="196"/>
      <c r="BS185" s="696" t="s">
        <v>1973</v>
      </c>
    </row>
    <row r="186" spans="1:75" ht="21.75" customHeight="1" x14ac:dyDescent="0.15">
      <c r="C186" s="25"/>
      <c r="D186" s="25"/>
      <c r="E186" s="451">
        <v>22.5</v>
      </c>
      <c r="F186" s="3" t="str" cm="1">
        <f t="array" aca="1" ref="F186" ca="1">OFFSET(E186,-1,1)</f>
        <v>1</v>
      </c>
      <c r="G186" s="25"/>
      <c r="H186" s="577"/>
      <c r="I186" s="577" t="s">
        <v>1974</v>
      </c>
      <c r="J186" s="25"/>
      <c r="K186" s="277" t="s">
        <v>1974</v>
      </c>
      <c r="N186" s="25"/>
      <c r="O186" s="25"/>
      <c r="P186" s="25"/>
      <c r="Q186" s="25"/>
      <c r="R186" s="25"/>
      <c r="S186" s="25"/>
      <c r="T186" s="353" t="b" cm="1">
        <f t="array" ref="T186">T185</f>
        <v>1</v>
      </c>
      <c r="U186" s="25"/>
      <c r="V186" s="25"/>
      <c r="W186" s="25"/>
      <c r="X186" s="1022"/>
      <c r="Z186" s="967"/>
      <c r="AB186" s="7" t="s">
        <v>1975</v>
      </c>
      <c r="AC186" s="544" t="s">
        <v>1976</v>
      </c>
      <c r="AD186" s="7" t="s">
        <v>828</v>
      </c>
      <c r="AE186" s="128"/>
      <c r="AF186" s="128"/>
      <c r="AG186" s="128"/>
      <c r="AH186" s="171">
        <f t="shared" si="48"/>
        <v>0</v>
      </c>
      <c r="AI186" s="128"/>
      <c r="AJ186" s="128"/>
      <c r="AK186" s="542"/>
      <c r="AL186" s="542"/>
      <c r="AM186" s="542"/>
      <c r="AN186" s="542"/>
      <c r="AO186" s="542"/>
      <c r="AP186" s="542"/>
      <c r="AQ186" s="542"/>
      <c r="AR186" s="542"/>
      <c r="AS186" s="542"/>
      <c r="AT186" s="128"/>
      <c r="AU186" s="542"/>
      <c r="AV186" s="542"/>
      <c r="AW186" s="542"/>
      <c r="AX186" s="542"/>
      <c r="AY186" s="542"/>
      <c r="AZ186" s="542"/>
      <c r="BA186" s="542"/>
      <c r="BB186" s="542"/>
      <c r="BC186" s="542"/>
      <c r="BD186" s="171">
        <f t="shared" si="51"/>
        <v>0</v>
      </c>
      <c r="BE186" s="542"/>
      <c r="BF186" s="542"/>
      <c r="BG186" s="542"/>
      <c r="BH186" s="542"/>
      <c r="BI186" s="542"/>
      <c r="BJ186" s="542"/>
      <c r="BK186" s="542"/>
      <c r="BL186" s="542"/>
      <c r="BM186" s="542"/>
      <c r="BN186" s="196"/>
      <c r="BO186" s="196"/>
      <c r="BP186" s="196"/>
      <c r="BS186" s="696" t="s">
        <v>1977</v>
      </c>
    </row>
    <row r="187" spans="1:75" ht="21.75" customHeight="1" x14ac:dyDescent="0.15">
      <c r="C187" s="25"/>
      <c r="D187" s="25"/>
      <c r="E187" s="451">
        <v>22.5</v>
      </c>
      <c r="F187" s="3" t="str" cm="1">
        <f t="array" aca="1" ref="F187" ca="1">OFFSET(E187,-1,1)</f>
        <v>1</v>
      </c>
      <c r="G187" s="25"/>
      <c r="H187" s="577"/>
      <c r="I187" s="577" t="s">
        <v>1978</v>
      </c>
      <c r="J187" s="25"/>
      <c r="K187" s="277" t="s">
        <v>1978</v>
      </c>
      <c r="L187" s="25"/>
      <c r="N187" s="25"/>
      <c r="O187" s="25"/>
      <c r="P187" s="25"/>
      <c r="Q187" s="25"/>
      <c r="R187" s="25"/>
      <c r="S187" s="25"/>
      <c r="T187" s="353" t="b" cm="1">
        <f t="array" ref="T187">T186</f>
        <v>1</v>
      </c>
      <c r="U187" s="25"/>
      <c r="V187" s="25"/>
      <c r="W187" s="25"/>
      <c r="X187" s="1022"/>
      <c r="Z187" s="967"/>
      <c r="AB187" s="7" t="s">
        <v>1979</v>
      </c>
      <c r="AC187" s="544" t="s">
        <v>1980</v>
      </c>
      <c r="AD187" s="7" t="s">
        <v>828</v>
      </c>
      <c r="AE187" s="128"/>
      <c r="AF187" s="128"/>
      <c r="AG187" s="128"/>
      <c r="AH187" s="171">
        <f t="shared" si="48"/>
        <v>0</v>
      </c>
      <c r="AI187" s="128"/>
      <c r="AJ187" s="128"/>
      <c r="AK187" s="542"/>
      <c r="AL187" s="542"/>
      <c r="AM187" s="542"/>
      <c r="AN187" s="542"/>
      <c r="AO187" s="542"/>
      <c r="AP187" s="542"/>
      <c r="AQ187" s="542"/>
      <c r="AR187" s="542"/>
      <c r="AS187" s="542"/>
      <c r="AT187" s="128"/>
      <c r="AU187" s="542"/>
      <c r="AV187" s="542"/>
      <c r="AW187" s="542"/>
      <c r="AX187" s="542"/>
      <c r="AY187" s="542"/>
      <c r="AZ187" s="542"/>
      <c r="BA187" s="542"/>
      <c r="BB187" s="542"/>
      <c r="BC187" s="542"/>
      <c r="BD187" s="171">
        <f t="shared" si="51"/>
        <v>0</v>
      </c>
      <c r="BE187" s="542"/>
      <c r="BF187" s="542"/>
      <c r="BG187" s="542"/>
      <c r="BH187" s="542"/>
      <c r="BI187" s="542"/>
      <c r="BJ187" s="542"/>
      <c r="BK187" s="542"/>
      <c r="BL187" s="542"/>
      <c r="BM187" s="542"/>
      <c r="BN187" s="196"/>
      <c r="BO187" s="196"/>
      <c r="BP187" s="196"/>
      <c r="BS187" s="696" t="s">
        <v>1981</v>
      </c>
    </row>
    <row r="188" spans="1:75" ht="43.5" customHeight="1" x14ac:dyDescent="0.15">
      <c r="C188" s="25"/>
      <c r="D188" s="25"/>
      <c r="E188" s="451">
        <v>45</v>
      </c>
      <c r="F188" s="3" t="str" cm="1">
        <f t="array" aca="1" ref="F188" ca="1">OFFSET(E188,-1,1)</f>
        <v>1</v>
      </c>
      <c r="G188" s="25"/>
      <c r="H188" s="577"/>
      <c r="I188" s="577" t="s">
        <v>1982</v>
      </c>
      <c r="J188" s="25"/>
      <c r="K188" s="277" t="s">
        <v>1982</v>
      </c>
      <c r="L188" s="25" t="s">
        <v>1783</v>
      </c>
      <c r="M188" s="25" t="s">
        <v>1795</v>
      </c>
      <c r="N188" s="25"/>
      <c r="O188" s="25"/>
      <c r="P188" s="25"/>
      <c r="Q188" s="25"/>
      <c r="R188" s="25"/>
      <c r="S188" s="25"/>
      <c r="T188" s="353" t="b" cm="1">
        <f t="array" ref="T188">T187</f>
        <v>1</v>
      </c>
      <c r="U188" s="25"/>
      <c r="V188" s="25"/>
      <c r="W188" s="25"/>
      <c r="X188" s="1022"/>
      <c r="Z188" s="967"/>
      <c r="AB188" s="7" t="s">
        <v>1983</v>
      </c>
      <c r="AC188" s="543" t="s">
        <v>1984</v>
      </c>
      <c r="AD188" s="7" t="s">
        <v>828</v>
      </c>
      <c r="AE188" s="128"/>
      <c r="AF188" s="128"/>
      <c r="AG188" s="128"/>
      <c r="AH188" s="171">
        <f t="shared" si="48"/>
        <v>0</v>
      </c>
      <c r="AI188" s="128"/>
      <c r="AJ188" s="128"/>
      <c r="AK188" s="542"/>
      <c r="AL188" s="542"/>
      <c r="AM188" s="542"/>
      <c r="AN188" s="542"/>
      <c r="AO188" s="542"/>
      <c r="AP188" s="542"/>
      <c r="AQ188" s="542"/>
      <c r="AR188" s="542"/>
      <c r="AS188" s="542"/>
      <c r="AT188" s="128"/>
      <c r="AU188" s="542"/>
      <c r="AV188" s="542"/>
      <c r="AW188" s="542"/>
      <c r="AX188" s="542"/>
      <c r="AY188" s="542"/>
      <c r="AZ188" s="542"/>
      <c r="BA188" s="542"/>
      <c r="BB188" s="542"/>
      <c r="BC188" s="542"/>
      <c r="BD188" s="171">
        <f t="shared" si="51"/>
        <v>0</v>
      </c>
      <c r="BE188" s="542"/>
      <c r="BF188" s="542"/>
      <c r="BG188" s="542"/>
      <c r="BH188" s="542"/>
      <c r="BI188" s="542"/>
      <c r="BJ188" s="542"/>
      <c r="BK188" s="542"/>
      <c r="BL188" s="542"/>
      <c r="BM188" s="542"/>
      <c r="BN188" s="196"/>
      <c r="BO188" s="196"/>
      <c r="BP188" s="196"/>
      <c r="BS188" s="696" t="s">
        <v>1798</v>
      </c>
    </row>
    <row r="189" spans="1:75" ht="14.25" customHeight="1" x14ac:dyDescent="0.15">
      <c r="C189" s="25"/>
      <c r="D189" s="25"/>
      <c r="E189" s="451">
        <v>15</v>
      </c>
      <c r="F189" s="3" t="str" cm="1">
        <f t="array" aca="1" ref="F189" ca="1">OFFSET(E189,-1,1)</f>
        <v>1</v>
      </c>
      <c r="G189" s="25"/>
      <c r="H189" s="577"/>
      <c r="I189" s="577" t="s">
        <v>1985</v>
      </c>
      <c r="J189" s="25"/>
      <c r="K189" s="277" t="s">
        <v>1985</v>
      </c>
      <c r="L189" s="25" t="s">
        <v>1783</v>
      </c>
      <c r="M189" s="25" t="s">
        <v>1799</v>
      </c>
      <c r="N189" s="25"/>
      <c r="O189" s="25"/>
      <c r="P189" s="25"/>
      <c r="Q189" s="25"/>
      <c r="R189" s="25"/>
      <c r="S189" s="25"/>
      <c r="T189" s="353" t="b" cm="1">
        <f t="array" ref="T189">T188</f>
        <v>1</v>
      </c>
      <c r="U189" s="25"/>
      <c r="V189" s="25"/>
      <c r="W189" s="25"/>
      <c r="X189" s="1022"/>
      <c r="Z189" s="967"/>
      <c r="AB189" s="7" t="s">
        <v>1986</v>
      </c>
      <c r="AC189" s="543" t="s">
        <v>1801</v>
      </c>
      <c r="AD189" s="7" t="s">
        <v>828</v>
      </c>
      <c r="AE189" s="128"/>
      <c r="AF189" s="128"/>
      <c r="AG189" s="128"/>
      <c r="AH189" s="171">
        <f t="shared" si="48"/>
        <v>0</v>
      </c>
      <c r="AI189" s="128"/>
      <c r="AJ189" s="128"/>
      <c r="AK189" s="542"/>
      <c r="AL189" s="542"/>
      <c r="AM189" s="542"/>
      <c r="AN189" s="542"/>
      <c r="AO189" s="542"/>
      <c r="AP189" s="542"/>
      <c r="AQ189" s="542"/>
      <c r="AR189" s="542"/>
      <c r="AS189" s="542"/>
      <c r="AT189" s="128"/>
      <c r="AU189" s="542"/>
      <c r="AV189" s="542"/>
      <c r="AW189" s="542"/>
      <c r="AX189" s="542"/>
      <c r="AY189" s="542"/>
      <c r="AZ189" s="542"/>
      <c r="BA189" s="542"/>
      <c r="BB189" s="542"/>
      <c r="BC189" s="542"/>
      <c r="BD189" s="171">
        <f t="shared" si="51"/>
        <v>0</v>
      </c>
      <c r="BE189" s="542"/>
      <c r="BF189" s="542"/>
      <c r="BG189" s="542"/>
      <c r="BH189" s="542"/>
      <c r="BI189" s="542"/>
      <c r="BJ189" s="542"/>
      <c r="BK189" s="542"/>
      <c r="BL189" s="542"/>
      <c r="BM189" s="542"/>
      <c r="BN189" s="196"/>
      <c r="BO189" s="196"/>
      <c r="BP189" s="196"/>
      <c r="BS189" s="696" t="s">
        <v>1802</v>
      </c>
    </row>
    <row r="190" spans="1:75" ht="409.6" customHeight="1" x14ac:dyDescent="0.15">
      <c r="C190" s="25"/>
      <c r="D190" s="25"/>
      <c r="E190" s="451">
        <v>15</v>
      </c>
      <c r="F190" s="3" t="str" cm="1">
        <f t="array" aca="1" ref="F190" ca="1">OFFSET(E190,-1,1)</f>
        <v>1</v>
      </c>
      <c r="G190" s="25"/>
      <c r="H190" s="577"/>
      <c r="I190" s="577" t="s">
        <v>1987</v>
      </c>
      <c r="J190" s="25"/>
      <c r="K190" s="277" t="s">
        <v>1987</v>
      </c>
      <c r="L190" s="25"/>
      <c r="M190" s="25"/>
      <c r="N190" s="25"/>
      <c r="O190" s="25"/>
      <c r="P190" s="25"/>
      <c r="Q190" s="25"/>
      <c r="R190" s="25"/>
      <c r="S190" s="25"/>
      <c r="T190" s="353" t="b" cm="1">
        <f t="array" ref="T190">T189</f>
        <v>1</v>
      </c>
      <c r="U190" s="25"/>
      <c r="V190" s="25"/>
      <c r="W190" s="25"/>
      <c r="X190" s="1022"/>
      <c r="Z190" s="967"/>
      <c r="AB190" s="7" t="s">
        <v>1988</v>
      </c>
      <c r="AC190" s="543" t="s">
        <v>1989</v>
      </c>
      <c r="AD190" s="7" t="s">
        <v>828</v>
      </c>
      <c r="AE190" s="128">
        <v>4535.4548199999999</v>
      </c>
      <c r="AF190" s="128">
        <v>14090.939464007</v>
      </c>
      <c r="AG190" s="128">
        <v>4535.4548199999999</v>
      </c>
      <c r="AH190" s="171">
        <f t="shared" si="48"/>
        <v>-9555.4846440069996</v>
      </c>
      <c r="AI190" s="128"/>
      <c r="AJ190" s="128"/>
      <c r="AK190" s="542"/>
      <c r="AL190" s="542"/>
      <c r="AM190" s="542"/>
      <c r="AN190" s="542"/>
      <c r="AO190" s="542"/>
      <c r="AP190" s="542"/>
      <c r="AQ190" s="542"/>
      <c r="AR190" s="542"/>
      <c r="AS190" s="542"/>
      <c r="AT190" s="128"/>
      <c r="AU190" s="542"/>
      <c r="AV190" s="542"/>
      <c r="AW190" s="542"/>
      <c r="AX190" s="542"/>
      <c r="AY190" s="542"/>
      <c r="AZ190" s="542"/>
      <c r="BA190" s="542"/>
      <c r="BB190" s="542"/>
      <c r="BC190" s="542"/>
      <c r="BD190" s="171">
        <f t="shared" si="51"/>
        <v>0</v>
      </c>
      <c r="BE190" s="542"/>
      <c r="BF190" s="542"/>
      <c r="BG190" s="542"/>
      <c r="BH190" s="542"/>
      <c r="BI190" s="542"/>
      <c r="BJ190" s="542"/>
      <c r="BK190" s="542"/>
      <c r="BL190" s="542"/>
      <c r="BM190" s="542"/>
      <c r="BN190" s="196" t="s">
        <v>2237</v>
      </c>
      <c r="BO190" s="196"/>
      <c r="BP190" s="196"/>
      <c r="BS190" s="696" t="s">
        <v>1786</v>
      </c>
    </row>
    <row r="191" spans="1:75" s="870" customFormat="1" ht="54.75" customHeight="1" x14ac:dyDescent="0.25">
      <c r="A191" s="76"/>
      <c r="B191" s="332"/>
      <c r="C191" s="27"/>
      <c r="D191" s="27"/>
      <c r="E191" s="559">
        <v>21</v>
      </c>
      <c r="F191" s="3" t="str" cm="1">
        <f t="array" aca="1" ref="F191" ca="1">OFFSET(E191,-1,1)</f>
        <v>1</v>
      </c>
      <c r="G191" s="27"/>
      <c r="H191" s="577"/>
      <c r="I191" s="577" t="s">
        <v>489</v>
      </c>
      <c r="J191" s="27"/>
      <c r="K191" s="277" t="s">
        <v>489</v>
      </c>
      <c r="L191" s="27"/>
      <c r="M191" s="27"/>
      <c r="N191" s="27"/>
      <c r="O191" s="27"/>
      <c r="P191" s="27"/>
      <c r="Q191" s="27"/>
      <c r="R191" s="27"/>
      <c r="S191" s="27"/>
      <c r="T191" s="353" t="b" cm="1">
        <f t="array" ref="T191">T190</f>
        <v>1</v>
      </c>
      <c r="U191" s="27"/>
      <c r="V191" s="27"/>
      <c r="W191" s="27"/>
      <c r="X191" s="1022"/>
      <c r="Y191" s="76"/>
      <c r="Z191" s="967"/>
      <c r="AA191" s="76"/>
      <c r="AB191" s="124" t="s">
        <v>945</v>
      </c>
      <c r="AC191" s="263" t="s">
        <v>1806</v>
      </c>
      <c r="AD191" s="124" t="s">
        <v>828</v>
      </c>
      <c r="AE191" s="126">
        <f ca="1">AE192+AE193+AE194</f>
        <v>3924.21</v>
      </c>
      <c r="AF191" s="126">
        <f ca="1">AF192+AF193+AF194</f>
        <v>11559.1380861241</v>
      </c>
      <c r="AG191" s="126">
        <f ca="1">AG192+AG193+AG194</f>
        <v>3924.21</v>
      </c>
      <c r="AH191" s="126">
        <f t="shared" ca="1" si="48"/>
        <v>-7634.9280861240995</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6" t="s">
        <v>2238</v>
      </c>
      <c r="BO191" s="556"/>
      <c r="BP191" s="556"/>
      <c r="BQ191" s="76"/>
      <c r="BR191" s="76"/>
      <c r="BS191" s="695" t="s">
        <v>1807</v>
      </c>
      <c r="BT191" s="702"/>
      <c r="BU191" s="702"/>
      <c r="BV191" s="511"/>
      <c r="BW191" s="511"/>
    </row>
    <row r="192" spans="1:75" ht="107.25" customHeight="1" x14ac:dyDescent="0.25">
      <c r="C192" s="25"/>
      <c r="D192" s="25"/>
      <c r="E192" s="451">
        <v>22.5</v>
      </c>
      <c r="F192" s="3" t="str" cm="1">
        <f t="array" aca="1" ref="F192" ca="1">OFFSET(E192,-1,1)</f>
        <v>1</v>
      </c>
      <c r="G192" s="25"/>
      <c r="H192" s="577"/>
      <c r="I192" s="577" t="s">
        <v>1357</v>
      </c>
      <c r="J192" s="25"/>
      <c r="K192" s="277" t="s">
        <v>1357</v>
      </c>
      <c r="L192" s="25"/>
      <c r="M192" s="25"/>
      <c r="N192" s="25"/>
      <c r="O192" s="25"/>
      <c r="P192" s="25"/>
      <c r="Q192" s="25"/>
      <c r="R192" s="25"/>
      <c r="S192" s="25"/>
      <c r="T192" s="353" t="b" cm="1">
        <f t="array" ref="T192">T191</f>
        <v>1</v>
      </c>
      <c r="U192" s="25"/>
      <c r="V192" s="25"/>
      <c r="W192" s="25"/>
      <c r="X192" s="1022"/>
      <c r="Z192" s="967"/>
      <c r="AB192" s="7" t="s">
        <v>1358</v>
      </c>
      <c r="AC192" s="134" t="s">
        <v>1990</v>
      </c>
      <c r="AD192" s="7" t="s">
        <v>828</v>
      </c>
      <c r="AE192" s="128">
        <v>2400.56</v>
      </c>
      <c r="AF192" s="128">
        <v>2429.7967691582999</v>
      </c>
      <c r="AG192" s="128">
        <v>2400.56</v>
      </c>
      <c r="AH192" s="171">
        <f t="shared" si="48"/>
        <v>-29.236769158299921</v>
      </c>
      <c r="AI192" s="128"/>
      <c r="AJ192" s="128"/>
      <c r="AK192" s="542"/>
      <c r="AL192" s="542"/>
      <c r="AM192" s="542"/>
      <c r="AN192" s="542"/>
      <c r="AO192" s="542"/>
      <c r="AP192" s="542"/>
      <c r="AQ192" s="542"/>
      <c r="AR192" s="542"/>
      <c r="AS192" s="542"/>
      <c r="AT192" s="128"/>
      <c r="AU192" s="542"/>
      <c r="AV192" s="542"/>
      <c r="AW192" s="542"/>
      <c r="AX192" s="542"/>
      <c r="AY192" s="542"/>
      <c r="AZ192" s="542"/>
      <c r="BA192" s="542"/>
      <c r="BB192" s="542"/>
      <c r="BC192" s="542"/>
      <c r="BD192" s="171">
        <f t="shared" si="51"/>
        <v>0</v>
      </c>
      <c r="BE192" s="542"/>
      <c r="BF192" s="542"/>
      <c r="BG192" s="542"/>
      <c r="BH192" s="542"/>
      <c r="BI192" s="542"/>
      <c r="BJ192" s="542"/>
      <c r="BK192" s="542"/>
      <c r="BL192" s="542"/>
      <c r="BM192" s="542"/>
      <c r="BN192" s="196" t="s">
        <v>2239</v>
      </c>
      <c r="BO192" s="196"/>
      <c r="BP192" s="196"/>
      <c r="BS192" s="694" t="s">
        <v>1809</v>
      </c>
    </row>
    <row r="193" spans="1:75" ht="212.25" customHeight="1" x14ac:dyDescent="0.15">
      <c r="C193" s="25"/>
      <c r="D193" s="25"/>
      <c r="E193" s="451">
        <v>22.5</v>
      </c>
      <c r="F193" s="3" t="str" cm="1">
        <f t="array" aca="1" ref="F193" ca="1">OFFSET(E193,-1,1)</f>
        <v>1</v>
      </c>
      <c r="G193" s="25"/>
      <c r="H193" s="577"/>
      <c r="I193" s="577" t="s">
        <v>1361</v>
      </c>
      <c r="J193" s="25"/>
      <c r="K193" s="277" t="s">
        <v>1361</v>
      </c>
      <c r="L193" s="25"/>
      <c r="M193" s="25"/>
      <c r="N193" s="25"/>
      <c r="O193" s="25"/>
      <c r="P193" s="25"/>
      <c r="Q193" s="25"/>
      <c r="R193" s="25"/>
      <c r="S193" s="25"/>
      <c r="T193" s="353" t="b" cm="1">
        <f t="array" ref="T193">T192</f>
        <v>1</v>
      </c>
      <c r="U193" s="25"/>
      <c r="V193" s="25"/>
      <c r="W193" s="25"/>
      <c r="X193" s="1022"/>
      <c r="Z193" s="967"/>
      <c r="AB193" s="7" t="s">
        <v>1362</v>
      </c>
      <c r="AC193" s="134" t="s">
        <v>1991</v>
      </c>
      <c r="AD193" s="7" t="s">
        <v>828</v>
      </c>
      <c r="AE193" s="128">
        <v>1523.65</v>
      </c>
      <c r="AF193" s="128">
        <v>9129.3413169657997</v>
      </c>
      <c r="AG193" s="128">
        <v>1523.65</v>
      </c>
      <c r="AH193" s="171">
        <f t="shared" si="48"/>
        <v>-7605.6913169658001</v>
      </c>
      <c r="AI193" s="128"/>
      <c r="AJ193" s="128"/>
      <c r="AK193" s="542"/>
      <c r="AL193" s="542"/>
      <c r="AM193" s="542"/>
      <c r="AN193" s="542"/>
      <c r="AO193" s="542"/>
      <c r="AP193" s="542"/>
      <c r="AQ193" s="542"/>
      <c r="AR193" s="542"/>
      <c r="AS193" s="542"/>
      <c r="AT193" s="128"/>
      <c r="AU193" s="542"/>
      <c r="AV193" s="542"/>
      <c r="AW193" s="542"/>
      <c r="AX193" s="542"/>
      <c r="AY193" s="542"/>
      <c r="AZ193" s="542"/>
      <c r="BA193" s="542"/>
      <c r="BB193" s="542"/>
      <c r="BC193" s="542"/>
      <c r="BD193" s="171">
        <f t="shared" si="51"/>
        <v>0</v>
      </c>
      <c r="BE193" s="542"/>
      <c r="BF193" s="542"/>
      <c r="BG193" s="542"/>
      <c r="BH193" s="542"/>
      <c r="BI193" s="542"/>
      <c r="BJ193" s="542"/>
      <c r="BK193" s="542"/>
      <c r="BL193" s="542"/>
      <c r="BM193" s="542"/>
      <c r="BN193" s="196" t="s">
        <v>2240</v>
      </c>
      <c r="BO193" s="196"/>
      <c r="BP193" s="196"/>
      <c r="BS193" s="696" t="s">
        <v>1992</v>
      </c>
    </row>
    <row r="194" spans="1:75" ht="21.75" customHeight="1" x14ac:dyDescent="0.25">
      <c r="C194" s="25"/>
      <c r="D194" s="25"/>
      <c r="E194" s="451">
        <v>22.5</v>
      </c>
      <c r="F194" s="3" t="str" cm="1">
        <f t="array" aca="1" ref="F194" ca="1">OFFSET(E194,-1,1)</f>
        <v>1</v>
      </c>
      <c r="G194" s="25"/>
      <c r="H194" s="577"/>
      <c r="I194" s="577" t="s">
        <v>1365</v>
      </c>
      <c r="J194" s="25"/>
      <c r="K194" s="277" t="s">
        <v>1365</v>
      </c>
      <c r="L194" s="25" t="s">
        <v>503</v>
      </c>
      <c r="M194" s="25"/>
      <c r="N194" s="25"/>
      <c r="O194" s="25"/>
      <c r="P194" s="25"/>
      <c r="Q194" s="25"/>
      <c r="R194" s="25"/>
      <c r="S194" s="25"/>
      <c r="T194" s="353" t="b" cm="1">
        <f t="array" ref="T194">T193</f>
        <v>1</v>
      </c>
      <c r="U194" s="25"/>
      <c r="V194" s="25"/>
      <c r="W194" s="25"/>
      <c r="X194" s="1022"/>
      <c r="Z194" s="967"/>
      <c r="AB194" s="7" t="s">
        <v>1366</v>
      </c>
      <c r="AC194" s="134" t="s">
        <v>1993</v>
      </c>
      <c r="AD194" s="7" t="s">
        <v>828</v>
      </c>
      <c r="AE194" s="171">
        <f ca="1">AE195+AE196</f>
        <v>0</v>
      </c>
      <c r="AF194" s="171">
        <f ca="1">AF195+AF196</f>
        <v>0</v>
      </c>
      <c r="AG194" s="171">
        <f ca="1">AG195+AG196</f>
        <v>0</v>
      </c>
      <c r="AH194" s="171">
        <f t="shared" ca="1" si="48"/>
        <v>0</v>
      </c>
      <c r="AI194" s="171">
        <f ca="1">AI195+AI196</f>
        <v>0</v>
      </c>
      <c r="AJ194" s="171">
        <f ca="1">AJ195+AJ196</f>
        <v>0</v>
      </c>
      <c r="AK194" s="542"/>
      <c r="AL194" s="542"/>
      <c r="AM194" s="542"/>
      <c r="AN194" s="542"/>
      <c r="AO194" s="542"/>
      <c r="AP194" s="542"/>
      <c r="AQ194" s="542"/>
      <c r="AR194" s="542"/>
      <c r="AS194" s="542"/>
      <c r="AT194" s="171">
        <f ca="1">AT195+AT196</f>
        <v>0</v>
      </c>
      <c r="AU194" s="542"/>
      <c r="AV194" s="542"/>
      <c r="AW194" s="542"/>
      <c r="AX194" s="542"/>
      <c r="AY194" s="542"/>
      <c r="AZ194" s="542"/>
      <c r="BA194" s="542"/>
      <c r="BB194" s="542"/>
      <c r="BC194" s="542"/>
      <c r="BD194" s="171">
        <f t="shared" ca="1" si="51"/>
        <v>0</v>
      </c>
      <c r="BE194" s="542"/>
      <c r="BF194" s="542"/>
      <c r="BG194" s="542"/>
      <c r="BH194" s="542"/>
      <c r="BI194" s="542"/>
      <c r="BJ194" s="542"/>
      <c r="BK194" s="542"/>
      <c r="BL194" s="542"/>
      <c r="BM194" s="542"/>
      <c r="BN194" s="196"/>
      <c r="BO194" s="196"/>
      <c r="BP194" s="196"/>
      <c r="BS194" s="694" t="s">
        <v>1811</v>
      </c>
    </row>
    <row r="195" spans="1:75" ht="14.25" customHeight="1" x14ac:dyDescent="0.25">
      <c r="C195" s="25"/>
      <c r="D195" s="25"/>
      <c r="E195" s="451">
        <v>15</v>
      </c>
      <c r="F195" s="3" t="str" cm="1">
        <f t="array" aca="1" ref="F195" ca="1">OFFSET(E195,-1,1)</f>
        <v>1</v>
      </c>
      <c r="G195" s="571" t="s">
        <v>1177</v>
      </c>
      <c r="H195" s="577"/>
      <c r="I195" s="577" t="s">
        <v>1994</v>
      </c>
      <c r="J195" s="25"/>
      <c r="K195" s="277" t="s">
        <v>1994</v>
      </c>
      <c r="L195" s="25" t="s">
        <v>1812</v>
      </c>
      <c r="M195" s="25"/>
      <c r="N195" s="25"/>
      <c r="O195" s="25"/>
      <c r="P195" s="25"/>
      <c r="Q195" s="25"/>
      <c r="R195" s="25"/>
      <c r="S195" s="25"/>
      <c r="T195" s="353" t="b" cm="1">
        <f t="array" ref="T195">T194</f>
        <v>1</v>
      </c>
      <c r="U195" s="25"/>
      <c r="V195" s="25"/>
      <c r="W195" s="25"/>
      <c r="X195" s="1022"/>
      <c r="Z195" s="967"/>
      <c r="AB195" s="7" t="s">
        <v>1995</v>
      </c>
      <c r="AC195" s="543" t="s">
        <v>1813</v>
      </c>
      <c r="AD195" s="7" t="s">
        <v>828</v>
      </c>
      <c r="AE195" s="171">
        <f ca="1">SUMIFS(ФОТ!AE$25:AE$127,ФОТ!$F$25:$F$127,$F195,ФОТ!$G$25:$G$127,$G195)</f>
        <v>0</v>
      </c>
      <c r="AF195" s="171">
        <f ca="1">SUMIFS(ФОТ!AF$25:AF$127,ФОТ!$F$25:$F$127,$F195,ФОТ!$G$25:$G$127,$G195)</f>
        <v>0</v>
      </c>
      <c r="AG195" s="171">
        <f ca="1">SUMIFS(ФОТ!AG$25:AG$127,ФОТ!$F$25:$F$127,$F195,ФОТ!$G$25:$G$127,$G195)</f>
        <v>0</v>
      </c>
      <c r="AH195" s="171">
        <f t="shared" ca="1" si="48"/>
        <v>0</v>
      </c>
      <c r="AI195" s="171">
        <f ca="1">SUMIFS(ФОТ!AH$25:AH$127,ФОТ!$F$25:$F$127,$F195,ФОТ!$G$25:$G$127,$G195)</f>
        <v>0</v>
      </c>
      <c r="AJ195" s="171">
        <f ca="1">SUMIFS(ФОТ!AI$25:AI$127,ФОТ!$F$25:$F$127,$F195,ФОТ!$G$25:$G$127,$G195)</f>
        <v>0</v>
      </c>
      <c r="AK195" s="542"/>
      <c r="AL195" s="542"/>
      <c r="AM195" s="542"/>
      <c r="AN195" s="542"/>
      <c r="AO195" s="542"/>
      <c r="AP195" s="542"/>
      <c r="AQ195" s="542"/>
      <c r="AR195" s="542"/>
      <c r="AS195" s="542"/>
      <c r="AT195" s="171">
        <f ca="1">SUMIFS(ФОТ!AJ$25:AJ$127,ФОТ!$F$25:$F$127,$F195,ФОТ!$G$25:$G$127,$G195)</f>
        <v>0</v>
      </c>
      <c r="AU195" s="542"/>
      <c r="AV195" s="542"/>
      <c r="AW195" s="542"/>
      <c r="AX195" s="542"/>
      <c r="AY195" s="542"/>
      <c r="AZ195" s="542"/>
      <c r="BA195" s="542"/>
      <c r="BB195" s="542"/>
      <c r="BC195" s="542"/>
      <c r="BD195" s="171">
        <f t="shared" ca="1" si="51"/>
        <v>0</v>
      </c>
      <c r="BE195" s="542"/>
      <c r="BF195" s="542"/>
      <c r="BG195" s="542"/>
      <c r="BH195" s="542"/>
      <c r="BI195" s="542"/>
      <c r="BJ195" s="542"/>
      <c r="BK195" s="542"/>
      <c r="BL195" s="542"/>
      <c r="BM195" s="542"/>
      <c r="BN195" s="196"/>
      <c r="BO195" s="601" t="str">
        <f ca="1">IF(IFERROR(INDEX(ФОТ!$K$26:$L$127,MATCH($F195&amp;"3komm",ФОТ!$K$26:$K$127,0),2),"")=0,"",IFERROR(INDEX(ФОТ!$K$26:$L$127,MATCH($F195&amp;"3komm",ФОТ!$K$26:$K$127,0),2),""))</f>
        <v/>
      </c>
      <c r="BP195" s="196"/>
      <c r="BS195" s="694" t="s">
        <v>1814</v>
      </c>
    </row>
    <row r="196" spans="1:75" ht="21.75" customHeight="1" x14ac:dyDescent="0.25">
      <c r="C196" s="25"/>
      <c r="D196" s="25"/>
      <c r="E196" s="451">
        <v>22.5</v>
      </c>
      <c r="F196" s="3" t="str" cm="1">
        <f t="array" aca="1" ref="F196" ca="1">OFFSET(E196,-1,1)</f>
        <v>1</v>
      </c>
      <c r="G196" s="571" t="s">
        <v>1182</v>
      </c>
      <c r="H196" s="577"/>
      <c r="I196" s="577" t="s">
        <v>1996</v>
      </c>
      <c r="J196" s="25"/>
      <c r="K196" s="277" t="s">
        <v>1996</v>
      </c>
      <c r="L196" s="25" t="s">
        <v>1815</v>
      </c>
      <c r="M196" s="25"/>
      <c r="N196" s="25"/>
      <c r="O196" s="25"/>
      <c r="P196" s="25"/>
      <c r="Q196" s="25"/>
      <c r="R196" s="25"/>
      <c r="S196" s="25"/>
      <c r="T196" s="353" t="b" cm="1">
        <f t="array" ref="T196">T195</f>
        <v>1</v>
      </c>
      <c r="U196" s="25"/>
      <c r="V196" s="25"/>
      <c r="W196" s="25"/>
      <c r="X196" s="1022"/>
      <c r="Z196" s="967"/>
      <c r="AB196" s="7" t="s">
        <v>1997</v>
      </c>
      <c r="AC196" s="543" t="s">
        <v>1998</v>
      </c>
      <c r="AD196" s="7" t="s">
        <v>828</v>
      </c>
      <c r="AE196" s="171">
        <f ca="1">SUMIFS(ФОТ!AE$25:AE$127,ФОТ!$F$25:$F$127,$F196,ФОТ!$G$25:$G$127,$G196)</f>
        <v>0</v>
      </c>
      <c r="AF196" s="171">
        <f ca="1">SUMIFS(ФОТ!AF$25:AF$127,ФОТ!$F$25:$F$127,$F196,ФОТ!$G$25:$G$127,$G196)</f>
        <v>0</v>
      </c>
      <c r="AG196" s="171">
        <f ca="1">SUMIFS(ФОТ!AG$25:AG$127,ФОТ!$F$25:$F$127,$F196,ФОТ!$G$25:$G$127,$G196)</f>
        <v>0</v>
      </c>
      <c r="AH196" s="171">
        <f t="shared" ca="1" si="48"/>
        <v>0</v>
      </c>
      <c r="AI196" s="171">
        <f ca="1">SUMIFS(ФОТ!AH$25:AH$127,ФОТ!$F$25:$F$127,$F196,ФОТ!$G$25:$G$127,$G196)</f>
        <v>0</v>
      </c>
      <c r="AJ196" s="171">
        <f ca="1">SUMIFS(ФОТ!AI$25:AI$127,ФОТ!$F$25:$F$127,$F196,ФОТ!$G$25:$G$127,$G196)</f>
        <v>0</v>
      </c>
      <c r="AK196" s="542"/>
      <c r="AL196" s="542"/>
      <c r="AM196" s="542"/>
      <c r="AN196" s="542"/>
      <c r="AO196" s="542"/>
      <c r="AP196" s="542"/>
      <c r="AQ196" s="542"/>
      <c r="AR196" s="542"/>
      <c r="AS196" s="542"/>
      <c r="AT196" s="171">
        <f ca="1">SUMIFS(ФОТ!AJ$25:AJ$127,ФОТ!$F$25:$F$127,$F196,ФОТ!$G$25:$G$127,$G196)</f>
        <v>0</v>
      </c>
      <c r="AU196" s="542"/>
      <c r="AV196" s="542"/>
      <c r="AW196" s="542"/>
      <c r="AX196" s="542"/>
      <c r="AY196" s="542"/>
      <c r="AZ196" s="542"/>
      <c r="BA196" s="542"/>
      <c r="BB196" s="542"/>
      <c r="BC196" s="542"/>
      <c r="BD196" s="171">
        <f t="shared" ca="1" si="51"/>
        <v>0</v>
      </c>
      <c r="BE196" s="542"/>
      <c r="BF196" s="542"/>
      <c r="BG196" s="542"/>
      <c r="BH196" s="542"/>
      <c r="BI196" s="542"/>
      <c r="BJ196" s="542"/>
      <c r="BK196" s="542"/>
      <c r="BL196" s="542"/>
      <c r="BM196" s="542"/>
      <c r="BN196" s="196"/>
      <c r="BO196" s="601" t="str">
        <f ca="1">IF(IFERROR(INDEX(ФОТ!$K$26:$L$127,MATCH($F196&amp;"4komm",ФОТ!$K$26:$K$127,0),2),"")=0,"",IFERROR(INDEX(ФОТ!$K$26:$L$127,MATCH($F196&amp;"4komm",ФОТ!$K$26:$K$127,0),2),""))</f>
        <v/>
      </c>
      <c r="BP196" s="196"/>
      <c r="BS196" s="694" t="s">
        <v>1817</v>
      </c>
    </row>
    <row r="197" spans="1:75" s="870" customFormat="1" ht="20.25" customHeight="1" x14ac:dyDescent="0.25">
      <c r="A197" s="76"/>
      <c r="B197" s="332"/>
      <c r="C197" s="27"/>
      <c r="D197" s="27"/>
      <c r="E197" s="559">
        <v>21</v>
      </c>
      <c r="F197" s="3" t="str" cm="1">
        <f t="array" aca="1" ref="F197" ca="1">OFFSET(E197,-1,1)</f>
        <v>1</v>
      </c>
      <c r="G197" s="27"/>
      <c r="H197" s="577"/>
      <c r="I197" s="577" t="s">
        <v>493</v>
      </c>
      <c r="J197" s="27"/>
      <c r="K197" s="277" t="s">
        <v>493</v>
      </c>
      <c r="L197" s="27" t="s">
        <v>333</v>
      </c>
      <c r="M197" s="27"/>
      <c r="N197" s="27"/>
      <c r="O197" s="27"/>
      <c r="P197" s="27"/>
      <c r="Q197" s="27"/>
      <c r="R197" s="27"/>
      <c r="S197" s="27"/>
      <c r="T197" s="353" t="b" cm="1">
        <f t="array" ref="T197">T196</f>
        <v>1</v>
      </c>
      <c r="U197" s="27"/>
      <c r="V197" s="27"/>
      <c r="W197" s="27"/>
      <c r="X197" s="1022"/>
      <c r="Y197" s="76"/>
      <c r="Z197" s="967"/>
      <c r="AA197" s="76"/>
      <c r="AB197" s="124" t="s">
        <v>948</v>
      </c>
      <c r="AC197" s="263" t="s">
        <v>1999</v>
      </c>
      <c r="AD197" s="124" t="s">
        <v>828</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6"/>
      <c r="BO197" s="556"/>
      <c r="BP197" s="556"/>
      <c r="BQ197" s="76"/>
      <c r="BR197" s="76"/>
      <c r="BS197" s="695" t="s">
        <v>1819</v>
      </c>
      <c r="BT197" s="702"/>
      <c r="BU197" s="702"/>
      <c r="BV197" s="511"/>
      <c r="BW197" s="511"/>
    </row>
    <row r="198" spans="1:75" ht="21.75" customHeight="1" x14ac:dyDescent="0.25">
      <c r="C198" s="25"/>
      <c r="D198" s="25"/>
      <c r="E198" s="451">
        <v>22.5</v>
      </c>
      <c r="F198" s="3" t="str" cm="1">
        <f t="array" aca="1" ref="F198" ca="1">OFFSET(E198,-1,1)</f>
        <v>1</v>
      </c>
      <c r="G198" s="25" t="s">
        <v>1203</v>
      </c>
      <c r="H198" s="577"/>
      <c r="I198" s="577" t="s">
        <v>1371</v>
      </c>
      <c r="J198" s="25"/>
      <c r="K198" s="277" t="s">
        <v>1371</v>
      </c>
      <c r="L198" s="25" t="s">
        <v>969</v>
      </c>
      <c r="M198" s="25"/>
      <c r="N198" s="25"/>
      <c r="O198" s="25"/>
      <c r="P198" s="25"/>
      <c r="Q198" s="25"/>
      <c r="R198" s="25"/>
      <c r="S198" s="25"/>
      <c r="T198" s="353" t="b" cm="1">
        <f t="array" ref="T198">T197</f>
        <v>1</v>
      </c>
      <c r="U198" s="25"/>
      <c r="V198" s="25"/>
      <c r="W198" s="25"/>
      <c r="X198" s="1022"/>
      <c r="Z198" s="967"/>
      <c r="AB198" s="7" t="s">
        <v>1087</v>
      </c>
      <c r="AC198" s="134" t="s">
        <v>2000</v>
      </c>
      <c r="AD198" s="7" t="s">
        <v>828</v>
      </c>
      <c r="AE198" s="171">
        <f ca="1">SUMIFS(Административные!AE$25:AE$103,Административные!$F$25:$F$103,$F198,Административные!$G$25:$G$103,$G198)</f>
        <v>0</v>
      </c>
      <c r="AF198" s="171">
        <f ca="1">SUMIFS(Административные!AF$25:AF$103,Административные!$F$25:$F$103,$F198,Административные!$G$25:$G$103,$G198)</f>
        <v>0</v>
      </c>
      <c r="AG198" s="171">
        <f ca="1">SUMIFS(Административные!AG$25:AG$103,Административные!$F$25:$F$103,$F198,Административные!$G$25:$G$103,$G198)</f>
        <v>0</v>
      </c>
      <c r="AH198" s="171">
        <f t="shared" ca="1" si="48"/>
        <v>0</v>
      </c>
      <c r="AI198" s="171">
        <f ca="1">SUMIFS(Административные!AH$25:AH$103,Административные!$F$25:$F$103,$F198,Административные!$G$25:$G$103,$G198)</f>
        <v>0</v>
      </c>
      <c r="AJ198" s="171">
        <f ca="1">SUMIFS(Административные!AI$25:AI$103,Административные!$F$25:$F$103,$F198,Административные!$G$25:$G$103,$G198)</f>
        <v>0</v>
      </c>
      <c r="AK198" s="542"/>
      <c r="AL198" s="542"/>
      <c r="AM198" s="542"/>
      <c r="AN198" s="542"/>
      <c r="AO198" s="542"/>
      <c r="AP198" s="542"/>
      <c r="AQ198" s="542"/>
      <c r="AR198" s="542"/>
      <c r="AS198" s="542"/>
      <c r="AT198" s="171">
        <f ca="1">SUMIFS(Административные!AJ$25:AJ$103,Административные!$F$25:$F$103,$F198,Административные!$G$25:$G$103,$G198)</f>
        <v>0</v>
      </c>
      <c r="AU198" s="542"/>
      <c r="AV198" s="542"/>
      <c r="AW198" s="542"/>
      <c r="AX198" s="542"/>
      <c r="AY198" s="542"/>
      <c r="AZ198" s="542"/>
      <c r="BA198" s="542"/>
      <c r="BB198" s="542"/>
      <c r="BC198" s="542"/>
      <c r="BD198" s="171">
        <f t="shared" ca="1" si="51"/>
        <v>0</v>
      </c>
      <c r="BE198" s="542"/>
      <c r="BF198" s="542"/>
      <c r="BG198" s="542"/>
      <c r="BH198" s="542"/>
      <c r="BI198" s="542"/>
      <c r="BJ198" s="542"/>
      <c r="BK198" s="542"/>
      <c r="BL198" s="542"/>
      <c r="BM198" s="542"/>
      <c r="BN198" s="196"/>
      <c r="BO198" s="601" t="str">
        <f ca="1">IF(IFERROR(INDEX(Административные!$K$26:$L$103,MATCH($F198&amp;"17komm",Административные!$K$26:$K$103,0),2),"")=0,"",IFERROR(INDEX(Административные!$K$26:$L$103,MATCH($F198&amp;"17komm",Административные!$K$26:$K$103,0),2),""))</f>
        <v/>
      </c>
      <c r="BP198" s="196"/>
      <c r="BS198" s="694" t="s">
        <v>1205</v>
      </c>
    </row>
    <row r="199" spans="1:75" ht="14.25" customHeight="1" x14ac:dyDescent="0.15">
      <c r="C199" s="25"/>
      <c r="D199" s="25"/>
      <c r="E199" s="451">
        <v>15</v>
      </c>
      <c r="F199" s="3" t="str" cm="1">
        <f t="array" aca="1" ref="F199" ca="1">OFFSET(E199,-1,1)</f>
        <v>1</v>
      </c>
      <c r="G199" s="25" t="s">
        <v>1206</v>
      </c>
      <c r="H199" s="577"/>
      <c r="I199" s="577" t="s">
        <v>2001</v>
      </c>
      <c r="J199" s="25"/>
      <c r="K199" s="277" t="s">
        <v>2001</v>
      </c>
      <c r="L199" s="25"/>
      <c r="M199" s="25"/>
      <c r="N199" s="25"/>
      <c r="O199" s="25"/>
      <c r="P199" s="25"/>
      <c r="Q199" s="25"/>
      <c r="R199" s="25"/>
      <c r="S199" s="25"/>
      <c r="T199" s="353" t="b" cm="1">
        <f t="array" ref="T199">T198</f>
        <v>1</v>
      </c>
      <c r="U199" s="25"/>
      <c r="V199" s="25"/>
      <c r="W199" s="25"/>
      <c r="X199" s="1022"/>
      <c r="Z199" s="967"/>
      <c r="AB199" s="7" t="s">
        <v>2002</v>
      </c>
      <c r="AC199" s="543" t="s">
        <v>1207</v>
      </c>
      <c r="AD199" s="7" t="s">
        <v>828</v>
      </c>
      <c r="AE199" s="171">
        <f ca="1">SUMIFS(Административные!AE$25:AE$103,Административные!$F$25:$F$103,$F199,Административные!$G$25:$G$103,$G199)</f>
        <v>0</v>
      </c>
      <c r="AF199" s="171">
        <f ca="1">SUMIFS(Административные!AF$25:AF$103,Административные!$F$25:$F$103,$F199,Административные!$G$25:$G$103,$G199)</f>
        <v>0</v>
      </c>
      <c r="AG199" s="171">
        <f ca="1">SUMIFS(Административные!AG$25:AG$103,Административные!$F$25:$F$103,$F199,Административные!$G$25:$G$103,$G199)</f>
        <v>0</v>
      </c>
      <c r="AH199" s="171">
        <f t="shared" ca="1" si="48"/>
        <v>0</v>
      </c>
      <c r="AI199" s="171">
        <f ca="1">SUMIFS(Административные!AH$25:AH$103,Административные!$F$25:$F$103,$F199,Административные!$G$25:$G$103,$G199)</f>
        <v>0</v>
      </c>
      <c r="AJ199" s="171">
        <f ca="1">SUMIFS(Административные!AI$25:AI$103,Административные!$F$25:$F$103,$F199,Административные!$G$25:$G$103,$G199)</f>
        <v>0</v>
      </c>
      <c r="AK199" s="542"/>
      <c r="AL199" s="542"/>
      <c r="AM199" s="542"/>
      <c r="AN199" s="542"/>
      <c r="AO199" s="542"/>
      <c r="AP199" s="542"/>
      <c r="AQ199" s="542"/>
      <c r="AR199" s="542"/>
      <c r="AS199" s="542"/>
      <c r="AT199" s="171">
        <f ca="1">SUMIFS(Административные!AJ$25:AJ$103,Административные!$F$25:$F$103,$F199,Административные!$G$25:$G$103,$G199)</f>
        <v>0</v>
      </c>
      <c r="AU199" s="542"/>
      <c r="AV199" s="542"/>
      <c r="AW199" s="542"/>
      <c r="AX199" s="542"/>
      <c r="AY199" s="542"/>
      <c r="AZ199" s="542"/>
      <c r="BA199" s="542"/>
      <c r="BB199" s="542"/>
      <c r="BC199" s="542"/>
      <c r="BD199" s="171">
        <f t="shared" ca="1" si="51"/>
        <v>0</v>
      </c>
      <c r="BE199" s="542"/>
      <c r="BF199" s="542"/>
      <c r="BG199" s="542"/>
      <c r="BH199" s="542"/>
      <c r="BI199" s="542"/>
      <c r="BJ199" s="542"/>
      <c r="BK199" s="542"/>
      <c r="BL199" s="542"/>
      <c r="BM199" s="542"/>
      <c r="BN199" s="196"/>
      <c r="BO199" s="601" t="str">
        <f ca="1">IF(IFERROR(INDEX(Административные!$K$26:$L$103,MATCH($F199&amp;"18komm",Административные!$K$26:$K$103,0),2),"")=0,"",IFERROR(INDEX(Административные!$K$26:$L$103,MATCH($F199&amp;"18komm",Административные!$K$26:$K$103,0),2),""))</f>
        <v/>
      </c>
      <c r="BP199" s="196"/>
      <c r="BS199" s="696" t="s">
        <v>1208</v>
      </c>
    </row>
    <row r="200" spans="1:75" ht="14.25" customHeight="1" x14ac:dyDescent="0.15">
      <c r="C200" s="25"/>
      <c r="D200" s="25"/>
      <c r="E200" s="451">
        <v>15</v>
      </c>
      <c r="F200" s="3" t="str" cm="1">
        <f t="array" aca="1" ref="F200" ca="1">OFFSET(E200,-1,1)</f>
        <v>1</v>
      </c>
      <c r="G200" s="25" t="s">
        <v>1209</v>
      </c>
      <c r="H200" s="577"/>
      <c r="I200" s="577" t="s">
        <v>2003</v>
      </c>
      <c r="J200" s="25"/>
      <c r="K200" s="277" t="s">
        <v>2003</v>
      </c>
      <c r="L200" s="25"/>
      <c r="M200" s="25"/>
      <c r="N200" s="25"/>
      <c r="O200" s="25"/>
      <c r="P200" s="25"/>
      <c r="Q200" s="25"/>
      <c r="R200" s="25"/>
      <c r="S200" s="25"/>
      <c r="T200" s="353" t="b" cm="1">
        <f t="array" ref="T200">T199</f>
        <v>1</v>
      </c>
      <c r="U200" s="25"/>
      <c r="V200" s="25"/>
      <c r="W200" s="25"/>
      <c r="X200" s="1022"/>
      <c r="Z200" s="967"/>
      <c r="AB200" s="7" t="s">
        <v>2004</v>
      </c>
      <c r="AC200" s="543" t="s">
        <v>1210</v>
      </c>
      <c r="AD200" s="7" t="s">
        <v>828</v>
      </c>
      <c r="AE200" s="171">
        <f ca="1">SUMIFS(Административные!AE$25:AE$103,Административные!$F$25:$F$103,$F200,Административные!$G$25:$G$103,$G200)</f>
        <v>0</v>
      </c>
      <c r="AF200" s="171">
        <f ca="1">SUMIFS(Административные!AF$25:AF$103,Административные!$F$25:$F$103,$F200,Административные!$G$25:$G$103,$G200)</f>
        <v>0</v>
      </c>
      <c r="AG200" s="171">
        <f ca="1">SUMIFS(Административные!AG$25:AG$103,Административные!$F$25:$F$103,$F200,Административные!$G$25:$G$103,$G200)</f>
        <v>0</v>
      </c>
      <c r="AH200" s="171">
        <f t="shared" ca="1" si="48"/>
        <v>0</v>
      </c>
      <c r="AI200" s="171">
        <f ca="1">SUMIFS(Административные!AH$25:AH$103,Административные!$F$25:$F$103,$F200,Административные!$G$25:$G$103,$G200)</f>
        <v>0</v>
      </c>
      <c r="AJ200" s="171">
        <f ca="1">SUMIFS(Административные!AI$25:AI$103,Административные!$F$25:$F$103,$F200,Административные!$G$25:$G$103,$G200)</f>
        <v>0</v>
      </c>
      <c r="AK200" s="542"/>
      <c r="AL200" s="542"/>
      <c r="AM200" s="542"/>
      <c r="AN200" s="542"/>
      <c r="AO200" s="542"/>
      <c r="AP200" s="542"/>
      <c r="AQ200" s="542"/>
      <c r="AR200" s="542"/>
      <c r="AS200" s="542"/>
      <c r="AT200" s="171">
        <f ca="1">SUMIFS(Административные!AJ$25:AJ$103,Административные!$F$25:$F$103,$F200,Административные!$G$25:$G$103,$G200)</f>
        <v>0</v>
      </c>
      <c r="AU200" s="542"/>
      <c r="AV200" s="542"/>
      <c r="AW200" s="542"/>
      <c r="AX200" s="542"/>
      <c r="AY200" s="542"/>
      <c r="AZ200" s="542"/>
      <c r="BA200" s="542"/>
      <c r="BB200" s="542"/>
      <c r="BC200" s="542"/>
      <c r="BD200" s="171">
        <f t="shared" ca="1" si="51"/>
        <v>0</v>
      </c>
      <c r="BE200" s="542"/>
      <c r="BF200" s="542"/>
      <c r="BG200" s="542"/>
      <c r="BH200" s="542"/>
      <c r="BI200" s="542"/>
      <c r="BJ200" s="542"/>
      <c r="BK200" s="542"/>
      <c r="BL200" s="542"/>
      <c r="BM200" s="542"/>
      <c r="BN200" s="196"/>
      <c r="BO200" s="601" t="str">
        <f ca="1">IF(IFERROR(INDEX(Административные!$K$26:$L$103,MATCH($F200&amp;"11komm",Административные!$K$26:$K$103,0),2),"")=0,"",IFERROR(INDEX(Административные!$K$26:$L$103,MATCH($F200&amp;"11komm",Административные!$K$26:$K$103,0),2),""))</f>
        <v/>
      </c>
      <c r="BP200" s="196"/>
      <c r="BS200" s="696" t="s">
        <v>1211</v>
      </c>
    </row>
    <row r="201" spans="1:75" ht="14.25" customHeight="1" x14ac:dyDescent="0.15">
      <c r="C201" s="25"/>
      <c r="D201" s="25"/>
      <c r="E201" s="451">
        <v>15</v>
      </c>
      <c r="F201" s="3" t="str" cm="1">
        <f t="array" aca="1" ref="F201" ca="1">OFFSET(E201,-1,1)</f>
        <v>1</v>
      </c>
      <c r="G201" s="25" t="s">
        <v>1212</v>
      </c>
      <c r="H201" s="577"/>
      <c r="I201" s="577" t="s">
        <v>2005</v>
      </c>
      <c r="J201" s="25"/>
      <c r="K201" s="277" t="s">
        <v>2005</v>
      </c>
      <c r="L201" s="25"/>
      <c r="M201" s="25"/>
      <c r="N201" s="25"/>
      <c r="O201" s="25"/>
      <c r="P201" s="25"/>
      <c r="Q201" s="25"/>
      <c r="R201" s="25"/>
      <c r="S201" s="25"/>
      <c r="T201" s="353" t="b" cm="1">
        <f t="array" ref="T201">T200</f>
        <v>1</v>
      </c>
      <c r="U201" s="25"/>
      <c r="V201" s="25"/>
      <c r="W201" s="25"/>
      <c r="X201" s="1022"/>
      <c r="Z201" s="967"/>
      <c r="AB201" s="7" t="s">
        <v>2006</v>
      </c>
      <c r="AC201" s="543" t="s">
        <v>1213</v>
      </c>
      <c r="AD201" s="7" t="s">
        <v>828</v>
      </c>
      <c r="AE201" s="171">
        <f ca="1">SUMIFS(Административные!AE$25:AE$103,Административные!$F$25:$F$103,$F201,Административные!$G$25:$G$103,$G201)</f>
        <v>0</v>
      </c>
      <c r="AF201" s="171">
        <f ca="1">SUMIFS(Административные!AF$25:AF$103,Административные!$F$25:$F$103,$F201,Административные!$G$25:$G$103,$G201)</f>
        <v>0</v>
      </c>
      <c r="AG201" s="171">
        <f ca="1">SUMIFS(Административные!AG$25:AG$103,Административные!$F$25:$F$103,$F201,Административные!$G$25:$G$103,$G201)</f>
        <v>0</v>
      </c>
      <c r="AH201" s="171">
        <f t="shared" ca="1" si="48"/>
        <v>0</v>
      </c>
      <c r="AI201" s="171">
        <f ca="1">SUMIFS(Административные!AH$25:AH$103,Административные!$F$25:$F$103,$F201,Административные!$G$25:$G$103,$G201)</f>
        <v>0</v>
      </c>
      <c r="AJ201" s="171">
        <f ca="1">SUMIFS(Административные!AI$25:AI$103,Административные!$F$25:$F$103,$F201,Административные!$G$25:$G$103,$G201)</f>
        <v>0</v>
      </c>
      <c r="AK201" s="542"/>
      <c r="AL201" s="542"/>
      <c r="AM201" s="542"/>
      <c r="AN201" s="542"/>
      <c r="AO201" s="542"/>
      <c r="AP201" s="542"/>
      <c r="AQ201" s="542"/>
      <c r="AR201" s="542"/>
      <c r="AS201" s="542"/>
      <c r="AT201" s="171">
        <f ca="1">SUMIFS(Административные!AJ$25:AJ$103,Административные!$F$25:$F$103,$F201,Административные!$G$25:$G$103,$G201)</f>
        <v>0</v>
      </c>
      <c r="AU201" s="542"/>
      <c r="AV201" s="542"/>
      <c r="AW201" s="542"/>
      <c r="AX201" s="542"/>
      <c r="AY201" s="542"/>
      <c r="AZ201" s="542"/>
      <c r="BA201" s="542"/>
      <c r="BB201" s="542"/>
      <c r="BC201" s="542"/>
      <c r="BD201" s="171">
        <f t="shared" ca="1" si="51"/>
        <v>0</v>
      </c>
      <c r="BE201" s="542"/>
      <c r="BF201" s="542"/>
      <c r="BG201" s="542"/>
      <c r="BH201" s="542"/>
      <c r="BI201" s="542"/>
      <c r="BJ201" s="542"/>
      <c r="BK201" s="542"/>
      <c r="BL201" s="542"/>
      <c r="BM201" s="542"/>
      <c r="BN201" s="196"/>
      <c r="BO201" s="601" t="str">
        <f ca="1">IF(IFERROR(INDEX(Административные!$K$26:$L$103,MATCH($F201&amp;"12komm",Административные!$K$26:$K$103,0),2),"")=0,"",IFERROR(INDEX(Административные!$K$26:$L$103,MATCH($F201&amp;"12komm",Административные!$K$26:$K$103,0),2),""))</f>
        <v/>
      </c>
      <c r="BP201" s="196"/>
      <c r="BS201" s="696" t="s">
        <v>1214</v>
      </c>
    </row>
    <row r="202" spans="1:75" ht="14.25" customHeight="1" x14ac:dyDescent="0.15">
      <c r="C202" s="25"/>
      <c r="D202" s="25"/>
      <c r="E202" s="451">
        <v>15</v>
      </c>
      <c r="F202" s="3" t="str" cm="1">
        <f t="array" aca="1" ref="F202" ca="1">OFFSET(E202,-1,1)</f>
        <v>1</v>
      </c>
      <c r="G202" s="25" t="s">
        <v>1215</v>
      </c>
      <c r="H202" s="577"/>
      <c r="I202" s="577" t="s">
        <v>2007</v>
      </c>
      <c r="J202" s="25"/>
      <c r="K202" s="277" t="s">
        <v>2007</v>
      </c>
      <c r="L202" s="25"/>
      <c r="M202" s="25"/>
      <c r="N202" s="25"/>
      <c r="O202" s="25"/>
      <c r="P202" s="25"/>
      <c r="Q202" s="25"/>
      <c r="R202" s="25"/>
      <c r="S202" s="25"/>
      <c r="T202" s="353" t="b" cm="1">
        <f t="array" ref="T202">T201</f>
        <v>1</v>
      </c>
      <c r="U202" s="25"/>
      <c r="V202" s="25"/>
      <c r="W202" s="25"/>
      <c r="X202" s="1022"/>
      <c r="Z202" s="967"/>
      <c r="AB202" s="7" t="s">
        <v>2008</v>
      </c>
      <c r="AC202" s="543" t="s">
        <v>1216</v>
      </c>
      <c r="AD202" s="7" t="s">
        <v>828</v>
      </c>
      <c r="AE202" s="171">
        <f ca="1">SUMIFS(Административные!AE$25:AE$103,Административные!$F$25:$F$103,$F202,Административные!$G$25:$G$103,$G202)</f>
        <v>0</v>
      </c>
      <c r="AF202" s="171">
        <f ca="1">SUMIFS(Административные!AF$25:AF$103,Административные!$F$25:$F$103,$F202,Административные!$G$25:$G$103,$G202)</f>
        <v>0</v>
      </c>
      <c r="AG202" s="171">
        <f ca="1">SUMIFS(Административные!AG$25:AG$103,Административные!$F$25:$F$103,$F202,Административные!$G$25:$G$103,$G202)</f>
        <v>0</v>
      </c>
      <c r="AH202" s="171">
        <f t="shared" ca="1" si="48"/>
        <v>0</v>
      </c>
      <c r="AI202" s="171">
        <f ca="1">SUMIFS(Административные!AH$25:AH$103,Административные!$F$25:$F$103,$F202,Административные!$G$25:$G$103,$G202)</f>
        <v>0</v>
      </c>
      <c r="AJ202" s="171">
        <f ca="1">SUMIFS(Административные!AI$25:AI$103,Административные!$F$25:$F$103,$F202,Административные!$G$25:$G$103,$G202)</f>
        <v>0</v>
      </c>
      <c r="AK202" s="542"/>
      <c r="AL202" s="542"/>
      <c r="AM202" s="542"/>
      <c r="AN202" s="542"/>
      <c r="AO202" s="542"/>
      <c r="AP202" s="542"/>
      <c r="AQ202" s="542"/>
      <c r="AR202" s="542"/>
      <c r="AS202" s="542"/>
      <c r="AT202" s="171">
        <f ca="1">SUMIFS(Административные!AJ$25:AJ$103,Административные!$F$25:$F$103,$F202,Административные!$G$25:$G$103,$G202)</f>
        <v>0</v>
      </c>
      <c r="AU202" s="542"/>
      <c r="AV202" s="542"/>
      <c r="AW202" s="542"/>
      <c r="AX202" s="542"/>
      <c r="AY202" s="542"/>
      <c r="AZ202" s="542"/>
      <c r="BA202" s="542"/>
      <c r="BB202" s="542"/>
      <c r="BC202" s="542"/>
      <c r="BD202" s="171">
        <f t="shared" ca="1" si="51"/>
        <v>0</v>
      </c>
      <c r="BE202" s="542"/>
      <c r="BF202" s="542"/>
      <c r="BG202" s="542"/>
      <c r="BH202" s="542"/>
      <c r="BI202" s="542"/>
      <c r="BJ202" s="542"/>
      <c r="BK202" s="542"/>
      <c r="BL202" s="542"/>
      <c r="BM202" s="542"/>
      <c r="BN202" s="196"/>
      <c r="BO202" s="601" t="str">
        <f ca="1">IF(IFERROR(INDEX(Административные!$K$26:$L$103,MATCH($F202&amp;"13komm",Административные!$K$26:$K$103,0),2),"")=0,"",IFERROR(INDEX(Административные!$K$26:$L$103,MATCH($F202&amp;"13komm",Административные!$K$26:$K$103,0),2),""))</f>
        <v/>
      </c>
      <c r="BP202" s="196"/>
      <c r="BS202" s="696" t="s">
        <v>1217</v>
      </c>
    </row>
    <row r="203" spans="1:75" ht="14.25" customHeight="1" x14ac:dyDescent="0.15">
      <c r="C203" s="25"/>
      <c r="D203" s="25"/>
      <c r="E203" s="451">
        <v>15</v>
      </c>
      <c r="F203" s="3" t="str" cm="1">
        <f t="array" aca="1" ref="F203" ca="1">OFFSET(E203,-1,1)</f>
        <v>1</v>
      </c>
      <c r="G203" s="25" t="s">
        <v>1218</v>
      </c>
      <c r="H203" s="577"/>
      <c r="I203" s="577" t="s">
        <v>2009</v>
      </c>
      <c r="J203" s="25"/>
      <c r="K203" s="277" t="s">
        <v>2009</v>
      </c>
      <c r="L203" s="25"/>
      <c r="M203" s="25"/>
      <c r="N203" s="25"/>
      <c r="O203" s="25"/>
      <c r="P203" s="25"/>
      <c r="Q203" s="25"/>
      <c r="R203" s="25"/>
      <c r="S203" s="25"/>
      <c r="T203" s="353" t="b" cm="1">
        <f t="array" ref="T203">T202</f>
        <v>1</v>
      </c>
      <c r="U203" s="25"/>
      <c r="V203" s="25"/>
      <c r="W203" s="25"/>
      <c r="X203" s="1022"/>
      <c r="Z203" s="967"/>
      <c r="AB203" s="7" t="s">
        <v>2010</v>
      </c>
      <c r="AC203" s="543" t="s">
        <v>1219</v>
      </c>
      <c r="AD203" s="7" t="s">
        <v>828</v>
      </c>
      <c r="AE203" s="171">
        <f ca="1">SUMIFS(Административные!AE$25:AE$103,Административные!$F$25:$F$103,$F203,Административные!$G$25:$G$103,$G203)</f>
        <v>0</v>
      </c>
      <c r="AF203" s="171">
        <f ca="1">SUMIFS(Административные!AF$25:AF$103,Административные!$F$25:$F$103,$F203,Административные!$G$25:$G$103,$G203)</f>
        <v>0</v>
      </c>
      <c r="AG203" s="171">
        <f ca="1">SUMIFS(Административные!AG$25:AG$103,Административные!$F$25:$F$103,$F203,Административные!$G$25:$G$103,$G203)</f>
        <v>0</v>
      </c>
      <c r="AH203" s="171">
        <f t="shared" ca="1" si="48"/>
        <v>0</v>
      </c>
      <c r="AI203" s="171">
        <f ca="1">SUMIFS(Административные!AH$25:AH$103,Административные!$F$25:$F$103,$F203,Административные!$G$25:$G$103,$G203)</f>
        <v>0</v>
      </c>
      <c r="AJ203" s="171">
        <f ca="1">SUMIFS(Административные!AI$25:AI$103,Административные!$F$25:$F$103,$F203,Административные!$G$25:$G$103,$G203)</f>
        <v>0</v>
      </c>
      <c r="AK203" s="542"/>
      <c r="AL203" s="542"/>
      <c r="AM203" s="542"/>
      <c r="AN203" s="542"/>
      <c r="AO203" s="542"/>
      <c r="AP203" s="542"/>
      <c r="AQ203" s="542"/>
      <c r="AR203" s="542"/>
      <c r="AS203" s="542"/>
      <c r="AT203" s="171">
        <f ca="1">SUMIFS(Административные!AJ$25:AJ$103,Административные!$F$25:$F$103,$F203,Административные!$G$25:$G$103,$G203)</f>
        <v>0</v>
      </c>
      <c r="AU203" s="542"/>
      <c r="AV203" s="542"/>
      <c r="AW203" s="542"/>
      <c r="AX203" s="542"/>
      <c r="AY203" s="542"/>
      <c r="AZ203" s="542"/>
      <c r="BA203" s="542"/>
      <c r="BB203" s="542"/>
      <c r="BC203" s="542"/>
      <c r="BD203" s="171">
        <f t="shared" ca="1" si="51"/>
        <v>0</v>
      </c>
      <c r="BE203" s="542"/>
      <c r="BF203" s="542"/>
      <c r="BG203" s="542"/>
      <c r="BH203" s="542"/>
      <c r="BI203" s="542"/>
      <c r="BJ203" s="542"/>
      <c r="BK203" s="542"/>
      <c r="BL203" s="542"/>
      <c r="BM203" s="542"/>
      <c r="BN203" s="196"/>
      <c r="BO203" s="601" t="str">
        <f ca="1">IF(IFERROR(INDEX(Административные!$K$26:$L$103,MATCH($F203&amp;"14komm",Административные!$K$26:$K$103,0),2),"")=0,"",IFERROR(INDEX(Административные!$K$26:$L$103,MATCH($F203&amp;"14komm",Административные!$K$26:$K$103,0),2),""))</f>
        <v/>
      </c>
      <c r="BP203" s="196"/>
      <c r="BS203" s="696" t="s">
        <v>2011</v>
      </c>
    </row>
    <row r="204" spans="1:75" ht="14.25" customHeight="1" x14ac:dyDescent="0.15">
      <c r="C204" s="25"/>
      <c r="D204" s="25"/>
      <c r="E204" s="451">
        <v>15</v>
      </c>
      <c r="F204" s="3" t="str" cm="1">
        <f t="array" aca="1" ref="F204" ca="1">OFFSET(E204,-1,1)</f>
        <v>1</v>
      </c>
      <c r="G204" s="25" t="s">
        <v>1221</v>
      </c>
      <c r="H204" s="577"/>
      <c r="I204" s="577" t="s">
        <v>2012</v>
      </c>
      <c r="J204" s="25"/>
      <c r="K204" s="277" t="s">
        <v>2012</v>
      </c>
      <c r="L204" s="25"/>
      <c r="M204" s="25"/>
      <c r="N204" s="25"/>
      <c r="O204" s="25"/>
      <c r="P204" s="25"/>
      <c r="Q204" s="25"/>
      <c r="R204" s="25"/>
      <c r="S204" s="25"/>
      <c r="T204" s="353" t="b" cm="1">
        <f t="array" ref="T204">T203</f>
        <v>1</v>
      </c>
      <c r="U204" s="25"/>
      <c r="V204" s="25"/>
      <c r="W204" s="25"/>
      <c r="X204" s="1022"/>
      <c r="Z204" s="967"/>
      <c r="AB204" s="7" t="s">
        <v>2013</v>
      </c>
      <c r="AC204" s="543" t="s">
        <v>1224</v>
      </c>
      <c r="AD204" s="7" t="s">
        <v>828</v>
      </c>
      <c r="AE204" s="171">
        <f ca="1">SUMIFS(Административные!AE$25:AE$103,Административные!$F$25:$F$103,$F204,Административные!$G$25:$G$103,$G204)</f>
        <v>0</v>
      </c>
      <c r="AF204" s="171">
        <f ca="1">SUMIFS(Административные!AF$25:AF$103,Административные!$F$25:$F$103,$F204,Административные!$G$25:$G$103,$G204)</f>
        <v>0</v>
      </c>
      <c r="AG204" s="171">
        <f ca="1">SUMIFS(Административные!AG$25:AG$103,Административные!$F$25:$F$103,$F204,Административные!$G$25:$G$103,$G204)</f>
        <v>0</v>
      </c>
      <c r="AH204" s="171">
        <f t="shared" ref="AH204:AH235" ca="1" si="53">AG204-AF204</f>
        <v>0</v>
      </c>
      <c r="AI204" s="171">
        <f ca="1">SUMIFS(Административные!AH$25:AH$103,Административные!$F$25:$F$103,$F204,Административные!$G$25:$G$103,$G204)</f>
        <v>0</v>
      </c>
      <c r="AJ204" s="171">
        <f ca="1">SUMIFS(Административные!AI$25:AI$103,Административные!$F$25:$F$103,$F204,Административные!$G$25:$G$103,$G204)</f>
        <v>0</v>
      </c>
      <c r="AK204" s="542"/>
      <c r="AL204" s="542"/>
      <c r="AM204" s="542"/>
      <c r="AN204" s="542"/>
      <c r="AO204" s="542"/>
      <c r="AP204" s="542"/>
      <c r="AQ204" s="542"/>
      <c r="AR204" s="542"/>
      <c r="AS204" s="542"/>
      <c r="AT204" s="171">
        <f ca="1">SUMIFS(Административные!AJ$25:AJ$103,Административные!$F$25:$F$103,$F204,Административные!$G$25:$G$103,$G204)</f>
        <v>0</v>
      </c>
      <c r="AU204" s="542"/>
      <c r="AV204" s="542"/>
      <c r="AW204" s="542"/>
      <c r="AX204" s="542"/>
      <c r="AY204" s="542"/>
      <c r="AZ204" s="542"/>
      <c r="BA204" s="542"/>
      <c r="BB204" s="542"/>
      <c r="BC204" s="542"/>
      <c r="BD204" s="171">
        <f t="shared" ref="BD204:BD220" ca="1" si="54">IF(AI204=0,0,(AT204-AI204)/AI204*100)</f>
        <v>0</v>
      </c>
      <c r="BE204" s="542"/>
      <c r="BF204" s="542"/>
      <c r="BG204" s="542"/>
      <c r="BH204" s="542"/>
      <c r="BI204" s="542"/>
      <c r="BJ204" s="542"/>
      <c r="BK204" s="542"/>
      <c r="BL204" s="542"/>
      <c r="BM204" s="542"/>
      <c r="BN204" s="196"/>
      <c r="BO204" s="601" t="str">
        <f ca="1">IF(IFERROR(INDEX(Административные!$K$26:$L$103,MATCH($F204&amp;"15komm",Административные!$K$26:$K$103,0),2),"")=0,"",IFERROR(INDEX(Административные!$K$26:$L$103,MATCH($F204&amp;"15komm",Административные!$K$26:$K$103,0),2),""))</f>
        <v/>
      </c>
      <c r="BP204" s="196"/>
      <c r="BS204" s="696" t="s">
        <v>1225</v>
      </c>
    </row>
    <row r="205" spans="1:75" ht="14.25" customHeight="1" x14ac:dyDescent="0.15">
      <c r="C205" s="25"/>
      <c r="D205" s="25"/>
      <c r="E205" s="451">
        <v>15</v>
      </c>
      <c r="F205" s="3" t="str" cm="1">
        <f t="array" aca="1" ref="F205" ca="1">OFFSET(E205,-1,1)</f>
        <v>1</v>
      </c>
      <c r="G205" s="25" t="s">
        <v>1226</v>
      </c>
      <c r="H205" s="577"/>
      <c r="I205" s="577" t="s">
        <v>2014</v>
      </c>
      <c r="J205" s="25"/>
      <c r="K205" s="277" t="s">
        <v>2014</v>
      </c>
      <c r="L205" s="25"/>
      <c r="M205" s="25"/>
      <c r="N205" s="25"/>
      <c r="O205" s="25"/>
      <c r="P205" s="25"/>
      <c r="Q205" s="25"/>
      <c r="R205" s="25"/>
      <c r="S205" s="25"/>
      <c r="T205" s="353" t="b" cm="1">
        <f t="array" ref="T205">T204</f>
        <v>1</v>
      </c>
      <c r="U205" s="25"/>
      <c r="V205" s="25"/>
      <c r="W205" s="25"/>
      <c r="X205" s="1022"/>
      <c r="Z205" s="967"/>
      <c r="AB205" s="7" t="s">
        <v>2015</v>
      </c>
      <c r="AC205" s="543" t="s">
        <v>1229</v>
      </c>
      <c r="AD205" s="7" t="s">
        <v>828</v>
      </c>
      <c r="AE205" s="171">
        <f ca="1">SUMIFS(Административные!AE$25:AE$103,Административные!$F$25:$F$103,$F205,Административные!$G$25:$G$103,$G205)</f>
        <v>0</v>
      </c>
      <c r="AF205" s="171">
        <f ca="1">SUMIFS(Административные!AF$25:AF$103,Административные!$F$25:$F$103,$F205,Административные!$G$25:$G$103,$G205)</f>
        <v>0</v>
      </c>
      <c r="AG205" s="171">
        <f ca="1">SUMIFS(Административные!AG$25:AG$103,Административные!$F$25:$F$103,$F205,Административные!$G$25:$G$103,$G205)</f>
        <v>0</v>
      </c>
      <c r="AH205" s="171">
        <f t="shared" ca="1" si="53"/>
        <v>0</v>
      </c>
      <c r="AI205" s="171">
        <f ca="1">SUMIFS(Административные!AH$25:AH$103,Административные!$F$25:$F$103,$F205,Административные!$G$25:$G$103,$G205)</f>
        <v>0</v>
      </c>
      <c r="AJ205" s="171">
        <f ca="1">SUMIFS(Административные!AI$25:AI$103,Административные!$F$25:$F$103,$F205,Административные!$G$25:$G$103,$G205)</f>
        <v>0</v>
      </c>
      <c r="AK205" s="542"/>
      <c r="AL205" s="542"/>
      <c r="AM205" s="542"/>
      <c r="AN205" s="542"/>
      <c r="AO205" s="542"/>
      <c r="AP205" s="542"/>
      <c r="AQ205" s="542"/>
      <c r="AR205" s="542"/>
      <c r="AS205" s="542"/>
      <c r="AT205" s="171">
        <f ca="1">SUMIFS(Административные!AJ$25:AJ$103,Административные!$F$25:$F$103,$F205,Административные!$G$25:$G$103,$G205)</f>
        <v>0</v>
      </c>
      <c r="AU205" s="542"/>
      <c r="AV205" s="542"/>
      <c r="AW205" s="542"/>
      <c r="AX205" s="542"/>
      <c r="AY205" s="542"/>
      <c r="AZ205" s="542"/>
      <c r="BA205" s="542"/>
      <c r="BB205" s="542"/>
      <c r="BC205" s="542"/>
      <c r="BD205" s="171">
        <f t="shared" ca="1" si="54"/>
        <v>0</v>
      </c>
      <c r="BE205" s="542"/>
      <c r="BF205" s="542"/>
      <c r="BG205" s="542"/>
      <c r="BH205" s="542"/>
      <c r="BI205" s="542"/>
      <c r="BJ205" s="542"/>
      <c r="BK205" s="542"/>
      <c r="BL205" s="542"/>
      <c r="BM205" s="542"/>
      <c r="BN205" s="196"/>
      <c r="BO205" s="601" t="str">
        <f ca="1">IF(IFERROR(INDEX(Административные!$K$26:$L$103,MATCH($F205&amp;"16komm",Административные!$K$26:$K$103,0),2),"")=0,"",IFERROR(INDEX(Административные!$K$26:$L$103,MATCH($F205&amp;"16komm",Административные!$K$26:$K$103,0),2),""))</f>
        <v/>
      </c>
      <c r="BP205" s="196"/>
      <c r="BS205" s="696" t="s">
        <v>2016</v>
      </c>
    </row>
    <row r="206" spans="1:75" ht="21.75" customHeight="1" x14ac:dyDescent="0.25">
      <c r="C206" s="25"/>
      <c r="D206" s="25"/>
      <c r="E206" s="451">
        <v>22.5</v>
      </c>
      <c r="F206" s="3" t="str" cm="1">
        <f t="array" aca="1" ref="F206" ca="1">OFFSET(E206,-1,1)</f>
        <v>1</v>
      </c>
      <c r="G206" s="25"/>
      <c r="H206" s="577"/>
      <c r="I206" s="577" t="s">
        <v>1372</v>
      </c>
      <c r="J206" s="25"/>
      <c r="K206" s="277" t="s">
        <v>1372</v>
      </c>
      <c r="L206" s="25" t="s">
        <v>971</v>
      </c>
      <c r="M206" s="25"/>
      <c r="N206" s="25"/>
      <c r="O206" s="25"/>
      <c r="P206" s="25"/>
      <c r="Q206" s="25"/>
      <c r="R206" s="25"/>
      <c r="S206" s="25"/>
      <c r="T206" s="353" t="b" cm="1">
        <f t="array" ref="T206">T205</f>
        <v>1</v>
      </c>
      <c r="U206" s="25"/>
      <c r="V206" s="25"/>
      <c r="W206" s="25"/>
      <c r="X206" s="1022"/>
      <c r="Z206" s="967"/>
      <c r="AB206" s="7" t="s">
        <v>1090</v>
      </c>
      <c r="AC206" s="134" t="s">
        <v>2017</v>
      </c>
      <c r="AD206" s="7" t="s">
        <v>828</v>
      </c>
      <c r="AE206" s="171">
        <f ca="1">AE207+AE208</f>
        <v>0</v>
      </c>
      <c r="AF206" s="171">
        <f ca="1">AF207+AF208</f>
        <v>0</v>
      </c>
      <c r="AG206" s="171">
        <f ca="1">AG207+AG208</f>
        <v>0</v>
      </c>
      <c r="AH206" s="171">
        <f t="shared" ca="1" si="53"/>
        <v>0</v>
      </c>
      <c r="AI206" s="171">
        <f ca="1">AI207+AI208</f>
        <v>0</v>
      </c>
      <c r="AJ206" s="171">
        <f ca="1">AJ207+AJ208</f>
        <v>0</v>
      </c>
      <c r="AK206" s="542"/>
      <c r="AL206" s="542"/>
      <c r="AM206" s="542"/>
      <c r="AN206" s="542"/>
      <c r="AO206" s="542"/>
      <c r="AP206" s="542"/>
      <c r="AQ206" s="542"/>
      <c r="AR206" s="542"/>
      <c r="AS206" s="542"/>
      <c r="AT206" s="171">
        <f ca="1">AT207+AT208</f>
        <v>0</v>
      </c>
      <c r="AU206" s="542"/>
      <c r="AV206" s="542"/>
      <c r="AW206" s="542"/>
      <c r="AX206" s="542"/>
      <c r="AY206" s="542"/>
      <c r="AZ206" s="542"/>
      <c r="BA206" s="542"/>
      <c r="BB206" s="542"/>
      <c r="BC206" s="542"/>
      <c r="BD206" s="171">
        <f t="shared" ca="1" si="54"/>
        <v>0</v>
      </c>
      <c r="BE206" s="542"/>
      <c r="BF206" s="542"/>
      <c r="BG206" s="542"/>
      <c r="BH206" s="542"/>
      <c r="BI206" s="542"/>
      <c r="BJ206" s="542"/>
      <c r="BK206" s="542"/>
      <c r="BL206" s="542"/>
      <c r="BM206" s="542"/>
      <c r="BN206" s="196"/>
      <c r="BO206" s="196"/>
      <c r="BP206" s="196"/>
      <c r="BS206" s="694" t="s">
        <v>1822</v>
      </c>
    </row>
    <row r="207" spans="1:75" ht="14.25" customHeight="1" x14ac:dyDescent="0.25">
      <c r="C207" s="25"/>
      <c r="D207" s="25"/>
      <c r="E207" s="451">
        <v>15</v>
      </c>
      <c r="F207" s="3" t="str" cm="1">
        <f t="array" aca="1" ref="F207" ca="1">OFFSET(E207,-1,1)</f>
        <v>1</v>
      </c>
      <c r="G207" s="25" t="s">
        <v>1185</v>
      </c>
      <c r="H207" s="577"/>
      <c r="I207" s="577" t="s">
        <v>2018</v>
      </c>
      <c r="J207" s="25"/>
      <c r="K207" s="277" t="s">
        <v>2018</v>
      </c>
      <c r="L207" s="25" t="s">
        <v>518</v>
      </c>
      <c r="M207" s="25"/>
      <c r="N207" s="25"/>
      <c r="O207" s="25"/>
      <c r="P207" s="25"/>
      <c r="Q207" s="25"/>
      <c r="R207" s="25"/>
      <c r="S207" s="25"/>
      <c r="T207" s="353" t="b" cm="1">
        <f t="array" ref="T207">T206</f>
        <v>1</v>
      </c>
      <c r="U207" s="25"/>
      <c r="V207" s="25"/>
      <c r="W207" s="25"/>
      <c r="X207" s="1022"/>
      <c r="Z207" s="967"/>
      <c r="AB207" s="7" t="s">
        <v>2019</v>
      </c>
      <c r="AC207" s="543" t="s">
        <v>1823</v>
      </c>
      <c r="AD207" s="545" t="s">
        <v>828</v>
      </c>
      <c r="AE207" s="171">
        <f ca="1">SUMIFS(ФОТ!AE$25:AE$127,ФОТ!$F$25:$F$127,$F207,ФОТ!$G$25:$G$127,$G207)</f>
        <v>0</v>
      </c>
      <c r="AF207" s="171">
        <f ca="1">SUMIFS(ФОТ!AF$25:AF$127,ФОТ!$F$25:$F$127,$F207,ФОТ!$G$25:$G$127,$G207)</f>
        <v>0</v>
      </c>
      <c r="AG207" s="171">
        <f ca="1">SUMIFS(ФОТ!AG$25:AG$127,ФОТ!$F$25:$F$127,$F207,ФОТ!$G$25:$G$127,$G207)</f>
        <v>0</v>
      </c>
      <c r="AH207" s="171">
        <f t="shared" ca="1" si="53"/>
        <v>0</v>
      </c>
      <c r="AI207" s="171">
        <f ca="1">SUMIFS(ФОТ!AH$25:AH$127,ФОТ!$F$25:$F$127,$F207,ФОТ!$G$25:$G$127,$G207)</f>
        <v>0</v>
      </c>
      <c r="AJ207" s="171">
        <f ca="1">SUMIFS(ФОТ!AI$25:AI$127,ФОТ!$F$25:$F$127,$F207,ФОТ!$G$25:$G$127,$G207)</f>
        <v>0</v>
      </c>
      <c r="AK207" s="542"/>
      <c r="AL207" s="542"/>
      <c r="AM207" s="542"/>
      <c r="AN207" s="542"/>
      <c r="AO207" s="542"/>
      <c r="AP207" s="542"/>
      <c r="AQ207" s="542"/>
      <c r="AR207" s="542"/>
      <c r="AS207" s="542"/>
      <c r="AT207" s="171">
        <f ca="1">SUMIFS(ФОТ!AJ$25:AJ$127,ФОТ!$F$25:$F$127,$F207,ФОТ!$G$25:$G$127,$G207)</f>
        <v>0</v>
      </c>
      <c r="AU207" s="542"/>
      <c r="AV207" s="542"/>
      <c r="AW207" s="542"/>
      <c r="AX207" s="542"/>
      <c r="AY207" s="542"/>
      <c r="AZ207" s="542"/>
      <c r="BA207" s="542"/>
      <c r="BB207" s="542"/>
      <c r="BC207" s="542"/>
      <c r="BD207" s="171">
        <f t="shared" ca="1" si="54"/>
        <v>0</v>
      </c>
      <c r="BE207" s="542"/>
      <c r="BF207" s="542"/>
      <c r="BG207" s="542"/>
      <c r="BH207" s="542"/>
      <c r="BI207" s="542"/>
      <c r="BJ207" s="542"/>
      <c r="BK207" s="542"/>
      <c r="BL207" s="542"/>
      <c r="BM207" s="542"/>
      <c r="BN207" s="196"/>
      <c r="BO207" s="601" t="str">
        <f ca="1">IF(IFERROR(INDEX(ФОТ!$K$26:$L$127,MATCH($F207&amp;"5komm",ФОТ!$K$26:$K$127,0),2),"")=0,"",IFERROR(INDEX(ФОТ!$K$26:$L$127,MATCH($F207&amp;"5komm",ФОТ!$K$26:$K$127,0),2),""))</f>
        <v/>
      </c>
      <c r="BP207" s="196"/>
      <c r="BS207" s="694" t="s">
        <v>1202</v>
      </c>
    </row>
    <row r="208" spans="1:75" ht="21.75" customHeight="1" x14ac:dyDescent="0.25">
      <c r="C208" s="25"/>
      <c r="D208" s="25"/>
      <c r="E208" s="451">
        <v>22.5</v>
      </c>
      <c r="F208" s="3" t="str" cm="1">
        <f t="array" aca="1" ref="F208" ca="1">OFFSET(E208,-1,1)</f>
        <v>1</v>
      </c>
      <c r="G208" s="25" t="s">
        <v>1190</v>
      </c>
      <c r="H208" s="577"/>
      <c r="I208" s="577" t="s">
        <v>2020</v>
      </c>
      <c r="J208" s="25"/>
      <c r="K208" s="277" t="s">
        <v>2020</v>
      </c>
      <c r="L208" s="25" t="s">
        <v>523</v>
      </c>
      <c r="M208" s="25"/>
      <c r="N208" s="25"/>
      <c r="O208" s="25"/>
      <c r="P208" s="25"/>
      <c r="Q208" s="25"/>
      <c r="R208" s="25"/>
      <c r="S208" s="25"/>
      <c r="T208" s="353" t="b" cm="1">
        <f t="array" ref="T208">T207</f>
        <v>1</v>
      </c>
      <c r="U208" s="25"/>
      <c r="V208" s="25"/>
      <c r="W208" s="25"/>
      <c r="X208" s="1022"/>
      <c r="Z208" s="967"/>
      <c r="AB208" s="7" t="s">
        <v>2021</v>
      </c>
      <c r="AC208" s="543" t="s">
        <v>2022</v>
      </c>
      <c r="AD208" s="7" t="s">
        <v>828</v>
      </c>
      <c r="AE208" s="171">
        <f ca="1">SUMIFS(ФОТ!AE$25:AE$127,ФОТ!$F$25:$F$127,$F208,ФОТ!$G$25:$G$127,$G208)</f>
        <v>0</v>
      </c>
      <c r="AF208" s="171">
        <f ca="1">SUMIFS(ФОТ!AF$25:AF$127,ФОТ!$F$25:$F$127,$F208,ФОТ!$G$25:$G$127,$G208)</f>
        <v>0</v>
      </c>
      <c r="AG208" s="171">
        <f ca="1">SUMIFS(ФОТ!AG$25:AG$127,ФОТ!$F$25:$F$127,$F208,ФОТ!$G$25:$G$127,$G208)</f>
        <v>0</v>
      </c>
      <c r="AH208" s="171">
        <f t="shared" ca="1" si="53"/>
        <v>0</v>
      </c>
      <c r="AI208" s="171">
        <f ca="1">SUMIFS(ФОТ!AH$25:AH$127,ФОТ!$F$25:$F$127,$F208,ФОТ!$G$25:$G$127,$G208)</f>
        <v>0</v>
      </c>
      <c r="AJ208" s="171">
        <f ca="1">SUMIFS(ФОТ!AI$25:AI$127,ФОТ!$F$25:$F$127,$F208,ФОТ!$G$25:$G$127,$G208)</f>
        <v>0</v>
      </c>
      <c r="AK208" s="542"/>
      <c r="AL208" s="542"/>
      <c r="AM208" s="542"/>
      <c r="AN208" s="542"/>
      <c r="AO208" s="542"/>
      <c r="AP208" s="542"/>
      <c r="AQ208" s="542"/>
      <c r="AR208" s="542"/>
      <c r="AS208" s="542"/>
      <c r="AT208" s="171">
        <f ca="1">SUMIFS(ФОТ!AJ$25:AJ$127,ФОТ!$F$25:$F$127,$F208,ФОТ!$G$25:$G$127,$G208)</f>
        <v>0</v>
      </c>
      <c r="AU208" s="542"/>
      <c r="AV208" s="542"/>
      <c r="AW208" s="542"/>
      <c r="AX208" s="542"/>
      <c r="AY208" s="542"/>
      <c r="AZ208" s="542"/>
      <c r="BA208" s="542"/>
      <c r="BB208" s="542"/>
      <c r="BC208" s="542"/>
      <c r="BD208" s="171">
        <f t="shared" ca="1" si="54"/>
        <v>0</v>
      </c>
      <c r="BE208" s="542"/>
      <c r="BF208" s="542"/>
      <c r="BG208" s="542"/>
      <c r="BH208" s="542"/>
      <c r="BI208" s="542"/>
      <c r="BJ208" s="542"/>
      <c r="BK208" s="542"/>
      <c r="BL208" s="542"/>
      <c r="BM208" s="542"/>
      <c r="BN208" s="196"/>
      <c r="BO208" s="601" t="str">
        <f ca="1">IF(IFERROR(INDEX(ФОТ!$K$26:$L$127,MATCH($F208&amp;"6komm",ФОТ!$K$26:$K$127,0),2),"")=0,"",IFERROR(INDEX(ФОТ!$K$26:$L$127,MATCH($F208&amp;"6komm",ФОТ!$K$26:$K$127,0),2),""))</f>
        <v/>
      </c>
      <c r="BP208" s="196"/>
      <c r="BS208" s="694" t="s">
        <v>1825</v>
      </c>
    </row>
    <row r="209" spans="1:75" ht="32.25" customHeight="1" x14ac:dyDescent="0.25">
      <c r="C209" s="25"/>
      <c r="D209" s="25"/>
      <c r="E209" s="451">
        <v>33.75</v>
      </c>
      <c r="F209" s="3" t="str" cm="1">
        <f t="array" aca="1" ref="F209" ca="1">OFFSET(E209,-1,1)</f>
        <v>1</v>
      </c>
      <c r="G209" s="571" t="s">
        <v>1231</v>
      </c>
      <c r="H209" s="577"/>
      <c r="I209" s="577" t="s">
        <v>1375</v>
      </c>
      <c r="J209" s="25"/>
      <c r="K209" s="277" t="s">
        <v>1375</v>
      </c>
      <c r="L209" s="25" t="s">
        <v>973</v>
      </c>
      <c r="M209" s="25"/>
      <c r="N209" s="25"/>
      <c r="O209" s="25"/>
      <c r="P209" s="25"/>
      <c r="Q209" s="25"/>
      <c r="R209" s="25"/>
      <c r="S209" s="25"/>
      <c r="T209" s="353" t="b" cm="1">
        <f t="array" ref="T209">T208</f>
        <v>1</v>
      </c>
      <c r="U209" s="25"/>
      <c r="V209" s="25"/>
      <c r="W209" s="25"/>
      <c r="X209" s="1022"/>
      <c r="Z209" s="967"/>
      <c r="AB209" s="7" t="s">
        <v>1376</v>
      </c>
      <c r="AC209" s="134" t="s">
        <v>2023</v>
      </c>
      <c r="AD209" s="7" t="s">
        <v>828</v>
      </c>
      <c r="AE209" s="171">
        <f ca="1">SUMIFS(Административные!AE$25:AE$103,Административные!$F$25:$F$103,$F209,Административные!$G$25:$G$103,$G209)</f>
        <v>0</v>
      </c>
      <c r="AF209" s="171">
        <f ca="1">SUMIFS(Административные!AF$25:AF$103,Административные!$F$25:$F$103,$F209,Административные!$G$25:$G$103,$G209)</f>
        <v>0</v>
      </c>
      <c r="AG209" s="171">
        <f ca="1">SUMIFS(Административные!AG$25:AG$103,Административные!$F$25:$F$103,$F209,Административные!$G$25:$G$103,$G209)</f>
        <v>0</v>
      </c>
      <c r="AH209" s="171">
        <f t="shared" ca="1" si="53"/>
        <v>0</v>
      </c>
      <c r="AI209" s="171">
        <f ca="1">SUMIFS(Административные!AH$25:AH$103,Административные!$F$25:$F$103,$F209,Административные!$G$25:$G$103,$G209)</f>
        <v>0</v>
      </c>
      <c r="AJ209" s="171">
        <f ca="1">SUMIFS(Административные!AI$25:AI$103,Административные!$F$25:$F$103,$F209,Административные!$G$25:$G$103,$G209)</f>
        <v>0</v>
      </c>
      <c r="AK209" s="542"/>
      <c r="AL209" s="542"/>
      <c r="AM209" s="542"/>
      <c r="AN209" s="542"/>
      <c r="AO209" s="542"/>
      <c r="AP209" s="542"/>
      <c r="AQ209" s="542"/>
      <c r="AR209" s="542"/>
      <c r="AS209" s="542"/>
      <c r="AT209" s="171">
        <f ca="1">SUMIFS(Административные!AJ$25:AJ$103,Административные!$F$25:$F$103,$F209,Административные!$G$25:$G$103,$G209)</f>
        <v>0</v>
      </c>
      <c r="AU209" s="542"/>
      <c r="AV209" s="542"/>
      <c r="AW209" s="542"/>
      <c r="AX209" s="542"/>
      <c r="AY209" s="542"/>
      <c r="AZ209" s="542"/>
      <c r="BA209" s="542"/>
      <c r="BB209" s="542"/>
      <c r="BC209" s="542"/>
      <c r="BD209" s="171">
        <f t="shared" ca="1" si="54"/>
        <v>0</v>
      </c>
      <c r="BE209" s="542"/>
      <c r="BF209" s="542"/>
      <c r="BG209" s="542"/>
      <c r="BH209" s="542"/>
      <c r="BI209" s="542"/>
      <c r="BJ209" s="542"/>
      <c r="BK209" s="542"/>
      <c r="BL209" s="542"/>
      <c r="BM209" s="542"/>
      <c r="BN209" s="196"/>
      <c r="BO209" s="601" t="str">
        <f ca="1">IF(IFERROR(INDEX(Административные!$K$26:$L$103,MATCH($F209&amp;"2komm",Административные!$K$26:$K$103,0),2),"")=0,"",IFERROR(INDEX(Административные!$K$26:$L$103,MATCH($F209&amp;"2komm",Административные!$K$26:$K$103,0),2),""))</f>
        <v/>
      </c>
      <c r="BP209" s="196"/>
      <c r="BS209" s="694" t="s">
        <v>1233</v>
      </c>
    </row>
    <row r="210" spans="1:75" ht="14.25" customHeight="1" x14ac:dyDescent="0.25">
      <c r="C210" s="25"/>
      <c r="D210" s="25"/>
      <c r="E210" s="451">
        <v>15</v>
      </c>
      <c r="F210" s="3" t="str" cm="1">
        <f t="array" aca="1" ref="F210" ca="1">OFFSET(E210,-1,1)</f>
        <v>1</v>
      </c>
      <c r="G210" s="571" t="s">
        <v>1234</v>
      </c>
      <c r="H210" s="577"/>
      <c r="I210" s="577" t="s">
        <v>1379</v>
      </c>
      <c r="J210" s="25"/>
      <c r="K210" s="277" t="s">
        <v>1379</v>
      </c>
      <c r="L210" s="25" t="s">
        <v>975</v>
      </c>
      <c r="M210" s="25"/>
      <c r="N210" s="25"/>
      <c r="O210" s="25"/>
      <c r="P210" s="25"/>
      <c r="Q210" s="25"/>
      <c r="R210" s="25"/>
      <c r="S210" s="25"/>
      <c r="T210" s="353" t="b" cm="1">
        <f t="array" ref="T210">T209</f>
        <v>1</v>
      </c>
      <c r="U210" s="25"/>
      <c r="V210" s="25"/>
      <c r="W210" s="25"/>
      <c r="X210" s="1022"/>
      <c r="Z210" s="967"/>
      <c r="AB210" s="7" t="s">
        <v>1380</v>
      </c>
      <c r="AC210" s="134" t="s">
        <v>2024</v>
      </c>
      <c r="AD210" s="7" t="s">
        <v>828</v>
      </c>
      <c r="AE210" s="171">
        <f ca="1">SUMIFS(Административные!AE$25:AE$103,Административные!$F$25:$F$103,$F210,Административные!$G$25:$G$103,$G210)</f>
        <v>0</v>
      </c>
      <c r="AF210" s="171">
        <f ca="1">SUMIFS(Административные!AF$25:AF$103,Административные!$F$25:$F$103,$F210,Административные!$G$25:$G$103,$G210)</f>
        <v>0</v>
      </c>
      <c r="AG210" s="171">
        <f ca="1">SUMIFS(Административные!AG$25:AG$103,Административные!$F$25:$F$103,$F210,Административные!$G$25:$G$103,$G210)</f>
        <v>0</v>
      </c>
      <c r="AH210" s="171">
        <f t="shared" ca="1" si="53"/>
        <v>0</v>
      </c>
      <c r="AI210" s="171">
        <f ca="1">SUMIFS(Административные!AH$25:AH$103,Административные!$F$25:$F$103,$F210,Административные!$G$25:$G$103,$G210)</f>
        <v>0</v>
      </c>
      <c r="AJ210" s="171">
        <f ca="1">SUMIFS(Административные!AI$25:AI$103,Административные!$F$25:$F$103,$F210,Административные!$G$25:$G$103,$G210)</f>
        <v>0</v>
      </c>
      <c r="AK210" s="542"/>
      <c r="AL210" s="542"/>
      <c r="AM210" s="542"/>
      <c r="AN210" s="542"/>
      <c r="AO210" s="542"/>
      <c r="AP210" s="542"/>
      <c r="AQ210" s="542"/>
      <c r="AR210" s="542"/>
      <c r="AS210" s="542"/>
      <c r="AT210" s="171">
        <f ca="1">SUMIFS(Административные!AJ$25:AJ$103,Административные!$F$25:$F$103,$F210,Административные!$G$25:$G$103,$G210)</f>
        <v>0</v>
      </c>
      <c r="AU210" s="542"/>
      <c r="AV210" s="542"/>
      <c r="AW210" s="542"/>
      <c r="AX210" s="542"/>
      <c r="AY210" s="542"/>
      <c r="AZ210" s="542"/>
      <c r="BA210" s="542"/>
      <c r="BB210" s="542"/>
      <c r="BC210" s="542"/>
      <c r="BD210" s="171">
        <f t="shared" ca="1" si="54"/>
        <v>0</v>
      </c>
      <c r="BE210" s="542"/>
      <c r="BF210" s="542"/>
      <c r="BG210" s="542"/>
      <c r="BH210" s="542"/>
      <c r="BI210" s="542"/>
      <c r="BJ210" s="542"/>
      <c r="BK210" s="542"/>
      <c r="BL210" s="542"/>
      <c r="BM210" s="542"/>
      <c r="BN210" s="196"/>
      <c r="BO210" s="601" t="str">
        <f ca="1">IF(IFERROR(INDEX(Административные!$K$26:$L$103,MATCH($F210&amp;"3komm",Административные!$K$26:$K$103,0),2),"")=0,"",IFERROR(INDEX(Административные!$K$26:$L$103,MATCH($F210&amp;"3komm",Административные!$K$26:$K$103,0),2),""))</f>
        <v/>
      </c>
      <c r="BP210" s="196"/>
      <c r="BS210" s="694" t="s">
        <v>1236</v>
      </c>
    </row>
    <row r="211" spans="1:75" ht="14.25" customHeight="1" x14ac:dyDescent="0.25">
      <c r="C211" s="25"/>
      <c r="D211" s="25"/>
      <c r="E211" s="451">
        <v>15</v>
      </c>
      <c r="F211" s="3" t="str" cm="1">
        <f t="array" aca="1" ref="F211" ca="1">OFFSET(E211,-1,1)</f>
        <v>1</v>
      </c>
      <c r="G211" s="571" t="s">
        <v>1237</v>
      </c>
      <c r="H211" s="577"/>
      <c r="I211" s="577" t="s">
        <v>2025</v>
      </c>
      <c r="J211" s="25"/>
      <c r="K211" s="277" t="s">
        <v>2025</v>
      </c>
      <c r="L211" s="25" t="s">
        <v>978</v>
      </c>
      <c r="M211" s="25"/>
      <c r="N211" s="25"/>
      <c r="O211" s="25"/>
      <c r="P211" s="25"/>
      <c r="Q211" s="25"/>
      <c r="R211" s="25"/>
      <c r="S211" s="25"/>
      <c r="T211" s="353" t="b" cm="1">
        <f t="array" ref="T211">T210</f>
        <v>1</v>
      </c>
      <c r="U211" s="25"/>
      <c r="V211" s="25"/>
      <c r="W211" s="25"/>
      <c r="X211" s="1022"/>
      <c r="Z211" s="967"/>
      <c r="AB211" s="7" t="s">
        <v>2026</v>
      </c>
      <c r="AC211" s="134" t="s">
        <v>2027</v>
      </c>
      <c r="AD211" s="7" t="s">
        <v>828</v>
      </c>
      <c r="AE211" s="171">
        <f ca="1">SUMIFS(Административные!AE$25:AE$103,Административные!$F$25:$F$103,$F211,Административные!$G$25:$G$103,$G211)</f>
        <v>0</v>
      </c>
      <c r="AF211" s="171">
        <f ca="1">SUMIFS(Административные!AF$25:AF$103,Административные!$F$25:$F$103,$F211,Административные!$G$25:$G$103,$G211)</f>
        <v>0</v>
      </c>
      <c r="AG211" s="171">
        <f ca="1">SUMIFS(Административные!AG$25:AG$103,Административные!$F$25:$F$103,$F211,Административные!$G$25:$G$103,$G211)</f>
        <v>0</v>
      </c>
      <c r="AH211" s="171">
        <f t="shared" ca="1" si="53"/>
        <v>0</v>
      </c>
      <c r="AI211" s="171">
        <f ca="1">SUMIFS(Административные!AH$25:AH$103,Административные!$F$25:$F$103,$F211,Административные!$G$25:$G$103,$G211)</f>
        <v>0</v>
      </c>
      <c r="AJ211" s="171">
        <f ca="1">SUMIFS(Административные!AI$25:AI$103,Административные!$F$25:$F$103,$F211,Административные!$G$25:$G$103,$G211)</f>
        <v>0</v>
      </c>
      <c r="AK211" s="542"/>
      <c r="AL211" s="542"/>
      <c r="AM211" s="542"/>
      <c r="AN211" s="542"/>
      <c r="AO211" s="542"/>
      <c r="AP211" s="542"/>
      <c r="AQ211" s="542"/>
      <c r="AR211" s="542"/>
      <c r="AS211" s="542"/>
      <c r="AT211" s="171">
        <f ca="1">SUMIFS(Административные!AJ$25:AJ$103,Административные!$F$25:$F$103,$F211,Административные!$G$25:$G$103,$G211)</f>
        <v>0</v>
      </c>
      <c r="AU211" s="542"/>
      <c r="AV211" s="542"/>
      <c r="AW211" s="542"/>
      <c r="AX211" s="542"/>
      <c r="AY211" s="542"/>
      <c r="AZ211" s="542"/>
      <c r="BA211" s="542"/>
      <c r="BB211" s="542"/>
      <c r="BC211" s="542"/>
      <c r="BD211" s="171">
        <f t="shared" ca="1" si="54"/>
        <v>0</v>
      </c>
      <c r="BE211" s="542"/>
      <c r="BF211" s="542"/>
      <c r="BG211" s="542"/>
      <c r="BH211" s="542"/>
      <c r="BI211" s="542"/>
      <c r="BJ211" s="542"/>
      <c r="BK211" s="542"/>
      <c r="BL211" s="542"/>
      <c r="BM211" s="542"/>
      <c r="BN211" s="196"/>
      <c r="BO211" s="601" t="str">
        <f ca="1">IF(IFERROR(INDEX(Административные!$K$26:$L$103,MATCH($F211&amp;"4komm",Административные!$K$26:$K$103,0),2),"")=0,"",IFERROR(INDEX(Административные!$K$26:$L$103,MATCH($F211&amp;"4komm",Административные!$K$26:$K$103,0),2),""))</f>
        <v/>
      </c>
      <c r="BP211" s="196"/>
      <c r="BS211" s="694" t="s">
        <v>1239</v>
      </c>
    </row>
    <row r="212" spans="1:75" ht="14.25" customHeight="1" x14ac:dyDescent="0.25">
      <c r="C212" s="25"/>
      <c r="D212" s="25"/>
      <c r="E212" s="451">
        <v>15</v>
      </c>
      <c r="F212" s="3" t="str" cm="1">
        <f t="array" aca="1" ref="F212" ca="1">OFFSET(E212,-1,1)</f>
        <v>1</v>
      </c>
      <c r="G212" s="571" t="s">
        <v>1240</v>
      </c>
      <c r="H212" s="577"/>
      <c r="I212" s="577" t="s">
        <v>2028</v>
      </c>
      <c r="J212" s="25"/>
      <c r="K212" s="277" t="s">
        <v>2028</v>
      </c>
      <c r="L212" s="25" t="s">
        <v>1222</v>
      </c>
      <c r="M212" s="25"/>
      <c r="N212" s="25"/>
      <c r="O212" s="25"/>
      <c r="P212" s="25"/>
      <c r="Q212" s="25"/>
      <c r="R212" s="25"/>
      <c r="S212" s="25"/>
      <c r="T212" s="353" t="b" cm="1">
        <f t="array" ref="T212">T211</f>
        <v>1</v>
      </c>
      <c r="U212" s="25"/>
      <c r="V212" s="25"/>
      <c r="W212" s="25"/>
      <c r="X212" s="1022"/>
      <c r="Z212" s="967"/>
      <c r="AB212" s="7" t="s">
        <v>2029</v>
      </c>
      <c r="AC212" s="134" t="s">
        <v>2030</v>
      </c>
      <c r="AD212" s="7" t="s">
        <v>828</v>
      </c>
      <c r="AE212" s="171">
        <f ca="1">SUMIFS(Административные!AE$25:AE$103,Административные!$F$25:$F$103,$F212,Административные!$G$25:$G$103,$G212)</f>
        <v>0</v>
      </c>
      <c r="AF212" s="171">
        <f ca="1">SUMIFS(Административные!AF$25:AF$103,Административные!$F$25:$F$103,$F212,Административные!$G$25:$G$103,$G212)</f>
        <v>0</v>
      </c>
      <c r="AG212" s="171">
        <f ca="1">SUMIFS(Административные!AG$25:AG$103,Административные!$F$25:$F$103,$F212,Административные!$G$25:$G$103,$G212)</f>
        <v>0</v>
      </c>
      <c r="AH212" s="171">
        <f t="shared" ca="1" si="53"/>
        <v>0</v>
      </c>
      <c r="AI212" s="171">
        <f ca="1">SUMIFS(Административные!AH$25:AH$103,Административные!$F$25:$F$103,$F212,Административные!$G$25:$G$103,$G212)</f>
        <v>0</v>
      </c>
      <c r="AJ212" s="171">
        <f ca="1">SUMIFS(Административные!AI$25:AI$103,Административные!$F$25:$F$103,$F212,Административные!$G$25:$G$103,$G212)</f>
        <v>0</v>
      </c>
      <c r="AK212" s="542"/>
      <c r="AL212" s="542"/>
      <c r="AM212" s="542"/>
      <c r="AN212" s="542"/>
      <c r="AO212" s="542"/>
      <c r="AP212" s="542"/>
      <c r="AQ212" s="542"/>
      <c r="AR212" s="542"/>
      <c r="AS212" s="542"/>
      <c r="AT212" s="171">
        <f ca="1">SUMIFS(Административные!AJ$25:AJ$103,Административные!$F$25:$F$103,$F212,Административные!$G$25:$G$103,$G212)</f>
        <v>0</v>
      </c>
      <c r="AU212" s="542"/>
      <c r="AV212" s="542"/>
      <c r="AW212" s="542"/>
      <c r="AX212" s="542"/>
      <c r="AY212" s="542"/>
      <c r="AZ212" s="542"/>
      <c r="BA212" s="542"/>
      <c r="BB212" s="542"/>
      <c r="BC212" s="542"/>
      <c r="BD212" s="171">
        <f t="shared" ca="1" si="54"/>
        <v>0</v>
      </c>
      <c r="BE212" s="542"/>
      <c r="BF212" s="542"/>
      <c r="BG212" s="542"/>
      <c r="BH212" s="542"/>
      <c r="BI212" s="542"/>
      <c r="BJ212" s="542"/>
      <c r="BK212" s="542"/>
      <c r="BL212" s="542"/>
      <c r="BM212" s="542"/>
      <c r="BN212" s="196"/>
      <c r="BO212" s="601" t="str">
        <f ca="1">IF(IFERROR(INDEX(Административные!$K$26:$L$103,MATCH($F212&amp;"5komm",Административные!$K$26:$K$103,0),2),"")=0,"",IFERROR(INDEX(Административные!$K$26:$L$103,MATCH($F212&amp;"5komm",Административные!$K$26:$K$103,0),2),""))</f>
        <v/>
      </c>
      <c r="BP212" s="196"/>
      <c r="BS212" s="694" t="s">
        <v>1827</v>
      </c>
    </row>
    <row r="213" spans="1:75" ht="14.25" customHeight="1" x14ac:dyDescent="0.25">
      <c r="C213" s="25"/>
      <c r="D213" s="25"/>
      <c r="E213" s="451">
        <v>15</v>
      </c>
      <c r="F213" s="3" t="str" cm="1">
        <f t="array" aca="1" ref="F213" ca="1">OFFSET(E213,-1,1)</f>
        <v>1</v>
      </c>
      <c r="G213" s="571" t="s">
        <v>1243</v>
      </c>
      <c r="H213" s="577"/>
      <c r="I213" s="577" t="s">
        <v>2031</v>
      </c>
      <c r="J213" s="25"/>
      <c r="K213" s="277" t="s">
        <v>2031</v>
      </c>
      <c r="L213" s="25" t="s">
        <v>1227</v>
      </c>
      <c r="M213" s="25"/>
      <c r="N213" s="25"/>
      <c r="O213" s="25"/>
      <c r="P213" s="25"/>
      <c r="Q213" s="25"/>
      <c r="R213" s="25"/>
      <c r="S213" s="25"/>
      <c r="T213" s="353" t="b" cm="1">
        <f t="array" ref="T213">T212</f>
        <v>1</v>
      </c>
      <c r="U213" s="25"/>
      <c r="V213" s="25"/>
      <c r="W213" s="25"/>
      <c r="X213" s="1022"/>
      <c r="Z213" s="967"/>
      <c r="AB213" s="7" t="s">
        <v>2032</v>
      </c>
      <c r="AC213" s="134" t="s">
        <v>2033</v>
      </c>
      <c r="AD213" s="7" t="s">
        <v>828</v>
      </c>
      <c r="AE213" s="171">
        <f ca="1">SUMIFS(Административные!AE$25:AE$103,Административные!$F$25:$F$103,$F213,Административные!$G$25:$G$103,$G213)</f>
        <v>0</v>
      </c>
      <c r="AF213" s="171">
        <f ca="1">SUMIFS(Административные!AF$25:AF$103,Административные!$F$25:$F$103,$F213,Административные!$G$25:$G$103,$G213)</f>
        <v>0</v>
      </c>
      <c r="AG213" s="171">
        <f ca="1">SUMIFS(Административные!AG$25:AG$103,Административные!$F$25:$F$103,$F213,Административные!$G$25:$G$103,$G213)</f>
        <v>0</v>
      </c>
      <c r="AH213" s="171">
        <f t="shared" ca="1" si="53"/>
        <v>0</v>
      </c>
      <c r="AI213" s="171">
        <f ca="1">SUMIFS(Административные!AH$25:AH$103,Административные!$F$25:$F$103,$F213,Административные!$G$25:$G$103,$G213)</f>
        <v>0</v>
      </c>
      <c r="AJ213" s="171">
        <f ca="1">SUMIFS(Административные!AI$25:AI$103,Административные!$F$25:$F$103,$F213,Административные!$G$25:$G$103,$G213)</f>
        <v>0</v>
      </c>
      <c r="AK213" s="542"/>
      <c r="AL213" s="542"/>
      <c r="AM213" s="542"/>
      <c r="AN213" s="542"/>
      <c r="AO213" s="542"/>
      <c r="AP213" s="542"/>
      <c r="AQ213" s="542"/>
      <c r="AR213" s="542"/>
      <c r="AS213" s="542"/>
      <c r="AT213" s="171">
        <f ca="1">SUMIFS(Административные!AJ$25:AJ$103,Административные!$F$25:$F$103,$F213,Административные!$G$25:$G$103,$G213)</f>
        <v>0</v>
      </c>
      <c r="AU213" s="542"/>
      <c r="AV213" s="542"/>
      <c r="AW213" s="542"/>
      <c r="AX213" s="542"/>
      <c r="AY213" s="542"/>
      <c r="AZ213" s="542"/>
      <c r="BA213" s="542"/>
      <c r="BB213" s="542"/>
      <c r="BC213" s="542"/>
      <c r="BD213" s="171">
        <f t="shared" ca="1" si="54"/>
        <v>0</v>
      </c>
      <c r="BE213" s="542"/>
      <c r="BF213" s="542"/>
      <c r="BG213" s="542"/>
      <c r="BH213" s="542"/>
      <c r="BI213" s="542"/>
      <c r="BJ213" s="542"/>
      <c r="BK213" s="542"/>
      <c r="BL213" s="542"/>
      <c r="BM213" s="542"/>
      <c r="BN213" s="196"/>
      <c r="BO213" s="601" t="str">
        <f ca="1">IF(IFERROR(INDEX(Административные!$K$26:$L$103,MATCH($F213&amp;"6komm",Административные!$K$26:$K$103,0),2),"")=0,"",IFERROR(INDEX(Административные!$K$26:$L$103,MATCH($F213&amp;"6komm",Административные!$K$26:$K$103,0),2),""))</f>
        <v/>
      </c>
      <c r="BP213" s="196"/>
      <c r="BS213" s="694" t="s">
        <v>1829</v>
      </c>
    </row>
    <row r="214" spans="1:75" ht="14.25" customHeight="1" x14ac:dyDescent="0.25">
      <c r="C214" s="25"/>
      <c r="D214" s="25"/>
      <c r="E214" s="451">
        <v>15</v>
      </c>
      <c r="F214" s="3" t="str" cm="1">
        <f t="array" aca="1" ref="F214" ca="1">OFFSET(E214,-1,1)</f>
        <v>1</v>
      </c>
      <c r="G214" s="571" t="s">
        <v>1245</v>
      </c>
      <c r="H214" s="577"/>
      <c r="I214" s="577" t="s">
        <v>2034</v>
      </c>
      <c r="J214" s="25"/>
      <c r="K214" s="277" t="s">
        <v>2034</v>
      </c>
      <c r="L214" s="25" t="s">
        <v>1830</v>
      </c>
      <c r="M214" s="25"/>
      <c r="N214" s="25"/>
      <c r="O214" s="25"/>
      <c r="P214" s="25"/>
      <c r="Q214" s="25"/>
      <c r="R214" s="25"/>
      <c r="S214" s="25"/>
      <c r="T214" s="353" t="b" cm="1">
        <f t="array" ref="T214">T213</f>
        <v>1</v>
      </c>
      <c r="U214" s="25"/>
      <c r="V214" s="25"/>
      <c r="W214" s="25"/>
      <c r="X214" s="1022"/>
      <c r="Z214" s="967"/>
      <c r="AB214" s="7" t="s">
        <v>2035</v>
      </c>
      <c r="AC214" s="543" t="s">
        <v>1832</v>
      </c>
      <c r="AD214" s="7" t="s">
        <v>828</v>
      </c>
      <c r="AE214" s="171">
        <f ca="1">SUMIFS(Административные!AE$25:AE$103,Административные!$F$25:$F$103,$F214,Административные!$G$25:$G$103,$G214)</f>
        <v>0</v>
      </c>
      <c r="AF214" s="171">
        <f ca="1">SUMIFS(Административные!AF$25:AF$103,Административные!$F$25:$F$103,$F214,Административные!$G$25:$G$103,$G214)</f>
        <v>0</v>
      </c>
      <c r="AG214" s="171">
        <f ca="1">SUMIFS(Административные!AG$25:AG$103,Административные!$F$25:$F$103,$F214,Административные!$G$25:$G$103,$G214)</f>
        <v>0</v>
      </c>
      <c r="AH214" s="171">
        <f t="shared" ca="1" si="53"/>
        <v>0</v>
      </c>
      <c r="AI214" s="171">
        <f ca="1">SUMIFS(Административные!AH$25:AH$103,Административные!$F$25:$F$103,$F214,Административные!$G$25:$G$103,$G214)</f>
        <v>0</v>
      </c>
      <c r="AJ214" s="171">
        <f ca="1">SUMIFS(Административные!AI$25:AI$103,Административные!$F$25:$F$103,$F214,Административные!$G$25:$G$103,$G214)</f>
        <v>0</v>
      </c>
      <c r="AK214" s="542"/>
      <c r="AL214" s="542"/>
      <c r="AM214" s="542"/>
      <c r="AN214" s="542"/>
      <c r="AO214" s="542"/>
      <c r="AP214" s="542"/>
      <c r="AQ214" s="542"/>
      <c r="AR214" s="542"/>
      <c r="AS214" s="542"/>
      <c r="AT214" s="171">
        <f ca="1">SUMIFS(Административные!AJ$25:AJ$103,Административные!$F$25:$F$103,$F214,Административные!$G$25:$G$103,$G214)</f>
        <v>0</v>
      </c>
      <c r="AU214" s="542"/>
      <c r="AV214" s="542"/>
      <c r="AW214" s="542"/>
      <c r="AX214" s="542"/>
      <c r="AY214" s="542"/>
      <c r="AZ214" s="542"/>
      <c r="BA214" s="542"/>
      <c r="BB214" s="542"/>
      <c r="BC214" s="542"/>
      <c r="BD214" s="171">
        <f t="shared" ca="1" si="54"/>
        <v>0</v>
      </c>
      <c r="BE214" s="542"/>
      <c r="BF214" s="542"/>
      <c r="BG214" s="542"/>
      <c r="BH214" s="542"/>
      <c r="BI214" s="542"/>
      <c r="BJ214" s="542"/>
      <c r="BK214" s="542"/>
      <c r="BL214" s="542"/>
      <c r="BM214" s="542"/>
      <c r="BN214" s="196"/>
      <c r="BO214" s="601" t="str">
        <f ca="1">IF(IFERROR(INDEX(Административные!$K$26:$L$103,MATCH($F214&amp;"7komm",Административные!$K$26:$K$103,0),2),"")=0,"",IFERROR(INDEX(Административные!$K$26:$L$103,MATCH($F214&amp;"7komm",Административные!$K$26:$K$103,0),2),""))</f>
        <v/>
      </c>
      <c r="BP214" s="196"/>
      <c r="BS214" s="694" t="s">
        <v>1833</v>
      </c>
    </row>
    <row r="215" spans="1:75" ht="14.25" customHeight="1" x14ac:dyDescent="0.25">
      <c r="C215" s="25"/>
      <c r="D215" s="25"/>
      <c r="E215" s="451">
        <v>15</v>
      </c>
      <c r="F215" s="3" t="str" cm="1">
        <f t="array" aca="1" ref="F215" ca="1">OFFSET(E215,-1,1)</f>
        <v>1</v>
      </c>
      <c r="G215" s="571" t="s">
        <v>1248</v>
      </c>
      <c r="H215" s="577"/>
      <c r="I215" s="577" t="s">
        <v>2036</v>
      </c>
      <c r="J215" s="25"/>
      <c r="K215" s="277" t="s">
        <v>2036</v>
      </c>
      <c r="L215" s="25" t="s">
        <v>1834</v>
      </c>
      <c r="M215" s="25"/>
      <c r="N215" s="25"/>
      <c r="O215" s="25"/>
      <c r="P215" s="25"/>
      <c r="Q215" s="25"/>
      <c r="R215" s="25"/>
      <c r="S215" s="25"/>
      <c r="T215" s="353" t="b" cm="1">
        <f t="array" ref="T215">T214</f>
        <v>1</v>
      </c>
      <c r="U215" s="25"/>
      <c r="V215" s="25"/>
      <c r="W215" s="25"/>
      <c r="X215" s="1022"/>
      <c r="Z215" s="967"/>
      <c r="AB215" s="7" t="s">
        <v>2037</v>
      </c>
      <c r="AC215" s="543" t="s">
        <v>1249</v>
      </c>
      <c r="AD215" s="7" t="s">
        <v>828</v>
      </c>
      <c r="AE215" s="171">
        <f ca="1">SUMIFS(Административные!AE$25:AE$103,Административные!$F$25:$F$103,$F215,Административные!$G$25:$G$103,$G215)</f>
        <v>0</v>
      </c>
      <c r="AF215" s="171">
        <f ca="1">SUMIFS(Административные!AF$25:AF$103,Административные!$F$25:$F$103,$F215,Административные!$G$25:$G$103,$G215)</f>
        <v>0</v>
      </c>
      <c r="AG215" s="171">
        <f ca="1">SUMIFS(Административные!AG$25:AG$103,Административные!$F$25:$F$103,$F215,Административные!$G$25:$G$103,$G215)</f>
        <v>0</v>
      </c>
      <c r="AH215" s="171">
        <f t="shared" ca="1" si="53"/>
        <v>0</v>
      </c>
      <c r="AI215" s="171">
        <f ca="1">SUMIFS(Административные!AH$25:AH$103,Административные!$F$25:$F$103,$F215,Административные!$G$25:$G$103,$G215)</f>
        <v>0</v>
      </c>
      <c r="AJ215" s="171">
        <f ca="1">SUMIFS(Административные!AI$25:AI$103,Административные!$F$25:$F$103,$F215,Административные!$G$25:$G$103,$G215)</f>
        <v>0</v>
      </c>
      <c r="AK215" s="542"/>
      <c r="AL215" s="542"/>
      <c r="AM215" s="542"/>
      <c r="AN215" s="542"/>
      <c r="AO215" s="542"/>
      <c r="AP215" s="542"/>
      <c r="AQ215" s="542"/>
      <c r="AR215" s="542"/>
      <c r="AS215" s="542"/>
      <c r="AT215" s="171">
        <f ca="1">SUMIFS(Административные!AJ$25:AJ$103,Административные!$F$25:$F$103,$F215,Административные!$G$25:$G$103,$G215)</f>
        <v>0</v>
      </c>
      <c r="AU215" s="542"/>
      <c r="AV215" s="542"/>
      <c r="AW215" s="542"/>
      <c r="AX215" s="542"/>
      <c r="AY215" s="542"/>
      <c r="AZ215" s="542"/>
      <c r="BA215" s="542"/>
      <c r="BB215" s="542"/>
      <c r="BC215" s="542"/>
      <c r="BD215" s="171">
        <f t="shared" ca="1" si="54"/>
        <v>0</v>
      </c>
      <c r="BE215" s="542"/>
      <c r="BF215" s="542"/>
      <c r="BG215" s="542"/>
      <c r="BH215" s="542"/>
      <c r="BI215" s="542"/>
      <c r="BJ215" s="542"/>
      <c r="BK215" s="542"/>
      <c r="BL215" s="542"/>
      <c r="BM215" s="542"/>
      <c r="BN215" s="196"/>
      <c r="BO215" s="601" t="str">
        <f ca="1">IF(IFERROR(INDEX(Административные!$K$26:$L$103,MATCH($F215&amp;"8komm",Административные!$K$26:$K$103,0),2),"")=0,"",IFERROR(INDEX(Административные!$K$26:$L$103,MATCH($F215&amp;"8komm",Административные!$K$26:$K$103,0),2),""))</f>
        <v/>
      </c>
      <c r="BP215" s="196"/>
      <c r="BS215" s="694" t="s">
        <v>1836</v>
      </c>
    </row>
    <row r="216" spans="1:75" ht="14.25" customHeight="1" x14ac:dyDescent="0.25">
      <c r="C216" s="25"/>
      <c r="D216" s="25"/>
      <c r="E216" s="451">
        <v>15</v>
      </c>
      <c r="F216" s="3" t="str" cm="1">
        <f t="array" aca="1" ref="F216" ca="1">OFFSET(E216,-1,1)</f>
        <v>1</v>
      </c>
      <c r="G216" s="25" t="s">
        <v>1251</v>
      </c>
      <c r="H216" s="577"/>
      <c r="I216" s="577" t="s">
        <v>2038</v>
      </c>
      <c r="J216" s="25"/>
      <c r="K216" s="277" t="s">
        <v>2038</v>
      </c>
      <c r="L216" s="25" t="s">
        <v>1837</v>
      </c>
      <c r="M216" s="25"/>
      <c r="N216" s="25"/>
      <c r="O216" s="25"/>
      <c r="P216" s="25"/>
      <c r="Q216" s="25"/>
      <c r="R216" s="25"/>
      <c r="S216" s="25"/>
      <c r="T216" s="353" t="b" cm="1">
        <f t="array" ref="T216">T215</f>
        <v>1</v>
      </c>
      <c r="U216" s="25"/>
      <c r="V216" s="25"/>
      <c r="W216" s="25"/>
      <c r="X216" s="1022"/>
      <c r="Z216" s="967"/>
      <c r="AB216" s="7" t="s">
        <v>2039</v>
      </c>
      <c r="AC216" s="543" t="s">
        <v>1252</v>
      </c>
      <c r="AD216" s="7" t="s">
        <v>828</v>
      </c>
      <c r="AE216" s="171">
        <f ca="1">SUMIFS(Административные!AE$25:AE$103,Административные!$F$25:$F$103,$F216,Административные!$G$25:$G$103,$G216)</f>
        <v>0</v>
      </c>
      <c r="AF216" s="171">
        <f ca="1">SUMIFS(Административные!AF$25:AF$103,Административные!$F$25:$F$103,$F216,Административные!$G$25:$G$103,$G216)</f>
        <v>0</v>
      </c>
      <c r="AG216" s="171">
        <f ca="1">SUMIFS(Административные!AG$25:AG$103,Административные!$F$25:$F$103,$F216,Административные!$G$25:$G$103,$G216)</f>
        <v>0</v>
      </c>
      <c r="AH216" s="171">
        <f t="shared" ca="1" si="53"/>
        <v>0</v>
      </c>
      <c r="AI216" s="171">
        <f ca="1">SUMIFS(Административные!AH$25:AH$103,Административные!$F$25:$F$103,$F216,Административные!$G$25:$G$103,$G216)</f>
        <v>0</v>
      </c>
      <c r="AJ216" s="171">
        <f ca="1">SUMIFS(Административные!AI$25:AI$103,Административные!$F$25:$F$103,$F216,Административные!$G$25:$G$103,$G216)</f>
        <v>0</v>
      </c>
      <c r="AK216" s="542"/>
      <c r="AL216" s="542"/>
      <c r="AM216" s="542"/>
      <c r="AN216" s="542"/>
      <c r="AO216" s="542"/>
      <c r="AP216" s="542"/>
      <c r="AQ216" s="542"/>
      <c r="AR216" s="542"/>
      <c r="AS216" s="542"/>
      <c r="AT216" s="171">
        <f ca="1">SUMIFS(Административные!AJ$25:AJ$103,Административные!$F$25:$F$103,$F216,Административные!$G$25:$G$103,$G216)</f>
        <v>0</v>
      </c>
      <c r="AU216" s="542"/>
      <c r="AV216" s="542"/>
      <c r="AW216" s="542"/>
      <c r="AX216" s="542"/>
      <c r="AY216" s="542"/>
      <c r="AZ216" s="542"/>
      <c r="BA216" s="542"/>
      <c r="BB216" s="542"/>
      <c r="BC216" s="542"/>
      <c r="BD216" s="171">
        <f t="shared" ca="1" si="54"/>
        <v>0</v>
      </c>
      <c r="BE216" s="542"/>
      <c r="BF216" s="542"/>
      <c r="BG216" s="542"/>
      <c r="BH216" s="542"/>
      <c r="BI216" s="542"/>
      <c r="BJ216" s="542"/>
      <c r="BK216" s="542"/>
      <c r="BL216" s="542"/>
      <c r="BM216" s="542"/>
      <c r="BN216" s="196"/>
      <c r="BO216" s="601" t="str">
        <f ca="1">IF(IFERROR(INDEX(Административные!$K$26:$L$103,MATCH($F216&amp;"9komm",Административные!$K$26:$K$103,0),2),"")=0,"",IFERROR(INDEX(Административные!$K$26:$L$103,MATCH($F216&amp;"9komm",Административные!$K$26:$K$103,0),2),""))</f>
        <v/>
      </c>
      <c r="BP216" s="196"/>
      <c r="BS216" s="694" t="s">
        <v>1839</v>
      </c>
    </row>
    <row r="217" spans="1:75" ht="21.75" hidden="1" customHeight="1" x14ac:dyDescent="0.25">
      <c r="B217" s="329" t="b">
        <f>STATUS_GO="да"</f>
        <v>0</v>
      </c>
      <c r="C217" s="25"/>
      <c r="D217" s="25"/>
      <c r="E217" s="451">
        <v>22.5</v>
      </c>
      <c r="F217" s="3" t="str" cm="1">
        <f t="array" aca="1" ref="F217" ca="1">OFFSET(E217,-1,1)</f>
        <v>1</v>
      </c>
      <c r="G217" s="25"/>
      <c r="H217" s="577"/>
      <c r="I217" s="577" t="s">
        <v>951</v>
      </c>
      <c r="J217" s="25"/>
      <c r="K217" s="277" t="s">
        <v>951</v>
      </c>
      <c r="L217" s="25" t="s">
        <v>335</v>
      </c>
      <c r="M217" s="25"/>
      <c r="N217" s="25"/>
      <c r="O217" s="25"/>
      <c r="P217" s="25"/>
      <c r="Q217" s="25"/>
      <c r="R217" s="25"/>
      <c r="S217" s="25"/>
      <c r="T217" s="353" t="b" cm="1">
        <f t="array" ref="T217">T216</f>
        <v>1</v>
      </c>
      <c r="U217" s="25"/>
      <c r="V217" s="25"/>
      <c r="W217" s="25"/>
      <c r="X217" s="1022"/>
      <c r="Z217" s="967"/>
      <c r="AB217" s="7" t="s">
        <v>952</v>
      </c>
      <c r="AC217" s="127" t="s">
        <v>2040</v>
      </c>
      <c r="AD217" s="7" t="s">
        <v>828</v>
      </c>
      <c r="AE217" s="171">
        <f ca="1">SUMIFS('Сбытовые расходы ГО'!AE$25:AE$75,'Сбытовые расходы ГО'!$F$25:$F$75,$F217,'Сбытовые расходы ГО'!$G$25:$G$75,"L0")-SUMIFS('Сбытовые расходы ГО'!AE$25:AE$75,'Сбытовые расходы ГО'!$F$25:$F$75,$F217,'Сбытовые расходы ГО'!$G$25:$G$75,"L1")</f>
        <v>0</v>
      </c>
      <c r="AF217" s="171">
        <f ca="1">SUMIFS('Сбытовые расходы ГО'!AF$25:AF$75,'Сбытовые расходы ГО'!$F$25:$F$75,$F217,'Сбытовые расходы ГО'!$G$25:$G$75,"L0")-SUMIFS('Сбытовые расходы ГО'!AF$25:AF$75,'Сбытовые расходы ГО'!$F$25:$F$75,$F217,'Сбытовые расходы ГО'!$G$25:$G$75,"L1")</f>
        <v>0</v>
      </c>
      <c r="AG217" s="171">
        <f ca="1">SUMIFS('Сбытовые расходы ГО'!AG$25:AG$75,'Сбытовые расходы ГО'!$F$25:$F$75,$F217,'Сбытовые расходы ГО'!$G$25:$G$75,"L0")-SUMIFS('Сбытовые расходы ГО'!AG$25:AG$75,'Сбытовые расходы ГО'!$F$25:$F$75,$F217,'Сбытовые расходы ГО'!$G$25:$G$75,"L1")</f>
        <v>0</v>
      </c>
      <c r="AH217" s="171">
        <f t="shared" ca="1" si="53"/>
        <v>0</v>
      </c>
      <c r="AI217" s="171">
        <f ca="1">SUMIFS('Сбытовые расходы ГО'!AH$25:AH$75,'Сбытовые расходы ГО'!$F$25:$F$75,$F217,'Сбытовые расходы ГО'!$G$25:$G$75,"L0")-SUMIFS('Сбытовые расходы ГО'!AH$25:AH$75,'Сбытовые расходы ГО'!$F$25:$F$75,$F217,'Сбытовые расходы ГО'!$G$25:$G$75,"L1")</f>
        <v>0</v>
      </c>
      <c r="AJ217" s="171">
        <f ca="1">SUMIFS('Сбытовые расходы ГО'!AI$25:AI$75,'Сбытовые расходы ГО'!$F$25:$F$75,$F217,'Сбытовые расходы ГО'!$G$25:$G$75,"L0")-SUMIFS('Сбытовые расходы ГО'!AI$25:AI$75,'Сбытовые расходы ГО'!$F$25:$F$75,$F217,'Сбытовые расходы ГО'!$G$25:$G$75,"L1")</f>
        <v>0</v>
      </c>
      <c r="AK217" s="542"/>
      <c r="AL217" s="542"/>
      <c r="AM217" s="542"/>
      <c r="AN217" s="542"/>
      <c r="AO217" s="542"/>
      <c r="AP217" s="542"/>
      <c r="AQ217" s="542"/>
      <c r="AR217" s="542"/>
      <c r="AS217" s="542"/>
      <c r="AT217" s="171">
        <f ca="1">SUMIFS('Сбытовые расходы ГО'!AJ$25:AJ$75,'Сбытовые расходы ГО'!$F$25:$F$75,$F217,'Сбытовые расходы ГО'!$G$25:$G$75,"L0")-SUMIFS('Сбытовые расходы ГО'!AJ$25:AJ$75,'Сбытовые расходы ГО'!$F$25:$F$75,$F217,'Сбытовые расходы ГО'!$G$25:$G$75,"L1")</f>
        <v>0</v>
      </c>
      <c r="AU217" s="542"/>
      <c r="AV217" s="542"/>
      <c r="AW217" s="542"/>
      <c r="AX217" s="542"/>
      <c r="AY217" s="542"/>
      <c r="AZ217" s="542"/>
      <c r="BA217" s="542"/>
      <c r="BB217" s="542"/>
      <c r="BC217" s="542"/>
      <c r="BD217" s="171">
        <f t="shared" ca="1" si="54"/>
        <v>0</v>
      </c>
      <c r="BE217" s="542"/>
      <c r="BF217" s="542"/>
      <c r="BG217" s="542"/>
      <c r="BH217" s="542"/>
      <c r="BI217" s="542"/>
      <c r="BJ217" s="542"/>
      <c r="BK217" s="542"/>
      <c r="BL217" s="542"/>
      <c r="BM217" s="542"/>
      <c r="BN217" s="775"/>
      <c r="BO217" s="775"/>
      <c r="BP217" s="775"/>
      <c r="BS217" s="695" t="s">
        <v>1841</v>
      </c>
    </row>
    <row r="218" spans="1:75" ht="33.75" customHeight="1" x14ac:dyDescent="0.15">
      <c r="C218" s="25"/>
      <c r="D218" s="25"/>
      <c r="E218" s="451">
        <v>15</v>
      </c>
      <c r="F218" s="3" t="str" cm="1">
        <f t="array" aca="1" ref="F218" ca="1">OFFSET(E218,-1,1)</f>
        <v>1</v>
      </c>
      <c r="G218" s="25"/>
      <c r="H218" s="577"/>
      <c r="I218" s="577" t="s">
        <v>1779</v>
      </c>
      <c r="J218" s="25"/>
      <c r="K218" s="277" t="s">
        <v>1779</v>
      </c>
      <c r="L218" s="25"/>
      <c r="M218" s="25"/>
      <c r="N218" s="25"/>
      <c r="O218" s="25"/>
      <c r="P218" s="25"/>
      <c r="Q218" s="25"/>
      <c r="R218" s="25"/>
      <c r="S218" s="25"/>
      <c r="T218" s="353" t="b" cm="1">
        <f t="array" ref="T218">T217</f>
        <v>1</v>
      </c>
      <c r="U218" s="25"/>
      <c r="V218" s="25"/>
      <c r="W218" s="25"/>
      <c r="X218" s="1022"/>
      <c r="Z218" s="967"/>
      <c r="AB218" s="7" t="s">
        <v>1780</v>
      </c>
      <c r="AC218" s="127" t="s">
        <v>2041</v>
      </c>
      <c r="AD218" s="7" t="s">
        <v>828</v>
      </c>
      <c r="AE218" s="128"/>
      <c r="AF218" s="128"/>
      <c r="AG218" s="128"/>
      <c r="AH218" s="171">
        <f t="shared" si="53"/>
        <v>0</v>
      </c>
      <c r="AI218" s="128"/>
      <c r="AJ218" s="128"/>
      <c r="AK218" s="542"/>
      <c r="AL218" s="542"/>
      <c r="AM218" s="542"/>
      <c r="AN218" s="542"/>
      <c r="AO218" s="542"/>
      <c r="AP218" s="542"/>
      <c r="AQ218" s="542"/>
      <c r="AR218" s="542"/>
      <c r="AS218" s="542"/>
      <c r="AT218" s="128"/>
      <c r="AU218" s="542"/>
      <c r="AV218" s="542"/>
      <c r="AW218" s="542"/>
      <c r="AX218" s="542"/>
      <c r="AY218" s="542"/>
      <c r="AZ218" s="542"/>
      <c r="BA218" s="542"/>
      <c r="BB218" s="542"/>
      <c r="BC218" s="542"/>
      <c r="BD218" s="171">
        <f t="shared" si="54"/>
        <v>0</v>
      </c>
      <c r="BE218" s="542"/>
      <c r="BF218" s="542"/>
      <c r="BG218" s="542"/>
      <c r="BH218" s="542"/>
      <c r="BI218" s="542"/>
      <c r="BJ218" s="542"/>
      <c r="BK218" s="542"/>
      <c r="BL218" s="542"/>
      <c r="BM218" s="542"/>
      <c r="BN218" s="196"/>
      <c r="BO218" s="196" t="s">
        <v>2241</v>
      </c>
      <c r="BP218" s="196"/>
      <c r="BS218" s="696" t="s">
        <v>2042</v>
      </c>
    </row>
    <row r="219" spans="1:75" s="870" customFormat="1" ht="20.25" customHeight="1" x14ac:dyDescent="0.15">
      <c r="A219" s="76"/>
      <c r="B219" s="332"/>
      <c r="C219" s="27"/>
      <c r="D219" s="27"/>
      <c r="E219" s="559">
        <v>21</v>
      </c>
      <c r="F219" s="3" t="str" cm="1">
        <f t="array" aca="1" ref="F219" ca="1">OFFSET(E219,-1,1)</f>
        <v>1</v>
      </c>
      <c r="G219" s="27"/>
      <c r="H219" s="577"/>
      <c r="I219" s="577" t="s">
        <v>1783</v>
      </c>
      <c r="J219" s="27"/>
      <c r="K219" s="277" t="s">
        <v>1783</v>
      </c>
      <c r="L219" s="27"/>
      <c r="M219" s="27"/>
      <c r="N219" s="27"/>
      <c r="O219" s="27"/>
      <c r="P219" s="27"/>
      <c r="Q219" s="27"/>
      <c r="R219" s="27"/>
      <c r="S219" s="27"/>
      <c r="T219" s="353" t="b">
        <f ca="1">AND(F219&gt;0,method_reg="Метод индексации")</f>
        <v>1</v>
      </c>
      <c r="U219" s="27"/>
      <c r="V219" s="27"/>
      <c r="W219" s="27"/>
      <c r="X219" s="1022"/>
      <c r="Y219" s="76"/>
      <c r="Z219" s="967"/>
      <c r="AA219" s="76"/>
      <c r="AB219" s="124" t="s">
        <v>1784</v>
      </c>
      <c r="AC219" s="263" t="s">
        <v>2043</v>
      </c>
      <c r="AD219" s="124" t="s">
        <v>828</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6"/>
      <c r="BO219" s="556"/>
      <c r="BP219" s="556"/>
      <c r="BQ219" s="76"/>
      <c r="BR219" s="76"/>
      <c r="BS219" s="702" t="s">
        <v>2044</v>
      </c>
      <c r="BT219" s="702"/>
      <c r="BU219" s="702"/>
      <c r="BV219" s="511"/>
      <c r="BW219" s="511"/>
    </row>
    <row r="220" spans="1:75" ht="14.25" hidden="1" customHeight="1" x14ac:dyDescent="0.15">
      <c r="B220" s="329" t="b">
        <f>method_reg="Метод индексации"</f>
        <v>1</v>
      </c>
      <c r="C220" s="25"/>
      <c r="D220" s="25"/>
      <c r="E220" s="451">
        <v>15</v>
      </c>
      <c r="F220" s="3" t="str" cm="1">
        <f t="array" aca="1" ref="F220" ca="1">OFFSET(E220,-1,1)</f>
        <v>1</v>
      </c>
      <c r="G220" s="25"/>
      <c r="H220" s="25"/>
      <c r="I220" s="577" t="s">
        <v>1783</v>
      </c>
      <c r="J220" s="25" cm="1">
        <f t="array" ref="J220">AC220</f>
        <v>0</v>
      </c>
      <c r="K220" s="277" t="s">
        <v>1783</v>
      </c>
      <c r="L220" s="25"/>
      <c r="M220" s="25"/>
      <c r="N220" s="25"/>
      <c r="O220" s="25"/>
      <c r="P220" s="25"/>
      <c r="Q220" s="25"/>
      <c r="R220" s="25"/>
      <c r="S220" s="25"/>
      <c r="T220" s="353" t="b">
        <f ca="1">AND(F220&gt;0,Y220&gt;0)</f>
        <v>0</v>
      </c>
      <c r="U220" s="25"/>
      <c r="V220" s="25"/>
      <c r="W220" s="25" t="s">
        <v>172</v>
      </c>
      <c r="X220" s="1022"/>
      <c r="Y220" s="72">
        <v>0</v>
      </c>
      <c r="Z220" s="967"/>
      <c r="AA220" s="320" t="s">
        <v>173</v>
      </c>
      <c r="AB220" s="7" t="str">
        <f>"1.7."&amp;Y220</f>
        <v>1.7.0</v>
      </c>
      <c r="AC220" s="780"/>
      <c r="AD220" s="7" t="s">
        <v>828</v>
      </c>
      <c r="AE220" s="778"/>
      <c r="AF220" s="778"/>
      <c r="AG220" s="778"/>
      <c r="AH220" s="171">
        <f t="shared" si="53"/>
        <v>0</v>
      </c>
      <c r="AI220" s="778"/>
      <c r="AJ220" s="128"/>
      <c r="AK220" s="542"/>
      <c r="AL220" s="542"/>
      <c r="AM220" s="542"/>
      <c r="AN220" s="542"/>
      <c r="AO220" s="542"/>
      <c r="AP220" s="542"/>
      <c r="AQ220" s="542"/>
      <c r="AR220" s="542"/>
      <c r="AS220" s="542"/>
      <c r="AT220" s="128"/>
      <c r="AU220" s="542"/>
      <c r="AV220" s="542"/>
      <c r="AW220" s="542"/>
      <c r="AX220" s="542"/>
      <c r="AY220" s="542"/>
      <c r="AZ220" s="542"/>
      <c r="BA220" s="542"/>
      <c r="BB220" s="542"/>
      <c r="BC220" s="542"/>
      <c r="BD220" s="171">
        <f t="shared" si="54"/>
        <v>0</v>
      </c>
      <c r="BE220" s="542"/>
      <c r="BF220" s="542"/>
      <c r="BG220" s="542"/>
      <c r="BH220" s="542"/>
      <c r="BI220" s="542"/>
      <c r="BJ220" s="542"/>
      <c r="BK220" s="542"/>
      <c r="BL220" s="542"/>
      <c r="BM220" s="542"/>
      <c r="BN220" s="775"/>
      <c r="BO220" s="775"/>
      <c r="BP220" s="775"/>
      <c r="BS220" s="696" t="s">
        <v>2044</v>
      </c>
      <c r="BT220" s="696" t="s">
        <v>2045</v>
      </c>
      <c r="BU220" s="696" cm="1">
        <f t="array" ref="BU220">AC220</f>
        <v>0</v>
      </c>
      <c r="BW220" s="507" t="b">
        <v>1</v>
      </c>
    </row>
    <row r="221" spans="1:75" ht="14.25" customHeight="1" x14ac:dyDescent="0.15">
      <c r="B221" s="329" t="b" cm="1">
        <f t="array" ref="B221">B220</f>
        <v>1</v>
      </c>
      <c r="C221" s="25"/>
      <c r="D221" s="25"/>
      <c r="E221" s="451">
        <v>15</v>
      </c>
      <c r="F221" s="3" t="str" cm="1">
        <f t="array" aca="1" ref="F221" ca="1">OFFSET(E221,-1,1)</f>
        <v>1</v>
      </c>
      <c r="G221" s="362"/>
      <c r="H221" s="25"/>
      <c r="I221" s="25"/>
      <c r="J221" s="25" t="s">
        <v>2046</v>
      </c>
      <c r="L221" s="25"/>
      <c r="M221" s="25"/>
      <c r="N221" s="25"/>
      <c r="O221" s="25"/>
      <c r="P221" s="25"/>
      <c r="Q221" s="25"/>
      <c r="R221" s="25"/>
      <c r="S221" s="25"/>
      <c r="T221" s="353" t="b">
        <f ca="1">F221&gt;0</f>
        <v>1</v>
      </c>
      <c r="U221" s="25"/>
      <c r="V221" s="25"/>
      <c r="W221" s="506" t="s">
        <v>397</v>
      </c>
      <c r="X221" s="1022"/>
      <c r="Z221" s="967"/>
      <c r="AB221" s="589"/>
      <c r="AC221" s="172" t="s">
        <v>176</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7" t="s">
        <v>2045</v>
      </c>
    </row>
    <row r="222" spans="1:75" s="870" customFormat="1" ht="33.75" customHeight="1" x14ac:dyDescent="0.15">
      <c r="A222" s="76"/>
      <c r="B222" s="332"/>
      <c r="C222" s="27"/>
      <c r="D222" s="27"/>
      <c r="E222" s="559">
        <v>21</v>
      </c>
      <c r="F222" s="3" t="str" cm="1">
        <f t="array" aca="1" ref="F222" ca="1">OFFSET(E222,-1,1)</f>
        <v>1</v>
      </c>
      <c r="G222" s="27"/>
      <c r="H222" s="25"/>
      <c r="I222" s="25" t="s">
        <v>332</v>
      </c>
      <c r="J222" s="27"/>
      <c r="K222" s="72" t="s">
        <v>332</v>
      </c>
      <c r="L222" s="27"/>
      <c r="M222" s="27"/>
      <c r="N222" s="27"/>
      <c r="O222" s="27"/>
      <c r="P222" s="27"/>
      <c r="Q222" s="27"/>
      <c r="R222" s="27"/>
      <c r="S222" s="27"/>
      <c r="T222" s="353" t="b">
        <f ca="1">F222&gt;0</f>
        <v>1</v>
      </c>
      <c r="U222" s="27"/>
      <c r="V222" s="27"/>
      <c r="W222" s="27"/>
      <c r="X222" s="1022"/>
      <c r="Y222" s="76"/>
      <c r="Z222" s="967"/>
      <c r="AA222" s="76"/>
      <c r="AB222" s="147" t="s">
        <v>285</v>
      </c>
      <c r="AC222" s="125" t="s">
        <v>2047</v>
      </c>
      <c r="AD222" s="147" t="s">
        <v>828</v>
      </c>
      <c r="AE222" s="126">
        <f ca="1">AE223+AE235+AE236++AE247+AE248+AE249+AE251+AE252+AE253+AE254+AE257</f>
        <v>20795.345512704</v>
      </c>
      <c r="AF222" s="126">
        <f ca="1">AF223+AF235+AF236++AF247+AF248+AF249+AF251+AF252+AF253+AF254+AF257</f>
        <v>22162.023786154896</v>
      </c>
      <c r="AG222" s="126">
        <f ca="1">AG223+AG235+AG236++AG247+AG248+AG249+AG251+AG252+AG253+AG254+AG257</f>
        <v>22162.037385540698</v>
      </c>
      <c r="AH222" s="126">
        <f t="shared" ref="AH222:AH267" ca="1" si="55">AG222-AF222</f>
        <v>1.3599385802081088E-2</v>
      </c>
      <c r="AI222" s="126">
        <f t="shared" ref="AI222:BC222" ca="1" si="56">AI223+AI235+AI236++AI247+AI248+AI249+AI251+AI252+AI253+AI254+AI257</f>
        <v>27465.921578960002</v>
      </c>
      <c r="AJ222" s="126">
        <f t="shared" ca="1" si="56"/>
        <v>34988.478379646105</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28242.859506169101</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2.828734236990849</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2242</v>
      </c>
      <c r="BP222" s="196"/>
      <c r="BQ222" s="74"/>
      <c r="BR222" s="76"/>
      <c r="BS222" s="702" t="s">
        <v>2048</v>
      </c>
      <c r="BT222" s="702"/>
      <c r="BU222" s="702"/>
      <c r="BV222" s="511"/>
      <c r="BW222" s="511"/>
    </row>
    <row r="223" spans="1:75" s="870" customFormat="1" ht="54.75" customHeight="1" x14ac:dyDescent="0.15">
      <c r="A223" s="76"/>
      <c r="B223" s="332"/>
      <c r="C223" s="27"/>
      <c r="D223" s="27"/>
      <c r="E223" s="559">
        <v>22.5</v>
      </c>
      <c r="F223" s="3" t="str" cm="1">
        <f t="array" aca="1" ref="F223" ca="1">OFFSET(E223,-1,1)</f>
        <v>1</v>
      </c>
      <c r="G223" s="267" t="str" cm="1">
        <f t="array" aca="1" ref="G223" ca="1">F222</f>
        <v>1</v>
      </c>
      <c r="H223" s="25"/>
      <c r="I223" s="25" t="s">
        <v>500</v>
      </c>
      <c r="J223" s="27"/>
      <c r="K223" s="72" t="s">
        <v>500</v>
      </c>
      <c r="L223" s="27" t="s">
        <v>486</v>
      </c>
      <c r="M223" s="27"/>
      <c r="N223" s="27"/>
      <c r="O223" s="27"/>
      <c r="P223" s="27"/>
      <c r="Q223" s="27"/>
      <c r="R223" s="27"/>
      <c r="S223" s="27"/>
      <c r="T223" s="353" t="b" cm="1">
        <f t="array" aca="1" ref="T223" ca="1">T222</f>
        <v>1</v>
      </c>
      <c r="U223" s="27"/>
      <c r="V223" s="27"/>
      <c r="W223" s="27"/>
      <c r="X223" s="1022"/>
      <c r="Y223" s="76"/>
      <c r="Z223" s="967"/>
      <c r="AA223" s="76"/>
      <c r="AB223" s="124" t="s">
        <v>561</v>
      </c>
      <c r="AC223" s="263" t="s">
        <v>2049</v>
      </c>
      <c r="AD223" s="124" t="s">
        <v>828</v>
      </c>
      <c r="AE223" s="126">
        <f ca="1">SUM(AE224:AE234)</f>
        <v>0</v>
      </c>
      <c r="AF223" s="126">
        <f ca="1">SUM(AF224:AF234)</f>
        <v>0</v>
      </c>
      <c r="AG223" s="126">
        <f ca="1">SUM(AG224:AG234)</f>
        <v>0</v>
      </c>
      <c r="AH223" s="126">
        <f t="shared" ca="1" si="55"/>
        <v>0</v>
      </c>
      <c r="AI223" s="126">
        <f t="shared" ref="AI223:BC223" ca="1" si="67">SUM(AI224:AI234)</f>
        <v>0</v>
      </c>
      <c r="AJ223" s="126">
        <f t="shared" ca="1" si="67"/>
        <v>0</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0</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0</v>
      </c>
      <c r="BE223" s="126">
        <f t="shared" ca="1" si="58"/>
        <v>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6" t="s">
        <v>2230</v>
      </c>
      <c r="BO223" s="556"/>
      <c r="BP223" s="556"/>
      <c r="BQ223" s="76"/>
      <c r="BR223" s="76"/>
      <c r="BS223" s="702" t="s">
        <v>2050</v>
      </c>
      <c r="BT223" s="702"/>
      <c r="BU223" s="702"/>
      <c r="BV223" s="511"/>
      <c r="BW223" s="511"/>
    </row>
    <row r="224" spans="1:75" ht="14.25" customHeight="1" x14ac:dyDescent="0.15">
      <c r="C224" s="25"/>
      <c r="D224" s="25"/>
      <c r="E224" s="451">
        <v>15</v>
      </c>
      <c r="F224" s="3" t="str" cm="1">
        <f t="array" aca="1" ref="F224" ca="1">OFFSET(E224,-1,1)</f>
        <v>1</v>
      </c>
      <c r="G224" s="25" t="s">
        <v>1148</v>
      </c>
      <c r="H224" s="25"/>
      <c r="I224" s="25" t="s">
        <v>1570</v>
      </c>
      <c r="J224" s="25"/>
      <c r="K224" s="72" t="s">
        <v>1570</v>
      </c>
      <c r="L224" s="25" t="s">
        <v>1347</v>
      </c>
      <c r="M224" s="25"/>
      <c r="N224" s="25"/>
      <c r="O224" s="25"/>
      <c r="P224" s="25"/>
      <c r="Q224" s="25"/>
      <c r="R224" s="25"/>
      <c r="S224" s="25"/>
      <c r="T224" s="353" t="b" cm="1">
        <f t="array" aca="1" ref="T224" ca="1">T223</f>
        <v>1</v>
      </c>
      <c r="U224" s="25"/>
      <c r="V224" s="25"/>
      <c r="W224" s="25"/>
      <c r="X224" s="1022"/>
      <c r="Z224" s="967"/>
      <c r="AB224" s="7" t="s">
        <v>508</v>
      </c>
      <c r="AC224" s="134" t="s">
        <v>2051</v>
      </c>
      <c r="AD224" s="7" t="s">
        <v>828</v>
      </c>
      <c r="AE224" s="171">
        <f ca="1">SUMIFS(Покупка!AE$25:AE$150,Покупка!$F$25:$F$150,$F224,Покупка!$AC$25:$AC$150,$G224)</f>
        <v>0</v>
      </c>
      <c r="AF224" s="171">
        <f ca="1">SUMIFS(Покупка!AF$25:AF$150,Покупка!$F$25:$F$150,$F224,Покупка!$AC$25:$AC$150,$G224)</f>
        <v>0</v>
      </c>
      <c r="AG224" s="171">
        <f ca="1">SUMIFS(Покупка!AG$25:AG$150,Покупка!$F$25:$F$150,$F224,Покупка!$AC$25:$AC$150,$G224)</f>
        <v>0</v>
      </c>
      <c r="AH224" s="171">
        <f t="shared" ca="1" si="55"/>
        <v>0</v>
      </c>
      <c r="AI224" s="171">
        <f ca="1">SUMIFS(Покупка!AH$25:AH$150,Покупка!$F$25:$F$150,$F224,Покупка!$AC$25:$AC$150,$G224)</f>
        <v>0</v>
      </c>
      <c r="AJ224" s="171">
        <f ca="1">SUMIFS(Покупка!AI$25:AI$150,Покупка!$F$25:$F$150,$F224,Покупка!$AC$25:$AC$150,$G224)</f>
        <v>0</v>
      </c>
      <c r="AK224" s="171">
        <f ca="1">SUMIFS(Покупка!AJ$25:AJ$150,Покупка!$F$25:$F$150,$F224,Покупка!$AC$25:$AC$150,$G224)</f>
        <v>0</v>
      </c>
      <c r="AL224" s="171">
        <f ca="1">SUMIFS(Покупка!AK$25:AK$150,Покупка!$F$25:$F$150,$F224,Покупка!$AC$25:$AC$150,$G224)</f>
        <v>0</v>
      </c>
      <c r="AM224" s="171">
        <f ca="1">SUMIFS(Покупка!AL$25:AL$150,Покупка!$F$25:$F$150,$F224,Покупка!$AC$25:$AC$150,$G224)</f>
        <v>0</v>
      </c>
      <c r="AN224" s="171">
        <f ca="1">SUMIFS(Покупка!AM$25:AM$150,Покупка!$F$25:$F$150,$F224,Покупка!$AC$25:$AC$150,$G224)</f>
        <v>0</v>
      </c>
      <c r="AO224" s="171">
        <f ca="1">SUMIFS(Покупка!AN$25:AN$150,Покупка!$F$25:$F$150,$F224,Покупка!$AC$25:$AC$150,$G224)</f>
        <v>0</v>
      </c>
      <c r="AP224" s="171">
        <f ca="1">SUMIFS(Покупка!AO$25:AO$150,Покупка!$F$25:$F$150,$F224,Покупка!$AC$25:$AC$150,$G224)</f>
        <v>0</v>
      </c>
      <c r="AQ224" s="171">
        <f ca="1">SUMIFS(Покупка!AP$25:AP$150,Покупка!$F$25:$F$150,$F224,Покупка!$AC$25:$AC$150,$G224)</f>
        <v>0</v>
      </c>
      <c r="AR224" s="171">
        <f ca="1">SUMIFS(Покупка!AQ$25:AQ$150,Покупка!$F$25:$F$150,$F224,Покупка!$AC$25:$AC$150,$G224)</f>
        <v>0</v>
      </c>
      <c r="AS224" s="171">
        <f ca="1">SUMIFS(Покупка!AR$25:AR$150,Покупка!$F$25:$F$150,$F224,Покупка!$AC$25:$AC$150,$G224)</f>
        <v>0</v>
      </c>
      <c r="AT224" s="171">
        <f ca="1">SUMIFS(Покупка!AS$25:AS$150,Покупка!$F$25:$F$150,$F224,Покупка!$AC$25:$AC$150,$G224)</f>
        <v>0</v>
      </c>
      <c r="AU224" s="171">
        <f ca="1">SUMIFS(Покупка!AT$25:AT$150,Покупка!$F$25:$F$150,$F224,Покупка!$AC$25:$AC$150,$G224)</f>
        <v>0</v>
      </c>
      <c r="AV224" s="171">
        <f ca="1">SUMIFS(Покупка!AU$25:AU$150,Покупка!$F$25:$F$150,$F224,Покупка!$AC$25:$AC$150,$G224)</f>
        <v>0</v>
      </c>
      <c r="AW224" s="171">
        <f ca="1">SUMIFS(Покупка!AV$25:AV$150,Покупка!$F$25:$F$150,$F224,Покупка!$AC$25:$AC$150,$G224)</f>
        <v>0</v>
      </c>
      <c r="AX224" s="171">
        <f ca="1">SUMIFS(Покупка!AW$25:AW$150,Покупка!$F$25:$F$150,$F224,Покупка!$AC$25:$AC$150,$G224)</f>
        <v>0</v>
      </c>
      <c r="AY224" s="171">
        <f ca="1">SUMIFS(Покупка!AX$25:AX$150,Покупка!$F$25:$F$150,$F224,Покупка!$AC$25:$AC$150,$G224)</f>
        <v>0</v>
      </c>
      <c r="AZ224" s="171">
        <f ca="1">SUMIFS(Покупка!AY$25:AY$150,Покупка!$F$25:$F$150,$F224,Покупка!$AC$25:$AC$150,$G224)</f>
        <v>0</v>
      </c>
      <c r="BA224" s="171">
        <f ca="1">SUMIFS(Покупка!AZ$25:AZ$150,Покупка!$F$25:$F$150,$F224,Покупка!$AC$25:$AC$150,$G224)</f>
        <v>0</v>
      </c>
      <c r="BB224" s="171">
        <f ca="1">SUMIFS(Покупка!BA$25:BA$150,Покупка!$F$25:$F$150,$F224,Покупка!$AC$25:$AC$150,$G224)</f>
        <v>0</v>
      </c>
      <c r="BC224" s="171">
        <f ca="1">SUMIFS(Покупка!BB$25:BB$150,Покупка!$F$25:$F$150,$F224,Покупка!$AC$25:$AC$150,$G224)</f>
        <v>0</v>
      </c>
      <c r="BD224" s="171">
        <f t="shared" ca="1" si="57"/>
        <v>0</v>
      </c>
      <c r="BE224" s="171">
        <f t="shared" ca="1" si="58"/>
        <v>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1" t="str">
        <f ca="1">IF(IFERROR(INDEX(Покупка!$K$26:$L$150,MATCH($F224&amp;"6komm",Покупка!$K$26:$K$150,0),2),"")=0,"",IFERROR(INDEX(Покупка!$K$26:$L$150,MATCH($F224&amp;"6komm",Покупка!$K$26:$K$150,0),2),""))</f>
        <v/>
      </c>
      <c r="BP224" s="196"/>
      <c r="BS224" s="696" t="s">
        <v>1149</v>
      </c>
    </row>
    <row r="225" spans="1:75" ht="14.25" customHeight="1" x14ac:dyDescent="0.15">
      <c r="C225" s="25"/>
      <c r="D225" s="25"/>
      <c r="E225" s="451">
        <v>15</v>
      </c>
      <c r="F225" s="3" t="str" cm="1">
        <f t="array" aca="1" ref="F225" ca="1">OFFSET(E225,-1,1)</f>
        <v>1</v>
      </c>
      <c r="G225" s="25" t="s">
        <v>1150</v>
      </c>
      <c r="H225" s="25"/>
      <c r="I225" s="25" t="s">
        <v>1574</v>
      </c>
      <c r="J225" s="25"/>
      <c r="K225" s="25" t="s">
        <v>1574</v>
      </c>
      <c r="L225" s="25" t="s">
        <v>1351</v>
      </c>
      <c r="M225" s="25"/>
      <c r="N225" s="25"/>
      <c r="O225" s="25"/>
      <c r="P225" s="25"/>
      <c r="Q225" s="25"/>
      <c r="R225" s="25"/>
      <c r="S225" s="25"/>
      <c r="T225" s="353" t="b" cm="1">
        <f t="array" aca="1" ref="T225" ca="1">T224</f>
        <v>1</v>
      </c>
      <c r="U225" s="25"/>
      <c r="V225" s="25"/>
      <c r="W225" s="25"/>
      <c r="X225" s="1022"/>
      <c r="Z225" s="967"/>
      <c r="AB225" s="7" t="s">
        <v>2052</v>
      </c>
      <c r="AC225" s="134" t="s">
        <v>2053</v>
      </c>
      <c r="AD225" s="7" t="s">
        <v>828</v>
      </c>
      <c r="AE225" s="171">
        <f ca="1">SUMIFS(Покупка!AE$25:AE$150,Покупка!$F$25:$F$150,$F225,Покупка!$AC$25:$AC$150,$G225)</f>
        <v>0</v>
      </c>
      <c r="AF225" s="171">
        <f ca="1">SUMIFS(Покупка!AF$25:AF$150,Покупка!$F$25:$F$150,$F225,Покупка!$AC$25:$AC$150,$G225)</f>
        <v>0</v>
      </c>
      <c r="AG225" s="171">
        <f ca="1">SUMIFS(Покупка!AG$25:AG$150,Покупка!$F$25:$F$150,$F225,Покупка!$AC$25:$AC$150,$G225)</f>
        <v>0</v>
      </c>
      <c r="AH225" s="171">
        <f t="shared" ca="1" si="55"/>
        <v>0</v>
      </c>
      <c r="AI225" s="171">
        <f ca="1">SUMIFS(Покупка!AH$25:AH$150,Покупка!$F$25:$F$150,$F225,Покупка!$AC$25:$AC$150,$G225)</f>
        <v>0</v>
      </c>
      <c r="AJ225" s="171">
        <f ca="1">SUMIFS(Покупка!AI$25:AI$150,Покупка!$F$25:$F$150,$F225,Покупка!$AC$25:$AC$150,$G225)</f>
        <v>0</v>
      </c>
      <c r="AK225" s="171">
        <f ca="1">SUMIFS(Покупка!AJ$25:AJ$150,Покупка!$F$25:$F$150,$F225,Покупка!$AC$25:$AC$150,$G225)</f>
        <v>0</v>
      </c>
      <c r="AL225" s="171">
        <f ca="1">SUMIFS(Покупка!AK$25:AK$150,Покупка!$F$25:$F$150,$F225,Покупка!$AC$25:$AC$150,$G225)</f>
        <v>0</v>
      </c>
      <c r="AM225" s="171">
        <f ca="1">SUMIFS(Покупка!AL$25:AL$150,Покупка!$F$25:$F$150,$F225,Покупка!$AC$25:$AC$150,$G225)</f>
        <v>0</v>
      </c>
      <c r="AN225" s="171">
        <f ca="1">SUMIFS(Покупка!AM$25:AM$150,Покупка!$F$25:$F$150,$F225,Покупка!$AC$25:$AC$150,$G225)</f>
        <v>0</v>
      </c>
      <c r="AO225" s="171">
        <f ca="1">SUMIFS(Покупка!AN$25:AN$150,Покупка!$F$25:$F$150,$F225,Покупка!$AC$25:$AC$150,$G225)</f>
        <v>0</v>
      </c>
      <c r="AP225" s="171">
        <f ca="1">SUMIFS(Покупка!AO$25:AO$150,Покупка!$F$25:$F$150,$F225,Покупка!$AC$25:$AC$150,$G225)</f>
        <v>0</v>
      </c>
      <c r="AQ225" s="171">
        <f ca="1">SUMIFS(Покупка!AP$25:AP$150,Покупка!$F$25:$F$150,$F225,Покупка!$AC$25:$AC$150,$G225)</f>
        <v>0</v>
      </c>
      <c r="AR225" s="171">
        <f ca="1">SUMIFS(Покупка!AQ$25:AQ$150,Покупка!$F$25:$F$150,$F225,Покупка!$AC$25:$AC$150,$G225)</f>
        <v>0</v>
      </c>
      <c r="AS225" s="171">
        <f ca="1">SUMIFS(Покупка!AR$25:AR$150,Покупка!$F$25:$F$150,$F225,Покупка!$AC$25:$AC$150,$G225)</f>
        <v>0</v>
      </c>
      <c r="AT225" s="171">
        <f ca="1">SUMIFS(Покупка!AS$25:AS$150,Покупка!$F$25:$F$150,$F225,Покупка!$AC$25:$AC$150,$G225)</f>
        <v>0</v>
      </c>
      <c r="AU225" s="171">
        <f ca="1">SUMIFS(Покупка!AT$25:AT$150,Покупка!$F$25:$F$150,$F225,Покупка!$AC$25:$AC$150,$G225)</f>
        <v>0</v>
      </c>
      <c r="AV225" s="171">
        <f ca="1">SUMIFS(Покупка!AU$25:AU$150,Покупка!$F$25:$F$150,$F225,Покупка!$AC$25:$AC$150,$G225)</f>
        <v>0</v>
      </c>
      <c r="AW225" s="171">
        <f ca="1">SUMIFS(Покупка!AV$25:AV$150,Покупка!$F$25:$F$150,$F225,Покупка!$AC$25:$AC$150,$G225)</f>
        <v>0</v>
      </c>
      <c r="AX225" s="171">
        <f ca="1">SUMIFS(Покупка!AW$25:AW$150,Покупка!$F$25:$F$150,$F225,Покупка!$AC$25:$AC$150,$G225)</f>
        <v>0</v>
      </c>
      <c r="AY225" s="171">
        <f ca="1">SUMIFS(Покупка!AX$25:AX$150,Покупка!$F$25:$F$150,$F225,Покупка!$AC$25:$AC$150,$G225)</f>
        <v>0</v>
      </c>
      <c r="AZ225" s="171">
        <f ca="1">SUMIFS(Покупка!AY$25:AY$150,Покупка!$F$25:$F$150,$F225,Покупка!$AC$25:$AC$150,$G225)</f>
        <v>0</v>
      </c>
      <c r="BA225" s="171">
        <f ca="1">SUMIFS(Покупка!AZ$25:AZ$150,Покупка!$F$25:$F$150,$F225,Покупка!$AC$25:$AC$150,$G225)</f>
        <v>0</v>
      </c>
      <c r="BB225" s="171">
        <f ca="1">SUMIFS(Покупка!BA$25:BA$150,Покупка!$F$25:$F$150,$F225,Покупка!$AC$25:$AC$150,$G225)</f>
        <v>0</v>
      </c>
      <c r="BC225" s="171">
        <f ca="1">SUMIFS(Покупка!BB$25:BB$150,Покупка!$F$25:$F$150,$F225,Покупка!$AC$25:$AC$150,$G225)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1" t="str">
        <f ca="1">IF(IFERROR(INDEX(Покупка!$K$26:$L$150,MATCH($F225&amp;"7komm",Покупка!$K$26:$K$150,0),2),"")=0,"",IFERROR(INDEX(Покупка!$K$26:$L$150,MATCH($F225&amp;"7komm",Покупка!$K$26:$K$150,0),2),""))</f>
        <v/>
      </c>
      <c r="BP225" s="196"/>
      <c r="BS225" s="696" t="s">
        <v>1151</v>
      </c>
    </row>
    <row r="226" spans="1:75" ht="14.25" customHeight="1" x14ac:dyDescent="0.15">
      <c r="C226" s="25"/>
      <c r="D226" s="25"/>
      <c r="E226" s="451">
        <v>15</v>
      </c>
      <c r="F226" s="3" t="str" cm="1">
        <f t="array" aca="1" ref="F226" ca="1">OFFSET(E226,-1,1)</f>
        <v>1</v>
      </c>
      <c r="G226" s="25" t="s">
        <v>1125</v>
      </c>
      <c r="H226" s="25"/>
      <c r="I226" s="25" t="s">
        <v>1681</v>
      </c>
      <c r="J226" s="25"/>
      <c r="K226" s="25" t="s">
        <v>1681</v>
      </c>
      <c r="L226" s="25" t="s">
        <v>1519</v>
      </c>
      <c r="M226" s="25"/>
      <c r="N226" s="25"/>
      <c r="O226" s="25"/>
      <c r="P226" s="25"/>
      <c r="Q226" s="25"/>
      <c r="R226" s="25"/>
      <c r="S226" s="25"/>
      <c r="T226" s="353" t="b" cm="1">
        <f t="array" aca="1" ref="T226" ca="1">T225</f>
        <v>1</v>
      </c>
      <c r="U226" s="25"/>
      <c r="V226" s="25"/>
      <c r="W226" s="25"/>
      <c r="X226" s="1022"/>
      <c r="Z226" s="967"/>
      <c r="AB226" s="7" t="s">
        <v>2054</v>
      </c>
      <c r="AC226" s="134" t="s">
        <v>2055</v>
      </c>
      <c r="AD226" s="7" t="s">
        <v>828</v>
      </c>
      <c r="AE226" s="171">
        <f ca="1">SUMIFS(Покупка!AE$25:AE$150,Покупка!$F$25:$F$150,$F226,Покупка!$AC$25:$AC$150,$G226)</f>
        <v>0</v>
      </c>
      <c r="AF226" s="171">
        <f ca="1">SUMIFS(Покупка!AF$25:AF$150,Покупка!$F$25:$F$150,$F226,Покупка!$AC$25:$AC$150,$G226)</f>
        <v>0</v>
      </c>
      <c r="AG226" s="171">
        <f ca="1">SUMIFS(Покупка!AG$25:AG$150,Покупка!$F$25:$F$150,$F226,Покупка!$AC$25:$AC$150,$G226)</f>
        <v>0</v>
      </c>
      <c r="AH226" s="171">
        <f t="shared" ca="1" si="55"/>
        <v>0</v>
      </c>
      <c r="AI226" s="171">
        <f ca="1">SUMIFS(Покупка!AH$25:AH$150,Покупка!$F$25:$F$150,$F226,Покупка!$AC$25:$AC$150,$G226)</f>
        <v>0</v>
      </c>
      <c r="AJ226" s="171">
        <f ca="1">SUMIFS(Покупка!AI$25:AI$150,Покупка!$F$25:$F$150,$F226,Покупка!$AC$25:$AC$150,$G226)</f>
        <v>0</v>
      </c>
      <c r="AK226" s="171">
        <f ca="1">SUMIFS(Покупка!AJ$25:AJ$150,Покупка!$F$25:$F$150,$F226,Покупка!$AC$25:$AC$150,$G226)</f>
        <v>0</v>
      </c>
      <c r="AL226" s="171">
        <f ca="1">SUMIFS(Покупка!AK$25:AK$150,Покупка!$F$25:$F$150,$F226,Покупка!$AC$25:$AC$150,$G226)</f>
        <v>0</v>
      </c>
      <c r="AM226" s="171">
        <f ca="1">SUMIFS(Покупка!AL$25:AL$150,Покупка!$F$25:$F$150,$F226,Покупка!$AC$25:$AC$150,$G226)</f>
        <v>0</v>
      </c>
      <c r="AN226" s="171">
        <f ca="1">SUMIFS(Покупка!AM$25:AM$150,Покупка!$F$25:$F$150,$F226,Покупка!$AC$25:$AC$150,$G226)</f>
        <v>0</v>
      </c>
      <c r="AO226" s="171">
        <f ca="1">SUMIFS(Покупка!AN$25:AN$150,Покупка!$F$25:$F$150,$F226,Покупка!$AC$25:$AC$150,$G226)</f>
        <v>0</v>
      </c>
      <c r="AP226" s="171">
        <f ca="1">SUMIFS(Покупка!AO$25:AO$150,Покупка!$F$25:$F$150,$F226,Покупка!$AC$25:$AC$150,$G226)</f>
        <v>0</v>
      </c>
      <c r="AQ226" s="171">
        <f ca="1">SUMIFS(Покупка!AP$25:AP$150,Покупка!$F$25:$F$150,$F226,Покупка!$AC$25:$AC$150,$G226)</f>
        <v>0</v>
      </c>
      <c r="AR226" s="171">
        <f ca="1">SUMIFS(Покупка!AQ$25:AQ$150,Покупка!$F$25:$F$150,$F226,Покупка!$AC$25:$AC$150,$G226)</f>
        <v>0</v>
      </c>
      <c r="AS226" s="171">
        <f ca="1">SUMIFS(Покупка!AR$25:AR$150,Покупка!$F$25:$F$150,$F226,Покупка!$AC$25:$AC$150,$G226)</f>
        <v>0</v>
      </c>
      <c r="AT226" s="171">
        <f ca="1">SUMIFS(Покупка!AS$25:AS$150,Покупка!$F$25:$F$150,$F226,Покупка!$AC$25:$AC$150,$G226)</f>
        <v>0</v>
      </c>
      <c r="AU226" s="171">
        <f ca="1">SUMIFS(Покупка!AT$25:AT$150,Покупка!$F$25:$F$150,$F226,Покупка!$AC$25:$AC$150,$G226)</f>
        <v>0</v>
      </c>
      <c r="AV226" s="171">
        <f ca="1">SUMIFS(Покупка!AU$25:AU$150,Покупка!$F$25:$F$150,$F226,Покупка!$AC$25:$AC$150,$G226)</f>
        <v>0</v>
      </c>
      <c r="AW226" s="171">
        <f ca="1">SUMIFS(Покупка!AV$25:AV$150,Покупка!$F$25:$F$150,$F226,Покупка!$AC$25:$AC$150,$G226)</f>
        <v>0</v>
      </c>
      <c r="AX226" s="171">
        <f ca="1">SUMIFS(Покупка!AW$25:AW$150,Покупка!$F$25:$F$150,$F226,Покупка!$AC$25:$AC$150,$G226)</f>
        <v>0</v>
      </c>
      <c r="AY226" s="171">
        <f ca="1">SUMIFS(Покупка!AX$25:AX$150,Покупка!$F$25:$F$150,$F226,Покупка!$AC$25:$AC$150,$G226)</f>
        <v>0</v>
      </c>
      <c r="AZ226" s="171">
        <f ca="1">SUMIFS(Покупка!AY$25:AY$150,Покупка!$F$25:$F$150,$F226,Покупка!$AC$25:$AC$150,$G226)</f>
        <v>0</v>
      </c>
      <c r="BA226" s="171">
        <f ca="1">SUMIFS(Покупка!AZ$25:AZ$150,Покупка!$F$25:$F$150,$F226,Покупка!$AC$25:$AC$150,$G226)</f>
        <v>0</v>
      </c>
      <c r="BB226" s="171">
        <f ca="1">SUMIFS(Покупка!BA$25:BA$150,Покупка!$F$25:$F$150,$F226,Покупка!$AC$25:$AC$150,$G226)</f>
        <v>0</v>
      </c>
      <c r="BC226" s="171">
        <f ca="1">SUMIFS(Покупка!BB$25:BB$150,Покупка!$F$25:$F$150,$F226,Покупка!$AC$25:$AC$150,$G226)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1" t="str">
        <f ca="1">IF(IFERROR(INDEX(Покупка!$K$26:$L$150,MATCH($F226&amp;"2komm",Покупка!$K$26:$K$150,0),2),"")=0,"",IFERROR(INDEX(Покупка!$K$26:$L$150,MATCH($F226&amp;"2komm",Покупка!$K$26:$K$150,0),2),""))</f>
        <v/>
      </c>
      <c r="BP226" s="196"/>
      <c r="BS226" s="696" t="s">
        <v>2056</v>
      </c>
    </row>
    <row r="227" spans="1:75" ht="14.25" customHeight="1" x14ac:dyDescent="0.15">
      <c r="C227" s="25"/>
      <c r="D227" s="25"/>
      <c r="E227" s="451">
        <v>15</v>
      </c>
      <c r="F227" s="3" t="str" cm="1">
        <f t="array" aca="1" ref="F227" ca="1">OFFSET(E227,-1,1)</f>
        <v>1</v>
      </c>
      <c r="G227" s="25" t="s">
        <v>1116</v>
      </c>
      <c r="H227" s="25"/>
      <c r="I227" s="25" t="s">
        <v>1683</v>
      </c>
      <c r="J227" s="25"/>
      <c r="K227" s="25" t="s">
        <v>1683</v>
      </c>
      <c r="L227" s="25" t="s">
        <v>1514</v>
      </c>
      <c r="M227" s="25"/>
      <c r="N227" s="25"/>
      <c r="O227" s="25"/>
      <c r="P227" s="25"/>
      <c r="Q227" s="25"/>
      <c r="R227" s="25"/>
      <c r="S227" s="25"/>
      <c r="T227" s="353" t="b" cm="1">
        <f t="array" aca="1" ref="T227" ca="1">T226</f>
        <v>1</v>
      </c>
      <c r="U227" s="25"/>
      <c r="V227" s="25"/>
      <c r="W227" s="25"/>
      <c r="X227" s="1022"/>
      <c r="Z227" s="967"/>
      <c r="AB227" s="7" t="s">
        <v>2057</v>
      </c>
      <c r="AC227" s="134" t="s">
        <v>2058</v>
      </c>
      <c r="AD227" s="7" t="s">
        <v>828</v>
      </c>
      <c r="AE227" s="171">
        <f ca="1">SUMIFS(Покупка!AE$25:AE$150,Покупка!$F$25:$F$150,$F227,Покупка!$AC$25:$AC$150,$G227)</f>
        <v>0</v>
      </c>
      <c r="AF227" s="171">
        <f ca="1">SUMIFS(Покупка!AF$25:AF$150,Покупка!$F$25:$F$150,$F227,Покупка!$AC$25:$AC$150,$G227)</f>
        <v>0</v>
      </c>
      <c r="AG227" s="171">
        <f ca="1">SUMIFS(Покупка!AG$25:AG$150,Покупка!$F$25:$F$150,$F227,Покупка!$AC$25:$AC$150,$G227)</f>
        <v>0</v>
      </c>
      <c r="AH227" s="171">
        <f t="shared" ca="1" si="55"/>
        <v>0</v>
      </c>
      <c r="AI227" s="171">
        <f ca="1">SUMIFS(Покупка!AH$25:AH$150,Покупка!$F$25:$F$150,$F227,Покупка!$AC$25:$AC$150,$G227)</f>
        <v>0</v>
      </c>
      <c r="AJ227" s="171">
        <f ca="1">SUMIFS(Покупка!AI$25:AI$150,Покупка!$F$25:$F$150,$F227,Покупка!$AC$25:$AC$150,$G227)</f>
        <v>0</v>
      </c>
      <c r="AK227" s="171">
        <f ca="1">SUMIFS(Покупка!AJ$25:AJ$150,Покупка!$F$25:$F$150,$F227,Покупка!$AC$25:$AC$150,$G227)</f>
        <v>0</v>
      </c>
      <c r="AL227" s="171">
        <f ca="1">SUMIFS(Покупка!AK$25:AK$150,Покупка!$F$25:$F$150,$F227,Покупка!$AC$25:$AC$150,$G227)</f>
        <v>0</v>
      </c>
      <c r="AM227" s="171">
        <f ca="1">SUMIFS(Покупка!AL$25:AL$150,Покупка!$F$25:$F$150,$F227,Покупка!$AC$25:$AC$150,$G227)</f>
        <v>0</v>
      </c>
      <c r="AN227" s="171">
        <f ca="1">SUMIFS(Покупка!AM$25:AM$150,Покупка!$F$25:$F$150,$F227,Покупка!$AC$25:$AC$150,$G227)</f>
        <v>0</v>
      </c>
      <c r="AO227" s="171">
        <f ca="1">SUMIFS(Покупка!AN$25:AN$150,Покупка!$F$25:$F$150,$F227,Покупка!$AC$25:$AC$150,$G227)</f>
        <v>0</v>
      </c>
      <c r="AP227" s="171">
        <f ca="1">SUMIFS(Покупка!AO$25:AO$150,Покупка!$F$25:$F$150,$F227,Покупка!$AC$25:$AC$150,$G227)</f>
        <v>0</v>
      </c>
      <c r="AQ227" s="171">
        <f ca="1">SUMIFS(Покупка!AP$25:AP$150,Покупка!$F$25:$F$150,$F227,Покупка!$AC$25:$AC$150,$G227)</f>
        <v>0</v>
      </c>
      <c r="AR227" s="171">
        <f ca="1">SUMIFS(Покупка!AQ$25:AQ$150,Покупка!$F$25:$F$150,$F227,Покупка!$AC$25:$AC$150,$G227)</f>
        <v>0</v>
      </c>
      <c r="AS227" s="171">
        <f ca="1">SUMIFS(Покупка!AR$25:AR$150,Покупка!$F$25:$F$150,$F227,Покупка!$AC$25:$AC$150,$G227)</f>
        <v>0</v>
      </c>
      <c r="AT227" s="171">
        <f ca="1">SUMIFS(Покупка!AS$25:AS$150,Покупка!$F$25:$F$150,$F227,Покупка!$AC$25:$AC$150,$G227)</f>
        <v>0</v>
      </c>
      <c r="AU227" s="171">
        <f ca="1">SUMIFS(Покупка!AT$25:AT$150,Покупка!$F$25:$F$150,$F227,Покупка!$AC$25:$AC$150,$G227)</f>
        <v>0</v>
      </c>
      <c r="AV227" s="171">
        <f ca="1">SUMIFS(Покупка!AU$25:AU$150,Покупка!$F$25:$F$150,$F227,Покупка!$AC$25:$AC$150,$G227)</f>
        <v>0</v>
      </c>
      <c r="AW227" s="171">
        <f ca="1">SUMIFS(Покупка!AV$25:AV$150,Покупка!$F$25:$F$150,$F227,Покупка!$AC$25:$AC$150,$G227)</f>
        <v>0</v>
      </c>
      <c r="AX227" s="171">
        <f ca="1">SUMIFS(Покупка!AW$25:AW$150,Покупка!$F$25:$F$150,$F227,Покупка!$AC$25:$AC$150,$G227)</f>
        <v>0</v>
      </c>
      <c r="AY227" s="171">
        <f ca="1">SUMIFS(Покупка!AX$25:AX$150,Покупка!$F$25:$F$150,$F227,Покупка!$AC$25:$AC$150,$G227)</f>
        <v>0</v>
      </c>
      <c r="AZ227" s="171">
        <f ca="1">SUMIFS(Покупка!AY$25:AY$150,Покупка!$F$25:$F$150,$F227,Покупка!$AC$25:$AC$150,$G227)</f>
        <v>0</v>
      </c>
      <c r="BA227" s="171">
        <f ca="1">SUMIFS(Покупка!AZ$25:AZ$150,Покупка!$F$25:$F$150,$F227,Покупка!$AC$25:$AC$150,$G227)</f>
        <v>0</v>
      </c>
      <c r="BB227" s="171">
        <f ca="1">SUMIFS(Покупка!BA$25:BA$150,Покупка!$F$25:$F$150,$F227,Покупка!$AC$25:$AC$150,$G227)</f>
        <v>0</v>
      </c>
      <c r="BC227" s="171">
        <f ca="1">SUMIFS(Покупка!BB$25:BB$150,Покупка!$F$25:$F$150,$F227,Покупка!$AC$25:$AC$150,$G227)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1" t="str">
        <f ca="1">IF(IFERROR(INDEX(Покупка!$K$26:$L$150,MATCH($F227&amp;"1komm",Покупка!$K$26:$K$150,0),2),"")=0,"",IFERROR(INDEX(Покупка!$K$26:$L$150,MATCH($F227&amp;"1komm",Покупка!$K$26:$K$150,0),2),""))</f>
        <v/>
      </c>
      <c r="BP227" s="196"/>
      <c r="BS227" s="696" t="s">
        <v>2059</v>
      </c>
    </row>
    <row r="228" spans="1:75" ht="14.25" customHeight="1" x14ac:dyDescent="0.15">
      <c r="C228" s="25"/>
      <c r="D228" s="25"/>
      <c r="E228" s="451">
        <v>15</v>
      </c>
      <c r="F228" s="3" t="str" cm="1">
        <f t="array" aca="1" ref="F228" ca="1">OFFSET(E228,-1,1)</f>
        <v>1</v>
      </c>
      <c r="G228" s="25" t="s">
        <v>1152</v>
      </c>
      <c r="H228" s="25"/>
      <c r="I228" s="25" t="s">
        <v>1686</v>
      </c>
      <c r="J228" s="25"/>
      <c r="K228" s="25" t="s">
        <v>1686</v>
      </c>
      <c r="L228" s="25"/>
      <c r="M228" s="25"/>
      <c r="N228" s="25"/>
      <c r="O228" s="25"/>
      <c r="P228" s="25"/>
      <c r="Q228" s="25"/>
      <c r="R228" s="25"/>
      <c r="S228" s="25"/>
      <c r="T228" s="353" t="b" cm="1">
        <f t="array" aca="1" ref="T228" ca="1">T227</f>
        <v>1</v>
      </c>
      <c r="U228" s="25"/>
      <c r="V228" s="25"/>
      <c r="W228" s="25"/>
      <c r="X228" s="1022"/>
      <c r="Z228" s="967"/>
      <c r="AB228" s="7" t="s">
        <v>2060</v>
      </c>
      <c r="AC228" s="134" t="s">
        <v>2061</v>
      </c>
      <c r="AD228" s="7" t="s">
        <v>828</v>
      </c>
      <c r="AE228" s="171">
        <f ca="1">SUMIFS(Покупка!AE$25:AE$150,Покупка!$F$25:$F$150,$F228,Покупка!$AC$25:$AC$150,$G228)</f>
        <v>0</v>
      </c>
      <c r="AF228" s="171">
        <f ca="1">SUMIFS(Покупка!AF$25:AF$150,Покупка!$F$25:$F$150,$F228,Покупка!$AC$25:$AC$150,$G228)</f>
        <v>0</v>
      </c>
      <c r="AG228" s="171">
        <f ca="1">SUMIFS(Покупка!AG$25:AG$150,Покупка!$F$25:$F$150,$F228,Покупка!$AC$25:$AC$150,$G228)</f>
        <v>0</v>
      </c>
      <c r="AH228" s="171">
        <f t="shared" ca="1" si="55"/>
        <v>0</v>
      </c>
      <c r="AI228" s="171">
        <f ca="1">SUMIFS(Покупка!AH$25:AH$150,Покупка!$F$25:$F$150,$F228,Покупка!$AC$25:$AC$150,$G228)</f>
        <v>0</v>
      </c>
      <c r="AJ228" s="171">
        <f ca="1">SUMIFS(Покупка!AI$25:AI$150,Покупка!$F$25:$F$150,$F228,Покупка!$AC$25:$AC$150,$G228)</f>
        <v>0</v>
      </c>
      <c r="AK228" s="171">
        <f ca="1">SUMIFS(Покупка!AJ$25:AJ$150,Покупка!$F$25:$F$150,$F228,Покупка!$AC$25:$AC$150,$G228)</f>
        <v>0</v>
      </c>
      <c r="AL228" s="171">
        <f ca="1">SUMIFS(Покупка!AK$25:AK$150,Покупка!$F$25:$F$150,$F228,Покупка!$AC$25:$AC$150,$G228)</f>
        <v>0</v>
      </c>
      <c r="AM228" s="171">
        <f ca="1">SUMIFS(Покупка!AL$25:AL$150,Покупка!$F$25:$F$150,$F228,Покупка!$AC$25:$AC$150,$G228)</f>
        <v>0</v>
      </c>
      <c r="AN228" s="171">
        <f ca="1">SUMIFS(Покупка!AM$25:AM$150,Покупка!$F$25:$F$150,$F228,Покупка!$AC$25:$AC$150,$G228)</f>
        <v>0</v>
      </c>
      <c r="AO228" s="171">
        <f ca="1">SUMIFS(Покупка!AN$25:AN$150,Покупка!$F$25:$F$150,$F228,Покупка!$AC$25:$AC$150,$G228)</f>
        <v>0</v>
      </c>
      <c r="AP228" s="171">
        <f ca="1">SUMIFS(Покупка!AO$25:AO$150,Покупка!$F$25:$F$150,$F228,Покупка!$AC$25:$AC$150,$G228)</f>
        <v>0</v>
      </c>
      <c r="AQ228" s="171">
        <f ca="1">SUMIFS(Покупка!AP$25:AP$150,Покупка!$F$25:$F$150,$F228,Покупка!$AC$25:$AC$150,$G228)</f>
        <v>0</v>
      </c>
      <c r="AR228" s="171">
        <f ca="1">SUMIFS(Покупка!AQ$25:AQ$150,Покупка!$F$25:$F$150,$F228,Покупка!$AC$25:$AC$150,$G228)</f>
        <v>0</v>
      </c>
      <c r="AS228" s="171">
        <f ca="1">SUMIFS(Покупка!AR$25:AR$150,Покупка!$F$25:$F$150,$F228,Покупка!$AC$25:$AC$150,$G228)</f>
        <v>0</v>
      </c>
      <c r="AT228" s="171">
        <f ca="1">SUMIFS(Покупка!AS$25:AS$150,Покупка!$F$25:$F$150,$F228,Покупка!$AC$25:$AC$150,$G228)</f>
        <v>0</v>
      </c>
      <c r="AU228" s="171">
        <f ca="1">SUMIFS(Покупка!AT$25:AT$150,Покупка!$F$25:$F$150,$F228,Покупка!$AC$25:$AC$150,$G228)</f>
        <v>0</v>
      </c>
      <c r="AV228" s="171">
        <f ca="1">SUMIFS(Покупка!AU$25:AU$150,Покупка!$F$25:$F$150,$F228,Покупка!$AC$25:$AC$150,$G228)</f>
        <v>0</v>
      </c>
      <c r="AW228" s="171">
        <f ca="1">SUMIFS(Покупка!AV$25:AV$150,Покупка!$F$25:$F$150,$F228,Покупка!$AC$25:$AC$150,$G228)</f>
        <v>0</v>
      </c>
      <c r="AX228" s="171">
        <f ca="1">SUMIFS(Покупка!AW$25:AW$150,Покупка!$F$25:$F$150,$F228,Покупка!$AC$25:$AC$150,$G228)</f>
        <v>0</v>
      </c>
      <c r="AY228" s="171">
        <f ca="1">SUMIFS(Покупка!AX$25:AX$150,Покупка!$F$25:$F$150,$F228,Покупка!$AC$25:$AC$150,$G228)</f>
        <v>0</v>
      </c>
      <c r="AZ228" s="171">
        <f ca="1">SUMIFS(Покупка!AY$25:AY$150,Покупка!$F$25:$F$150,$F228,Покупка!$AC$25:$AC$150,$G228)</f>
        <v>0</v>
      </c>
      <c r="BA228" s="171">
        <f ca="1">SUMIFS(Покупка!AZ$25:AZ$150,Покупка!$F$25:$F$150,$F228,Покупка!$AC$25:$AC$150,$G228)</f>
        <v>0</v>
      </c>
      <c r="BB228" s="171">
        <f ca="1">SUMIFS(Покупка!BA$25:BA$150,Покупка!$F$25:$F$150,$F228,Покупка!$AC$25:$AC$150,$G228)</f>
        <v>0</v>
      </c>
      <c r="BC228" s="171">
        <f ca="1">SUMIFS(Покупка!BB$25:BB$150,Покупка!$F$25:$F$150,$F228,Покупка!$AC$25:$AC$150,$G228)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1" t="str">
        <f ca="1">IF(IFERROR(INDEX(Покупка!$K$26:$L$150,MATCH($F228&amp;"8komm",Покупка!$K$26:$K$150,0),2),"")=0,"",IFERROR(INDEX(Покупка!$K$26:$L$150,MATCH($F228&amp;"8komm",Покупка!$K$26:$K$150,0),2),""))</f>
        <v/>
      </c>
      <c r="BP228" s="196"/>
      <c r="BS228" s="696" t="s">
        <v>1153</v>
      </c>
    </row>
    <row r="229" spans="1:75" ht="14.25" customHeight="1" x14ac:dyDescent="0.15">
      <c r="C229" s="25"/>
      <c r="D229" s="25"/>
      <c r="E229" s="451">
        <v>15</v>
      </c>
      <c r="F229" s="3" t="str" cm="1">
        <f t="array" aca="1" ref="F229" ca="1">OFFSET(E229,-1,1)</f>
        <v>1</v>
      </c>
      <c r="G229" s="25"/>
      <c r="H229" s="25"/>
      <c r="I229" s="25" t="s">
        <v>2062</v>
      </c>
      <c r="J229" s="25"/>
      <c r="K229" s="25" t="s">
        <v>2062</v>
      </c>
      <c r="L229" s="25"/>
      <c r="M229" s="25"/>
      <c r="N229" s="25"/>
      <c r="O229" s="25"/>
      <c r="P229" s="25"/>
      <c r="Q229" s="25"/>
      <c r="R229" s="25"/>
      <c r="S229" s="25"/>
      <c r="T229" s="353" t="b" cm="1">
        <f t="array" aca="1" ref="T229" ca="1">T228</f>
        <v>1</v>
      </c>
      <c r="U229" s="25"/>
      <c r="V229" s="25"/>
      <c r="W229" s="25"/>
      <c r="X229" s="1022"/>
      <c r="Z229" s="967"/>
      <c r="AB229" s="7" t="s">
        <v>2063</v>
      </c>
      <c r="AC229" s="134" t="s">
        <v>2064</v>
      </c>
      <c r="AD229" s="7" t="s">
        <v>828</v>
      </c>
      <c r="AE229" s="128"/>
      <c r="AF229" s="128"/>
      <c r="AG229" s="128"/>
      <c r="AH229" s="171">
        <f t="shared" si="55"/>
        <v>0</v>
      </c>
      <c r="AI229" s="128"/>
      <c r="AJ229" s="128"/>
      <c r="AK229" s="778"/>
      <c r="AL229" s="778"/>
      <c r="AM229" s="128"/>
      <c r="AN229" s="128"/>
      <c r="AO229" s="128"/>
      <c r="AP229" s="128"/>
      <c r="AQ229" s="128"/>
      <c r="AR229" s="128"/>
      <c r="AS229" s="128"/>
      <c r="AT229" s="128"/>
      <c r="AU229" s="778"/>
      <c r="AV229" s="778"/>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6" t="s">
        <v>2065</v>
      </c>
    </row>
    <row r="230" spans="1:75" ht="14.25" customHeight="1" x14ac:dyDescent="0.15">
      <c r="C230" s="25"/>
      <c r="D230" s="25"/>
      <c r="E230" s="451">
        <v>15</v>
      </c>
      <c r="F230" s="3" t="str" cm="1">
        <f t="array" aca="1" ref="F230" ca="1">OFFSET(E230,-1,1)</f>
        <v>1</v>
      </c>
      <c r="G230" s="25"/>
      <c r="H230" s="25"/>
      <c r="I230" s="25" t="s">
        <v>2066</v>
      </c>
      <c r="J230" s="25"/>
      <c r="K230" s="25" t="s">
        <v>2066</v>
      </c>
      <c r="L230" s="25"/>
      <c r="M230" s="25"/>
      <c r="N230" s="25"/>
      <c r="O230" s="25"/>
      <c r="P230" s="25"/>
      <c r="Q230" s="25"/>
      <c r="R230" s="25"/>
      <c r="S230" s="25"/>
      <c r="T230" s="353" t="b" cm="1">
        <f t="array" aca="1" ref="T230" ca="1">T229</f>
        <v>1</v>
      </c>
      <c r="U230" s="25"/>
      <c r="V230" s="25"/>
      <c r="W230" s="25"/>
      <c r="X230" s="1022"/>
      <c r="Z230" s="967"/>
      <c r="AB230" s="7" t="s">
        <v>2067</v>
      </c>
      <c r="AC230" s="134" t="s">
        <v>2068</v>
      </c>
      <c r="AD230" s="7" t="s">
        <v>828</v>
      </c>
      <c r="AE230" s="128"/>
      <c r="AF230" s="128"/>
      <c r="AG230" s="128"/>
      <c r="AH230" s="171">
        <f t="shared" si="55"/>
        <v>0</v>
      </c>
      <c r="AI230" s="128"/>
      <c r="AJ230" s="128"/>
      <c r="AK230" s="778"/>
      <c r="AL230" s="778"/>
      <c r="AM230" s="128"/>
      <c r="AN230" s="128"/>
      <c r="AO230" s="128"/>
      <c r="AP230" s="128"/>
      <c r="AQ230" s="128"/>
      <c r="AR230" s="128"/>
      <c r="AS230" s="128"/>
      <c r="AT230" s="128"/>
      <c r="AU230" s="778"/>
      <c r="AV230" s="778"/>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6" t="s">
        <v>2069</v>
      </c>
    </row>
    <row r="231" spans="1:75" ht="14.25" customHeight="1" x14ac:dyDescent="0.15">
      <c r="C231" s="25"/>
      <c r="D231" s="25"/>
      <c r="E231" s="451">
        <v>15</v>
      </c>
      <c r="F231" s="3" t="str" cm="1">
        <f t="array" aca="1" ref="F231" ca="1">OFFSET(E231,-1,1)</f>
        <v>1</v>
      </c>
      <c r="G231" s="25" t="s">
        <v>1130</v>
      </c>
      <c r="H231" s="25"/>
      <c r="I231" s="25" t="s">
        <v>2070</v>
      </c>
      <c r="J231" s="25"/>
      <c r="K231" s="25" t="s">
        <v>2070</v>
      </c>
      <c r="L231" s="25" t="s">
        <v>1528</v>
      </c>
      <c r="M231" s="25"/>
      <c r="N231" s="25"/>
      <c r="O231" s="25"/>
      <c r="P231" s="25"/>
      <c r="Q231" s="25"/>
      <c r="R231" s="25"/>
      <c r="S231" s="25"/>
      <c r="T231" s="353" t="b" cm="1">
        <f t="array" aca="1" ref="T231" ca="1">T230</f>
        <v>1</v>
      </c>
      <c r="U231" s="25"/>
      <c r="V231" s="25"/>
      <c r="W231" s="25"/>
      <c r="X231" s="1022"/>
      <c r="Z231" s="967"/>
      <c r="AB231" s="7" t="s">
        <v>2071</v>
      </c>
      <c r="AC231" s="134" t="s">
        <v>2072</v>
      </c>
      <c r="AD231" s="7" t="s">
        <v>828</v>
      </c>
      <c r="AE231" s="171">
        <f ca="1">SUMIFS(Покупка!AE$25:AE$150,Покупка!$F$25:$F$150,$F231,Покупка!$AC$25:$AC$150,$G231)</f>
        <v>0</v>
      </c>
      <c r="AF231" s="171">
        <f ca="1">SUMIFS(Покупка!AF$25:AF$150,Покупка!$F$25:$F$150,$F231,Покупка!$AC$25:$AC$150,$G231)</f>
        <v>0</v>
      </c>
      <c r="AG231" s="171">
        <f ca="1">SUMIFS(Покупка!AG$25:AG$150,Покупка!$F$25:$F$150,$F231,Покупка!$AC$25:$AC$150,$G231)</f>
        <v>0</v>
      </c>
      <c r="AH231" s="171">
        <f t="shared" ca="1" si="55"/>
        <v>0</v>
      </c>
      <c r="AI231" s="171">
        <f ca="1">SUMIFS(Покупка!AH$25:AH$150,Покупка!$F$25:$F$150,$F231,Покупка!$AC$25:$AC$150,$G231)</f>
        <v>0</v>
      </c>
      <c r="AJ231" s="171">
        <f ca="1">SUMIFS(Покупка!AI$25:AI$150,Покупка!$F$25:$F$150,$F231,Покупка!$AC$25:$AC$150,$G231)</f>
        <v>0</v>
      </c>
      <c r="AK231" s="171">
        <f ca="1">SUMIFS(Покупка!AJ$25:AJ$150,Покупка!$F$25:$F$150,$F231,Покупка!$AC$25:$AC$150,$G231)</f>
        <v>0</v>
      </c>
      <c r="AL231" s="171">
        <f ca="1">SUMIFS(Покупка!AK$25:AK$150,Покупка!$F$25:$F$150,$F231,Покупка!$AC$25:$AC$150,$G231)</f>
        <v>0</v>
      </c>
      <c r="AM231" s="171">
        <f ca="1">SUMIFS(Покупка!AL$25:AL$150,Покупка!$F$25:$F$150,$F231,Покупка!$AC$25:$AC$150,$G231)</f>
        <v>0</v>
      </c>
      <c r="AN231" s="171">
        <f ca="1">SUMIFS(Покупка!AM$25:AM$150,Покупка!$F$25:$F$150,$F231,Покупка!$AC$25:$AC$150,$G231)</f>
        <v>0</v>
      </c>
      <c r="AO231" s="171">
        <f ca="1">SUMIFS(Покупка!AN$25:AN$150,Покупка!$F$25:$F$150,$F231,Покупка!$AC$25:$AC$150,$G231)</f>
        <v>0</v>
      </c>
      <c r="AP231" s="171">
        <f ca="1">SUMIFS(Покупка!AO$25:AO$150,Покупка!$F$25:$F$150,$F231,Покупка!$AC$25:$AC$150,$G231)</f>
        <v>0</v>
      </c>
      <c r="AQ231" s="171">
        <f ca="1">SUMIFS(Покупка!AP$25:AP$150,Покупка!$F$25:$F$150,$F231,Покупка!$AC$25:$AC$150,$G231)</f>
        <v>0</v>
      </c>
      <c r="AR231" s="171">
        <f ca="1">SUMIFS(Покупка!AQ$25:AQ$150,Покупка!$F$25:$F$150,$F231,Покупка!$AC$25:$AC$150,$G231)</f>
        <v>0</v>
      </c>
      <c r="AS231" s="171">
        <f ca="1">SUMIFS(Покупка!AR$25:AR$150,Покупка!$F$25:$F$150,$F231,Покупка!$AC$25:$AC$150,$G231)</f>
        <v>0</v>
      </c>
      <c r="AT231" s="171">
        <f ca="1">SUMIFS(Покупка!AS$25:AS$150,Покупка!$F$25:$F$150,$F231,Покупка!$AC$25:$AC$150,$G231)</f>
        <v>0</v>
      </c>
      <c r="AU231" s="171">
        <f ca="1">SUMIFS(Покупка!AT$25:AT$150,Покупка!$F$25:$F$150,$F231,Покупка!$AC$25:$AC$150,$G231)</f>
        <v>0</v>
      </c>
      <c r="AV231" s="171">
        <f ca="1">SUMIFS(Покупка!AU$25:AU$150,Покупка!$F$25:$F$150,$F231,Покупка!$AC$25:$AC$150,$G231)</f>
        <v>0</v>
      </c>
      <c r="AW231" s="171">
        <f ca="1">SUMIFS(Покупка!AV$25:AV$150,Покупка!$F$25:$F$150,$F231,Покупка!$AC$25:$AC$150,$G231)</f>
        <v>0</v>
      </c>
      <c r="AX231" s="171">
        <f ca="1">SUMIFS(Покупка!AW$25:AW$150,Покупка!$F$25:$F$150,$F231,Покупка!$AC$25:$AC$150,$G231)</f>
        <v>0</v>
      </c>
      <c r="AY231" s="171">
        <f ca="1">SUMIFS(Покупка!AX$25:AX$150,Покупка!$F$25:$F$150,$F231,Покупка!$AC$25:$AC$150,$G231)</f>
        <v>0</v>
      </c>
      <c r="AZ231" s="171">
        <f ca="1">SUMIFS(Покупка!AY$25:AY$150,Покупка!$F$25:$F$150,$F231,Покупка!$AC$25:$AC$150,$G231)</f>
        <v>0</v>
      </c>
      <c r="BA231" s="171">
        <f ca="1">SUMIFS(Покупка!AZ$25:AZ$150,Покупка!$F$25:$F$150,$F231,Покупка!$AC$25:$AC$150,$G231)</f>
        <v>0</v>
      </c>
      <c r="BB231" s="171">
        <f ca="1">SUMIFS(Покупка!BA$25:BA$150,Покупка!$F$25:$F$150,$F231,Покупка!$AC$25:$AC$150,$G231)</f>
        <v>0</v>
      </c>
      <c r="BC231" s="171">
        <f ca="1">SUMIFS(Покупка!BB$25:BB$150,Покупка!$F$25:$F$150,$F231,Покупка!$AC$25:$AC$150,$G231)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1" t="str">
        <f ca="1">IF(IFERROR(INDEX(Покупка!$K$26:$L$150,MATCH($F231&amp;"3komm",Покупка!$K$26:$K$150,0),2),"")=0,"",IFERROR(INDEX(Покупка!$K$26:$L$150,MATCH($F231&amp;"3komm",Покупка!$K$26:$K$150,0),2),""))</f>
        <v/>
      </c>
      <c r="BP231" s="196"/>
      <c r="BS231" s="696" t="s">
        <v>1763</v>
      </c>
    </row>
    <row r="232" spans="1:75" ht="14.25" customHeight="1" x14ac:dyDescent="0.15">
      <c r="C232" s="25"/>
      <c r="D232" s="25"/>
      <c r="E232" s="451">
        <v>15</v>
      </c>
      <c r="F232" s="3" t="str" cm="1">
        <f t="array" aca="1" ref="F232" ca="1">OFFSET(E232,-1,1)</f>
        <v>1</v>
      </c>
      <c r="G232" s="25" t="s">
        <v>1136</v>
      </c>
      <c r="H232" s="25"/>
      <c r="I232" s="25" t="s">
        <v>2073</v>
      </c>
      <c r="J232" s="25"/>
      <c r="K232" s="25" t="s">
        <v>2073</v>
      </c>
      <c r="L232" s="25" t="s">
        <v>1533</v>
      </c>
      <c r="M232" s="25"/>
      <c r="N232" s="25"/>
      <c r="O232" s="25"/>
      <c r="P232" s="25"/>
      <c r="Q232" s="25"/>
      <c r="R232" s="25"/>
      <c r="S232" s="25"/>
      <c r="T232" s="353" t="b" cm="1">
        <f t="array" aca="1" ref="T232" ca="1">T231</f>
        <v>1</v>
      </c>
      <c r="U232" s="25"/>
      <c r="V232" s="25"/>
      <c r="W232" s="25"/>
      <c r="X232" s="1022"/>
      <c r="Z232" s="967"/>
      <c r="AB232" s="7" t="s">
        <v>2074</v>
      </c>
      <c r="AC232" s="134" t="s">
        <v>2075</v>
      </c>
      <c r="AD232" s="7" t="s">
        <v>828</v>
      </c>
      <c r="AE232" s="171">
        <f ca="1">SUMIFS(Покупка!AE$25:AE$150,Покупка!$F$25:$F$150,$F232,Покупка!$AC$25:$AC$150,$G232)</f>
        <v>0</v>
      </c>
      <c r="AF232" s="171">
        <f ca="1">SUMIFS(Покупка!AF$25:AF$150,Покупка!$F$25:$F$150,$F232,Покупка!$AC$25:$AC$150,$G232)</f>
        <v>0</v>
      </c>
      <c r="AG232" s="171">
        <f ca="1">SUMIFS(Покупка!AG$25:AG$150,Покупка!$F$25:$F$150,$F232,Покупка!$AC$25:$AC$150,$G232)</f>
        <v>0</v>
      </c>
      <c r="AH232" s="171">
        <f t="shared" ca="1" si="55"/>
        <v>0</v>
      </c>
      <c r="AI232" s="171">
        <f ca="1">SUMIFS(Покупка!AH$25:AH$150,Покупка!$F$25:$F$150,$F232,Покупка!$AC$25:$AC$150,$G232)</f>
        <v>0</v>
      </c>
      <c r="AJ232" s="171">
        <f ca="1">SUMIFS(Покупка!AI$25:AI$150,Покупка!$F$25:$F$150,$F232,Покупка!$AC$25:$AC$150,$G232)</f>
        <v>0</v>
      </c>
      <c r="AK232" s="171">
        <f ca="1">SUMIFS(Покупка!AJ$25:AJ$150,Покупка!$F$25:$F$150,$F232,Покупка!$AC$25:$AC$150,$G232)</f>
        <v>0</v>
      </c>
      <c r="AL232" s="171">
        <f ca="1">SUMIFS(Покупка!AK$25:AK$150,Покупка!$F$25:$F$150,$F232,Покупка!$AC$25:$AC$150,$G232)</f>
        <v>0</v>
      </c>
      <c r="AM232" s="171">
        <f ca="1">SUMIFS(Покупка!AL$25:AL$150,Покупка!$F$25:$F$150,$F232,Покупка!$AC$25:$AC$150,$G232)</f>
        <v>0</v>
      </c>
      <c r="AN232" s="171">
        <f ca="1">SUMIFS(Покупка!AM$25:AM$150,Покупка!$F$25:$F$150,$F232,Покупка!$AC$25:$AC$150,$G232)</f>
        <v>0</v>
      </c>
      <c r="AO232" s="171">
        <f ca="1">SUMIFS(Покупка!AN$25:AN$150,Покупка!$F$25:$F$150,$F232,Покупка!$AC$25:$AC$150,$G232)</f>
        <v>0</v>
      </c>
      <c r="AP232" s="171">
        <f ca="1">SUMIFS(Покупка!AO$25:AO$150,Покупка!$F$25:$F$150,$F232,Покупка!$AC$25:$AC$150,$G232)</f>
        <v>0</v>
      </c>
      <c r="AQ232" s="171">
        <f ca="1">SUMIFS(Покупка!AP$25:AP$150,Покупка!$F$25:$F$150,$F232,Покупка!$AC$25:$AC$150,$G232)</f>
        <v>0</v>
      </c>
      <c r="AR232" s="171">
        <f ca="1">SUMIFS(Покупка!AQ$25:AQ$150,Покупка!$F$25:$F$150,$F232,Покупка!$AC$25:$AC$150,$G232)</f>
        <v>0</v>
      </c>
      <c r="AS232" s="171">
        <f ca="1">SUMIFS(Покупка!AR$25:AR$150,Покупка!$F$25:$F$150,$F232,Покупка!$AC$25:$AC$150,$G232)</f>
        <v>0</v>
      </c>
      <c r="AT232" s="171">
        <f ca="1">SUMIFS(Покупка!AS$25:AS$150,Покупка!$F$25:$F$150,$F232,Покупка!$AC$25:$AC$150,$G232)</f>
        <v>0</v>
      </c>
      <c r="AU232" s="171">
        <f ca="1">SUMIFS(Покупка!AT$25:AT$150,Покупка!$F$25:$F$150,$F232,Покупка!$AC$25:$AC$150,$G232)</f>
        <v>0</v>
      </c>
      <c r="AV232" s="171">
        <f ca="1">SUMIFS(Покупка!AU$25:AU$150,Покупка!$F$25:$F$150,$F232,Покупка!$AC$25:$AC$150,$G232)</f>
        <v>0</v>
      </c>
      <c r="AW232" s="171">
        <f ca="1">SUMIFS(Покупка!AV$25:AV$150,Покупка!$F$25:$F$150,$F232,Покупка!$AC$25:$AC$150,$G232)</f>
        <v>0</v>
      </c>
      <c r="AX232" s="171">
        <f ca="1">SUMIFS(Покупка!AW$25:AW$150,Покупка!$F$25:$F$150,$F232,Покупка!$AC$25:$AC$150,$G232)</f>
        <v>0</v>
      </c>
      <c r="AY232" s="171">
        <f ca="1">SUMIFS(Покупка!AX$25:AX$150,Покупка!$F$25:$F$150,$F232,Покупка!$AC$25:$AC$150,$G232)</f>
        <v>0</v>
      </c>
      <c r="AZ232" s="171">
        <f ca="1">SUMIFS(Покупка!AY$25:AY$150,Покупка!$F$25:$F$150,$F232,Покупка!$AC$25:$AC$150,$G232)</f>
        <v>0</v>
      </c>
      <c r="BA232" s="171">
        <f ca="1">SUMIFS(Покупка!AZ$25:AZ$150,Покупка!$F$25:$F$150,$F232,Покупка!$AC$25:$AC$150,$G232)</f>
        <v>0</v>
      </c>
      <c r="BB232" s="171">
        <f ca="1">SUMIFS(Покупка!BA$25:BA$150,Покупка!$F$25:$F$150,$F232,Покупка!$AC$25:$AC$150,$G232)</f>
        <v>0</v>
      </c>
      <c r="BC232" s="171">
        <f ca="1">SUMIFS(Покупка!BB$25:BB$150,Покупка!$F$25:$F$150,$F232,Покупка!$AC$25:$AC$150,$G232)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1" t="str">
        <f ca="1">IF(IFERROR(INDEX(Покупка!$K$26:$L$150,MATCH($F232&amp;"4komm",Покупка!$K$26:$K$150,0),2),"")=0,"",IFERROR(INDEX(Покупка!$K$26:$L$150,MATCH($F231&amp;"3komm",Покупка!$K$26:$K$150,0),2),""))</f>
        <v/>
      </c>
      <c r="BP232" s="196"/>
      <c r="BS232" s="696" t="s">
        <v>1766</v>
      </c>
    </row>
    <row r="233" spans="1:75" ht="14.25" customHeight="1" x14ac:dyDescent="0.15">
      <c r="C233" s="25"/>
      <c r="D233" s="25"/>
      <c r="E233" s="451">
        <v>15</v>
      </c>
      <c r="F233" s="3" t="str" cm="1">
        <f t="array" aca="1" ref="F233" ca="1">OFFSET(E233,-1,1)</f>
        <v>1</v>
      </c>
      <c r="G233" s="25" t="s">
        <v>1142</v>
      </c>
      <c r="H233" s="25"/>
      <c r="I233" s="25" t="s">
        <v>2076</v>
      </c>
      <c r="J233" s="25"/>
      <c r="K233" s="25" t="s">
        <v>2076</v>
      </c>
      <c r="L233" s="25" t="s">
        <v>1543</v>
      </c>
      <c r="M233" s="25"/>
      <c r="N233" s="25"/>
      <c r="O233" s="25"/>
      <c r="P233" s="25"/>
      <c r="Q233" s="25"/>
      <c r="R233" s="25"/>
      <c r="S233" s="25"/>
      <c r="T233" s="353" t="b" cm="1">
        <f t="array" aca="1" ref="T233" ca="1">T232</f>
        <v>1</v>
      </c>
      <c r="U233" s="25"/>
      <c r="V233" s="25"/>
      <c r="W233" s="25"/>
      <c r="X233" s="1022"/>
      <c r="Z233" s="967"/>
      <c r="AB233" s="7" t="s">
        <v>2077</v>
      </c>
      <c r="AC233" s="134" t="s">
        <v>2078</v>
      </c>
      <c r="AD233" s="7" t="s">
        <v>828</v>
      </c>
      <c r="AE233" s="171">
        <f ca="1">SUMIFS(Покупка!AE$25:AE$150,Покупка!$F$25:$F$150,$F233,Покупка!$AC$25:$AC$150,$G233)</f>
        <v>0</v>
      </c>
      <c r="AF233" s="171">
        <f ca="1">SUMIFS(Покупка!AF$25:AF$150,Покупка!$F$25:$F$150,$F233,Покупка!$AC$25:$AC$150,$G233)</f>
        <v>0</v>
      </c>
      <c r="AG233" s="171">
        <f ca="1">SUMIFS(Покупка!AG$25:AG$150,Покупка!$F$25:$F$150,$F233,Покупка!$AC$25:$AC$150,$G233)</f>
        <v>0</v>
      </c>
      <c r="AH233" s="171">
        <f t="shared" ca="1" si="55"/>
        <v>0</v>
      </c>
      <c r="AI233" s="171">
        <f ca="1">SUMIFS(Покупка!AH$25:AH$150,Покупка!$F$25:$F$150,$F233,Покупка!$AC$25:$AC$150,$G233)</f>
        <v>0</v>
      </c>
      <c r="AJ233" s="171">
        <f ca="1">SUMIFS(Покупка!AI$25:AI$150,Покупка!$F$25:$F$150,$F233,Покупка!$AC$25:$AC$150,$G233)</f>
        <v>0</v>
      </c>
      <c r="AK233" s="171">
        <f ca="1">SUMIFS(Покупка!AJ$25:AJ$150,Покупка!$F$25:$F$150,$F233,Покупка!$AC$25:$AC$150,$G233)</f>
        <v>0</v>
      </c>
      <c r="AL233" s="171">
        <f ca="1">SUMIFS(Покупка!AK$25:AK$150,Покупка!$F$25:$F$150,$F233,Покупка!$AC$25:$AC$150,$G233)</f>
        <v>0</v>
      </c>
      <c r="AM233" s="171">
        <f ca="1">SUMIFS(Покупка!AL$25:AL$150,Покупка!$F$25:$F$150,$F233,Покупка!$AC$25:$AC$150,$G233)</f>
        <v>0</v>
      </c>
      <c r="AN233" s="171">
        <f ca="1">SUMIFS(Покупка!AM$25:AM$150,Покупка!$F$25:$F$150,$F233,Покупка!$AC$25:$AC$150,$G233)</f>
        <v>0</v>
      </c>
      <c r="AO233" s="171">
        <f ca="1">SUMIFS(Покупка!AN$25:AN$150,Покупка!$F$25:$F$150,$F233,Покупка!$AC$25:$AC$150,$G233)</f>
        <v>0</v>
      </c>
      <c r="AP233" s="171">
        <f ca="1">SUMIFS(Покупка!AO$25:AO$150,Покупка!$F$25:$F$150,$F233,Покупка!$AC$25:$AC$150,$G233)</f>
        <v>0</v>
      </c>
      <c r="AQ233" s="171">
        <f ca="1">SUMIFS(Покупка!AP$25:AP$150,Покупка!$F$25:$F$150,$F233,Покупка!$AC$25:$AC$150,$G233)</f>
        <v>0</v>
      </c>
      <c r="AR233" s="171">
        <f ca="1">SUMIFS(Покупка!AQ$25:AQ$150,Покупка!$F$25:$F$150,$F233,Покупка!$AC$25:$AC$150,$G233)</f>
        <v>0</v>
      </c>
      <c r="AS233" s="171">
        <f ca="1">SUMIFS(Покупка!AR$25:AR$150,Покупка!$F$25:$F$150,$F233,Покупка!$AC$25:$AC$150,$G233)</f>
        <v>0</v>
      </c>
      <c r="AT233" s="171">
        <f ca="1">SUMIFS(Покупка!AS$25:AS$150,Покупка!$F$25:$F$150,$F233,Покупка!$AC$25:$AC$150,$G233)</f>
        <v>0</v>
      </c>
      <c r="AU233" s="171">
        <f ca="1">SUMIFS(Покупка!AT$25:AT$150,Покупка!$F$25:$F$150,$F233,Покупка!$AC$25:$AC$150,$G233)</f>
        <v>0</v>
      </c>
      <c r="AV233" s="171">
        <f ca="1">SUMIFS(Покупка!AU$25:AU$150,Покупка!$F$25:$F$150,$F233,Покупка!$AC$25:$AC$150,$G233)</f>
        <v>0</v>
      </c>
      <c r="AW233" s="171">
        <f ca="1">SUMIFS(Покупка!AV$25:AV$150,Покупка!$F$25:$F$150,$F233,Покупка!$AC$25:$AC$150,$G233)</f>
        <v>0</v>
      </c>
      <c r="AX233" s="171">
        <f ca="1">SUMIFS(Покупка!AW$25:AW$150,Покупка!$F$25:$F$150,$F233,Покупка!$AC$25:$AC$150,$G233)</f>
        <v>0</v>
      </c>
      <c r="AY233" s="171">
        <f ca="1">SUMIFS(Покупка!AX$25:AX$150,Покупка!$F$25:$F$150,$F233,Покупка!$AC$25:$AC$150,$G233)</f>
        <v>0</v>
      </c>
      <c r="AZ233" s="171">
        <f ca="1">SUMIFS(Покупка!AY$25:AY$150,Покупка!$F$25:$F$150,$F233,Покупка!$AC$25:$AC$150,$G233)</f>
        <v>0</v>
      </c>
      <c r="BA233" s="171">
        <f ca="1">SUMIFS(Покупка!AZ$25:AZ$150,Покупка!$F$25:$F$150,$F233,Покупка!$AC$25:$AC$150,$G233)</f>
        <v>0</v>
      </c>
      <c r="BB233" s="171">
        <f ca="1">SUMIFS(Покупка!BA$25:BA$150,Покупка!$F$25:$F$150,$F233,Покупка!$AC$25:$AC$150,$G233)</f>
        <v>0</v>
      </c>
      <c r="BC233" s="171">
        <f ca="1">SUMIFS(Покупка!BB$25:BB$150,Покупка!$F$25:$F$150,$F233,Покупка!$AC$25:$AC$150,$G233)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1" t="str">
        <f ca="1">IF(IFERROR(INDEX(Покупка!$K$26:$L$150,MATCH($F233&amp;"5komm",Покупка!$K$26:$K$150,0),2),"")=0,"",IFERROR(INDEX(Покупка!$K$26:$L$150,MATCH($F233&amp;"5komm",Покупка!$K$26:$K$150,0),2),""))</f>
        <v/>
      </c>
      <c r="BP233" s="196"/>
      <c r="BS233" s="696" t="s">
        <v>1769</v>
      </c>
    </row>
    <row r="234" spans="1:75" ht="14.25" customHeight="1" x14ac:dyDescent="0.15">
      <c r="C234" s="25"/>
      <c r="D234" s="25"/>
      <c r="E234" s="451">
        <v>15</v>
      </c>
      <c r="F234" s="3" t="str" cm="1">
        <f t="array" aca="1" ref="F234" ca="1">OFFSET(E234,-1,1)</f>
        <v>1</v>
      </c>
      <c r="G234" s="25" t="s">
        <v>1154</v>
      </c>
      <c r="H234" s="25"/>
      <c r="I234" s="25"/>
      <c r="J234" s="25"/>
      <c r="K234" s="25"/>
      <c r="L234" s="25" t="s">
        <v>1510</v>
      </c>
      <c r="M234" s="25"/>
      <c r="N234" s="25"/>
      <c r="O234" s="25"/>
      <c r="P234" s="25"/>
      <c r="Q234" s="25"/>
      <c r="R234" s="25"/>
      <c r="S234" s="25"/>
      <c r="T234" s="353" t="b" cm="1">
        <f t="array" aca="1" ref="T234" ca="1">T233</f>
        <v>1</v>
      </c>
      <c r="U234" s="25"/>
      <c r="V234" s="25"/>
      <c r="W234" s="25"/>
      <c r="X234" s="1022"/>
      <c r="Z234" s="967"/>
      <c r="AB234" s="7" t="s">
        <v>2079</v>
      </c>
      <c r="AC234" s="134" t="s">
        <v>2080</v>
      </c>
      <c r="AD234" s="7" t="s">
        <v>828</v>
      </c>
      <c r="AE234" s="171">
        <f ca="1">SUMIFS(Покупка!AE$25:AE$150,Покупка!$F$25:$F$150,$F234,Покупка!$AC$25:$AC$150,$G234)</f>
        <v>0</v>
      </c>
      <c r="AF234" s="171">
        <f ca="1">SUMIFS(Покупка!AF$25:AF$150,Покупка!$F$25:$F$150,$F234,Покупка!$AC$25:$AC$150,$G234)</f>
        <v>0</v>
      </c>
      <c r="AG234" s="171">
        <f ca="1">SUMIFS(Покупка!AG$25:AG$150,Покупка!$F$25:$F$150,$F234,Покупка!$AC$25:$AC$150,$G234)</f>
        <v>0</v>
      </c>
      <c r="AH234" s="171">
        <f t="shared" ca="1" si="55"/>
        <v>0</v>
      </c>
      <c r="AI234" s="171">
        <f ca="1">SUMIFS(Покупка!AH$25:AH$150,Покупка!$F$25:$F$150,$F234,Покупка!$AC$25:$AC$150,$G234)</f>
        <v>0</v>
      </c>
      <c r="AJ234" s="171">
        <f ca="1">SUMIFS(Покупка!AI$25:AI$150,Покупка!$F$25:$F$150,$F234,Покупка!$AC$25:$AC$150,$G234)</f>
        <v>0</v>
      </c>
      <c r="AK234" s="171">
        <f ca="1">SUMIFS(Покупка!AJ$25:AJ$150,Покупка!$F$25:$F$150,$F234,Покупка!$AC$25:$AC$150,$G234)</f>
        <v>0</v>
      </c>
      <c r="AL234" s="171">
        <f ca="1">SUMIFS(Покупка!AK$25:AK$150,Покупка!$F$25:$F$150,$F234,Покупка!$AC$25:$AC$150,$G234)</f>
        <v>0</v>
      </c>
      <c r="AM234" s="171">
        <f ca="1">SUMIFS(Покупка!AL$25:AL$150,Покупка!$F$25:$F$150,$F234,Покупка!$AC$25:$AC$150,$G234)</f>
        <v>0</v>
      </c>
      <c r="AN234" s="171">
        <f ca="1">SUMIFS(Покупка!AM$25:AM$150,Покупка!$F$25:$F$150,$F234,Покупка!$AC$25:$AC$150,$G234)</f>
        <v>0</v>
      </c>
      <c r="AO234" s="171">
        <f ca="1">SUMIFS(Покупка!AN$25:AN$150,Покупка!$F$25:$F$150,$F234,Покупка!$AC$25:$AC$150,$G234)</f>
        <v>0</v>
      </c>
      <c r="AP234" s="171">
        <f ca="1">SUMIFS(Покупка!AO$25:AO$150,Покупка!$F$25:$F$150,$F234,Покупка!$AC$25:$AC$150,$G234)</f>
        <v>0</v>
      </c>
      <c r="AQ234" s="171">
        <f ca="1">SUMIFS(Покупка!AP$25:AP$150,Покупка!$F$25:$F$150,$F234,Покупка!$AC$25:$AC$150,$G234)</f>
        <v>0</v>
      </c>
      <c r="AR234" s="171">
        <f ca="1">SUMIFS(Покупка!AQ$25:AQ$150,Покупка!$F$25:$F$150,$F234,Покупка!$AC$25:$AC$150,$G234)</f>
        <v>0</v>
      </c>
      <c r="AS234" s="171">
        <f ca="1">SUMIFS(Покупка!AR$25:AR$150,Покупка!$F$25:$F$150,$F234,Покупка!$AC$25:$AC$150,$G234)</f>
        <v>0</v>
      </c>
      <c r="AT234" s="171">
        <f ca="1">SUMIFS(Покупка!AS$25:AS$150,Покупка!$F$25:$F$150,$F234,Покупка!$AC$25:$AC$150,$G234)</f>
        <v>0</v>
      </c>
      <c r="AU234" s="171">
        <f ca="1">SUMIFS(Покупка!AT$25:AT$150,Покупка!$F$25:$F$150,$F234,Покупка!$AC$25:$AC$150,$G234)</f>
        <v>0</v>
      </c>
      <c r="AV234" s="171">
        <f ca="1">SUMIFS(Покупка!AU$25:AU$150,Покупка!$F$25:$F$150,$F234,Покупка!$AC$25:$AC$150,$G234)</f>
        <v>0</v>
      </c>
      <c r="AW234" s="171">
        <f ca="1">SUMIFS(Покупка!AV$25:AV$150,Покупка!$F$25:$F$150,$F234,Покупка!$AC$25:$AC$150,$G234)</f>
        <v>0</v>
      </c>
      <c r="AX234" s="171">
        <f ca="1">SUMIFS(Покупка!AW$25:AW$150,Покупка!$F$25:$F$150,$F234,Покупка!$AC$25:$AC$150,$G234)</f>
        <v>0</v>
      </c>
      <c r="AY234" s="171">
        <f ca="1">SUMIFS(Покупка!AX$25:AX$150,Покупка!$F$25:$F$150,$F234,Покупка!$AC$25:$AC$150,$G234)</f>
        <v>0</v>
      </c>
      <c r="AZ234" s="171">
        <f ca="1">SUMIFS(Покупка!AY$25:AY$150,Покупка!$F$25:$F$150,$F234,Покупка!$AC$25:$AC$150,$G234)</f>
        <v>0</v>
      </c>
      <c r="BA234" s="171">
        <f ca="1">SUMIFS(Покупка!AZ$25:AZ$150,Покупка!$F$25:$F$150,$F234,Покупка!$AC$25:$AC$150,$G234)</f>
        <v>0</v>
      </c>
      <c r="BB234" s="171">
        <f ca="1">SUMIFS(Покупка!BA$25:BA$150,Покупка!$F$25:$F$150,$F234,Покупка!$AC$25:$AC$150,$G234)</f>
        <v>0</v>
      </c>
      <c r="BC234" s="171">
        <f ca="1">SUMIFS(Покупка!BB$25:BB$150,Покупка!$F$25:$F$150,$F234,Покупка!$AC$25:$AC$150,$G234)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1" t="str">
        <f ca="1">IF(IFERROR(INDEX(Покупка!$K$26:$L$150,MATCH($F234&amp;"9komm",Покупка!$K$26:$K$150,0),2),"")=0,"",IFERROR(INDEX(Покупка!$K$26:$L$150,MATCH($F234&amp;"9komm",Покупка!$K$26:$K$150,0),2),""))</f>
        <v/>
      </c>
      <c r="BP234" s="196"/>
      <c r="BS234" s="696" t="s">
        <v>1155</v>
      </c>
    </row>
    <row r="235" spans="1:75" ht="317.25" customHeight="1" x14ac:dyDescent="0.15">
      <c r="C235" s="25"/>
      <c r="D235" s="25"/>
      <c r="E235" s="451">
        <v>15</v>
      </c>
      <c r="F235" s="3" t="str" cm="1">
        <f t="array" aca="1" ref="F235" ca="1">OFFSET(E235,-1,1)</f>
        <v>1</v>
      </c>
      <c r="G235" s="25"/>
      <c r="H235" s="25"/>
      <c r="I235" s="25" t="s">
        <v>503</v>
      </c>
      <c r="J235" s="25"/>
      <c r="K235" s="25" t="s">
        <v>503</v>
      </c>
      <c r="L235" s="25"/>
      <c r="M235" s="25"/>
      <c r="N235" s="25"/>
      <c r="O235" s="25"/>
      <c r="P235" s="25"/>
      <c r="Q235" s="25"/>
      <c r="R235" s="25"/>
      <c r="S235" s="25"/>
      <c r="T235" s="353" t="b" cm="1">
        <f t="array" aca="1" ref="T235" ca="1">T234</f>
        <v>1</v>
      </c>
      <c r="U235" s="25"/>
      <c r="V235" s="25"/>
      <c r="W235" s="25"/>
      <c r="X235" s="1022"/>
      <c r="Z235" s="967"/>
      <c r="AB235" s="7" t="s">
        <v>565</v>
      </c>
      <c r="AC235" s="127" t="s">
        <v>2081</v>
      </c>
      <c r="AD235" s="99" t="s">
        <v>828</v>
      </c>
      <c r="AE235" s="171">
        <f ca="1">SUMIFS('Сырье и материалы'!AE$25:AE$48,'Сырье и материалы'!$F$25:$F$48,$F235,'Сырье и материалы'!$AC$25:$AC$48,"Всего по тарифу")</f>
        <v>1270.56673555</v>
      </c>
      <c r="AF235" s="171">
        <f ca="1">SUMIFS('Сырье и материалы'!AF$25:AF$48,'Сырье и материалы'!$F$25:$F$48,$F235,'Сырье и материалы'!$AC$25:$AC$48,"Всего по тарифу")</f>
        <v>2049.0230507280003</v>
      </c>
      <c r="AG235" s="171">
        <f ca="1">SUMIFS('Сырье и материалы'!AG$25:AG$48,'Сырье и материалы'!$F$25:$F$48,$F235,'Сырье и материалы'!$AC$25:$AC$48,"Всего по тарифу")</f>
        <v>2049.0230507280003</v>
      </c>
      <c r="AH235" s="171">
        <f t="shared" ca="1" si="55"/>
        <v>0</v>
      </c>
      <c r="AI235" s="171">
        <f ca="1">SUMIFS('Сырье и материалы'!AH$25:AH$48,'Сырье и материалы'!$F$25:$F$48,$F235,'Сырье и материалы'!$AC$25:$AC$48,"Всего по тарифу")</f>
        <v>1559.75</v>
      </c>
      <c r="AJ235" s="171">
        <f ca="1">SUMIFS('Сырье и материалы'!AI$25:AI$48,'Сырье и материалы'!$F$25:$F$48,$F235,'Сырье и материалы'!$AC$25:$AC$48,"Всего по тарифу")</f>
        <v>2908.8658071249997</v>
      </c>
      <c r="AK235" s="171">
        <f ca="1">SUMIFS('Сырье и материалы'!AJ$25:AJ$48,'Сырье и материалы'!$F$25:$F$48,$F235,'Сырье и материалы'!$AC$25:$AC$48,"Всего по тарифу")</f>
        <v>0</v>
      </c>
      <c r="AL235" s="171">
        <f ca="1">SUMIFS('Сырье и материалы'!AK$25:AK$48,'Сырье и материалы'!$F$25:$F$48,$F235,'Сырье и материалы'!$AC$25:$AC$48,"Всего по тарифу")</f>
        <v>0</v>
      </c>
      <c r="AM235" s="171">
        <f ca="1">SUMIFS('Сырье и материалы'!AL$25:AL$48,'Сырье и материалы'!$F$25:$F$48,$F235,'Сырье и материалы'!$AC$25:$AC$48,"Всего по тарифу")</f>
        <v>0</v>
      </c>
      <c r="AN235" s="171">
        <f ca="1">SUMIFS('Сырье и материалы'!AM$25:AM$48,'Сырье и материалы'!$F$25:$F$48,$F235,'Сырье и материалы'!$AC$25:$AC$48,"Всего по тарифу")</f>
        <v>0</v>
      </c>
      <c r="AO235" s="171">
        <f ca="1">SUMIFS('Сырье и материалы'!AN$25:AN$48,'Сырье и материалы'!$F$25:$F$48,$F235,'Сырье и материалы'!$AC$25:$AC$48,"Всего по тарифу")</f>
        <v>0</v>
      </c>
      <c r="AP235" s="171">
        <f ca="1">SUMIFS('Сырье и материалы'!AO$25:AO$48,'Сырье и материалы'!$F$25:$F$48,$F235,'Сырье и материалы'!$AC$25:$AC$48,"Всего по тарифу")</f>
        <v>0</v>
      </c>
      <c r="AQ235" s="171">
        <f ca="1">SUMIFS('Сырье и материалы'!AP$25:AP$48,'Сырье и материалы'!$F$25:$F$48,$F235,'Сырье и материалы'!$AC$25:$AC$48,"Всего по тарифу")</f>
        <v>0</v>
      </c>
      <c r="AR235" s="171">
        <f ca="1">SUMIFS('Сырье и материалы'!AQ$25:AQ$48,'Сырье и материалы'!$F$25:$F$48,$F235,'Сырье и материалы'!$AC$25:$AC$48,"Всего по тарифу")</f>
        <v>0</v>
      </c>
      <c r="AS235" s="171">
        <f ca="1">SUMIFS('Сырье и материалы'!AR$25:AR$48,'Сырье и материалы'!$F$25:$F$48,$F235,'Сырье и материалы'!$AC$25:$AC$48,"Всего по тарифу")</f>
        <v>0</v>
      </c>
      <c r="AT235" s="171">
        <f ca="1">SUMIFS('Сырье и материалы'!AS$25:AS$48,'Сырье и материалы'!$F$25:$F$48,$F235,'Сырье и материалы'!$AC$25:$AC$48,"Всего по тарифу")</f>
        <v>1727.3738144867002</v>
      </c>
      <c r="AU235" s="171">
        <f ca="1">SUMIFS('Сырье и материалы'!AT$25:AT$48,'Сырье и материалы'!$F$25:$F$48,$F235,'Сырье и материалы'!$AC$25:$AC$48,"Всего по тарифу")</f>
        <v>0</v>
      </c>
      <c r="AV235" s="171">
        <f ca="1">SUMIFS('Сырье и материалы'!AU$25:AU$48,'Сырье и материалы'!$F$25:$F$48,$F235,'Сырье и материалы'!$AC$25:$AC$48,"Всего по тарифу")</f>
        <v>0</v>
      </c>
      <c r="AW235" s="171">
        <f ca="1">SUMIFS('Сырье и материалы'!AV$25:AV$48,'Сырье и материалы'!$F$25:$F$48,$F235,'Сырье и материалы'!$AC$25:$AC$48,"Всего по тарифу")</f>
        <v>0</v>
      </c>
      <c r="AX235" s="171">
        <f ca="1">SUMIFS('Сырье и материалы'!AW$25:AW$48,'Сырье и материалы'!$F$25:$F$48,$F235,'Сырье и материалы'!$AC$25:$AC$48,"Всего по тарифу")</f>
        <v>0</v>
      </c>
      <c r="AY235" s="171">
        <f ca="1">SUMIFS('Сырье и материалы'!AX$25:AX$48,'Сырье и материалы'!$F$25:$F$48,$F235,'Сырье и материалы'!$AC$25:$AC$48,"Всего по тарифу")</f>
        <v>0</v>
      </c>
      <c r="AZ235" s="171">
        <f ca="1">SUMIFS('Сырье и материалы'!AY$25:AY$48,'Сырье и материалы'!$F$25:$F$48,$F235,'Сырье и материалы'!$AC$25:$AC$48,"Всего по тарифу")</f>
        <v>0</v>
      </c>
      <c r="BA235" s="171">
        <f ca="1">SUMIFS('Сырье и материалы'!AZ$25:AZ$48,'Сырье и материалы'!$F$25:$F$48,$F235,'Сырье и материалы'!$AC$25:$AC$48,"Всего по тарифу")</f>
        <v>0</v>
      </c>
      <c r="BB235" s="171">
        <f ca="1">SUMIFS('Сырье и материалы'!BA$25:BA$48,'Сырье и материалы'!$F$25:$F$48,$F235,'Сырье и материалы'!$AC$25:$AC$48,"Всего по тарифу")</f>
        <v>0</v>
      </c>
      <c r="BC235" s="171">
        <f ca="1">SUMIFS('Сырье и материалы'!BB$25:BB$48,'Сырье и материалы'!$F$25:$F$48,$F235,'Сырье и материалы'!$AC$25:$AC$48,"Всего по тарифу")</f>
        <v>0</v>
      </c>
      <c r="BD235" s="171">
        <f t="shared" ca="1" si="57"/>
        <v>10.746838563019729</v>
      </c>
      <c r="BE235" s="171">
        <f t="shared" ca="1" si="58"/>
        <v>-100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t="s">
        <v>2243</v>
      </c>
      <c r="BO235" s="601" t="s">
        <v>833</v>
      </c>
      <c r="BP235" s="196" t="s">
        <v>2244</v>
      </c>
      <c r="BS235" s="696" t="s">
        <v>1742</v>
      </c>
    </row>
    <row r="236" spans="1:75" s="870" customFormat="1" ht="33.75" customHeight="1" x14ac:dyDescent="0.15">
      <c r="A236" s="76"/>
      <c r="B236" s="332"/>
      <c r="C236" s="27"/>
      <c r="D236" s="27"/>
      <c r="E236" s="559">
        <v>21</v>
      </c>
      <c r="F236" s="3" t="str" cm="1">
        <f t="array" aca="1" ref="F236" ca="1">OFFSET(E236,-1,1)</f>
        <v>1</v>
      </c>
      <c r="G236" s="27"/>
      <c r="H236" s="25"/>
      <c r="I236" s="25" t="s">
        <v>959</v>
      </c>
      <c r="J236" s="27"/>
      <c r="K236" s="25" t="s">
        <v>959</v>
      </c>
      <c r="L236" s="27" t="s">
        <v>535</v>
      </c>
      <c r="M236" s="27"/>
      <c r="N236" s="27"/>
      <c r="O236" s="27"/>
      <c r="P236" s="27"/>
      <c r="Q236" s="27"/>
      <c r="R236" s="27"/>
      <c r="S236" s="27"/>
      <c r="T236" s="353" t="b" cm="1">
        <f t="array" aca="1" ref="T236" ca="1">T235</f>
        <v>1</v>
      </c>
      <c r="U236" s="27"/>
      <c r="V236" s="27"/>
      <c r="W236" s="27"/>
      <c r="X236" s="1022"/>
      <c r="Y236" s="76"/>
      <c r="Z236" s="967"/>
      <c r="AA236" s="76"/>
      <c r="AB236" s="124" t="s">
        <v>569</v>
      </c>
      <c r="AC236" s="263" t="s">
        <v>2082</v>
      </c>
      <c r="AD236" s="124" t="s">
        <v>828</v>
      </c>
      <c r="AE236" s="126">
        <f ca="1">SUM(AE237:AE246)</f>
        <v>19524.778777153999</v>
      </c>
      <c r="AF236" s="126">
        <f ca="1">SUM(AF237:AF246)</f>
        <v>20113.000735426896</v>
      </c>
      <c r="AG236" s="126">
        <f ca="1">SUM(AG237:AG246)</f>
        <v>20113.014334812699</v>
      </c>
      <c r="AH236" s="126">
        <f t="shared" ca="1" si="55"/>
        <v>1.3599385802081088E-2</v>
      </c>
      <c r="AI236" s="126">
        <f t="shared" ref="AI236:BC236" ca="1" si="68">SUM(AI237:AI246)</f>
        <v>25906.171578960002</v>
      </c>
      <c r="AJ236" s="126">
        <f t="shared" ca="1" si="68"/>
        <v>32079.612572521102</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26515.485691682399</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2.3520036948155578</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6"/>
      <c r="BO236" s="601" t="s">
        <v>2245</v>
      </c>
      <c r="BP236" s="556"/>
      <c r="BQ236" s="76"/>
      <c r="BR236" s="76"/>
      <c r="BS236" s="702" t="s">
        <v>1275</v>
      </c>
      <c r="BT236" s="702"/>
      <c r="BU236" s="702"/>
      <c r="BV236" s="511"/>
      <c r="BW236" s="511"/>
    </row>
    <row r="237" spans="1:75" ht="14.25" customHeight="1" x14ac:dyDescent="0.15">
      <c r="C237" s="25"/>
      <c r="D237" s="25"/>
      <c r="E237" s="451">
        <v>15</v>
      </c>
      <c r="F237" s="3" t="str" cm="1">
        <f t="array" aca="1" ref="F237" ca="1">OFFSET(E237,-1,1)</f>
        <v>1</v>
      </c>
      <c r="G237" s="611">
        <v>7</v>
      </c>
      <c r="H237" s="25"/>
      <c r="I237" s="25" t="s">
        <v>2083</v>
      </c>
      <c r="J237" s="25"/>
      <c r="K237" s="25" t="s">
        <v>2083</v>
      </c>
      <c r="L237" s="25"/>
      <c r="M237" s="25"/>
      <c r="N237" s="25"/>
      <c r="O237" s="25"/>
      <c r="P237" s="25"/>
      <c r="Q237" s="25"/>
      <c r="R237" s="25"/>
      <c r="S237" s="25"/>
      <c r="T237" s="353" t="b" cm="1">
        <f t="array" aca="1" ref="T237" ca="1">T236</f>
        <v>1</v>
      </c>
      <c r="U237" s="25"/>
      <c r="V237" s="25"/>
      <c r="W237" s="25"/>
      <c r="X237" s="1022"/>
      <c r="Z237" s="967"/>
      <c r="AB237" s="7" t="s">
        <v>519</v>
      </c>
      <c r="AC237" s="134" t="s">
        <v>1289</v>
      </c>
      <c r="AD237" s="7" t="s">
        <v>828</v>
      </c>
      <c r="AE237" s="171">
        <f ca="1">SUMIFS(Налоги!AE$25:AE$83,Налоги!$F$25:$F$83,$F237,Налоги!$AB$25:$AB$83,$G237)</f>
        <v>0</v>
      </c>
      <c r="AF237" s="171">
        <f ca="1">SUMIFS(Налоги!AF$25:AF$83,Налоги!$F$25:$F$83,$F237,Налоги!$AB$25:$AB$83,$G237)</f>
        <v>0</v>
      </c>
      <c r="AG237" s="171">
        <f ca="1">SUMIFS(Налоги!AG$25:AG$83,Налоги!$F$25:$F$83,$F237,Налоги!$AB$25:$AB$83,$G237)</f>
        <v>0</v>
      </c>
      <c r="AH237" s="171">
        <f t="shared" ca="1" si="55"/>
        <v>0</v>
      </c>
      <c r="AI237" s="171">
        <f ca="1">SUMIFS(Налоги!AH$25:AH$83,Налоги!$F$25:$F$83,$F237,Налоги!$AB$25:$AB$83,$G237)</f>
        <v>0</v>
      </c>
      <c r="AJ237" s="171">
        <f ca="1">SUMIFS(Налоги!AI$25:AI$83,Налоги!$F$25:$F$83,$F237,Налоги!$AB$25:$AB$83,$G237)</f>
        <v>0</v>
      </c>
      <c r="AK237" s="171">
        <f ca="1">SUMIFS(Налоги!AJ$25:AJ$83,Налоги!$F$25:$F$83,$F237,Налоги!$AB$25:$AB$83,$G237)</f>
        <v>0</v>
      </c>
      <c r="AL237" s="171">
        <f ca="1">SUMIFS(Налоги!AK$25:AK$83,Налоги!$F$25:$F$83,$F237,Налоги!$AB$25:$AB$83,$G237)</f>
        <v>0</v>
      </c>
      <c r="AM237" s="171">
        <f ca="1">SUMIFS(Налоги!AL$25:AL$83,Налоги!$F$25:$F$83,$F237,Налоги!$AB$25:$AB$83,$G237)</f>
        <v>0</v>
      </c>
      <c r="AN237" s="171">
        <f ca="1">SUMIFS(Налоги!AM$25:AM$83,Налоги!$F$25:$F$83,$F237,Налоги!$AB$25:$AB$83,$G237)</f>
        <v>0</v>
      </c>
      <c r="AO237" s="171">
        <f ca="1">SUMIFS(Налоги!AN$25:AN$83,Налоги!$F$25:$F$83,$F237,Налоги!$AB$25:$AB$83,$G237)</f>
        <v>0</v>
      </c>
      <c r="AP237" s="171">
        <f ca="1">SUMIFS(Налоги!AO$25:AO$83,Налоги!$F$25:$F$83,$F237,Налоги!$AB$25:$AB$83,$G237)</f>
        <v>0</v>
      </c>
      <c r="AQ237" s="171">
        <f ca="1">SUMIFS(Налоги!AP$25:AP$83,Налоги!$F$25:$F$83,$F237,Налоги!$AB$25:$AB$83,$G237)</f>
        <v>0</v>
      </c>
      <c r="AR237" s="171">
        <f ca="1">SUMIFS(Налоги!AQ$25:AQ$83,Налоги!$F$25:$F$83,$F237,Налоги!$AB$25:$AB$83,$G237)</f>
        <v>0</v>
      </c>
      <c r="AS237" s="171">
        <f ca="1">SUMIFS(Налоги!AR$25:AR$83,Налоги!$F$25:$F$83,$F237,Налоги!$AB$25:$AB$83,$G237)</f>
        <v>0</v>
      </c>
      <c r="AT237" s="171">
        <f ca="1">SUMIFS(Налоги!AS$25:AS$83,Налоги!$F$25:$F$83,$F237,Налоги!$AB$25:$AB$83,$G237)</f>
        <v>0</v>
      </c>
      <c r="AU237" s="171">
        <f ca="1">SUMIFS(Налоги!AT$25:AT$83,Налоги!$F$25:$F$83,$F237,Налоги!$AB$25:$AB$83,$G237)</f>
        <v>0</v>
      </c>
      <c r="AV237" s="171">
        <f ca="1">SUMIFS(Налоги!AU$25:AU$83,Налоги!$F$25:$F$83,$F237,Налоги!$AB$25:$AB$83,$G237)</f>
        <v>0</v>
      </c>
      <c r="AW237" s="171">
        <f ca="1">SUMIFS(Налоги!AV$25:AV$83,Налоги!$F$25:$F$83,$F237,Налоги!$AB$25:$AB$83,$G237)</f>
        <v>0</v>
      </c>
      <c r="AX237" s="171">
        <f ca="1">SUMIFS(Налоги!AW$25:AW$83,Налоги!$F$25:$F$83,$F237,Налоги!$AB$25:$AB$83,$G237)</f>
        <v>0</v>
      </c>
      <c r="AY237" s="171">
        <f ca="1">SUMIFS(Налоги!AX$25:AX$83,Налоги!$F$25:$F$83,$F237,Налоги!$AB$25:$AB$83,$G237)</f>
        <v>0</v>
      </c>
      <c r="AZ237" s="171">
        <f ca="1">SUMIFS(Налоги!AY$25:AY$83,Налоги!$F$25:$F$83,$F237,Налоги!$AB$25:$AB$83,$G237)</f>
        <v>0</v>
      </c>
      <c r="BA237" s="171">
        <f ca="1">SUMIFS(Налоги!AZ$25:AZ$83,Налоги!$F$25:$F$83,$F237,Налоги!$AB$25:$AB$83,$G237)</f>
        <v>0</v>
      </c>
      <c r="BB237" s="171">
        <f ca="1">SUMIFS(Налоги!BA$25:BA$83,Налоги!$F$25:$F$83,$F237,Налоги!$AB$25:$AB$83,$G237)</f>
        <v>0</v>
      </c>
      <c r="BC237" s="171">
        <f ca="1">SUMIFS(Налоги!BB$25:BB$83,Налоги!$F$25:$F$83,$F237,Налоги!$AB$25:$AB$83,$G237)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1" t="str">
        <f ca="1">IF(IFERROR(INDEX(Налоги!$K$26:$L$83,MATCH($F237&amp;"7komm",Налоги!$K$26:$K$83,0),2),"")=0,"",IFERROR(INDEX(Налоги!$K$26:$L$83,MATCH($F237&amp;"7komm",Налоги!$K$26:$K$83,0),2),""))</f>
        <v/>
      </c>
      <c r="BP237" s="196"/>
      <c r="BS237" s="696" t="s">
        <v>2084</v>
      </c>
    </row>
    <row r="238" spans="1:75" ht="180.75" customHeight="1" x14ac:dyDescent="0.15">
      <c r="C238" s="25"/>
      <c r="D238" s="25"/>
      <c r="E238" s="451">
        <v>15</v>
      </c>
      <c r="F238" s="3" t="str" cm="1">
        <f t="array" aca="1" ref="F238" ca="1">OFFSET(E238,-1,1)</f>
        <v>1</v>
      </c>
      <c r="G238" s="611">
        <v>6</v>
      </c>
      <c r="H238" s="25"/>
      <c r="I238" s="25" t="s">
        <v>2085</v>
      </c>
      <c r="J238" s="25"/>
      <c r="K238" s="25" t="s">
        <v>2085</v>
      </c>
      <c r="L238" s="25"/>
      <c r="M238" s="25"/>
      <c r="N238" s="25"/>
      <c r="O238" s="25"/>
      <c r="P238" s="25"/>
      <c r="Q238" s="25"/>
      <c r="R238" s="25"/>
      <c r="S238" s="25"/>
      <c r="T238" s="353" t="b" cm="1">
        <f t="array" aca="1" ref="T238" ca="1">T237</f>
        <v>1</v>
      </c>
      <c r="U238" s="25"/>
      <c r="V238" s="25"/>
      <c r="W238" s="25"/>
      <c r="X238" s="1022"/>
      <c r="Z238" s="967"/>
      <c r="AB238" s="7" t="s">
        <v>1500</v>
      </c>
      <c r="AC238" s="134" t="s">
        <v>2086</v>
      </c>
      <c r="AD238" s="7" t="s">
        <v>828</v>
      </c>
      <c r="AE238" s="171">
        <f ca="1">SUMIFS(Налоги!AE$25:AE$83,Налоги!$F$25:$F$83,$F238,Налоги!$AB$25:$AB$83,$G238)</f>
        <v>750.02557315399997</v>
      </c>
      <c r="AF238" s="171">
        <f ca="1">SUMIFS(Налоги!AF$25:AF$83,Налоги!$F$25:$F$83,$F238,Налоги!$AB$25:$AB$83,$G238)</f>
        <v>480.66640061419997</v>
      </c>
      <c r="AG238" s="171">
        <f ca="1">SUMIFS(Налоги!AG$25:AG$83,Налоги!$F$25:$F$83,$F238,Налоги!$AB$25:$AB$83,$G238)</f>
        <v>480.68</v>
      </c>
      <c r="AH238" s="171">
        <f t="shared" ca="1" si="55"/>
        <v>1.3599385800034725E-2</v>
      </c>
      <c r="AI238" s="171">
        <f ca="1">SUMIFS(Налоги!AH$25:AH$83,Налоги!$F$25:$F$83,$F238,Налоги!$AB$25:$AB$83,$G238)</f>
        <v>435.41861999999998</v>
      </c>
      <c r="AJ238" s="171">
        <f ca="1">SUMIFS(Налоги!AI$25:AI$83,Налоги!$F$25:$F$83,$F238,Налоги!$AB$25:$AB$83,$G238)</f>
        <v>613.8353725211</v>
      </c>
      <c r="AK238" s="171">
        <f ca="1">SUMIFS(Налоги!AJ$25:AJ$83,Налоги!$F$25:$F$83,$F238,Налоги!$AB$25:$AB$83,$G238)</f>
        <v>0</v>
      </c>
      <c r="AL238" s="171">
        <f ca="1">SUMIFS(Налоги!AK$25:AK$83,Налоги!$F$25:$F$83,$F238,Налоги!$AB$25:$AB$83,$G238)</f>
        <v>0</v>
      </c>
      <c r="AM238" s="171">
        <f ca="1">SUMIFS(Налоги!AL$25:AL$83,Налоги!$F$25:$F$83,$F238,Налоги!$AB$25:$AB$83,$G238)</f>
        <v>0</v>
      </c>
      <c r="AN238" s="171">
        <f ca="1">SUMIFS(Налоги!AM$25:AM$83,Налоги!$F$25:$F$83,$F238,Налоги!$AB$25:$AB$83,$G238)</f>
        <v>0</v>
      </c>
      <c r="AO238" s="171">
        <f ca="1">SUMIFS(Налоги!AN$25:AN$83,Налоги!$F$25:$F$83,$F238,Налоги!$AB$25:$AB$83,$G238)</f>
        <v>0</v>
      </c>
      <c r="AP238" s="171">
        <f ca="1">SUMIFS(Налоги!AO$25:AO$83,Налоги!$F$25:$F$83,$F238,Налоги!$AB$25:$AB$83,$G238)</f>
        <v>0</v>
      </c>
      <c r="AQ238" s="171">
        <f ca="1">SUMIFS(Налоги!AP$25:AP$83,Налоги!$F$25:$F$83,$F238,Налоги!$AB$25:$AB$83,$G238)</f>
        <v>0</v>
      </c>
      <c r="AR238" s="171">
        <f ca="1">SUMIFS(Налоги!AQ$25:AQ$83,Налоги!$F$25:$F$83,$F238,Налоги!$AB$25:$AB$83,$G238)</f>
        <v>0</v>
      </c>
      <c r="AS238" s="171">
        <f ca="1">SUMIFS(Налоги!AR$25:AR$83,Налоги!$F$25:$F$83,$F238,Налоги!$AB$25:$AB$83,$G238)</f>
        <v>0</v>
      </c>
      <c r="AT238" s="171">
        <f ca="1">SUMIFS(Налоги!AS$25:AS$83,Налоги!$F$25:$F$83,$F238,Налоги!$AB$25:$AB$83,$G238)</f>
        <v>272.71044723440002</v>
      </c>
      <c r="AU238" s="171">
        <f ca="1">SUMIFS(Налоги!AT$25:AT$83,Налоги!$F$25:$F$83,$F238,Налоги!$AB$25:$AB$83,$G238)</f>
        <v>0</v>
      </c>
      <c r="AV238" s="171">
        <f ca="1">SUMIFS(Налоги!AU$25:AU$83,Налоги!$F$25:$F$83,$F238,Налоги!$AB$25:$AB$83,$G238)</f>
        <v>0</v>
      </c>
      <c r="AW238" s="171">
        <f ca="1">SUMIFS(Налоги!AV$25:AV$83,Налоги!$F$25:$F$83,$F238,Налоги!$AB$25:$AB$83,$G238)</f>
        <v>0</v>
      </c>
      <c r="AX238" s="171">
        <f ca="1">SUMIFS(Налоги!AW$25:AW$83,Налоги!$F$25:$F$83,$F238,Налоги!$AB$25:$AB$83,$G238)</f>
        <v>0</v>
      </c>
      <c r="AY238" s="171">
        <f ca="1">SUMIFS(Налоги!AX$25:AX$83,Налоги!$F$25:$F$83,$F238,Налоги!$AB$25:$AB$83,$G238)</f>
        <v>0</v>
      </c>
      <c r="AZ238" s="171">
        <f ca="1">SUMIFS(Налоги!AY$25:AY$83,Налоги!$F$25:$F$83,$F238,Налоги!$AB$25:$AB$83,$G238)</f>
        <v>0</v>
      </c>
      <c r="BA238" s="171">
        <f ca="1">SUMIFS(Налоги!AZ$25:AZ$83,Налоги!$F$25:$F$83,$F238,Налоги!$AB$25:$AB$83,$G238)</f>
        <v>0</v>
      </c>
      <c r="BB238" s="171">
        <f ca="1">SUMIFS(Налоги!BA$25:BA$83,Налоги!$F$25:$F$83,$F238,Налоги!$AB$25:$AB$83,$G238)</f>
        <v>0</v>
      </c>
      <c r="BC238" s="171">
        <f ca="1">SUMIFS(Налоги!BB$25:BB$83,Налоги!$F$25:$F$83,$F238,Налоги!$AB$25:$AB$83,$G238)</f>
        <v>0</v>
      </c>
      <c r="BD238" s="171">
        <f t="shared" ca="1" si="57"/>
        <v>-37.368216537363509</v>
      </c>
      <c r="BE238" s="171">
        <f t="shared" ca="1" si="58"/>
        <v>-100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t="s">
        <v>2246</v>
      </c>
      <c r="BO238" s="601" t="s">
        <v>2247</v>
      </c>
      <c r="BP238" s="196" t="s">
        <v>2248</v>
      </c>
      <c r="BS238" s="696" t="s">
        <v>2087</v>
      </c>
    </row>
    <row r="239" spans="1:75" ht="14.25" customHeight="1" x14ac:dyDescent="0.15">
      <c r="C239" s="25"/>
      <c r="D239" s="25"/>
      <c r="E239" s="451">
        <v>15</v>
      </c>
      <c r="F239" s="3" t="str" cm="1">
        <f t="array" aca="1" ref="F239" ca="1">OFFSET(E239,-1,1)</f>
        <v>1</v>
      </c>
      <c r="G239" s="611">
        <v>2</v>
      </c>
      <c r="H239" s="25"/>
      <c r="I239" s="25" t="s">
        <v>2088</v>
      </c>
      <c r="J239" s="25"/>
      <c r="K239" s="25" t="s">
        <v>2088</v>
      </c>
      <c r="L239" s="25"/>
      <c r="M239" s="25"/>
      <c r="N239" s="25"/>
      <c r="O239" s="25"/>
      <c r="P239" s="25"/>
      <c r="Q239" s="25"/>
      <c r="R239" s="25"/>
      <c r="S239" s="25"/>
      <c r="T239" s="353" t="b" cm="1">
        <f t="array" aca="1" ref="T239" ca="1">T238</f>
        <v>1</v>
      </c>
      <c r="U239" s="25"/>
      <c r="V239" s="25"/>
      <c r="W239" s="25"/>
      <c r="X239" s="1022"/>
      <c r="Z239" s="967"/>
      <c r="AB239" s="7" t="s">
        <v>1505</v>
      </c>
      <c r="AC239" s="134" t="s">
        <v>2089</v>
      </c>
      <c r="AD239" s="7" t="s">
        <v>828</v>
      </c>
      <c r="AE239" s="171">
        <f ca="1">SUMIFS(Налоги!AE$25:AE$83,Налоги!$F$25:$F$83,$F239,Налоги!$AB$25:$AB$83,$G239)</f>
        <v>0</v>
      </c>
      <c r="AF239" s="171">
        <f ca="1">SUMIFS(Налоги!AF$25:AF$83,Налоги!$F$25:$F$83,$F239,Налоги!$AB$25:$AB$83,$G239)</f>
        <v>0</v>
      </c>
      <c r="AG239" s="171">
        <f ca="1">SUMIFS(Налоги!AG$25:AG$83,Налоги!$F$25:$F$83,$F239,Налоги!$AB$25:$AB$83,$G239)</f>
        <v>0</v>
      </c>
      <c r="AH239" s="171">
        <f t="shared" ca="1" si="55"/>
        <v>0</v>
      </c>
      <c r="AI239" s="171">
        <f ca="1">SUMIFS(Налоги!AH$25:AH$83,Налоги!$F$25:$F$83,$F239,Налоги!$AB$25:$AB$83,$G239)</f>
        <v>0</v>
      </c>
      <c r="AJ239" s="171">
        <f ca="1">SUMIFS(Налоги!AI$25:AI$83,Налоги!$F$25:$F$83,$F239,Налоги!$AB$25:$AB$83,$G239)</f>
        <v>0</v>
      </c>
      <c r="AK239" s="171">
        <f ca="1">SUMIFS(Налоги!AJ$25:AJ$83,Налоги!$F$25:$F$83,$F239,Налоги!$AB$25:$AB$83,$G239)</f>
        <v>0</v>
      </c>
      <c r="AL239" s="171">
        <f ca="1">SUMIFS(Налоги!AK$25:AK$83,Налоги!$F$25:$F$83,$F239,Налоги!$AB$25:$AB$83,$G239)</f>
        <v>0</v>
      </c>
      <c r="AM239" s="171">
        <f ca="1">SUMIFS(Налоги!AL$25:AL$83,Налоги!$F$25:$F$83,$F239,Налоги!$AB$25:$AB$83,$G239)</f>
        <v>0</v>
      </c>
      <c r="AN239" s="171">
        <f ca="1">SUMIFS(Налоги!AM$25:AM$83,Налоги!$F$25:$F$83,$F239,Налоги!$AB$25:$AB$83,$G239)</f>
        <v>0</v>
      </c>
      <c r="AO239" s="171">
        <f ca="1">SUMIFS(Налоги!AN$25:AN$83,Налоги!$F$25:$F$83,$F239,Налоги!$AB$25:$AB$83,$G239)</f>
        <v>0</v>
      </c>
      <c r="AP239" s="171">
        <f ca="1">SUMIFS(Налоги!AO$25:AO$83,Налоги!$F$25:$F$83,$F239,Налоги!$AB$25:$AB$83,$G239)</f>
        <v>0</v>
      </c>
      <c r="AQ239" s="171">
        <f ca="1">SUMIFS(Налоги!AP$25:AP$83,Налоги!$F$25:$F$83,$F239,Налоги!$AB$25:$AB$83,$G239)</f>
        <v>0</v>
      </c>
      <c r="AR239" s="171">
        <f ca="1">SUMIFS(Налоги!AQ$25:AQ$83,Налоги!$F$25:$F$83,$F239,Налоги!$AB$25:$AB$83,$G239)</f>
        <v>0</v>
      </c>
      <c r="AS239" s="171">
        <f ca="1">SUMIFS(Налоги!AR$25:AR$83,Налоги!$F$25:$F$83,$F239,Налоги!$AB$25:$AB$83,$G239)</f>
        <v>0</v>
      </c>
      <c r="AT239" s="171">
        <f ca="1">SUMIFS(Налоги!AS$25:AS$83,Налоги!$F$25:$F$83,$F239,Налоги!$AB$25:$AB$83,$G239)</f>
        <v>0</v>
      </c>
      <c r="AU239" s="171">
        <f ca="1">SUMIFS(Налоги!AT$25:AT$83,Налоги!$F$25:$F$83,$F239,Налоги!$AB$25:$AB$83,$G239)</f>
        <v>0</v>
      </c>
      <c r="AV239" s="171">
        <f ca="1">SUMIFS(Налоги!AU$25:AU$83,Налоги!$F$25:$F$83,$F239,Налоги!$AB$25:$AB$83,$G239)</f>
        <v>0</v>
      </c>
      <c r="AW239" s="171">
        <f ca="1">SUMIFS(Налоги!AV$25:AV$83,Налоги!$F$25:$F$83,$F239,Налоги!$AB$25:$AB$83,$G239)</f>
        <v>0</v>
      </c>
      <c r="AX239" s="171">
        <f ca="1">SUMIFS(Налоги!AW$25:AW$83,Налоги!$F$25:$F$83,$F239,Налоги!$AB$25:$AB$83,$G239)</f>
        <v>0</v>
      </c>
      <c r="AY239" s="171">
        <f ca="1">SUMIFS(Налоги!AX$25:AX$83,Налоги!$F$25:$F$83,$F239,Налоги!$AB$25:$AB$83,$G239)</f>
        <v>0</v>
      </c>
      <c r="AZ239" s="171">
        <f ca="1">SUMIFS(Налоги!AY$25:AY$83,Налоги!$F$25:$F$83,$F239,Налоги!$AB$25:$AB$83,$G239)</f>
        <v>0</v>
      </c>
      <c r="BA239" s="171">
        <f ca="1">SUMIFS(Налоги!AZ$25:AZ$83,Налоги!$F$25:$F$83,$F239,Налоги!$AB$25:$AB$83,$G239)</f>
        <v>0</v>
      </c>
      <c r="BB239" s="171">
        <f ca="1">SUMIFS(Налоги!BA$25:BA$83,Налоги!$F$25:$F$83,$F239,Налоги!$AB$25:$AB$83,$G239)</f>
        <v>0</v>
      </c>
      <c r="BC239" s="171">
        <f ca="1">SUMIFS(Налоги!BB$25:BB$83,Налоги!$F$25:$F$83,$F239,Налоги!$AB$25:$AB$83,$G239)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1" t="str">
        <f ca="1">IF(IFERROR(INDEX(Налоги!$K$26:$L$83,MATCH($F239&amp;"2komm",Налоги!$K$26:$K$83,0),2),"")=0,"",IFERROR(INDEX(Налоги!$K$26:$L$83,MATCH($F239&amp;"2komm",Налоги!$K$26:$K$83,0),2),""))</f>
        <v/>
      </c>
      <c r="BP239" s="196"/>
      <c r="BS239" s="696" t="s">
        <v>2090</v>
      </c>
    </row>
    <row r="240" spans="1:75" ht="14.25" customHeight="1" x14ac:dyDescent="0.15">
      <c r="C240" s="25"/>
      <c r="D240" s="25"/>
      <c r="E240" s="451">
        <v>15</v>
      </c>
      <c r="F240" s="3" t="str" cm="1">
        <f t="array" aca="1" ref="F240" ca="1">OFFSET(E240,-1,1)</f>
        <v>1</v>
      </c>
      <c r="G240" s="611">
        <v>4</v>
      </c>
      <c r="H240" s="25"/>
      <c r="I240" s="25" t="s">
        <v>2091</v>
      </c>
      <c r="J240" s="25"/>
      <c r="K240" s="25" t="s">
        <v>2091</v>
      </c>
      <c r="L240" s="25"/>
      <c r="M240" s="25"/>
      <c r="N240" s="25"/>
      <c r="O240" s="25"/>
      <c r="P240" s="25"/>
      <c r="Q240" s="25"/>
      <c r="R240" s="25"/>
      <c r="S240" s="25"/>
      <c r="T240" s="353" t="b" cm="1">
        <f t="array" aca="1" ref="T240" ca="1">T239</f>
        <v>1</v>
      </c>
      <c r="U240" s="25"/>
      <c r="V240" s="25"/>
      <c r="W240" s="25"/>
      <c r="X240" s="1022"/>
      <c r="Z240" s="967"/>
      <c r="AB240" s="7" t="s">
        <v>2092</v>
      </c>
      <c r="AC240" s="134" t="s">
        <v>2093</v>
      </c>
      <c r="AD240" s="7" t="s">
        <v>828</v>
      </c>
      <c r="AE240" s="171">
        <f ca="1">SUMIFS(Налоги!AE$25:AE$83,Налоги!$F$25:$F$83,$F240,Налоги!$AB$25:$AB$83,$G240)</f>
        <v>0</v>
      </c>
      <c r="AF240" s="171">
        <f ca="1">SUMIFS(Налоги!AF$25:AF$83,Налоги!$F$25:$F$83,$F240,Налоги!$AB$25:$AB$83,$G240)</f>
        <v>0</v>
      </c>
      <c r="AG240" s="171">
        <f ca="1">SUMIFS(Налоги!AG$25:AG$83,Налоги!$F$25:$F$83,$F240,Налоги!$AB$25:$AB$83,$G240)</f>
        <v>0</v>
      </c>
      <c r="AH240" s="171">
        <f t="shared" ca="1" si="55"/>
        <v>0</v>
      </c>
      <c r="AI240" s="171">
        <f ca="1">SUMIFS(Налоги!AH$25:AH$83,Налоги!$F$25:$F$83,$F240,Налоги!$AB$25:$AB$83,$G240)</f>
        <v>0</v>
      </c>
      <c r="AJ240" s="171">
        <f ca="1">SUMIFS(Налоги!AI$25:AI$83,Налоги!$F$25:$F$83,$F240,Налоги!$AB$25:$AB$83,$G240)</f>
        <v>0</v>
      </c>
      <c r="AK240" s="171">
        <f ca="1">SUMIFS(Налоги!AJ$25:AJ$83,Налоги!$F$25:$F$83,$F240,Налоги!$AB$25:$AB$83,$G240)</f>
        <v>0</v>
      </c>
      <c r="AL240" s="171">
        <f ca="1">SUMIFS(Налоги!AK$25:AK$83,Налоги!$F$25:$F$83,$F240,Налоги!$AB$25:$AB$83,$G240)</f>
        <v>0</v>
      </c>
      <c r="AM240" s="171">
        <f ca="1">SUMIFS(Налоги!AL$25:AL$83,Налоги!$F$25:$F$83,$F240,Налоги!$AB$25:$AB$83,$G240)</f>
        <v>0</v>
      </c>
      <c r="AN240" s="171">
        <f ca="1">SUMIFS(Налоги!AM$25:AM$83,Налоги!$F$25:$F$83,$F240,Налоги!$AB$25:$AB$83,$G240)</f>
        <v>0</v>
      </c>
      <c r="AO240" s="171">
        <f ca="1">SUMIFS(Налоги!AN$25:AN$83,Налоги!$F$25:$F$83,$F240,Налоги!$AB$25:$AB$83,$G240)</f>
        <v>0</v>
      </c>
      <c r="AP240" s="171">
        <f ca="1">SUMIFS(Налоги!AO$25:AO$83,Налоги!$F$25:$F$83,$F240,Налоги!$AB$25:$AB$83,$G240)</f>
        <v>0</v>
      </c>
      <c r="AQ240" s="171">
        <f ca="1">SUMIFS(Налоги!AP$25:AP$83,Налоги!$F$25:$F$83,$F240,Налоги!$AB$25:$AB$83,$G240)</f>
        <v>0</v>
      </c>
      <c r="AR240" s="171">
        <f ca="1">SUMIFS(Налоги!AQ$25:AQ$83,Налоги!$F$25:$F$83,$F240,Налоги!$AB$25:$AB$83,$G240)</f>
        <v>0</v>
      </c>
      <c r="AS240" s="171">
        <f ca="1">SUMIFS(Налоги!AR$25:AR$83,Налоги!$F$25:$F$83,$F240,Налоги!$AB$25:$AB$83,$G240)</f>
        <v>0</v>
      </c>
      <c r="AT240" s="171">
        <f ca="1">SUMIFS(Налоги!AS$25:AS$83,Налоги!$F$25:$F$83,$F240,Налоги!$AB$25:$AB$83,$G240)</f>
        <v>0</v>
      </c>
      <c r="AU240" s="171">
        <f ca="1">SUMIFS(Налоги!AT$25:AT$83,Налоги!$F$25:$F$83,$F240,Налоги!$AB$25:$AB$83,$G240)</f>
        <v>0</v>
      </c>
      <c r="AV240" s="171">
        <f ca="1">SUMIFS(Налоги!AU$25:AU$83,Налоги!$F$25:$F$83,$F240,Налоги!$AB$25:$AB$83,$G240)</f>
        <v>0</v>
      </c>
      <c r="AW240" s="171">
        <f ca="1">SUMIFS(Налоги!AV$25:AV$83,Налоги!$F$25:$F$83,$F240,Налоги!$AB$25:$AB$83,$G240)</f>
        <v>0</v>
      </c>
      <c r="AX240" s="171">
        <f ca="1">SUMIFS(Налоги!AW$25:AW$83,Налоги!$F$25:$F$83,$F240,Налоги!$AB$25:$AB$83,$G240)</f>
        <v>0</v>
      </c>
      <c r="AY240" s="171">
        <f ca="1">SUMIFS(Налоги!AX$25:AX$83,Налоги!$F$25:$F$83,$F240,Налоги!$AB$25:$AB$83,$G240)</f>
        <v>0</v>
      </c>
      <c r="AZ240" s="171">
        <f ca="1">SUMIFS(Налоги!AY$25:AY$83,Налоги!$F$25:$F$83,$F240,Налоги!$AB$25:$AB$83,$G240)</f>
        <v>0</v>
      </c>
      <c r="BA240" s="171">
        <f ca="1">SUMIFS(Налоги!AZ$25:AZ$83,Налоги!$F$25:$F$83,$F240,Налоги!$AB$25:$AB$83,$G240)</f>
        <v>0</v>
      </c>
      <c r="BB240" s="171">
        <f ca="1">SUMIFS(Налоги!BA$25:BA$83,Налоги!$F$25:$F$83,$F240,Налоги!$AB$25:$AB$83,$G240)</f>
        <v>0</v>
      </c>
      <c r="BC240" s="171">
        <f ca="1">SUMIFS(Налоги!BB$25:BB$83,Налоги!$F$25:$F$83,$F240,Налоги!$AB$25:$AB$83,$G240)</f>
        <v>0</v>
      </c>
      <c r="BD240" s="171">
        <f t="shared" ca="1" si="57"/>
        <v>0</v>
      </c>
      <c r="BE240" s="171">
        <f t="shared" ca="1" si="58"/>
        <v>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1" t="str">
        <f ca="1">IF(IFERROR(INDEX(Налоги!$K$26:$L$83,MATCH($F240&amp;"4komm",Налоги!$K$26:$K$83,0),2),"")=0,"",IFERROR(INDEX(Налоги!$K$26:$L$83,MATCH($F240&amp;"4komm",Налоги!$K$26:$K$83,0),2),""))</f>
        <v/>
      </c>
      <c r="BP240" s="196"/>
      <c r="BS240" s="696" t="s">
        <v>2094</v>
      </c>
    </row>
    <row r="241" spans="2:75" ht="338.25" customHeight="1" x14ac:dyDescent="0.15">
      <c r="C241" s="25"/>
      <c r="D241" s="25"/>
      <c r="E241" s="451">
        <v>15</v>
      </c>
      <c r="F241" s="3" t="str" cm="1">
        <f t="array" aca="1" ref="F241" ca="1">OFFSET(E241,-1,1)</f>
        <v>1</v>
      </c>
      <c r="G241" s="611">
        <v>5</v>
      </c>
      <c r="H241" s="25"/>
      <c r="I241" s="25" t="s">
        <v>2095</v>
      </c>
      <c r="J241" s="25"/>
      <c r="K241" s="25" t="s">
        <v>2095</v>
      </c>
      <c r="L241" s="25"/>
      <c r="M241" s="25"/>
      <c r="N241" s="25"/>
      <c r="O241" s="25"/>
      <c r="P241" s="25"/>
      <c r="Q241" s="25"/>
      <c r="R241" s="25"/>
      <c r="S241" s="25"/>
      <c r="T241" s="353" t="b" cm="1">
        <f t="array" aca="1" ref="T241" ca="1">T240</f>
        <v>1</v>
      </c>
      <c r="U241" s="25"/>
      <c r="V241" s="25"/>
      <c r="W241" s="25"/>
      <c r="X241" s="1022"/>
      <c r="Z241" s="967"/>
      <c r="AB241" s="7" t="s">
        <v>2096</v>
      </c>
      <c r="AC241" s="134" t="s">
        <v>2097</v>
      </c>
      <c r="AD241" s="7" t="s">
        <v>828</v>
      </c>
      <c r="AE241" s="171">
        <f ca="1">SUMIFS(Налоги!AE$25:AE$83,Налоги!$F$25:$F$83,$F241,Налоги!$AB$25:$AB$83,$G241)</f>
        <v>18774.753204000001</v>
      </c>
      <c r="AF241" s="171">
        <f ca="1">SUMIFS(Налоги!AF$25:AF$83,Налоги!$F$25:$F$83,$F241,Налоги!$AB$25:$AB$83,$G241)</f>
        <v>19632.334334812698</v>
      </c>
      <c r="AG241" s="171">
        <f ca="1">SUMIFS(Налоги!AG$25:AG$83,Налоги!$F$25:$F$83,$F241,Налоги!$AB$25:$AB$83,$G241)</f>
        <v>19632.334334812698</v>
      </c>
      <c r="AH241" s="171">
        <f t="shared" ca="1" si="55"/>
        <v>0</v>
      </c>
      <c r="AI241" s="171">
        <f ca="1">SUMIFS(Налоги!AH$25:AH$83,Налоги!$F$25:$F$83,$F241,Налоги!$AB$25:$AB$83,$G241)</f>
        <v>25470.752958960002</v>
      </c>
      <c r="AJ241" s="171">
        <f ca="1">SUMIFS(Налоги!AI$25:AI$83,Налоги!$F$25:$F$83,$F241,Налоги!$AB$25:$AB$83,$G241)</f>
        <v>31465.7772</v>
      </c>
      <c r="AK241" s="171">
        <f ca="1">SUMIFS(Налоги!AJ$25:AJ$83,Налоги!$F$25:$F$83,$F241,Налоги!$AB$25:$AB$83,$G241)</f>
        <v>0</v>
      </c>
      <c r="AL241" s="171">
        <f ca="1">SUMIFS(Налоги!AK$25:AK$83,Налоги!$F$25:$F$83,$F241,Налоги!$AB$25:$AB$83,$G241)</f>
        <v>0</v>
      </c>
      <c r="AM241" s="171">
        <f ca="1">SUMIFS(Налоги!AL$25:AL$83,Налоги!$F$25:$F$83,$F241,Налоги!$AB$25:$AB$83,$G241)</f>
        <v>0</v>
      </c>
      <c r="AN241" s="171">
        <f ca="1">SUMIFS(Налоги!AM$25:AM$83,Налоги!$F$25:$F$83,$F241,Налоги!$AB$25:$AB$83,$G241)</f>
        <v>0</v>
      </c>
      <c r="AO241" s="171">
        <f ca="1">SUMIFS(Налоги!AN$25:AN$83,Налоги!$F$25:$F$83,$F241,Налоги!$AB$25:$AB$83,$G241)</f>
        <v>0</v>
      </c>
      <c r="AP241" s="171">
        <f ca="1">SUMIFS(Налоги!AO$25:AO$83,Налоги!$F$25:$F$83,$F241,Налоги!$AB$25:$AB$83,$G241)</f>
        <v>0</v>
      </c>
      <c r="AQ241" s="171">
        <f ca="1">SUMIFS(Налоги!AP$25:AP$83,Налоги!$F$25:$F$83,$F241,Налоги!$AB$25:$AB$83,$G241)</f>
        <v>0</v>
      </c>
      <c r="AR241" s="171">
        <f ca="1">SUMIFS(Налоги!AQ$25:AQ$83,Налоги!$F$25:$F$83,$F241,Налоги!$AB$25:$AB$83,$G241)</f>
        <v>0</v>
      </c>
      <c r="AS241" s="171">
        <f ca="1">SUMIFS(Налоги!AR$25:AR$83,Налоги!$F$25:$F$83,$F241,Налоги!$AB$25:$AB$83,$G241)</f>
        <v>0</v>
      </c>
      <c r="AT241" s="171">
        <f ca="1">SUMIFS(Налоги!AS$25:AS$83,Налоги!$F$25:$F$83,$F241,Налоги!$AB$25:$AB$83,$G241)</f>
        <v>26242.775244447999</v>
      </c>
      <c r="AU241" s="171">
        <f ca="1">SUMIFS(Налоги!AT$25:AT$83,Налоги!$F$25:$F$83,$F241,Налоги!$AB$25:$AB$83,$G241)</f>
        <v>0</v>
      </c>
      <c r="AV241" s="171">
        <f ca="1">SUMIFS(Налоги!AU$25:AU$83,Налоги!$F$25:$F$83,$F241,Налоги!$AB$25:$AB$83,$G241)</f>
        <v>0</v>
      </c>
      <c r="AW241" s="171">
        <f ca="1">SUMIFS(Налоги!AV$25:AV$83,Налоги!$F$25:$F$83,$F241,Налоги!$AB$25:$AB$83,$G241)</f>
        <v>0</v>
      </c>
      <c r="AX241" s="171">
        <f ca="1">SUMIFS(Налоги!AW$25:AW$83,Налоги!$F$25:$F$83,$F241,Налоги!$AB$25:$AB$83,$G241)</f>
        <v>0</v>
      </c>
      <c r="AY241" s="171">
        <f ca="1">SUMIFS(Налоги!AX$25:AX$83,Налоги!$F$25:$F$83,$F241,Налоги!$AB$25:$AB$83,$G241)</f>
        <v>0</v>
      </c>
      <c r="AZ241" s="171">
        <f ca="1">SUMIFS(Налоги!AY$25:AY$83,Налоги!$F$25:$F$83,$F241,Налоги!$AB$25:$AB$83,$G241)</f>
        <v>0</v>
      </c>
      <c r="BA241" s="171">
        <f ca="1">SUMIFS(Налоги!AZ$25:AZ$83,Налоги!$F$25:$F$83,$F241,Налоги!$AB$25:$AB$83,$G241)</f>
        <v>0</v>
      </c>
      <c r="BB241" s="171">
        <f ca="1">SUMIFS(Налоги!BA$25:BA$83,Налоги!$F$25:$F$83,$F241,Налоги!$AB$25:$AB$83,$G241)</f>
        <v>0</v>
      </c>
      <c r="BC241" s="171">
        <f ca="1">SUMIFS(Налоги!BB$25:BB$83,Налоги!$F$25:$F$83,$F241,Налоги!$AB$25:$AB$83,$G241)</f>
        <v>0</v>
      </c>
      <c r="BD241" s="171">
        <f t="shared" ca="1" si="57"/>
        <v>3.0310147749928165</v>
      </c>
      <c r="BE241" s="171">
        <f t="shared" ca="1" si="58"/>
        <v>-100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t="s">
        <v>2249</v>
      </c>
      <c r="BO241" s="601" t="s">
        <v>2250</v>
      </c>
      <c r="BP241" s="196" t="s">
        <v>2248</v>
      </c>
      <c r="BS241" s="696" t="s">
        <v>2098</v>
      </c>
    </row>
    <row r="242" spans="2:75" ht="14.25" customHeight="1" x14ac:dyDescent="0.15">
      <c r="C242" s="25"/>
      <c r="D242" s="25"/>
      <c r="E242" s="451">
        <v>15</v>
      </c>
      <c r="F242" s="3" t="str" cm="1">
        <f t="array" aca="1" ref="F242" ca="1">OFFSET(E242,-1,1)</f>
        <v>1</v>
      </c>
      <c r="G242" s="611">
        <v>1</v>
      </c>
      <c r="H242" s="25"/>
      <c r="I242" s="25" t="s">
        <v>2099</v>
      </c>
      <c r="J242" s="25"/>
      <c r="K242" s="25" t="s">
        <v>2099</v>
      </c>
      <c r="L242" s="25"/>
      <c r="M242" s="25"/>
      <c r="N242" s="25"/>
      <c r="O242" s="25"/>
      <c r="P242" s="25"/>
      <c r="Q242" s="25"/>
      <c r="R242" s="25"/>
      <c r="S242" s="25"/>
      <c r="T242" s="353" t="b" cm="1">
        <f t="array" aca="1" ref="T242" ca="1">T241</f>
        <v>1</v>
      </c>
      <c r="U242" s="25"/>
      <c r="V242" s="25"/>
      <c r="W242" s="25"/>
      <c r="X242" s="1022"/>
      <c r="Z242" s="967"/>
      <c r="AB242" s="7" t="s">
        <v>2100</v>
      </c>
      <c r="AC242" s="134" t="s">
        <v>2101</v>
      </c>
      <c r="AD242" s="7" t="s">
        <v>828</v>
      </c>
      <c r="AE242" s="171">
        <f ca="1">SUMIFS(Налоги!AE$25:AE$83,Налоги!$F$25:$F$83,$F242,Налоги!$AB$25:$AB$83,$G242)</f>
        <v>0</v>
      </c>
      <c r="AF242" s="171">
        <f ca="1">SUMIFS(Налоги!AF$25:AF$83,Налоги!$F$25:$F$83,$F242,Налоги!$AB$25:$AB$83,$G242)</f>
        <v>0</v>
      </c>
      <c r="AG242" s="171">
        <f ca="1">SUMIFS(Налоги!AG$25:AG$83,Налоги!$F$25:$F$83,$F242,Налоги!$AB$25:$AB$83,$G242)</f>
        <v>0</v>
      </c>
      <c r="AH242" s="171">
        <f t="shared" ca="1" si="55"/>
        <v>0</v>
      </c>
      <c r="AI242" s="171">
        <f ca="1">SUMIFS(Налоги!AH$25:AH$83,Налоги!$F$25:$F$83,$F242,Налоги!$AB$25:$AB$83,$G242)</f>
        <v>0</v>
      </c>
      <c r="AJ242" s="171">
        <f ca="1">SUMIFS(Налоги!AI$25:AI$83,Налоги!$F$25:$F$83,$F242,Налоги!$AB$25:$AB$83,$G242)</f>
        <v>0</v>
      </c>
      <c r="AK242" s="171">
        <f ca="1">SUMIFS(Налоги!AJ$25:AJ$83,Налоги!$F$25:$F$83,$F242,Налоги!$AB$25:$AB$83,$G242)</f>
        <v>0</v>
      </c>
      <c r="AL242" s="171">
        <f ca="1">SUMIFS(Налоги!AK$25:AK$83,Налоги!$F$25:$F$83,$F242,Налоги!$AB$25:$AB$83,$G242)</f>
        <v>0</v>
      </c>
      <c r="AM242" s="171">
        <f ca="1">SUMIFS(Налоги!AL$25:AL$83,Налоги!$F$25:$F$83,$F242,Налоги!$AB$25:$AB$83,$G242)</f>
        <v>0</v>
      </c>
      <c r="AN242" s="171">
        <f ca="1">SUMIFS(Налоги!AM$25:AM$83,Налоги!$F$25:$F$83,$F242,Налоги!$AB$25:$AB$83,$G242)</f>
        <v>0</v>
      </c>
      <c r="AO242" s="171">
        <f ca="1">SUMIFS(Налоги!AN$25:AN$83,Налоги!$F$25:$F$83,$F242,Налоги!$AB$25:$AB$83,$G242)</f>
        <v>0</v>
      </c>
      <c r="AP242" s="171">
        <f ca="1">SUMIFS(Налоги!AO$25:AO$83,Налоги!$F$25:$F$83,$F242,Налоги!$AB$25:$AB$83,$G242)</f>
        <v>0</v>
      </c>
      <c r="AQ242" s="171">
        <f ca="1">SUMIFS(Налоги!AP$25:AP$83,Налоги!$F$25:$F$83,$F242,Налоги!$AB$25:$AB$83,$G242)</f>
        <v>0</v>
      </c>
      <c r="AR242" s="171">
        <f ca="1">SUMIFS(Налоги!AQ$25:AQ$83,Налоги!$F$25:$F$83,$F242,Налоги!$AB$25:$AB$83,$G242)</f>
        <v>0</v>
      </c>
      <c r="AS242" s="171">
        <f ca="1">SUMIFS(Налоги!AR$25:AR$83,Налоги!$F$25:$F$83,$F242,Налоги!$AB$25:$AB$83,$G242)</f>
        <v>0</v>
      </c>
      <c r="AT242" s="171">
        <f ca="1">SUMIFS(Налоги!AS$25:AS$83,Налоги!$F$25:$F$83,$F242,Налоги!$AB$25:$AB$83,$G242)</f>
        <v>0</v>
      </c>
      <c r="AU242" s="171">
        <f ca="1">SUMIFS(Налоги!AT$25:AT$83,Налоги!$F$25:$F$83,$F242,Налоги!$AB$25:$AB$83,$G242)</f>
        <v>0</v>
      </c>
      <c r="AV242" s="171">
        <f ca="1">SUMIFS(Налоги!AU$25:AU$83,Налоги!$F$25:$F$83,$F242,Налоги!$AB$25:$AB$83,$G242)</f>
        <v>0</v>
      </c>
      <c r="AW242" s="171">
        <f ca="1">SUMIFS(Налоги!AV$25:AV$83,Налоги!$F$25:$F$83,$F242,Налоги!$AB$25:$AB$83,$G242)</f>
        <v>0</v>
      </c>
      <c r="AX242" s="171">
        <f ca="1">SUMIFS(Налоги!AW$25:AW$83,Налоги!$F$25:$F$83,$F242,Налоги!$AB$25:$AB$83,$G242)</f>
        <v>0</v>
      </c>
      <c r="AY242" s="171">
        <f ca="1">SUMIFS(Налоги!AX$25:AX$83,Налоги!$F$25:$F$83,$F242,Налоги!$AB$25:$AB$83,$G242)</f>
        <v>0</v>
      </c>
      <c r="AZ242" s="171">
        <f ca="1">SUMIFS(Налоги!AY$25:AY$83,Налоги!$F$25:$F$83,$F242,Налоги!$AB$25:$AB$83,$G242)</f>
        <v>0</v>
      </c>
      <c r="BA242" s="171">
        <f ca="1">SUMIFS(Налоги!AZ$25:AZ$83,Налоги!$F$25:$F$83,$F242,Налоги!$AB$25:$AB$83,$G242)</f>
        <v>0</v>
      </c>
      <c r="BB242" s="171">
        <f ca="1">SUMIFS(Налоги!BA$25:BA$83,Налоги!$F$25:$F$83,$F242,Налоги!$AB$25:$AB$83,$G242)</f>
        <v>0</v>
      </c>
      <c r="BC242" s="171">
        <f ca="1">SUMIFS(Налоги!BB$25:BB$83,Налоги!$F$25:$F$83,$F242,Налоги!$AB$25:$AB$83,$G242)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1" t="str">
        <f ca="1">IF(IFERROR(INDEX(Налоги!$K$26:$L$83,MATCH($F242&amp;"1komm",Налоги!$K$26:$K$83,0),2),"")=0,"",IFERROR(INDEX(Налоги!$K$26:$L$83,MATCH($F242&amp;"1komm",Налоги!$K$26:$K$83,0),2),""))</f>
        <v/>
      </c>
      <c r="BP242" s="196"/>
      <c r="BS242" s="696" t="s">
        <v>2102</v>
      </c>
    </row>
    <row r="243" spans="2:75" ht="14.25" customHeight="1" x14ac:dyDescent="0.15">
      <c r="C243" s="25"/>
      <c r="D243" s="25"/>
      <c r="E243" s="451">
        <v>15</v>
      </c>
      <c r="F243" s="3" t="str" cm="1">
        <f t="array" aca="1" ref="F243" ca="1">OFFSET(E243,-1,1)</f>
        <v>1</v>
      </c>
      <c r="G243" s="611">
        <v>3</v>
      </c>
      <c r="H243" s="25"/>
      <c r="I243" s="25" t="s">
        <v>2103</v>
      </c>
      <c r="J243" s="25"/>
      <c r="K243" s="25" t="s">
        <v>2103</v>
      </c>
      <c r="L243" s="25"/>
      <c r="M243" s="25"/>
      <c r="N243" s="25"/>
      <c r="O243" s="25"/>
      <c r="P243" s="25"/>
      <c r="Q243" s="25"/>
      <c r="R243" s="25"/>
      <c r="S243" s="25"/>
      <c r="T243" s="353" t="b" cm="1">
        <f t="array" aca="1" ref="T243" ca="1">T242</f>
        <v>1</v>
      </c>
      <c r="U243" s="25"/>
      <c r="V243" s="25"/>
      <c r="W243" s="25"/>
      <c r="X243" s="1022"/>
      <c r="Z243" s="967"/>
      <c r="AB243" s="7" t="s">
        <v>2104</v>
      </c>
      <c r="AC243" s="134" t="s">
        <v>2105</v>
      </c>
      <c r="AD243" s="7" t="s">
        <v>828</v>
      </c>
      <c r="AE243" s="171">
        <f ca="1">SUMIFS(Налоги!AE$25:AE$83,Налоги!$F$25:$F$83,$F243,Налоги!$AB$25:$AB$83,$G243)</f>
        <v>0</v>
      </c>
      <c r="AF243" s="171">
        <f ca="1">SUMIFS(Налоги!AF$25:AF$83,Налоги!$F$25:$F$83,$F243,Налоги!$AB$25:$AB$83,$G243)</f>
        <v>0</v>
      </c>
      <c r="AG243" s="171">
        <f ca="1">SUMIFS(Налоги!AG$25:AG$83,Налоги!$F$25:$F$83,$F243,Налоги!$AB$25:$AB$83,$G243)</f>
        <v>0</v>
      </c>
      <c r="AH243" s="171">
        <f t="shared" ca="1" si="55"/>
        <v>0</v>
      </c>
      <c r="AI243" s="171">
        <f ca="1">SUMIFS(Налоги!AH$25:AH$83,Налоги!$F$25:$F$83,$F243,Налоги!$AB$25:$AB$83,$G243)</f>
        <v>0</v>
      </c>
      <c r="AJ243" s="171">
        <f ca="1">SUMIFS(Налоги!AI$25:AI$83,Налоги!$F$25:$F$83,$F243,Налоги!$AB$25:$AB$83,$G243)</f>
        <v>0</v>
      </c>
      <c r="AK243" s="171">
        <f ca="1">SUMIFS(Налоги!AJ$25:AJ$83,Налоги!$F$25:$F$83,$F243,Налоги!$AB$25:$AB$83,$G243)</f>
        <v>0</v>
      </c>
      <c r="AL243" s="171">
        <f ca="1">SUMIFS(Налоги!AK$25:AK$83,Налоги!$F$25:$F$83,$F243,Налоги!$AB$25:$AB$83,$G243)</f>
        <v>0</v>
      </c>
      <c r="AM243" s="171">
        <f ca="1">SUMIFS(Налоги!AL$25:AL$83,Налоги!$F$25:$F$83,$F243,Налоги!$AB$25:$AB$83,$G243)</f>
        <v>0</v>
      </c>
      <c r="AN243" s="171">
        <f ca="1">SUMIFS(Налоги!AM$25:AM$83,Налоги!$F$25:$F$83,$F243,Налоги!$AB$25:$AB$83,$G243)</f>
        <v>0</v>
      </c>
      <c r="AO243" s="171">
        <f ca="1">SUMIFS(Налоги!AN$25:AN$83,Налоги!$F$25:$F$83,$F243,Налоги!$AB$25:$AB$83,$G243)</f>
        <v>0</v>
      </c>
      <c r="AP243" s="171">
        <f ca="1">SUMIFS(Налоги!AO$25:AO$83,Налоги!$F$25:$F$83,$F243,Налоги!$AB$25:$AB$83,$G243)</f>
        <v>0</v>
      </c>
      <c r="AQ243" s="171">
        <f ca="1">SUMIFS(Налоги!AP$25:AP$83,Налоги!$F$25:$F$83,$F243,Налоги!$AB$25:$AB$83,$G243)</f>
        <v>0</v>
      </c>
      <c r="AR243" s="171">
        <f ca="1">SUMIFS(Налоги!AQ$25:AQ$83,Налоги!$F$25:$F$83,$F243,Налоги!$AB$25:$AB$83,$G243)</f>
        <v>0</v>
      </c>
      <c r="AS243" s="171">
        <f ca="1">SUMIFS(Налоги!AR$25:AR$83,Налоги!$F$25:$F$83,$F243,Налоги!$AB$25:$AB$83,$G243)</f>
        <v>0</v>
      </c>
      <c r="AT243" s="171">
        <f ca="1">SUMIFS(Налоги!AS$25:AS$83,Налоги!$F$25:$F$83,$F243,Налоги!$AB$25:$AB$83,$G243)</f>
        <v>0</v>
      </c>
      <c r="AU243" s="171">
        <f ca="1">SUMIFS(Налоги!AT$25:AT$83,Налоги!$F$25:$F$83,$F243,Налоги!$AB$25:$AB$83,$G243)</f>
        <v>0</v>
      </c>
      <c r="AV243" s="171">
        <f ca="1">SUMIFS(Налоги!AU$25:AU$83,Налоги!$F$25:$F$83,$F243,Налоги!$AB$25:$AB$83,$G243)</f>
        <v>0</v>
      </c>
      <c r="AW243" s="171">
        <f ca="1">SUMIFS(Налоги!AV$25:AV$83,Налоги!$F$25:$F$83,$F243,Налоги!$AB$25:$AB$83,$G243)</f>
        <v>0</v>
      </c>
      <c r="AX243" s="171">
        <f ca="1">SUMIFS(Налоги!AW$25:AW$83,Налоги!$F$25:$F$83,$F243,Налоги!$AB$25:$AB$83,$G243)</f>
        <v>0</v>
      </c>
      <c r="AY243" s="171">
        <f ca="1">SUMIFS(Налоги!AX$25:AX$83,Налоги!$F$25:$F$83,$F243,Налоги!$AB$25:$AB$83,$G243)</f>
        <v>0</v>
      </c>
      <c r="AZ243" s="171">
        <f ca="1">SUMIFS(Налоги!AY$25:AY$83,Налоги!$F$25:$F$83,$F243,Налоги!$AB$25:$AB$83,$G243)</f>
        <v>0</v>
      </c>
      <c r="BA243" s="171">
        <f ca="1">SUMIFS(Налоги!AZ$25:AZ$83,Налоги!$F$25:$F$83,$F243,Налоги!$AB$25:$AB$83,$G243)</f>
        <v>0</v>
      </c>
      <c r="BB243" s="171">
        <f ca="1">SUMIFS(Налоги!BA$25:BA$83,Налоги!$F$25:$F$83,$F243,Налоги!$AB$25:$AB$83,$G243)</f>
        <v>0</v>
      </c>
      <c r="BC243" s="171">
        <f ca="1">SUMIFS(Налоги!BB$25:BB$83,Налоги!$F$25:$F$83,$F243,Налоги!$AB$25:$AB$83,$G243)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1" t="str">
        <f ca="1">IF(IFERROR(INDEX(Налоги!$K$26:$L$83,MATCH($F243&amp;"5komm",Налоги!$K$26:$K$83,0),2),"")=0,"",IFERROR(INDEX(Налоги!$K$26:$L$83,MATCH($F243&amp;"5komm",Налоги!$K$26:$K$83,0),2),""))</f>
        <v>Рассчитано, исходя из принятого планового объема забора воды из р. Томь  (в целях реализации на сторону) и ставки  270,00 руб./тыс. м3 согласно Постановлению Правительства РФ от 30.12.2006 г. № 876 "О СТАВКАХ ПЛАТЫ ЗА ПОЛЬЗОВАНИЕ ВОДНЫМИ ОБЪЕКТАМИ, НАХОДЯЩИМИСЯ В ФЕДЕРАЛЬНОЙ СОБСТВЕННОСТИ", с учетом коэффициента  4,84, установленного Постановлением Правительства РФ от  от 21.12.2024 N 1847, с учетом  ИПЦ Минэкономразвития России  104,3% на 2026 год.</v>
      </c>
      <c r="BP243" s="196"/>
      <c r="BS243" s="696" t="s">
        <v>2106</v>
      </c>
    </row>
    <row r="244" spans="2:75" ht="14.25" customHeight="1" x14ac:dyDescent="0.15">
      <c r="C244" s="25"/>
      <c r="D244" s="25"/>
      <c r="E244" s="451">
        <v>15</v>
      </c>
      <c r="F244" s="3" t="str" cm="1">
        <f t="array" aca="1" ref="F244" ca="1">OFFSET(E244,-1,1)</f>
        <v>1</v>
      </c>
      <c r="G244" s="611">
        <v>8</v>
      </c>
      <c r="H244" s="25"/>
      <c r="I244" s="25" t="s">
        <v>2107</v>
      </c>
      <c r="J244" s="25"/>
      <c r="K244" s="25" t="s">
        <v>2107</v>
      </c>
      <c r="L244" s="25"/>
      <c r="M244" s="25"/>
      <c r="N244" s="25"/>
      <c r="O244" s="25"/>
      <c r="P244" s="25"/>
      <c r="Q244" s="25"/>
      <c r="R244" s="25"/>
      <c r="S244" s="25"/>
      <c r="T244" s="353" t="b" cm="1">
        <f t="array" aca="1" ref="T244" ca="1">T243</f>
        <v>1</v>
      </c>
      <c r="U244" s="25"/>
      <c r="V244" s="25"/>
      <c r="W244" s="25"/>
      <c r="X244" s="1022"/>
      <c r="Z244" s="967"/>
      <c r="AB244" s="7" t="s">
        <v>2108</v>
      </c>
      <c r="AC244" s="134" t="s">
        <v>2109</v>
      </c>
      <c r="AD244" s="7" t="s">
        <v>828</v>
      </c>
      <c r="AE244" s="171">
        <f ca="1">SUMIFS(Налоги!AE$25:AE$83,Налоги!$F$25:$F$83,$F244,Налоги!$AB$25:$AB$83,$G244)</f>
        <v>0</v>
      </c>
      <c r="AF244" s="171">
        <f ca="1">SUMIFS(Налоги!AF$25:AF$83,Налоги!$F$25:$F$83,$F244,Налоги!$AB$25:$AB$83,$G244)</f>
        <v>0</v>
      </c>
      <c r="AG244" s="171">
        <f ca="1">SUMIFS(Налоги!AG$25:AG$83,Налоги!$F$25:$F$83,$F244,Налоги!$AB$25:$AB$83,$G244)</f>
        <v>0</v>
      </c>
      <c r="AH244" s="171">
        <f t="shared" ca="1" si="55"/>
        <v>0</v>
      </c>
      <c r="AI244" s="171">
        <f ca="1">SUMIFS(Налоги!AH$25:AH$83,Налоги!$F$25:$F$83,$F244,Налоги!$AB$25:$AB$83,$G244)</f>
        <v>0</v>
      </c>
      <c r="AJ244" s="171">
        <f ca="1">SUMIFS(Налоги!AI$25:AI$83,Налоги!$F$25:$F$83,$F244,Налоги!$AB$25:$AB$83,$G244)</f>
        <v>0</v>
      </c>
      <c r="AK244" s="171">
        <f ca="1">SUMIFS(Налоги!AJ$25:AJ$83,Налоги!$F$25:$F$83,$F244,Налоги!$AB$25:$AB$83,$G244)</f>
        <v>0</v>
      </c>
      <c r="AL244" s="171">
        <f ca="1">SUMIFS(Налоги!AK$25:AK$83,Налоги!$F$25:$F$83,$F244,Налоги!$AB$25:$AB$83,$G244)</f>
        <v>0</v>
      </c>
      <c r="AM244" s="171">
        <f ca="1">SUMIFS(Налоги!AL$25:AL$83,Налоги!$F$25:$F$83,$F244,Налоги!$AB$25:$AB$83,$G244)</f>
        <v>0</v>
      </c>
      <c r="AN244" s="171">
        <f ca="1">SUMIFS(Налоги!AM$25:AM$83,Налоги!$F$25:$F$83,$F244,Налоги!$AB$25:$AB$83,$G244)</f>
        <v>0</v>
      </c>
      <c r="AO244" s="171">
        <f ca="1">SUMIFS(Налоги!AN$25:AN$83,Налоги!$F$25:$F$83,$F244,Налоги!$AB$25:$AB$83,$G244)</f>
        <v>0</v>
      </c>
      <c r="AP244" s="171">
        <f ca="1">SUMIFS(Налоги!AO$25:AO$83,Налоги!$F$25:$F$83,$F244,Налоги!$AB$25:$AB$83,$G244)</f>
        <v>0</v>
      </c>
      <c r="AQ244" s="171">
        <f ca="1">SUMIFS(Налоги!AP$25:AP$83,Налоги!$F$25:$F$83,$F244,Налоги!$AB$25:$AB$83,$G244)</f>
        <v>0</v>
      </c>
      <c r="AR244" s="171">
        <f ca="1">SUMIFS(Налоги!AQ$25:AQ$83,Налоги!$F$25:$F$83,$F244,Налоги!$AB$25:$AB$83,$G244)</f>
        <v>0</v>
      </c>
      <c r="AS244" s="171">
        <f ca="1">SUMIFS(Налоги!AR$25:AR$83,Налоги!$F$25:$F$83,$F244,Налоги!$AB$25:$AB$83,$G244)</f>
        <v>0</v>
      </c>
      <c r="AT244" s="171">
        <f ca="1">SUMIFS(Налоги!AS$25:AS$83,Налоги!$F$25:$F$83,$F244,Налоги!$AB$25:$AB$83,$G244)</f>
        <v>0</v>
      </c>
      <c r="AU244" s="171">
        <f ca="1">SUMIFS(Налоги!AT$25:AT$83,Налоги!$F$25:$F$83,$F244,Налоги!$AB$25:$AB$83,$G244)</f>
        <v>0</v>
      </c>
      <c r="AV244" s="171">
        <f ca="1">SUMIFS(Налоги!AU$25:AU$83,Налоги!$F$25:$F$83,$F244,Налоги!$AB$25:$AB$83,$G244)</f>
        <v>0</v>
      </c>
      <c r="AW244" s="171">
        <f ca="1">SUMIFS(Налоги!AV$25:AV$83,Налоги!$F$25:$F$83,$F244,Налоги!$AB$25:$AB$83,$G244)</f>
        <v>0</v>
      </c>
      <c r="AX244" s="171">
        <f ca="1">SUMIFS(Налоги!AW$25:AW$83,Налоги!$F$25:$F$83,$F244,Налоги!$AB$25:$AB$83,$G244)</f>
        <v>0</v>
      </c>
      <c r="AY244" s="171">
        <f ca="1">SUMIFS(Налоги!AX$25:AX$83,Налоги!$F$25:$F$83,$F244,Налоги!$AB$25:$AB$83,$G244)</f>
        <v>0</v>
      </c>
      <c r="AZ244" s="171">
        <f ca="1">SUMIFS(Налоги!AY$25:AY$83,Налоги!$F$25:$F$83,$F244,Налоги!$AB$25:$AB$83,$G244)</f>
        <v>0</v>
      </c>
      <c r="BA244" s="171">
        <f ca="1">SUMIFS(Налоги!AZ$25:AZ$83,Налоги!$F$25:$F$83,$F244,Налоги!$AB$25:$AB$83,$G244)</f>
        <v>0</v>
      </c>
      <c r="BB244" s="171">
        <f ca="1">SUMIFS(Налоги!BA$25:BA$83,Налоги!$F$25:$F$83,$F244,Налоги!$AB$25:$AB$83,$G244)</f>
        <v>0</v>
      </c>
      <c r="BC244" s="171">
        <f ca="1">SUMIFS(Налоги!BB$25:BB$83,Налоги!$F$25:$F$83,$F244,Налоги!$AB$25:$AB$83,$G244)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1" t="str">
        <f ca="1">IF(IFERROR(INDEX(Налоги!$K$26:$L$83,MATCH($F244&amp;"8komm",Налоги!$K$26:$K$83,0),2),"")=0,"",IFERROR(INDEX(Налоги!$K$26:$L$83,MATCH($F244&amp;"8komm",Налоги!$K$26:$K$83,0),2),""))</f>
        <v/>
      </c>
      <c r="BP244" s="196"/>
      <c r="BS244" s="696" t="s">
        <v>1293</v>
      </c>
    </row>
    <row r="245" spans="2:75" s="376" customFormat="1" ht="14.25" customHeight="1" x14ac:dyDescent="0.15">
      <c r="B245" s="537"/>
      <c r="C245" s="25"/>
      <c r="D245" s="25"/>
      <c r="E245" s="451">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W245" s="25"/>
      <c r="X245" s="1022"/>
      <c r="Z245" s="967"/>
      <c r="AB245" s="7" t="s">
        <v>2110</v>
      </c>
      <c r="AC245" s="549" t="s">
        <v>2111</v>
      </c>
      <c r="AD245" s="7" t="s">
        <v>828</v>
      </c>
      <c r="AE245" s="171">
        <f ca="1">SUMIFS(Налоги!AE$25:AE$83,Налоги!$F$25:$F$83,$F245,Налоги!$AB$25:$AB$83,$G245)</f>
        <v>0</v>
      </c>
      <c r="AF245" s="171">
        <f ca="1">SUMIFS(Налоги!AF$25:AF$83,Налоги!$F$25:$F$83,$F245,Налоги!$AB$25:$AB$83,$G245)</f>
        <v>0</v>
      </c>
      <c r="AG245" s="171">
        <f ca="1">SUMIFS(Налоги!AG$25:AG$83,Налоги!$F$25:$F$83,$F245,Налоги!$AB$25:$AB$83,$G245)</f>
        <v>0</v>
      </c>
      <c r="AH245" s="171">
        <f t="shared" ca="1" si="55"/>
        <v>0</v>
      </c>
      <c r="AI245" s="171">
        <f ca="1">SUMIFS(Налоги!AH$25:AH$83,Налоги!$F$25:$F$83,$F245,Налоги!$AB$25:$AB$83,$G245)</f>
        <v>0</v>
      </c>
      <c r="AJ245" s="171">
        <f ca="1">SUMIFS(Налоги!AI$25:AI$83,Налоги!$F$25:$F$83,$F245,Налоги!$AB$25:$AB$83,$G245)</f>
        <v>0</v>
      </c>
      <c r="AK245" s="171">
        <f ca="1">SUMIFS(Налоги!AJ$25:AJ$83,Налоги!$F$25:$F$83,$F245,Налоги!$AB$25:$AB$83,$G245)</f>
        <v>0</v>
      </c>
      <c r="AL245" s="171">
        <f ca="1">SUMIFS(Налоги!AK$25:AK$83,Налоги!$F$25:$F$83,$F245,Налоги!$AB$25:$AB$83,$G245)</f>
        <v>0</v>
      </c>
      <c r="AM245" s="171">
        <f ca="1">SUMIFS(Налоги!AL$25:AL$83,Налоги!$F$25:$F$83,$F245,Налоги!$AB$25:$AB$83,$G245)</f>
        <v>0</v>
      </c>
      <c r="AN245" s="171">
        <f ca="1">SUMIFS(Налоги!AM$25:AM$83,Налоги!$F$25:$F$83,$F245,Налоги!$AB$25:$AB$83,$G245)</f>
        <v>0</v>
      </c>
      <c r="AO245" s="171">
        <f ca="1">SUMIFS(Налоги!AN$25:AN$83,Налоги!$F$25:$F$83,$F245,Налоги!$AB$25:$AB$83,$G245)</f>
        <v>0</v>
      </c>
      <c r="AP245" s="171">
        <f ca="1">SUMIFS(Налоги!AO$25:AO$83,Налоги!$F$25:$F$83,$F245,Налоги!$AB$25:$AB$83,$G245)</f>
        <v>0</v>
      </c>
      <c r="AQ245" s="171">
        <f ca="1">SUMIFS(Налоги!AP$25:AP$83,Налоги!$F$25:$F$83,$F245,Налоги!$AB$25:$AB$83,$G245)</f>
        <v>0</v>
      </c>
      <c r="AR245" s="171">
        <f ca="1">SUMIFS(Налоги!AQ$25:AQ$83,Налоги!$F$25:$F$83,$F245,Налоги!$AB$25:$AB$83,$G245)</f>
        <v>0</v>
      </c>
      <c r="AS245" s="171">
        <f ca="1">SUMIFS(Налоги!AR$25:AR$83,Налоги!$F$25:$F$83,$F245,Налоги!$AB$25:$AB$83,$G245)</f>
        <v>0</v>
      </c>
      <c r="AT245" s="171">
        <f ca="1">SUMIFS(Налоги!AS$25:AS$83,Налоги!$F$25:$F$83,$F245,Налоги!$AB$25:$AB$83,$G245)</f>
        <v>0</v>
      </c>
      <c r="AU245" s="171">
        <f ca="1">SUMIFS(Налоги!AT$25:AT$83,Налоги!$F$25:$F$83,$F245,Налоги!$AB$25:$AB$83,$G245)</f>
        <v>0</v>
      </c>
      <c r="AV245" s="171">
        <f ca="1">SUMIFS(Налоги!AU$25:AU$83,Налоги!$F$25:$F$83,$F245,Налоги!$AB$25:$AB$83,$G245)</f>
        <v>0</v>
      </c>
      <c r="AW245" s="171">
        <f ca="1">SUMIFS(Налоги!AV$25:AV$83,Налоги!$F$25:$F$83,$F245,Налоги!$AB$25:$AB$83,$G245)</f>
        <v>0</v>
      </c>
      <c r="AX245" s="171">
        <f ca="1">SUMIFS(Налоги!AW$25:AW$83,Налоги!$F$25:$F$83,$F245,Налоги!$AB$25:$AB$83,$G245)</f>
        <v>0</v>
      </c>
      <c r="AY245" s="171">
        <f ca="1">SUMIFS(Налоги!AX$25:AX$83,Налоги!$F$25:$F$83,$F245,Налоги!$AB$25:$AB$83,$G245)</f>
        <v>0</v>
      </c>
      <c r="AZ245" s="171">
        <f ca="1">SUMIFS(Налоги!AY$25:AY$83,Налоги!$F$25:$F$83,$F245,Налоги!$AB$25:$AB$83,$G245)</f>
        <v>0</v>
      </c>
      <c r="BA245" s="171">
        <f ca="1">SUMIFS(Налоги!AZ$25:AZ$83,Налоги!$F$25:$F$83,$F245,Налоги!$AB$25:$AB$83,$G245)</f>
        <v>0</v>
      </c>
      <c r="BB245" s="171">
        <f ca="1">SUMIFS(Налоги!BA$25:BA$83,Налоги!$F$25:$F$83,$F245,Налоги!$AB$25:$AB$83,$G245)</f>
        <v>0</v>
      </c>
      <c r="BC245" s="171">
        <f ca="1">SUMIFS(Налоги!BB$25:BB$83,Налоги!$F$25:$F$83,$F245,Налоги!$AB$25:$AB$83,$G245)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1" t="str">
        <f ca="1">IF(IFERROR(INDEX(Налоги!$K$26:$L$83,MATCH($F245&amp;"9komm",Налоги!$K$26:$K$83,0),2),"")=0,"",IFERROR(INDEX(Налоги!$K$26:$L$83,MATCH($F245&amp;"9komm",Налоги!$K$26:$K$83,0),2),""))</f>
        <v/>
      </c>
      <c r="BP245" s="196"/>
      <c r="BS245" s="703" t="s">
        <v>2112</v>
      </c>
      <c r="BT245" s="703"/>
      <c r="BU245" s="703"/>
      <c r="BV245" s="704"/>
      <c r="BW245" s="704"/>
    </row>
    <row r="246" spans="2:75" ht="14.25" customHeight="1" x14ac:dyDescent="0.15">
      <c r="C246" s="25"/>
      <c r="D246" s="25"/>
      <c r="E246" s="451">
        <v>15</v>
      </c>
      <c r="F246" s="3" t="str" cm="1">
        <f t="array" aca="1" ref="F246" ca="1">OFFSET(E246,-1,1)</f>
        <v>1</v>
      </c>
      <c r="G246" s="611">
        <v>10</v>
      </c>
      <c r="H246" s="25"/>
      <c r="I246" s="25" t="s">
        <v>2113</v>
      </c>
      <c r="J246" s="25"/>
      <c r="K246" s="25" t="s">
        <v>2113</v>
      </c>
      <c r="L246" s="25"/>
      <c r="M246" s="25"/>
      <c r="N246" s="25"/>
      <c r="O246" s="25"/>
      <c r="P246" s="25"/>
      <c r="Q246" s="25"/>
      <c r="R246" s="25"/>
      <c r="S246" s="25"/>
      <c r="T246" s="353" t="b" cm="1">
        <f t="array" aca="1" ref="T246" ca="1">T245</f>
        <v>1</v>
      </c>
      <c r="U246" s="25"/>
      <c r="V246" s="25"/>
      <c r="W246" s="25"/>
      <c r="X246" s="1022"/>
      <c r="Z246" s="967"/>
      <c r="AB246" s="7" t="s">
        <v>2114</v>
      </c>
      <c r="AC246" s="549" t="s">
        <v>2115</v>
      </c>
      <c r="AD246" s="7" t="s">
        <v>828</v>
      </c>
      <c r="AE246" s="171">
        <f ca="1">SUMIFS(Налоги!AE$25:AE$83,Налоги!$F$25:$F$83,$F246,Налоги!$AB$25:$AB$83,$G246)</f>
        <v>0</v>
      </c>
      <c r="AF246" s="171">
        <f ca="1">SUMIFS(Налоги!AF$25:AF$83,Налоги!$F$25:$F$83,$F246,Налоги!$AB$25:$AB$83,$G246)</f>
        <v>0</v>
      </c>
      <c r="AG246" s="171">
        <f ca="1">SUMIFS(Налоги!AG$25:AG$83,Налоги!$F$25:$F$83,$F246,Налоги!$AB$25:$AB$83,$G246)</f>
        <v>0</v>
      </c>
      <c r="AH246" s="171">
        <f t="shared" ca="1" si="55"/>
        <v>0</v>
      </c>
      <c r="AI246" s="171">
        <f ca="1">SUMIFS(Налоги!AH$25:AH$83,Налоги!$F$25:$F$83,$F246,Налоги!$AB$25:$AB$83,$G246)</f>
        <v>0</v>
      </c>
      <c r="AJ246" s="171">
        <f ca="1">SUMIFS(Налоги!AI$25:AI$83,Налоги!$F$25:$F$83,$F246,Налоги!$AB$25:$AB$83,$G246)</f>
        <v>0</v>
      </c>
      <c r="AK246" s="171">
        <f ca="1">SUMIFS(Налоги!AJ$25:AJ$83,Налоги!$F$25:$F$83,$F246,Налоги!$AB$25:$AB$83,$G246)</f>
        <v>0</v>
      </c>
      <c r="AL246" s="171">
        <f ca="1">SUMIFS(Налоги!AK$25:AK$83,Налоги!$F$25:$F$83,$F246,Налоги!$AB$25:$AB$83,$G246)</f>
        <v>0</v>
      </c>
      <c r="AM246" s="171">
        <f ca="1">SUMIFS(Налоги!AL$25:AL$83,Налоги!$F$25:$F$83,$F246,Налоги!$AB$25:$AB$83,$G246)</f>
        <v>0</v>
      </c>
      <c r="AN246" s="171">
        <f ca="1">SUMIFS(Налоги!AM$25:AM$83,Налоги!$F$25:$F$83,$F246,Налоги!$AB$25:$AB$83,$G246)</f>
        <v>0</v>
      </c>
      <c r="AO246" s="171">
        <f ca="1">SUMIFS(Налоги!AN$25:AN$83,Налоги!$F$25:$F$83,$F246,Налоги!$AB$25:$AB$83,$G246)</f>
        <v>0</v>
      </c>
      <c r="AP246" s="171">
        <f ca="1">SUMIFS(Налоги!AO$25:AO$83,Налоги!$F$25:$F$83,$F246,Налоги!$AB$25:$AB$83,$G246)</f>
        <v>0</v>
      </c>
      <c r="AQ246" s="171">
        <f ca="1">SUMIFS(Налоги!AP$25:AP$83,Налоги!$F$25:$F$83,$F246,Налоги!$AB$25:$AB$83,$G246)</f>
        <v>0</v>
      </c>
      <c r="AR246" s="171">
        <f ca="1">SUMIFS(Налоги!AQ$25:AQ$83,Налоги!$F$25:$F$83,$F246,Налоги!$AB$25:$AB$83,$G246)</f>
        <v>0</v>
      </c>
      <c r="AS246" s="171">
        <f ca="1">SUMIFS(Налоги!AR$25:AR$83,Налоги!$F$25:$F$83,$F246,Налоги!$AB$25:$AB$83,$G246)</f>
        <v>0</v>
      </c>
      <c r="AT246" s="171">
        <f ca="1">SUMIFS(Налоги!AS$25:AS$83,Налоги!$F$25:$F$83,$F246,Налоги!$AB$25:$AB$83,$G246)</f>
        <v>0</v>
      </c>
      <c r="AU246" s="171">
        <f ca="1">SUMIFS(Налоги!AT$25:AT$83,Налоги!$F$25:$F$83,$F246,Налоги!$AB$25:$AB$83,$G246)</f>
        <v>0</v>
      </c>
      <c r="AV246" s="171">
        <f ca="1">SUMIFS(Налоги!AU$25:AU$83,Налоги!$F$25:$F$83,$F246,Налоги!$AB$25:$AB$83,$G246)</f>
        <v>0</v>
      </c>
      <c r="AW246" s="171">
        <f ca="1">SUMIFS(Налоги!AV$25:AV$83,Налоги!$F$25:$F$83,$F246,Налоги!$AB$25:$AB$83,$G246)</f>
        <v>0</v>
      </c>
      <c r="AX246" s="171">
        <f ca="1">SUMIFS(Налоги!AW$25:AW$83,Налоги!$F$25:$F$83,$F246,Налоги!$AB$25:$AB$83,$G246)</f>
        <v>0</v>
      </c>
      <c r="AY246" s="171">
        <f ca="1">SUMIFS(Налоги!AX$25:AX$83,Налоги!$F$25:$F$83,$F246,Налоги!$AB$25:$AB$83,$G246)</f>
        <v>0</v>
      </c>
      <c r="AZ246" s="171">
        <f ca="1">SUMIFS(Налоги!AY$25:AY$83,Налоги!$F$25:$F$83,$F246,Налоги!$AB$25:$AB$83,$G246)</f>
        <v>0</v>
      </c>
      <c r="BA246" s="171">
        <f ca="1">SUMIFS(Налоги!AZ$25:AZ$83,Налоги!$F$25:$F$83,$F246,Налоги!$AB$25:$AB$83,$G246)</f>
        <v>0</v>
      </c>
      <c r="BB246" s="171">
        <f ca="1">SUMIFS(Налоги!BA$25:BA$83,Налоги!$F$25:$F$83,$F246,Налоги!$AB$25:$AB$83,$G246)</f>
        <v>0</v>
      </c>
      <c r="BC246" s="171">
        <f ca="1">SUMIFS(Налоги!BB$25:BB$83,Налоги!$F$25:$F$83,$F246,Налоги!$AB$25:$AB$83,$G246)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1" t="str">
        <f ca="1">IF(IFERROR(INDEX(Налоги!$K$26:$L$83,MATCH($F246&amp;"10komm",Налоги!$K$26:$K$83,0),2),"")=0,"",IFERROR(INDEX(Налоги!$K$26:$L$83,MATCH($F246&amp;"10komm",Налоги!$K$26:$K$83,0),2),""))</f>
        <v/>
      </c>
      <c r="BP246" s="196"/>
      <c r="BS246" s="696" t="s">
        <v>2116</v>
      </c>
    </row>
    <row r="247" spans="2:75" ht="65.25" customHeight="1" x14ac:dyDescent="0.15">
      <c r="C247" s="25"/>
      <c r="D247" s="25"/>
      <c r="E247" s="451">
        <v>67.5</v>
      </c>
      <c r="F247" s="3" t="str" cm="1">
        <f t="array" aca="1" ref="F247" ca="1">OFFSET(E247,-1,1)</f>
        <v>1</v>
      </c>
      <c r="G247" s="25" t="s">
        <v>1453</v>
      </c>
      <c r="H247" s="25"/>
      <c r="I247" s="25" t="s">
        <v>961</v>
      </c>
      <c r="J247" s="25"/>
      <c r="K247" s="72" t="s">
        <v>961</v>
      </c>
      <c r="L247" s="25"/>
      <c r="M247" s="25"/>
      <c r="N247" s="25"/>
      <c r="O247" s="25"/>
      <c r="P247" s="25"/>
      <c r="Q247" s="25"/>
      <c r="R247" s="25"/>
      <c r="S247" s="25"/>
      <c r="T247" s="353" t="b" cm="1">
        <f t="array" aca="1" ref="T247" ca="1">T246</f>
        <v>1</v>
      </c>
      <c r="U247" s="25"/>
      <c r="V247" s="25"/>
      <c r="W247" s="25"/>
      <c r="X247" s="1022"/>
      <c r="Z247" s="967"/>
      <c r="AB247" s="7" t="s">
        <v>962</v>
      </c>
      <c r="AC247" s="550" t="s">
        <v>1456</v>
      </c>
      <c r="AD247" s="7" t="s">
        <v>828</v>
      </c>
      <c r="AE247" s="141"/>
      <c r="AF247" s="141"/>
      <c r="AG247" s="141"/>
      <c r="AH247" s="171">
        <f t="shared" si="55"/>
        <v>0</v>
      </c>
      <c r="AI247" s="141"/>
      <c r="AJ247" s="141"/>
      <c r="AK247" s="781"/>
      <c r="AL247" s="781"/>
      <c r="AM247" s="141"/>
      <c r="AN247" s="141"/>
      <c r="AO247" s="141"/>
      <c r="AP247" s="141"/>
      <c r="AQ247" s="141"/>
      <c r="AR247" s="141"/>
      <c r="AS247" s="141"/>
      <c r="AT247" s="141"/>
      <c r="AU247" s="781"/>
      <c r="AV247" s="781"/>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6" t="s">
        <v>2117</v>
      </c>
    </row>
    <row r="248" spans="2:75" ht="14.25" customHeight="1" x14ac:dyDescent="0.15">
      <c r="C248" s="25"/>
      <c r="D248" s="25"/>
      <c r="E248" s="451">
        <v>15</v>
      </c>
      <c r="F248" s="3" t="str" cm="1">
        <f t="array" aca="1" ref="F248" ca="1">OFFSET(E248,-1,1)</f>
        <v>1</v>
      </c>
      <c r="G248" s="25" t="s">
        <v>1065</v>
      </c>
      <c r="H248" s="25"/>
      <c r="I248" s="25" t="s">
        <v>964</v>
      </c>
      <c r="J248" s="25"/>
      <c r="K248" s="72" t="s">
        <v>964</v>
      </c>
      <c r="L248" s="25" t="s">
        <v>532</v>
      </c>
      <c r="M248" s="25"/>
      <c r="N248" s="25"/>
      <c r="O248" s="25"/>
      <c r="P248" s="25"/>
      <c r="Q248" s="25"/>
      <c r="R248" s="25"/>
      <c r="S248" s="25"/>
      <c r="T248" s="353" t="b" cm="1">
        <f t="array" aca="1" ref="T248" ca="1">T247</f>
        <v>1</v>
      </c>
      <c r="U248" s="25"/>
      <c r="V248" s="25"/>
      <c r="W248" s="25"/>
      <c r="X248" s="1022"/>
      <c r="Z248" s="967"/>
      <c r="AB248" s="7" t="s">
        <v>965</v>
      </c>
      <c r="AC248" s="127" t="s">
        <v>1065</v>
      </c>
      <c r="AD248" s="7" t="s">
        <v>828</v>
      </c>
      <c r="AE248" s="171">
        <f ca="1">SUMIFS(Аренда!AE$25:AE$67,Аренда!$F$25:$F$67,$F248,Аренда!$G$25:$G$67,"Арендная и концессионная плата, лизинговые платежи")</f>
        <v>0</v>
      </c>
      <c r="AF248" s="171">
        <f ca="1">SUMIFS(Аренда!AF$25:AF$67,Аренда!$F$25:$F$67,$F248,Аренда!$G$25:$G$67,"Арендная и концессионная плата, лизинговые платежи")</f>
        <v>0</v>
      </c>
      <c r="AG248" s="171">
        <f ca="1">SUMIFS(Аренда!AG$25:AG$67,Аренда!$F$25:$F$67,$F248,Аренда!$G$25:$G$67,"Арендная и концессионная плата, лизинговые платежи")</f>
        <v>0</v>
      </c>
      <c r="AH248" s="171">
        <f t="shared" ca="1" si="55"/>
        <v>0</v>
      </c>
      <c r="AI248" s="171">
        <f ca="1">SUMIFS(Аренда!AH$25:AH$67,Аренда!$F$25:$F$67,$F248,Аренда!$G$25:$G$67,"Арендная и концессионная плата, лизинговые платежи")</f>
        <v>0</v>
      </c>
      <c r="AJ248" s="171">
        <f ca="1">SUMIFS(Аренда!AI$25:AI$67,Аренда!$F$25:$F$67,$F248,Аренда!$G$25:$G$67,"Арендная и концессионная плата, лизинговые платежи")</f>
        <v>0</v>
      </c>
      <c r="AK248" s="171">
        <f ca="1">SUMIFS(Аренда!AJ$25:AJ$67,Аренда!$F$25:$F$67,$F248,Аренда!$G$25:$G$67,"Арендная и концессионная плата, лизинговые платежи")</f>
        <v>0</v>
      </c>
      <c r="AL248" s="171">
        <f ca="1">SUMIFS(Аренда!AK$25:AK$67,Аренда!$F$25:$F$67,$F248,Аренда!$G$25:$G$67,"Арендная и концессионная плата, лизинговые платежи")</f>
        <v>0</v>
      </c>
      <c r="AM248" s="171">
        <f ca="1">SUMIFS(Аренда!AL$25:AL$67,Аренда!$F$25:$F$67,$F248,Аренда!$G$25:$G$67,"Арендная и концессионная плата, лизинговые платежи")</f>
        <v>0</v>
      </c>
      <c r="AN248" s="171">
        <f ca="1">SUMIFS(Аренда!AM$25:AM$67,Аренда!$F$25:$F$67,$F248,Аренда!$G$25:$G$67,"Арендная и концессионная плата, лизинговые платежи")</f>
        <v>0</v>
      </c>
      <c r="AO248" s="171">
        <f ca="1">SUMIFS(Аренда!AN$25:AN$67,Аренда!$F$25:$F$67,$F248,Аренда!$G$25:$G$67,"Арендная и концессионная плата, лизинговые платежи")</f>
        <v>0</v>
      </c>
      <c r="AP248" s="171">
        <f ca="1">SUMIFS(Аренда!AO$25:AO$67,Аренда!$F$25:$F$67,$F248,Аренда!$G$25:$G$67,"Арендная и концессионная плата, лизинговые платежи")</f>
        <v>0</v>
      </c>
      <c r="AQ248" s="171">
        <f ca="1">SUMIFS(Аренда!AP$25:AP$67,Аренда!$F$25:$F$67,$F248,Аренда!$G$25:$G$67,"Арендная и концессионная плата, лизинговые платежи")</f>
        <v>0</v>
      </c>
      <c r="AR248" s="171">
        <f ca="1">SUMIFS(Аренда!AQ$25:AQ$67,Аренда!$F$25:$F$67,$F248,Аренда!$G$25:$G$67,"Арендная и концессионная плата, лизинговые платежи")</f>
        <v>0</v>
      </c>
      <c r="AS248" s="171">
        <f ca="1">SUMIFS(Аренда!AR$25:AR$67,Аренда!$F$25:$F$67,$F248,Аренда!$G$25:$G$67,"Арендная и концессионная плата, лизинговые платежи")</f>
        <v>0</v>
      </c>
      <c r="AT248" s="171">
        <f ca="1">SUMIFS(Аренда!AS$25:AS$67,Аренда!$F$25:$F$67,$F248,Аренда!$G$25:$G$67,"Арендная и концессионная плата, лизинговые платежи")</f>
        <v>0</v>
      </c>
      <c r="AU248" s="171">
        <f ca="1">SUMIFS(Аренда!AT$25:AT$67,Аренда!$F$25:$F$67,$F248,Аренда!$G$25:$G$67,"Арендная и концессионная плата, лизинговые платежи")</f>
        <v>0</v>
      </c>
      <c r="AV248" s="171">
        <f ca="1">SUMIFS(Аренда!AU$25:AU$67,Аренда!$F$25:$F$67,$F248,Аренда!$G$25:$G$67,"Арендная и концессионная плата, лизинговые платежи")</f>
        <v>0</v>
      </c>
      <c r="AW248" s="171">
        <f ca="1">SUMIFS(Аренда!AV$25:AV$67,Аренда!$F$25:$F$67,$F248,Аренда!$G$25:$G$67,"Арендная и концессионная плата, лизинговые платежи")</f>
        <v>0</v>
      </c>
      <c r="AX248" s="171">
        <f ca="1">SUMIFS(Аренда!AW$25:AW$67,Аренда!$F$25:$F$67,$F248,Аренда!$G$25:$G$67,"Арендная и концессионная плата, лизинговые платежи")</f>
        <v>0</v>
      </c>
      <c r="AY248" s="171">
        <f ca="1">SUMIFS(Аренда!AX$25:AX$67,Аренда!$F$25:$F$67,$F248,Аренда!$G$25:$G$67,"Арендная и концессионная плата, лизинговые платежи")</f>
        <v>0</v>
      </c>
      <c r="AZ248" s="171">
        <f ca="1">SUMIFS(Аренда!AY$25:AY$67,Аренда!$F$25:$F$67,$F248,Аренда!$G$25:$G$67,"Арендная и концессионная плата, лизинговые платежи")</f>
        <v>0</v>
      </c>
      <c r="BA248" s="171">
        <f ca="1">SUMIFS(Аренда!AZ$25:AZ$67,Аренда!$F$25:$F$67,$F248,Аренда!$G$25:$G$67,"Арендная и концессионная плата, лизинговые платежи")</f>
        <v>0</v>
      </c>
      <c r="BB248" s="171">
        <f ca="1">SUMIFS(Аренда!BA$25:BA$67,Аренда!$F$25:$F$67,$F248,Аренда!$G$25:$G$67,"Арендная и концессионная плата, лизинговые платежи")</f>
        <v>0</v>
      </c>
      <c r="BC248" s="171">
        <f ca="1">SUMIFS(Аренда!BB$25:BB$67,Аренда!$F$25:$F$67,$F248,Аренда!$G$25:$G$67,"Арендная и концессионная плата, лизинговые платежи")</f>
        <v>0</v>
      </c>
      <c r="BD248" s="171">
        <f t="shared" ca="1" si="57"/>
        <v>0</v>
      </c>
      <c r="BE248" s="171">
        <f t="shared" ca="1" si="58"/>
        <v>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c r="BO248" s="601" t="str">
        <f ca="1">IF(IFERROR(INDEX(Аренда!$K$26:$L$67,MATCH($F248&amp;"komm",Аренда!$K$26:$K$67,0),2),"")=0,"",IFERROR(INDEX(Аренда!$K$26:$L$67,MATCH($F248&amp;"komm",Аренда!$K$26:$K$67,0),2),""))</f>
        <v/>
      </c>
      <c r="BP248" s="196"/>
      <c r="BS248" s="696" t="s">
        <v>2118</v>
      </c>
    </row>
    <row r="249" spans="2:75" ht="14.25" hidden="1" customHeight="1" x14ac:dyDescent="0.15">
      <c r="B249" s="329" t="b">
        <f>STATUS_GO="да"</f>
        <v>0</v>
      </c>
      <c r="C249" s="25"/>
      <c r="D249" s="25"/>
      <c r="E249" s="451">
        <v>15</v>
      </c>
      <c r="F249" s="3" t="str" cm="1">
        <f t="array" aca="1" ref="F249" ca="1">OFFSET(E249,-1,1)</f>
        <v>1</v>
      </c>
      <c r="G249" s="25"/>
      <c r="H249" s="25"/>
      <c r="I249" s="25" t="s">
        <v>2119</v>
      </c>
      <c r="J249" s="25"/>
      <c r="K249" s="72" t="s">
        <v>2119</v>
      </c>
      <c r="L249" s="25"/>
      <c r="M249" s="25"/>
      <c r="N249" s="25"/>
      <c r="O249" s="25"/>
      <c r="P249" s="25"/>
      <c r="Q249" s="25"/>
      <c r="R249" s="25"/>
      <c r="S249" s="25"/>
      <c r="T249" s="353" t="b" cm="1">
        <f t="array" aca="1" ref="T249" ca="1">T248</f>
        <v>1</v>
      </c>
      <c r="U249" s="25"/>
      <c r="V249" s="25"/>
      <c r="W249" s="25"/>
      <c r="X249" s="1022"/>
      <c r="Z249" s="967"/>
      <c r="AB249" s="7" t="s">
        <v>1520</v>
      </c>
      <c r="AC249" s="127" t="s">
        <v>2120</v>
      </c>
      <c r="AD249" s="7" t="s">
        <v>828</v>
      </c>
      <c r="AE249" s="778" cm="1">
        <f t="array" aca="1" ref="AE249" ca="1">AE250</f>
        <v>0</v>
      </c>
      <c r="AF249" s="778" cm="1">
        <f t="array" aca="1" ref="AF249" ca="1">AF250</f>
        <v>0</v>
      </c>
      <c r="AG249" s="778" cm="1">
        <f t="array" aca="1" ref="AG249" ca="1">AG250</f>
        <v>0</v>
      </c>
      <c r="AH249" s="171">
        <f t="shared" ca="1" si="55"/>
        <v>0</v>
      </c>
      <c r="AI249" s="778" cm="1">
        <f t="array" aca="1" ref="AI249" ca="1">AI250</f>
        <v>0</v>
      </c>
      <c r="AJ249" s="128" cm="1">
        <f t="array" aca="1" ref="AJ249" ca="1">AJ250</f>
        <v>0</v>
      </c>
      <c r="AK249" s="778" cm="1">
        <f t="array" ref="AK249">AK250</f>
        <v>0</v>
      </c>
      <c r="AL249" s="778" cm="1">
        <f t="array" ref="AL249">AL250</f>
        <v>0</v>
      </c>
      <c r="AM249" s="778" cm="1">
        <f t="array" ref="AM249">AM250</f>
        <v>0</v>
      </c>
      <c r="AN249" s="778" cm="1">
        <f t="array" ref="AN249">AN250</f>
        <v>0</v>
      </c>
      <c r="AO249" s="778" cm="1">
        <f t="array" ref="AO249">AO250</f>
        <v>0</v>
      </c>
      <c r="AP249" s="778" cm="1">
        <f t="array" ref="AP249">AP250</f>
        <v>0</v>
      </c>
      <c r="AQ249" s="778" cm="1">
        <f t="array" ref="AQ249">AQ250</f>
        <v>0</v>
      </c>
      <c r="AR249" s="778" cm="1">
        <f t="array" ref="AR249">AR250</f>
        <v>0</v>
      </c>
      <c r="AS249" s="778" cm="1">
        <f t="array" ref="AS249">AS250</f>
        <v>0</v>
      </c>
      <c r="AT249" s="128" cm="1">
        <f t="array" aca="1" ref="AT249" ca="1">AT250</f>
        <v>0</v>
      </c>
      <c r="AU249" s="778" cm="1">
        <f t="array" ref="AU249">AU250</f>
        <v>0</v>
      </c>
      <c r="AV249" s="778" cm="1">
        <f t="array" ref="AV249">AV250</f>
        <v>0</v>
      </c>
      <c r="AW249" s="778" cm="1">
        <f t="array" ref="AW249">AW250</f>
        <v>0</v>
      </c>
      <c r="AX249" s="778" cm="1">
        <f t="array" ref="AX249">AX250</f>
        <v>0</v>
      </c>
      <c r="AY249" s="778" cm="1">
        <f t="array" ref="AY249">AY250</f>
        <v>0</v>
      </c>
      <c r="AZ249" s="778" cm="1">
        <f t="array" ref="AZ249">AZ250</f>
        <v>0</v>
      </c>
      <c r="BA249" s="778" cm="1">
        <f t="array" ref="BA249">BA250</f>
        <v>0</v>
      </c>
      <c r="BB249" s="778" cm="1">
        <f t="array" ref="BB249">BB250</f>
        <v>0</v>
      </c>
      <c r="BC249" s="778"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775"/>
      <c r="BO249" s="775"/>
      <c r="BP249" s="775"/>
      <c r="BS249" s="696" t="s">
        <v>2121</v>
      </c>
    </row>
    <row r="250" spans="2:75" ht="14.25" hidden="1" customHeight="1" x14ac:dyDescent="0.15">
      <c r="B250" s="329" t="b">
        <f>STATUS_GO="да"</f>
        <v>0</v>
      </c>
      <c r="C250" s="25"/>
      <c r="D250" s="25"/>
      <c r="E250" s="451">
        <v>15</v>
      </c>
      <c r="F250" s="3" t="str" cm="1">
        <f t="array" aca="1" ref="F250" ca="1">OFFSET(E250,-1,1)</f>
        <v>1</v>
      </c>
      <c r="G250" s="25" t="s">
        <v>1462</v>
      </c>
      <c r="H250" s="25"/>
      <c r="I250" s="25" t="s">
        <v>2122</v>
      </c>
      <c r="J250" s="25"/>
      <c r="K250" s="72" t="s">
        <v>2122</v>
      </c>
      <c r="L250" s="25"/>
      <c r="M250" s="25"/>
      <c r="N250" s="25"/>
      <c r="O250" s="25"/>
      <c r="P250" s="25"/>
      <c r="Q250" s="25"/>
      <c r="R250" s="25"/>
      <c r="S250" s="25"/>
      <c r="T250" s="353" t="b" cm="1">
        <f t="array" aca="1" ref="T250" ca="1">T249</f>
        <v>1</v>
      </c>
      <c r="U250" s="25"/>
      <c r="V250" s="25"/>
      <c r="W250" s="25"/>
      <c r="X250" s="1022"/>
      <c r="Z250" s="967"/>
      <c r="AB250" s="7" t="s">
        <v>2123</v>
      </c>
      <c r="AC250" s="134" t="s">
        <v>1462</v>
      </c>
      <c r="AD250" s="7" t="s">
        <v>828</v>
      </c>
      <c r="AE250" s="171">
        <f ca="1">SUMIFS('Сбытовые расходы ГО'!AE$25:AE$75,'Сбытовые расходы ГО'!$F$25:$F$75,$F250,'Сбытовые расходы ГО'!$G$25:$G$75,"l1")</f>
        <v>0</v>
      </c>
      <c r="AF250" s="171">
        <f ca="1">SUMIFS('Сбытовые расходы ГО'!AF$25:AF$75,'Сбытовые расходы ГО'!$F$25:$F$75,$F250,'Сбытовые расходы ГО'!$G$25:$G$75,"l1")</f>
        <v>0</v>
      </c>
      <c r="AG250" s="171">
        <f ca="1">SUMIFS('Сбытовые расходы ГО'!AG$25:AG$75,'Сбытовые расходы ГО'!$F$25:$F$75,$F250,'Сбытовые расходы ГО'!$G$25:$G$75,"l1")</f>
        <v>0</v>
      </c>
      <c r="AH250" s="171">
        <f t="shared" ca="1" si="55"/>
        <v>0</v>
      </c>
      <c r="AI250" s="171">
        <f ca="1">SUMIFS('Сбытовые расходы ГО'!AH$25:AH$75,'Сбытовые расходы ГО'!$F$25:$F$75,$F250,'Сбытовые расходы ГО'!$G$25:$G$75,"l1")</f>
        <v>0</v>
      </c>
      <c r="AJ250" s="171">
        <f ca="1">SUMIFS('Сбытовые расходы ГО'!AI$25:AI$75,'Сбытовые расходы ГО'!$F$25:$F$75,$F250,'Сбытовые расходы ГО'!$G$25:$G$75,"l1")</f>
        <v>0</v>
      </c>
      <c r="AK250" s="778"/>
      <c r="AL250" s="778"/>
      <c r="AM250" s="778"/>
      <c r="AN250" s="778"/>
      <c r="AO250" s="778"/>
      <c r="AP250" s="778"/>
      <c r="AQ250" s="778"/>
      <c r="AR250" s="778"/>
      <c r="AS250" s="778"/>
      <c r="AT250" s="171">
        <f ca="1">SUMIFS('Сбытовые расходы ГО'!AJ$25:AJ$75,'Сбытовые расходы ГО'!$F$25:$F$75,$F250,'Сбытовые расходы ГО'!$G$25:$G$75,"l1")</f>
        <v>0</v>
      </c>
      <c r="AU250" s="778"/>
      <c r="AV250" s="778"/>
      <c r="AW250" s="778"/>
      <c r="AX250" s="778"/>
      <c r="AY250" s="778"/>
      <c r="AZ250" s="778"/>
      <c r="BA250" s="778"/>
      <c r="BB250" s="778"/>
      <c r="BC250" s="778"/>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775"/>
      <c r="BO250" s="779" t="str">
        <f ca="1">IF(IFERROR(INDEX('Сбытовые расходы ГО'!$K$26:$M$75,MATCH($F250&amp;"komm",'Сбытовые расходы ГО'!$K$26:$K$75,0),2),"")=0,"",IFERROR(INDEX('Сбытовые расходы ГО'!$K$26:$M$75,MATCH($F250&amp;"komm",'Сбытовые расходы ГО'!$K$26:$K$75,0),2),""))</f>
        <v/>
      </c>
      <c r="BP250" s="775"/>
      <c r="BS250" s="696" t="s">
        <v>2124</v>
      </c>
    </row>
    <row r="251" spans="2:75" ht="14.65" customHeight="1" x14ac:dyDescent="0.15">
      <c r="C251" s="25"/>
      <c r="D251" s="25"/>
      <c r="E251" s="451">
        <v>15</v>
      </c>
      <c r="F251" s="3" t="str" cm="1">
        <f t="array" aca="1" ref="F251" ca="1">OFFSET(E251,-1,1)</f>
        <v>1</v>
      </c>
      <c r="G251" s="25" t="s">
        <v>1467</v>
      </c>
      <c r="H251" s="25"/>
      <c r="I251" s="25" t="s">
        <v>2125</v>
      </c>
      <c r="J251" s="25"/>
      <c r="K251" s="72" t="s">
        <v>2125</v>
      </c>
      <c r="L251" s="25"/>
      <c r="M251" s="25"/>
      <c r="N251" s="25"/>
      <c r="O251" s="25"/>
      <c r="P251" s="25"/>
      <c r="Q251" s="25"/>
      <c r="R251" s="25"/>
      <c r="S251" s="25"/>
      <c r="T251" s="353" t="b" cm="1">
        <f t="array" aca="1" ref="T251" ca="1">T250</f>
        <v>1</v>
      </c>
      <c r="U251" s="25"/>
      <c r="V251" s="25"/>
      <c r="W251" s="25"/>
      <c r="X251" s="1022"/>
      <c r="Z251" s="967"/>
      <c r="AB251" s="7" t="s">
        <v>1525</v>
      </c>
      <c r="AC251" s="127" t="s">
        <v>1467</v>
      </c>
      <c r="AD251" s="7" t="s">
        <v>828</v>
      </c>
      <c r="AE251" s="128">
        <v>0</v>
      </c>
      <c r="AF251" s="128"/>
      <c r="AG251" s="128"/>
      <c r="AH251" s="171">
        <f t="shared" si="55"/>
        <v>0</v>
      </c>
      <c r="AI251" s="128">
        <v>0</v>
      </c>
      <c r="AJ251" s="128">
        <f ca="1">SUMIFS(Экономия_корр!AE$25:AE$59,Экономия_корр!$F$25:$F$59,$F251,Экономия_корр!$AC$25:$AC$59,"Экономия расходов с учетом ИПЦ")</f>
        <v>0</v>
      </c>
      <c r="AK251" s="778">
        <f ca="1">SUMIFS(Экономия_корр!AF$25:AF$59,Экономия_корр!$F$25:$F$59,$F251,Экономия_корр!$AC$25:$AC$59,"Экономия расходов с учетом ИПЦ")</f>
        <v>0</v>
      </c>
      <c r="AL251" s="778">
        <f ca="1">SUMIFS(Экономия_корр!AG$25:AG$59,Экономия_корр!$F$25:$F$59,$F251,Экономия_корр!$AC$25:$AC$59,"Экономия расходов с учетом ИПЦ")</f>
        <v>0</v>
      </c>
      <c r="AM251" s="128">
        <f ca="1">SUMIFS(Экономия_корр!AH$25:AH$59,Экономия_корр!$F$25:$F$59,$F251,Экономия_корр!$AC$25:$AC$59,"Экономия расходов с учетом ИПЦ")</f>
        <v>0</v>
      </c>
      <c r="AN251" s="128">
        <f ca="1">SUMIFS(Экономия_корр!AI$25:AI$59,Экономия_корр!$F$25:$F$59,$F251,Экономия_корр!$AC$25:$AC$59,"Экономия расходов с учетом ИПЦ")</f>
        <v>0</v>
      </c>
      <c r="AO251" s="128">
        <f ca="1">SUMIFS(Экономия_корр!AJ$25:AJ$59,Экономия_корр!$F$25:$F$59,$F251,Экономия_корр!$AC$25:$AC$59,"Экономия расходов с учетом ИПЦ")</f>
        <v>0</v>
      </c>
      <c r="AP251" s="128">
        <f ca="1">SUMIFS(Экономия_корр!AK$25:AK$59,Экономия_корр!$F$25:$F$59,$F251,Экономия_корр!$AC$25:$AC$59,"Экономия расходов с учетом ИПЦ")</f>
        <v>0</v>
      </c>
      <c r="AQ251" s="128">
        <f ca="1">SUMIFS(Экономия_корр!AL$25:AL$59,Экономия_корр!$F$25:$F$59,$F251,Экономия_корр!$AC$25:$AC$59,"Экономия расходов с учетом ИПЦ")</f>
        <v>0</v>
      </c>
      <c r="AR251" s="128">
        <f ca="1">SUMIFS(Экономия_корр!AM$25:AM$59,Экономия_корр!$F$25:$F$59,$F251,Экономия_корр!$AC$25:$AC$59,"Экономия расходов с учетом ИПЦ")</f>
        <v>0</v>
      </c>
      <c r="AS251" s="128">
        <f ca="1">SUMIFS(Экономия_корр!AN$25:AN$59,Экономия_корр!$F$25:$F$59,$F251,Экономия_корр!$AC$25:$AC$59,"Экономия расходов с учетом ИПЦ")</f>
        <v>0</v>
      </c>
      <c r="AT251" s="128">
        <f ca="1">SUMIFS(Экономия_корр!AO$25:AO$59,Экономия_корр!$F$25:$F$59,$F251,Экономия_корр!$AC$25:$AC$59,"Экономия расходов с учетом ИПЦ")</f>
        <v>0</v>
      </c>
      <c r="AU251" s="778">
        <f ca="1">SUMIFS(Экономия_корр!AP$25:AP$59,Экономия_корр!$F$25:$F$59,$F251,Экономия_корр!$AC$25:$AC$59,"Экономия расходов с учетом ИПЦ")</f>
        <v>0</v>
      </c>
      <c r="AV251" s="778">
        <f ca="1">SUMIFS(Экономия_корр!AQ$25:AQ$59,Экономия_корр!$F$25:$F$59,$F251,Экономия_корр!$AC$25:$AC$59,"Экономия расходов с учетом ИПЦ")</f>
        <v>0</v>
      </c>
      <c r="AW251" s="128">
        <f ca="1">SUMIFS(Экономия_корр!AR$25:AR$59,Экономия_корр!$F$25:$F$59,$F251,Экономия_корр!$AC$25:$AC$59,"Экономия расходов с учетом ИПЦ")</f>
        <v>0</v>
      </c>
      <c r="AX251" s="128">
        <f ca="1">SUMIFS(Экономия_корр!AS$25:AS$59,Экономия_корр!$F$25:$F$59,$F251,Экономия_корр!$AC$25:$AC$59,"Экономия расходов с учетом ИПЦ")</f>
        <v>0</v>
      </c>
      <c r="AY251" s="128">
        <f ca="1">SUMIFS(Экономия_корр!AT$25:AT$59,Экономия_корр!$F$25:$F$59,$F251,Экономия_корр!$AC$25:$AC$59,"Экономия расходов с учетом ИПЦ")</f>
        <v>0</v>
      </c>
      <c r="AZ251" s="128">
        <f ca="1">SUMIFS(Экономия_корр!AU$25:AU$59,Экономия_корр!$F$25:$F$59,$F251,Экономия_корр!$AC$25:$AC$59,"Экономия расходов с учетом ИПЦ")</f>
        <v>0</v>
      </c>
      <c r="BA251" s="128">
        <f ca="1">SUMIFS(Экономия_корр!AV$25:AV$59,Экономия_корр!$F$25:$F$59,$F251,Экономия_корр!$AC$25:$AC$59,"Экономия расходов с учетом ИПЦ")</f>
        <v>0</v>
      </c>
      <c r="BB251" s="128">
        <f ca="1">SUMIFS(Экономия_корр!AW$25:AW$59,Экономия_корр!$F$25:$F$59,$F251,Экономия_корр!$AC$25:$AC$59,"Экономия расходов с учетом ИПЦ")</f>
        <v>0</v>
      </c>
      <c r="BC251" s="128">
        <f ca="1">SUMIFS(Экономия_корр!AX$25:AX$59,Экономия_корр!$F$25:$F$59,$F251,Экономия_корр!$AC$25:$AC$59,"Экономия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6" t="s">
        <v>2126</v>
      </c>
    </row>
    <row r="252" spans="2:75" ht="14.25" customHeight="1" x14ac:dyDescent="0.15">
      <c r="C252" s="25"/>
      <c r="D252" s="25"/>
      <c r="E252" s="451">
        <v>15</v>
      </c>
      <c r="F252" s="3" t="str" cm="1">
        <f t="array" aca="1" ref="F252" ca="1">OFFSET(E252,-1,1)</f>
        <v>1</v>
      </c>
      <c r="G252" s="25" t="s">
        <v>1472</v>
      </c>
      <c r="H252" s="25"/>
      <c r="I252" s="25" t="s">
        <v>2127</v>
      </c>
      <c r="J252" s="25"/>
      <c r="K252" s="72" t="s">
        <v>2127</v>
      </c>
      <c r="L252" s="25"/>
      <c r="M252" s="25"/>
      <c r="N252" s="25"/>
      <c r="O252" s="25"/>
      <c r="P252" s="25"/>
      <c r="Q252" s="25"/>
      <c r="R252" s="25"/>
      <c r="S252" s="25"/>
      <c r="T252" s="353" t="b" cm="1">
        <f t="array" aca="1" ref="T252" ca="1">T251</f>
        <v>1</v>
      </c>
      <c r="U252" s="25"/>
      <c r="V252" s="25"/>
      <c r="W252" s="25"/>
      <c r="X252" s="1022"/>
      <c r="Z252" s="967"/>
      <c r="AB252" s="7" t="s">
        <v>2128</v>
      </c>
      <c r="AC252" s="127" t="s">
        <v>1472</v>
      </c>
      <c r="AD252" s="7" t="s">
        <v>828</v>
      </c>
      <c r="AE252" s="128"/>
      <c r="AF252" s="128"/>
      <c r="AG252" s="128"/>
      <c r="AH252" s="171">
        <f t="shared" si="55"/>
        <v>0</v>
      </c>
      <c r="AI252" s="128"/>
      <c r="AJ252" s="128"/>
      <c r="AK252" s="778"/>
      <c r="AL252" s="778"/>
      <c r="AM252" s="128"/>
      <c r="AN252" s="128"/>
      <c r="AO252" s="128"/>
      <c r="AP252" s="128"/>
      <c r="AQ252" s="128"/>
      <c r="AR252" s="128"/>
      <c r="AS252" s="128"/>
      <c r="AT252" s="128"/>
      <c r="AU252" s="778"/>
      <c r="AV252" s="778"/>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6" t="s">
        <v>1856</v>
      </c>
    </row>
    <row r="253" spans="2:75" ht="14.25" customHeight="1" x14ac:dyDescent="0.15">
      <c r="C253" s="25"/>
      <c r="D253" s="25"/>
      <c r="E253" s="451">
        <v>15</v>
      </c>
      <c r="F253" s="3" t="str" cm="1">
        <f t="array" aca="1" ref="F253" ca="1">OFFSET(E253,-1,1)</f>
        <v>1</v>
      </c>
      <c r="G253" s="25" t="s">
        <v>1477</v>
      </c>
      <c r="H253" s="25"/>
      <c r="I253" s="25" t="s">
        <v>2129</v>
      </c>
      <c r="J253" s="25"/>
      <c r="K253" s="72" t="s">
        <v>2129</v>
      </c>
      <c r="L253" s="25"/>
      <c r="M253" s="25"/>
      <c r="N253" s="25"/>
      <c r="O253" s="25"/>
      <c r="P253" s="25"/>
      <c r="Q253" s="25"/>
      <c r="R253" s="25"/>
      <c r="S253" s="25"/>
      <c r="T253" s="353" t="b" cm="1">
        <f t="array" aca="1" ref="T253" ca="1">T252</f>
        <v>1</v>
      </c>
      <c r="U253" s="25"/>
      <c r="V253" s="25"/>
      <c r="W253" s="25"/>
      <c r="X253" s="1022"/>
      <c r="Z253" s="967"/>
      <c r="AB253" s="7" t="s">
        <v>1544</v>
      </c>
      <c r="AC253" s="127" t="s">
        <v>1477</v>
      </c>
      <c r="AD253" s="7" t="s">
        <v>828</v>
      </c>
      <c r="AE253" s="128"/>
      <c r="AF253" s="128"/>
      <c r="AG253" s="128"/>
      <c r="AH253" s="171">
        <f t="shared" si="55"/>
        <v>0</v>
      </c>
      <c r="AI253" s="128"/>
      <c r="AJ253" s="128"/>
      <c r="AK253" s="778"/>
      <c r="AL253" s="778"/>
      <c r="AM253" s="128"/>
      <c r="AN253" s="128"/>
      <c r="AO253" s="128"/>
      <c r="AP253" s="128"/>
      <c r="AQ253" s="128"/>
      <c r="AR253" s="128"/>
      <c r="AS253" s="128"/>
      <c r="AT253" s="128"/>
      <c r="AU253" s="778"/>
      <c r="AV253" s="778"/>
      <c r="AW253" s="128"/>
      <c r="AX253" s="128"/>
      <c r="AY253" s="128"/>
      <c r="AZ253" s="128"/>
      <c r="BA253" s="128"/>
      <c r="BB253" s="128"/>
      <c r="BC253" s="128"/>
      <c r="BD253" s="171">
        <f t="shared" si="57"/>
        <v>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6" t="s">
        <v>2130</v>
      </c>
    </row>
    <row r="254" spans="2:75" ht="14.25" customHeight="1" x14ac:dyDescent="0.15">
      <c r="C254" s="25"/>
      <c r="D254" s="25"/>
      <c r="E254" s="451">
        <v>15</v>
      </c>
      <c r="F254" s="3" t="str" cm="1">
        <f t="array" aca="1" ref="F254" ca="1">OFFSET(E254,-1,1)</f>
        <v>1</v>
      </c>
      <c r="G254" s="25" t="s">
        <v>1482</v>
      </c>
      <c r="H254" s="25"/>
      <c r="I254" s="25" t="s">
        <v>2131</v>
      </c>
      <c r="J254" s="25"/>
      <c r="K254" s="72" t="s">
        <v>2131</v>
      </c>
      <c r="L254" s="25"/>
      <c r="M254" s="25"/>
      <c r="N254" s="25"/>
      <c r="O254" s="25"/>
      <c r="P254" s="25"/>
      <c r="Q254" s="25"/>
      <c r="R254" s="25"/>
      <c r="S254" s="25"/>
      <c r="T254" s="353" t="b" cm="1">
        <f t="array" aca="1" ref="T254" ca="1">T253</f>
        <v>1</v>
      </c>
      <c r="U254" s="25"/>
      <c r="V254" s="25"/>
      <c r="W254" s="25"/>
      <c r="X254" s="1022"/>
      <c r="Z254" s="967"/>
      <c r="AB254" s="7" t="s">
        <v>1548</v>
      </c>
      <c r="AC254" s="127" t="s">
        <v>1482</v>
      </c>
      <c r="AD254" s="7" t="s">
        <v>828</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6" t="s">
        <v>2132</v>
      </c>
    </row>
    <row r="255" spans="2:75" ht="14.25" customHeight="1" x14ac:dyDescent="0.15">
      <c r="C255" s="25"/>
      <c r="D255" s="25"/>
      <c r="E255" s="451">
        <v>15</v>
      </c>
      <c r="F255" s="3" t="str" cm="1">
        <f t="array" aca="1" ref="F255" ca="1">OFFSET(E255,-1,1)</f>
        <v>1</v>
      </c>
      <c r="G255" s="25"/>
      <c r="H255" s="25"/>
      <c r="I255" s="25" t="s">
        <v>2133</v>
      </c>
      <c r="J255" s="25"/>
      <c r="K255" s="72" t="s">
        <v>2133</v>
      </c>
      <c r="L255" s="25"/>
      <c r="M255" s="25"/>
      <c r="N255" s="25"/>
      <c r="O255" s="25"/>
      <c r="P255" s="25"/>
      <c r="Q255" s="25"/>
      <c r="R255" s="25"/>
      <c r="S255" s="25"/>
      <c r="T255" s="353" t="b" cm="1">
        <f t="array" aca="1" ref="T255" ca="1">T254</f>
        <v>1</v>
      </c>
      <c r="U255" s="25"/>
      <c r="V255" s="25"/>
      <c r="W255" s="25"/>
      <c r="X255" s="1022"/>
      <c r="Z255" s="967"/>
      <c r="AB255" s="7" t="s">
        <v>2134</v>
      </c>
      <c r="AC255" s="134" t="s">
        <v>2135</v>
      </c>
      <c r="AD255" s="7" t="s">
        <v>828</v>
      </c>
      <c r="AE255" s="128"/>
      <c r="AF255" s="128"/>
      <c r="AG255" s="128"/>
      <c r="AH255" s="171">
        <f t="shared" si="55"/>
        <v>0</v>
      </c>
      <c r="AI255" s="128"/>
      <c r="AJ255" s="128"/>
      <c r="AK255" s="778"/>
      <c r="AL255" s="778"/>
      <c r="AM255" s="128"/>
      <c r="AN255" s="128"/>
      <c r="AO255" s="128"/>
      <c r="AP255" s="128"/>
      <c r="AQ255" s="128"/>
      <c r="AR255" s="128"/>
      <c r="AS255" s="128"/>
      <c r="AT255" s="128"/>
      <c r="AU255" s="778"/>
      <c r="AV255" s="778"/>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6" t="s">
        <v>1268</v>
      </c>
    </row>
    <row r="256" spans="2:75" ht="14.25" customHeight="1" x14ac:dyDescent="0.15">
      <c r="C256" s="25"/>
      <c r="D256" s="25"/>
      <c r="E256" s="451">
        <v>15</v>
      </c>
      <c r="F256" s="3" t="str" cm="1">
        <f t="array" aca="1" ref="F256" ca="1">OFFSET(E256,-1,1)</f>
        <v>1</v>
      </c>
      <c r="G256" s="25"/>
      <c r="H256" s="25"/>
      <c r="I256" s="25" t="s">
        <v>2136</v>
      </c>
      <c r="J256" s="25"/>
      <c r="K256" s="72" t="s">
        <v>2136</v>
      </c>
      <c r="L256" s="25" t="s">
        <v>951</v>
      </c>
      <c r="M256" s="25"/>
      <c r="N256" s="25"/>
      <c r="O256" s="25"/>
      <c r="P256" s="25"/>
      <c r="Q256" s="25"/>
      <c r="R256" s="25"/>
      <c r="S256" s="25"/>
      <c r="T256" s="353" t="b" cm="1">
        <f t="array" aca="1" ref="T256" ca="1">T255</f>
        <v>1</v>
      </c>
      <c r="U256" s="25"/>
      <c r="V256" s="25"/>
      <c r="W256" s="25"/>
      <c r="X256" s="1022"/>
      <c r="Z256" s="967"/>
      <c r="AB256" s="7" t="s">
        <v>2137</v>
      </c>
      <c r="AC256" s="134" t="s">
        <v>2138</v>
      </c>
      <c r="AD256" s="7" t="s">
        <v>828</v>
      </c>
      <c r="AE256" s="128"/>
      <c r="AF256" s="128"/>
      <c r="AG256" s="128"/>
      <c r="AH256" s="171">
        <f t="shared" si="55"/>
        <v>0</v>
      </c>
      <c r="AI256" s="128"/>
      <c r="AJ256" s="128"/>
      <c r="AK256" s="778"/>
      <c r="AL256" s="778"/>
      <c r="AM256" s="128"/>
      <c r="AN256" s="128"/>
      <c r="AO256" s="128"/>
      <c r="AP256" s="128"/>
      <c r="AQ256" s="128"/>
      <c r="AR256" s="128"/>
      <c r="AS256" s="128"/>
      <c r="AT256" s="128"/>
      <c r="AU256" s="778"/>
      <c r="AV256" s="778"/>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6" t="s">
        <v>2139</v>
      </c>
    </row>
    <row r="257" spans="1:75" ht="21.75" customHeight="1" x14ac:dyDescent="0.15">
      <c r="C257" s="25"/>
      <c r="D257" s="25"/>
      <c r="E257" s="451">
        <v>22.5</v>
      </c>
      <c r="F257" s="3" t="str" cm="1">
        <f t="array" aca="1" ref="F257" ca="1">OFFSET(E257,-1,1)</f>
        <v>1</v>
      </c>
      <c r="G257" s="25" t="s">
        <v>1487</v>
      </c>
      <c r="H257" s="25"/>
      <c r="I257" s="25" t="s">
        <v>2140</v>
      </c>
      <c r="J257" s="25"/>
      <c r="K257" s="72" t="s">
        <v>2140</v>
      </c>
      <c r="L257" s="25"/>
      <c r="M257" s="25"/>
      <c r="N257" s="25"/>
      <c r="O257" s="25"/>
      <c r="P257" s="25"/>
      <c r="Q257" s="25"/>
      <c r="R257" s="25"/>
      <c r="S257" s="25"/>
      <c r="T257" s="353" t="b" cm="1">
        <f t="array" aca="1" ref="T257" ca="1">T256</f>
        <v>1</v>
      </c>
      <c r="U257" s="25"/>
      <c r="V257" s="25"/>
      <c r="W257" s="25"/>
      <c r="X257" s="1022"/>
      <c r="Z257" s="967"/>
      <c r="AB257" s="7" t="s">
        <v>1551</v>
      </c>
      <c r="AC257" s="127" t="s">
        <v>2141</v>
      </c>
      <c r="AD257" s="7" t="s">
        <v>828</v>
      </c>
      <c r="AE257" s="128"/>
      <c r="AF257" s="128"/>
      <c r="AG257" s="128"/>
      <c r="AH257" s="171">
        <f t="shared" si="55"/>
        <v>0</v>
      </c>
      <c r="AI257" s="128"/>
      <c r="AJ257" s="128"/>
      <c r="AK257" s="778"/>
      <c r="AL257" s="778"/>
      <c r="AM257" s="128"/>
      <c r="AN257" s="128"/>
      <c r="AO257" s="128"/>
      <c r="AP257" s="128"/>
      <c r="AQ257" s="128"/>
      <c r="AR257" s="128"/>
      <c r="AS257" s="128"/>
      <c r="AT257" s="128"/>
      <c r="AU257" s="778"/>
      <c r="AV257" s="778"/>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6" t="s">
        <v>2142</v>
      </c>
    </row>
    <row r="258" spans="1:75" s="870" customFormat="1" ht="264.75" customHeight="1" x14ac:dyDescent="0.15">
      <c r="A258" s="76"/>
      <c r="B258" s="332"/>
      <c r="C258" s="27"/>
      <c r="D258" s="27"/>
      <c r="E258" s="559">
        <v>21</v>
      </c>
      <c r="F258" s="3" t="str" cm="1">
        <f t="array" aca="1" ref="F258" ca="1">OFFSET(E258,-1,1)</f>
        <v>1</v>
      </c>
      <c r="G258" s="25" t="s">
        <v>2143</v>
      </c>
      <c r="H258" s="25"/>
      <c r="I258" s="25" t="s">
        <v>333</v>
      </c>
      <c r="J258" s="27"/>
      <c r="K258" s="72" t="s">
        <v>333</v>
      </c>
      <c r="L258" s="27" t="s">
        <v>1344</v>
      </c>
      <c r="M258" s="27"/>
      <c r="N258" s="27"/>
      <c r="O258" s="27"/>
      <c r="P258" s="27"/>
      <c r="Q258" s="27"/>
      <c r="R258" s="27"/>
      <c r="S258" s="27"/>
      <c r="T258" s="353" t="b" cm="1">
        <f t="array" aca="1" ref="T258" ca="1">T257</f>
        <v>1</v>
      </c>
      <c r="U258" s="27"/>
      <c r="V258" s="27"/>
      <c r="W258" s="27"/>
      <c r="X258" s="1022"/>
      <c r="Y258" s="76"/>
      <c r="Z258" s="967"/>
      <c r="AA258" s="76"/>
      <c r="AB258" s="124" t="s">
        <v>291</v>
      </c>
      <c r="AC258" s="125" t="s">
        <v>2144</v>
      </c>
      <c r="AD258" s="124" t="s">
        <v>828</v>
      </c>
      <c r="AE258" s="126">
        <f ca="1">SUMIFS(ЭЭ!AE$25:AE$116,ЭЭ!$F$25:$F$116,$F258,ЭЭ!$AC$25:$AC$116,"Всего по тарифу")</f>
        <v>21218.07</v>
      </c>
      <c r="AF258" s="126">
        <f ca="1">SUMIFS(ЭЭ!AF$25:AF$116,ЭЭ!$F$25:$F$116,$F258,ЭЭ!$AC$25:$AC$116,"Всего по тарифу")</f>
        <v>21918.191888597499</v>
      </c>
      <c r="AG258" s="126">
        <f ca="1">SUMIFS(ЭЭ!AG$25:AG$116,ЭЭ!$F$25:$F$116,$F258,ЭЭ!$AC$25:$AC$116,"Всего по тарифу")</f>
        <v>21918.191888597499</v>
      </c>
      <c r="AH258" s="126">
        <f t="shared" ca="1" si="55"/>
        <v>0</v>
      </c>
      <c r="AI258" s="126">
        <f ca="1">SUMIFS(ЭЭ!AH$25:AH$116,ЭЭ!$F$25:$F$116,$F258,ЭЭ!$AC$25:$AC$116,"Всего по тарифу")</f>
        <v>25840.63</v>
      </c>
      <c r="AJ258" s="126">
        <f ca="1">SUMIFS(ЭЭ!AI$25:AI$116,ЭЭ!$F$25:$F$116,$F258,ЭЭ!$AC$25:$AC$116,"Всего по тарифу")</f>
        <v>30812.5764729933</v>
      </c>
      <c r="AK258" s="126">
        <f ca="1">SUMIFS(ЭЭ!AJ$25:AJ$116,ЭЭ!$F$25:$F$116,$F258,ЭЭ!$AC$25:$AC$116,"Всего по тарифу")</f>
        <v>0</v>
      </c>
      <c r="AL258" s="126">
        <f ca="1">SUMIFS(ЭЭ!AK$25:AK$116,ЭЭ!$F$25:$F$116,$F258,ЭЭ!$AC$25:$AC$116,"Всего по тарифу")</f>
        <v>0</v>
      </c>
      <c r="AM258" s="126">
        <f ca="1">SUMIFS(ЭЭ!AL$25:AL$116,ЭЭ!$F$25:$F$116,$F258,ЭЭ!$AC$25:$AC$116,"Всего по тарифу")</f>
        <v>0</v>
      </c>
      <c r="AN258" s="126">
        <f ca="1">SUMIFS(ЭЭ!AM$25:AM$116,ЭЭ!$F$25:$F$116,$F258,ЭЭ!$AC$25:$AC$116,"Всего по тарифу")</f>
        <v>0</v>
      </c>
      <c r="AO258" s="126">
        <f ca="1">SUMIFS(ЭЭ!AN$25:AN$116,ЭЭ!$F$25:$F$116,$F258,ЭЭ!$AC$25:$AC$116,"Всего по тарифу")</f>
        <v>0</v>
      </c>
      <c r="AP258" s="126">
        <f ca="1">SUMIFS(ЭЭ!AO$25:AO$116,ЭЭ!$F$25:$F$116,$F258,ЭЭ!$AC$25:$AC$116,"Всего по тарифу")</f>
        <v>0</v>
      </c>
      <c r="AQ258" s="126">
        <f ca="1">SUMIFS(ЭЭ!AP$25:AP$116,ЭЭ!$F$25:$F$116,$F258,ЭЭ!$AC$25:$AC$116,"Всего по тарифу")</f>
        <v>0</v>
      </c>
      <c r="AR258" s="126">
        <f ca="1">SUMIFS(ЭЭ!AQ$25:AQ$116,ЭЭ!$F$25:$F$116,$F258,ЭЭ!$AC$25:$AC$116,"Всего по тарифу")</f>
        <v>0</v>
      </c>
      <c r="AS258" s="126">
        <f ca="1">SUMIFS(ЭЭ!AR$25:AR$116,ЭЭ!$F$25:$F$116,$F258,ЭЭ!$AC$25:$AC$116,"Всего по тарифу")</f>
        <v>0</v>
      </c>
      <c r="AT258" s="126">
        <f ca="1">SUMIFS(ЭЭ!AS$25:AS$116,ЭЭ!$F$25:$F$116,$F258,ЭЭ!$AC$25:$AC$116,"Всего по тарифу")</f>
        <v>27100.16</v>
      </c>
      <c r="AU258" s="126">
        <f ca="1">SUMIFS(ЭЭ!AT$25:AT$116,ЭЭ!$F$25:$F$116,$F258,ЭЭ!$AC$25:$AC$116,"Всего по тарифу")</f>
        <v>0</v>
      </c>
      <c r="AV258" s="126">
        <f ca="1">SUMIFS(ЭЭ!AU$25:AU$116,ЭЭ!$F$25:$F$116,$F258,ЭЭ!$AC$25:$AC$116,"Всего по тарифу")</f>
        <v>0</v>
      </c>
      <c r="AW258" s="126">
        <f ca="1">SUMIFS(ЭЭ!AV$25:AV$116,ЭЭ!$F$25:$F$116,$F258,ЭЭ!$AC$25:$AC$116,"Всего по тарифу")</f>
        <v>0</v>
      </c>
      <c r="AX258" s="126">
        <f ca="1">SUMIFS(ЭЭ!AW$25:AW$116,ЭЭ!$F$25:$F$116,$F258,ЭЭ!$AC$25:$AC$116,"Всего по тарифу")</f>
        <v>0</v>
      </c>
      <c r="AY258" s="126">
        <f ca="1">SUMIFS(ЭЭ!AX$25:AX$116,ЭЭ!$F$25:$F$116,$F258,ЭЭ!$AC$25:$AC$116,"Всего по тарифу")</f>
        <v>0</v>
      </c>
      <c r="AZ258" s="126">
        <f ca="1">SUMIFS(ЭЭ!AY$25:AY$116,ЭЭ!$F$25:$F$116,$F258,ЭЭ!$AC$25:$AC$116,"Всего по тарифу")</f>
        <v>0</v>
      </c>
      <c r="BA258" s="126">
        <f ca="1">SUMIFS(ЭЭ!AZ$25:AZ$116,ЭЭ!$F$25:$F$116,$F258,ЭЭ!$AC$25:$AC$116,"Всего по тарифу")</f>
        <v>0</v>
      </c>
      <c r="BB258" s="126">
        <f ca="1">SUMIFS(ЭЭ!BA$25:BA$116,ЭЭ!$F$25:$F$116,$F258,ЭЭ!$AC$25:$AC$116,"Всего по тарифу")</f>
        <v>0</v>
      </c>
      <c r="BC258" s="126">
        <f ca="1">SUMIFS(ЭЭ!BB$25:BB$116,ЭЭ!$F$25:$F$116,$F258,ЭЭ!$AC$25:$AC$116,"Всего по тарифу")</f>
        <v>0</v>
      </c>
      <c r="BD258" s="126">
        <f t="shared" ca="1" si="57"/>
        <v>4.8742232677763608</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t="s">
        <v>2251</v>
      </c>
      <c r="BO258" s="601" t="s">
        <v>2252</v>
      </c>
      <c r="BP258" s="196" t="s">
        <v>2253</v>
      </c>
      <c r="BQ258" s="76"/>
      <c r="BR258" s="76"/>
      <c r="BS258" s="702" t="s">
        <v>1750</v>
      </c>
      <c r="BT258" s="702"/>
      <c r="BU258" s="702"/>
      <c r="BV258" s="511"/>
      <c r="BW258" s="511"/>
    </row>
    <row r="259" spans="1:75" s="870" customFormat="1" ht="159.75" customHeight="1" x14ac:dyDescent="0.15">
      <c r="A259" s="76"/>
      <c r="B259" s="76" t="b">
        <f>method_reg="Метод индексации"</f>
        <v>1</v>
      </c>
      <c r="C259" s="27"/>
      <c r="D259" s="27"/>
      <c r="E259" s="559">
        <v>22.5</v>
      </c>
      <c r="F259" s="3" t="str" cm="1">
        <f t="array" aca="1" ref="F259" ca="1">OFFSET(E259,-1,1)</f>
        <v>1</v>
      </c>
      <c r="G259" s="25" t="s">
        <v>1509</v>
      </c>
      <c r="H259" s="25"/>
      <c r="I259" s="25" t="s">
        <v>335</v>
      </c>
      <c r="J259" s="27"/>
      <c r="K259" s="72"/>
      <c r="L259" s="27" t="s">
        <v>334</v>
      </c>
      <c r="M259" s="27"/>
      <c r="N259" s="27"/>
      <c r="O259" s="27"/>
      <c r="P259" s="27"/>
      <c r="Q259" s="27"/>
      <c r="R259" s="27"/>
      <c r="S259" s="27"/>
      <c r="T259" s="353" t="b" cm="1">
        <f t="array" aca="1" ref="T259" ca="1">T258</f>
        <v>1</v>
      </c>
      <c r="U259" s="27"/>
      <c r="V259" s="27"/>
      <c r="W259" s="27"/>
      <c r="X259" s="1022"/>
      <c r="Y259" s="76"/>
      <c r="Z259" s="967"/>
      <c r="AA259" s="76"/>
      <c r="AB259" s="124" t="s">
        <v>454</v>
      </c>
      <c r="AC259" s="125" t="s">
        <v>2145</v>
      </c>
      <c r="AD259" s="124" t="s">
        <v>828</v>
      </c>
      <c r="AE259" s="126">
        <f ca="1">SUMIFS(Амортизация!AE$25:AE$223,Амортизация!$F$25:$F$223,$F259,Амортизация!$AC$25:$AC$223,"Сумма амортизационных отчислений")</f>
        <v>2216.9920940237998</v>
      </c>
      <c r="AF259" s="126">
        <f ca="1">SUMIFS(Амортизация!AF$25:AF$223,Амортизация!$F$25:$F$223,$F259,Амортизация!$AC$25:$AC$223,"Сумма амортизационных отчислений")</f>
        <v>5483.4794127398</v>
      </c>
      <c r="AG259" s="126">
        <f ca="1">SUMIFS(Амортизация!AG$25:AG$223,Амортизация!$F$25:$F$223,$F259,Амортизация!$AC$25:$AC$223,"Сумма амортизационных отчислений")</f>
        <v>3532.2318795599999</v>
      </c>
      <c r="AH259" s="126">
        <f t="shared" ca="1" si="55"/>
        <v>-1951.2475331798</v>
      </c>
      <c r="AI259" s="126">
        <f ca="1">SUMIFS(Амортизация!AH$25:AH$223,Амортизация!$F$25:$F$223,$F259,Амортизация!$AC$25:$AC$223,"Сумма амортизационных отчислений")</f>
        <v>2256.276065</v>
      </c>
      <c r="AJ259" s="126">
        <f ca="1">SUMIFS(Амортизация!AI$25:AI$223,Амортизация!$F$25:$F$223,$F259,Амортизация!$AC$25:$AC$223,"Сумма амортизационных отчислений")</f>
        <v>6250.4661400595996</v>
      </c>
      <c r="AK259" s="126">
        <f ca="1">SUMIFS(Амортизация!AJ$25:AJ$223,Амортизация!$F$25:$F$223,$F259,Амортизация!$AC$25:$AC$223,"Сумма амортизационных отчислений")</f>
        <v>0</v>
      </c>
      <c r="AL259" s="126">
        <f ca="1">SUMIFS(Амортизация!AK$25:AK$223,Амортизация!$F$25:$F$223,$F259,Амортизация!$AC$25:$AC$223,"Сумма амортизационных отчислений")</f>
        <v>0</v>
      </c>
      <c r="AM259" s="126">
        <f ca="1">SUMIFS(Амортизация!AL$25:AL$223,Амортизация!$F$25:$F$223,$F259,Амортизация!$AC$25:$AC$223,"Сумма амортизационных отчислений")</f>
        <v>0</v>
      </c>
      <c r="AN259" s="126">
        <f ca="1">SUMIFS(Амортизация!AM$25:AM$223,Амортизация!$F$25:$F$223,$F259,Амортизация!$AC$25:$AC$223,"Сумма амортизационных отчислений")</f>
        <v>0</v>
      </c>
      <c r="AO259" s="126">
        <f ca="1">SUMIFS(Амортизация!AN$25:AN$223,Амортизация!$F$25:$F$223,$F259,Амортизация!$AC$25:$AC$223,"Сумма амортизационных отчислений")</f>
        <v>0</v>
      </c>
      <c r="AP259" s="126">
        <f ca="1">SUMIFS(Амортизация!AO$25:AO$223,Амортизация!$F$25:$F$223,$F259,Амортизация!$AC$25:$AC$223,"Сумма амортизационных отчислений")</f>
        <v>0</v>
      </c>
      <c r="AQ259" s="126">
        <f ca="1">SUMIFS(Амортизация!AP$25:AP$223,Амортизация!$F$25:$F$223,$F259,Амортизация!$AC$25:$AC$223,"Сумма амортизационных отчислений")</f>
        <v>0</v>
      </c>
      <c r="AR259" s="126">
        <f ca="1">SUMIFS(Амортизация!AQ$25:AQ$223,Амортизация!$F$25:$F$223,$F259,Амортизация!$AC$25:$AC$223,"Сумма амортизационных отчислений")</f>
        <v>0</v>
      </c>
      <c r="AS259" s="126">
        <f ca="1">SUMIFS(Амортизация!AR$25:AR$223,Амортизация!$F$25:$F$223,$F259,Амортизация!$AC$25:$AC$223,"Сумма амортизационных отчислений")</f>
        <v>0</v>
      </c>
      <c r="AT259" s="126">
        <f ca="1">SUMIFS(Амортизация!AS$25:AS$223,Амортизация!$F$25:$F$223,$F259,Амортизация!$AC$25:$AC$223,"Сумма амортизационных отчислений")</f>
        <v>3456.8667285199999</v>
      </c>
      <c r="AU259" s="126">
        <f ca="1">SUMIFS(Амортизация!AT$25:AT$223,Амортизация!$F$25:$F$223,$F259,Амортизация!$AC$25:$AC$223,"Сумма амортизационных отчислений")</f>
        <v>0</v>
      </c>
      <c r="AV259" s="126">
        <f ca="1">SUMIFS(Амортизация!AU$25:AU$223,Амортизация!$F$25:$F$223,$F259,Амортизация!$AC$25:$AC$223,"Сумма амортизационных отчислений")</f>
        <v>0</v>
      </c>
      <c r="AW259" s="126">
        <f ca="1">SUMIFS(Амортизация!AV$25:AV$223,Амортизация!$F$25:$F$223,$F259,Амортизация!$AC$25:$AC$223,"Сумма амортизационных отчислений")</f>
        <v>0</v>
      </c>
      <c r="AX259" s="126">
        <f ca="1">SUMIFS(Амортизация!AW$25:AW$223,Амортизация!$F$25:$F$223,$F259,Амортизация!$AC$25:$AC$223,"Сумма амортизационных отчислений")</f>
        <v>0</v>
      </c>
      <c r="AY259" s="126">
        <f ca="1">SUMIFS(Амортизация!AX$25:AX$223,Амортизация!$F$25:$F$223,$F259,Амортизация!$AC$25:$AC$223,"Сумма амортизационных отчислений")</f>
        <v>0</v>
      </c>
      <c r="AZ259" s="126">
        <f ca="1">SUMIFS(Амортизация!AY$25:AY$223,Амортизация!$F$25:$F$223,$F259,Амортизация!$AC$25:$AC$223,"Сумма амортизационных отчислений")</f>
        <v>0</v>
      </c>
      <c r="BA259" s="126">
        <f ca="1">SUMIFS(Амортизация!AZ$25:AZ$223,Амортизация!$F$25:$F$223,$F259,Амортизация!$AC$25:$AC$223,"Сумма амортизационных отчислений")</f>
        <v>0</v>
      </c>
      <c r="BB259" s="126">
        <f ca="1">SUMIFS(Амортизация!BA$25:BA$223,Амортизация!$F$25:$F$223,$F259,Амортизация!$AC$25:$AC$223,"Сумма амортизационных отчислений")</f>
        <v>0</v>
      </c>
      <c r="BC259" s="126">
        <f ca="1">SUMIFS(Амортизация!BB$25:BB$223,Амортизация!$F$25:$F$223,$F259,Амортизация!$AC$25:$AC$223,"Сумма амортизационных отчислений")</f>
        <v>0</v>
      </c>
      <c r="BD259" s="126">
        <f t="shared" ca="1" si="57"/>
        <v>53.211159846257551</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t="s">
        <v>2254</v>
      </c>
      <c r="BO259" s="601" t="s">
        <v>2255</v>
      </c>
      <c r="BP259" s="196" t="s">
        <v>2256</v>
      </c>
      <c r="BQ259" s="76"/>
      <c r="BR259" s="76"/>
      <c r="BS259" s="702" t="s">
        <v>1247</v>
      </c>
      <c r="BT259" s="702"/>
      <c r="BU259" s="702"/>
      <c r="BV259" s="511"/>
      <c r="BW259" s="511"/>
    </row>
    <row r="260" spans="1:75" ht="14.25" customHeight="1" x14ac:dyDescent="0.15">
      <c r="B260" s="329" t="b" cm="1">
        <f t="array" ref="B260">B259</f>
        <v>1</v>
      </c>
      <c r="C260" s="25"/>
      <c r="D260" s="25"/>
      <c r="E260" s="451">
        <v>15</v>
      </c>
      <c r="F260" s="3" t="str" cm="1">
        <f t="array" aca="1" ref="F260" ca="1">OFFSET(E260,-1,1)</f>
        <v>1</v>
      </c>
      <c r="G260" s="25"/>
      <c r="H260" s="25"/>
      <c r="I260" s="25" t="s">
        <v>560</v>
      </c>
      <c r="J260" s="25"/>
      <c r="L260" s="25" t="s">
        <v>574</v>
      </c>
      <c r="M260" s="25"/>
      <c r="N260" s="25"/>
      <c r="O260" s="25"/>
      <c r="P260" s="25"/>
      <c r="Q260" s="25"/>
      <c r="R260" s="25"/>
      <c r="S260" s="25"/>
      <c r="T260" s="353" t="b" cm="1">
        <f t="array" aca="1" ref="T260" ca="1">T259</f>
        <v>1</v>
      </c>
      <c r="U260" s="25"/>
      <c r="V260" s="25"/>
      <c r="W260" s="25"/>
      <c r="X260" s="1022"/>
      <c r="Z260" s="967"/>
      <c r="AB260" s="7" t="s">
        <v>697</v>
      </c>
      <c r="AC260" s="127" t="s">
        <v>1843</v>
      </c>
      <c r="AD260" s="7" t="s">
        <v>828</v>
      </c>
      <c r="AE260" s="128">
        <f ca="1">SUMIFS('ИП + источники'!AF$27:AF$145,'ИП + источники'!$F$27:$F$145,$F260,'ИП + источники'!$AC$27:$AC$145,"Амортизационные отчисления")+SUMIFS('ИП + источники'!AF$27:AF$145,'ИП + источники'!$F$27:$F$145,$F260,'ИП + источники'!$AC$27:$AC$145,"погашение займов и кредитов из амортизации")</f>
        <v>0</v>
      </c>
      <c r="AF260" s="128">
        <f ca="1">SUMIFS('ИП + источники'!AG$27:AG$145,'ИП + источники'!$F$27:$F$145,$F260,'ИП + источники'!$AC$27:$AC$145,"Амортизационные отчисления")+SUMIFS('ИП + источники'!AG$27:AG$145,'ИП + источники'!$F$27:$F$145,$F260,'ИП + источники'!$AC$27:$AC$145,"погашение займов и кредитов из амортизации")</f>
        <v>0</v>
      </c>
      <c r="AG260" s="128">
        <f ca="1">SUMIFS('ИП + источники'!AH$27:AH$145,'ИП + источники'!$F$27:$F$145,$F260,'ИП + источники'!$AC$27:$AC$145,"Амортизационные отчисления")+SUMIFS('ИП + источники'!AH$27:AH$145,'ИП + источники'!$F$27:$F$145,$F260,'ИП + источники'!$AC$27:$AC$145,"погашение займов и кредитов из амортизации")</f>
        <v>0</v>
      </c>
      <c r="AH260" s="171">
        <f t="shared" ca="1" si="55"/>
        <v>0</v>
      </c>
      <c r="AI260" s="128">
        <f ca="1">SUMIFS('ИП + источники'!AJ$27:AJ$145,'ИП + источники'!$F$27:$F$145,$F260,'ИП + источники'!$AC$27:$AC$145,"Амортизационные отчисления")+SUMIFS('ИП + источники'!AJ$27:AJ$145,'ИП + источники'!$F$27:$F$145,$F260,'ИП + источники'!$AC$27:$AC$145,"погашение займов и кредитов из амортизации")</f>
        <v>0</v>
      </c>
      <c r="AJ260" s="128">
        <f ca="1">SUMIFS('ИП + источники'!AK$27:AK$145,'ИП + источники'!$F$27:$F$145,$F260,'ИП + источники'!$AC$27:$AC$145,"Амортизационные отчисления")+SUMIFS('ИП + источники'!AK$27:AK$145,'ИП + источники'!$F$27:$F$145,$F260,'ИП + источники'!$AC$27:$AC$145,"погашение займов и кредитов из амортизации")</f>
        <v>0</v>
      </c>
      <c r="AK260" s="778">
        <f ca="1">SUMIFS('ИП + источники'!AL$27:AL$145,'ИП + источники'!$F$27:$F$145,$F260,'ИП + источники'!$AC$27:$AC$145,"Амортизационные отчисления")+SUMIFS('ИП + источники'!AL$27:AL$145,'ИП + источники'!$F$27:$F$145,$F260,'ИП + источники'!$AC$27:$AC$145,"погашение займов и кредитов из амортизации")</f>
        <v>0</v>
      </c>
      <c r="AL260" s="778">
        <f ca="1">SUMIFS('ИП + источники'!AM$27:AM$145,'ИП + источники'!$F$27:$F$145,$F260,'ИП + источники'!$AC$27:$AC$145,"Амортизационные отчисления")+SUMIFS('ИП + источники'!AM$27:AM$145,'ИП + источники'!$F$27:$F$145,$F260,'ИП + источники'!$AC$27:$AC$145,"погашение займов и кредитов из амортизации")</f>
        <v>0</v>
      </c>
      <c r="AM260" s="128">
        <f ca="1">SUMIFS('ИП + источники'!AN$27:AN$145,'ИП + источники'!$F$27:$F$145,$F260,'ИП + источники'!$AC$27:$AC$145,"Амортизационные отчисления")+SUMIFS('ИП + источники'!AN$27:AN$145,'ИП + источники'!$F$27:$F$145,$F260,'ИП + источники'!$AC$27:$AC$145,"погашение займов и кредитов из амортизации")</f>
        <v>0</v>
      </c>
      <c r="AN260" s="128">
        <f ca="1">SUMIFS('ИП + источники'!AO$27:AO$145,'ИП + источники'!$F$27:$F$145,$F260,'ИП + источники'!$AC$27:$AC$145,"Амортизационные отчисления")+SUMIFS('ИП + источники'!AO$27:AO$145,'ИП + источники'!$F$27:$F$145,$F260,'ИП + источники'!$AC$27:$AC$145,"погашение займов и кредитов из амортизации")</f>
        <v>0</v>
      </c>
      <c r="AO260" s="128">
        <f ca="1">SUMIFS('ИП + источники'!AP$27:AP$145,'ИП + источники'!$F$27:$F$145,$F260,'ИП + источники'!$AC$27:$AC$145,"Амортизационные отчисления")+SUMIFS('ИП + источники'!AP$27:AP$145,'ИП + источники'!$F$27:$F$145,$F260,'ИП + источники'!$AC$27:$AC$145,"погашение займов и кредитов из амортизации")</f>
        <v>0</v>
      </c>
      <c r="AP260" s="128">
        <f ca="1">SUMIFS('ИП + источники'!AQ$27:AQ$145,'ИП + источники'!$F$27:$F$145,$F260,'ИП + источники'!$AC$27:$AC$145,"Амортизационные отчисления")+SUMIFS('ИП + источники'!AQ$27:AQ$145,'ИП + источники'!$F$27:$F$145,$F260,'ИП + источники'!$AC$27:$AC$145,"погашение займов и кредитов из амортизации")</f>
        <v>0</v>
      </c>
      <c r="AQ260" s="128">
        <f ca="1">SUMIFS('ИП + источники'!AR$27:AR$145,'ИП + источники'!$F$27:$F$145,$F260,'ИП + источники'!$AC$27:$AC$145,"Амортизационные отчисления")+SUMIFS('ИП + источники'!AR$27:AR$145,'ИП + источники'!$F$27:$F$145,$F260,'ИП + источники'!$AC$27:$AC$145,"погашение займов и кредитов из амортизации")</f>
        <v>0</v>
      </c>
      <c r="AR260" s="128">
        <f ca="1">SUMIFS('ИП + источники'!AS$27:AS$145,'ИП + источники'!$F$27:$F$145,$F260,'ИП + источники'!$AC$27:$AC$145,"Амортизационные отчисления")+SUMIFS('ИП + источники'!AS$27:AS$145,'ИП + источники'!$F$27:$F$145,$F260,'ИП + источники'!$AC$27:$AC$145,"погашение займов и кредитов из амортизации")</f>
        <v>0</v>
      </c>
      <c r="AS260" s="128">
        <f ca="1">SUMIFS('ИП + источники'!AT$27:AT$145,'ИП + источники'!$F$27:$F$145,$F260,'ИП + источники'!$AC$27:$AC$145,"Амортизационные отчисления")+SUMIFS('ИП + источники'!AT$27:AT$145,'ИП + источники'!$F$27:$F$145,$F260,'ИП + источники'!$AC$27:$AC$145,"погашение займов и кредитов из амортизации")</f>
        <v>0</v>
      </c>
      <c r="AT260" s="128">
        <f ca="1">SUMIFS('ИП + источники'!AU$27:AU$145,'ИП + источники'!$F$27:$F$145,$F260,'ИП + источники'!$AC$27:$AC$145,"Амортизационные отчисления")+SUMIFS('ИП + источники'!AU$27:AU$145,'ИП + источники'!$F$27:$F$145,$F260,'ИП + источники'!$AC$27:$AC$145,"погашение займов и кредитов из амортизации")</f>
        <v>0</v>
      </c>
      <c r="AU260" s="778">
        <f ca="1">SUMIFS('ИП + источники'!AV$27:AV$145,'ИП + источники'!$F$27:$F$145,$F260,'ИП + источники'!$AC$27:$AC$145,"Амортизационные отчисления")+SUMIFS('ИП + источники'!AV$27:AV$145,'ИП + источники'!$F$27:$F$145,$F260,'ИП + источники'!$AC$27:$AC$145,"погашение займов и кредитов из амортизации")</f>
        <v>0</v>
      </c>
      <c r="AV260" s="778">
        <f ca="1">SUMIFS('ИП + источники'!AW$27:AW$145,'ИП + источники'!$F$27:$F$145,$F260,'ИП + источники'!$AC$27:$AC$145,"Амортизационные отчисления")+SUMIFS('ИП + источники'!AW$27:AW$145,'ИП + источники'!$F$27:$F$145,$F260,'ИП + источники'!$AC$27:$AC$145,"погашение займов и кредитов из амортизации")</f>
        <v>0</v>
      </c>
      <c r="AW260" s="128">
        <f ca="1">SUMIFS('ИП + источники'!AX$27:AX$145,'ИП + источники'!$F$27:$F$145,$F260,'ИП + источники'!$AC$27:$AC$145,"Амортизационные отчисления")+SUMIFS('ИП + источники'!AX$27:AX$145,'ИП + источники'!$F$27:$F$145,$F260,'ИП + источники'!$AC$27:$AC$145,"погашение займов и кредитов из амортизации")</f>
        <v>0</v>
      </c>
      <c r="AX260" s="128">
        <f ca="1">SUMIFS('ИП + источники'!AY$27:AY$145,'ИП + источники'!$F$27:$F$145,$F260,'ИП + источники'!$AC$27:$AC$145,"Амортизационные отчисления")+SUMIFS('ИП + источники'!AY$27:AY$145,'ИП + источники'!$F$27:$F$145,$F260,'ИП + источники'!$AC$27:$AC$145,"погашение займов и кредитов из амортизации")</f>
        <v>0</v>
      </c>
      <c r="AY260" s="128">
        <f ca="1">SUMIFS('ИП + источники'!AZ$27:AZ$145,'ИП + источники'!$F$27:$F$145,$F260,'ИП + источники'!$AC$27:$AC$145,"Амортизационные отчисления")+SUMIFS('ИП + источники'!AZ$27:AZ$145,'ИП + источники'!$F$27:$F$145,$F260,'ИП + источники'!$AC$27:$AC$145,"погашение займов и кредитов из амортизации")</f>
        <v>0</v>
      </c>
      <c r="AZ260" s="128">
        <f ca="1">SUMIFS('ИП + источники'!BA$27:BA$145,'ИП + источники'!$F$27:$F$145,$F260,'ИП + источники'!$AC$27:$AC$145,"Амортизационные отчисления")+SUMIFS('ИП + источники'!BA$27:BA$145,'ИП + источники'!$F$27:$F$145,$F260,'ИП + источники'!$AC$27:$AC$145,"погашение займов и кредитов из амортизации")</f>
        <v>0</v>
      </c>
      <c r="BA260" s="128">
        <f ca="1">SUMIFS('ИП + источники'!BB$27:BB$145,'ИП + источники'!$F$27:$F$145,$F260,'ИП + источники'!$AC$27:$AC$145,"Амортизационные отчисления")+SUMIFS('ИП + источники'!BB$27:BB$145,'ИП + источники'!$F$27:$F$145,$F260,'ИП + источники'!$AC$27:$AC$145,"погашение займов и кредитов из амортизации")</f>
        <v>0</v>
      </c>
      <c r="BB260" s="128">
        <f ca="1">SUMIFS('ИП + источники'!BC$27:BC$145,'ИП + источники'!$F$27:$F$145,$F260,'ИП + источники'!$AC$27:$AC$145,"Амортизационные отчисления")+SUMIFS('ИП + источники'!BC$27:BC$145,'ИП + источники'!$F$27:$F$145,$F260,'ИП + источники'!$AC$27:$AC$145,"погашение займов и кредитов из амортизации")</f>
        <v>0</v>
      </c>
      <c r="BC260" s="128">
        <f ca="1">SUMIFS('ИП + источники'!BD$27:BD$145,'ИП + источники'!$F$27:$F$145,$F260,'ИП + источники'!$AC$27:$AC$145,"Амортизационные отчисления")+SUMIFS('ИП + источники'!BD$27:BD$145,'ИП + источники'!$F$27:$F$145,$F260,'ИП + источники'!$AC$27:$AC$145,"погашение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6" t="s">
        <v>1844</v>
      </c>
    </row>
    <row r="261" spans="1:75" s="870" customFormat="1" ht="33.75" customHeight="1" x14ac:dyDescent="0.25">
      <c r="A261" s="76"/>
      <c r="B261" s="329" t="b" cm="1">
        <f t="array" ref="B261">B260</f>
        <v>1</v>
      </c>
      <c r="C261" s="27"/>
      <c r="D261" s="27"/>
      <c r="E261" s="559">
        <v>21</v>
      </c>
      <c r="F261" s="3" t="str" cm="1">
        <f t="array" aca="1" ref="F261" ca="1">OFFSET(E261,-1,1)</f>
        <v>1</v>
      </c>
      <c r="G261" s="25" t="s">
        <v>1513</v>
      </c>
      <c r="H261" s="25"/>
      <c r="I261" s="25" t="s">
        <v>334</v>
      </c>
      <c r="J261" s="27"/>
      <c r="K261" s="72"/>
      <c r="L261" s="27" t="s">
        <v>586</v>
      </c>
      <c r="M261" s="27"/>
      <c r="N261" s="27"/>
      <c r="O261" s="27"/>
      <c r="P261" s="27"/>
      <c r="Q261" s="27"/>
      <c r="R261" s="27"/>
      <c r="S261" s="27"/>
      <c r="T261" s="353" t="b" cm="1">
        <f t="array" aca="1" ref="T261" ca="1">T260</f>
        <v>1</v>
      </c>
      <c r="U261" s="27"/>
      <c r="V261" s="27"/>
      <c r="W261" s="27"/>
      <c r="X261" s="1022"/>
      <c r="Y261" s="76"/>
      <c r="Z261" s="967"/>
      <c r="AA261" s="76"/>
      <c r="AB261" s="124" t="s">
        <v>460</v>
      </c>
      <c r="AC261" s="125" t="s">
        <v>1513</v>
      </c>
      <c r="AD261" s="147" t="s">
        <v>828</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t="s">
        <v>2257</v>
      </c>
      <c r="BP261" s="196"/>
      <c r="BQ261" s="76"/>
      <c r="BR261" s="76"/>
      <c r="BS261" s="695" t="s">
        <v>1517</v>
      </c>
      <c r="BT261" s="702"/>
      <c r="BU261" s="702"/>
      <c r="BV261" s="511"/>
      <c r="BW261" s="511"/>
    </row>
    <row r="262" spans="1:75" ht="14.25" customHeight="1" x14ac:dyDescent="0.15">
      <c r="B262" s="329" t="b" cm="1">
        <f t="array" ref="B262">B261</f>
        <v>1</v>
      </c>
      <c r="C262" s="25"/>
      <c r="D262" s="25"/>
      <c r="E262" s="451">
        <v>15</v>
      </c>
      <c r="F262" s="3" t="str" cm="1">
        <f t="array" aca="1" ref="F262" ca="1">OFFSET(E262,-1,1)</f>
        <v>1</v>
      </c>
      <c r="G262" s="25"/>
      <c r="H262" s="25"/>
      <c r="I262" s="25" t="s">
        <v>574</v>
      </c>
      <c r="J262" s="25"/>
      <c r="L262" s="25"/>
      <c r="M262" s="25"/>
      <c r="N262" s="25"/>
      <c r="O262" s="25"/>
      <c r="P262" s="25"/>
      <c r="Q262" s="25"/>
      <c r="R262" s="25"/>
      <c r="S262" s="25"/>
      <c r="T262" s="353" t="b" cm="1">
        <f t="array" aca="1" ref="T262" ca="1">T261</f>
        <v>1</v>
      </c>
      <c r="U262" s="25"/>
      <c r="V262" s="25"/>
      <c r="W262" s="25"/>
      <c r="X262" s="1022"/>
      <c r="Z262" s="967"/>
      <c r="AB262" s="7" t="s">
        <v>704</v>
      </c>
      <c r="AC262" s="127" t="s">
        <v>2146</v>
      </c>
      <c r="AD262" s="7" t="s">
        <v>828</v>
      </c>
      <c r="AE262" s="128">
        <f ca="1">SUMIFS('ИП + источники'!AF$27:AF$145,'ИП + источники'!$F$27:$F$145,$F262,'ИП + источники'!$AC$27:$AC$145,"погашение займов и кредитов из нормативной прибыли")</f>
        <v>0</v>
      </c>
      <c r="AF262" s="128">
        <f ca="1">SUMIFS('ИП + источники'!AG$27:AG$145,'ИП + источники'!$F$27:$F$145,$F262,'ИП + источники'!$AC$27:$AC$145,"погашение займов и кредитов из нормативной прибыли")</f>
        <v>0</v>
      </c>
      <c r="AG262" s="128">
        <f ca="1">SUMIFS('ИП + источники'!AH$27:AH$145,'ИП + источники'!$F$27:$F$145,$F262,'ИП + источники'!$AC$27:$AC$145,"погашение займов и кредитов из нормативной прибыли")</f>
        <v>0</v>
      </c>
      <c r="AH262" s="171">
        <f t="shared" ca="1" si="55"/>
        <v>0</v>
      </c>
      <c r="AI262" s="128">
        <f ca="1">SUMIFS('ИП + источники'!AJ$27:AJ$145,'ИП + источники'!$F$27:$F$145,$F262,'ИП + источники'!$AC$27:$AC$145,"погашение займов и кредитов из нормативной прибыли")</f>
        <v>0</v>
      </c>
      <c r="AJ262" s="128">
        <f ca="1">SUMIFS('ИП + источники'!AK$27:AK$145,'ИП + источники'!$F$27:$F$145,$F262,'ИП + источники'!$AC$27:$AC$145,"погашение займов и кредитов из нормативной прибыли")</f>
        <v>0</v>
      </c>
      <c r="AK262" s="778">
        <f ca="1">SUMIFS('ИП + источники'!AL$27:AL$145,'ИП + источники'!$F$27:$F$145,$F262,'ИП + источники'!$AC$27:$AC$145,"погашение займов и кредитов из нормативной прибыли")</f>
        <v>0</v>
      </c>
      <c r="AL262" s="778">
        <f ca="1">SUMIFS('ИП + источники'!AM$27:AM$145,'ИП + источники'!$F$27:$F$145,$F262,'ИП + источники'!$AC$27:$AC$145,"погашение займов и кредитов из нормативной прибыли")</f>
        <v>0</v>
      </c>
      <c r="AM262" s="128">
        <f ca="1">SUMIFS('ИП + источники'!AN$27:AN$145,'ИП + источники'!$F$27:$F$145,$F262,'ИП + источники'!$AC$27:$AC$145,"погашение займов и кредитов из нормативной прибыли")</f>
        <v>0</v>
      </c>
      <c r="AN262" s="128">
        <f ca="1">SUMIFS('ИП + источники'!AO$27:AO$145,'ИП + источники'!$F$27:$F$145,$F262,'ИП + источники'!$AC$27:$AC$145,"погашение займов и кредитов из нормативной прибыли")</f>
        <v>0</v>
      </c>
      <c r="AO262" s="128">
        <f ca="1">SUMIFS('ИП + источники'!AP$27:AP$145,'ИП + источники'!$F$27:$F$145,$F262,'ИП + источники'!$AC$27:$AC$145,"погашение займов и кредитов из нормативной прибыли")</f>
        <v>0</v>
      </c>
      <c r="AP262" s="128">
        <f ca="1">SUMIFS('ИП + источники'!AQ$27:AQ$145,'ИП + источники'!$F$27:$F$145,$F262,'ИП + источники'!$AC$27:$AC$145,"погашение займов и кредитов из нормативной прибыли")</f>
        <v>0</v>
      </c>
      <c r="AQ262" s="128">
        <f ca="1">SUMIFS('ИП + источники'!AR$27:AR$145,'ИП + источники'!$F$27:$F$145,$F262,'ИП + источники'!$AC$27:$AC$145,"погашение займов и кредитов из нормативной прибыли")</f>
        <v>0</v>
      </c>
      <c r="AR262" s="128">
        <f ca="1">SUMIFS('ИП + источники'!AS$27:AS$145,'ИП + источники'!$F$27:$F$145,$F262,'ИП + источники'!$AC$27:$AC$145,"погашение займов и кредитов из нормативной прибыли")</f>
        <v>0</v>
      </c>
      <c r="AS262" s="128">
        <f ca="1">SUMIFS('ИП + источники'!AT$27:AT$145,'ИП + источники'!$F$27:$F$145,$F262,'ИП + источники'!$AC$27:$AC$145,"погашение займов и кредитов из нормативной прибыли")</f>
        <v>0</v>
      </c>
      <c r="AT262" s="128">
        <f ca="1">SUMIFS('ИП + источники'!AU$27:AU$145,'ИП + источники'!$F$27:$F$145,$F262,'ИП + источники'!$AC$27:$AC$145,"погашение займов и кредитов из нормативной прибыли")</f>
        <v>0</v>
      </c>
      <c r="AU262" s="778">
        <f ca="1">SUMIFS('ИП + источники'!AV$27:AV$145,'ИП + источники'!$F$27:$F$145,$F262,'ИП + источники'!$AC$27:$AC$145,"погашение займов и кредитов из нормативной прибыли")</f>
        <v>0</v>
      </c>
      <c r="AV262" s="778">
        <f ca="1">SUMIFS('ИП + источники'!AW$27:AW$145,'ИП + источники'!$F$27:$F$145,$F262,'ИП + источники'!$AC$27:$AC$145,"погашение займов и кредитов из нормативной прибыли")</f>
        <v>0</v>
      </c>
      <c r="AW262" s="128">
        <f ca="1">SUMIFS('ИП + источники'!AX$27:AX$145,'ИП + источники'!$F$27:$F$145,$F262,'ИП + источники'!$AC$27:$AC$145,"погашение займов и кредитов из нормативной прибыли")</f>
        <v>0</v>
      </c>
      <c r="AX262" s="128">
        <f ca="1">SUMIFS('ИП + источники'!AY$27:AY$145,'ИП + источники'!$F$27:$F$145,$F262,'ИП + источники'!$AC$27:$AC$145,"погашение займов и кредитов из нормативной прибыли")</f>
        <v>0</v>
      </c>
      <c r="AY262" s="128">
        <f ca="1">SUMIFS('ИП + источники'!AZ$27:AZ$145,'ИП + источники'!$F$27:$F$145,$F262,'ИП + источники'!$AC$27:$AC$145,"погашение займов и кредитов из нормативной прибыли")</f>
        <v>0</v>
      </c>
      <c r="AZ262" s="128">
        <f ca="1">SUMIFS('ИП + источники'!BA$27:BA$145,'ИП + источники'!$F$27:$F$145,$F262,'ИП + источники'!$AC$27:$AC$145,"погашение займов и кредитов из нормативной прибыли")</f>
        <v>0</v>
      </c>
      <c r="BA262" s="128">
        <f ca="1">SUMIFS('ИП + источники'!BB$27:BB$145,'ИП + источники'!$F$27:$F$145,$F262,'ИП + источники'!$AC$27:$AC$145,"погашение займов и кредитов из нормативной прибыли")</f>
        <v>0</v>
      </c>
      <c r="BB262" s="128">
        <f ca="1">SUMIFS('ИП + источники'!BC$27:BC$145,'ИП + источники'!$F$27:$F$145,$F262,'ИП + источники'!$AC$27:$AC$145,"погашение займов и кредитов из нормативной прибыли")</f>
        <v>0</v>
      </c>
      <c r="BC262" s="128">
        <f ca="1">SUMIFS('ИП + источники'!BD$27:BD$145,'ИП + источники'!$F$27:$F$145,$F262,'ИП + источники'!$AC$27:$AC$145,"погашение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1" t="str">
        <f ca="1">IF(IFERROR(INDEX('ИП + источники'!$K$28:$L$145,MATCH($F262&amp;"2komm",'ИП + источники'!$K$28:$K$145,0),2),"")=0,"",IFERROR(INDEX('ИП + источники'!$K$28:$L$145,MATCH($F262&amp;"2komm",'ИП + источники'!$K$28:$K$145,0),2),""))</f>
        <v/>
      </c>
      <c r="BP262" s="196"/>
      <c r="BS262" s="696" t="s">
        <v>2147</v>
      </c>
    </row>
    <row r="263" spans="1:75" ht="14.25" customHeight="1" x14ac:dyDescent="0.15">
      <c r="B263" s="329" t="b" cm="1">
        <f t="array" ref="B263">B262</f>
        <v>1</v>
      </c>
      <c r="C263" s="25"/>
      <c r="D263" s="25"/>
      <c r="E263" s="451">
        <v>15</v>
      </c>
      <c r="F263" s="3" t="str" cm="1">
        <f t="array" aca="1" ref="F263" ca="1">OFFSET(E263,-1,1)</f>
        <v>1</v>
      </c>
      <c r="G263" s="25"/>
      <c r="H263" s="25"/>
      <c r="I263" s="25" t="s">
        <v>578</v>
      </c>
      <c r="J263" s="25"/>
      <c r="L263" s="25"/>
      <c r="M263" s="25"/>
      <c r="N263" s="25"/>
      <c r="O263" s="25"/>
      <c r="P263" s="25"/>
      <c r="Q263" s="25"/>
      <c r="R263" s="25"/>
      <c r="S263" s="25"/>
      <c r="T263" s="353" t="b" cm="1">
        <f t="array" aca="1" ref="T263" ca="1">T262</f>
        <v>1</v>
      </c>
      <c r="U263" s="25"/>
      <c r="V263" s="25"/>
      <c r="W263" s="25"/>
      <c r="X263" s="1022"/>
      <c r="Z263" s="967"/>
      <c r="AB263" s="7" t="s">
        <v>707</v>
      </c>
      <c r="AC263" s="127" t="s">
        <v>2148</v>
      </c>
      <c r="AD263" s="7" t="s">
        <v>828</v>
      </c>
      <c r="AE263" s="128">
        <f ca="1">SUMIFS('ИП + источники'!AF$27:AF$145,'ИП + источники'!$F$27:$F$145,$F263,'ИП + источники'!$AC$27:$AC$145,"уплата процентов по кредитам из нормативной прибыли")</f>
        <v>0</v>
      </c>
      <c r="AF263" s="128">
        <f ca="1">SUMIFS('ИП + источники'!AG$27:AG$145,'ИП + источники'!$F$27:$F$145,$F263,'ИП + источники'!$AC$27:$AC$145,"уплата процентов по кредитам из нормативной прибыли")</f>
        <v>0</v>
      </c>
      <c r="AG263" s="128">
        <f ca="1">SUMIFS('ИП + источники'!AH$27:AH$145,'ИП + источники'!$F$27:$F$145,$F263,'ИП + источники'!$AC$27:$AC$145,"уплата процентов по кредитам из нормативной прибыли")</f>
        <v>0</v>
      </c>
      <c r="AH263" s="171">
        <f t="shared" ca="1" si="55"/>
        <v>0</v>
      </c>
      <c r="AI263" s="128">
        <f ca="1">SUMIFS('ИП + источники'!AJ$27:AJ$145,'ИП + источники'!$F$27:$F$145,$F263,'ИП + источники'!$AC$27:$AC$145,"уплата процентов по кредитам из нормативной прибыли")</f>
        <v>0</v>
      </c>
      <c r="AJ263" s="128">
        <f ca="1">SUMIFS('ИП + источники'!AK$27:AK$145,'ИП + источники'!$F$27:$F$145,$F263,'ИП + источники'!$AC$27:$AC$145,"уплата процентов по кредитам из нормативной прибыли")</f>
        <v>0</v>
      </c>
      <c r="AK263" s="778">
        <f ca="1">SUMIFS('ИП + источники'!AL$27:AL$145,'ИП + источники'!$F$27:$F$145,$F263,'ИП + источники'!$AC$27:$AC$145,"уплата процентов по кредитам из нормативной прибыли")</f>
        <v>0</v>
      </c>
      <c r="AL263" s="778">
        <f ca="1">SUMIFS('ИП + источники'!AM$27:AM$145,'ИП + источники'!$F$27:$F$145,$F263,'ИП + источники'!$AC$27:$AC$145,"уплата процентов по кредитам из нормативной прибыли")</f>
        <v>0</v>
      </c>
      <c r="AM263" s="128">
        <f ca="1">SUMIFS('ИП + источники'!AN$27:AN$145,'ИП + источники'!$F$27:$F$145,$F263,'ИП + источники'!$AC$27:$AC$145,"уплата процентов по кредитам из нормативной прибыли")</f>
        <v>0</v>
      </c>
      <c r="AN263" s="128">
        <f ca="1">SUMIFS('ИП + источники'!AO$27:AO$145,'ИП + источники'!$F$27:$F$145,$F263,'ИП + источники'!$AC$27:$AC$145,"уплата процентов по кредитам из нормативной прибыли")</f>
        <v>0</v>
      </c>
      <c r="AO263" s="128">
        <f ca="1">SUMIFS('ИП + источники'!AP$27:AP$145,'ИП + источники'!$F$27:$F$145,$F263,'ИП + источники'!$AC$27:$AC$145,"уплата процентов по кредитам из нормативной прибыли")</f>
        <v>0</v>
      </c>
      <c r="AP263" s="128">
        <f ca="1">SUMIFS('ИП + источники'!AQ$27:AQ$145,'ИП + источники'!$F$27:$F$145,$F263,'ИП + источники'!$AC$27:$AC$145,"уплата процентов по кредитам из нормативной прибыли")</f>
        <v>0</v>
      </c>
      <c r="AQ263" s="128">
        <f ca="1">SUMIFS('ИП + источники'!AR$27:AR$145,'ИП + источники'!$F$27:$F$145,$F263,'ИП + источники'!$AC$27:$AC$145,"уплата процентов по кредитам из нормативной прибыли")</f>
        <v>0</v>
      </c>
      <c r="AR263" s="128">
        <f ca="1">SUMIFS('ИП + источники'!AS$27:AS$145,'ИП + источники'!$F$27:$F$145,$F263,'ИП + источники'!$AC$27:$AC$145,"уплата процентов по кредитам из нормативной прибыли")</f>
        <v>0</v>
      </c>
      <c r="AS263" s="128">
        <f ca="1">SUMIFS('ИП + источники'!AT$27:AT$145,'ИП + источники'!$F$27:$F$145,$F263,'ИП + источники'!$AC$27:$AC$145,"уплата процентов по кредитам из нормативной прибыли")</f>
        <v>0</v>
      </c>
      <c r="AT263" s="128">
        <f ca="1">SUMIFS('ИП + источники'!AU$27:AU$145,'ИП + источники'!$F$27:$F$145,$F263,'ИП + источники'!$AC$27:$AC$145,"уплата процентов по кредитам из нормативной прибыли")</f>
        <v>0</v>
      </c>
      <c r="AU263" s="778">
        <f ca="1">SUMIFS('ИП + источники'!AV$27:AV$145,'ИП + источники'!$F$27:$F$145,$F263,'ИП + источники'!$AC$27:$AC$145,"уплата процентов по кредитам из нормативной прибыли")</f>
        <v>0</v>
      </c>
      <c r="AV263" s="778">
        <f ca="1">SUMIFS('ИП + источники'!AW$27:AW$145,'ИП + источники'!$F$27:$F$145,$F263,'ИП + источники'!$AC$27:$AC$145,"уплата процентов по кредитам из нормативной прибыли")</f>
        <v>0</v>
      </c>
      <c r="AW263" s="128">
        <f ca="1">SUMIFS('ИП + источники'!AX$27:AX$145,'ИП + источники'!$F$27:$F$145,$F263,'ИП + источники'!$AC$27:$AC$145,"уплата процентов по кредитам из нормативной прибыли")</f>
        <v>0</v>
      </c>
      <c r="AX263" s="128">
        <f ca="1">SUMIFS('ИП + источники'!AY$27:AY$145,'ИП + источники'!$F$27:$F$145,$F263,'ИП + источники'!$AC$27:$AC$145,"уплата процентов по кредитам из нормативной прибыли")</f>
        <v>0</v>
      </c>
      <c r="AY263" s="128">
        <f ca="1">SUMIFS('ИП + источники'!AZ$27:AZ$145,'ИП + источники'!$F$27:$F$145,$F263,'ИП + источники'!$AC$27:$AC$145,"уплата процентов по кредитам из нормативной прибыли")</f>
        <v>0</v>
      </c>
      <c r="AZ263" s="128">
        <f ca="1">SUMIFS('ИП + источники'!BA$27:BA$145,'ИП + источники'!$F$27:$F$145,$F263,'ИП + источники'!$AC$27:$AC$145,"уплата процентов по кредитам из нормативной прибыли")</f>
        <v>0</v>
      </c>
      <c r="BA263" s="128">
        <f ca="1">SUMIFS('ИП + источники'!BB$27:BB$145,'ИП + источники'!$F$27:$F$145,$F263,'ИП + источники'!$AC$27:$AC$145,"уплата процентов по кредитам из нормативной прибыли")</f>
        <v>0</v>
      </c>
      <c r="BB263" s="128">
        <f ca="1">SUMIFS('ИП + источники'!BC$27:BC$145,'ИП + источники'!$F$27:$F$145,$F263,'ИП + источники'!$AC$27:$AC$145,"уплата процентов по кредитам из нормативной прибыли")</f>
        <v>0</v>
      </c>
      <c r="BC263" s="128">
        <f ca="1">SUMIFS('ИП + источники'!BD$27:BD$145,'ИП + источники'!$F$27:$F$145,$F263,'ИП + источники'!$AC$27:$AC$145,"уплата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1" t="str">
        <f ca="1">IF(IFERROR(INDEX('ИП + источники'!$K$28:$L$145,MATCH($F263&amp;"3komm",'ИП + источники'!$K$28:$K$145,0),2),"")=0,"",IFERROR(INDEX('ИП + источники'!$K$28:$L$145,MATCH($F263&amp;"3komm",'ИП + источники'!$K$28:$K$145,0),2),""))</f>
        <v/>
      </c>
      <c r="BP263" s="196"/>
      <c r="BS263" s="696" t="s">
        <v>2149</v>
      </c>
    </row>
    <row r="264" spans="1:75" ht="14.25" customHeight="1" x14ac:dyDescent="0.15">
      <c r="B264" s="329" t="b" cm="1">
        <f t="array" ref="B264">B263</f>
        <v>1</v>
      </c>
      <c r="C264" s="25"/>
      <c r="D264" s="25"/>
      <c r="E264" s="451">
        <v>15</v>
      </c>
      <c r="F264" s="3" t="str" cm="1">
        <f t="array" aca="1" ref="F264" ca="1">OFFSET(E264,-1,1)</f>
        <v>1</v>
      </c>
      <c r="G264" s="25"/>
      <c r="H264" s="25"/>
      <c r="I264" s="25" t="s">
        <v>794</v>
      </c>
      <c r="J264" s="25"/>
      <c r="L264" s="25" t="s">
        <v>593</v>
      </c>
      <c r="M264" s="25"/>
      <c r="N264" s="25"/>
      <c r="O264" s="25"/>
      <c r="P264" s="25"/>
      <c r="Q264" s="25"/>
      <c r="R264" s="25"/>
      <c r="S264" s="25"/>
      <c r="T264" s="353" t="b" cm="1">
        <f t="array" aca="1" ref="T264" ca="1">T263</f>
        <v>1</v>
      </c>
      <c r="U264" s="25"/>
      <c r="V264" s="25"/>
      <c r="W264" s="25"/>
      <c r="X264" s="1022"/>
      <c r="Z264" s="967"/>
      <c r="AB264" s="7" t="s">
        <v>994</v>
      </c>
      <c r="AC264" s="127" t="s">
        <v>2150</v>
      </c>
      <c r="AD264" s="7" t="s">
        <v>828</v>
      </c>
      <c r="AE264" s="128">
        <f ca="1">SUMIFS('ИП + источники'!AF$27:AF$145,'ИП + источники'!$F$27:$F$145,$F264,'ИП + источники'!$AC$27:$AC$145,"Прибыль на капвложения")</f>
        <v>0</v>
      </c>
      <c r="AF264" s="128">
        <f ca="1">SUMIFS('ИП + источники'!AG$27:AG$145,'ИП + источники'!$F$27:$F$145,$F264,'ИП + источники'!$AC$27:$AC$145,"Прибыль на капвложения")</f>
        <v>0</v>
      </c>
      <c r="AG264" s="128">
        <f ca="1">SUMIFS('ИП + источники'!AH$27:AH$145,'ИП + источники'!$F$27:$F$145,$F264,'ИП + источники'!$AC$27:$AC$145,"Прибыль на капвложения")</f>
        <v>0</v>
      </c>
      <c r="AH264" s="171">
        <f t="shared" ca="1" si="55"/>
        <v>0</v>
      </c>
      <c r="AI264" s="128">
        <f ca="1">SUMIFS('ИП + источники'!AJ$27:AJ$145,'ИП + источники'!$F$27:$F$145,$F264,'ИП + источники'!$AC$27:$AC$145,"Прибыль на капвложения")</f>
        <v>0</v>
      </c>
      <c r="AJ264" s="128">
        <f ca="1">SUMIFS('ИП + источники'!AK$27:AK$145,'ИП + источники'!$F$27:$F$145,$F264,'ИП + источники'!$AC$27:$AC$145,"Прибыль на капвложения")</f>
        <v>0</v>
      </c>
      <c r="AK264" s="778">
        <f ca="1">SUMIFS('ИП + источники'!AL$27:AL$145,'ИП + источники'!$F$27:$F$145,$F264,'ИП + источники'!$AC$27:$AC$145,"Прибыль на капвложения")</f>
        <v>0</v>
      </c>
      <c r="AL264" s="778">
        <f ca="1">SUMIFS('ИП + источники'!AM$27:AM$145,'ИП + источники'!$F$27:$F$145,$F264,'ИП + источники'!$AC$27:$AC$145,"Прибыль на капвложения")</f>
        <v>0</v>
      </c>
      <c r="AM264" s="128">
        <f ca="1">SUMIFS('ИП + источники'!AN$27:AN$145,'ИП + источники'!$F$27:$F$145,$F264,'ИП + источники'!$AC$27:$AC$145,"Прибыль на капвложения")</f>
        <v>0</v>
      </c>
      <c r="AN264" s="128">
        <f ca="1">SUMIFS('ИП + источники'!AO$27:AO$145,'ИП + источники'!$F$27:$F$145,$F264,'ИП + источники'!$AC$27:$AC$145,"Прибыль на капвложения")</f>
        <v>0</v>
      </c>
      <c r="AO264" s="128">
        <f ca="1">SUMIFS('ИП + источники'!AP$27:AP$145,'ИП + источники'!$F$27:$F$145,$F264,'ИП + источники'!$AC$27:$AC$145,"Прибыль на капвложения")</f>
        <v>0</v>
      </c>
      <c r="AP264" s="128">
        <f ca="1">SUMIFS('ИП + источники'!AQ$27:AQ$145,'ИП + источники'!$F$27:$F$145,$F264,'ИП + источники'!$AC$27:$AC$145,"Прибыль на капвложения")</f>
        <v>0</v>
      </c>
      <c r="AQ264" s="128">
        <f ca="1">SUMIFS('ИП + источники'!AR$27:AR$145,'ИП + источники'!$F$27:$F$145,$F264,'ИП + источники'!$AC$27:$AC$145,"Прибыль на капвложения")</f>
        <v>0</v>
      </c>
      <c r="AR264" s="128">
        <f ca="1">SUMIFS('ИП + источники'!AS$27:AS$145,'ИП + источники'!$F$27:$F$145,$F264,'ИП + источники'!$AC$27:$AC$145,"Прибыль на капвложения")</f>
        <v>0</v>
      </c>
      <c r="AS264" s="128">
        <f ca="1">SUMIFS('ИП + источники'!AT$27:AT$145,'ИП + источники'!$F$27:$F$145,$F264,'ИП + источники'!$AC$27:$AC$145,"Прибыль на капвложения")</f>
        <v>0</v>
      </c>
      <c r="AT264" s="128">
        <f ca="1">SUMIFS('ИП + источники'!AU$27:AU$145,'ИП + источники'!$F$27:$F$145,$F264,'ИП + источники'!$AC$27:$AC$145,"Прибыль на капвложения")</f>
        <v>0</v>
      </c>
      <c r="AU264" s="778">
        <f ca="1">SUMIFS('ИП + источники'!AV$27:AV$145,'ИП + источники'!$F$27:$F$145,$F264,'ИП + источники'!$AC$27:$AC$145,"Прибыль на капвложения")</f>
        <v>0</v>
      </c>
      <c r="AV264" s="778">
        <f ca="1">SUMIFS('ИП + источники'!AW$27:AW$145,'ИП + источники'!$F$27:$F$145,$F264,'ИП + источники'!$AC$27:$AC$145,"Прибыль на капвложения")</f>
        <v>0</v>
      </c>
      <c r="AW264" s="128">
        <f ca="1">SUMIFS('ИП + источники'!AX$27:AX$145,'ИП + источники'!$F$27:$F$145,$F264,'ИП + источники'!$AC$27:$AC$145,"Прибыль на капвложения")</f>
        <v>0</v>
      </c>
      <c r="AX264" s="128">
        <f ca="1">SUMIFS('ИП + источники'!AY$27:AY$145,'ИП + источники'!$F$27:$F$145,$F264,'ИП + источники'!$AC$27:$AC$145,"Прибыль на капвложения")</f>
        <v>0</v>
      </c>
      <c r="AY264" s="128">
        <f ca="1">SUMIFS('ИП + источники'!AZ$27:AZ$145,'ИП + источники'!$F$27:$F$145,$F264,'ИП + источники'!$AC$27:$AC$145,"Прибыль на капвложения")</f>
        <v>0</v>
      </c>
      <c r="AZ264" s="128">
        <f ca="1">SUMIFS('ИП + источники'!BA$27:BA$145,'ИП + источники'!$F$27:$F$145,$F264,'ИП + источники'!$AC$27:$AC$145,"Прибыль на капвложения")</f>
        <v>0</v>
      </c>
      <c r="BA264" s="128">
        <f ca="1">SUMIFS('ИП + источники'!BB$27:BB$145,'ИП + источники'!$F$27:$F$145,$F264,'ИП + источники'!$AC$27:$AC$145,"Прибыль на капвложения")</f>
        <v>0</v>
      </c>
      <c r="BB264" s="128">
        <f ca="1">SUMIFS('ИП + источники'!BC$27:BC$145,'ИП + источники'!$F$27:$F$145,$F264,'ИП + источники'!$AC$27:$AC$145,"Прибыль на капвложения")</f>
        <v>0</v>
      </c>
      <c r="BC264" s="128">
        <f ca="1">SUMIFS('ИП + источники'!BD$27:BD$145,'ИП + источники'!$F$27:$F$145,$F264,'ИП + источники'!$AC$27:$AC$145,"Прибыль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1" t="str">
        <f ca="1">IF(IFERROR(INDEX('ИП + источники'!$K$28:$L$145,MATCH($F264&amp;"1komm",'ИП + источники'!$K$28:$K$145,0),2),"")=0,"",IFERROR(INDEX('ИП + источники'!$K$28:$L$145,MATCH($F264&amp;"1komm",'ИП + источники'!$K$28:$K$145,0),2),""))</f>
        <v/>
      </c>
      <c r="BP264" s="196"/>
      <c r="BS264" s="696" t="s">
        <v>1851</v>
      </c>
    </row>
    <row r="265" spans="1:75" ht="21.75" customHeight="1" x14ac:dyDescent="0.15">
      <c r="B265" s="329" t="b" cm="1">
        <f t="array" ref="B265">B264</f>
        <v>1</v>
      </c>
      <c r="C265" s="25"/>
      <c r="D265" s="25"/>
      <c r="E265" s="451">
        <v>22.5</v>
      </c>
      <c r="F265" s="3" t="str" cm="1">
        <f t="array" aca="1" ref="F265" ca="1">OFFSET(E265,-1,1)</f>
        <v>1</v>
      </c>
      <c r="G265" s="25" t="s">
        <v>2151</v>
      </c>
      <c r="H265" s="25"/>
      <c r="I265" s="25" t="s">
        <v>996</v>
      </c>
      <c r="J265" s="25"/>
      <c r="L265" s="25" t="s">
        <v>597</v>
      </c>
      <c r="M265" s="25"/>
      <c r="N265" s="25"/>
      <c r="O265" s="25"/>
      <c r="P265" s="25"/>
      <c r="Q265" s="25"/>
      <c r="R265" s="25"/>
      <c r="S265" s="25"/>
      <c r="T265" s="353" t="b" cm="1">
        <f t="array" aca="1" ref="T265" ca="1">T264</f>
        <v>1</v>
      </c>
      <c r="U265" s="25"/>
      <c r="V265" s="25"/>
      <c r="W265" s="25"/>
      <c r="X265" s="1022"/>
      <c r="Z265" s="967"/>
      <c r="AB265" s="7" t="s">
        <v>997</v>
      </c>
      <c r="AC265" s="127" t="s">
        <v>2152</v>
      </c>
      <c r="AD265" s="7" t="s">
        <v>828</v>
      </c>
      <c r="AE265" s="128"/>
      <c r="AF265" s="128"/>
      <c r="AG265" s="128"/>
      <c r="AH265" s="171">
        <f t="shared" si="55"/>
        <v>0</v>
      </c>
      <c r="AI265" s="128"/>
      <c r="AJ265" s="128"/>
      <c r="AK265" s="778"/>
      <c r="AL265" s="778"/>
      <c r="AM265" s="128"/>
      <c r="AN265" s="128"/>
      <c r="AO265" s="128"/>
      <c r="AP265" s="128"/>
      <c r="AQ265" s="128"/>
      <c r="AR265" s="128"/>
      <c r="AS265" s="128"/>
      <c r="AT265" s="128"/>
      <c r="AU265" s="778"/>
      <c r="AV265" s="778"/>
      <c r="AW265" s="128"/>
      <c r="AX265" s="128"/>
      <c r="AY265" s="128"/>
      <c r="AZ265" s="128"/>
      <c r="BA265" s="128"/>
      <c r="BB265" s="128"/>
      <c r="BC265" s="128"/>
      <c r="BD265" s="171">
        <f t="shared" si="57"/>
        <v>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c r="BO265" s="196"/>
      <c r="BP265" s="196"/>
      <c r="BS265" s="696" t="s">
        <v>2153</v>
      </c>
    </row>
    <row r="266" spans="1:75" ht="14.25" hidden="1" customHeight="1" x14ac:dyDescent="0.15">
      <c r="B266" s="329" t="b">
        <f>AND(method_reg="Метод индексации",STATUS_GO="да")</f>
        <v>0</v>
      </c>
      <c r="C266" s="25"/>
      <c r="D266" s="25"/>
      <c r="E266" s="451">
        <v>15</v>
      </c>
      <c r="F266" s="3" t="str" cm="1">
        <f t="array" aca="1" ref="F266" ca="1">OFFSET(E266,-1,1)</f>
        <v>1</v>
      </c>
      <c r="G266" s="25" t="s">
        <v>1854</v>
      </c>
      <c r="H266" s="25"/>
      <c r="I266" s="25" t="s">
        <v>532</v>
      </c>
      <c r="J266" s="25"/>
      <c r="L266" s="25" t="s">
        <v>601</v>
      </c>
      <c r="M266" s="25"/>
      <c r="N266" s="25"/>
      <c r="O266" s="25"/>
      <c r="P266" s="25"/>
      <c r="Q266" s="25"/>
      <c r="R266" s="25"/>
      <c r="S266" s="25"/>
      <c r="T266" s="353" t="b" cm="1">
        <f t="array" aca="1" ref="T266" ca="1">T265</f>
        <v>1</v>
      </c>
      <c r="U266" s="25"/>
      <c r="V266" s="25"/>
      <c r="W266" s="25"/>
      <c r="X266" s="1022"/>
      <c r="Z266" s="967"/>
      <c r="AB266" s="7" t="s">
        <v>536</v>
      </c>
      <c r="AC266" s="346" t="s">
        <v>1854</v>
      </c>
      <c r="AD266" s="7" t="s">
        <v>828</v>
      </c>
      <c r="AE266" s="778"/>
      <c r="AF266" s="778"/>
      <c r="AG266" s="778"/>
      <c r="AH266" s="171">
        <f t="shared" si="55"/>
        <v>0</v>
      </c>
      <c r="AI266" s="778"/>
      <c r="AJ266" s="128"/>
      <c r="AK266" s="778"/>
      <c r="AL266" s="778"/>
      <c r="AM266" s="778"/>
      <c r="AN266" s="778"/>
      <c r="AO266" s="778"/>
      <c r="AP266" s="778"/>
      <c r="AQ266" s="778"/>
      <c r="AR266" s="778"/>
      <c r="AS266" s="778"/>
      <c r="AT266" s="128"/>
      <c r="AU266" s="778"/>
      <c r="AV266" s="778"/>
      <c r="AW266" s="778"/>
      <c r="AX266" s="778"/>
      <c r="AY266" s="778"/>
      <c r="AZ266" s="778"/>
      <c r="BA266" s="778"/>
      <c r="BB266" s="778"/>
      <c r="BC266" s="778"/>
      <c r="BD266" s="171">
        <f t="shared" si="57"/>
        <v>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775"/>
      <c r="BO266" s="775"/>
      <c r="BP266" s="775"/>
      <c r="BS266" s="696" t="s">
        <v>1855</v>
      </c>
    </row>
    <row r="267" spans="1:75" ht="14.25" hidden="1" customHeight="1" x14ac:dyDescent="0.15">
      <c r="B267" s="580" t="b">
        <f>method_reg="Метод обеспечения доходности инвестированного капитала"</f>
        <v>0</v>
      </c>
      <c r="C267" s="25"/>
      <c r="D267" s="25"/>
      <c r="E267" s="451">
        <v>15</v>
      </c>
      <c r="F267" s="3" t="str" cm="1">
        <f t="array" aca="1" ref="F267" ca="1">OFFSET(E267,-1,1)</f>
        <v>1</v>
      </c>
      <c r="G267" s="25"/>
      <c r="H267" s="25"/>
      <c r="I267" s="25"/>
      <c r="J267" s="25"/>
      <c r="K267" s="25" t="s">
        <v>335</v>
      </c>
      <c r="L267" s="25"/>
      <c r="M267" s="25"/>
      <c r="N267" s="25"/>
      <c r="O267" s="25"/>
      <c r="P267" s="25"/>
      <c r="Q267" s="25"/>
      <c r="R267" s="25"/>
      <c r="S267" s="25"/>
      <c r="T267" s="580" t="b" cm="1">
        <f t="array" aca="1" ref="T267" ca="1">T266</f>
        <v>1</v>
      </c>
      <c r="U267" s="25"/>
      <c r="V267" s="25"/>
      <c r="W267" s="25"/>
      <c r="X267" s="1022"/>
      <c r="Z267" s="967"/>
      <c r="AB267" s="124" t="s">
        <v>454</v>
      </c>
      <c r="AC267" s="132" t="s">
        <v>2154</v>
      </c>
      <c r="AD267" s="124" t="s">
        <v>828</v>
      </c>
      <c r="AE267" s="774"/>
      <c r="AF267" s="774"/>
      <c r="AG267" s="774"/>
      <c r="AH267" s="126">
        <f t="shared" si="55"/>
        <v>0</v>
      </c>
      <c r="AI267" s="774"/>
      <c r="AJ267" s="138"/>
      <c r="AK267" s="774"/>
      <c r="AL267" s="774"/>
      <c r="AM267" s="774"/>
      <c r="AN267" s="774"/>
      <c r="AO267" s="774"/>
      <c r="AP267" s="774"/>
      <c r="AQ267" s="774"/>
      <c r="AR267" s="774"/>
      <c r="AS267" s="774"/>
      <c r="AT267" s="138"/>
      <c r="AU267" s="774"/>
      <c r="AV267" s="774"/>
      <c r="AW267" s="774"/>
      <c r="AX267" s="774"/>
      <c r="AY267" s="774"/>
      <c r="AZ267" s="774"/>
      <c r="BA267" s="774"/>
      <c r="BB267" s="774"/>
      <c r="BC267" s="774"/>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7"/>
      <c r="BO267" s="777"/>
      <c r="BP267" s="777"/>
      <c r="BS267" s="696" t="s">
        <v>2155</v>
      </c>
    </row>
    <row r="268" spans="1:75" ht="14.25" hidden="1" customHeight="1" x14ac:dyDescent="0.15">
      <c r="B268" s="580" t="b" cm="1">
        <f t="array" ref="B268">B267</f>
        <v>0</v>
      </c>
      <c r="C268" s="25"/>
      <c r="D268" s="25"/>
      <c r="E268" s="451">
        <v>15</v>
      </c>
      <c r="F268" s="3" t="str" cm="1">
        <f t="array" aca="1" ref="F268" ca="1">OFFSET(E268,-1,1)</f>
        <v>1</v>
      </c>
      <c r="G268" s="25"/>
      <c r="H268" s="25"/>
      <c r="I268" s="25"/>
      <c r="J268" s="25"/>
      <c r="K268" s="25" t="s">
        <v>560</v>
      </c>
      <c r="L268" s="25"/>
      <c r="M268" s="25"/>
      <c r="N268" s="25"/>
      <c r="O268" s="25"/>
      <c r="P268" s="25"/>
      <c r="Q268" s="25"/>
      <c r="R268" s="25"/>
      <c r="S268" s="25"/>
      <c r="T268" s="580" t="b" cm="1">
        <f t="array" aca="1" ref="T268" ca="1">T267</f>
        <v>1</v>
      </c>
      <c r="U268" s="25"/>
      <c r="V268" s="25"/>
      <c r="W268" s="25"/>
      <c r="X268" s="1022"/>
      <c r="Z268" s="967"/>
      <c r="AB268" s="7" t="s">
        <v>697</v>
      </c>
      <c r="AC268" s="127" t="s">
        <v>2156</v>
      </c>
      <c r="AD268" s="7" t="s">
        <v>828</v>
      </c>
      <c r="AE268" s="778"/>
      <c r="AF268" s="778"/>
      <c r="AG268" s="778"/>
      <c r="AH268" s="542"/>
      <c r="AI268" s="778"/>
      <c r="AJ268" s="128"/>
      <c r="AK268" s="778"/>
      <c r="AL268" s="778"/>
      <c r="AM268" s="778"/>
      <c r="AN268" s="778"/>
      <c r="AO268" s="778"/>
      <c r="AP268" s="778"/>
      <c r="AQ268" s="778"/>
      <c r="AR268" s="778"/>
      <c r="AS268" s="778"/>
      <c r="AT268" s="128"/>
      <c r="AU268" s="778"/>
      <c r="AV268" s="778"/>
      <c r="AW268" s="778"/>
      <c r="AX268" s="778"/>
      <c r="AY268" s="778"/>
      <c r="AZ268" s="778"/>
      <c r="BA268" s="778"/>
      <c r="BB268" s="778"/>
      <c r="BC268" s="778"/>
      <c r="BD268" s="542"/>
      <c r="BE268" s="542"/>
      <c r="BF268" s="542"/>
      <c r="BG268" s="542"/>
      <c r="BH268" s="542"/>
      <c r="BI268" s="542"/>
      <c r="BJ268" s="542"/>
      <c r="BK268" s="542"/>
      <c r="BL268" s="542"/>
      <c r="BM268" s="542"/>
      <c r="BN268" s="775"/>
      <c r="BO268" s="775"/>
      <c r="BP268" s="775"/>
      <c r="BS268" s="696" t="s">
        <v>2157</v>
      </c>
    </row>
    <row r="269" spans="1:75" ht="14.25" hidden="1" customHeight="1" x14ac:dyDescent="0.15">
      <c r="B269" s="580" t="b" cm="1">
        <f t="array" ref="B269">B268</f>
        <v>0</v>
      </c>
      <c r="C269" s="25"/>
      <c r="D269" s="25"/>
      <c r="E269" s="451">
        <v>15</v>
      </c>
      <c r="F269" s="3" t="str" cm="1">
        <f t="array" aca="1" ref="F269" ca="1">OFFSET(E269,-1,1)</f>
        <v>1</v>
      </c>
      <c r="G269" s="25"/>
      <c r="H269" s="25"/>
      <c r="I269" s="25"/>
      <c r="J269" s="25"/>
      <c r="K269" s="25" t="s">
        <v>564</v>
      </c>
      <c r="L269" s="25"/>
      <c r="M269" s="25"/>
      <c r="N269" s="25"/>
      <c r="O269" s="25"/>
      <c r="P269" s="25"/>
      <c r="Q269" s="25"/>
      <c r="R269" s="25"/>
      <c r="S269" s="25"/>
      <c r="T269" s="580" t="b" cm="1">
        <f t="array" aca="1" ref="T269" ca="1">T268</f>
        <v>1</v>
      </c>
      <c r="U269" s="25"/>
      <c r="V269" s="25"/>
      <c r="W269" s="25"/>
      <c r="X269" s="1022"/>
      <c r="Z269" s="967"/>
      <c r="AB269" s="7" t="s">
        <v>700</v>
      </c>
      <c r="AC269" s="127" t="s">
        <v>2158</v>
      </c>
      <c r="AD269" s="7" t="s">
        <v>2159</v>
      </c>
      <c r="AE269" s="778"/>
      <c r="AF269" s="778"/>
      <c r="AG269" s="778"/>
      <c r="AH269" s="542"/>
      <c r="AI269" s="778"/>
      <c r="AJ269" s="128"/>
      <c r="AK269" s="778"/>
      <c r="AL269" s="778"/>
      <c r="AM269" s="778"/>
      <c r="AN269" s="778"/>
      <c r="AO269" s="778"/>
      <c r="AP269" s="778"/>
      <c r="AQ269" s="778"/>
      <c r="AR269" s="778"/>
      <c r="AS269" s="778"/>
      <c r="AT269" s="128"/>
      <c r="AU269" s="778"/>
      <c r="AV269" s="778"/>
      <c r="AW269" s="778"/>
      <c r="AX269" s="778"/>
      <c r="AY269" s="778"/>
      <c r="AZ269" s="778"/>
      <c r="BA269" s="778"/>
      <c r="BB269" s="778"/>
      <c r="BC269" s="778"/>
      <c r="BD269" s="542"/>
      <c r="BE269" s="542"/>
      <c r="BF269" s="542"/>
      <c r="BG269" s="542"/>
      <c r="BH269" s="542"/>
      <c r="BI269" s="542"/>
      <c r="BJ269" s="542"/>
      <c r="BK269" s="542"/>
      <c r="BL269" s="542"/>
      <c r="BM269" s="542"/>
      <c r="BN269" s="775"/>
      <c r="BO269" s="775"/>
      <c r="BP269" s="775"/>
      <c r="BS269" s="696" t="s">
        <v>2160</v>
      </c>
    </row>
    <row r="270" spans="1:75" ht="14.25" hidden="1" customHeight="1" x14ac:dyDescent="0.15">
      <c r="B270" s="580" t="b" cm="1">
        <f t="array" ref="B270">B269</f>
        <v>0</v>
      </c>
      <c r="C270" s="25"/>
      <c r="D270" s="25"/>
      <c r="E270" s="451">
        <v>15</v>
      </c>
      <c r="F270" s="3" t="str" cm="1">
        <f t="array" aca="1" ref="F270" ca="1">OFFSET(E270,-1,1)</f>
        <v>1</v>
      </c>
      <c r="G270" s="25"/>
      <c r="H270" s="25"/>
      <c r="I270" s="25"/>
      <c r="J270" s="25"/>
      <c r="K270" s="25" t="s">
        <v>334</v>
      </c>
      <c r="L270" s="25"/>
      <c r="M270" s="25"/>
      <c r="N270" s="25"/>
      <c r="O270" s="25"/>
      <c r="P270" s="25"/>
      <c r="Q270" s="25"/>
      <c r="R270" s="25"/>
      <c r="S270" s="25"/>
      <c r="T270" s="580" t="b" cm="1">
        <f t="array" aca="1" ref="T270" ca="1">T269</f>
        <v>1</v>
      </c>
      <c r="U270" s="25"/>
      <c r="V270" s="25"/>
      <c r="W270" s="25"/>
      <c r="X270" s="1022"/>
      <c r="Z270" s="967"/>
      <c r="AB270" s="124" t="s">
        <v>460</v>
      </c>
      <c r="AC270" s="132" t="s">
        <v>2161</v>
      </c>
      <c r="AD270" s="124" t="s">
        <v>828</v>
      </c>
      <c r="AE270" s="774"/>
      <c r="AF270" s="774"/>
      <c r="AG270" s="774"/>
      <c r="AH270" s="126">
        <f>AG270-AF270</f>
        <v>0</v>
      </c>
      <c r="AI270" s="774"/>
      <c r="AJ270" s="138"/>
      <c r="AK270" s="774"/>
      <c r="AL270" s="774"/>
      <c r="AM270" s="774"/>
      <c r="AN270" s="774"/>
      <c r="AO270" s="774"/>
      <c r="AP270" s="774"/>
      <c r="AQ270" s="774"/>
      <c r="AR270" s="774"/>
      <c r="AS270" s="774"/>
      <c r="AT270" s="138"/>
      <c r="AU270" s="774"/>
      <c r="AV270" s="774"/>
      <c r="AW270" s="774"/>
      <c r="AX270" s="774"/>
      <c r="AY270" s="774"/>
      <c r="AZ270" s="774"/>
      <c r="BA270" s="774"/>
      <c r="BB270" s="774"/>
      <c r="BC270" s="774"/>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7"/>
      <c r="BO270" s="777"/>
      <c r="BP270" s="777"/>
      <c r="BS270" s="696" t="s">
        <v>2162</v>
      </c>
    </row>
    <row r="271" spans="1:75" ht="14.25" hidden="1" customHeight="1" x14ac:dyDescent="0.15">
      <c r="B271" s="580" t="b" cm="1">
        <f t="array" ref="B271">B270</f>
        <v>0</v>
      </c>
      <c r="C271" s="25"/>
      <c r="D271" s="25"/>
      <c r="E271" s="451">
        <v>15</v>
      </c>
      <c r="F271" s="3" t="str" cm="1">
        <f t="array" aca="1" ref="F271" ca="1">OFFSET(E271,-1,1)</f>
        <v>1</v>
      </c>
      <c r="G271" s="25"/>
      <c r="H271" s="25"/>
      <c r="I271" s="25"/>
      <c r="J271" s="25"/>
      <c r="K271" s="25" t="s">
        <v>574</v>
      </c>
      <c r="L271" s="25"/>
      <c r="M271" s="25"/>
      <c r="N271" s="25"/>
      <c r="O271" s="25"/>
      <c r="P271" s="25"/>
      <c r="Q271" s="25"/>
      <c r="R271" s="25"/>
      <c r="S271" s="25"/>
      <c r="T271" s="580" t="b" cm="1">
        <f t="array" aca="1" ref="T271" ca="1">T270</f>
        <v>1</v>
      </c>
      <c r="U271" s="25"/>
      <c r="V271" s="25"/>
      <c r="W271" s="25"/>
      <c r="X271" s="1022"/>
      <c r="Z271" s="967"/>
      <c r="AB271" s="7" t="s">
        <v>704</v>
      </c>
      <c r="AC271" s="127" t="s">
        <v>2163</v>
      </c>
      <c r="AD271" s="7" t="s">
        <v>828</v>
      </c>
      <c r="AE271" s="778"/>
      <c r="AF271" s="778"/>
      <c r="AG271" s="778"/>
      <c r="AH271" s="542"/>
      <c r="AI271" s="778"/>
      <c r="AJ271" s="128"/>
      <c r="AK271" s="778"/>
      <c r="AL271" s="778"/>
      <c r="AM271" s="778"/>
      <c r="AN271" s="778"/>
      <c r="AO271" s="778"/>
      <c r="AP271" s="778"/>
      <c r="AQ271" s="778"/>
      <c r="AR271" s="778"/>
      <c r="AS271" s="778"/>
      <c r="AT271" s="128"/>
      <c r="AU271" s="778"/>
      <c r="AV271" s="778"/>
      <c r="AW271" s="778"/>
      <c r="AX271" s="778"/>
      <c r="AY271" s="778"/>
      <c r="AZ271" s="778"/>
      <c r="BA271" s="778"/>
      <c r="BB271" s="778"/>
      <c r="BC271" s="778"/>
      <c r="BD271" s="542"/>
      <c r="BE271" s="542"/>
      <c r="BF271" s="542"/>
      <c r="BG271" s="542"/>
      <c r="BH271" s="542"/>
      <c r="BI271" s="542"/>
      <c r="BJ271" s="542"/>
      <c r="BK271" s="542"/>
      <c r="BL271" s="542"/>
      <c r="BM271" s="542"/>
      <c r="BN271" s="775"/>
      <c r="BO271" s="775"/>
      <c r="BP271" s="775"/>
      <c r="BS271" s="696" t="s">
        <v>2164</v>
      </c>
    </row>
    <row r="272" spans="1:75" ht="14.25" hidden="1" customHeight="1" x14ac:dyDescent="0.15">
      <c r="B272" s="580" t="b" cm="1">
        <f t="array" ref="B272">B271</f>
        <v>0</v>
      </c>
      <c r="C272" s="25"/>
      <c r="D272" s="25"/>
      <c r="E272" s="451">
        <v>15</v>
      </c>
      <c r="F272" s="3" t="str" cm="1">
        <f t="array" aca="1" ref="F272" ca="1">OFFSET(E272,-1,1)</f>
        <v>1</v>
      </c>
      <c r="G272" s="25"/>
      <c r="H272" s="25"/>
      <c r="I272" s="25"/>
      <c r="J272" s="25"/>
      <c r="K272" s="25" t="s">
        <v>578</v>
      </c>
      <c r="L272" s="25"/>
      <c r="M272" s="25"/>
      <c r="N272" s="25"/>
      <c r="O272" s="25"/>
      <c r="P272" s="25"/>
      <c r="Q272" s="25"/>
      <c r="R272" s="25"/>
      <c r="S272" s="25"/>
      <c r="T272" s="580" t="b" cm="1">
        <f t="array" aca="1" ref="T272" ca="1">T271</f>
        <v>1</v>
      </c>
      <c r="U272" s="25"/>
      <c r="V272" s="25"/>
      <c r="W272" s="25"/>
      <c r="X272" s="1022"/>
      <c r="Z272" s="967"/>
      <c r="AB272" s="7" t="s">
        <v>707</v>
      </c>
      <c r="AC272" s="127" t="s">
        <v>2165</v>
      </c>
      <c r="AD272" s="7" t="s">
        <v>476</v>
      </c>
      <c r="AE272" s="778"/>
      <c r="AF272" s="778"/>
      <c r="AG272" s="778"/>
      <c r="AH272" s="542"/>
      <c r="AI272" s="778"/>
      <c r="AJ272" s="128"/>
      <c r="AK272" s="778"/>
      <c r="AL272" s="778"/>
      <c r="AM272" s="778"/>
      <c r="AN272" s="778"/>
      <c r="AO272" s="778"/>
      <c r="AP272" s="778"/>
      <c r="AQ272" s="778"/>
      <c r="AR272" s="778"/>
      <c r="AS272" s="778"/>
      <c r="AT272" s="128"/>
      <c r="AU272" s="778"/>
      <c r="AV272" s="778"/>
      <c r="AW272" s="778"/>
      <c r="AX272" s="778"/>
      <c r="AY272" s="778"/>
      <c r="AZ272" s="778"/>
      <c r="BA272" s="778"/>
      <c r="BB272" s="778"/>
      <c r="BC272" s="778"/>
      <c r="BD272" s="542"/>
      <c r="BE272" s="542"/>
      <c r="BF272" s="542"/>
      <c r="BG272" s="542"/>
      <c r="BH272" s="542"/>
      <c r="BI272" s="542"/>
      <c r="BJ272" s="542"/>
      <c r="BK272" s="542"/>
      <c r="BL272" s="542"/>
      <c r="BM272" s="542"/>
      <c r="BN272" s="775"/>
      <c r="BO272" s="775"/>
      <c r="BP272" s="775"/>
      <c r="BS272" s="696" t="s">
        <v>2166</v>
      </c>
    </row>
    <row r="273" spans="1:75" ht="14.25" hidden="1" customHeight="1" x14ac:dyDescent="0.15">
      <c r="B273" s="580" t="b" cm="1">
        <f t="array" ref="B273">B272</f>
        <v>0</v>
      </c>
      <c r="C273" s="25"/>
      <c r="D273" s="25"/>
      <c r="E273" s="451">
        <v>15</v>
      </c>
      <c r="F273" s="3" t="str" cm="1">
        <f t="array" aca="1" ref="F273" ca="1">OFFSET(E273,-1,1)</f>
        <v>1</v>
      </c>
      <c r="G273" s="25"/>
      <c r="H273" s="25"/>
      <c r="I273" s="25"/>
      <c r="J273" s="25"/>
      <c r="K273" s="25" t="s">
        <v>794</v>
      </c>
      <c r="L273" s="25"/>
      <c r="M273" s="25"/>
      <c r="N273" s="25"/>
      <c r="O273" s="25"/>
      <c r="P273" s="25"/>
      <c r="Q273" s="25"/>
      <c r="R273" s="25"/>
      <c r="S273" s="25"/>
      <c r="T273" s="580" t="b" cm="1">
        <f t="array" aca="1" ref="T273" ca="1">T272</f>
        <v>1</v>
      </c>
      <c r="U273" s="25"/>
      <c r="V273" s="25"/>
      <c r="W273" s="25"/>
      <c r="X273" s="1022"/>
      <c r="Z273" s="967"/>
      <c r="AB273" s="7" t="s">
        <v>994</v>
      </c>
      <c r="AC273" s="127" t="s">
        <v>2167</v>
      </c>
      <c r="AD273" s="7" t="s">
        <v>828</v>
      </c>
      <c r="AE273" s="778"/>
      <c r="AF273" s="778"/>
      <c r="AG273" s="778"/>
      <c r="AH273" s="542"/>
      <c r="AI273" s="778"/>
      <c r="AJ273" s="128"/>
      <c r="AK273" s="778"/>
      <c r="AL273" s="778"/>
      <c r="AM273" s="778"/>
      <c r="AN273" s="778"/>
      <c r="AO273" s="778"/>
      <c r="AP273" s="778"/>
      <c r="AQ273" s="778"/>
      <c r="AR273" s="778"/>
      <c r="AS273" s="778"/>
      <c r="AT273" s="128"/>
      <c r="AU273" s="778"/>
      <c r="AV273" s="778"/>
      <c r="AW273" s="778"/>
      <c r="AX273" s="778"/>
      <c r="AY273" s="778"/>
      <c r="AZ273" s="778"/>
      <c r="BA273" s="778"/>
      <c r="BB273" s="778"/>
      <c r="BC273" s="778"/>
      <c r="BD273" s="542"/>
      <c r="BE273" s="542"/>
      <c r="BF273" s="542"/>
      <c r="BG273" s="542"/>
      <c r="BH273" s="542"/>
      <c r="BI273" s="542"/>
      <c r="BJ273" s="542"/>
      <c r="BK273" s="542"/>
      <c r="BL273" s="542"/>
      <c r="BM273" s="542"/>
      <c r="BN273" s="775"/>
      <c r="BO273" s="775"/>
      <c r="BP273" s="775"/>
      <c r="BS273" s="696" t="s">
        <v>2168</v>
      </c>
    </row>
    <row r="274" spans="1:75" ht="14.25" hidden="1" customHeight="1" x14ac:dyDescent="0.15">
      <c r="B274" s="580" t="b" cm="1">
        <f t="array" ref="B274">B273</f>
        <v>0</v>
      </c>
      <c r="C274" s="25"/>
      <c r="D274" s="25"/>
      <c r="E274" s="451">
        <v>15</v>
      </c>
      <c r="F274" s="3" t="str" cm="1">
        <f t="array" aca="1" ref="F274" ca="1">OFFSET(E274,-1,1)</f>
        <v>1</v>
      </c>
      <c r="G274" s="25"/>
      <c r="H274" s="25"/>
      <c r="I274" s="25"/>
      <c r="J274" s="25"/>
      <c r="K274" s="25" t="s">
        <v>996</v>
      </c>
      <c r="L274" s="25"/>
      <c r="M274" s="25"/>
      <c r="N274" s="25"/>
      <c r="O274" s="25"/>
      <c r="P274" s="25"/>
      <c r="Q274" s="25"/>
      <c r="R274" s="25"/>
      <c r="S274" s="25"/>
      <c r="T274" s="580" t="b" cm="1">
        <f t="array" aca="1" ref="T274" ca="1">T273</f>
        <v>1</v>
      </c>
      <c r="U274" s="25"/>
      <c r="V274" s="25"/>
      <c r="W274" s="25"/>
      <c r="X274" s="1022"/>
      <c r="Z274" s="967"/>
      <c r="AB274" s="7" t="s">
        <v>997</v>
      </c>
      <c r="AC274" s="127" t="s">
        <v>2169</v>
      </c>
      <c r="AD274" s="7" t="s">
        <v>828</v>
      </c>
      <c r="AE274" s="778"/>
      <c r="AF274" s="778"/>
      <c r="AG274" s="778"/>
      <c r="AH274" s="542"/>
      <c r="AI274" s="778"/>
      <c r="AJ274" s="128"/>
      <c r="AK274" s="778"/>
      <c r="AL274" s="778"/>
      <c r="AM274" s="778"/>
      <c r="AN274" s="778"/>
      <c r="AO274" s="778"/>
      <c r="AP274" s="778"/>
      <c r="AQ274" s="778"/>
      <c r="AR274" s="778"/>
      <c r="AS274" s="778"/>
      <c r="AT274" s="128"/>
      <c r="AU274" s="778"/>
      <c r="AV274" s="778"/>
      <c r="AW274" s="778"/>
      <c r="AX274" s="778"/>
      <c r="AY274" s="778"/>
      <c r="AZ274" s="778"/>
      <c r="BA274" s="778"/>
      <c r="BB274" s="778"/>
      <c r="BC274" s="778"/>
      <c r="BD274" s="542"/>
      <c r="BE274" s="542"/>
      <c r="BF274" s="542"/>
      <c r="BG274" s="542"/>
      <c r="BH274" s="542"/>
      <c r="BI274" s="542"/>
      <c r="BJ274" s="542"/>
      <c r="BK274" s="542"/>
      <c r="BL274" s="542"/>
      <c r="BM274" s="542"/>
      <c r="BN274" s="775"/>
      <c r="BO274" s="775"/>
      <c r="BP274" s="775"/>
      <c r="BS274" s="696" t="s">
        <v>2170</v>
      </c>
    </row>
    <row r="275" spans="1:75" ht="14.25" hidden="1" customHeight="1" x14ac:dyDescent="0.15">
      <c r="B275" s="580" t="b" cm="1">
        <f t="array" ref="B275">B274</f>
        <v>0</v>
      </c>
      <c r="C275" s="25"/>
      <c r="D275" s="25"/>
      <c r="E275" s="451">
        <v>15</v>
      </c>
      <c r="F275" s="3" t="str" cm="1">
        <f t="array" aca="1" ref="F275" ca="1">OFFSET(E275,-1,1)</f>
        <v>1</v>
      </c>
      <c r="G275" s="25"/>
      <c r="H275" s="25"/>
      <c r="I275" s="25"/>
      <c r="J275" s="25"/>
      <c r="K275" s="25" t="s">
        <v>2171</v>
      </c>
      <c r="L275" s="25"/>
      <c r="M275" s="25"/>
      <c r="N275" s="25"/>
      <c r="O275" s="25"/>
      <c r="P275" s="25"/>
      <c r="Q275" s="25"/>
      <c r="R275" s="25"/>
      <c r="S275" s="25"/>
      <c r="T275" s="580" t="b" cm="1">
        <f t="array" aca="1" ref="T275" ca="1">T274</f>
        <v>1</v>
      </c>
      <c r="U275" s="25"/>
      <c r="V275" s="25"/>
      <c r="W275" s="25"/>
      <c r="X275" s="1022"/>
      <c r="Z275" s="967"/>
      <c r="AB275" s="7" t="s">
        <v>2172</v>
      </c>
      <c r="AC275" s="134" t="s">
        <v>2173</v>
      </c>
      <c r="AD275" s="7" t="s">
        <v>476</v>
      </c>
      <c r="AE275" s="778"/>
      <c r="AF275" s="778"/>
      <c r="AG275" s="778"/>
      <c r="AH275" s="542"/>
      <c r="AI275" s="778"/>
      <c r="AJ275" s="128"/>
      <c r="AK275" s="778"/>
      <c r="AL275" s="778"/>
      <c r="AM275" s="778"/>
      <c r="AN275" s="778"/>
      <c r="AO275" s="778"/>
      <c r="AP275" s="778"/>
      <c r="AQ275" s="778"/>
      <c r="AR275" s="778"/>
      <c r="AS275" s="778"/>
      <c r="AT275" s="128"/>
      <c r="AU275" s="778"/>
      <c r="AV275" s="778"/>
      <c r="AW275" s="778"/>
      <c r="AX275" s="778"/>
      <c r="AY275" s="778"/>
      <c r="AZ275" s="778"/>
      <c r="BA275" s="778"/>
      <c r="BB275" s="778"/>
      <c r="BC275" s="778"/>
      <c r="BD275" s="542"/>
      <c r="BE275" s="542"/>
      <c r="BF275" s="542"/>
      <c r="BG275" s="542"/>
      <c r="BH275" s="542"/>
      <c r="BI275" s="542"/>
      <c r="BJ275" s="542"/>
      <c r="BK275" s="542"/>
      <c r="BL275" s="542"/>
      <c r="BM275" s="542"/>
      <c r="BN275" s="775"/>
      <c r="BO275" s="775"/>
      <c r="BP275" s="775"/>
      <c r="BS275" s="696" t="s">
        <v>2174</v>
      </c>
    </row>
    <row r="276" spans="1:75" ht="14.25" hidden="1" customHeight="1" x14ac:dyDescent="0.15">
      <c r="B276" s="580" t="b" cm="1">
        <f t="array" ref="B276">B275</f>
        <v>0</v>
      </c>
      <c r="C276" s="25"/>
      <c r="D276" s="25"/>
      <c r="E276" s="451">
        <v>15</v>
      </c>
      <c r="F276" s="3" t="str" cm="1">
        <f t="array" aca="1" ref="F276" ca="1">OFFSET(E276,-1,1)</f>
        <v>1</v>
      </c>
      <c r="G276" s="25"/>
      <c r="H276" s="25"/>
      <c r="I276" s="25"/>
      <c r="J276" s="25"/>
      <c r="K276" s="25" t="s">
        <v>999</v>
      </c>
      <c r="L276" s="25"/>
      <c r="M276" s="25"/>
      <c r="N276" s="25"/>
      <c r="O276" s="25"/>
      <c r="P276" s="25"/>
      <c r="Q276" s="25"/>
      <c r="R276" s="25"/>
      <c r="S276" s="25"/>
      <c r="T276" s="580" t="b" cm="1">
        <f t="array" aca="1" ref="T276" ca="1">T275</f>
        <v>1</v>
      </c>
      <c r="U276" s="25"/>
      <c r="V276" s="25"/>
      <c r="W276" s="25"/>
      <c r="X276" s="1022"/>
      <c r="Z276" s="967"/>
      <c r="AB276" s="7" t="s">
        <v>1000</v>
      </c>
      <c r="AC276" s="127" t="s">
        <v>2175</v>
      </c>
      <c r="AD276" s="7" t="s">
        <v>476</v>
      </c>
      <c r="AE276" s="778"/>
      <c r="AF276" s="778"/>
      <c r="AG276" s="778"/>
      <c r="AH276" s="542"/>
      <c r="AI276" s="778"/>
      <c r="AJ276" s="128"/>
      <c r="AK276" s="778"/>
      <c r="AL276" s="778"/>
      <c r="AM276" s="778"/>
      <c r="AN276" s="778"/>
      <c r="AO276" s="778"/>
      <c r="AP276" s="778"/>
      <c r="AQ276" s="778"/>
      <c r="AR276" s="778"/>
      <c r="AS276" s="778"/>
      <c r="AT276" s="128"/>
      <c r="AU276" s="778"/>
      <c r="AV276" s="778"/>
      <c r="AW276" s="778"/>
      <c r="AX276" s="778"/>
      <c r="AY276" s="778"/>
      <c r="AZ276" s="778"/>
      <c r="BA276" s="778"/>
      <c r="BB276" s="778"/>
      <c r="BC276" s="778"/>
      <c r="BD276" s="542"/>
      <c r="BE276" s="542"/>
      <c r="BF276" s="542"/>
      <c r="BG276" s="542"/>
      <c r="BH276" s="542"/>
      <c r="BI276" s="542"/>
      <c r="BJ276" s="542"/>
      <c r="BK276" s="542"/>
      <c r="BL276" s="542"/>
      <c r="BM276" s="542"/>
      <c r="BN276" s="775"/>
      <c r="BO276" s="775"/>
      <c r="BP276" s="775"/>
      <c r="BS276" s="696" t="s">
        <v>2176</v>
      </c>
    </row>
    <row r="277" spans="1:75" ht="14.25" hidden="1" customHeight="1" x14ac:dyDescent="0.15">
      <c r="B277" s="580" t="b" cm="1">
        <f t="array" ref="B277">B276</f>
        <v>0</v>
      </c>
      <c r="C277" s="25"/>
      <c r="D277" s="25"/>
      <c r="E277" s="451">
        <v>15</v>
      </c>
      <c r="F277" s="3" t="str" cm="1">
        <f t="array" aca="1" ref="F277" ca="1">OFFSET(E277,-1,1)</f>
        <v>1</v>
      </c>
      <c r="G277" s="25"/>
      <c r="H277" s="25"/>
      <c r="I277" s="25"/>
      <c r="J277" s="25"/>
      <c r="K277" s="25" t="s">
        <v>2177</v>
      </c>
      <c r="L277" s="25"/>
      <c r="M277" s="25"/>
      <c r="N277" s="25"/>
      <c r="O277" s="25"/>
      <c r="P277" s="25"/>
      <c r="Q277" s="25"/>
      <c r="R277" s="25"/>
      <c r="S277" s="25"/>
      <c r="T277" s="580" t="b" cm="1">
        <f t="array" aca="1" ref="T277" ca="1">T276</f>
        <v>1</v>
      </c>
      <c r="U277" s="25"/>
      <c r="V277" s="25"/>
      <c r="W277" s="25"/>
      <c r="X277" s="1022"/>
      <c r="Z277" s="967"/>
      <c r="AB277" s="7" t="s">
        <v>2178</v>
      </c>
      <c r="AC277" s="134" t="s">
        <v>2179</v>
      </c>
      <c r="AD277" s="7" t="s">
        <v>476</v>
      </c>
      <c r="AE277" s="778"/>
      <c r="AF277" s="778"/>
      <c r="AG277" s="778"/>
      <c r="AH277" s="542"/>
      <c r="AI277" s="778"/>
      <c r="AJ277" s="128"/>
      <c r="AK277" s="778"/>
      <c r="AL277" s="778"/>
      <c r="AM277" s="778"/>
      <c r="AN277" s="778"/>
      <c r="AO277" s="778"/>
      <c r="AP277" s="778"/>
      <c r="AQ277" s="778"/>
      <c r="AR277" s="778"/>
      <c r="AS277" s="778"/>
      <c r="AT277" s="128"/>
      <c r="AU277" s="778"/>
      <c r="AV277" s="778"/>
      <c r="AW277" s="778"/>
      <c r="AX277" s="778"/>
      <c r="AY277" s="778"/>
      <c r="AZ277" s="778"/>
      <c r="BA277" s="778"/>
      <c r="BB277" s="778"/>
      <c r="BC277" s="778"/>
      <c r="BD277" s="542"/>
      <c r="BE277" s="542"/>
      <c r="BF277" s="542"/>
      <c r="BG277" s="542"/>
      <c r="BH277" s="542"/>
      <c r="BI277" s="542"/>
      <c r="BJ277" s="542"/>
      <c r="BK277" s="542"/>
      <c r="BL277" s="542"/>
      <c r="BM277" s="542"/>
      <c r="BN277" s="775"/>
      <c r="BO277" s="775"/>
      <c r="BP277" s="775"/>
      <c r="BS277" s="696" t="s">
        <v>2180</v>
      </c>
    </row>
    <row r="278" spans="1:75" ht="14.25" hidden="1" customHeight="1" x14ac:dyDescent="0.15">
      <c r="B278" s="580" t="b" cm="1">
        <f t="array" ref="B278">B277</f>
        <v>0</v>
      </c>
      <c r="C278" s="25"/>
      <c r="D278" s="25"/>
      <c r="E278" s="451">
        <v>15</v>
      </c>
      <c r="F278" s="3" t="str" cm="1">
        <f t="array" aca="1" ref="F278" ca="1">OFFSET(E278,-1,1)</f>
        <v>1</v>
      </c>
      <c r="G278" s="25"/>
      <c r="H278" s="25"/>
      <c r="I278" s="25"/>
      <c r="J278" s="25"/>
      <c r="K278" s="25" t="s">
        <v>2181</v>
      </c>
      <c r="L278" s="25"/>
      <c r="M278" s="25"/>
      <c r="N278" s="25"/>
      <c r="O278" s="25"/>
      <c r="P278" s="25"/>
      <c r="Q278" s="25"/>
      <c r="R278" s="25"/>
      <c r="S278" s="25"/>
      <c r="T278" s="580" t="b" cm="1">
        <f t="array" aca="1" ref="T278" ca="1">T277</f>
        <v>1</v>
      </c>
      <c r="U278" s="25"/>
      <c r="V278" s="25"/>
      <c r="W278" s="25"/>
      <c r="X278" s="1022"/>
      <c r="Z278" s="967"/>
      <c r="AB278" s="7" t="s">
        <v>2182</v>
      </c>
      <c r="AC278" s="134" t="s">
        <v>2183</v>
      </c>
      <c r="AD278" s="7" t="s">
        <v>476</v>
      </c>
      <c r="AE278" s="778"/>
      <c r="AF278" s="778"/>
      <c r="AG278" s="778"/>
      <c r="AH278" s="542"/>
      <c r="AI278" s="778"/>
      <c r="AJ278" s="128"/>
      <c r="AK278" s="778"/>
      <c r="AL278" s="778"/>
      <c r="AM278" s="778"/>
      <c r="AN278" s="778"/>
      <c r="AO278" s="778"/>
      <c r="AP278" s="778"/>
      <c r="AQ278" s="778"/>
      <c r="AR278" s="778"/>
      <c r="AS278" s="778"/>
      <c r="AT278" s="128"/>
      <c r="AU278" s="778"/>
      <c r="AV278" s="778"/>
      <c r="AW278" s="778"/>
      <c r="AX278" s="778"/>
      <c r="AY278" s="778"/>
      <c r="AZ278" s="778"/>
      <c r="BA278" s="778"/>
      <c r="BB278" s="778"/>
      <c r="BC278" s="778"/>
      <c r="BD278" s="542"/>
      <c r="BE278" s="542"/>
      <c r="BF278" s="542"/>
      <c r="BG278" s="542"/>
      <c r="BH278" s="542"/>
      <c r="BI278" s="542"/>
      <c r="BJ278" s="542"/>
      <c r="BK278" s="542"/>
      <c r="BL278" s="542"/>
      <c r="BM278" s="542"/>
      <c r="BN278" s="775"/>
      <c r="BO278" s="775"/>
      <c r="BP278" s="775"/>
      <c r="BS278" s="696" t="s">
        <v>2184</v>
      </c>
    </row>
    <row r="279" spans="1:75" s="870" customFormat="1" ht="20.45" customHeight="1" x14ac:dyDescent="0.15">
      <c r="A279" s="76"/>
      <c r="B279" s="332"/>
      <c r="C279" s="27"/>
      <c r="D279" s="27" t="str">
        <f>IF(B278,"6","7")</f>
        <v>7</v>
      </c>
      <c r="E279" s="559">
        <v>21</v>
      </c>
      <c r="F279" s="3" t="str" cm="1">
        <f t="array" aca="1" ref="F279" ca="1">OFFSET(E279,-1,1)</f>
        <v>1</v>
      </c>
      <c r="G279" s="25" t="s">
        <v>2185</v>
      </c>
      <c r="H279" s="25"/>
      <c r="I279" s="283" t="s">
        <v>2186</v>
      </c>
      <c r="J279" s="27"/>
      <c r="K279" s="279" t="s">
        <v>2186</v>
      </c>
      <c r="L279" s="27"/>
      <c r="M279" s="27"/>
      <c r="N279" s="27"/>
      <c r="O279" s="27"/>
      <c r="P279" s="27"/>
      <c r="Q279" s="27"/>
      <c r="R279" s="27"/>
      <c r="S279" s="27"/>
      <c r="T279" s="353" t="b" cm="1">
        <f t="array" aca="1" ref="T279" ca="1">T278</f>
        <v>1</v>
      </c>
      <c r="U279" s="27"/>
      <c r="V279" s="27"/>
      <c r="W279" s="27"/>
      <c r="X279" s="1022"/>
      <c r="Y279" s="76"/>
      <c r="Z279" s="967"/>
      <c r="AA279" s="76"/>
      <c r="AB279" s="124" t="str" cm="1">
        <f t="array" ref="AB279">D279</f>
        <v>7</v>
      </c>
      <c r="AC279" s="132" t="s">
        <v>1598</v>
      </c>
      <c r="AD279" s="124" t="s">
        <v>828</v>
      </c>
      <c r="AE279" s="138">
        <v>2717.8719999999998</v>
      </c>
      <c r="AF279" s="138"/>
      <c r="AG279" s="138">
        <v>2717.8719999999998</v>
      </c>
      <c r="AH279" s="126">
        <f>AG279-AF279</f>
        <v>2717.8719999999998</v>
      </c>
      <c r="AI279" s="138">
        <v>1873.7007224587001</v>
      </c>
      <c r="AJ279" s="128">
        <v>18816.875539232002</v>
      </c>
      <c r="AK279" s="774"/>
      <c r="AL279" s="774"/>
      <c r="AM279" s="138"/>
      <c r="AN279" s="138"/>
      <c r="AO279" s="138"/>
      <c r="AP279" s="138"/>
      <c r="AQ279" s="138"/>
      <c r="AR279" s="138"/>
      <c r="AS279" s="138"/>
      <c r="AT279" s="128">
        <v>558.04999999999995</v>
      </c>
      <c r="AU279" s="774"/>
      <c r="AV279" s="774"/>
      <c r="AW279" s="138"/>
      <c r="AX279" s="138"/>
      <c r="AY279" s="138"/>
      <c r="AZ279" s="138"/>
      <c r="BA279" s="138"/>
      <c r="BB279" s="138"/>
      <c r="BC279" s="138"/>
      <c r="BD279" s="126">
        <f>IF(AI279=0,0,(AT279-AI279)/AI279*100)</f>
        <v>-70.216695051079569</v>
      </c>
      <c r="BE279" s="126">
        <f t="shared" ref="BE279:BM279"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6"/>
      <c r="BO279" s="601" t="str">
        <f ca="1">IF(IFERROR(INDEX('Корректировка НВВ'!$K$26:$L$231,MATCH($F279&amp;"11komm",'Корректировка НВВ'!$K$26:$K$231,0),2),"")=0,"",IFERROR(INDEX('Корректировка НВВ'!$K$26:$L$231,MATCH($F279&amp;"11komm",'Корректировка НВВ'!$K$26:$K$231,0),2),""))</f>
        <v/>
      </c>
      <c r="BP279" s="556"/>
      <c r="BQ279" s="76"/>
      <c r="BR279" s="76"/>
      <c r="BS279" s="702" t="s">
        <v>2187</v>
      </c>
      <c r="BT279" s="702"/>
      <c r="BU279" s="702"/>
      <c r="BV279" s="511"/>
      <c r="BW279" s="511"/>
    </row>
    <row r="280" spans="1:75" ht="14.25" customHeight="1" x14ac:dyDescent="0.15">
      <c r="C280" s="25"/>
      <c r="D280" s="25" t="str" cm="1">
        <f t="array" ref="D280">D279</f>
        <v>7</v>
      </c>
      <c r="E280" s="451">
        <v>15</v>
      </c>
      <c r="F280" s="3" t="str" cm="1">
        <f t="array" aca="1" ref="F280" ca="1">OFFSET(E280,-1,1)</f>
        <v>1</v>
      </c>
      <c r="G280" s="25"/>
      <c r="H280" s="25"/>
      <c r="I280" s="25"/>
      <c r="J280" s="25"/>
      <c r="L280" s="25"/>
      <c r="M280" s="25"/>
      <c r="N280" s="25"/>
      <c r="O280" s="25"/>
      <c r="P280" s="25"/>
      <c r="Q280" s="25"/>
      <c r="R280" s="25"/>
      <c r="S280" s="25"/>
      <c r="T280" s="353" t="b" cm="1">
        <f t="array" aca="1" ref="T280" ca="1">T279</f>
        <v>1</v>
      </c>
      <c r="U280" s="25"/>
      <c r="V280" s="25"/>
      <c r="W280" s="25"/>
      <c r="X280" s="1022"/>
      <c r="Z280" s="967"/>
      <c r="AB280" s="7"/>
      <c r="AC280" s="346" t="s">
        <v>2188</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x14ac:dyDescent="0.15">
      <c r="C281" s="25"/>
      <c r="D281" s="25" t="str" cm="1">
        <f t="array" ref="D281">D280</f>
        <v>7</v>
      </c>
      <c r="E281" s="451">
        <v>22.5</v>
      </c>
      <c r="F281" s="3" t="str" cm="1">
        <f t="array" aca="1" ref="F281" ca="1">OFFSET(E281,-1,1)</f>
        <v>1</v>
      </c>
      <c r="G281" s="25" t="s">
        <v>373</v>
      </c>
      <c r="H281" s="25"/>
      <c r="I281" s="25" t="s">
        <v>535</v>
      </c>
      <c r="J281" s="25"/>
      <c r="K281" s="72" t="s">
        <v>535</v>
      </c>
      <c r="L281" s="25"/>
      <c r="M281" s="25"/>
      <c r="N281" s="25"/>
      <c r="O281" s="25"/>
      <c r="P281" s="25"/>
      <c r="Q281" s="25"/>
      <c r="R281" s="25"/>
      <c r="S281" s="25"/>
      <c r="T281" s="353" t="b" cm="1">
        <f t="array" aca="1" ref="T281" ca="1">T280</f>
        <v>1</v>
      </c>
      <c r="U281" s="25"/>
      <c r="V281" s="25"/>
      <c r="W281" s="25"/>
      <c r="X281" s="1022"/>
      <c r="Z281" s="967"/>
      <c r="AB281" s="7" t="str">
        <f>D281&amp;".1"</f>
        <v>7.1</v>
      </c>
      <c r="AC281" s="127" t="s">
        <v>2189</v>
      </c>
      <c r="AD281" s="7" t="s">
        <v>828</v>
      </c>
      <c r="AE281" s="128">
        <v>0</v>
      </c>
      <c r="AF281" s="128"/>
      <c r="AG281" s="128">
        <v>0</v>
      </c>
      <c r="AH281" s="171">
        <f t="shared" ref="AH281:AH294" si="73">AG281-AF281</f>
        <v>0</v>
      </c>
      <c r="AI281" s="128">
        <v>0</v>
      </c>
      <c r="AJ281" s="128">
        <f ca="1">SUMIFS('Корректировка НВВ'!$AF$25:$AF$231,'Корректировка НВВ'!$F$25:$F$231,$F281,'Корректировка НВВ'!$I$25:$I$231,$G281)</f>
        <v>0</v>
      </c>
      <c r="AK281" s="778"/>
      <c r="AL281" s="778"/>
      <c r="AM281" s="128"/>
      <c r="AN281" s="128"/>
      <c r="AO281" s="128"/>
      <c r="AP281" s="128"/>
      <c r="AQ281" s="128"/>
      <c r="AR281" s="128"/>
      <c r="AS281" s="128"/>
      <c r="AT281" s="128">
        <f ca="1">SUMIFS('Корректировка НВВ'!$AG$25:$AG$231,'Корректировка НВВ'!$F$25:$F$231,$F281,'Корректировка НВВ'!$I$25:$I$231,$G281)</f>
        <v>0</v>
      </c>
      <c r="AU281" s="778"/>
      <c r="AV281" s="778"/>
      <c r="AW281" s="128"/>
      <c r="AX281" s="128"/>
      <c r="AY281" s="128"/>
      <c r="AZ281" s="128"/>
      <c r="BA281" s="128"/>
      <c r="BB281" s="128"/>
      <c r="BC281" s="128"/>
      <c r="BD281" s="542"/>
      <c r="BE281" s="542"/>
      <c r="BF281" s="542"/>
      <c r="BG281" s="542"/>
      <c r="BH281" s="542"/>
      <c r="BI281" s="542"/>
      <c r="BJ281" s="542"/>
      <c r="BK281" s="542"/>
      <c r="BL281" s="542"/>
      <c r="BM281" s="542"/>
      <c r="BN281" s="196"/>
      <c r="BO281" s="601" t="str">
        <f ca="1">IF(IFERROR(INDEX('Корректировка НВВ'!$K$26:$L$231,MATCH($F281&amp;"1komm",'Корректировка НВВ'!$K$26:$K$231,0),2),"")=0,"",IFERROR(INDEX('Корректировка НВВ'!$K$26:$L$231,MATCH($F281&amp;"1komm",'Корректировка НВВ'!$K$26:$K$231,0),2),""))</f>
        <v/>
      </c>
      <c r="BP281" s="196"/>
      <c r="BS281" s="696" t="s">
        <v>2190</v>
      </c>
    </row>
    <row r="282" spans="1:75" ht="233.25" customHeight="1" x14ac:dyDescent="0.15">
      <c r="C282" s="25"/>
      <c r="D282" s="25" t="str" cm="1">
        <f t="array" ref="D282">D281</f>
        <v>7</v>
      </c>
      <c r="E282" s="451">
        <v>101.25</v>
      </c>
      <c r="F282" s="3" t="str" cm="1">
        <f t="array" aca="1" ref="F282" ca="1">OFFSET(E282,-1,1)</f>
        <v>1</v>
      </c>
      <c r="G282" s="25" t="s">
        <v>2191</v>
      </c>
      <c r="H282" s="25"/>
      <c r="I282" s="25" t="s">
        <v>586</v>
      </c>
      <c r="J282" s="25"/>
      <c r="K282" s="72" t="s">
        <v>586</v>
      </c>
      <c r="L282" s="25"/>
      <c r="M282" s="25"/>
      <c r="N282" s="25"/>
      <c r="O282" s="25"/>
      <c r="P282" s="25"/>
      <c r="Q282" s="25"/>
      <c r="R282" s="25"/>
      <c r="S282" s="25"/>
      <c r="T282" s="353" t="b" cm="1">
        <f t="array" aca="1" ref="T282" ca="1">T281</f>
        <v>1</v>
      </c>
      <c r="U282" s="25"/>
      <c r="V282" s="25"/>
      <c r="W282" s="25"/>
      <c r="X282" s="1022"/>
      <c r="Z282" s="967"/>
      <c r="AB282" s="7" t="str">
        <f>D282&amp;".2"</f>
        <v>7.2</v>
      </c>
      <c r="AC282" s="127" t="s">
        <v>2192</v>
      </c>
      <c r="AD282" s="7" t="s">
        <v>828</v>
      </c>
      <c r="AE282" s="128">
        <v>0</v>
      </c>
      <c r="AF282" s="128"/>
      <c r="AG282" s="128">
        <v>0</v>
      </c>
      <c r="AH282" s="171">
        <f t="shared" si="73"/>
        <v>0</v>
      </c>
      <c r="AI282" s="128">
        <v>0</v>
      </c>
      <c r="AJ282" s="128">
        <f ca="1">SUMIFS('Корректировка НВВ'!$AF$25:$AF$231,'Корректировка НВВ'!$F$25:$F$231,$F282,'Корректировка НВВ'!$I$25:$I$231,$G282)</f>
        <v>0</v>
      </c>
      <c r="AK282" s="778"/>
      <c r="AL282" s="778"/>
      <c r="AM282" s="128"/>
      <c r="AN282" s="128"/>
      <c r="AO282" s="128"/>
      <c r="AP282" s="128"/>
      <c r="AQ282" s="128"/>
      <c r="AR282" s="128"/>
      <c r="AS282" s="128"/>
      <c r="AT282" s="128">
        <f ca="1">SUMIFS('Корректировка НВВ'!$AG$25:$AG$231,'Корректировка НВВ'!$F$25:$F$231,$F282,'Корректировка НВВ'!$I$25:$I$231,$G282)</f>
        <v>0</v>
      </c>
      <c r="AU282" s="778"/>
      <c r="AV282" s="778"/>
      <c r="AW282" s="128"/>
      <c r="AX282" s="128"/>
      <c r="AY282" s="128"/>
      <c r="AZ282" s="128"/>
      <c r="BA282" s="128"/>
      <c r="BB282" s="128"/>
      <c r="BC282" s="128"/>
      <c r="BD282" s="542"/>
      <c r="BE282" s="542"/>
      <c r="BF282" s="542"/>
      <c r="BG282" s="542"/>
      <c r="BH282" s="542"/>
      <c r="BI282" s="542"/>
      <c r="BJ282" s="542"/>
      <c r="BK282" s="542"/>
      <c r="BL282" s="542"/>
      <c r="BM282" s="542"/>
      <c r="BN282" s="196" t="s">
        <v>2258</v>
      </c>
      <c r="BO282" s="601" t="s">
        <v>2259</v>
      </c>
      <c r="BP282" s="196" t="s">
        <v>2260</v>
      </c>
      <c r="BS282" s="696" t="s">
        <v>2193</v>
      </c>
    </row>
    <row r="283" spans="1:75" ht="44.25" customHeight="1" x14ac:dyDescent="0.15">
      <c r="C283" s="25"/>
      <c r="D283" s="25" t="str" cm="1">
        <f t="array" ref="D283">D282</f>
        <v>7</v>
      </c>
      <c r="E283" s="451">
        <v>45</v>
      </c>
      <c r="F283" s="3" t="str" cm="1">
        <f t="array" aca="1" ref="F283" ca="1">OFFSET(E283,-1,1)</f>
        <v>1</v>
      </c>
      <c r="G283" s="25"/>
      <c r="H283" s="25"/>
      <c r="I283" s="25" t="s">
        <v>601</v>
      </c>
      <c r="J283" s="25"/>
      <c r="K283" s="72" t="s">
        <v>601</v>
      </c>
      <c r="L283" s="25"/>
      <c r="M283" s="25"/>
      <c r="N283" s="25"/>
      <c r="O283" s="25"/>
      <c r="P283" s="25"/>
      <c r="Q283" s="25"/>
      <c r="R283" s="25"/>
      <c r="S283" s="25"/>
      <c r="T283" s="353" t="b" cm="1">
        <f t="array" aca="1" ref="T283" ca="1">T282</f>
        <v>1</v>
      </c>
      <c r="U283" s="25"/>
      <c r="V283" s="25"/>
      <c r="W283" s="25"/>
      <c r="X283" s="1022"/>
      <c r="Z283" s="967"/>
      <c r="AB283" s="7" t="str">
        <f>D283&amp;".3"</f>
        <v>7.3</v>
      </c>
      <c r="AC283" s="127" t="s">
        <v>2194</v>
      </c>
      <c r="AD283" s="7" t="s">
        <v>828</v>
      </c>
      <c r="AE283" s="128"/>
      <c r="AF283" s="128"/>
      <c r="AG283" s="128"/>
      <c r="AH283" s="171">
        <f t="shared" si="73"/>
        <v>0</v>
      </c>
      <c r="AI283" s="128">
        <v>-1444.0492775412999</v>
      </c>
      <c r="AJ283" s="128">
        <v>18816.875539232002</v>
      </c>
      <c r="AK283" s="778"/>
      <c r="AL283" s="778"/>
      <c r="AM283" s="128"/>
      <c r="AN283" s="128"/>
      <c r="AO283" s="128"/>
      <c r="AP283" s="128"/>
      <c r="AQ283" s="128"/>
      <c r="AR283" s="128"/>
      <c r="AS283" s="128"/>
      <c r="AT283" s="128">
        <v>558.04999999999995</v>
      </c>
      <c r="AU283" s="778"/>
      <c r="AV283" s="778"/>
      <c r="AW283" s="128"/>
      <c r="AX283" s="128"/>
      <c r="AY283" s="128"/>
      <c r="AZ283" s="128"/>
      <c r="BA283" s="128"/>
      <c r="BB283" s="128"/>
      <c r="BC283" s="128"/>
      <c r="BD283" s="542"/>
      <c r="BE283" s="542"/>
      <c r="BF283" s="542"/>
      <c r="BG283" s="542"/>
      <c r="BH283" s="542"/>
      <c r="BI283" s="542"/>
      <c r="BJ283" s="542"/>
      <c r="BK283" s="542"/>
      <c r="BL283" s="542"/>
      <c r="BM283" s="542"/>
      <c r="BN283" s="196"/>
      <c r="BO283" s="601" t="s">
        <v>2261</v>
      </c>
      <c r="BP283" s="196" t="s">
        <v>2262</v>
      </c>
      <c r="BS283" s="696" t="s">
        <v>2195</v>
      </c>
    </row>
    <row r="284" spans="1:75" ht="87.75" hidden="1" customHeight="1" x14ac:dyDescent="0.25">
      <c r="B284" s="341" t="b">
        <f>S171="Водоотведение"</f>
        <v>0</v>
      </c>
      <c r="C284" s="25"/>
      <c r="D284" s="25" t="str" cm="1">
        <f t="array" ref="D284">D283</f>
        <v>7</v>
      </c>
      <c r="E284" s="451">
        <v>90</v>
      </c>
      <c r="F284" s="3" t="str" cm="1">
        <f t="array" aca="1" ref="F284" ca="1">OFFSET(E284,-1,1)</f>
        <v>1</v>
      </c>
      <c r="G284" s="25" t="s">
        <v>2196</v>
      </c>
      <c r="H284" s="571"/>
      <c r="I284" s="25" t="s">
        <v>770</v>
      </c>
      <c r="J284" s="25"/>
      <c r="K284" s="72" t="s">
        <v>770</v>
      </c>
      <c r="L284" s="25" t="s">
        <v>767</v>
      </c>
      <c r="M284" s="25"/>
      <c r="N284" s="25"/>
      <c r="O284" s="25"/>
      <c r="P284" s="25"/>
      <c r="Q284" s="25"/>
      <c r="R284" s="25"/>
      <c r="S284" s="25"/>
      <c r="T284" s="353" t="b" cm="1">
        <f t="array" aca="1" ref="T284" ca="1">T283</f>
        <v>1</v>
      </c>
      <c r="U284" s="25"/>
      <c r="V284" s="25"/>
      <c r="W284" s="25"/>
      <c r="X284" s="1022"/>
      <c r="Z284" s="967"/>
      <c r="AB284" s="7" t="str">
        <f>D284&amp;".4"</f>
        <v>7.4</v>
      </c>
      <c r="AC284" s="127" t="s">
        <v>1857</v>
      </c>
      <c r="AD284" s="9" t="s">
        <v>828</v>
      </c>
      <c r="AE284" s="778"/>
      <c r="AF284" s="778"/>
      <c r="AG284" s="778"/>
      <c r="AH284" s="171">
        <f t="shared" si="73"/>
        <v>0</v>
      </c>
      <c r="AI284" s="778"/>
      <c r="AJ284" s="128">
        <f ca="1">SUMIFS('Корректировка НВВ'!$AF$25:$AF$231,'Корректировка НВВ'!$F$25:$F$231,$F284,'Корректировка НВВ'!$I$25:$I$231,$G284)</f>
        <v>0</v>
      </c>
      <c r="AK284" s="778"/>
      <c r="AL284" s="778"/>
      <c r="AM284" s="778"/>
      <c r="AN284" s="778"/>
      <c r="AO284" s="778"/>
      <c r="AP284" s="778"/>
      <c r="AQ284" s="778"/>
      <c r="AR284" s="778"/>
      <c r="AS284" s="778"/>
      <c r="AT284" s="128">
        <f ca="1">SUMIFS('Корректировка НВВ'!$AG$25:$AG$231,'Корректировка НВВ'!$F$25:$F$231,$F284,'Корректировка НВВ'!$I$25:$I$231,$G284)</f>
        <v>0</v>
      </c>
      <c r="AU284" s="778"/>
      <c r="AV284" s="778"/>
      <c r="AW284" s="778"/>
      <c r="AX284" s="778"/>
      <c r="AY284" s="778"/>
      <c r="AZ284" s="778"/>
      <c r="BA284" s="778"/>
      <c r="BB284" s="778"/>
      <c r="BC284" s="778"/>
      <c r="BD284" s="542"/>
      <c r="BE284" s="542"/>
      <c r="BF284" s="542"/>
      <c r="BG284" s="542"/>
      <c r="BH284" s="542"/>
      <c r="BI284" s="542"/>
      <c r="BJ284" s="542"/>
      <c r="BK284" s="542"/>
      <c r="BL284" s="542"/>
      <c r="BM284" s="542"/>
      <c r="BN284" s="775"/>
      <c r="BO284" s="779" t="str">
        <f ca="1">IF(IFERROR(INDEX('Корректировка НВВ'!$K$26:$L$231,MATCH($F284&amp;"3komm",'Корректировка НВВ'!$K$26:$K$231,0),2),"")=0,"",IFERROR(INDEX('Корректировка НВВ'!$K$26:$L$231,MATCH($F284&amp;"3komm",'Корректировка НВВ'!$K$26:$K$231,0),2),""))</f>
        <v/>
      </c>
      <c r="BP284" s="775"/>
      <c r="BS284" s="696" t="s">
        <v>1374</v>
      </c>
    </row>
    <row r="285" spans="1:75" ht="54.75" hidden="1" customHeight="1" x14ac:dyDescent="0.25">
      <c r="B285" s="341" t="b" cm="1">
        <f t="array" ref="B285">B284</f>
        <v>0</v>
      </c>
      <c r="C285" s="25"/>
      <c r="D285" s="25" t="str" cm="1">
        <f t="array" ref="D285">D284</f>
        <v>7</v>
      </c>
      <c r="E285" s="451">
        <v>56.25</v>
      </c>
      <c r="F285" s="3" t="str" cm="1">
        <f t="array" aca="1" ref="F285" ca="1">OFFSET(E285,-1,1)</f>
        <v>1</v>
      </c>
      <c r="G285" s="25" t="s">
        <v>2197</v>
      </c>
      <c r="H285" s="571"/>
      <c r="I285" s="25" t="s">
        <v>806</v>
      </c>
      <c r="J285" s="25"/>
      <c r="K285" s="72" t="s">
        <v>806</v>
      </c>
      <c r="L285" s="25" t="s">
        <v>770</v>
      </c>
      <c r="M285" s="25"/>
      <c r="N285" s="25"/>
      <c r="O285" s="25"/>
      <c r="P285" s="25"/>
      <c r="Q285" s="25"/>
      <c r="R285" s="25"/>
      <c r="S285" s="25"/>
      <c r="T285" s="353" t="b" cm="1">
        <f t="array" aca="1" ref="T285" ca="1">T284</f>
        <v>1</v>
      </c>
      <c r="U285" s="25"/>
      <c r="V285" s="25"/>
      <c r="W285" s="25"/>
      <c r="X285" s="1022"/>
      <c r="Z285" s="967"/>
      <c r="AB285" s="7" t="str">
        <f>D285&amp;".5"</f>
        <v>7.5</v>
      </c>
      <c r="AC285" s="127" t="s">
        <v>1859</v>
      </c>
      <c r="AD285" s="9" t="s">
        <v>828</v>
      </c>
      <c r="AE285" s="778"/>
      <c r="AF285" s="778"/>
      <c r="AG285" s="778"/>
      <c r="AH285" s="171">
        <f t="shared" si="73"/>
        <v>0</v>
      </c>
      <c r="AI285" s="778"/>
      <c r="AJ285" s="128">
        <f ca="1">SUMIFS('Корректировка НВВ'!$AF$25:$AF$231,'Корректировка НВВ'!$F$25:$F$231,$F285,'Корректировка НВВ'!$I$25:$I$231,$G285)</f>
        <v>0</v>
      </c>
      <c r="AK285" s="778"/>
      <c r="AL285" s="778"/>
      <c r="AM285" s="778"/>
      <c r="AN285" s="778"/>
      <c r="AO285" s="778"/>
      <c r="AP285" s="778"/>
      <c r="AQ285" s="778"/>
      <c r="AR285" s="778"/>
      <c r="AS285" s="778"/>
      <c r="AT285" s="128">
        <f ca="1">SUMIFS('Корректировка НВВ'!$AG$25:$AG$231,'Корректировка НВВ'!$F$25:$F$231,$F285,'Корректировка НВВ'!$I$25:$I$231,$G285)</f>
        <v>0</v>
      </c>
      <c r="AU285" s="778"/>
      <c r="AV285" s="778"/>
      <c r="AW285" s="778"/>
      <c r="AX285" s="778"/>
      <c r="AY285" s="778"/>
      <c r="AZ285" s="778"/>
      <c r="BA285" s="778"/>
      <c r="BB285" s="778"/>
      <c r="BC285" s="778"/>
      <c r="BD285" s="542"/>
      <c r="BE285" s="542"/>
      <c r="BF285" s="542"/>
      <c r="BG285" s="542"/>
      <c r="BH285" s="542"/>
      <c r="BI285" s="542"/>
      <c r="BJ285" s="542"/>
      <c r="BK285" s="542"/>
      <c r="BL285" s="542"/>
      <c r="BM285" s="542"/>
      <c r="BN285" s="775"/>
      <c r="BO285" s="779" t="str">
        <f ca="1">IF(IFERROR(INDEX('Корректировка НВВ'!$K$26:$L$231,MATCH($F285&amp;"4komm",'Корректировка НВВ'!$K$26:$K$231,0),2),"")=0,"",IFERROR(INDEX('Корректировка НВВ'!$K$26:$L$231,MATCH($F285&amp;"4komm",'Корректировка НВВ'!$K$26:$K$231,0),2),""))</f>
        <v/>
      </c>
      <c r="BP285" s="775"/>
      <c r="BS285" s="696" t="s">
        <v>1378</v>
      </c>
    </row>
    <row r="286" spans="1:75" ht="14.65" customHeight="1" x14ac:dyDescent="0.15">
      <c r="B286" s="46"/>
      <c r="C286" s="25"/>
      <c r="D286" s="25" t="str" cm="1">
        <f t="array" ref="D286">D285</f>
        <v>7</v>
      </c>
      <c r="E286" s="451">
        <v>15</v>
      </c>
      <c r="F286" s="3" t="str" cm="1">
        <f t="array" aca="1" ref="F286" ca="1">OFFSET(E286,-1,1)</f>
        <v>1</v>
      </c>
      <c r="G286" s="25" t="s">
        <v>2198</v>
      </c>
      <c r="H286" s="25"/>
      <c r="I286" s="25" t="s">
        <v>807</v>
      </c>
      <c r="J286" s="25"/>
      <c r="K286" s="72" t="s">
        <v>807</v>
      </c>
      <c r="L286" s="25" t="s">
        <v>806</v>
      </c>
      <c r="M286" s="25"/>
      <c r="N286" s="25"/>
      <c r="O286" s="25"/>
      <c r="P286" s="25"/>
      <c r="Q286" s="25"/>
      <c r="R286" s="25"/>
      <c r="S286" s="25"/>
      <c r="T286" s="353" t="b" cm="1">
        <f t="array" aca="1" ref="T286" ca="1">T285</f>
        <v>1</v>
      </c>
      <c r="U286" s="25"/>
      <c r="V286" s="25"/>
      <c r="W286" s="25"/>
      <c r="X286" s="1022"/>
      <c r="Z286" s="967"/>
      <c r="AB286" s="7" t="str">
        <f>IF(B285,D286&amp;".6",D286&amp;".4")</f>
        <v>7.4</v>
      </c>
      <c r="AC286" s="127" t="s">
        <v>1591</v>
      </c>
      <c r="AD286" s="7" t="s">
        <v>828</v>
      </c>
      <c r="AE286" s="128">
        <v>9691.4</v>
      </c>
      <c r="AF286" s="128"/>
      <c r="AG286" s="128">
        <v>9691.4</v>
      </c>
      <c r="AH286" s="171">
        <f t="shared" si="73"/>
        <v>9691.4</v>
      </c>
      <c r="AI286" s="128">
        <v>3734.2</v>
      </c>
      <c r="AJ286" s="128">
        <f ca="1">SUMIFS('Корректировка НВВ'!$AF$25:$AF$231,'Корректировка НВВ'!$F$25:$F$231,$F286,'Корректировка НВВ'!$I$25:$I$231,$G286)</f>
        <v>0</v>
      </c>
      <c r="AK286" s="778"/>
      <c r="AL286" s="778"/>
      <c r="AM286" s="128"/>
      <c r="AN286" s="128"/>
      <c r="AO286" s="128"/>
      <c r="AP286" s="128"/>
      <c r="AQ286" s="128"/>
      <c r="AR286" s="128"/>
      <c r="AS286" s="128"/>
      <c r="AT286" s="128">
        <f ca="1">SUMIFS('Корректировка НВВ'!$AG$25:$AG$231,'Корректировка НВВ'!$F$25:$F$231,$F286,'Корректировка НВВ'!$I$25:$I$231,$G286)</f>
        <v>0</v>
      </c>
      <c r="AU286" s="778"/>
      <c r="AV286" s="778"/>
      <c r="AW286" s="128"/>
      <c r="AX286" s="128"/>
      <c r="AY286" s="128"/>
      <c r="AZ286" s="128"/>
      <c r="BA286" s="128"/>
      <c r="BB286" s="128"/>
      <c r="BC286" s="128"/>
      <c r="BD286" s="542"/>
      <c r="BE286" s="542"/>
      <c r="BF286" s="542"/>
      <c r="BG286" s="542"/>
      <c r="BH286" s="542"/>
      <c r="BI286" s="542"/>
      <c r="BJ286" s="542"/>
      <c r="BK286" s="542"/>
      <c r="BL286" s="542"/>
      <c r="BM286" s="542"/>
      <c r="BN286" s="196"/>
      <c r="BO286" s="601" t="str">
        <f ca="1">IF(IFERROR(INDEX('Корректировка НВВ'!$K$26:$L$231,MATCH($F286&amp;"5komm",'Корректировка НВВ'!$K$26:$K$231,0),2),"")=0,"",IFERROR(INDEX('Корректировка НВВ'!$K$26:$L$231,MATCH($F286&amp;"5komm",'Корректировка НВВ'!$K$26:$K$231,0),2),""))</f>
        <v/>
      </c>
      <c r="BP286" s="196"/>
      <c r="BS286" s="696" t="s">
        <v>2199</v>
      </c>
    </row>
    <row r="287" spans="1:75" ht="14.65" customHeight="1" x14ac:dyDescent="0.15">
      <c r="C287" s="25"/>
      <c r="D287" s="25" t="str" cm="1">
        <f t="array" ref="D287">D286</f>
        <v>7</v>
      </c>
      <c r="E287" s="451">
        <v>15</v>
      </c>
      <c r="F287" s="3" t="str" cm="1">
        <f t="array" aca="1" ref="F287" ca="1">OFFSET(E287,-1,1)</f>
        <v>1</v>
      </c>
      <c r="G287" s="25" t="s">
        <v>2200</v>
      </c>
      <c r="H287" s="25"/>
      <c r="I287" s="25" t="s">
        <v>1869</v>
      </c>
      <c r="J287" s="25"/>
      <c r="K287" s="72" t="s">
        <v>1869</v>
      </c>
      <c r="L287" s="25" t="s">
        <v>807</v>
      </c>
      <c r="M287" s="25"/>
      <c r="N287" s="25"/>
      <c r="O287" s="25"/>
      <c r="P287" s="25"/>
      <c r="Q287" s="25"/>
      <c r="R287" s="25"/>
      <c r="S287" s="25"/>
      <c r="T287" s="353" t="b" cm="1">
        <f t="array" aca="1" ref="T287" ca="1">T286</f>
        <v>1</v>
      </c>
      <c r="U287" s="25"/>
      <c r="V287" s="25"/>
      <c r="W287" s="25"/>
      <c r="X287" s="1022"/>
      <c r="Z287" s="967"/>
      <c r="AB287" s="7" t="str">
        <f>IF(B285,D286&amp;".7",D286&amp;".5")</f>
        <v>7.5</v>
      </c>
      <c r="AC287" s="127" t="s">
        <v>1553</v>
      </c>
      <c r="AD287" s="7" t="s">
        <v>828</v>
      </c>
      <c r="AE287" s="128">
        <v>-6973.5280000000002</v>
      </c>
      <c r="AF287" s="128">
        <f>AF288+AF289</f>
        <v>0</v>
      </c>
      <c r="AG287" s="128">
        <v>-6973.5280000000002</v>
      </c>
      <c r="AH287" s="171">
        <f t="shared" si="73"/>
        <v>-6973.5280000000002</v>
      </c>
      <c r="AI287" s="128">
        <v>-416.45</v>
      </c>
      <c r="AJ287" s="128">
        <f ca="1">SUMIFS('Корректировка НВВ'!$AF$25:$AF$231,'Корректировка НВВ'!$F$25:$F$231,$F287,'Корректировка НВВ'!$I$25:$I$231,$G287)</f>
        <v>0</v>
      </c>
      <c r="AK287" s="778">
        <f t="shared" ref="AK287:AS287" si="74">AK288+AK289</f>
        <v>0</v>
      </c>
      <c r="AL287" s="778">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НВВ'!$AG$25:$AG$231,'Корректировка НВВ'!$F$25:$F$231,$F287,'Корректировка НВВ'!$I$25:$I$231,$G287)</f>
        <v>0</v>
      </c>
      <c r="AU287" s="778">
        <f t="shared" ref="AU287:BC287" si="75">AU288+AU289</f>
        <v>0</v>
      </c>
      <c r="AV287" s="778">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 ca="1">IF(AI287=0,0,(AT287-AI287)/AI287*100)</f>
        <v>-100</v>
      </c>
      <c r="BE287" s="171">
        <f t="shared" ref="BE287:BM287" ca="1" si="76">IF(AT287=0,0,(AU287-AT287)/AT287*100)</f>
        <v>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1" t="str">
        <f ca="1">IF(IFERROR(INDEX('Корректировка НВВ'!$K$26:$L$231,MATCH($F287&amp;"6komm",'Корректировка НВВ'!$K$26:$K$231,0),2),"")=0,"",IFERROR(INDEX('Корректировка НВВ'!$K$26:$L$231,MATCH($F287&amp;"6komm",'Корректировка НВВ'!$K$26:$K$231,0),2),""))</f>
        <v/>
      </c>
      <c r="BP287" s="196"/>
      <c r="BS287" s="696" t="s">
        <v>1555</v>
      </c>
    </row>
    <row r="288" spans="1:75" ht="21.95" customHeight="1" x14ac:dyDescent="0.15">
      <c r="C288" s="25"/>
      <c r="D288" s="25" t="str" cm="1">
        <f t="array" ref="D288">D287</f>
        <v>7</v>
      </c>
      <c r="E288" s="451">
        <v>22.5</v>
      </c>
      <c r="F288" s="3" t="str" cm="1">
        <f t="array" aca="1" ref="F288" ca="1">OFFSET(E288,-1,1)</f>
        <v>1</v>
      </c>
      <c r="G288" s="25" t="s">
        <v>2201</v>
      </c>
      <c r="H288" s="25"/>
      <c r="I288" s="25" t="s">
        <v>2202</v>
      </c>
      <c r="J288" s="25"/>
      <c r="K288" s="72" t="s">
        <v>2202</v>
      </c>
      <c r="L288" s="25" t="s">
        <v>1864</v>
      </c>
      <c r="M288" s="25"/>
      <c r="N288" s="25"/>
      <c r="O288" s="25"/>
      <c r="P288" s="25"/>
      <c r="Q288" s="25"/>
      <c r="R288" s="25"/>
      <c r="S288" s="25"/>
      <c r="T288" s="353" t="b" cm="1">
        <f t="array" aca="1" ref="T288" ca="1">T287</f>
        <v>1</v>
      </c>
      <c r="U288" s="25"/>
      <c r="V288" s="25"/>
      <c r="W288" s="25"/>
      <c r="X288" s="1022"/>
      <c r="Z288" s="967"/>
      <c r="AB288" s="7" t="str">
        <f>AB287&amp;".1"</f>
        <v>7.5.1</v>
      </c>
      <c r="AC288" s="549" t="s">
        <v>1556</v>
      </c>
      <c r="AD288" s="7" t="s">
        <v>828</v>
      </c>
      <c r="AE288" s="128">
        <v>-6973.5280000000002</v>
      </c>
      <c r="AF288" s="128"/>
      <c r="AG288" s="128">
        <v>-6973.5280000000002</v>
      </c>
      <c r="AH288" s="171">
        <f t="shared" si="73"/>
        <v>-6973.5280000000002</v>
      </c>
      <c r="AI288" s="128">
        <v>-416.45</v>
      </c>
      <c r="AJ288" s="128">
        <f ca="1">SUMIFS('Корректировка НВВ'!$AF$25:$AF$231,'Корректировка НВВ'!$F$25:$F$231,$F288,'Корректировка НВВ'!$I$25:$I$231,$G288)</f>
        <v>0</v>
      </c>
      <c r="AK288" s="778"/>
      <c r="AL288" s="778"/>
      <c r="AM288" s="128"/>
      <c r="AN288" s="128"/>
      <c r="AO288" s="128"/>
      <c r="AP288" s="128"/>
      <c r="AQ288" s="128"/>
      <c r="AR288" s="128"/>
      <c r="AS288" s="128"/>
      <c r="AT288" s="128">
        <f ca="1">SUMIFS('Корректировка НВВ'!$AG$25:$AG$231,'Корректировка НВВ'!$F$25:$F$231,$F288,'Корректировка НВВ'!$I$25:$I$231,$G288)</f>
        <v>0</v>
      </c>
      <c r="AU288" s="778"/>
      <c r="AV288" s="778"/>
      <c r="AW288" s="128"/>
      <c r="AX288" s="128"/>
      <c r="AY288" s="128"/>
      <c r="AZ288" s="128"/>
      <c r="BA288" s="128"/>
      <c r="BB288" s="128"/>
      <c r="BC288" s="128"/>
      <c r="BD288" s="542"/>
      <c r="BE288" s="542"/>
      <c r="BF288" s="542"/>
      <c r="BG288" s="542"/>
      <c r="BH288" s="542"/>
      <c r="BI288" s="542"/>
      <c r="BJ288" s="542"/>
      <c r="BK288" s="542"/>
      <c r="BL288" s="542"/>
      <c r="BM288" s="542"/>
      <c r="BN288" s="196"/>
      <c r="BO288" s="601" t="str">
        <f ca="1">IF(IFERROR(INDEX('Корректировка НВВ'!$K$26:$L$231,MATCH($F288&amp;"7komm",'Корректировка НВВ'!$K$26:$K$231,0),2),"")=0,"",IFERROR(INDEX('Корректировка НВВ'!$K$26:$L$231,MATCH($F288&amp;"7komm",'Корректировка НВВ'!$K$26:$K$231,0),2),""))</f>
        <v/>
      </c>
      <c r="BP288" s="196"/>
      <c r="BS288" s="696" t="s">
        <v>1557</v>
      </c>
    </row>
    <row r="289" spans="1:75" ht="21.95" customHeight="1" x14ac:dyDescent="0.15">
      <c r="C289" s="25"/>
      <c r="D289" s="25" t="str" cm="1">
        <f t="array" ref="D289">D288</f>
        <v>7</v>
      </c>
      <c r="E289" s="451">
        <v>22.5</v>
      </c>
      <c r="F289" s="3" t="str" cm="1">
        <f t="array" aca="1" ref="F289" ca="1">OFFSET(E289,-1,1)</f>
        <v>1</v>
      </c>
      <c r="G289" s="25" t="s">
        <v>2203</v>
      </c>
      <c r="H289" s="25"/>
      <c r="I289" s="25" t="s">
        <v>2204</v>
      </c>
      <c r="J289" s="25"/>
      <c r="K289" s="72" t="s">
        <v>2204</v>
      </c>
      <c r="L289" s="25" t="s">
        <v>1866</v>
      </c>
      <c r="M289" s="25"/>
      <c r="N289" s="25"/>
      <c r="O289" s="25"/>
      <c r="P289" s="25"/>
      <c r="Q289" s="25"/>
      <c r="R289" s="25"/>
      <c r="S289" s="25"/>
      <c r="T289" s="353" t="b" cm="1">
        <f t="array" aca="1" ref="T289" ca="1">T288</f>
        <v>1</v>
      </c>
      <c r="U289" s="25"/>
      <c r="V289" s="25"/>
      <c r="W289" s="25"/>
      <c r="X289" s="1022"/>
      <c r="Z289" s="967"/>
      <c r="AB289" s="7" t="str">
        <f>AB287&amp;".2"</f>
        <v>7.5.2</v>
      </c>
      <c r="AC289" s="549" t="s">
        <v>1558</v>
      </c>
      <c r="AD289" s="7" t="s">
        <v>828</v>
      </c>
      <c r="AE289" s="128"/>
      <c r="AF289" s="128"/>
      <c r="AG289" s="128"/>
      <c r="AH289" s="171">
        <f t="shared" si="73"/>
        <v>0</v>
      </c>
      <c r="AI289" s="128">
        <v>0</v>
      </c>
      <c r="AJ289" s="128">
        <f ca="1">SUMIFS('Корректировка НВВ'!$AF$25:$AF$231,'Корректировка НВВ'!$F$25:$F$231,$F289,'Корректировка НВВ'!$I$25:$I$231,$G289)</f>
        <v>0</v>
      </c>
      <c r="AK289" s="778"/>
      <c r="AL289" s="778"/>
      <c r="AM289" s="128"/>
      <c r="AN289" s="128"/>
      <c r="AO289" s="128"/>
      <c r="AP289" s="128"/>
      <c r="AQ289" s="128"/>
      <c r="AR289" s="128"/>
      <c r="AS289" s="128"/>
      <c r="AT289" s="128">
        <f ca="1">SUMIFS('Корректировка НВВ'!$AG$25:$AG$231,'Корректировка НВВ'!$F$25:$F$231,$F289,'Корректировка НВВ'!$I$25:$I$231,$G289)</f>
        <v>0</v>
      </c>
      <c r="AU289" s="778"/>
      <c r="AV289" s="778"/>
      <c r="AW289" s="128"/>
      <c r="AX289" s="128"/>
      <c r="AY289" s="128"/>
      <c r="AZ289" s="128"/>
      <c r="BA289" s="128"/>
      <c r="BB289" s="128"/>
      <c r="BC289" s="128"/>
      <c r="BD289" s="542"/>
      <c r="BE289" s="542"/>
      <c r="BF289" s="542"/>
      <c r="BG289" s="542"/>
      <c r="BH289" s="542"/>
      <c r="BI289" s="542"/>
      <c r="BJ289" s="542"/>
      <c r="BK289" s="542"/>
      <c r="BL289" s="542"/>
      <c r="BM289" s="542"/>
      <c r="BN289" s="196"/>
      <c r="BO289" s="601" t="str">
        <f ca="1">IF(IFERROR(INDEX('Корректировка НВВ'!$K$26:$L$231,MATCH($F289&amp;"8komm",'Корректировка НВВ'!$K$26:$K$231,0),2),"")=0,"",IFERROR(INDEX('Корректировка НВВ'!$K$26:$L$231,MATCH($F289&amp;"8komm",'Корректировка НВВ'!$K$26:$K$231,0),2),""))</f>
        <v/>
      </c>
      <c r="BP289" s="196"/>
      <c r="BS289" s="696" t="s">
        <v>1559</v>
      </c>
    </row>
    <row r="290" spans="1:75" ht="14.65" customHeight="1" x14ac:dyDescent="0.15">
      <c r="C290" s="25"/>
      <c r="D290" s="25" t="str" cm="1">
        <f t="array" ref="D290">D289</f>
        <v>7</v>
      </c>
      <c r="E290" s="451">
        <v>15</v>
      </c>
      <c r="F290" s="3" t="str" cm="1">
        <f t="array" aca="1" ref="F290" ca="1">OFFSET(E290,-1,1)</f>
        <v>1</v>
      </c>
      <c r="G290" s="25" t="s">
        <v>319</v>
      </c>
      <c r="H290" s="25"/>
      <c r="I290" s="25" t="s">
        <v>1870</v>
      </c>
      <c r="J290" s="25"/>
      <c r="K290" s="72" t="s">
        <v>1870</v>
      </c>
      <c r="L290" s="25" t="s">
        <v>1869</v>
      </c>
      <c r="M290" s="25"/>
      <c r="N290" s="25"/>
      <c r="O290" s="25"/>
      <c r="P290" s="25"/>
      <c r="Q290" s="25"/>
      <c r="R290" s="25"/>
      <c r="S290" s="25"/>
      <c r="T290" s="353" t="b" cm="1">
        <f t="array" aca="1" ref="T290" ca="1">T289</f>
        <v>1</v>
      </c>
      <c r="U290" s="25"/>
      <c r="V290" s="25"/>
      <c r="W290" s="25"/>
      <c r="X290" s="1022"/>
      <c r="Z290" s="967"/>
      <c r="AB290" s="7" t="str">
        <f>IF(B285,D286&amp;".8",D286&amp;".6")</f>
        <v>7.6</v>
      </c>
      <c r="AC290" s="550" t="s">
        <v>1560</v>
      </c>
      <c r="AD290" s="7" t="s">
        <v>828</v>
      </c>
      <c r="AE290" s="128"/>
      <c r="AF290" s="128"/>
      <c r="AG290" s="128"/>
      <c r="AH290" s="171">
        <f t="shared" si="73"/>
        <v>0</v>
      </c>
      <c r="AI290" s="128">
        <v>0</v>
      </c>
      <c r="AJ290" s="128">
        <f ca="1">SUMIFS('Корректировка НВВ'!$AF$25:$AF$231,'Корректировка НВВ'!$F$25:$F$231,$F290,'Корректировка НВВ'!$I$25:$I$231,$G290)</f>
        <v>0</v>
      </c>
      <c r="AK290" s="778"/>
      <c r="AL290" s="778"/>
      <c r="AM290" s="128"/>
      <c r="AN290" s="128"/>
      <c r="AO290" s="128"/>
      <c r="AP290" s="128"/>
      <c r="AQ290" s="128"/>
      <c r="AR290" s="128"/>
      <c r="AS290" s="128"/>
      <c r="AT290" s="128">
        <f ca="1">SUMIFS('Корректировка НВВ'!$AG$25:$AG$231,'Корректировка НВВ'!$F$25:$F$231,$F290,'Корректировка НВВ'!$I$25:$I$231,$G290)</f>
        <v>0</v>
      </c>
      <c r="AU290" s="778"/>
      <c r="AV290" s="778"/>
      <c r="AW290" s="128"/>
      <c r="AX290" s="128"/>
      <c r="AY290" s="128"/>
      <c r="AZ290" s="128"/>
      <c r="BA290" s="128"/>
      <c r="BB290" s="128"/>
      <c r="BC290" s="128"/>
      <c r="BD290" s="542"/>
      <c r="BE290" s="542"/>
      <c r="BF290" s="542"/>
      <c r="BG290" s="542"/>
      <c r="BH290" s="542"/>
      <c r="BI290" s="542"/>
      <c r="BJ290" s="542"/>
      <c r="BK290" s="542"/>
      <c r="BL290" s="542"/>
      <c r="BM290" s="542"/>
      <c r="BN290" s="196"/>
      <c r="BO290" s="601" t="str">
        <f ca="1">IF(IFERROR(INDEX('Корректировка НВВ'!$K$26:$L$231,MATCH($F290&amp;"9komm",'Корректировка НВВ'!$K$26:$K$231,0),2),"")=0,"",IFERROR(INDEX('Корректировка НВВ'!$K$26:$L$231,MATCH($F290&amp;"9komm",'Корректировка НВВ'!$K$26:$K$231,0),2),""))</f>
        <v/>
      </c>
      <c r="BP290" s="196"/>
      <c r="BS290" s="696" t="s">
        <v>2205</v>
      </c>
    </row>
    <row r="291" spans="1:75" ht="14.65" customHeight="1" x14ac:dyDescent="0.15">
      <c r="C291" s="25"/>
      <c r="D291" s="25" t="str" cm="1">
        <f t="array" ref="D291">D290</f>
        <v>7</v>
      </c>
      <c r="E291" s="451">
        <v>15</v>
      </c>
      <c r="F291" s="3" t="str" cm="1">
        <f t="array" aca="1" ref="F291" ca="1">OFFSET(E291,-1,1)</f>
        <v>1</v>
      </c>
      <c r="G291" s="25" t="s">
        <v>2206</v>
      </c>
      <c r="H291" s="25"/>
      <c r="I291" s="25" t="s">
        <v>1872</v>
      </c>
      <c r="J291" s="25"/>
      <c r="K291" s="72" t="s">
        <v>1872</v>
      </c>
      <c r="L291" s="25" t="s">
        <v>1870</v>
      </c>
      <c r="M291" s="25"/>
      <c r="N291" s="25"/>
      <c r="O291" s="25"/>
      <c r="P291" s="25"/>
      <c r="Q291" s="25"/>
      <c r="R291" s="25"/>
      <c r="S291" s="25"/>
      <c r="T291" s="353" t="b" cm="1">
        <f t="array" aca="1" ref="T291" ca="1">T290</f>
        <v>1</v>
      </c>
      <c r="U291" s="25"/>
      <c r="V291" s="25"/>
      <c r="W291" s="25"/>
      <c r="X291" s="1022"/>
      <c r="Z291" s="967"/>
      <c r="AB291" s="7" t="str">
        <f>IF(B285,D286&amp;".9",D286&amp;".7")</f>
        <v>7.7</v>
      </c>
      <c r="AC291" s="550" t="s">
        <v>1562</v>
      </c>
      <c r="AD291" s="7" t="s">
        <v>828</v>
      </c>
      <c r="AE291" s="128"/>
      <c r="AF291" s="128"/>
      <c r="AG291" s="128"/>
      <c r="AH291" s="171">
        <f t="shared" si="73"/>
        <v>0</v>
      </c>
      <c r="AI291" s="128">
        <v>0</v>
      </c>
      <c r="AJ291" s="128">
        <f ca="1">SUMIFS('Корректировка НВВ'!$AF$25:$AF$231,'Корректировка НВВ'!$F$25:$F$231,$F291,'Корректировка НВВ'!$I$25:$I$231,$G291)</f>
        <v>0</v>
      </c>
      <c r="AK291" s="778"/>
      <c r="AL291" s="778"/>
      <c r="AM291" s="128"/>
      <c r="AN291" s="128"/>
      <c r="AO291" s="128"/>
      <c r="AP291" s="128"/>
      <c r="AQ291" s="128"/>
      <c r="AR291" s="128"/>
      <c r="AS291" s="128"/>
      <c r="AT291" s="128">
        <f ca="1">SUMIFS('Корректировка НВВ'!$AG$25:$AG$231,'Корректировка НВВ'!$F$25:$F$231,$F291,'Корректировка НВВ'!$I$25:$I$231,$G291)</f>
        <v>0</v>
      </c>
      <c r="AU291" s="778"/>
      <c r="AV291" s="778"/>
      <c r="AW291" s="128"/>
      <c r="AX291" s="128"/>
      <c r="AY291" s="128"/>
      <c r="AZ291" s="128"/>
      <c r="BA291" s="128"/>
      <c r="BB291" s="128"/>
      <c r="BC291" s="128"/>
      <c r="BD291" s="542"/>
      <c r="BE291" s="542"/>
      <c r="BF291" s="542"/>
      <c r="BG291" s="542"/>
      <c r="BH291" s="542"/>
      <c r="BI291" s="542"/>
      <c r="BJ291" s="542"/>
      <c r="BK291" s="542"/>
      <c r="BL291" s="542"/>
      <c r="BM291" s="542"/>
      <c r="BN291" s="196"/>
      <c r="BO291" s="601" t="str">
        <f ca="1">IF(IFERROR(INDEX('Корректировка НВВ'!$K$26:$L$231,MATCH($F291&amp;"10komm",'Корректировка НВВ'!$K$26:$K$231,0),2),"")=0,"",IFERROR(INDEX('Корректировка НВВ'!$K$26:$L$231,MATCH($F291&amp;"10komm",'Корректировка НВВ'!$K$26:$K$231,0),2),""))</f>
        <v/>
      </c>
      <c r="BP291" s="196"/>
      <c r="BS291" s="696" t="s">
        <v>1563</v>
      </c>
    </row>
    <row r="292" spans="1:75" s="870" customFormat="1" ht="33.75" customHeight="1" x14ac:dyDescent="0.15">
      <c r="A292" s="76"/>
      <c r="B292" s="332"/>
      <c r="C292" s="27"/>
      <c r="D292" s="27">
        <f>D291+1</f>
        <v>8</v>
      </c>
      <c r="E292" s="559">
        <v>21</v>
      </c>
      <c r="F292" s="3" t="str" cm="1">
        <f t="array" aca="1" ref="F292" ca="1">OFFSET(E292,-1,1)</f>
        <v>1</v>
      </c>
      <c r="G292" s="27"/>
      <c r="H292" s="27"/>
      <c r="I292" s="27" t="s">
        <v>609</v>
      </c>
      <c r="J292" s="27"/>
      <c r="K292" s="76" t="s">
        <v>609</v>
      </c>
      <c r="L292" s="27"/>
      <c r="M292" s="27"/>
      <c r="N292" s="27"/>
      <c r="O292" s="27"/>
      <c r="P292" s="27"/>
      <c r="Q292" s="27"/>
      <c r="R292" s="27"/>
      <c r="S292" s="27"/>
      <c r="T292" s="353" t="b" cm="1">
        <f t="array" aca="1" ref="T292" ca="1">T291</f>
        <v>1</v>
      </c>
      <c r="U292" s="27"/>
      <c r="V292" s="27"/>
      <c r="W292" s="27"/>
      <c r="X292" s="1022"/>
      <c r="Y292" s="76"/>
      <c r="Z292" s="967"/>
      <c r="AA292" s="76"/>
      <c r="AB292" s="124" cm="1">
        <f t="array" ref="AB292">D292</f>
        <v>8</v>
      </c>
      <c r="AC292" s="125" t="s">
        <v>2207</v>
      </c>
      <c r="AD292" s="124" t="s">
        <v>828</v>
      </c>
      <c r="AE292" s="138">
        <v>0</v>
      </c>
      <c r="AF292" s="138"/>
      <c r="AG292" s="138"/>
      <c r="AH292" s="126">
        <f t="shared" si="73"/>
        <v>0</v>
      </c>
      <c r="AI292" s="138">
        <v>3670.25</v>
      </c>
      <c r="AJ292" s="138"/>
      <c r="AK292" s="774"/>
      <c r="AL292" s="774"/>
      <c r="AM292" s="138"/>
      <c r="AN292" s="138"/>
      <c r="AO292" s="138"/>
      <c r="AP292" s="138"/>
      <c r="AQ292" s="138"/>
      <c r="AR292" s="138"/>
      <c r="AS292" s="138"/>
      <c r="AT292" s="138">
        <v>-3.06</v>
      </c>
      <c r="AU292" s="774"/>
      <c r="AV292" s="774"/>
      <c r="AW292" s="138"/>
      <c r="AX292" s="138"/>
      <c r="AY292" s="138"/>
      <c r="AZ292" s="138"/>
      <c r="BA292" s="138"/>
      <c r="BB292" s="138"/>
      <c r="BC292" s="138"/>
      <c r="BD292" s="129"/>
      <c r="BE292" s="129"/>
      <c r="BF292" s="129"/>
      <c r="BG292" s="129"/>
      <c r="BH292" s="129"/>
      <c r="BI292" s="129"/>
      <c r="BJ292" s="129"/>
      <c r="BK292" s="129"/>
      <c r="BL292" s="129"/>
      <c r="BM292" s="129"/>
      <c r="BN292" s="556"/>
      <c r="BO292" s="556" t="s">
        <v>2263</v>
      </c>
      <c r="BP292" s="556" t="s">
        <v>2264</v>
      </c>
      <c r="BQ292" s="76"/>
      <c r="BR292" s="76"/>
      <c r="BS292" s="702" t="s">
        <v>2208</v>
      </c>
      <c r="BT292" s="702"/>
      <c r="BU292" s="702"/>
      <c r="BV292" s="511"/>
      <c r="BW292" s="511"/>
    </row>
    <row r="293" spans="1:75" ht="14.25" customHeight="1" x14ac:dyDescent="0.15">
      <c r="C293" s="25"/>
      <c r="D293" s="27" cm="1">
        <f t="array" ref="D293">D292</f>
        <v>8</v>
      </c>
      <c r="E293" s="451">
        <v>15</v>
      </c>
      <c r="F293" s="3" t="str" cm="1">
        <f t="array" aca="1" ref="F293" ca="1">OFFSET(E293,-1,1)</f>
        <v>1</v>
      </c>
      <c r="G293" s="25"/>
      <c r="H293" s="25"/>
      <c r="I293" s="25" t="s">
        <v>613</v>
      </c>
      <c r="J293" s="25"/>
      <c r="K293" s="72" t="s">
        <v>613</v>
      </c>
      <c r="L293" s="25"/>
      <c r="M293" s="25"/>
      <c r="N293" s="25"/>
      <c r="O293" s="25"/>
      <c r="P293" s="25"/>
      <c r="Q293" s="25"/>
      <c r="R293" s="25"/>
      <c r="S293" s="25"/>
      <c r="T293" s="353" t="b" cm="1">
        <f t="array" aca="1" ref="T293" ca="1">T292</f>
        <v>1</v>
      </c>
      <c r="U293" s="25"/>
      <c r="V293" s="25"/>
      <c r="W293" s="25"/>
      <c r="X293" s="1022"/>
      <c r="Z293" s="967"/>
      <c r="AB293" s="7" t="str">
        <f>D293&amp;".1"</f>
        <v>8.1</v>
      </c>
      <c r="AC293" s="127" t="s">
        <v>2209</v>
      </c>
      <c r="AD293" s="7" t="s">
        <v>476</v>
      </c>
      <c r="AE293" s="171">
        <f ca="1">IF(AE294=0,0,AE292/(AE294+AE279)*100)</f>
        <v>0</v>
      </c>
      <c r="AF293" s="171">
        <f ca="1">IF(AF294=0,0,AF292/(AF294+AF279)*100)</f>
        <v>0</v>
      </c>
      <c r="AG293" s="171">
        <f ca="1">IF(AG294=0,0,AG292/(AG294+AG279)*100)</f>
        <v>0</v>
      </c>
      <c r="AH293" s="171">
        <f t="shared" ca="1" si="73"/>
        <v>0</v>
      </c>
      <c r="AI293" s="171">
        <f t="shared" ref="AI293:BC293" ca="1" si="77">IF(AI294=0,0,AI292/(AI294+AI279)*100)</f>
        <v>6.39009721580923</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-5.1551657522279542E-3</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2"/>
      <c r="BE293" s="542"/>
      <c r="BF293" s="542"/>
      <c r="BG293" s="542"/>
      <c r="BH293" s="542"/>
      <c r="BI293" s="542"/>
      <c r="BJ293" s="542"/>
      <c r="BK293" s="542"/>
      <c r="BL293" s="542"/>
      <c r="BM293" s="542"/>
      <c r="BN293" s="196"/>
      <c r="BO293" s="196"/>
      <c r="BP293" s="196"/>
      <c r="BS293" s="696" t="s">
        <v>2210</v>
      </c>
    </row>
    <row r="294" spans="1:75" s="870" customFormat="1" ht="107.25" customHeight="1" x14ac:dyDescent="0.15">
      <c r="A294" s="76"/>
      <c r="B294" s="332"/>
      <c r="C294" s="27"/>
      <c r="D294" s="27">
        <f>D293+1</f>
        <v>9</v>
      </c>
      <c r="E294" s="559">
        <v>21</v>
      </c>
      <c r="F294" s="3" t="str" cm="1">
        <f t="array" aca="1" ref="F294" ca="1">OFFSET(E294,-1,1)</f>
        <v>1</v>
      </c>
      <c r="G294" s="27"/>
      <c r="H294" s="25"/>
      <c r="I294" s="25" t="s">
        <v>767</v>
      </c>
      <c r="J294" s="27"/>
      <c r="K294" s="72" t="s">
        <v>767</v>
      </c>
      <c r="L294" s="27" t="s">
        <v>1872</v>
      </c>
      <c r="M294" s="27"/>
      <c r="N294" s="27"/>
      <c r="O294" s="27"/>
      <c r="P294" s="27"/>
      <c r="Q294" s="27"/>
      <c r="R294" s="27"/>
      <c r="S294" s="27"/>
      <c r="T294" s="353" t="b" cm="1">
        <f t="array" aca="1" ref="T294" ca="1">T293</f>
        <v>1</v>
      </c>
      <c r="U294" s="27"/>
      <c r="V294" s="27"/>
      <c r="W294" s="27"/>
      <c r="X294" s="1022"/>
      <c r="Y294" s="76"/>
      <c r="Z294" s="967"/>
      <c r="AA294" s="76"/>
      <c r="AB294" s="124" cm="1">
        <f t="array" ref="AB294">D294</f>
        <v>9</v>
      </c>
      <c r="AC294" s="125" t="s">
        <v>1874</v>
      </c>
      <c r="AD294" s="147" t="s">
        <v>828</v>
      </c>
      <c r="AE294" s="126">
        <f ca="1">AE172+AE222+AE258+AE259+AE261+AE266+AE267+AE270</f>
        <v>53862.799718569899</v>
      </c>
      <c r="AF294" s="126">
        <f ca="1">AF172+AF222+AF258+AF259+AF261+AF266+AF267+AF270</f>
        <v>76336.065601680108</v>
      </c>
      <c r="AG294" s="126">
        <f ca="1">AG172+AG222+AG258+AG259+AG261+AG266+AG267+AG270</f>
        <v>57244.853265540296</v>
      </c>
      <c r="AH294" s="126">
        <f t="shared" ca="1" si="73"/>
        <v>-19091.212336139812</v>
      </c>
      <c r="AI294" s="126">
        <f t="shared" ref="AI294:BC294" ca="1" si="78">AI172+AI222+AI258+AI259+AI261+AI266+AI267+AI270</f>
        <v>55562.827643960001</v>
      </c>
      <c r="AJ294" s="126">
        <f t="shared" ca="1" si="78"/>
        <v>72051.520992699006</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58799.886234689104</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5.8259428614248892</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t="s">
        <v>2265</v>
      </c>
      <c r="BO294" s="196"/>
      <c r="BP294" s="196"/>
      <c r="BQ294" s="76"/>
      <c r="BR294" s="76"/>
      <c r="BS294" s="702" t="s">
        <v>1875</v>
      </c>
      <c r="BT294" s="702"/>
      <c r="BU294" s="702"/>
      <c r="BV294" s="511"/>
      <c r="BW294" s="511"/>
    </row>
    <row r="295" spans="1:75" s="870" customFormat="1" ht="20.25" customHeight="1" x14ac:dyDescent="0.15">
      <c r="A295" s="76"/>
      <c r="B295" s="332"/>
      <c r="C295" s="27"/>
      <c r="D295" s="27">
        <f>D294+1</f>
        <v>10</v>
      </c>
      <c r="E295" s="559">
        <v>21</v>
      </c>
      <c r="F295" s="3" t="str" cm="1">
        <f t="array" aca="1" ref="F295" ca="1">OFFSET(E295,-1,1)</f>
        <v>1</v>
      </c>
      <c r="G295" s="27"/>
      <c r="H295" s="25"/>
      <c r="I295" s="25" t="s">
        <v>1884</v>
      </c>
      <c r="J295" s="27"/>
      <c r="K295" s="72" t="s">
        <v>1884</v>
      </c>
      <c r="L295" s="27"/>
      <c r="M295" s="27"/>
      <c r="N295" s="27"/>
      <c r="O295" s="27"/>
      <c r="P295" s="27"/>
      <c r="Q295" s="27"/>
      <c r="R295" s="27"/>
      <c r="S295" s="27"/>
      <c r="T295" s="353" t="b" cm="1">
        <f t="array" aca="1" ref="T295" ca="1">T294</f>
        <v>1</v>
      </c>
      <c r="U295" s="27"/>
      <c r="V295" s="27"/>
      <c r="W295" s="27"/>
      <c r="X295" s="1022"/>
      <c r="Y295" s="76"/>
      <c r="Z295" s="967"/>
      <c r="AA295" s="76"/>
      <c r="AB295" s="124" cm="1">
        <f t="array" ref="AB295">D295</f>
        <v>10</v>
      </c>
      <c r="AC295" s="125" t="s">
        <v>2211</v>
      </c>
      <c r="AD295" s="124" t="s">
        <v>828</v>
      </c>
      <c r="AE295" s="126">
        <f t="shared" ref="AE295:BC295" ca="1" si="80">AE294+AE279+AE292</f>
        <v>56580.671718569902</v>
      </c>
      <c r="AF295" s="126">
        <f t="shared" ca="1" si="80"/>
        <v>76336.065601680108</v>
      </c>
      <c r="AG295" s="126">
        <f t="shared" ca="1" si="80"/>
        <v>59962.725265540299</v>
      </c>
      <c r="AH295" s="126">
        <f t="shared" ca="1" si="80"/>
        <v>-16373.340336139812</v>
      </c>
      <c r="AI295" s="126">
        <f t="shared" ca="1" si="80"/>
        <v>61106.778366418701</v>
      </c>
      <c r="AJ295" s="126">
        <f t="shared" ca="1" si="80"/>
        <v>90868.396531931008</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59354.876234689109</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-2.8669522081896428</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2" t="s">
        <v>2212</v>
      </c>
      <c r="BT295" s="702"/>
      <c r="BU295" s="702"/>
      <c r="BV295" s="511"/>
      <c r="BW295" s="511"/>
    </row>
    <row r="296" spans="1:75" ht="14.25" hidden="1" customHeight="1" x14ac:dyDescent="0.25">
      <c r="B296" s="341" t="b">
        <f>A171="двухставочный"</f>
        <v>0</v>
      </c>
      <c r="C296" s="25"/>
      <c r="D296" s="25" cm="1">
        <f t="array" ref="D296">D295</f>
        <v>10</v>
      </c>
      <c r="E296" s="451">
        <v>15</v>
      </c>
      <c r="F296" s="3" t="str" cm="1">
        <f t="array" aca="1" ref="F296" ca="1">OFFSET(E296,-1,1)</f>
        <v>1</v>
      </c>
      <c r="G296" s="25"/>
      <c r="H296" s="571"/>
      <c r="I296" s="571" t="s">
        <v>1888</v>
      </c>
      <c r="J296" s="25"/>
      <c r="K296" s="278" t="s">
        <v>1888</v>
      </c>
      <c r="L296" s="25" t="s">
        <v>1876</v>
      </c>
      <c r="M296" s="25"/>
      <c r="N296" s="25"/>
      <c r="O296" s="25"/>
      <c r="P296" s="25"/>
      <c r="Q296" s="25"/>
      <c r="R296" s="25"/>
      <c r="S296" s="25"/>
      <c r="T296" s="353" t="b" cm="1">
        <f t="array" aca="1" ref="T296" ca="1">T295</f>
        <v>1</v>
      </c>
      <c r="U296" s="25"/>
      <c r="V296" s="25"/>
      <c r="W296" s="25"/>
      <c r="X296" s="1022"/>
      <c r="Z296" s="967"/>
      <c r="AB296" s="7" t="str">
        <f>D296&amp;".1"</f>
        <v>10.1</v>
      </c>
      <c r="AC296" s="550" t="s">
        <v>1878</v>
      </c>
      <c r="AD296" s="7" t="s">
        <v>828</v>
      </c>
      <c r="AE296" s="778"/>
      <c r="AF296" s="778"/>
      <c r="AG296" s="778"/>
      <c r="AH296" s="171">
        <f t="shared" ref="AH296:AH302" si="81">AG296-AF296</f>
        <v>0</v>
      </c>
      <c r="AI296" s="778"/>
      <c r="AJ296" s="128"/>
      <c r="AK296" s="778"/>
      <c r="AL296" s="778"/>
      <c r="AM296" s="778"/>
      <c r="AN296" s="778"/>
      <c r="AO296" s="778"/>
      <c r="AP296" s="778"/>
      <c r="AQ296" s="778"/>
      <c r="AR296" s="778"/>
      <c r="AS296" s="778"/>
      <c r="AT296" s="128"/>
      <c r="AU296" s="778"/>
      <c r="AV296" s="778"/>
      <c r="AW296" s="778"/>
      <c r="AX296" s="778"/>
      <c r="AY296" s="778"/>
      <c r="AZ296" s="778"/>
      <c r="BA296" s="778"/>
      <c r="BB296" s="778"/>
      <c r="BC296" s="778"/>
      <c r="BD296" s="542"/>
      <c r="BE296" s="542"/>
      <c r="BF296" s="542"/>
      <c r="BG296" s="542"/>
      <c r="BH296" s="542"/>
      <c r="BI296" s="542"/>
      <c r="BJ296" s="542"/>
      <c r="BK296" s="542"/>
      <c r="BL296" s="542"/>
      <c r="BM296" s="542"/>
      <c r="BN296" s="775"/>
      <c r="BO296" s="775"/>
      <c r="BP296" s="775"/>
      <c r="BS296" s="694" t="s">
        <v>1879</v>
      </c>
    </row>
    <row r="297" spans="1:75" ht="14.25" hidden="1" customHeight="1" x14ac:dyDescent="0.25">
      <c r="B297" s="341" t="b">
        <f>A171="двухставочный"</f>
        <v>0</v>
      </c>
      <c r="C297" s="25"/>
      <c r="D297" s="25" cm="1">
        <f t="array" ref="D297">D296</f>
        <v>10</v>
      </c>
      <c r="E297" s="451">
        <v>15</v>
      </c>
      <c r="F297" s="3" t="str" cm="1">
        <f t="array" aca="1" ref="F297" ca="1">OFFSET(E297,-1,1)</f>
        <v>1</v>
      </c>
      <c r="G297" s="25"/>
      <c r="H297" s="571"/>
      <c r="I297" s="571" t="s">
        <v>1892</v>
      </c>
      <c r="J297" s="25"/>
      <c r="K297" s="278" t="s">
        <v>1892</v>
      </c>
      <c r="L297" s="25" t="s">
        <v>1880</v>
      </c>
      <c r="M297" s="25"/>
      <c r="N297" s="25"/>
      <c r="O297" s="25"/>
      <c r="P297" s="25"/>
      <c r="Q297" s="25"/>
      <c r="R297" s="25"/>
      <c r="S297" s="25"/>
      <c r="T297" s="353" t="b" cm="1">
        <f t="array" aca="1" ref="T297" ca="1">T296</f>
        <v>1</v>
      </c>
      <c r="U297" s="25"/>
      <c r="V297" s="25"/>
      <c r="W297" s="25"/>
      <c r="X297" s="1022"/>
      <c r="Z297" s="967"/>
      <c r="AB297" s="7" t="str">
        <f>D297&amp;".2"</f>
        <v>10.2</v>
      </c>
      <c r="AC297" s="550" t="s">
        <v>1882</v>
      </c>
      <c r="AD297" s="7" t="s">
        <v>828</v>
      </c>
      <c r="AE297" s="778"/>
      <c r="AF297" s="778"/>
      <c r="AG297" s="778"/>
      <c r="AH297" s="171">
        <f t="shared" si="81"/>
        <v>0</v>
      </c>
      <c r="AI297" s="778"/>
      <c r="AJ297" s="128"/>
      <c r="AK297" s="778"/>
      <c r="AL297" s="778"/>
      <c r="AM297" s="778"/>
      <c r="AN297" s="778"/>
      <c r="AO297" s="778"/>
      <c r="AP297" s="778"/>
      <c r="AQ297" s="778"/>
      <c r="AR297" s="778"/>
      <c r="AS297" s="778"/>
      <c r="AT297" s="128"/>
      <c r="AU297" s="778"/>
      <c r="AV297" s="778"/>
      <c r="AW297" s="778"/>
      <c r="AX297" s="778"/>
      <c r="AY297" s="778"/>
      <c r="AZ297" s="778"/>
      <c r="BA297" s="778"/>
      <c r="BB297" s="778"/>
      <c r="BC297" s="778"/>
      <c r="BD297" s="542"/>
      <c r="BE297" s="542"/>
      <c r="BF297" s="542"/>
      <c r="BG297" s="542"/>
      <c r="BH297" s="542"/>
      <c r="BI297" s="542"/>
      <c r="BJ297" s="542"/>
      <c r="BK297" s="542"/>
      <c r="BL297" s="542"/>
      <c r="BM297" s="542"/>
      <c r="BN297" s="775"/>
      <c r="BO297" s="775"/>
      <c r="BP297" s="775"/>
      <c r="BS297" s="694" t="s">
        <v>1883</v>
      </c>
    </row>
    <row r="298" spans="1:75" s="870" customFormat="1" ht="20.25" customHeight="1" x14ac:dyDescent="0.25">
      <c r="A298" s="76"/>
      <c r="B298" s="332"/>
      <c r="C298" s="27"/>
      <c r="D298" s="27">
        <f>D297+1</f>
        <v>11</v>
      </c>
      <c r="E298" s="559">
        <v>21</v>
      </c>
      <c r="F298" s="3" t="str" cm="1">
        <f t="array" aca="1" ref="F298" ca="1">OFFSET(E298,-1,1)</f>
        <v>1</v>
      </c>
      <c r="G298" s="25" t="s">
        <v>1653</v>
      </c>
      <c r="H298" s="25"/>
      <c r="I298" s="25" t="s">
        <v>1912</v>
      </c>
      <c r="J298" s="27"/>
      <c r="K298" s="72" t="s">
        <v>1912</v>
      </c>
      <c r="L298" s="27" t="s">
        <v>1884</v>
      </c>
      <c r="M298" s="27"/>
      <c r="N298" s="27"/>
      <c r="O298" s="27"/>
      <c r="P298" s="27"/>
      <c r="Q298" s="27"/>
      <c r="R298" s="27"/>
      <c r="S298" s="27"/>
      <c r="T298" s="353" t="b" cm="1">
        <f t="array" aca="1" ref="T298" ca="1">T297</f>
        <v>1</v>
      </c>
      <c r="U298" s="27"/>
      <c r="V298" s="27"/>
      <c r="W298" s="27"/>
      <c r="X298" s="1022"/>
      <c r="Y298" s="76"/>
      <c r="Z298" s="967"/>
      <c r="AA298" s="76"/>
      <c r="AB298" s="124" cm="1">
        <f t="array" ref="AB298">D298</f>
        <v>11</v>
      </c>
      <c r="AC298" s="125" t="s">
        <v>1886</v>
      </c>
      <c r="AD298" s="124" t="s">
        <v>558</v>
      </c>
      <c r="AE298" s="552">
        <f ca="1">SUMIFS(Баланс!AE$26:AE$391,Баланс!$F$26:$F$391,$F298,Баланс!$G$26:$G$391,"ПО")</f>
        <v>17161.565999999999</v>
      </c>
      <c r="AF298" s="552">
        <f ca="1">SUMIFS(Баланс!AF$26:AF$391,Баланс!$F$26:$F$391,$F298,Баланс!$G$26:$G$391,"ПО")</f>
        <v>17945.460999999999</v>
      </c>
      <c r="AG298" s="552">
        <f ca="1">SUMIFS(Баланс!AG$26:AG$391,Баланс!$F$26:$F$391,$F298,Баланс!$G$26:$G$391,"ПО")</f>
        <v>17945.460999999999</v>
      </c>
      <c r="AH298" s="552">
        <f t="shared" ca="1" si="81"/>
        <v>0</v>
      </c>
      <c r="AI298" s="552">
        <f ca="1">SUMIFS(Баланс!AH$26:AH$391,Баланс!$F$26:$F$391,$F298,Баланс!$G$26:$G$391,"ПО")</f>
        <v>20279.261910000001</v>
      </c>
      <c r="AJ298" s="552">
        <f ca="1">SUMIFS(Баланс!AI$26:AI$391,Баланс!$F$26:$F$391,$F298,Баланс!$G$26:$G$391,"ПО")</f>
        <v>22004.04</v>
      </c>
      <c r="AK298" s="552">
        <f ca="1">SUMIFS(Баланс!AJ$26:AJ$391,Баланс!$F$26:$F$391,$F298,Баланс!$G$26:$G$391,"ПО")</f>
        <v>0</v>
      </c>
      <c r="AL298" s="552">
        <f ca="1">SUMIFS(Баланс!AK$26:AK$391,Баланс!$F$26:$F$391,$F298,Баланс!$G$26:$G$391,"ПО")</f>
        <v>0</v>
      </c>
      <c r="AM298" s="552">
        <f ca="1">SUMIFS(Баланс!AL$26:AL$391,Баланс!$F$26:$F$391,$F298,Баланс!$G$26:$G$391,"ПО")</f>
        <v>0</v>
      </c>
      <c r="AN298" s="552">
        <f ca="1">SUMIFS(Баланс!AM$26:AM$391,Баланс!$F$26:$F$391,$F298,Баланс!$G$26:$G$391,"ПО")</f>
        <v>0</v>
      </c>
      <c r="AO298" s="552">
        <f ca="1">SUMIFS(Баланс!AN$26:AN$391,Баланс!$F$26:$F$391,$F298,Баланс!$G$26:$G$391,"ПО")</f>
        <v>0</v>
      </c>
      <c r="AP298" s="552">
        <f ca="1">SUMIFS(Баланс!AO$26:AO$391,Баланс!$F$26:$F$391,$F298,Баланс!$G$26:$G$391,"ПО")</f>
        <v>0</v>
      </c>
      <c r="AQ298" s="552">
        <f ca="1">SUMIFS(Баланс!AP$26:AP$391,Баланс!$F$26:$F$391,$F298,Баланс!$G$26:$G$391,"ПО")</f>
        <v>0</v>
      </c>
      <c r="AR298" s="552">
        <f ca="1">SUMIFS(Баланс!AQ$26:AQ$391,Баланс!$F$26:$F$391,$F298,Баланс!$G$26:$G$391,"ПО")</f>
        <v>0</v>
      </c>
      <c r="AS298" s="552">
        <f ca="1">SUMIFS(Баланс!AR$26:AR$391,Баланс!$F$26:$F$391,$F298,Баланс!$G$26:$G$391,"ПО")</f>
        <v>0</v>
      </c>
      <c r="AT298" s="552">
        <f ca="1">SUMIFS(Баланс!AS$26:AS$391,Баланс!$F$26:$F$391,$F298,Баланс!$G$26:$G$391,"ПО")</f>
        <v>19250.848000000002</v>
      </c>
      <c r="AU298" s="552">
        <f ca="1">SUMIFS(Баланс!AT$26:AT$391,Баланс!$F$26:$F$391,$F298,Баланс!$G$26:$G$391,"ПО")</f>
        <v>0</v>
      </c>
      <c r="AV298" s="552">
        <f ca="1">SUMIFS(Баланс!AU$26:AU$391,Баланс!$F$26:$F$391,$F298,Баланс!$G$26:$G$391,"ПО")</f>
        <v>0</v>
      </c>
      <c r="AW298" s="552">
        <f ca="1">SUMIFS(Баланс!AV$26:AV$391,Баланс!$F$26:$F$391,$F298,Баланс!$G$26:$G$391,"ПО")</f>
        <v>0</v>
      </c>
      <c r="AX298" s="552">
        <f ca="1">SUMIFS(Баланс!AW$26:AW$391,Баланс!$F$26:$F$391,$F298,Баланс!$G$26:$G$391,"ПО")</f>
        <v>0</v>
      </c>
      <c r="AY298" s="552">
        <f ca="1">SUMIFS(Баланс!AX$26:AX$391,Баланс!$F$26:$F$391,$F298,Баланс!$G$26:$G$391,"ПО")</f>
        <v>0</v>
      </c>
      <c r="AZ298" s="552">
        <f ca="1">SUMIFS(Баланс!AY$26:AY$391,Баланс!$F$26:$F$391,$F298,Баланс!$G$26:$G$391,"ПО")</f>
        <v>0</v>
      </c>
      <c r="BA298" s="552">
        <f ca="1">SUMIFS(Баланс!AZ$26:AZ$391,Баланс!$F$26:$F$391,$F298,Баланс!$G$26:$G$391,"ПО")</f>
        <v>0</v>
      </c>
      <c r="BB298" s="552">
        <f ca="1">SUMIFS(Баланс!BA$26:BA$391,Баланс!$F$26:$F$391,$F298,Баланс!$G$26:$G$391,"ПО")</f>
        <v>0</v>
      </c>
      <c r="BC298" s="552">
        <f ca="1">SUMIFS(Баланс!BB$26:BB$391,Баланс!$F$26:$F$391,$F298,Баланс!$G$26:$G$391,"ПО")</f>
        <v>0</v>
      </c>
      <c r="BD298" s="129"/>
      <c r="BE298" s="129"/>
      <c r="BF298" s="129"/>
      <c r="BG298" s="129"/>
      <c r="BH298" s="129"/>
      <c r="BI298" s="129"/>
      <c r="BJ298" s="129"/>
      <c r="BK298" s="129"/>
      <c r="BL298" s="129"/>
      <c r="BM298" s="129"/>
      <c r="BN298" s="196"/>
      <c r="BO298" s="196"/>
      <c r="BP298" s="196"/>
      <c r="BQ298" s="76"/>
      <c r="BR298" s="76"/>
      <c r="BS298" s="695" t="s">
        <v>1887</v>
      </c>
      <c r="BT298" s="702"/>
      <c r="BU298" s="702"/>
      <c r="BV298" s="511"/>
      <c r="BW298" s="511"/>
    </row>
    <row r="299" spans="1:75" ht="14.65" customHeight="1" x14ac:dyDescent="0.25">
      <c r="C299" s="25"/>
      <c r="D299" s="25" cm="1">
        <f t="array" ref="D299">D298</f>
        <v>11</v>
      </c>
      <c r="E299" s="451">
        <v>15</v>
      </c>
      <c r="F299" s="3" t="str" cm="1">
        <f t="array" aca="1" ref="F299" ca="1">OFFSET(E299,-1,1)</f>
        <v>1</v>
      </c>
      <c r="G299" s="25" t="s">
        <v>1680</v>
      </c>
      <c r="H299" s="25"/>
      <c r="I299" s="25" t="s">
        <v>2213</v>
      </c>
      <c r="J299" s="25"/>
      <c r="K299" s="72" t="s">
        <v>2213</v>
      </c>
      <c r="L299" s="25" t="s">
        <v>1888</v>
      </c>
      <c r="M299" s="25"/>
      <c r="N299" s="25"/>
      <c r="O299" s="25"/>
      <c r="P299" s="25"/>
      <c r="Q299" s="25"/>
      <c r="R299" s="25"/>
      <c r="S299" s="25"/>
      <c r="T299" s="353" t="b" cm="1">
        <f t="array" aca="1" ref="T299" ca="1">T298</f>
        <v>1</v>
      </c>
      <c r="U299" s="25"/>
      <c r="V299" s="25"/>
      <c r="W299" s="25"/>
      <c r="X299" s="1022"/>
      <c r="Z299" s="967"/>
      <c r="AB299" s="7" t="str">
        <f>D299&amp;".1"</f>
        <v>11.1</v>
      </c>
      <c r="AC299" s="127" t="s">
        <v>1890</v>
      </c>
      <c r="AD299" s="7" t="s">
        <v>558</v>
      </c>
      <c r="AE299" s="444">
        <v>8580.7829999999994</v>
      </c>
      <c r="AF299" s="444">
        <v>8972.7304999999997</v>
      </c>
      <c r="AG299" s="444">
        <v>8972.7304999999997</v>
      </c>
      <c r="AH299" s="558">
        <f t="shared" si="81"/>
        <v>0</v>
      </c>
      <c r="AI299" s="444">
        <v>10139.630955000001</v>
      </c>
      <c r="AJ299" s="444">
        <v>11002.02</v>
      </c>
      <c r="AK299" s="776">
        <f ca="1">IF(god=2025,AK298/12*9,AK298/2)</f>
        <v>0</v>
      </c>
      <c r="AL299" s="776">
        <f t="shared" ref="AL299:AS299" ca="1" si="82">AL298/2</f>
        <v>0</v>
      </c>
      <c r="AM299" s="444">
        <f t="shared" ca="1" si="82"/>
        <v>0</v>
      </c>
      <c r="AN299" s="444">
        <f t="shared" ca="1" si="82"/>
        <v>0</v>
      </c>
      <c r="AO299" s="444">
        <f t="shared" ca="1" si="82"/>
        <v>0</v>
      </c>
      <c r="AP299" s="444">
        <f t="shared" ca="1" si="82"/>
        <v>0</v>
      </c>
      <c r="AQ299" s="444">
        <f t="shared" ca="1" si="82"/>
        <v>0</v>
      </c>
      <c r="AR299" s="444">
        <f t="shared" ca="1" si="82"/>
        <v>0</v>
      </c>
      <c r="AS299" s="444">
        <f t="shared" ca="1" si="82"/>
        <v>0</v>
      </c>
      <c r="AT299" s="444">
        <f ca="1">IF(god=2026,AT298/12*9,AT298/2)</f>
        <v>14438.136000000002</v>
      </c>
      <c r="AU299" s="776">
        <f ca="1">IF(god=2025,AU298/12*9,AU298/2)</f>
        <v>0</v>
      </c>
      <c r="AV299" s="776">
        <f t="shared" ref="AV299:BC299" ca="1" si="83">AV298/2</f>
        <v>0</v>
      </c>
      <c r="AW299" s="444">
        <f t="shared" ca="1" si="83"/>
        <v>0</v>
      </c>
      <c r="AX299" s="444">
        <f t="shared" ca="1" si="83"/>
        <v>0</v>
      </c>
      <c r="AY299" s="444">
        <f t="shared" ca="1" si="83"/>
        <v>0</v>
      </c>
      <c r="AZ299" s="444">
        <f t="shared" ca="1" si="83"/>
        <v>0</v>
      </c>
      <c r="BA299" s="444">
        <f t="shared" ca="1" si="83"/>
        <v>0</v>
      </c>
      <c r="BB299" s="444">
        <f t="shared" ca="1" si="83"/>
        <v>0</v>
      </c>
      <c r="BC299" s="444">
        <f t="shared" ca="1" si="83"/>
        <v>0</v>
      </c>
      <c r="BD299" s="542"/>
      <c r="BE299" s="542"/>
      <c r="BF299" s="542"/>
      <c r="BG299" s="542"/>
      <c r="BH299" s="542"/>
      <c r="BI299" s="542"/>
      <c r="BJ299" s="542"/>
      <c r="BK299" s="542"/>
      <c r="BL299" s="542"/>
      <c r="BM299" s="542"/>
      <c r="BN299" s="196"/>
      <c r="BO299" s="196"/>
      <c r="BP299" s="196"/>
      <c r="BS299" s="694" t="s">
        <v>1891</v>
      </c>
    </row>
    <row r="300" spans="1:75" ht="75.75" customHeight="1" x14ac:dyDescent="0.25">
      <c r="C300" s="25"/>
      <c r="D300" s="25" cm="1">
        <f t="array" ref="D300">D299</f>
        <v>11</v>
      </c>
      <c r="E300" s="451">
        <v>15</v>
      </c>
      <c r="F300" s="3" t="str" cm="1">
        <f t="array" aca="1" ref="F300" ca="1">OFFSET(E300,-1,1)</f>
        <v>1</v>
      </c>
      <c r="G300" s="25" t="s">
        <v>1641</v>
      </c>
      <c r="H300" s="25"/>
      <c r="I300" s="25" t="s">
        <v>2214</v>
      </c>
      <c r="J300" s="25"/>
      <c r="K300" s="72" t="s">
        <v>2214</v>
      </c>
      <c r="L300" s="25" t="s">
        <v>1892</v>
      </c>
      <c r="M300" s="25"/>
      <c r="N300" s="25"/>
      <c r="O300" s="25"/>
      <c r="P300" s="25"/>
      <c r="Q300" s="25"/>
      <c r="R300" s="25"/>
      <c r="S300" s="25"/>
      <c r="T300" s="353" t="b" cm="1">
        <f t="array" aca="1" ref="T300" ca="1">T299</f>
        <v>1</v>
      </c>
      <c r="U300" s="25"/>
      <c r="V300" s="25"/>
      <c r="W300" s="25"/>
      <c r="X300" s="1022"/>
      <c r="Z300" s="967"/>
      <c r="AB300" s="7" t="str">
        <f>D300&amp;".2"</f>
        <v>11.2</v>
      </c>
      <c r="AC300" s="127" t="s">
        <v>1894</v>
      </c>
      <c r="AD300" s="7" t="s">
        <v>1644</v>
      </c>
      <c r="AE300" s="128">
        <v>3.4350000000000001</v>
      </c>
      <c r="AF300" s="128">
        <v>4.6561576901999997</v>
      </c>
      <c r="AG300" s="128"/>
      <c r="AH300" s="171">
        <f t="shared" si="81"/>
        <v>-4.6561576901999997</v>
      </c>
      <c r="AI300" s="128">
        <v>3.7699988629000001</v>
      </c>
      <c r="AJ300" s="128">
        <v>5.9193670646000003</v>
      </c>
      <c r="AK300" s="778"/>
      <c r="AL300" s="778"/>
      <c r="AM300" s="128"/>
      <c r="AN300" s="128"/>
      <c r="AO300" s="128"/>
      <c r="AP300" s="128"/>
      <c r="AQ300" s="128"/>
      <c r="AR300" s="128"/>
      <c r="AS300" s="128"/>
      <c r="AT300" s="128">
        <v>3.77</v>
      </c>
      <c r="AU300" s="778" cm="1">
        <f t="array" ref="AU300">AT302</f>
        <v>4.0679982258000003</v>
      </c>
      <c r="AV300" s="77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2"/>
      <c r="BE300" s="542"/>
      <c r="BF300" s="542"/>
      <c r="BG300" s="542"/>
      <c r="BH300" s="542"/>
      <c r="BI300" s="542"/>
      <c r="BJ300" s="542"/>
      <c r="BK300" s="542"/>
      <c r="BL300" s="542"/>
      <c r="BM300" s="542"/>
      <c r="BN300" s="196"/>
      <c r="BO300" s="196" t="s">
        <v>2266</v>
      </c>
      <c r="BP300" s="196"/>
      <c r="BS300" s="694" t="s">
        <v>1895</v>
      </c>
    </row>
    <row r="301" spans="1:75" ht="14.25" customHeight="1" x14ac:dyDescent="0.25">
      <c r="C301" s="25"/>
      <c r="D301" s="25" cm="1">
        <f t="array" ref="D301">D300</f>
        <v>11</v>
      </c>
      <c r="E301" s="451">
        <v>15</v>
      </c>
      <c r="F301" s="3" t="str" cm="1">
        <f t="array" aca="1" ref="F301" ca="1">OFFSET(E301,-1,1)</f>
        <v>1</v>
      </c>
      <c r="G301" s="25" t="s">
        <v>1693</v>
      </c>
      <c r="H301" s="25"/>
      <c r="I301" s="25" t="s">
        <v>2215</v>
      </c>
      <c r="J301" s="25"/>
      <c r="K301" s="72" t="s">
        <v>2215</v>
      </c>
      <c r="L301" s="25" t="s">
        <v>1896</v>
      </c>
      <c r="M301" s="25"/>
      <c r="N301" s="25"/>
      <c r="O301" s="25"/>
      <c r="P301" s="25"/>
      <c r="Q301" s="25"/>
      <c r="R301" s="25"/>
      <c r="S301" s="25"/>
      <c r="T301" s="353" t="b" cm="1">
        <f t="array" aca="1" ref="T301" ca="1">T300</f>
        <v>1</v>
      </c>
      <c r="U301" s="25"/>
      <c r="V301" s="25"/>
      <c r="W301" s="25"/>
      <c r="X301" s="1022"/>
      <c r="Z301" s="967"/>
      <c r="AB301" s="7" t="str">
        <f>D301&amp;".3"</f>
        <v>11.3</v>
      </c>
      <c r="AC301" s="127" t="s">
        <v>2216</v>
      </c>
      <c r="AD301" s="7" t="s">
        <v>558</v>
      </c>
      <c r="AE301" s="558">
        <f ca="1">AE298-AE299</f>
        <v>8580.7829999999994</v>
      </c>
      <c r="AF301" s="558">
        <f ca="1">AF298-AF299</f>
        <v>8972.7304999999997</v>
      </c>
      <c r="AG301" s="558">
        <f ca="1">AG298-AG299</f>
        <v>8972.7304999999997</v>
      </c>
      <c r="AH301" s="558">
        <f t="shared" ca="1" si="81"/>
        <v>0</v>
      </c>
      <c r="AI301" s="558">
        <f t="shared" ref="AI301:BC301" ca="1" si="84">AI298-AI299</f>
        <v>10139.630955000001</v>
      </c>
      <c r="AJ301" s="558">
        <f t="shared" ca="1" si="84"/>
        <v>11002.02</v>
      </c>
      <c r="AK301" s="558">
        <f t="shared" ca="1" si="84"/>
        <v>0</v>
      </c>
      <c r="AL301" s="558">
        <f t="shared" ca="1" si="84"/>
        <v>0</v>
      </c>
      <c r="AM301" s="558">
        <f t="shared" ca="1" si="84"/>
        <v>0</v>
      </c>
      <c r="AN301" s="558">
        <f t="shared" ca="1" si="84"/>
        <v>0</v>
      </c>
      <c r="AO301" s="558">
        <f t="shared" ca="1" si="84"/>
        <v>0</v>
      </c>
      <c r="AP301" s="558">
        <f t="shared" ca="1" si="84"/>
        <v>0</v>
      </c>
      <c r="AQ301" s="558">
        <f t="shared" ca="1" si="84"/>
        <v>0</v>
      </c>
      <c r="AR301" s="558">
        <f t="shared" ca="1" si="84"/>
        <v>0</v>
      </c>
      <c r="AS301" s="558">
        <f t="shared" ca="1" si="84"/>
        <v>0</v>
      </c>
      <c r="AT301" s="558">
        <f t="shared" ca="1" si="84"/>
        <v>4812.7119999999995</v>
      </c>
      <c r="AU301" s="558">
        <f t="shared" ca="1" si="84"/>
        <v>0</v>
      </c>
      <c r="AV301" s="558">
        <f t="shared" ca="1" si="84"/>
        <v>0</v>
      </c>
      <c r="AW301" s="558">
        <f t="shared" ca="1" si="84"/>
        <v>0</v>
      </c>
      <c r="AX301" s="558">
        <f t="shared" ca="1" si="84"/>
        <v>0</v>
      </c>
      <c r="AY301" s="558">
        <f t="shared" ca="1" si="84"/>
        <v>0</v>
      </c>
      <c r="AZ301" s="558">
        <f t="shared" ca="1" si="84"/>
        <v>0</v>
      </c>
      <c r="BA301" s="558">
        <f t="shared" ca="1" si="84"/>
        <v>0</v>
      </c>
      <c r="BB301" s="558">
        <f t="shared" ca="1" si="84"/>
        <v>0</v>
      </c>
      <c r="BC301" s="558">
        <f t="shared" ca="1" si="84"/>
        <v>0</v>
      </c>
      <c r="BD301" s="542"/>
      <c r="BE301" s="542"/>
      <c r="BF301" s="542"/>
      <c r="BG301" s="542"/>
      <c r="BH301" s="542"/>
      <c r="BI301" s="542"/>
      <c r="BJ301" s="542"/>
      <c r="BK301" s="542"/>
      <c r="BL301" s="542"/>
      <c r="BM301" s="542"/>
      <c r="BN301" s="196"/>
      <c r="BO301" s="196"/>
      <c r="BP301" s="196"/>
      <c r="BS301" s="694" t="s">
        <v>1899</v>
      </c>
    </row>
    <row r="302" spans="1:75" ht="14.65" customHeight="1" x14ac:dyDescent="0.25">
      <c r="C302" s="25"/>
      <c r="D302" s="25" cm="1">
        <f t="array" ref="D302">D301</f>
        <v>11</v>
      </c>
      <c r="E302" s="451">
        <v>15</v>
      </c>
      <c r="F302" s="3" t="str" cm="1">
        <f t="array" aca="1" ref="F302" ca="1">OFFSET(E302,-1,1)</f>
        <v>1</v>
      </c>
      <c r="G302" s="25" t="s">
        <v>1646</v>
      </c>
      <c r="H302" s="25"/>
      <c r="I302" s="25" t="s">
        <v>2217</v>
      </c>
      <c r="J302" s="25"/>
      <c r="K302" s="72" t="s">
        <v>2217</v>
      </c>
      <c r="L302" s="25" t="s">
        <v>1900</v>
      </c>
      <c r="M302" s="25"/>
      <c r="N302" s="25"/>
      <c r="O302" s="25"/>
      <c r="P302" s="25"/>
      <c r="Q302" s="25"/>
      <c r="R302" s="25"/>
      <c r="S302" s="25"/>
      <c r="T302" s="353" t="b" cm="1">
        <f t="array" aca="1" ref="T302" ca="1">T301</f>
        <v>1</v>
      </c>
      <c r="U302" s="25"/>
      <c r="V302" s="25"/>
      <c r="W302" s="25"/>
      <c r="X302" s="1022"/>
      <c r="Z302" s="967"/>
      <c r="AB302" s="7" t="str">
        <f>D302&amp;".4"</f>
        <v>11.4</v>
      </c>
      <c r="AC302" s="127" t="s">
        <v>1902</v>
      </c>
      <c r="AD302" s="7" t="s">
        <v>1644</v>
      </c>
      <c r="AE302" s="128">
        <v>3.7699988629000001</v>
      </c>
      <c r="AF302" s="128">
        <v>4.6561576901999997</v>
      </c>
      <c r="AG302" s="128">
        <v>7.2671953432</v>
      </c>
      <c r="AH302" s="171">
        <f t="shared" si="81"/>
        <v>2.6110376530000003</v>
      </c>
      <c r="AI302" s="128">
        <v>3.770000145</v>
      </c>
      <c r="AJ302" s="128">
        <v>5.9193670646000003</v>
      </c>
      <c r="AK302" s="778">
        <f t="shared" ref="AK302:AS302" ca="1" si="85">IF(AK301=0,0,(AK295-AK299*AK300)/AK301)</f>
        <v>0</v>
      </c>
      <c r="AL302" s="778">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v>4.0679982258000003</v>
      </c>
      <c r="AU302" s="778">
        <f t="shared" ref="AU302:BC302" ca="1" si="86">IF(AU301=0,0,(AU295-AU299*AU300)/AU301)</f>
        <v>0</v>
      </c>
      <c r="AV302" s="778">
        <f t="shared" ca="1" si="86"/>
        <v>0</v>
      </c>
      <c r="AW302" s="128">
        <f t="shared" ca="1" si="86"/>
        <v>0</v>
      </c>
      <c r="AX302" s="128">
        <f t="shared" ca="1" si="86"/>
        <v>0</v>
      </c>
      <c r="AY302" s="128">
        <f t="shared" ca="1" si="86"/>
        <v>0</v>
      </c>
      <c r="AZ302" s="128">
        <f t="shared" ca="1" si="86"/>
        <v>0</v>
      </c>
      <c r="BA302" s="128">
        <f t="shared" ca="1" si="86"/>
        <v>0</v>
      </c>
      <c r="BB302" s="128">
        <f t="shared" ca="1" si="86"/>
        <v>0</v>
      </c>
      <c r="BC302" s="128">
        <f t="shared" ca="1" si="86"/>
        <v>0</v>
      </c>
      <c r="BD302" s="542"/>
      <c r="BE302" s="542"/>
      <c r="BF302" s="542"/>
      <c r="BG302" s="542"/>
      <c r="BH302" s="542"/>
      <c r="BI302" s="542"/>
      <c r="BJ302" s="542"/>
      <c r="BK302" s="542"/>
      <c r="BL302" s="542"/>
      <c r="BM302" s="542"/>
      <c r="BN302" s="196"/>
      <c r="BO302" s="196"/>
      <c r="BP302" s="196"/>
      <c r="BS302" s="694" t="s">
        <v>1903</v>
      </c>
    </row>
    <row r="303" spans="1:75" ht="14.25" customHeight="1" x14ac:dyDescent="0.25">
      <c r="C303" s="25"/>
      <c r="D303" s="25" cm="1">
        <f t="array" ref="D303">D302</f>
        <v>11</v>
      </c>
      <c r="E303" s="451">
        <v>15</v>
      </c>
      <c r="F303" s="3" t="str" cm="1">
        <f t="array" aca="1" ref="F303" ca="1">OFFSET(E303,-1,1)</f>
        <v>1</v>
      </c>
      <c r="G303" s="25"/>
      <c r="H303" s="25"/>
      <c r="I303" s="25" t="s">
        <v>2218</v>
      </c>
      <c r="J303" s="25"/>
      <c r="K303" s="72" t="s">
        <v>2218</v>
      </c>
      <c r="L303" s="25" t="s">
        <v>1904</v>
      </c>
      <c r="M303" s="25"/>
      <c r="N303" s="25"/>
      <c r="O303" s="25"/>
      <c r="P303" s="25"/>
      <c r="Q303" s="25"/>
      <c r="R303" s="25"/>
      <c r="S303" s="25"/>
      <c r="T303" s="353" t="b" cm="1">
        <f t="array" aca="1" ref="T303" ca="1">T302</f>
        <v>1</v>
      </c>
      <c r="U303" s="25"/>
      <c r="V303" s="25"/>
      <c r="W303" s="25"/>
      <c r="X303" s="1022"/>
      <c r="Z303" s="967"/>
      <c r="AB303" s="7" t="str">
        <f>D303&amp;".5"</f>
        <v>11.5</v>
      </c>
      <c r="AC303" s="127" t="s">
        <v>1906</v>
      </c>
      <c r="AD303" s="7" t="s">
        <v>476</v>
      </c>
      <c r="AE303" s="171">
        <f>IF(AE300=0,0,AE302/AE300*100)</f>
        <v>109.75251420378459</v>
      </c>
      <c r="AF303" s="171">
        <f>IF(AF300=0,0,AF302/AF300*100)</f>
        <v>100</v>
      </c>
      <c r="AG303" s="171">
        <f>IF(AG300=0,0,AG302/AG300*100)</f>
        <v>0</v>
      </c>
      <c r="AH303" s="542"/>
      <c r="AI303" s="171">
        <f t="shared" ref="AI303:BC303" si="87">IF(AI300=0,0,AI302/AI300*100)</f>
        <v>100.00003400796783</v>
      </c>
      <c r="AJ303" s="171">
        <f t="shared" si="87"/>
        <v>100</v>
      </c>
      <c r="AK303" s="171">
        <f t="shared" si="87"/>
        <v>0</v>
      </c>
      <c r="AL303" s="171">
        <f t="shared" si="87"/>
        <v>0</v>
      </c>
      <c r="AM303" s="171">
        <f t="shared" si="87"/>
        <v>0</v>
      </c>
      <c r="AN303" s="171">
        <f t="shared" si="87"/>
        <v>0</v>
      </c>
      <c r="AO303" s="171">
        <f t="shared" si="87"/>
        <v>0</v>
      </c>
      <c r="AP303" s="171">
        <f t="shared" si="87"/>
        <v>0</v>
      </c>
      <c r="AQ303" s="171">
        <f t="shared" si="87"/>
        <v>0</v>
      </c>
      <c r="AR303" s="171">
        <f t="shared" si="87"/>
        <v>0</v>
      </c>
      <c r="AS303" s="171">
        <f t="shared" si="87"/>
        <v>0</v>
      </c>
      <c r="AT303" s="171">
        <f t="shared" si="87"/>
        <v>107.90446222281167</v>
      </c>
      <c r="AU303" s="171">
        <f t="shared" ca="1" si="87"/>
        <v>0</v>
      </c>
      <c r="AV303" s="171">
        <f t="shared" ca="1" si="87"/>
        <v>0</v>
      </c>
      <c r="AW303" s="171">
        <f t="shared" ca="1" si="87"/>
        <v>0</v>
      </c>
      <c r="AX303" s="171">
        <f t="shared" ca="1" si="87"/>
        <v>0</v>
      </c>
      <c r="AY303" s="171">
        <f t="shared" ca="1" si="87"/>
        <v>0</v>
      </c>
      <c r="AZ303" s="171">
        <f t="shared" ca="1" si="87"/>
        <v>0</v>
      </c>
      <c r="BA303" s="171">
        <f t="shared" ca="1" si="87"/>
        <v>0</v>
      </c>
      <c r="BB303" s="171">
        <f t="shared" ca="1" si="87"/>
        <v>0</v>
      </c>
      <c r="BC303" s="171">
        <f t="shared" ca="1" si="87"/>
        <v>0</v>
      </c>
      <c r="BD303" s="542"/>
      <c r="BE303" s="542"/>
      <c r="BF303" s="542"/>
      <c r="BG303" s="542"/>
      <c r="BH303" s="542"/>
      <c r="BI303" s="542"/>
      <c r="BJ303" s="542"/>
      <c r="BK303" s="542"/>
      <c r="BL303" s="542"/>
      <c r="BM303" s="542"/>
      <c r="BN303" s="196"/>
      <c r="BO303" s="196"/>
      <c r="BP303" s="196"/>
      <c r="BS303" s="694" t="s">
        <v>1907</v>
      </c>
    </row>
    <row r="304" spans="1:75" ht="44.25" customHeight="1" x14ac:dyDescent="0.25">
      <c r="C304" s="25"/>
      <c r="D304" s="25" cm="1">
        <f t="array" ref="D304">D303</f>
        <v>11</v>
      </c>
      <c r="E304" s="451">
        <v>15</v>
      </c>
      <c r="F304" s="3" t="str" cm="1">
        <f t="array" aca="1" ref="F304" ca="1">OFFSET(E304,-1,1)</f>
        <v>1</v>
      </c>
      <c r="G304" s="25"/>
      <c r="H304" s="25"/>
      <c r="I304" s="25" t="s">
        <v>2219</v>
      </c>
      <c r="J304" s="25"/>
      <c r="K304" s="72" t="s">
        <v>2219</v>
      </c>
      <c r="L304" s="25" t="s">
        <v>1908</v>
      </c>
      <c r="M304" s="25"/>
      <c r="N304" s="25"/>
      <c r="O304" s="25"/>
      <c r="P304" s="25"/>
      <c r="Q304" s="25"/>
      <c r="R304" s="25"/>
      <c r="S304" s="25"/>
      <c r="T304" s="353" t="b" cm="1">
        <f t="array" aca="1" ref="T304" ca="1">T303</f>
        <v>1</v>
      </c>
      <c r="U304" s="25"/>
      <c r="V304" s="25"/>
      <c r="W304" s="25"/>
      <c r="X304" s="1022"/>
      <c r="Z304" s="967"/>
      <c r="AB304" s="7" t="str">
        <f>D304&amp;".6"</f>
        <v>11.6</v>
      </c>
      <c r="AC304" s="127" t="s">
        <v>1910</v>
      </c>
      <c r="AD304" s="7" t="s">
        <v>1644</v>
      </c>
      <c r="AE304" s="128">
        <v>3.6024994315000001</v>
      </c>
      <c r="AF304" s="128">
        <v>4.6561576901999997</v>
      </c>
      <c r="AG304" s="128">
        <v>3.6335976716</v>
      </c>
      <c r="AH304" s="171">
        <f>AG304-AF304</f>
        <v>-1.0225600185999997</v>
      </c>
      <c r="AI304" s="128">
        <v>3.770000145</v>
      </c>
      <c r="AJ304" s="128">
        <v>5.9193670646000003</v>
      </c>
      <c r="AK304" s="778">
        <f t="shared" ref="AK304:AS304" ca="1" si="88">IF(AK298=0,0,AK295/AK298)</f>
        <v>0</v>
      </c>
      <c r="AL304" s="778">
        <f t="shared" ca="1" si="88"/>
        <v>0</v>
      </c>
      <c r="AM304" s="128">
        <f t="shared" ca="1" si="88"/>
        <v>0</v>
      </c>
      <c r="AN304" s="128">
        <f t="shared" ca="1" si="88"/>
        <v>0</v>
      </c>
      <c r="AO304" s="128">
        <f t="shared" ca="1" si="88"/>
        <v>0</v>
      </c>
      <c r="AP304" s="128">
        <f t="shared" ca="1" si="88"/>
        <v>0</v>
      </c>
      <c r="AQ304" s="128">
        <f t="shared" ca="1" si="88"/>
        <v>0</v>
      </c>
      <c r="AR304" s="128">
        <f t="shared" ca="1" si="88"/>
        <v>0</v>
      </c>
      <c r="AS304" s="128">
        <f t="shared" ca="1" si="88"/>
        <v>0</v>
      </c>
      <c r="AT304" s="128">
        <v>3.9189991128999999</v>
      </c>
      <c r="AU304" s="778">
        <f t="shared" ref="AU304:BC304" ca="1" si="89">IF(AU298=0,0,AU295/AU298)</f>
        <v>0</v>
      </c>
      <c r="AV304" s="778">
        <f t="shared" ca="1" si="89"/>
        <v>0</v>
      </c>
      <c r="AW304" s="128">
        <f t="shared" ca="1" si="89"/>
        <v>0</v>
      </c>
      <c r="AX304" s="128">
        <f t="shared" ca="1" si="89"/>
        <v>0</v>
      </c>
      <c r="AY304" s="128">
        <f t="shared" ca="1" si="89"/>
        <v>0</v>
      </c>
      <c r="AZ304" s="128">
        <f t="shared" ca="1" si="89"/>
        <v>0</v>
      </c>
      <c r="BA304" s="128">
        <f t="shared" ca="1" si="89"/>
        <v>0</v>
      </c>
      <c r="BB304" s="128">
        <f t="shared" ca="1" si="89"/>
        <v>0</v>
      </c>
      <c r="BC304" s="128">
        <f t="shared" ca="1" si="89"/>
        <v>0</v>
      </c>
      <c r="BD304" s="542"/>
      <c r="BE304" s="542"/>
      <c r="BF304" s="542"/>
      <c r="BG304" s="542"/>
      <c r="BH304" s="542"/>
      <c r="BI304" s="542"/>
      <c r="BJ304" s="542"/>
      <c r="BK304" s="542"/>
      <c r="BL304" s="542"/>
      <c r="BM304" s="542"/>
      <c r="BN304" s="196" t="s">
        <v>2267</v>
      </c>
      <c r="BO304" s="196"/>
      <c r="BP304" s="196" t="s">
        <v>2268</v>
      </c>
      <c r="BS304" s="694" t="s">
        <v>1911</v>
      </c>
    </row>
    <row r="305" spans="1:75" s="870" customFormat="1" ht="20.25" customHeight="1" x14ac:dyDescent="0.25">
      <c r="A305" s="76"/>
      <c r="B305" s="332"/>
      <c r="C305" s="27"/>
      <c r="D305" s="27">
        <f>D304+1</f>
        <v>12</v>
      </c>
      <c r="E305" s="559">
        <v>21</v>
      </c>
      <c r="F305" s="3" t="str" cm="1">
        <f t="array" aca="1" ref="F305" ca="1">OFFSET(E305,-1,1)</f>
        <v>1</v>
      </c>
      <c r="G305" s="27"/>
      <c r="H305" s="25"/>
      <c r="I305" s="25" t="s">
        <v>1916</v>
      </c>
      <c r="J305" s="27"/>
      <c r="K305" s="72" t="s">
        <v>1916</v>
      </c>
      <c r="L305" s="27" t="s">
        <v>1912</v>
      </c>
      <c r="M305" s="27"/>
      <c r="N305" s="27"/>
      <c r="O305" s="27"/>
      <c r="P305" s="27"/>
      <c r="Q305" s="27"/>
      <c r="R305" s="27"/>
      <c r="S305" s="27"/>
      <c r="T305" s="353" t="b" cm="1">
        <f t="array" aca="1" ref="T305" ca="1">T304</f>
        <v>1</v>
      </c>
      <c r="U305" s="27"/>
      <c r="V305" s="27"/>
      <c r="W305" s="27"/>
      <c r="X305" s="1022"/>
      <c r="Y305" s="76"/>
      <c r="Z305" s="967"/>
      <c r="AA305" s="76"/>
      <c r="AB305" s="124" cm="1">
        <f t="array" ref="AB305">D305</f>
        <v>12</v>
      </c>
      <c r="AC305" s="125" t="s">
        <v>1914</v>
      </c>
      <c r="AD305" s="124" t="s">
        <v>828</v>
      </c>
      <c r="AE305" s="138">
        <f ca="1">IF(AE298=0,0,AE295/AE298*AE306)</f>
        <v>0</v>
      </c>
      <c r="AF305" s="138">
        <f ca="1">IF(AF298=0,0,AF295/AF298*AF306)</f>
        <v>0</v>
      </c>
      <c r="AG305" s="138">
        <f ca="1">IF(AG298=0,0,AG295/AG298*AG306)</f>
        <v>0</v>
      </c>
      <c r="AH305" s="126">
        <f ca="1">AH307*AH308+AH309*AH310</f>
        <v>0</v>
      </c>
      <c r="AI305" s="138">
        <f t="shared" ref="AI305:BC305" ca="1" si="90">IF(AI298=0,0,AI295/AI298*AI306)</f>
        <v>0</v>
      </c>
      <c r="AJ305" s="138">
        <f t="shared" ca="1" si="90"/>
        <v>0</v>
      </c>
      <c r="AK305" s="774">
        <f t="shared" ca="1" si="90"/>
        <v>0</v>
      </c>
      <c r="AL305" s="774">
        <f t="shared" ca="1" si="90"/>
        <v>0</v>
      </c>
      <c r="AM305" s="138">
        <f t="shared" ca="1" si="90"/>
        <v>0</v>
      </c>
      <c r="AN305" s="138">
        <f t="shared" ca="1" si="90"/>
        <v>0</v>
      </c>
      <c r="AO305" s="138">
        <f t="shared" ca="1" si="90"/>
        <v>0</v>
      </c>
      <c r="AP305" s="138">
        <f t="shared" ca="1" si="90"/>
        <v>0</v>
      </c>
      <c r="AQ305" s="138">
        <f t="shared" ca="1" si="90"/>
        <v>0</v>
      </c>
      <c r="AR305" s="138">
        <f t="shared" ca="1" si="90"/>
        <v>0</v>
      </c>
      <c r="AS305" s="138">
        <f t="shared" ca="1" si="90"/>
        <v>0</v>
      </c>
      <c r="AT305" s="138">
        <f t="shared" ca="1" si="90"/>
        <v>0</v>
      </c>
      <c r="AU305" s="774">
        <f t="shared" ca="1" si="90"/>
        <v>0</v>
      </c>
      <c r="AV305" s="774">
        <f t="shared" ca="1" si="90"/>
        <v>0</v>
      </c>
      <c r="AW305" s="138">
        <f t="shared" ca="1" si="90"/>
        <v>0</v>
      </c>
      <c r="AX305" s="138">
        <f t="shared" ca="1" si="90"/>
        <v>0</v>
      </c>
      <c r="AY305" s="138">
        <f t="shared" ca="1" si="90"/>
        <v>0</v>
      </c>
      <c r="AZ305" s="138">
        <f t="shared" ca="1" si="90"/>
        <v>0</v>
      </c>
      <c r="BA305" s="138">
        <f t="shared" ca="1" si="90"/>
        <v>0</v>
      </c>
      <c r="BB305" s="138">
        <f t="shared" ca="1" si="90"/>
        <v>0</v>
      </c>
      <c r="BC305" s="138">
        <f t="shared" ca="1" si="90"/>
        <v>0</v>
      </c>
      <c r="BD305" s="126">
        <f ca="1">IF(AI305=0,0,(AT305-AI305)/AI305*100)</f>
        <v>0</v>
      </c>
      <c r="BE305" s="126">
        <f t="shared" ref="BE305:BM305" ca="1" si="91">IF(AT305=0,0,(AU305-AT305)/AT305*100)</f>
        <v>0</v>
      </c>
      <c r="BF305" s="126">
        <f t="shared" ca="1" si="91"/>
        <v>0</v>
      </c>
      <c r="BG305" s="126">
        <f t="shared" ca="1" si="91"/>
        <v>0</v>
      </c>
      <c r="BH305" s="126">
        <f t="shared" ca="1" si="91"/>
        <v>0</v>
      </c>
      <c r="BI305" s="126">
        <f t="shared" ca="1" si="91"/>
        <v>0</v>
      </c>
      <c r="BJ305" s="126">
        <f t="shared" ca="1" si="91"/>
        <v>0</v>
      </c>
      <c r="BK305" s="126">
        <f t="shared" ca="1" si="91"/>
        <v>0</v>
      </c>
      <c r="BL305" s="126">
        <f t="shared" ca="1" si="91"/>
        <v>0</v>
      </c>
      <c r="BM305" s="126">
        <f t="shared" ca="1" si="91"/>
        <v>0</v>
      </c>
      <c r="BN305" s="196"/>
      <c r="BO305" s="196"/>
      <c r="BP305" s="196"/>
      <c r="BQ305" s="76"/>
      <c r="BR305" s="76"/>
      <c r="BS305" s="695" t="s">
        <v>1915</v>
      </c>
      <c r="BT305" s="702"/>
      <c r="BU305" s="702"/>
      <c r="BV305" s="511"/>
      <c r="BW305" s="511"/>
    </row>
    <row r="306" spans="1:75" s="870" customFormat="1" ht="20.25" customHeight="1" x14ac:dyDescent="0.25">
      <c r="A306" s="76"/>
      <c r="B306" s="332"/>
      <c r="C306" s="27"/>
      <c r="D306" s="27">
        <f>D305+1</f>
        <v>13</v>
      </c>
      <c r="E306" s="559">
        <v>21</v>
      </c>
      <c r="F306" s="3" t="str" cm="1">
        <f t="array" aca="1" ref="F306" ca="1">OFFSET(E306,-1,1)</f>
        <v>1</v>
      </c>
      <c r="G306" s="25" t="s">
        <v>1666</v>
      </c>
      <c r="H306" s="25"/>
      <c r="I306" s="25" t="s">
        <v>2220</v>
      </c>
      <c r="J306" s="27"/>
      <c r="K306" s="72" t="s">
        <v>2220</v>
      </c>
      <c r="L306" s="27" t="s">
        <v>1916</v>
      </c>
      <c r="M306" s="27"/>
      <c r="N306" s="27"/>
      <c r="O306" s="27"/>
      <c r="P306" s="27"/>
      <c r="Q306" s="27"/>
      <c r="R306" s="27"/>
      <c r="S306" s="27"/>
      <c r="T306" s="353" t="b" cm="1">
        <f t="array" aca="1" ref="T306" ca="1">T305</f>
        <v>1</v>
      </c>
      <c r="U306" s="27"/>
      <c r="V306" s="27"/>
      <c r="W306" s="27"/>
      <c r="X306" s="1022"/>
      <c r="Y306" s="76"/>
      <c r="Z306" s="967"/>
      <c r="AA306" s="76"/>
      <c r="AB306" s="124" cm="1">
        <f t="array" ref="AB306">D306</f>
        <v>13</v>
      </c>
      <c r="AC306" s="125" t="s">
        <v>1918</v>
      </c>
      <c r="AD306" s="124" t="s">
        <v>558</v>
      </c>
      <c r="AE306" s="552">
        <f ca="1">SUMIFS(Баланс!AE$26:AE$391,Баланс!$F$26:$F$391,$F306,Баланс!$G$26:$G$391,"население")</f>
        <v>0</v>
      </c>
      <c r="AF306" s="552">
        <f ca="1">SUMIFS(Баланс!AF$26:AF$391,Баланс!$F$26:$F$391,$F306,Баланс!$G$26:$G$391,"население")</f>
        <v>0</v>
      </c>
      <c r="AG306" s="552">
        <f ca="1">SUMIFS(Баланс!AG$26:AG$391,Баланс!$F$26:$F$391,$F306,Баланс!$G$26:$G$391,"население")</f>
        <v>0</v>
      </c>
      <c r="AH306" s="552">
        <f t="shared" ref="AH306:AH314" ca="1" si="92">AG306-AF306</f>
        <v>0</v>
      </c>
      <c r="AI306" s="552">
        <f ca="1">SUMIFS(Баланс!AH$26:AH$391,Баланс!$F$26:$F$391,$F306,Баланс!$G$26:$G$391,"население")</f>
        <v>0</v>
      </c>
      <c r="AJ306" s="552">
        <f ca="1">SUMIFS(Баланс!AI$26:AI$391,Баланс!$F$26:$F$391,$F306,Баланс!$G$26:$G$391,"население")</f>
        <v>0</v>
      </c>
      <c r="AK306" s="552">
        <f ca="1">SUMIFS(Баланс!AJ$26:AJ$391,Баланс!$F$26:$F$391,$F306,Баланс!$G$26:$G$391,"население")</f>
        <v>0</v>
      </c>
      <c r="AL306" s="552">
        <f ca="1">SUMIFS(Баланс!AK$26:AK$391,Баланс!$F$26:$F$391,$F306,Баланс!$G$26:$G$391,"население")</f>
        <v>0</v>
      </c>
      <c r="AM306" s="552">
        <f ca="1">SUMIFS(Баланс!AL$26:AL$391,Баланс!$F$26:$F$391,$F306,Баланс!$G$26:$G$391,"население")</f>
        <v>0</v>
      </c>
      <c r="AN306" s="552">
        <f ca="1">SUMIFS(Баланс!AM$26:AM$391,Баланс!$F$26:$F$391,$F306,Баланс!$G$26:$G$391,"население")</f>
        <v>0</v>
      </c>
      <c r="AO306" s="552">
        <f ca="1">SUMIFS(Баланс!AN$26:AN$391,Баланс!$F$26:$F$391,$F306,Баланс!$G$26:$G$391,"население")</f>
        <v>0</v>
      </c>
      <c r="AP306" s="552">
        <f ca="1">SUMIFS(Баланс!AO$26:AO$391,Баланс!$F$26:$F$391,$F306,Баланс!$G$26:$G$391,"население")</f>
        <v>0</v>
      </c>
      <c r="AQ306" s="552">
        <f ca="1">SUMIFS(Баланс!AP$26:AP$391,Баланс!$F$26:$F$391,$F306,Баланс!$G$26:$G$391,"население")</f>
        <v>0</v>
      </c>
      <c r="AR306" s="552">
        <f ca="1">SUMIFS(Баланс!AQ$26:AQ$391,Баланс!$F$26:$F$391,$F306,Баланс!$G$26:$G$391,"население")</f>
        <v>0</v>
      </c>
      <c r="AS306" s="552">
        <f ca="1">SUMIFS(Баланс!AR$26:AR$391,Баланс!$F$26:$F$391,$F306,Баланс!$G$26:$G$391,"население")</f>
        <v>0</v>
      </c>
      <c r="AT306" s="552">
        <f ca="1">SUMIFS(Баланс!AS$26:AS$391,Баланс!$F$26:$F$391,$F306,Баланс!$G$26:$G$391,"население")</f>
        <v>0</v>
      </c>
      <c r="AU306" s="552">
        <f ca="1">SUMIFS(Баланс!AT$26:AT$391,Баланс!$F$26:$F$391,$F306,Баланс!$G$26:$G$391,"население")</f>
        <v>0</v>
      </c>
      <c r="AV306" s="552">
        <f ca="1">SUMIFS(Баланс!AU$26:AU$391,Баланс!$F$26:$F$391,$F306,Баланс!$G$26:$G$391,"население")</f>
        <v>0</v>
      </c>
      <c r="AW306" s="552">
        <f ca="1">SUMIFS(Баланс!AV$26:AV$391,Баланс!$F$26:$F$391,$F306,Баланс!$G$26:$G$391,"население")</f>
        <v>0</v>
      </c>
      <c r="AX306" s="552">
        <f ca="1">SUMIFS(Баланс!AW$26:AW$391,Баланс!$F$26:$F$391,$F306,Баланс!$G$26:$G$391,"население")</f>
        <v>0</v>
      </c>
      <c r="AY306" s="552">
        <f ca="1">SUMIFS(Баланс!AX$26:AX$391,Баланс!$F$26:$F$391,$F306,Баланс!$G$26:$G$391,"население")</f>
        <v>0</v>
      </c>
      <c r="AZ306" s="552">
        <f ca="1">SUMIFS(Баланс!AY$26:AY$391,Баланс!$F$26:$F$391,$F306,Баланс!$G$26:$G$391,"население")</f>
        <v>0</v>
      </c>
      <c r="BA306" s="552">
        <f ca="1">SUMIFS(Баланс!AZ$26:AZ$391,Баланс!$F$26:$F$391,$F306,Баланс!$G$26:$G$391,"население")</f>
        <v>0</v>
      </c>
      <c r="BB306" s="552">
        <f ca="1">SUMIFS(Баланс!BA$26:BA$391,Баланс!$F$26:$F$391,$F306,Баланс!$G$26:$G$391,"население")</f>
        <v>0</v>
      </c>
      <c r="BC306" s="552">
        <f ca="1">SUMIFS(Баланс!BB$26:BB$391,Баланс!$F$26:$F$391,$F306,Баланс!$G$26:$G$391,"население")</f>
        <v>0</v>
      </c>
      <c r="BD306" s="129"/>
      <c r="BE306" s="129"/>
      <c r="BF306" s="129"/>
      <c r="BG306" s="129"/>
      <c r="BH306" s="129"/>
      <c r="BI306" s="129"/>
      <c r="BJ306" s="129"/>
      <c r="BK306" s="129"/>
      <c r="BL306" s="129"/>
      <c r="BM306" s="129"/>
      <c r="BN306" s="196"/>
      <c r="BO306" s="196"/>
      <c r="BP306" s="196"/>
      <c r="BQ306" s="76"/>
      <c r="BR306" s="76"/>
      <c r="BS306" s="695" t="s">
        <v>1919</v>
      </c>
      <c r="BT306" s="702"/>
      <c r="BU306" s="702"/>
      <c r="BV306" s="511"/>
      <c r="BW306" s="511"/>
    </row>
    <row r="307" spans="1:75" ht="14.25" customHeight="1" x14ac:dyDescent="0.25">
      <c r="C307" s="25"/>
      <c r="D307" s="25" cm="1">
        <f t="array" ref="D307">D306</f>
        <v>13</v>
      </c>
      <c r="E307" s="451">
        <v>15</v>
      </c>
      <c r="F307" s="3" t="str" cm="1">
        <f t="array" aca="1" ref="F307" ca="1">OFFSET(E307,-1,1)</f>
        <v>1</v>
      </c>
      <c r="G307" s="25" t="s">
        <v>1700</v>
      </c>
      <c r="H307" s="25"/>
      <c r="I307" s="25" t="s">
        <v>2221</v>
      </c>
      <c r="J307" s="25"/>
      <c r="K307" s="72" t="s">
        <v>2221</v>
      </c>
      <c r="L307" s="25" t="s">
        <v>1920</v>
      </c>
      <c r="M307" s="25"/>
      <c r="N307" s="25"/>
      <c r="O307" s="25"/>
      <c r="P307" s="25"/>
      <c r="Q307" s="25"/>
      <c r="R307" s="25"/>
      <c r="S307" s="25"/>
      <c r="T307" s="353" t="b" cm="1">
        <f t="array" aca="1" ref="T307" ca="1">T306</f>
        <v>1</v>
      </c>
      <c r="U307" s="25"/>
      <c r="V307" s="25"/>
      <c r="W307" s="25"/>
      <c r="X307" s="1022"/>
      <c r="Z307" s="967"/>
      <c r="AB307" s="7" t="str">
        <f>D307&amp;".1"</f>
        <v>13.1</v>
      </c>
      <c r="AC307" s="127" t="s">
        <v>1922</v>
      </c>
      <c r="AD307" s="7" t="s">
        <v>558</v>
      </c>
      <c r="AE307" s="444">
        <f ca="1">AE306/2</f>
        <v>0</v>
      </c>
      <c r="AF307" s="444">
        <f ca="1">AF306/2</f>
        <v>0</v>
      </c>
      <c r="AG307" s="444">
        <f ca="1">AG306/2</f>
        <v>0</v>
      </c>
      <c r="AH307" s="558">
        <f t="shared" ca="1" si="92"/>
        <v>0</v>
      </c>
      <c r="AI307" s="444">
        <f ca="1">AI306/2</f>
        <v>0</v>
      </c>
      <c r="AJ307" s="444">
        <f ca="1">IF(god=2026,AJ306/12*9,AJ306/2)</f>
        <v>0</v>
      </c>
      <c r="AK307" s="776">
        <f ca="1">IF(god=2025,AK306/12*9,AK306/2)</f>
        <v>0</v>
      </c>
      <c r="AL307" s="776">
        <f t="shared" ref="AL307:AS307" ca="1" si="93">AL306/2</f>
        <v>0</v>
      </c>
      <c r="AM307" s="444">
        <f t="shared" ca="1" si="93"/>
        <v>0</v>
      </c>
      <c r="AN307" s="444">
        <f t="shared" ca="1" si="93"/>
        <v>0</v>
      </c>
      <c r="AO307" s="444">
        <f t="shared" ca="1" si="93"/>
        <v>0</v>
      </c>
      <c r="AP307" s="444">
        <f t="shared" ca="1" si="93"/>
        <v>0</v>
      </c>
      <c r="AQ307" s="444">
        <f t="shared" ca="1" si="93"/>
        <v>0</v>
      </c>
      <c r="AR307" s="444">
        <f t="shared" ca="1" si="93"/>
        <v>0</v>
      </c>
      <c r="AS307" s="444">
        <f t="shared" ca="1" si="93"/>
        <v>0</v>
      </c>
      <c r="AT307" s="444">
        <f ca="1">IF(god=2026,AT306/12*9,AT306/2)</f>
        <v>0</v>
      </c>
      <c r="AU307" s="776">
        <f ca="1">IF(god=2025,AU306/12*9,AU306/2)</f>
        <v>0</v>
      </c>
      <c r="AV307" s="776">
        <f t="shared" ref="AV307:BC307" ca="1" si="94">AV306/2</f>
        <v>0</v>
      </c>
      <c r="AW307" s="444">
        <f t="shared" ca="1" si="94"/>
        <v>0</v>
      </c>
      <c r="AX307" s="444">
        <f t="shared" ca="1" si="94"/>
        <v>0</v>
      </c>
      <c r="AY307" s="444">
        <f t="shared" ca="1" si="94"/>
        <v>0</v>
      </c>
      <c r="AZ307" s="444">
        <f t="shared" ca="1" si="94"/>
        <v>0</v>
      </c>
      <c r="BA307" s="444">
        <f t="shared" ca="1" si="94"/>
        <v>0</v>
      </c>
      <c r="BB307" s="444">
        <f t="shared" ca="1" si="94"/>
        <v>0</v>
      </c>
      <c r="BC307" s="444">
        <f t="shared" ca="1" si="94"/>
        <v>0</v>
      </c>
      <c r="BD307" s="542"/>
      <c r="BE307" s="542"/>
      <c r="BF307" s="542"/>
      <c r="BG307" s="542"/>
      <c r="BH307" s="542"/>
      <c r="BI307" s="542"/>
      <c r="BJ307" s="542"/>
      <c r="BK307" s="542"/>
      <c r="BL307" s="542"/>
      <c r="BM307" s="542"/>
      <c r="BN307" s="196"/>
      <c r="BO307" s="196"/>
      <c r="BP307" s="196"/>
      <c r="BS307" s="694" t="s">
        <v>1923</v>
      </c>
    </row>
    <row r="308" spans="1:75" ht="14.25" customHeight="1" x14ac:dyDescent="0.25">
      <c r="C308" s="25"/>
      <c r="D308" s="25" cm="1">
        <f t="array" ref="D308">D307</f>
        <v>13</v>
      </c>
      <c r="E308" s="451">
        <v>15</v>
      </c>
      <c r="F308" s="3" t="str" cm="1">
        <f t="array" aca="1" ref="F308" ca="1">OFFSET(E308,-1,1)</f>
        <v>1</v>
      </c>
      <c r="G308" s="25" t="s">
        <v>1656</v>
      </c>
      <c r="H308" s="25"/>
      <c r="I308" s="25" t="s">
        <v>2222</v>
      </c>
      <c r="J308" s="25"/>
      <c r="K308" s="72" t="s">
        <v>2222</v>
      </c>
      <c r="L308" s="25" t="s">
        <v>1924</v>
      </c>
      <c r="M308" s="25"/>
      <c r="N308" s="25"/>
      <c r="O308" s="25"/>
      <c r="P308" s="25"/>
      <c r="Q308" s="25"/>
      <c r="R308" s="25"/>
      <c r="S308" s="25"/>
      <c r="T308" s="353" t="b" cm="1">
        <f t="array" aca="1" ref="T308" ca="1">T307</f>
        <v>1</v>
      </c>
      <c r="U308" s="25"/>
      <c r="V308" s="25"/>
      <c r="W308" s="25"/>
      <c r="X308" s="1022"/>
      <c r="Z308" s="967"/>
      <c r="AB308" s="7" t="str">
        <f>D308&amp;".2"</f>
        <v>13.2</v>
      </c>
      <c r="AC308" s="127" t="s">
        <v>1926</v>
      </c>
      <c r="AD308" s="7" t="s">
        <v>1644</v>
      </c>
      <c r="AE308" s="128">
        <f ca="1">IF(AE306=0,0,AE300*(1+Сценарии!AE$26))</f>
        <v>0</v>
      </c>
      <c r="AF308" s="128">
        <f ca="1">IF(AF306=0,0,AF300*(1+Сценарии!AF$26))</f>
        <v>0</v>
      </c>
      <c r="AG308" s="128">
        <f ca="1">IF(AG306=0,0,AG300*(1+Сценарии!AG$26))</f>
        <v>0</v>
      </c>
      <c r="AH308" s="171">
        <f t="shared" ca="1" si="92"/>
        <v>0</v>
      </c>
      <c r="AI308" s="128">
        <f ca="1">IF(AI306=0,0,AI300*(1+Сценарии!AI$26))</f>
        <v>0</v>
      </c>
      <c r="AJ308" s="128">
        <f ca="1">IF(AJ306=0,0,AJ300*(1+Сценарии!AJ$26))</f>
        <v>0</v>
      </c>
      <c r="AK308" s="778">
        <f ca="1">IF(AK306=0,0,AK300*(1+Сценарии!AO$26))</f>
        <v>0</v>
      </c>
      <c r="AL308" s="77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78">
        <f ca="1">IF(AU306=0,0,AU300*(1+Сценарии!AX$26))</f>
        <v>0</v>
      </c>
      <c r="AV308" s="77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2"/>
      <c r="BE308" s="542"/>
      <c r="BF308" s="542"/>
      <c r="BG308" s="542"/>
      <c r="BH308" s="542"/>
      <c r="BI308" s="542"/>
      <c r="BJ308" s="542"/>
      <c r="BK308" s="542"/>
      <c r="BL308" s="542"/>
      <c r="BM308" s="542"/>
      <c r="BN308" s="196"/>
      <c r="BO308" s="196"/>
      <c r="BP308" s="196"/>
      <c r="BS308" s="694" t="s">
        <v>1927</v>
      </c>
    </row>
    <row r="309" spans="1:75" ht="14.25" customHeight="1" x14ac:dyDescent="0.25">
      <c r="C309" s="25"/>
      <c r="D309" s="25" cm="1">
        <f t="array" ref="D309">D308</f>
        <v>13</v>
      </c>
      <c r="E309" s="451">
        <v>15</v>
      </c>
      <c r="F309" s="3" t="str" cm="1">
        <f t="array" aca="1" ref="F309" ca="1">OFFSET(E309,-1,1)</f>
        <v>1</v>
      </c>
      <c r="G309" s="25" t="s">
        <v>1707</v>
      </c>
      <c r="H309" s="25"/>
      <c r="I309" s="25" t="s">
        <v>2223</v>
      </c>
      <c r="J309" s="25"/>
      <c r="K309" s="25" t="s">
        <v>2223</v>
      </c>
      <c r="L309" s="25" t="s">
        <v>1928</v>
      </c>
      <c r="M309" s="25"/>
      <c r="N309" s="25"/>
      <c r="O309" s="25"/>
      <c r="P309" s="25"/>
      <c r="Q309" s="25"/>
      <c r="R309" s="25"/>
      <c r="S309" s="25"/>
      <c r="T309" s="353" t="b" cm="1">
        <f t="array" aca="1" ref="T309" ca="1">T308</f>
        <v>1</v>
      </c>
      <c r="U309" s="25"/>
      <c r="V309" s="25"/>
      <c r="W309" s="25"/>
      <c r="X309" s="1022"/>
      <c r="Z309" s="967"/>
      <c r="AB309" s="7" t="str">
        <f>D309&amp;".3"</f>
        <v>13.3</v>
      </c>
      <c r="AC309" s="127" t="s">
        <v>1898</v>
      </c>
      <c r="AD309" s="7" t="s">
        <v>558</v>
      </c>
      <c r="AE309" s="558">
        <f ca="1">AE306-AE307</f>
        <v>0</v>
      </c>
      <c r="AF309" s="558">
        <f ca="1">AF306-AF307</f>
        <v>0</v>
      </c>
      <c r="AG309" s="558">
        <f ca="1">AG306-AG307</f>
        <v>0</v>
      </c>
      <c r="AH309" s="558">
        <f t="shared" ca="1" si="92"/>
        <v>0</v>
      </c>
      <c r="AI309" s="558">
        <f t="shared" ref="AI309:BC309" ca="1" si="95">AI306-AI307</f>
        <v>0</v>
      </c>
      <c r="AJ309" s="558">
        <f t="shared" ca="1" si="95"/>
        <v>0</v>
      </c>
      <c r="AK309" s="558">
        <f t="shared" ca="1" si="95"/>
        <v>0</v>
      </c>
      <c r="AL309" s="558">
        <f t="shared" ca="1" si="95"/>
        <v>0</v>
      </c>
      <c r="AM309" s="558">
        <f t="shared" ca="1" si="95"/>
        <v>0</v>
      </c>
      <c r="AN309" s="558">
        <f t="shared" ca="1" si="95"/>
        <v>0</v>
      </c>
      <c r="AO309" s="558">
        <f t="shared" ca="1" si="95"/>
        <v>0</v>
      </c>
      <c r="AP309" s="558">
        <f t="shared" ca="1" si="95"/>
        <v>0</v>
      </c>
      <c r="AQ309" s="558">
        <f t="shared" ca="1" si="95"/>
        <v>0</v>
      </c>
      <c r="AR309" s="558">
        <f t="shared" ca="1" si="95"/>
        <v>0</v>
      </c>
      <c r="AS309" s="558">
        <f t="shared" ca="1" si="95"/>
        <v>0</v>
      </c>
      <c r="AT309" s="558">
        <f t="shared" ca="1" si="95"/>
        <v>0</v>
      </c>
      <c r="AU309" s="558">
        <f t="shared" ca="1" si="95"/>
        <v>0</v>
      </c>
      <c r="AV309" s="558">
        <f t="shared" ca="1" si="95"/>
        <v>0</v>
      </c>
      <c r="AW309" s="558">
        <f t="shared" ca="1" si="95"/>
        <v>0</v>
      </c>
      <c r="AX309" s="558">
        <f t="shared" ca="1" si="95"/>
        <v>0</v>
      </c>
      <c r="AY309" s="558">
        <f t="shared" ca="1" si="95"/>
        <v>0</v>
      </c>
      <c r="AZ309" s="558">
        <f t="shared" ca="1" si="95"/>
        <v>0</v>
      </c>
      <c r="BA309" s="558">
        <f t="shared" ca="1" si="95"/>
        <v>0</v>
      </c>
      <c r="BB309" s="558">
        <f t="shared" ca="1" si="95"/>
        <v>0</v>
      </c>
      <c r="BC309" s="558">
        <f t="shared" ca="1" si="95"/>
        <v>0</v>
      </c>
      <c r="BD309" s="542"/>
      <c r="BE309" s="542"/>
      <c r="BF309" s="542"/>
      <c r="BG309" s="542"/>
      <c r="BH309" s="542"/>
      <c r="BI309" s="542"/>
      <c r="BJ309" s="542"/>
      <c r="BK309" s="542"/>
      <c r="BL309" s="542"/>
      <c r="BM309" s="542"/>
      <c r="BN309" s="196"/>
      <c r="BO309" s="196"/>
      <c r="BP309" s="196"/>
      <c r="BS309" s="694" t="s">
        <v>1930</v>
      </c>
    </row>
    <row r="310" spans="1:75" ht="14.25" customHeight="1" x14ac:dyDescent="0.25">
      <c r="C310" s="25"/>
      <c r="D310" s="25" cm="1">
        <f t="array" ref="D310">D309</f>
        <v>13</v>
      </c>
      <c r="E310" s="451">
        <v>15</v>
      </c>
      <c r="F310" s="3" t="str" cm="1">
        <f t="array" aca="1" ref="F310" ca="1">OFFSET(E310,-1,1)</f>
        <v>1</v>
      </c>
      <c r="G310" s="25" t="s">
        <v>1660</v>
      </c>
      <c r="H310" s="25"/>
      <c r="I310" s="25" t="s">
        <v>2224</v>
      </c>
      <c r="J310" s="25"/>
      <c r="K310" s="25" t="s">
        <v>2224</v>
      </c>
      <c r="L310" s="25" t="s">
        <v>1931</v>
      </c>
      <c r="M310" s="25"/>
      <c r="N310" s="25"/>
      <c r="O310" s="25"/>
      <c r="P310" s="25"/>
      <c r="Q310" s="25"/>
      <c r="R310" s="25"/>
      <c r="S310" s="25"/>
      <c r="T310" s="353" t="b" cm="1">
        <f t="array" aca="1" ref="T310" ca="1">T309</f>
        <v>1</v>
      </c>
      <c r="U310" s="25"/>
      <c r="V310" s="25"/>
      <c r="W310" s="25"/>
      <c r="X310" s="1022"/>
      <c r="Z310" s="967"/>
      <c r="AB310" s="7" t="str">
        <f>D310&amp;".4"</f>
        <v>13.4</v>
      </c>
      <c r="AC310" s="127" t="s">
        <v>1902</v>
      </c>
      <c r="AD310" s="7" t="s">
        <v>1644</v>
      </c>
      <c r="AE310" s="128">
        <f ca="1">IF(AE306=0,0,AE302*(1+Сценарии!AE$26))</f>
        <v>0</v>
      </c>
      <c r="AF310" s="128">
        <f ca="1">IF(AF306=0,0,AF302*(1+Сценарии!AF$26))</f>
        <v>0</v>
      </c>
      <c r="AG310" s="128">
        <f ca="1">IF(AG306=0,0,AG302*(1+Сценарии!AG$26))</f>
        <v>0</v>
      </c>
      <c r="AH310" s="171">
        <f t="shared" ca="1" si="92"/>
        <v>0</v>
      </c>
      <c r="AI310" s="128">
        <f ca="1">IF(AI306=0,0,AI302*(1+Сценарии!AI$26))</f>
        <v>0</v>
      </c>
      <c r="AJ310" s="128">
        <f ca="1">IF(AJ306=0,0,AJ302*(1+Сценарии!AJ$26))</f>
        <v>0</v>
      </c>
      <c r="AK310" s="778">
        <f ca="1">IF(AK306=0,0,AK302*(1+Сценарии!AO$26))</f>
        <v>0</v>
      </c>
      <c r="AL310" s="77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0</v>
      </c>
      <c r="AU310" s="778">
        <f ca="1">IF(AU306=0,0,AU302*(1+Сценарии!AX$26))</f>
        <v>0</v>
      </c>
      <c r="AV310" s="77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2"/>
      <c r="BE310" s="542"/>
      <c r="BF310" s="542"/>
      <c r="BG310" s="542"/>
      <c r="BH310" s="542"/>
      <c r="BI310" s="542"/>
      <c r="BJ310" s="542"/>
      <c r="BK310" s="542"/>
      <c r="BL310" s="542"/>
      <c r="BM310" s="542"/>
      <c r="BN310" s="196"/>
      <c r="BO310" s="196"/>
      <c r="BP310" s="196"/>
      <c r="BS310" s="694" t="s">
        <v>1934</v>
      </c>
    </row>
    <row r="311" spans="1:75" ht="14.25" customHeight="1" x14ac:dyDescent="0.2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22"/>
      <c r="Z311" s="967"/>
      <c r="AB311" s="124" cm="1">
        <f t="array" ref="AB311">D311</f>
        <v>14</v>
      </c>
      <c r="AC311" s="125" t="s">
        <v>1936</v>
      </c>
      <c r="AD311" s="124" t="s">
        <v>828</v>
      </c>
      <c r="AE311" s="128"/>
      <c r="AF311" s="128"/>
      <c r="AG311" s="128"/>
      <c r="AH311" s="171">
        <f t="shared" si="92"/>
        <v>0</v>
      </c>
      <c r="AI311" s="128"/>
      <c r="AJ311" s="128"/>
      <c r="AK311" s="778"/>
      <c r="AL311" s="778"/>
      <c r="AM311" s="128"/>
      <c r="AN311" s="128"/>
      <c r="AO311" s="128"/>
      <c r="AP311" s="128"/>
      <c r="AQ311" s="128"/>
      <c r="AR311" s="128"/>
      <c r="AS311" s="128"/>
      <c r="AT311" s="128"/>
      <c r="AU311" s="778"/>
      <c r="AV311" s="778"/>
      <c r="AW311" s="128"/>
      <c r="AX311" s="128"/>
      <c r="AY311" s="128"/>
      <c r="AZ311" s="128"/>
      <c r="BA311" s="128"/>
      <c r="BB311" s="128"/>
      <c r="BC311" s="128"/>
      <c r="BD311" s="542"/>
      <c r="BE311" s="542"/>
      <c r="BF311" s="542"/>
      <c r="BG311" s="542"/>
      <c r="BH311" s="542"/>
      <c r="BI311" s="542"/>
      <c r="BJ311" s="542"/>
      <c r="BK311" s="542"/>
      <c r="BL311" s="542"/>
      <c r="BM311" s="542"/>
      <c r="BN311" s="196"/>
      <c r="BO311" s="196"/>
      <c r="BP311" s="196"/>
      <c r="BS311" s="694" t="s">
        <v>1937</v>
      </c>
    </row>
    <row r="312" spans="1:75" s="376" customFormat="1" ht="20.25" customHeight="1" x14ac:dyDescent="0.25">
      <c r="B312" s="537"/>
      <c r="C312" s="25"/>
      <c r="D312" s="25" cm="1">
        <f t="array" ref="D312">D311</f>
        <v>14</v>
      </c>
      <c r="E312" s="451">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22"/>
      <c r="Z312" s="967"/>
      <c r="AB312" s="7" t="str">
        <f>D312&amp;".1"</f>
        <v>14.1</v>
      </c>
      <c r="AC312" s="127" t="s">
        <v>1939</v>
      </c>
      <c r="AD312" s="7" t="s">
        <v>828</v>
      </c>
      <c r="AE312" s="128"/>
      <c r="AF312" s="128"/>
      <c r="AG312" s="128"/>
      <c r="AH312" s="171">
        <f t="shared" si="92"/>
        <v>0</v>
      </c>
      <c r="AI312" s="128"/>
      <c r="AJ312" s="128"/>
      <c r="AK312" s="778"/>
      <c r="AL312" s="778"/>
      <c r="AM312" s="128"/>
      <c r="AN312" s="128"/>
      <c r="AO312" s="128"/>
      <c r="AP312" s="128"/>
      <c r="AQ312" s="128"/>
      <c r="AR312" s="128"/>
      <c r="AS312" s="128"/>
      <c r="AT312" s="128"/>
      <c r="AU312" s="778"/>
      <c r="AV312" s="778"/>
      <c r="AW312" s="128"/>
      <c r="AX312" s="128"/>
      <c r="AY312" s="128"/>
      <c r="AZ312" s="128"/>
      <c r="BA312" s="128"/>
      <c r="BB312" s="128"/>
      <c r="BC312" s="128"/>
      <c r="BD312" s="542"/>
      <c r="BE312" s="542"/>
      <c r="BF312" s="542"/>
      <c r="BG312" s="542"/>
      <c r="BH312" s="542"/>
      <c r="BI312" s="542"/>
      <c r="BJ312" s="542"/>
      <c r="BK312" s="542"/>
      <c r="BL312" s="542"/>
      <c r="BM312" s="542"/>
      <c r="BN312" s="196"/>
      <c r="BO312" s="196"/>
      <c r="BP312" s="196"/>
      <c r="BS312" s="694" t="s">
        <v>1940</v>
      </c>
      <c r="BT312" s="703"/>
      <c r="BU312" s="703"/>
      <c r="BV312" s="704"/>
      <c r="BW312" s="704"/>
    </row>
    <row r="313" spans="1:75" s="376" customFormat="1" ht="64.5" customHeight="1" x14ac:dyDescent="0.25">
      <c r="B313" s="537"/>
      <c r="C313" s="25"/>
      <c r="D313" s="25" cm="1">
        <f t="array" ref="D313">D312</f>
        <v>14</v>
      </c>
      <c r="E313" s="451">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22"/>
      <c r="Z313" s="967"/>
      <c r="AB313" s="7" t="str">
        <f>D313&amp;".2"</f>
        <v>14.2</v>
      </c>
      <c r="AC313" s="127" t="s">
        <v>1942</v>
      </c>
      <c r="AD313" s="7" t="s">
        <v>828</v>
      </c>
      <c r="AE313" s="128"/>
      <c r="AF313" s="128"/>
      <c r="AG313" s="128"/>
      <c r="AH313" s="171">
        <f t="shared" si="92"/>
        <v>0</v>
      </c>
      <c r="AI313" s="128"/>
      <c r="AJ313" s="128"/>
      <c r="AK313" s="778"/>
      <c r="AL313" s="778"/>
      <c r="AM313" s="128"/>
      <c r="AN313" s="128"/>
      <c r="AO313" s="128"/>
      <c r="AP313" s="128"/>
      <c r="AQ313" s="128"/>
      <c r="AR313" s="128"/>
      <c r="AS313" s="128"/>
      <c r="AT313" s="128"/>
      <c r="AU313" s="778"/>
      <c r="AV313" s="778"/>
      <c r="AW313" s="128"/>
      <c r="AX313" s="128"/>
      <c r="AY313" s="128"/>
      <c r="AZ313" s="128"/>
      <c r="BA313" s="128"/>
      <c r="BB313" s="128"/>
      <c r="BC313" s="128"/>
      <c r="BD313" s="542"/>
      <c r="BE313" s="542"/>
      <c r="BF313" s="542"/>
      <c r="BG313" s="542"/>
      <c r="BH313" s="542"/>
      <c r="BI313" s="542"/>
      <c r="BJ313" s="542"/>
      <c r="BK313" s="542"/>
      <c r="BL313" s="542"/>
      <c r="BM313" s="542"/>
      <c r="BN313" s="196"/>
      <c r="BO313" s="196"/>
      <c r="BP313" s="196"/>
      <c r="BS313" s="694" t="s">
        <v>1943</v>
      </c>
      <c r="BT313" s="703"/>
      <c r="BU313" s="703"/>
      <c r="BV313" s="704"/>
      <c r="BW313" s="704"/>
    </row>
    <row r="314" spans="1:75" s="376" customFormat="1" ht="44.25" customHeight="1" x14ac:dyDescent="0.15">
      <c r="B314" s="537"/>
      <c r="C314" s="25"/>
      <c r="D314" s="25" cm="1">
        <f t="array" ref="D314">D313</f>
        <v>14</v>
      </c>
      <c r="E314" s="451">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22"/>
      <c r="Z314" s="967"/>
      <c r="AB314" s="7" t="str">
        <f>D314&amp;".3"</f>
        <v>14.3</v>
      </c>
      <c r="AC314" s="127" t="s">
        <v>2225</v>
      </c>
      <c r="AD314" s="7" t="s">
        <v>828</v>
      </c>
      <c r="AE314" s="542"/>
      <c r="AF314" s="128"/>
      <c r="AG314" s="128"/>
      <c r="AH314" s="171">
        <f t="shared" si="92"/>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6"/>
      <c r="BO314" s="196"/>
      <c r="BP314" s="196"/>
      <c r="BS314" s="703" t="s">
        <v>2226</v>
      </c>
      <c r="BT314" s="703"/>
      <c r="BU314" s="703"/>
      <c r="BV314" s="704"/>
      <c r="BW314" s="704"/>
    </row>
    <row r="315" spans="1:75" s="396" customFormat="1" ht="14.25" customHeight="1" x14ac:dyDescent="0.15">
      <c r="A315" s="38"/>
      <c r="B315" s="43"/>
      <c r="C315" s="22"/>
      <c r="D315" s="22"/>
      <c r="E315" s="449">
        <v>15</v>
      </c>
      <c r="F315" s="59" t="str" cm="1">
        <f t="array" ref="F315">X315</f>
        <v>2</v>
      </c>
      <c r="G315" s="59" t="str" cm="1">
        <f t="array" ref="G315">INDEX('Общие сведения'!$AK$179:$AK$236,MATCH($X315,'Общие сведения'!$Z$179:$Z$236,0))</f>
        <v>одноставочный</v>
      </c>
      <c r="H315" s="22"/>
      <c r="I315" s="59"/>
      <c r="J315" s="22"/>
      <c r="K315" s="22"/>
      <c r="L315" s="22"/>
      <c r="M315" s="22"/>
      <c r="N315" s="22"/>
      <c r="O315" s="22"/>
      <c r="P315" s="22"/>
      <c r="Q315" s="22"/>
      <c r="R315" s="22"/>
      <c r="S315" s="22" t="str" cm="1">
        <f t="array" ref="S315">INDEX('Общие сведения'!$AE$179:$AE$236,MATCH($X315,'Общие сведения'!$Z$179:$Z$236,0))</f>
        <v>Водоотведение</v>
      </c>
      <c r="T315" s="353" t="b">
        <f>X315&gt;0</f>
        <v>1</v>
      </c>
      <c r="U315" s="22"/>
      <c r="V315" s="22" t="str" cm="1">
        <f t="array" ref="V315">'Калькуляция (МЭОР)'!$AB$197</f>
        <v>Тариф 2 (Водоотведение) - тариф на водоотведение</v>
      </c>
      <c r="W315" s="22"/>
      <c r="X315" s="1022" t="s">
        <v>285</v>
      </c>
      <c r="Y315" s="38"/>
      <c r="Z315" s="967"/>
      <c r="AA315" s="38"/>
      <c r="AB315" s="280" t="str" cm="1">
        <f t="array" ref="AB315">'Калькуляция (МЭОР)'!$AB$197</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6"/>
      <c r="BT315" s="656"/>
      <c r="BU315" s="656"/>
      <c r="BV315" s="448"/>
      <c r="BW315" s="448"/>
    </row>
    <row r="316" spans="1:75" s="869" customFormat="1" ht="233.25" customHeight="1" x14ac:dyDescent="0.15">
      <c r="A316" s="75"/>
      <c r="B316" s="331"/>
      <c r="C316" s="575"/>
      <c r="D316" s="575"/>
      <c r="E316" s="576">
        <v>21</v>
      </c>
      <c r="F316" s="3" t="str" cm="1">
        <f t="array" aca="1" ref="F316" ca="1">OFFSET(E316,-1,1)</f>
        <v>2</v>
      </c>
      <c r="G316" s="575"/>
      <c r="H316" s="30"/>
      <c r="I316" s="30" t="s">
        <v>331</v>
      </c>
      <c r="J316" s="575"/>
      <c r="K316" s="276" t="s">
        <v>331</v>
      </c>
      <c r="L316" s="575"/>
      <c r="M316" s="575"/>
      <c r="N316" s="575"/>
      <c r="O316" s="575"/>
      <c r="P316" s="575"/>
      <c r="Q316" s="575"/>
      <c r="R316" s="575"/>
      <c r="S316" s="575"/>
      <c r="T316" s="353" t="b" cm="1">
        <f t="array" ref="T316">T315</f>
        <v>1</v>
      </c>
      <c r="U316" s="575"/>
      <c r="V316" s="575"/>
      <c r="W316" s="575"/>
      <c r="X316" s="1022"/>
      <c r="Y316" s="75"/>
      <c r="Z316" s="967"/>
      <c r="AA316" s="75"/>
      <c r="AB316" s="147" t="s">
        <v>275</v>
      </c>
      <c r="AC316" s="125" t="s">
        <v>1950</v>
      </c>
      <c r="AD316" s="147" t="s">
        <v>828</v>
      </c>
      <c r="AE316" s="126">
        <f ca="1">SUM(AE318,AE335,AE341,AE361,AE362,AE363)</f>
        <v>6554.6978840648999</v>
      </c>
      <c r="AF316" s="126">
        <f ca="1">SUM(AF318,AF335,AF341,AF361,AF362,AF363)</f>
        <v>15102.718084366499</v>
      </c>
      <c r="AG316" s="126">
        <f ca="1">SUM(AG318,AG335,AG341,AG361,AG362,AG363)</f>
        <v>6554.6978840648999</v>
      </c>
      <c r="AH316" s="126">
        <f t="shared" ref="AH316:AH347" ca="1" si="96">AG316-AF316</f>
        <v>-8548.0202003015984</v>
      </c>
      <c r="AI316" s="126">
        <f ca="1">SUM(AI318,AI335,AI341,AI361,AI362,AI363)</f>
        <v>0</v>
      </c>
      <c r="AJ316" s="126">
        <f ca="1">SUM(AJ318,AJ335,AJ341,AJ361,AJ362,AJ363)</f>
        <v>0</v>
      </c>
      <c r="AK316" s="774">
        <f t="shared" ref="AK316:AS316" ca="1" si="97">AJ316*AK317</f>
        <v>0</v>
      </c>
      <c r="AL316" s="774">
        <f t="shared" ca="1" si="97"/>
        <v>0</v>
      </c>
      <c r="AM316" s="138">
        <f t="shared" ca="1" si="97"/>
        <v>0</v>
      </c>
      <c r="AN316" s="138">
        <f t="shared" ca="1" si="97"/>
        <v>0</v>
      </c>
      <c r="AO316" s="138">
        <f t="shared" ca="1" si="97"/>
        <v>0</v>
      </c>
      <c r="AP316" s="138">
        <f t="shared" ca="1" si="97"/>
        <v>0</v>
      </c>
      <c r="AQ316" s="138">
        <f t="shared" ca="1" si="97"/>
        <v>0</v>
      </c>
      <c r="AR316" s="138">
        <f t="shared" ca="1" si="97"/>
        <v>0</v>
      </c>
      <c r="AS316" s="138">
        <f t="shared" ca="1" si="97"/>
        <v>0</v>
      </c>
      <c r="AT316" s="126">
        <f ca="1">SUM(AT318,AT335,AT341,AT361,AT362,AT363)</f>
        <v>0</v>
      </c>
      <c r="AU316" s="774">
        <f t="shared" ref="AU316:BC316" ca="1" si="98">AT316*AU317</f>
        <v>0</v>
      </c>
      <c r="AV316" s="774">
        <f t="shared" ca="1" si="98"/>
        <v>0</v>
      </c>
      <c r="AW316" s="138">
        <f t="shared" ca="1" si="98"/>
        <v>0</v>
      </c>
      <c r="AX316" s="138">
        <f t="shared" ca="1" si="98"/>
        <v>0</v>
      </c>
      <c r="AY316" s="138">
        <f t="shared" ca="1" si="98"/>
        <v>0</v>
      </c>
      <c r="AZ316" s="138">
        <f t="shared" ca="1" si="98"/>
        <v>0</v>
      </c>
      <c r="BA316" s="138">
        <f t="shared" ca="1" si="98"/>
        <v>0</v>
      </c>
      <c r="BB316" s="138">
        <f t="shared" ca="1" si="98"/>
        <v>0</v>
      </c>
      <c r="BC316" s="138">
        <f t="shared" ca="1" si="98"/>
        <v>0</v>
      </c>
      <c r="BD316" s="126">
        <f t="shared" ref="BD316:BD347" ca="1" si="99">IF(AI316=0,0,(AT316-AI316)/AI316*100)</f>
        <v>0</v>
      </c>
      <c r="BE316" s="126">
        <f t="shared" ref="BE316:BM316" ca="1" si="100">IF(AT316=0,0,(AU316-AT316)/AT316*100)</f>
        <v>0</v>
      </c>
      <c r="BF316" s="126">
        <f t="shared" ca="1" si="100"/>
        <v>0</v>
      </c>
      <c r="BG316" s="126">
        <f t="shared" ca="1" si="100"/>
        <v>0</v>
      </c>
      <c r="BH316" s="126">
        <f t="shared" ca="1" si="100"/>
        <v>0</v>
      </c>
      <c r="BI316" s="126">
        <f t="shared" ca="1" si="100"/>
        <v>0</v>
      </c>
      <c r="BJ316" s="126">
        <f t="shared" ca="1" si="100"/>
        <v>0</v>
      </c>
      <c r="BK316" s="126">
        <f t="shared" ca="1" si="100"/>
        <v>0</v>
      </c>
      <c r="BL316" s="126">
        <f t="shared" ca="1" si="100"/>
        <v>0</v>
      </c>
      <c r="BM316" s="126">
        <f t="shared" ca="1" si="100"/>
        <v>0</v>
      </c>
      <c r="BN316" s="196" t="s">
        <v>2269</v>
      </c>
      <c r="BO316" s="196" t="s">
        <v>2228</v>
      </c>
      <c r="BP316" s="196" t="s">
        <v>2229</v>
      </c>
      <c r="BQ316" s="74"/>
      <c r="BR316" s="75"/>
      <c r="BS316" s="700" t="s">
        <v>550</v>
      </c>
      <c r="BT316" s="700"/>
      <c r="BU316" s="700"/>
      <c r="BV316" s="509"/>
      <c r="BW316" s="509"/>
    </row>
    <row r="317" spans="1:75" ht="14.65" customHeight="1" x14ac:dyDescent="0.15">
      <c r="C317" s="25"/>
      <c r="D317" s="25"/>
      <c r="E317" s="451">
        <v>15</v>
      </c>
      <c r="F317" s="3" t="str" cm="1">
        <f t="array" aca="1" ref="F317" ca="1">OFFSET(E317,-1,1)</f>
        <v>2</v>
      </c>
      <c r="G317" s="25"/>
      <c r="H317" s="577"/>
      <c r="I317" s="577" t="s">
        <v>482</v>
      </c>
      <c r="J317" s="25"/>
      <c r="K317" s="277" t="s">
        <v>482</v>
      </c>
      <c r="L317" s="25"/>
      <c r="M317" s="25"/>
      <c r="N317" s="25"/>
      <c r="O317" s="25"/>
      <c r="P317" s="25"/>
      <c r="Q317" s="25"/>
      <c r="R317" s="25"/>
      <c r="S317" s="25"/>
      <c r="T317" s="353" t="b" cm="1">
        <f t="array" ref="T317">T316</f>
        <v>1</v>
      </c>
      <c r="U317" s="25"/>
      <c r="V317" s="25"/>
      <c r="W317" s="25"/>
      <c r="X317" s="1022"/>
      <c r="Z317" s="967"/>
      <c r="AB317" s="7" t="s">
        <v>939</v>
      </c>
      <c r="AC317" s="127" t="s">
        <v>1951</v>
      </c>
      <c r="AD317" s="7"/>
      <c r="AE317" s="444"/>
      <c r="AF317" s="444"/>
      <c r="AG317" s="444"/>
      <c r="AH317" s="558">
        <f t="shared" si="96"/>
        <v>0</v>
      </c>
      <c r="AI317" s="444">
        <v>1.0315803026999999</v>
      </c>
      <c r="AJ317" s="444">
        <v>2.5833078922000001</v>
      </c>
      <c r="AK317" s="776">
        <f ca="1">SUMIFS(INDEX(Сценарии!$AE$25:$BF$136,,MATCH(AK$8,Сценарии!$AE$8:$BF$8,0)),Сценарии!$F$25:$F$136,$F317,Сценарии!$G$25:$G$136,"ИОР")</f>
        <v>1</v>
      </c>
      <c r="AL317" s="776">
        <f ca="1">SUMIFS(INDEX(Сценарии!$AE$25:$BF$136,,MATCH(AL$8,Сценарии!$AE$8:$BF$8,0)),Сценарии!$F$25:$F$136,$F317,Сценарии!$G$25:$G$136,"ИОР")</f>
        <v>1</v>
      </c>
      <c r="AM317" s="444">
        <f ca="1">SUMIFS(INDEX(Сценарии!$AE$25:$BF$136,,MATCH(AM$8,Сценарии!$AE$8:$BF$8,0)),Сценарии!$F$25:$F$136,$F317,Сценарии!$G$25:$G$136,"ИОР")</f>
        <v>1</v>
      </c>
      <c r="AN317" s="444">
        <f ca="1">SUMIFS(INDEX(Сценарии!$AE$25:$BF$136,,MATCH(AN$8,Сценарии!$AE$8:$BF$8,0)),Сценарии!$F$25:$F$136,$F317,Сценарии!$G$25:$G$136,"ИОР")</f>
        <v>1</v>
      </c>
      <c r="AO317" s="444">
        <f ca="1">SUMIFS(INDEX(Сценарии!$AE$25:$BF$136,,MATCH(AO$8,Сценарии!$AE$8:$BF$8,0)),Сценарии!$F$25:$F$136,$F317,Сценарии!$G$25:$G$136,"ИОР")</f>
        <v>1</v>
      </c>
      <c r="AP317" s="444">
        <f ca="1">SUMIFS(INDEX(Сценарии!$AE$25:$BF$136,,MATCH(AP$8,Сценарии!$AE$8:$BF$8,0)),Сценарии!$F$25:$F$136,$F317,Сценарии!$G$25:$G$136,"ИОР")</f>
        <v>1</v>
      </c>
      <c r="AQ317" s="444">
        <f ca="1">SUMIFS(INDEX(Сценарии!$AE$25:$BF$136,,MATCH(AQ$8,Сценарии!$AE$8:$BF$8,0)),Сценарии!$F$25:$F$136,$F317,Сценарии!$G$25:$G$136,"ИОР")</f>
        <v>1</v>
      </c>
      <c r="AR317" s="444">
        <f ca="1">SUMIFS(INDEX(Сценарии!$AE$25:$BF$136,,MATCH(AR$8,Сценарии!$AE$8:$BF$8,0)),Сценарии!$F$25:$F$136,$F317,Сценарии!$G$25:$G$136,"ИОР")</f>
        <v>1</v>
      </c>
      <c r="AS317" s="444">
        <f ca="1">SUMIFS(INDEX(Сценарии!$AE$25:$BF$136,,MATCH(AS$8,Сценарии!$AE$8:$BF$8,0)),Сценарии!$F$25:$F$136,$F317,Сценарии!$G$25:$G$136,"ИОР")</f>
        <v>1</v>
      </c>
      <c r="AT317" s="444">
        <v>1.0815344571000001</v>
      </c>
      <c r="AU317" s="776">
        <f ca="1">SUMIFS(INDEX(Сценарии!$AE$25:$BF$136,,MATCH(AU$8,Сценарии!$AE$8:$BF$8,0)),Сценарии!$F$25:$F$136,$F317,Сценарии!$G$25:$G$136,"ИОР")</f>
        <v>1</v>
      </c>
      <c r="AV317" s="776">
        <f ca="1">SUMIFS(INDEX(Сценарии!$AE$25:$BF$136,,MATCH(AV$8,Сценарии!$AE$8:$BF$8,0)),Сценарии!$F$25:$F$136,$F317,Сценарии!$G$25:$G$136,"ИОР")</f>
        <v>1</v>
      </c>
      <c r="AW317" s="444">
        <f ca="1">SUMIFS(INDEX(Сценарии!$AE$25:$BF$136,,MATCH(AW$8,Сценарии!$AE$8:$BF$8,0)),Сценарии!$F$25:$F$136,$F317,Сценарии!$G$25:$G$136,"ИОР")</f>
        <v>1</v>
      </c>
      <c r="AX317" s="444">
        <f ca="1">SUMIFS(INDEX(Сценарии!$AE$25:$BF$136,,MATCH(AX$8,Сценарии!$AE$8:$BF$8,0)),Сценарии!$F$25:$F$136,$F317,Сценарии!$G$25:$G$136,"ИОР")</f>
        <v>1</v>
      </c>
      <c r="AY317" s="444">
        <f ca="1">SUMIFS(INDEX(Сценарии!$AE$25:$BF$136,,MATCH(AY$8,Сценарии!$AE$8:$BF$8,0)),Сценарии!$F$25:$F$136,$F317,Сценарии!$G$25:$G$136,"ИОР")</f>
        <v>1</v>
      </c>
      <c r="AZ317" s="444">
        <f ca="1">SUMIFS(INDEX(Сценарии!$AE$25:$BF$136,,MATCH(AZ$8,Сценарии!$AE$8:$BF$8,0)),Сценарии!$F$25:$F$136,$F317,Сценарии!$G$25:$G$136,"ИОР")</f>
        <v>1</v>
      </c>
      <c r="BA317" s="444">
        <f ca="1">SUMIFS(INDEX(Сценарии!$AE$25:$BF$136,,MATCH(BA$8,Сценарии!$AE$8:$BF$8,0)),Сценарии!$F$25:$F$136,$F317,Сценарии!$G$25:$G$136,"ИОР")</f>
        <v>1</v>
      </c>
      <c r="BB317" s="444">
        <f ca="1">SUMIFS(INDEX(Сценарии!$AE$25:$BF$136,,MATCH(BB$8,Сценарии!$AE$8:$BF$8,0)),Сценарии!$F$25:$F$136,$F317,Сценарии!$G$25:$G$136,"ИОР")</f>
        <v>1</v>
      </c>
      <c r="BC317" s="444">
        <f ca="1">SUMIFS(INDEX(Сценарии!$AE$25:$BF$136,,MATCH(BC$8,Сценарии!$AE$8:$BF$8,0)),Сценарии!$F$25:$F$136,$F317,Сценарии!$G$25:$G$136,"ИОР")</f>
        <v>1</v>
      </c>
      <c r="BD317" s="171">
        <f t="shared" si="99"/>
        <v>4.8424881969201037</v>
      </c>
      <c r="BE317" s="542"/>
      <c r="BF317" s="542"/>
      <c r="BG317" s="542"/>
      <c r="BH317" s="542"/>
      <c r="BI317" s="542"/>
      <c r="BJ317" s="542"/>
      <c r="BK317" s="542"/>
      <c r="BL317" s="542"/>
      <c r="BM317" s="542"/>
      <c r="BN317" s="196"/>
      <c r="BO317" s="196"/>
      <c r="BP317" s="196"/>
      <c r="BS317" s="696" t="s">
        <v>1952</v>
      </c>
    </row>
    <row r="318" spans="1:75" s="331" customFormat="1" ht="20.25" customHeight="1" x14ac:dyDescent="0.25">
      <c r="A318" s="74"/>
      <c r="C318" s="578"/>
      <c r="D318" s="578"/>
      <c r="E318" s="579">
        <v>21</v>
      </c>
      <c r="F318" s="3" t="str" cm="1">
        <f t="array" aca="1" ref="F318" ca="1">OFFSET(E318,-1,1)</f>
        <v>2</v>
      </c>
      <c r="G318" s="578"/>
      <c r="H318" s="30"/>
      <c r="I318" s="30" t="s">
        <v>486</v>
      </c>
      <c r="J318" s="578"/>
      <c r="K318" s="276" t="s">
        <v>486</v>
      </c>
      <c r="L318" s="578" t="s">
        <v>331</v>
      </c>
      <c r="M318" s="578"/>
      <c r="N318" s="578"/>
      <c r="O318" s="578"/>
      <c r="P318" s="578"/>
      <c r="Q318" s="578"/>
      <c r="R318" s="578"/>
      <c r="S318" s="578"/>
      <c r="T318" s="353" t="b" cm="1">
        <f t="array" ref="T318">T317</f>
        <v>1</v>
      </c>
      <c r="U318" s="578"/>
      <c r="V318" s="578"/>
      <c r="W318" s="578"/>
      <c r="X318" s="1022"/>
      <c r="Y318" s="74"/>
      <c r="Z318" s="967"/>
      <c r="AA318" s="74"/>
      <c r="AB318" s="147" t="s">
        <v>942</v>
      </c>
      <c r="AC318" s="263" t="s">
        <v>1738</v>
      </c>
      <c r="AD318" s="147" t="s">
        <v>828</v>
      </c>
      <c r="AE318" s="126">
        <f ca="1">SUM(AE319,AE322,AE323,AE326,AE327)</f>
        <v>2087.3442520661001</v>
      </c>
      <c r="AF318" s="126">
        <f ca="1">SUM(AF319,AF322,AF323,AF326,AF327)</f>
        <v>10033.128991362899</v>
      </c>
      <c r="AG318" s="126">
        <f ca="1">SUM(AG319,AG322,AG323,AG326,AG327)</f>
        <v>2087.3442520661001</v>
      </c>
      <c r="AH318" s="126">
        <f t="shared" ca="1" si="96"/>
        <v>-7945.7847392967988</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99"/>
        <v>0</v>
      </c>
      <c r="BE318" s="129"/>
      <c r="BF318" s="129"/>
      <c r="BG318" s="129"/>
      <c r="BH318" s="129"/>
      <c r="BI318" s="129"/>
      <c r="BJ318" s="129"/>
      <c r="BK318" s="129"/>
      <c r="BL318" s="129"/>
      <c r="BM318" s="129"/>
      <c r="BN318" s="556"/>
      <c r="BO318" s="556"/>
      <c r="BP318" s="556"/>
      <c r="BQ318" s="74"/>
      <c r="BR318" s="74"/>
      <c r="BS318" s="694" t="s">
        <v>538</v>
      </c>
      <c r="BT318" s="701"/>
      <c r="BU318" s="701"/>
      <c r="BV318" s="510"/>
      <c r="BW318" s="510"/>
    </row>
    <row r="319" spans="1:75" ht="159.75" customHeight="1" x14ac:dyDescent="0.25">
      <c r="C319" s="25"/>
      <c r="D319" s="25"/>
      <c r="E319" s="451">
        <v>15</v>
      </c>
      <c r="F319" s="3" t="str" cm="1">
        <f t="array" aca="1" ref="F319" ca="1">OFFSET(E319,-1,1)</f>
        <v>2</v>
      </c>
      <c r="G319" s="25"/>
      <c r="H319" s="577"/>
      <c r="I319" s="577" t="s">
        <v>1344</v>
      </c>
      <c r="J319" s="25"/>
      <c r="K319" s="277" t="s">
        <v>1344</v>
      </c>
      <c r="L319" s="25" t="s">
        <v>482</v>
      </c>
      <c r="M319" s="25"/>
      <c r="N319" s="25"/>
      <c r="O319" s="25"/>
      <c r="P319" s="25"/>
      <c r="Q319" s="25"/>
      <c r="R319" s="25"/>
      <c r="S319" s="25"/>
      <c r="T319" s="353" t="b" cm="1">
        <f t="array" ref="T319">T318</f>
        <v>1</v>
      </c>
      <c r="U319" s="25"/>
      <c r="V319" s="25"/>
      <c r="W319" s="25"/>
      <c r="X319" s="1022"/>
      <c r="Z319" s="967"/>
      <c r="AB319" s="7" t="s">
        <v>1345</v>
      </c>
      <c r="AC319" s="134" t="s">
        <v>1953</v>
      </c>
      <c r="AD319" s="9" t="s">
        <v>828</v>
      </c>
      <c r="AE319" s="171">
        <f>SUM(AE320,AE321)</f>
        <v>310.49478296820001</v>
      </c>
      <c r="AF319" s="171">
        <f>SUM(AF320,AF321)</f>
        <v>393.37501541530003</v>
      </c>
      <c r="AG319" s="171">
        <f>SUM(AG320,AG321)</f>
        <v>310.49478296820001</v>
      </c>
      <c r="AH319" s="171">
        <f t="shared" si="96"/>
        <v>-82.880232447100013</v>
      </c>
      <c r="AI319" s="171">
        <f>SUM(AI320,AI321)</f>
        <v>0</v>
      </c>
      <c r="AJ319" s="171">
        <f>SUM(AJ320,AJ321)</f>
        <v>0</v>
      </c>
      <c r="AK319" s="542"/>
      <c r="AL319" s="542"/>
      <c r="AM319" s="542"/>
      <c r="AN319" s="542"/>
      <c r="AO319" s="542"/>
      <c r="AP319" s="542"/>
      <c r="AQ319" s="542"/>
      <c r="AR319" s="542"/>
      <c r="AS319" s="542"/>
      <c r="AT319" s="171">
        <f>SUM(AT320,AT321)</f>
        <v>0</v>
      </c>
      <c r="AU319" s="542"/>
      <c r="AV319" s="542"/>
      <c r="AW319" s="542"/>
      <c r="AX319" s="542"/>
      <c r="AY319" s="542"/>
      <c r="AZ319" s="542"/>
      <c r="BA319" s="542"/>
      <c r="BB319" s="542"/>
      <c r="BC319" s="542"/>
      <c r="BD319" s="171">
        <f t="shared" si="99"/>
        <v>0</v>
      </c>
      <c r="BE319" s="542"/>
      <c r="BF319" s="542"/>
      <c r="BG319" s="542"/>
      <c r="BH319" s="542"/>
      <c r="BI319" s="542"/>
      <c r="BJ319" s="542"/>
      <c r="BK319" s="542"/>
      <c r="BL319" s="542"/>
      <c r="BM319" s="542"/>
      <c r="BN319" s="196" t="s">
        <v>2270</v>
      </c>
      <c r="BO319" s="196"/>
      <c r="BP319" s="196"/>
      <c r="BQ319" s="28"/>
      <c r="BS319" s="695" t="s">
        <v>1740</v>
      </c>
    </row>
    <row r="320" spans="1:75" ht="14.25" customHeight="1" x14ac:dyDescent="0.25">
      <c r="C320" s="25"/>
      <c r="D320" s="25"/>
      <c r="E320" s="451">
        <v>15</v>
      </c>
      <c r="F320" s="3" t="str" cm="1">
        <f t="array" aca="1" ref="F320" ca="1">OFFSET(E320,-1,1)</f>
        <v>2</v>
      </c>
      <c r="G320" s="25"/>
      <c r="H320" s="577"/>
      <c r="I320" s="577" t="s">
        <v>1954</v>
      </c>
      <c r="J320" s="25"/>
      <c r="K320" s="277" t="s">
        <v>1954</v>
      </c>
      <c r="L320" s="25" t="s">
        <v>1074</v>
      </c>
      <c r="M320" s="25"/>
      <c r="N320" s="25"/>
      <c r="O320" s="25"/>
      <c r="P320" s="25"/>
      <c r="Q320" s="25"/>
      <c r="R320" s="25"/>
      <c r="S320" s="25"/>
      <c r="T320" s="353" t="b" cm="1">
        <f t="array" ref="T320">T319</f>
        <v>1</v>
      </c>
      <c r="U320" s="25"/>
      <c r="V320" s="25"/>
      <c r="W320" s="25"/>
      <c r="X320" s="1022"/>
      <c r="Z320" s="967"/>
      <c r="AB320" s="7" t="s">
        <v>1955</v>
      </c>
      <c r="AC320" s="543" t="s">
        <v>1743</v>
      </c>
      <c r="AD320" s="9" t="s">
        <v>828</v>
      </c>
      <c r="AE320" s="128"/>
      <c r="AF320" s="128"/>
      <c r="AG320" s="128"/>
      <c r="AH320" s="171">
        <f t="shared" si="96"/>
        <v>0</v>
      </c>
      <c r="AI320" s="128"/>
      <c r="AJ320" s="128"/>
      <c r="AK320" s="542"/>
      <c r="AL320" s="542"/>
      <c r="AM320" s="542"/>
      <c r="AN320" s="542"/>
      <c r="AO320" s="542"/>
      <c r="AP320" s="542"/>
      <c r="AQ320" s="542"/>
      <c r="AR320" s="542"/>
      <c r="AS320" s="542"/>
      <c r="AT320" s="128"/>
      <c r="AU320" s="542"/>
      <c r="AV320" s="542"/>
      <c r="AW320" s="542"/>
      <c r="AX320" s="542"/>
      <c r="AY320" s="542"/>
      <c r="AZ320" s="542"/>
      <c r="BA320" s="542"/>
      <c r="BB320" s="542"/>
      <c r="BC320" s="542"/>
      <c r="BD320" s="171">
        <f t="shared" si="99"/>
        <v>0</v>
      </c>
      <c r="BE320" s="542"/>
      <c r="BF320" s="542"/>
      <c r="BG320" s="542"/>
      <c r="BH320" s="542"/>
      <c r="BI320" s="542"/>
      <c r="BJ320" s="542"/>
      <c r="BK320" s="542"/>
      <c r="BL320" s="542"/>
      <c r="BM320" s="542"/>
      <c r="BN320" s="196"/>
      <c r="BO320" s="196"/>
      <c r="BP320" s="196"/>
      <c r="BS320" s="694" t="s">
        <v>1744</v>
      </c>
    </row>
    <row r="321" spans="1:75" ht="409.6" customHeight="1" x14ac:dyDescent="0.25">
      <c r="C321" s="25"/>
      <c r="D321" s="25"/>
      <c r="E321" s="451">
        <v>15</v>
      </c>
      <c r="F321" s="3" t="str" cm="1">
        <f t="array" aca="1" ref="F321" ca="1">OFFSET(E321,-1,1)</f>
        <v>2</v>
      </c>
      <c r="G321" s="25"/>
      <c r="H321" s="577"/>
      <c r="I321" s="577" t="s">
        <v>1956</v>
      </c>
      <c r="J321" s="25"/>
      <c r="K321" s="277" t="s">
        <v>1956</v>
      </c>
      <c r="L321" s="25" t="s">
        <v>1319</v>
      </c>
      <c r="M321" s="25"/>
      <c r="N321" s="25"/>
      <c r="O321" s="25"/>
      <c r="P321" s="25"/>
      <c r="Q321" s="25"/>
      <c r="R321" s="25"/>
      <c r="S321" s="25"/>
      <c r="T321" s="353" t="b" cm="1">
        <f t="array" ref="T321">T320</f>
        <v>1</v>
      </c>
      <c r="U321" s="25"/>
      <c r="V321" s="25"/>
      <c r="W321" s="25"/>
      <c r="X321" s="1022"/>
      <c r="Z321" s="967"/>
      <c r="AB321" s="7" t="s">
        <v>1957</v>
      </c>
      <c r="AC321" s="543" t="s">
        <v>1745</v>
      </c>
      <c r="AD321" s="9" t="s">
        <v>828</v>
      </c>
      <c r="AE321" s="128">
        <v>310.49478296820001</v>
      </c>
      <c r="AF321" s="128">
        <v>393.37501541530003</v>
      </c>
      <c r="AG321" s="128">
        <v>310.49478296820001</v>
      </c>
      <c r="AH321" s="171">
        <f t="shared" si="96"/>
        <v>-82.880232447100013</v>
      </c>
      <c r="AI321" s="128"/>
      <c r="AJ321" s="128"/>
      <c r="AK321" s="542"/>
      <c r="AL321" s="542"/>
      <c r="AM321" s="542"/>
      <c r="AN321" s="542"/>
      <c r="AO321" s="542"/>
      <c r="AP321" s="542"/>
      <c r="AQ321" s="542"/>
      <c r="AR321" s="542"/>
      <c r="AS321" s="542"/>
      <c r="AT321" s="128"/>
      <c r="AU321" s="542"/>
      <c r="AV321" s="542"/>
      <c r="AW321" s="542"/>
      <c r="AX321" s="542"/>
      <c r="AY321" s="542"/>
      <c r="AZ321" s="542"/>
      <c r="BA321" s="542"/>
      <c r="BB321" s="542"/>
      <c r="BC321" s="542"/>
      <c r="BD321" s="171">
        <f t="shared" si="99"/>
        <v>0</v>
      </c>
      <c r="BE321" s="542"/>
      <c r="BF321" s="542"/>
      <c r="BG321" s="542"/>
      <c r="BH321" s="542"/>
      <c r="BI321" s="542"/>
      <c r="BJ321" s="542"/>
      <c r="BK321" s="542"/>
      <c r="BL321" s="542"/>
      <c r="BM321" s="542"/>
      <c r="BN321" s="196" t="s">
        <v>2271</v>
      </c>
      <c r="BO321" s="196"/>
      <c r="BP321" s="196"/>
      <c r="BS321" s="694" t="s">
        <v>1746</v>
      </c>
    </row>
    <row r="322" spans="1:75" ht="317.25" customHeight="1" x14ac:dyDescent="0.25">
      <c r="C322" s="25"/>
      <c r="D322" s="25"/>
      <c r="E322" s="451">
        <v>22.5</v>
      </c>
      <c r="F322" s="3" t="str" cm="1">
        <f t="array" aca="1" ref="F322" ca="1">OFFSET(E322,-1,1)</f>
        <v>2</v>
      </c>
      <c r="G322" s="25"/>
      <c r="H322" s="577"/>
      <c r="I322" s="577" t="s">
        <v>1347</v>
      </c>
      <c r="J322" s="25"/>
      <c r="K322" s="277" t="s">
        <v>1347</v>
      </c>
      <c r="L322" s="25" t="s">
        <v>489</v>
      </c>
      <c r="M322" s="25"/>
      <c r="N322" s="25"/>
      <c r="O322" s="25"/>
      <c r="P322" s="25"/>
      <c r="Q322" s="25"/>
      <c r="R322" s="25"/>
      <c r="S322" s="25"/>
      <c r="T322" s="353" t="b" cm="1">
        <f t="array" ref="T322">T321</f>
        <v>1</v>
      </c>
      <c r="U322" s="25"/>
      <c r="V322" s="25"/>
      <c r="W322" s="25"/>
      <c r="X322" s="1022"/>
      <c r="Z322" s="967"/>
      <c r="AB322" s="7" t="s">
        <v>1348</v>
      </c>
      <c r="AC322" s="134" t="s">
        <v>1958</v>
      </c>
      <c r="AD322" s="9" t="s">
        <v>828</v>
      </c>
      <c r="AE322" s="128">
        <v>790.34002309790003</v>
      </c>
      <c r="AF322" s="128">
        <v>797.79936253979997</v>
      </c>
      <c r="AG322" s="128">
        <v>790.34002309790003</v>
      </c>
      <c r="AH322" s="171">
        <f t="shared" si="96"/>
        <v>-7.4593394418999424</v>
      </c>
      <c r="AI322" s="128"/>
      <c r="AJ322" s="128"/>
      <c r="AK322" s="542"/>
      <c r="AL322" s="542"/>
      <c r="AM322" s="542"/>
      <c r="AN322" s="542"/>
      <c r="AO322" s="542"/>
      <c r="AP322" s="542"/>
      <c r="AQ322" s="542"/>
      <c r="AR322" s="542"/>
      <c r="AS322" s="542"/>
      <c r="AT322" s="128"/>
      <c r="AU322" s="542"/>
      <c r="AV322" s="542"/>
      <c r="AW322" s="542"/>
      <c r="AX322" s="542"/>
      <c r="AY322" s="542"/>
      <c r="AZ322" s="542"/>
      <c r="BA322" s="542"/>
      <c r="BB322" s="542"/>
      <c r="BC322" s="542"/>
      <c r="BD322" s="171">
        <f t="shared" si="99"/>
        <v>0</v>
      </c>
      <c r="BE322" s="542"/>
      <c r="BF322" s="542"/>
      <c r="BG322" s="542"/>
      <c r="BH322" s="542"/>
      <c r="BI322" s="542"/>
      <c r="BJ322" s="542"/>
      <c r="BK322" s="542"/>
      <c r="BL322" s="542"/>
      <c r="BM322" s="542"/>
      <c r="BN322" s="196" t="s">
        <v>2272</v>
      </c>
      <c r="BO322" s="196"/>
      <c r="BP322" s="196"/>
      <c r="BS322" s="695" t="s">
        <v>1771</v>
      </c>
    </row>
    <row r="323" spans="1:75" ht="212.25" customHeight="1" x14ac:dyDescent="0.25">
      <c r="C323" s="25"/>
      <c r="D323" s="25"/>
      <c r="E323" s="451">
        <v>22.5</v>
      </c>
      <c r="F323" s="3" t="str" cm="1">
        <f t="array" aca="1" ref="F323" ca="1">OFFSET(E323,-1,1)</f>
        <v>2</v>
      </c>
      <c r="G323" s="25"/>
      <c r="H323" s="577"/>
      <c r="I323" s="577" t="s">
        <v>1351</v>
      </c>
      <c r="J323" s="25"/>
      <c r="K323" s="277" t="s">
        <v>1351</v>
      </c>
      <c r="L323" s="25" t="s">
        <v>493</v>
      </c>
      <c r="M323" s="25"/>
      <c r="N323" s="25"/>
      <c r="O323" s="25"/>
      <c r="P323" s="25"/>
      <c r="Q323" s="25"/>
      <c r="R323" s="25"/>
      <c r="S323" s="25"/>
      <c r="T323" s="353" t="b" cm="1">
        <f t="array" ref="T323">T322</f>
        <v>1</v>
      </c>
      <c r="U323" s="25"/>
      <c r="V323" s="25"/>
      <c r="W323" s="25"/>
      <c r="X323" s="1022"/>
      <c r="Z323" s="967"/>
      <c r="AB323" s="7" t="s">
        <v>1352</v>
      </c>
      <c r="AC323" s="134" t="s">
        <v>1959</v>
      </c>
      <c r="AD323" s="9" t="s">
        <v>828</v>
      </c>
      <c r="AE323" s="171">
        <f ca="1">AE324+AE325</f>
        <v>0</v>
      </c>
      <c r="AF323" s="171">
        <f ca="1">AF324+AF325</f>
        <v>0</v>
      </c>
      <c r="AG323" s="171">
        <f ca="1">AG324+AG325</f>
        <v>0</v>
      </c>
      <c r="AH323" s="171">
        <f t="shared" ca="1" si="96"/>
        <v>0</v>
      </c>
      <c r="AI323" s="171">
        <f ca="1">AI324+AI325</f>
        <v>0</v>
      </c>
      <c r="AJ323" s="171">
        <f ca="1">AJ324+AJ325</f>
        <v>0</v>
      </c>
      <c r="AK323" s="542"/>
      <c r="AL323" s="542"/>
      <c r="AM323" s="542"/>
      <c r="AN323" s="542"/>
      <c r="AO323" s="542"/>
      <c r="AP323" s="542"/>
      <c r="AQ323" s="542"/>
      <c r="AR323" s="542"/>
      <c r="AS323" s="542"/>
      <c r="AT323" s="171">
        <f ca="1">AT324+AT325</f>
        <v>0</v>
      </c>
      <c r="AU323" s="542"/>
      <c r="AV323" s="542"/>
      <c r="AW323" s="542"/>
      <c r="AX323" s="542"/>
      <c r="AY323" s="542"/>
      <c r="AZ323" s="542"/>
      <c r="BA323" s="542"/>
      <c r="BB323" s="542"/>
      <c r="BC323" s="542"/>
      <c r="BD323" s="171">
        <f t="shared" ca="1" si="99"/>
        <v>0</v>
      </c>
      <c r="BE323" s="542"/>
      <c r="BF323" s="542"/>
      <c r="BG323" s="542"/>
      <c r="BH323" s="542"/>
      <c r="BI323" s="542"/>
      <c r="BJ323" s="542"/>
      <c r="BK323" s="542"/>
      <c r="BL323" s="542"/>
      <c r="BM323" s="542"/>
      <c r="BN323" s="196" t="s">
        <v>2273</v>
      </c>
      <c r="BO323" s="196"/>
      <c r="BP323" s="196"/>
      <c r="BS323" s="695" t="s">
        <v>1960</v>
      </c>
    </row>
    <row r="324" spans="1:75" ht="107.25" customHeight="1" x14ac:dyDescent="0.25">
      <c r="C324" s="25"/>
      <c r="D324" s="25"/>
      <c r="E324" s="451">
        <v>15</v>
      </c>
      <c r="F324" s="3" t="str" cm="1">
        <f t="array" aca="1" ref="F324" ca="1">OFFSET(E324,-1,1)</f>
        <v>2</v>
      </c>
      <c r="G324" s="267" t="s">
        <v>1162</v>
      </c>
      <c r="H324" s="577"/>
      <c r="I324" s="577" t="s">
        <v>1495</v>
      </c>
      <c r="J324" s="25"/>
      <c r="K324" s="277" t="s">
        <v>1495</v>
      </c>
      <c r="L324" s="25" t="s">
        <v>1371</v>
      </c>
      <c r="M324" s="25"/>
      <c r="N324" s="25"/>
      <c r="O324" s="25"/>
      <c r="P324" s="25"/>
      <c r="Q324" s="25"/>
      <c r="R324" s="25"/>
      <c r="S324" s="25"/>
      <c r="T324" s="353" t="b" cm="1">
        <f t="array" ref="T324">T323</f>
        <v>1</v>
      </c>
      <c r="U324" s="25"/>
      <c r="V324" s="25"/>
      <c r="W324" s="25"/>
      <c r="X324" s="1022"/>
      <c r="Z324" s="967"/>
      <c r="AB324" s="7" t="s">
        <v>1961</v>
      </c>
      <c r="AC324" s="543" t="s">
        <v>1774</v>
      </c>
      <c r="AD324" s="9" t="s">
        <v>828</v>
      </c>
      <c r="AE324" s="171">
        <f ca="1">SUMIFS(ФОТ!AE$25:AE$127,ФОТ!$F$25:$F$127,$F324,ФОТ!$G$25:$G$127,$G324)</f>
        <v>0</v>
      </c>
      <c r="AF324" s="171">
        <f ca="1">SUMIFS(ФОТ!AF$25:AF$127,ФОТ!$F$25:$F$127,$F324,ФОТ!$G$25:$G$127,$G324)</f>
        <v>0</v>
      </c>
      <c r="AG324" s="171">
        <f ca="1">SUMIFS(ФОТ!AG$25:AG$127,ФОТ!$F$25:$F$127,$F324,ФОТ!$G$25:$G$127,$G324)</f>
        <v>0</v>
      </c>
      <c r="AH324" s="171">
        <f t="shared" ca="1" si="96"/>
        <v>0</v>
      </c>
      <c r="AI324" s="171">
        <f ca="1">SUMIFS(ФОТ!AH$25:AH$127,ФОТ!$F$25:$F$127,$F324,ФОТ!$G$25:$G$127,$G324)</f>
        <v>0</v>
      </c>
      <c r="AJ324" s="171">
        <f ca="1">SUMIFS(ФОТ!AI$25:AI$127,ФОТ!$F$25:$F$127,$F324,ФОТ!$G$25:$G$127,$G324)</f>
        <v>0</v>
      </c>
      <c r="AK324" s="542"/>
      <c r="AL324" s="542"/>
      <c r="AM324" s="542"/>
      <c r="AN324" s="542"/>
      <c r="AO324" s="542"/>
      <c r="AP324" s="542"/>
      <c r="AQ324" s="542"/>
      <c r="AR324" s="542"/>
      <c r="AS324" s="542"/>
      <c r="AT324" s="171">
        <f ca="1">SUMIFS(ФОТ!AJ$25:AJ$127,ФОТ!$F$25:$F$127,$F324,ФОТ!$G$25:$G$127,$G324)</f>
        <v>0</v>
      </c>
      <c r="AU324" s="542"/>
      <c r="AV324" s="542"/>
      <c r="AW324" s="542"/>
      <c r="AX324" s="542"/>
      <c r="AY324" s="542"/>
      <c r="AZ324" s="542"/>
      <c r="BA324" s="542"/>
      <c r="BB324" s="542"/>
      <c r="BC324" s="542"/>
      <c r="BD324" s="171">
        <f t="shared" ca="1" si="99"/>
        <v>0</v>
      </c>
      <c r="BE324" s="542"/>
      <c r="BF324" s="542"/>
      <c r="BG324" s="542"/>
      <c r="BH324" s="542"/>
      <c r="BI324" s="542"/>
      <c r="BJ324" s="542"/>
      <c r="BK324" s="542"/>
      <c r="BL324" s="542"/>
      <c r="BM324" s="542"/>
      <c r="BN324" s="196" t="s">
        <v>2274</v>
      </c>
      <c r="BO324" s="601" t="str">
        <f ca="1">IF(IFERROR(INDEX(ФОТ!$K$26:$L$127,MATCH($F324&amp;"1komm",ФОТ!$K$26:$K$127,0),2),"")=0,"",IFERROR(INDEX(ФОТ!$K$26:$L$127,MATCH($F324&amp;"1komm",ФОТ!$K$26:$K$127,0),2),""))</f>
        <v/>
      </c>
      <c r="BP324" s="196"/>
      <c r="BS324" s="694" t="s">
        <v>1775</v>
      </c>
    </row>
    <row r="325" spans="1:75" ht="107.25" customHeight="1" x14ac:dyDescent="0.25">
      <c r="C325" s="25"/>
      <c r="D325" s="25"/>
      <c r="E325" s="451">
        <v>22.5</v>
      </c>
      <c r="F325" s="3" t="str" cm="1">
        <f t="array" aca="1" ref="F325" ca="1">OFFSET(E325,-1,1)</f>
        <v>2</v>
      </c>
      <c r="G325" s="267" t="s">
        <v>1174</v>
      </c>
      <c r="H325" s="577"/>
      <c r="I325" s="577" t="s">
        <v>1499</v>
      </c>
      <c r="J325" s="25"/>
      <c r="K325" s="277" t="s">
        <v>1499</v>
      </c>
      <c r="L325" s="25" t="s">
        <v>1372</v>
      </c>
      <c r="M325" s="25"/>
      <c r="N325" s="25"/>
      <c r="O325" s="25"/>
      <c r="P325" s="25"/>
      <c r="Q325" s="25"/>
      <c r="R325" s="25"/>
      <c r="S325" s="25"/>
      <c r="T325" s="353" t="b" cm="1">
        <f t="array" ref="T325">T324</f>
        <v>1</v>
      </c>
      <c r="U325" s="25"/>
      <c r="V325" s="25"/>
      <c r="W325" s="25"/>
      <c r="X325" s="1022"/>
      <c r="Z325" s="967"/>
      <c r="AB325" s="7" t="s">
        <v>1962</v>
      </c>
      <c r="AC325" s="543" t="s">
        <v>1963</v>
      </c>
      <c r="AD325" s="9" t="s">
        <v>828</v>
      </c>
      <c r="AE325" s="171">
        <f ca="1">SUMIFS(ФОТ!AE$25:AE$127,ФОТ!$F$25:$F$127,$F325,ФОТ!$G$25:$G$127,$G325)</f>
        <v>0</v>
      </c>
      <c r="AF325" s="171">
        <f ca="1">SUMIFS(ФОТ!AF$25:AF$127,ФОТ!$F$25:$F$127,$F325,ФОТ!$G$25:$G$127,$G325)</f>
        <v>0</v>
      </c>
      <c r="AG325" s="171">
        <f ca="1">SUMIFS(ФОТ!AG$25:AG$127,ФОТ!$F$25:$F$127,$F325,ФОТ!$G$25:$G$127,$G325)</f>
        <v>0</v>
      </c>
      <c r="AH325" s="171">
        <f t="shared" ca="1" si="96"/>
        <v>0</v>
      </c>
      <c r="AI325" s="171">
        <f ca="1">SUMIFS(ФОТ!AH$25:AH$127,ФОТ!$F$25:$F$127,$F325,ФОТ!$G$25:$G$127,$G325)</f>
        <v>0</v>
      </c>
      <c r="AJ325" s="171">
        <f ca="1">SUMIFS(ФОТ!AI$25:AI$127,ФОТ!$F$25:$F$127,$F325,ФОТ!$G$25:$G$127,$G325)</f>
        <v>0</v>
      </c>
      <c r="AK325" s="542"/>
      <c r="AL325" s="542"/>
      <c r="AM325" s="542"/>
      <c r="AN325" s="542"/>
      <c r="AO325" s="542"/>
      <c r="AP325" s="542"/>
      <c r="AQ325" s="542"/>
      <c r="AR325" s="542"/>
      <c r="AS325" s="542"/>
      <c r="AT325" s="171">
        <f ca="1">SUMIFS(ФОТ!AJ$25:AJ$127,ФОТ!$F$25:$F$127,$F325,ФОТ!$G$25:$G$127,$G325)</f>
        <v>0</v>
      </c>
      <c r="AU325" s="542"/>
      <c r="AV325" s="542"/>
      <c r="AW325" s="542"/>
      <c r="AX325" s="542"/>
      <c r="AY325" s="542"/>
      <c r="AZ325" s="542"/>
      <c r="BA325" s="542"/>
      <c r="BB325" s="542"/>
      <c r="BC325" s="542"/>
      <c r="BD325" s="171">
        <f t="shared" ca="1" si="99"/>
        <v>0</v>
      </c>
      <c r="BE325" s="542"/>
      <c r="BF325" s="542"/>
      <c r="BG325" s="542"/>
      <c r="BH325" s="542"/>
      <c r="BI325" s="542"/>
      <c r="BJ325" s="542"/>
      <c r="BK325" s="542"/>
      <c r="BL325" s="542"/>
      <c r="BM325" s="542"/>
      <c r="BN325" s="196" t="s">
        <v>2275</v>
      </c>
      <c r="BO325" s="601" t="str">
        <f ca="1">IF(IFERROR(INDEX(ФОТ!$K$26:$L$127,MATCH($F325&amp;"2komm",ФОТ!$K$26:$K$127,0),2),"")=0,"",IFERROR(INDEX(ФОТ!$K$26:$L$127,MATCH($F325&amp;"2komm",ФОТ!$K$26:$K$127,0),2),""))</f>
        <v/>
      </c>
      <c r="BP325" s="196"/>
      <c r="BS325" s="694" t="s">
        <v>1777</v>
      </c>
    </row>
    <row r="326" spans="1:75" ht="107.25" customHeight="1" x14ac:dyDescent="0.25">
      <c r="C326" s="25"/>
      <c r="D326" s="25"/>
      <c r="E326" s="451">
        <v>15</v>
      </c>
      <c r="F326" s="3" t="str" cm="1">
        <f t="array" aca="1" ref="F326" ca="1">OFFSET(E326,-1,1)</f>
        <v>2</v>
      </c>
      <c r="G326" s="25"/>
      <c r="H326" s="577"/>
      <c r="I326" s="577" t="s">
        <v>1510</v>
      </c>
      <c r="J326" s="25"/>
      <c r="K326" s="277" t="s">
        <v>1510</v>
      </c>
      <c r="L326" s="25" t="s">
        <v>1779</v>
      </c>
      <c r="M326" s="25"/>
      <c r="N326" s="25"/>
      <c r="O326" s="25"/>
      <c r="P326" s="25"/>
      <c r="Q326" s="25"/>
      <c r="R326" s="25"/>
      <c r="S326" s="25"/>
      <c r="T326" s="353" t="b" cm="1">
        <f t="array" ref="T326">T325</f>
        <v>1</v>
      </c>
      <c r="U326" s="25"/>
      <c r="V326" s="25"/>
      <c r="W326" s="25"/>
      <c r="X326" s="1022"/>
      <c r="Z326" s="967"/>
      <c r="AB326" s="7" t="s">
        <v>1753</v>
      </c>
      <c r="AC326" s="134" t="s">
        <v>1964</v>
      </c>
      <c r="AD326" s="9" t="s">
        <v>828</v>
      </c>
      <c r="AE326" s="128">
        <v>59.565455999999998</v>
      </c>
      <c r="AF326" s="128"/>
      <c r="AG326" s="128">
        <v>59.565455999999998</v>
      </c>
      <c r="AH326" s="171">
        <f t="shared" si="96"/>
        <v>59.565455999999998</v>
      </c>
      <c r="AI326" s="128"/>
      <c r="AJ326" s="128"/>
      <c r="AK326" s="542"/>
      <c r="AL326" s="542"/>
      <c r="AM326" s="542"/>
      <c r="AN326" s="542"/>
      <c r="AO326" s="542"/>
      <c r="AP326" s="542"/>
      <c r="AQ326" s="542"/>
      <c r="AR326" s="542"/>
      <c r="AS326" s="542"/>
      <c r="AT326" s="128"/>
      <c r="AU326" s="542"/>
      <c r="AV326" s="542"/>
      <c r="AW326" s="542"/>
      <c r="AX326" s="542"/>
      <c r="AY326" s="542"/>
      <c r="AZ326" s="542"/>
      <c r="BA326" s="542"/>
      <c r="BB326" s="542"/>
      <c r="BC326" s="542"/>
      <c r="BD326" s="171">
        <f t="shared" si="99"/>
        <v>0</v>
      </c>
      <c r="BE326" s="542"/>
      <c r="BF326" s="542"/>
      <c r="BG326" s="542"/>
      <c r="BH326" s="542"/>
      <c r="BI326" s="542"/>
      <c r="BJ326" s="542"/>
      <c r="BK326" s="542"/>
      <c r="BL326" s="542"/>
      <c r="BM326" s="542"/>
      <c r="BN326" s="196" t="s">
        <v>2276</v>
      </c>
      <c r="BO326" s="196"/>
      <c r="BP326" s="196"/>
      <c r="BS326" s="695" t="s">
        <v>1782</v>
      </c>
    </row>
    <row r="327" spans="1:75" ht="14.25" customHeight="1" x14ac:dyDescent="0.25">
      <c r="C327" s="25"/>
      <c r="D327" s="25"/>
      <c r="E327" s="451">
        <v>15</v>
      </c>
      <c r="F327" s="3" t="str" cm="1">
        <f t="array" aca="1" ref="F327" ca="1">OFFSET(E327,-1,1)</f>
        <v>2</v>
      </c>
      <c r="G327" s="25"/>
      <c r="H327" s="577"/>
      <c r="I327" s="577" t="s">
        <v>1514</v>
      </c>
      <c r="J327" s="25"/>
      <c r="K327" s="277" t="s">
        <v>1514</v>
      </c>
      <c r="L327" s="25" t="s">
        <v>1783</v>
      </c>
      <c r="N327" s="25"/>
      <c r="O327" s="25"/>
      <c r="P327" s="25"/>
      <c r="Q327" s="25"/>
      <c r="R327" s="25"/>
      <c r="S327" s="25"/>
      <c r="T327" s="353" t="b" cm="1">
        <f t="array" ref="T327">T326</f>
        <v>1</v>
      </c>
      <c r="U327" s="25"/>
      <c r="V327" s="25"/>
      <c r="W327" s="25"/>
      <c r="X327" s="1022"/>
      <c r="Z327" s="967"/>
      <c r="AB327" s="7" t="s">
        <v>1755</v>
      </c>
      <c r="AC327" s="134" t="s">
        <v>1965</v>
      </c>
      <c r="AD327" s="7" t="s">
        <v>828</v>
      </c>
      <c r="AE327" s="171">
        <f>SUM(AE328:AE334)</f>
        <v>926.94398999999999</v>
      </c>
      <c r="AF327" s="171">
        <f>SUM(AF328:AF334)</f>
        <v>8841.9546134077991</v>
      </c>
      <c r="AG327" s="171">
        <f>SUM(AG328:AG334)</f>
        <v>926.94398999999999</v>
      </c>
      <c r="AH327" s="171">
        <f t="shared" si="96"/>
        <v>-7915.0106234077994</v>
      </c>
      <c r="AI327" s="171">
        <f>SUM(AI328:AI334)</f>
        <v>0</v>
      </c>
      <c r="AJ327" s="171">
        <f>SUM(AJ328:AJ334)</f>
        <v>0</v>
      </c>
      <c r="AK327" s="542"/>
      <c r="AL327" s="542"/>
      <c r="AM327" s="542"/>
      <c r="AN327" s="542"/>
      <c r="AO327" s="542"/>
      <c r="AP327" s="542"/>
      <c r="AQ327" s="542"/>
      <c r="AR327" s="542"/>
      <c r="AS327" s="542"/>
      <c r="AT327" s="171">
        <f>SUM(AT328:AT334)</f>
        <v>0</v>
      </c>
      <c r="AU327" s="542"/>
      <c r="AV327" s="542"/>
      <c r="AW327" s="542"/>
      <c r="AX327" s="542"/>
      <c r="AY327" s="542"/>
      <c r="AZ327" s="542"/>
      <c r="BA327" s="542"/>
      <c r="BB327" s="542"/>
      <c r="BC327" s="542"/>
      <c r="BD327" s="171">
        <f t="shared" si="99"/>
        <v>0</v>
      </c>
      <c r="BE327" s="542"/>
      <c r="BF327" s="542"/>
      <c r="BG327" s="542"/>
      <c r="BH327" s="542"/>
      <c r="BI327" s="542"/>
      <c r="BJ327" s="542"/>
      <c r="BK327" s="542"/>
      <c r="BL327" s="542"/>
      <c r="BM327" s="542"/>
      <c r="BN327" s="196"/>
      <c r="BO327" s="196"/>
      <c r="BP327" s="196"/>
      <c r="BS327" s="695" t="s">
        <v>1966</v>
      </c>
    </row>
    <row r="328" spans="1:75" ht="14.25" customHeight="1" x14ac:dyDescent="0.25">
      <c r="C328" s="25"/>
      <c r="D328" s="25"/>
      <c r="E328" s="451">
        <v>15</v>
      </c>
      <c r="F328" s="3" t="str" cm="1">
        <f t="array" aca="1" ref="F328" ca="1">OFFSET(E328,-1,1)</f>
        <v>2</v>
      </c>
      <c r="G328" s="25"/>
      <c r="H328" s="577"/>
      <c r="I328" s="577" t="s">
        <v>1967</v>
      </c>
      <c r="J328" s="25"/>
      <c r="K328" s="277" t="s">
        <v>1967</v>
      </c>
      <c r="L328" s="25" t="s">
        <v>1783</v>
      </c>
      <c r="M328" s="25" t="s">
        <v>1791</v>
      </c>
      <c r="N328" s="25"/>
      <c r="O328" s="25"/>
      <c r="P328" s="25"/>
      <c r="Q328" s="25"/>
      <c r="R328" s="25"/>
      <c r="S328" s="25"/>
      <c r="T328" s="353" t="b" cm="1">
        <f t="array" ref="T328">T327</f>
        <v>1</v>
      </c>
      <c r="U328" s="25"/>
      <c r="V328" s="25"/>
      <c r="W328" s="25"/>
      <c r="X328" s="1022"/>
      <c r="Z328" s="967"/>
      <c r="AB328" s="7" t="s">
        <v>1968</v>
      </c>
      <c r="AC328" s="543" t="s">
        <v>1969</v>
      </c>
      <c r="AD328" s="7" t="s">
        <v>828</v>
      </c>
      <c r="AE328" s="128"/>
      <c r="AF328" s="128"/>
      <c r="AG328" s="128"/>
      <c r="AH328" s="171">
        <f t="shared" si="96"/>
        <v>0</v>
      </c>
      <c r="AI328" s="128"/>
      <c r="AJ328" s="128"/>
      <c r="AK328" s="542"/>
      <c r="AL328" s="542"/>
      <c r="AM328" s="542"/>
      <c r="AN328" s="542"/>
      <c r="AO328" s="542"/>
      <c r="AP328" s="542"/>
      <c r="AQ328" s="542"/>
      <c r="AR328" s="542"/>
      <c r="AS328" s="542"/>
      <c r="AT328" s="128"/>
      <c r="AU328" s="542"/>
      <c r="AV328" s="542"/>
      <c r="AW328" s="542"/>
      <c r="AX328" s="542"/>
      <c r="AY328" s="542"/>
      <c r="AZ328" s="542"/>
      <c r="BA328" s="542"/>
      <c r="BB328" s="542"/>
      <c r="BC328" s="542"/>
      <c r="BD328" s="171">
        <f t="shared" si="99"/>
        <v>0</v>
      </c>
      <c r="BE328" s="542"/>
      <c r="BF328" s="542"/>
      <c r="BG328" s="542"/>
      <c r="BH328" s="542"/>
      <c r="BI328" s="542"/>
      <c r="BJ328" s="542"/>
      <c r="BK328" s="542"/>
      <c r="BL328" s="542"/>
      <c r="BM328" s="542"/>
      <c r="BN328" s="196"/>
      <c r="BO328" s="196"/>
      <c r="BP328" s="196"/>
      <c r="BS328" s="694" t="s">
        <v>1794</v>
      </c>
    </row>
    <row r="329" spans="1:75" ht="21.75" customHeight="1" x14ac:dyDescent="0.15">
      <c r="C329" s="25"/>
      <c r="D329" s="25"/>
      <c r="E329" s="451">
        <v>22.5</v>
      </c>
      <c r="F329" s="3" t="str" cm="1">
        <f t="array" aca="1" ref="F329" ca="1">OFFSET(E329,-1,1)</f>
        <v>2</v>
      </c>
      <c r="G329" s="25"/>
      <c r="H329" s="577"/>
      <c r="I329" s="577" t="s">
        <v>1970</v>
      </c>
      <c r="J329" s="25"/>
      <c r="K329" s="277" t="s">
        <v>1970</v>
      </c>
      <c r="L329" s="25" t="s">
        <v>1783</v>
      </c>
      <c r="M329" s="25" t="s">
        <v>1787</v>
      </c>
      <c r="N329" s="25"/>
      <c r="O329" s="25"/>
      <c r="P329" s="25"/>
      <c r="Q329" s="25"/>
      <c r="R329" s="25"/>
      <c r="S329" s="25"/>
      <c r="T329" s="353" t="b" cm="1">
        <f t="array" ref="T329">T328</f>
        <v>1</v>
      </c>
      <c r="U329" s="25"/>
      <c r="V329" s="25"/>
      <c r="W329" s="25"/>
      <c r="X329" s="1022"/>
      <c r="Z329" s="967"/>
      <c r="AB329" s="7" t="s">
        <v>1971</v>
      </c>
      <c r="AC329" s="543" t="s">
        <v>1972</v>
      </c>
      <c r="AD329" s="7" t="s">
        <v>828</v>
      </c>
      <c r="AE329" s="128"/>
      <c r="AF329" s="128"/>
      <c r="AG329" s="128"/>
      <c r="AH329" s="171">
        <f t="shared" si="96"/>
        <v>0</v>
      </c>
      <c r="AI329" s="128"/>
      <c r="AJ329" s="128"/>
      <c r="AK329" s="542"/>
      <c r="AL329" s="542"/>
      <c r="AM329" s="542"/>
      <c r="AN329" s="542"/>
      <c r="AO329" s="542"/>
      <c r="AP329" s="542"/>
      <c r="AQ329" s="542"/>
      <c r="AR329" s="542"/>
      <c r="AS329" s="542"/>
      <c r="AT329" s="128"/>
      <c r="AU329" s="542"/>
      <c r="AV329" s="542"/>
      <c r="AW329" s="542"/>
      <c r="AX329" s="542"/>
      <c r="AY329" s="542"/>
      <c r="AZ329" s="542"/>
      <c r="BA329" s="542"/>
      <c r="BB329" s="542"/>
      <c r="BC329" s="542"/>
      <c r="BD329" s="171">
        <f t="shared" si="99"/>
        <v>0</v>
      </c>
      <c r="BE329" s="542"/>
      <c r="BF329" s="542"/>
      <c r="BG329" s="542"/>
      <c r="BH329" s="542"/>
      <c r="BI329" s="542"/>
      <c r="BJ329" s="542"/>
      <c r="BK329" s="542"/>
      <c r="BL329" s="542"/>
      <c r="BM329" s="542"/>
      <c r="BN329" s="196"/>
      <c r="BO329" s="196"/>
      <c r="BP329" s="196"/>
      <c r="BS329" s="696" t="s">
        <v>1973</v>
      </c>
    </row>
    <row r="330" spans="1:75" ht="21.75" customHeight="1" x14ac:dyDescent="0.15">
      <c r="C330" s="25"/>
      <c r="D330" s="25"/>
      <c r="E330" s="451">
        <v>22.5</v>
      </c>
      <c r="F330" s="3" t="str" cm="1">
        <f t="array" aca="1" ref="F330" ca="1">OFFSET(E330,-1,1)</f>
        <v>2</v>
      </c>
      <c r="G330" s="25"/>
      <c r="H330" s="577"/>
      <c r="I330" s="577" t="s">
        <v>1974</v>
      </c>
      <c r="J330" s="25"/>
      <c r="K330" s="277" t="s">
        <v>1974</v>
      </c>
      <c r="N330" s="25"/>
      <c r="O330" s="25"/>
      <c r="P330" s="25"/>
      <c r="Q330" s="25"/>
      <c r="R330" s="25"/>
      <c r="S330" s="25"/>
      <c r="T330" s="353" t="b" cm="1">
        <f t="array" ref="T330">T329</f>
        <v>1</v>
      </c>
      <c r="U330" s="25"/>
      <c r="V330" s="25"/>
      <c r="W330" s="25"/>
      <c r="X330" s="1022"/>
      <c r="Z330" s="967"/>
      <c r="AB330" s="7" t="s">
        <v>1975</v>
      </c>
      <c r="AC330" s="544" t="s">
        <v>1976</v>
      </c>
      <c r="AD330" s="7" t="s">
        <v>828</v>
      </c>
      <c r="AE330" s="128"/>
      <c r="AF330" s="128"/>
      <c r="AG330" s="128"/>
      <c r="AH330" s="171">
        <f t="shared" si="96"/>
        <v>0</v>
      </c>
      <c r="AI330" s="128"/>
      <c r="AJ330" s="128"/>
      <c r="AK330" s="542"/>
      <c r="AL330" s="542"/>
      <c r="AM330" s="542"/>
      <c r="AN330" s="542"/>
      <c r="AO330" s="542"/>
      <c r="AP330" s="542"/>
      <c r="AQ330" s="542"/>
      <c r="AR330" s="542"/>
      <c r="AS330" s="542"/>
      <c r="AT330" s="128"/>
      <c r="AU330" s="542"/>
      <c r="AV330" s="542"/>
      <c r="AW330" s="542"/>
      <c r="AX330" s="542"/>
      <c r="AY330" s="542"/>
      <c r="AZ330" s="542"/>
      <c r="BA330" s="542"/>
      <c r="BB330" s="542"/>
      <c r="BC330" s="542"/>
      <c r="BD330" s="171">
        <f t="shared" si="99"/>
        <v>0</v>
      </c>
      <c r="BE330" s="542"/>
      <c r="BF330" s="542"/>
      <c r="BG330" s="542"/>
      <c r="BH330" s="542"/>
      <c r="BI330" s="542"/>
      <c r="BJ330" s="542"/>
      <c r="BK330" s="542"/>
      <c r="BL330" s="542"/>
      <c r="BM330" s="542"/>
      <c r="BN330" s="196"/>
      <c r="BO330" s="196"/>
      <c r="BP330" s="196"/>
      <c r="BS330" s="696" t="s">
        <v>1977</v>
      </c>
    </row>
    <row r="331" spans="1:75" ht="21.75" customHeight="1" x14ac:dyDescent="0.15">
      <c r="C331" s="25"/>
      <c r="D331" s="25"/>
      <c r="E331" s="451">
        <v>22.5</v>
      </c>
      <c r="F331" s="3" t="str" cm="1">
        <f t="array" aca="1" ref="F331" ca="1">OFFSET(E331,-1,1)</f>
        <v>2</v>
      </c>
      <c r="G331" s="25"/>
      <c r="H331" s="577"/>
      <c r="I331" s="577" t="s">
        <v>1978</v>
      </c>
      <c r="J331" s="25"/>
      <c r="K331" s="277" t="s">
        <v>1978</v>
      </c>
      <c r="L331" s="25"/>
      <c r="N331" s="25"/>
      <c r="O331" s="25"/>
      <c r="P331" s="25"/>
      <c r="Q331" s="25"/>
      <c r="R331" s="25"/>
      <c r="S331" s="25"/>
      <c r="T331" s="353" t="b" cm="1">
        <f t="array" ref="T331">T330</f>
        <v>1</v>
      </c>
      <c r="U331" s="25"/>
      <c r="V331" s="25"/>
      <c r="W331" s="25"/>
      <c r="X331" s="1022"/>
      <c r="Z331" s="967"/>
      <c r="AB331" s="7" t="s">
        <v>1979</v>
      </c>
      <c r="AC331" s="544" t="s">
        <v>1980</v>
      </c>
      <c r="AD331" s="7" t="s">
        <v>828</v>
      </c>
      <c r="AE331" s="128"/>
      <c r="AF331" s="128"/>
      <c r="AG331" s="128"/>
      <c r="AH331" s="171">
        <f t="shared" si="96"/>
        <v>0</v>
      </c>
      <c r="AI331" s="128"/>
      <c r="AJ331" s="128"/>
      <c r="AK331" s="542"/>
      <c r="AL331" s="542"/>
      <c r="AM331" s="542"/>
      <c r="AN331" s="542"/>
      <c r="AO331" s="542"/>
      <c r="AP331" s="542"/>
      <c r="AQ331" s="542"/>
      <c r="AR331" s="542"/>
      <c r="AS331" s="542"/>
      <c r="AT331" s="128"/>
      <c r="AU331" s="542"/>
      <c r="AV331" s="542"/>
      <c r="AW331" s="542"/>
      <c r="AX331" s="542"/>
      <c r="AY331" s="542"/>
      <c r="AZ331" s="542"/>
      <c r="BA331" s="542"/>
      <c r="BB331" s="542"/>
      <c r="BC331" s="542"/>
      <c r="BD331" s="171">
        <f t="shared" si="99"/>
        <v>0</v>
      </c>
      <c r="BE331" s="542"/>
      <c r="BF331" s="542"/>
      <c r="BG331" s="542"/>
      <c r="BH331" s="542"/>
      <c r="BI331" s="542"/>
      <c r="BJ331" s="542"/>
      <c r="BK331" s="542"/>
      <c r="BL331" s="542"/>
      <c r="BM331" s="542"/>
      <c r="BN331" s="196"/>
      <c r="BO331" s="196"/>
      <c r="BP331" s="196"/>
      <c r="BS331" s="696" t="s">
        <v>1981</v>
      </c>
    </row>
    <row r="332" spans="1:75" ht="43.5" customHeight="1" x14ac:dyDescent="0.15">
      <c r="C332" s="25"/>
      <c r="D332" s="25"/>
      <c r="E332" s="451">
        <v>45</v>
      </c>
      <c r="F332" s="3" t="str" cm="1">
        <f t="array" aca="1" ref="F332" ca="1">OFFSET(E332,-1,1)</f>
        <v>2</v>
      </c>
      <c r="G332" s="25"/>
      <c r="H332" s="577"/>
      <c r="I332" s="577" t="s">
        <v>1982</v>
      </c>
      <c r="J332" s="25"/>
      <c r="K332" s="277" t="s">
        <v>1982</v>
      </c>
      <c r="L332" s="25" t="s">
        <v>1783</v>
      </c>
      <c r="M332" s="25" t="s">
        <v>1795</v>
      </c>
      <c r="N332" s="25"/>
      <c r="O332" s="25"/>
      <c r="P332" s="25"/>
      <c r="Q332" s="25"/>
      <c r="R332" s="25"/>
      <c r="S332" s="25"/>
      <c r="T332" s="353" t="b" cm="1">
        <f t="array" ref="T332">T331</f>
        <v>1</v>
      </c>
      <c r="U332" s="25"/>
      <c r="V332" s="25"/>
      <c r="W332" s="25"/>
      <c r="X332" s="1022"/>
      <c r="Z332" s="967"/>
      <c r="AB332" s="7" t="s">
        <v>1983</v>
      </c>
      <c r="AC332" s="543" t="s">
        <v>1984</v>
      </c>
      <c r="AD332" s="7" t="s">
        <v>828</v>
      </c>
      <c r="AE332" s="128"/>
      <c r="AF332" s="128"/>
      <c r="AG332" s="128"/>
      <c r="AH332" s="171">
        <f t="shared" si="96"/>
        <v>0</v>
      </c>
      <c r="AI332" s="128"/>
      <c r="AJ332" s="128"/>
      <c r="AK332" s="542"/>
      <c r="AL332" s="542"/>
      <c r="AM332" s="542"/>
      <c r="AN332" s="542"/>
      <c r="AO332" s="542"/>
      <c r="AP332" s="542"/>
      <c r="AQ332" s="542"/>
      <c r="AR332" s="542"/>
      <c r="AS332" s="542"/>
      <c r="AT332" s="128"/>
      <c r="AU332" s="542"/>
      <c r="AV332" s="542"/>
      <c r="AW332" s="542"/>
      <c r="AX332" s="542"/>
      <c r="AY332" s="542"/>
      <c r="AZ332" s="542"/>
      <c r="BA332" s="542"/>
      <c r="BB332" s="542"/>
      <c r="BC332" s="542"/>
      <c r="BD332" s="171">
        <f t="shared" si="99"/>
        <v>0</v>
      </c>
      <c r="BE332" s="542"/>
      <c r="BF332" s="542"/>
      <c r="BG332" s="542"/>
      <c r="BH332" s="542"/>
      <c r="BI332" s="542"/>
      <c r="BJ332" s="542"/>
      <c r="BK332" s="542"/>
      <c r="BL332" s="542"/>
      <c r="BM332" s="542"/>
      <c r="BN332" s="196"/>
      <c r="BO332" s="196"/>
      <c r="BP332" s="196"/>
      <c r="BS332" s="696" t="s">
        <v>1798</v>
      </c>
    </row>
    <row r="333" spans="1:75" ht="14.25" customHeight="1" x14ac:dyDescent="0.15">
      <c r="C333" s="25"/>
      <c r="D333" s="25"/>
      <c r="E333" s="451">
        <v>15</v>
      </c>
      <c r="F333" s="3" t="str" cm="1">
        <f t="array" aca="1" ref="F333" ca="1">OFFSET(E333,-1,1)</f>
        <v>2</v>
      </c>
      <c r="G333" s="25"/>
      <c r="H333" s="577"/>
      <c r="I333" s="577" t="s">
        <v>1985</v>
      </c>
      <c r="J333" s="25"/>
      <c r="K333" s="277" t="s">
        <v>1985</v>
      </c>
      <c r="L333" s="25" t="s">
        <v>1783</v>
      </c>
      <c r="M333" s="25" t="s">
        <v>1799</v>
      </c>
      <c r="N333" s="25"/>
      <c r="O333" s="25"/>
      <c r="P333" s="25"/>
      <c r="Q333" s="25"/>
      <c r="R333" s="25"/>
      <c r="S333" s="25"/>
      <c r="T333" s="353" t="b" cm="1">
        <f t="array" ref="T333">T332</f>
        <v>1</v>
      </c>
      <c r="U333" s="25"/>
      <c r="V333" s="25"/>
      <c r="W333" s="25"/>
      <c r="X333" s="1022"/>
      <c r="Z333" s="967"/>
      <c r="AB333" s="7" t="s">
        <v>1986</v>
      </c>
      <c r="AC333" s="543" t="s">
        <v>1801</v>
      </c>
      <c r="AD333" s="7" t="s">
        <v>828</v>
      </c>
      <c r="AE333" s="128"/>
      <c r="AF333" s="128"/>
      <c r="AG333" s="128"/>
      <c r="AH333" s="171">
        <f t="shared" si="96"/>
        <v>0</v>
      </c>
      <c r="AI333" s="128"/>
      <c r="AJ333" s="128"/>
      <c r="AK333" s="542"/>
      <c r="AL333" s="542"/>
      <c r="AM333" s="542"/>
      <c r="AN333" s="542"/>
      <c r="AO333" s="542"/>
      <c r="AP333" s="542"/>
      <c r="AQ333" s="542"/>
      <c r="AR333" s="542"/>
      <c r="AS333" s="542"/>
      <c r="AT333" s="128"/>
      <c r="AU333" s="542"/>
      <c r="AV333" s="542"/>
      <c r="AW333" s="542"/>
      <c r="AX333" s="542"/>
      <c r="AY333" s="542"/>
      <c r="AZ333" s="542"/>
      <c r="BA333" s="542"/>
      <c r="BB333" s="542"/>
      <c r="BC333" s="542"/>
      <c r="BD333" s="171">
        <f t="shared" si="99"/>
        <v>0</v>
      </c>
      <c r="BE333" s="542"/>
      <c r="BF333" s="542"/>
      <c r="BG333" s="542"/>
      <c r="BH333" s="542"/>
      <c r="BI333" s="542"/>
      <c r="BJ333" s="542"/>
      <c r="BK333" s="542"/>
      <c r="BL333" s="542"/>
      <c r="BM333" s="542"/>
      <c r="BN333" s="196"/>
      <c r="BO333" s="196"/>
      <c r="BP333" s="196"/>
      <c r="BS333" s="696" t="s">
        <v>1802</v>
      </c>
    </row>
    <row r="334" spans="1:75" ht="317.25" customHeight="1" x14ac:dyDescent="0.15">
      <c r="C334" s="25"/>
      <c r="D334" s="25"/>
      <c r="E334" s="451">
        <v>15</v>
      </c>
      <c r="F334" s="3" t="str" cm="1">
        <f t="array" aca="1" ref="F334" ca="1">OFFSET(E334,-1,1)</f>
        <v>2</v>
      </c>
      <c r="G334" s="25"/>
      <c r="H334" s="577"/>
      <c r="I334" s="577" t="s">
        <v>1987</v>
      </c>
      <c r="J334" s="25"/>
      <c r="K334" s="277" t="s">
        <v>1987</v>
      </c>
      <c r="L334" s="25"/>
      <c r="M334" s="25"/>
      <c r="N334" s="25"/>
      <c r="O334" s="25"/>
      <c r="P334" s="25"/>
      <c r="Q334" s="25"/>
      <c r="R334" s="25"/>
      <c r="S334" s="25"/>
      <c r="T334" s="353" t="b" cm="1">
        <f t="array" ref="T334">T333</f>
        <v>1</v>
      </c>
      <c r="U334" s="25"/>
      <c r="V334" s="25"/>
      <c r="W334" s="25"/>
      <c r="X334" s="1022"/>
      <c r="Z334" s="967"/>
      <c r="AB334" s="7" t="s">
        <v>1988</v>
      </c>
      <c r="AC334" s="543" t="s">
        <v>1989</v>
      </c>
      <c r="AD334" s="7" t="s">
        <v>828</v>
      </c>
      <c r="AE334" s="128">
        <v>926.94398999999999</v>
      </c>
      <c r="AF334" s="128">
        <v>8841.9546134077991</v>
      </c>
      <c r="AG334" s="128">
        <v>926.94398999999999</v>
      </c>
      <c r="AH334" s="171">
        <f t="shared" si="96"/>
        <v>-7915.0106234077994</v>
      </c>
      <c r="AI334" s="128"/>
      <c r="AJ334" s="128"/>
      <c r="AK334" s="542"/>
      <c r="AL334" s="542"/>
      <c r="AM334" s="542"/>
      <c r="AN334" s="542"/>
      <c r="AO334" s="542"/>
      <c r="AP334" s="542"/>
      <c r="AQ334" s="542"/>
      <c r="AR334" s="542"/>
      <c r="AS334" s="542"/>
      <c r="AT334" s="128"/>
      <c r="AU334" s="542"/>
      <c r="AV334" s="542"/>
      <c r="AW334" s="542"/>
      <c r="AX334" s="542"/>
      <c r="AY334" s="542"/>
      <c r="AZ334" s="542"/>
      <c r="BA334" s="542"/>
      <c r="BB334" s="542"/>
      <c r="BC334" s="542"/>
      <c r="BD334" s="171">
        <f t="shared" si="99"/>
        <v>0</v>
      </c>
      <c r="BE334" s="542"/>
      <c r="BF334" s="542"/>
      <c r="BG334" s="542"/>
      <c r="BH334" s="542"/>
      <c r="BI334" s="542"/>
      <c r="BJ334" s="542"/>
      <c r="BK334" s="542"/>
      <c r="BL334" s="542"/>
      <c r="BM334" s="542"/>
      <c r="BN334" s="196" t="s">
        <v>2277</v>
      </c>
      <c r="BO334" s="196"/>
      <c r="BP334" s="196"/>
      <c r="BS334" s="696" t="s">
        <v>1786</v>
      </c>
    </row>
    <row r="335" spans="1:75" s="870" customFormat="1" ht="54.75" customHeight="1" x14ac:dyDescent="0.25">
      <c r="A335" s="76"/>
      <c r="B335" s="332"/>
      <c r="C335" s="27"/>
      <c r="D335" s="27"/>
      <c r="E335" s="559">
        <v>21</v>
      </c>
      <c r="F335" s="3" t="str" cm="1">
        <f t="array" aca="1" ref="F335" ca="1">OFFSET(E335,-1,1)</f>
        <v>2</v>
      </c>
      <c r="G335" s="27"/>
      <c r="H335" s="577"/>
      <c r="I335" s="577" t="s">
        <v>489</v>
      </c>
      <c r="J335" s="27"/>
      <c r="K335" s="277" t="s">
        <v>489</v>
      </c>
      <c r="L335" s="27"/>
      <c r="M335" s="27"/>
      <c r="N335" s="27"/>
      <c r="O335" s="27"/>
      <c r="P335" s="27"/>
      <c r="Q335" s="27"/>
      <c r="R335" s="27"/>
      <c r="S335" s="27"/>
      <c r="T335" s="353" t="b" cm="1">
        <f t="array" ref="T335">T334</f>
        <v>1</v>
      </c>
      <c r="U335" s="27"/>
      <c r="V335" s="27"/>
      <c r="W335" s="27"/>
      <c r="X335" s="1022"/>
      <c r="Y335" s="76"/>
      <c r="Z335" s="967"/>
      <c r="AA335" s="76"/>
      <c r="AB335" s="124" t="s">
        <v>945</v>
      </c>
      <c r="AC335" s="263" t="s">
        <v>1806</v>
      </c>
      <c r="AD335" s="124" t="s">
        <v>828</v>
      </c>
      <c r="AE335" s="126">
        <f ca="1">AE336+AE337+AE338</f>
        <v>4467.3536319987998</v>
      </c>
      <c r="AF335" s="126">
        <f ca="1">AF336+AF337+AF338</f>
        <v>5069.5890930036003</v>
      </c>
      <c r="AG335" s="126">
        <f ca="1">AG336+AG337+AG338</f>
        <v>4467.3536319987998</v>
      </c>
      <c r="AH335" s="126">
        <f t="shared" ca="1" si="96"/>
        <v>-602.23546100480053</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99"/>
        <v>0</v>
      </c>
      <c r="BE335" s="129"/>
      <c r="BF335" s="129"/>
      <c r="BG335" s="129"/>
      <c r="BH335" s="129"/>
      <c r="BI335" s="129"/>
      <c r="BJ335" s="129"/>
      <c r="BK335" s="129"/>
      <c r="BL335" s="129"/>
      <c r="BM335" s="129"/>
      <c r="BN335" s="556" t="s">
        <v>2238</v>
      </c>
      <c r="BO335" s="556"/>
      <c r="BP335" s="556"/>
      <c r="BQ335" s="76"/>
      <c r="BR335" s="76"/>
      <c r="BS335" s="695" t="s">
        <v>1807</v>
      </c>
      <c r="BT335" s="702"/>
      <c r="BU335" s="702"/>
      <c r="BV335" s="511"/>
      <c r="BW335" s="511"/>
    </row>
    <row r="336" spans="1:75" ht="107.25" customHeight="1" x14ac:dyDescent="0.25">
      <c r="C336" s="25"/>
      <c r="D336" s="25"/>
      <c r="E336" s="451">
        <v>22.5</v>
      </c>
      <c r="F336" s="3" t="str" cm="1">
        <f t="array" aca="1" ref="F336" ca="1">OFFSET(E336,-1,1)</f>
        <v>2</v>
      </c>
      <c r="G336" s="25"/>
      <c r="H336" s="577"/>
      <c r="I336" s="577" t="s">
        <v>1357</v>
      </c>
      <c r="J336" s="25"/>
      <c r="K336" s="277" t="s">
        <v>1357</v>
      </c>
      <c r="L336" s="25"/>
      <c r="M336" s="25"/>
      <c r="N336" s="25"/>
      <c r="O336" s="25"/>
      <c r="P336" s="25"/>
      <c r="Q336" s="25"/>
      <c r="R336" s="25"/>
      <c r="S336" s="25"/>
      <c r="T336" s="353" t="b" cm="1">
        <f t="array" ref="T336">T335</f>
        <v>1</v>
      </c>
      <c r="U336" s="25"/>
      <c r="V336" s="25"/>
      <c r="W336" s="25"/>
      <c r="X336" s="1022"/>
      <c r="Z336" s="967"/>
      <c r="AB336" s="7" t="s">
        <v>1358</v>
      </c>
      <c r="AC336" s="134" t="s">
        <v>1990</v>
      </c>
      <c r="AD336" s="7" t="s">
        <v>828</v>
      </c>
      <c r="AE336" s="128">
        <v>243.9336319988</v>
      </c>
      <c r="AF336" s="128">
        <v>728.28941571630003</v>
      </c>
      <c r="AG336" s="128">
        <v>243.9336319988</v>
      </c>
      <c r="AH336" s="171">
        <f t="shared" si="96"/>
        <v>-484.3557837175</v>
      </c>
      <c r="AI336" s="128"/>
      <c r="AJ336" s="128"/>
      <c r="AK336" s="542"/>
      <c r="AL336" s="542"/>
      <c r="AM336" s="542"/>
      <c r="AN336" s="542"/>
      <c r="AO336" s="542"/>
      <c r="AP336" s="542"/>
      <c r="AQ336" s="542"/>
      <c r="AR336" s="542"/>
      <c r="AS336" s="542"/>
      <c r="AT336" s="128"/>
      <c r="AU336" s="542"/>
      <c r="AV336" s="542"/>
      <c r="AW336" s="542"/>
      <c r="AX336" s="542"/>
      <c r="AY336" s="542"/>
      <c r="AZ336" s="542"/>
      <c r="BA336" s="542"/>
      <c r="BB336" s="542"/>
      <c r="BC336" s="542"/>
      <c r="BD336" s="171">
        <f t="shared" si="99"/>
        <v>0</v>
      </c>
      <c r="BE336" s="542"/>
      <c r="BF336" s="542"/>
      <c r="BG336" s="542"/>
      <c r="BH336" s="542"/>
      <c r="BI336" s="542"/>
      <c r="BJ336" s="542"/>
      <c r="BK336" s="542"/>
      <c r="BL336" s="542"/>
      <c r="BM336" s="542"/>
      <c r="BN336" s="196" t="s">
        <v>2278</v>
      </c>
      <c r="BO336" s="196"/>
      <c r="BP336" s="196"/>
      <c r="BS336" s="694" t="s">
        <v>1809</v>
      </c>
    </row>
    <row r="337" spans="1:75" ht="317.25" customHeight="1" x14ac:dyDescent="0.15">
      <c r="C337" s="25"/>
      <c r="D337" s="25"/>
      <c r="E337" s="451">
        <v>22.5</v>
      </c>
      <c r="F337" s="3" t="str" cm="1">
        <f t="array" aca="1" ref="F337" ca="1">OFFSET(E337,-1,1)</f>
        <v>2</v>
      </c>
      <c r="G337" s="25"/>
      <c r="H337" s="577"/>
      <c r="I337" s="577" t="s">
        <v>1361</v>
      </c>
      <c r="J337" s="25"/>
      <c r="K337" s="277" t="s">
        <v>1361</v>
      </c>
      <c r="L337" s="25"/>
      <c r="M337" s="25"/>
      <c r="N337" s="25"/>
      <c r="O337" s="25"/>
      <c r="P337" s="25"/>
      <c r="Q337" s="25"/>
      <c r="R337" s="25"/>
      <c r="S337" s="25"/>
      <c r="T337" s="353" t="b" cm="1">
        <f t="array" ref="T337">T336</f>
        <v>1</v>
      </c>
      <c r="U337" s="25"/>
      <c r="V337" s="25"/>
      <c r="W337" s="25"/>
      <c r="X337" s="1022"/>
      <c r="Z337" s="967"/>
      <c r="AB337" s="7" t="s">
        <v>1362</v>
      </c>
      <c r="AC337" s="134" t="s">
        <v>1991</v>
      </c>
      <c r="AD337" s="7" t="s">
        <v>828</v>
      </c>
      <c r="AE337" s="128">
        <v>4223.42</v>
      </c>
      <c r="AF337" s="128">
        <v>4341.2996772873003</v>
      </c>
      <c r="AG337" s="128">
        <v>4223.42</v>
      </c>
      <c r="AH337" s="171">
        <f t="shared" si="96"/>
        <v>-117.87967728730018</v>
      </c>
      <c r="AI337" s="128"/>
      <c r="AJ337" s="128"/>
      <c r="AK337" s="542"/>
      <c r="AL337" s="542"/>
      <c r="AM337" s="542"/>
      <c r="AN337" s="542"/>
      <c r="AO337" s="542"/>
      <c r="AP337" s="542"/>
      <c r="AQ337" s="542"/>
      <c r="AR337" s="542"/>
      <c r="AS337" s="542"/>
      <c r="AT337" s="128"/>
      <c r="AU337" s="542"/>
      <c r="AV337" s="542"/>
      <c r="AW337" s="542"/>
      <c r="AX337" s="542"/>
      <c r="AY337" s="542"/>
      <c r="AZ337" s="542"/>
      <c r="BA337" s="542"/>
      <c r="BB337" s="542"/>
      <c r="BC337" s="542"/>
      <c r="BD337" s="171">
        <f t="shared" si="99"/>
        <v>0</v>
      </c>
      <c r="BE337" s="542"/>
      <c r="BF337" s="542"/>
      <c r="BG337" s="542"/>
      <c r="BH337" s="542"/>
      <c r="BI337" s="542"/>
      <c r="BJ337" s="542"/>
      <c r="BK337" s="542"/>
      <c r="BL337" s="542"/>
      <c r="BM337" s="542"/>
      <c r="BN337" s="196" t="s">
        <v>2279</v>
      </c>
      <c r="BO337" s="196"/>
      <c r="BP337" s="196"/>
      <c r="BS337" s="696" t="s">
        <v>1992</v>
      </c>
    </row>
    <row r="338" spans="1:75" ht="21.75" customHeight="1" x14ac:dyDescent="0.25">
      <c r="C338" s="25"/>
      <c r="D338" s="25"/>
      <c r="E338" s="451">
        <v>22.5</v>
      </c>
      <c r="F338" s="3" t="str" cm="1">
        <f t="array" aca="1" ref="F338" ca="1">OFFSET(E338,-1,1)</f>
        <v>2</v>
      </c>
      <c r="G338" s="25"/>
      <c r="H338" s="577"/>
      <c r="I338" s="577" t="s">
        <v>1365</v>
      </c>
      <c r="J338" s="25"/>
      <c r="K338" s="277" t="s">
        <v>1365</v>
      </c>
      <c r="L338" s="25" t="s">
        <v>503</v>
      </c>
      <c r="M338" s="25"/>
      <c r="N338" s="25"/>
      <c r="O338" s="25"/>
      <c r="P338" s="25"/>
      <c r="Q338" s="25"/>
      <c r="R338" s="25"/>
      <c r="S338" s="25"/>
      <c r="T338" s="353" t="b" cm="1">
        <f t="array" ref="T338">T337</f>
        <v>1</v>
      </c>
      <c r="U338" s="25"/>
      <c r="V338" s="25"/>
      <c r="W338" s="25"/>
      <c r="X338" s="1022"/>
      <c r="Z338" s="967"/>
      <c r="AB338" s="7" t="s">
        <v>1366</v>
      </c>
      <c r="AC338" s="134" t="s">
        <v>1993</v>
      </c>
      <c r="AD338" s="7" t="s">
        <v>828</v>
      </c>
      <c r="AE338" s="171">
        <f ca="1">AE339+AE340</f>
        <v>0</v>
      </c>
      <c r="AF338" s="171">
        <f ca="1">AF339+AF340</f>
        <v>0</v>
      </c>
      <c r="AG338" s="171">
        <f ca="1">AG339+AG340</f>
        <v>0</v>
      </c>
      <c r="AH338" s="171">
        <f t="shared" ca="1" si="96"/>
        <v>0</v>
      </c>
      <c r="AI338" s="171">
        <f ca="1">AI339+AI340</f>
        <v>0</v>
      </c>
      <c r="AJ338" s="171">
        <f ca="1">AJ339+AJ340</f>
        <v>0</v>
      </c>
      <c r="AK338" s="542"/>
      <c r="AL338" s="542"/>
      <c r="AM338" s="542"/>
      <c r="AN338" s="542"/>
      <c r="AO338" s="542"/>
      <c r="AP338" s="542"/>
      <c r="AQ338" s="542"/>
      <c r="AR338" s="542"/>
      <c r="AS338" s="542"/>
      <c r="AT338" s="171">
        <f ca="1">AT339+AT340</f>
        <v>0</v>
      </c>
      <c r="AU338" s="542"/>
      <c r="AV338" s="542"/>
      <c r="AW338" s="542"/>
      <c r="AX338" s="542"/>
      <c r="AY338" s="542"/>
      <c r="AZ338" s="542"/>
      <c r="BA338" s="542"/>
      <c r="BB338" s="542"/>
      <c r="BC338" s="542"/>
      <c r="BD338" s="171">
        <f t="shared" ca="1" si="99"/>
        <v>0</v>
      </c>
      <c r="BE338" s="542"/>
      <c r="BF338" s="542"/>
      <c r="BG338" s="542"/>
      <c r="BH338" s="542"/>
      <c r="BI338" s="542"/>
      <c r="BJ338" s="542"/>
      <c r="BK338" s="542"/>
      <c r="BL338" s="542"/>
      <c r="BM338" s="542"/>
      <c r="BN338" s="196"/>
      <c r="BO338" s="196"/>
      <c r="BP338" s="196"/>
      <c r="BS338" s="694" t="s">
        <v>1811</v>
      </c>
    </row>
    <row r="339" spans="1:75" ht="14.25" customHeight="1" x14ac:dyDescent="0.25">
      <c r="C339" s="25"/>
      <c r="D339" s="25"/>
      <c r="E339" s="451">
        <v>15</v>
      </c>
      <c r="F339" s="3" t="str" cm="1">
        <f t="array" aca="1" ref="F339" ca="1">OFFSET(E339,-1,1)</f>
        <v>2</v>
      </c>
      <c r="G339" s="571" t="s">
        <v>1177</v>
      </c>
      <c r="H339" s="577"/>
      <c r="I339" s="577" t="s">
        <v>1994</v>
      </c>
      <c r="J339" s="25"/>
      <c r="K339" s="277" t="s">
        <v>1994</v>
      </c>
      <c r="L339" s="25" t="s">
        <v>1812</v>
      </c>
      <c r="M339" s="25"/>
      <c r="N339" s="25"/>
      <c r="O339" s="25"/>
      <c r="P339" s="25"/>
      <c r="Q339" s="25"/>
      <c r="R339" s="25"/>
      <c r="S339" s="25"/>
      <c r="T339" s="353" t="b" cm="1">
        <f t="array" ref="T339">T338</f>
        <v>1</v>
      </c>
      <c r="U339" s="25"/>
      <c r="V339" s="25"/>
      <c r="W339" s="25"/>
      <c r="X339" s="1022"/>
      <c r="Z339" s="967"/>
      <c r="AB339" s="7" t="s">
        <v>1995</v>
      </c>
      <c r="AC339" s="543" t="s">
        <v>1813</v>
      </c>
      <c r="AD339" s="7" t="s">
        <v>828</v>
      </c>
      <c r="AE339" s="171">
        <f ca="1">SUMIFS(ФОТ!AE$25:AE$127,ФОТ!$F$25:$F$127,$F339,ФОТ!$G$25:$G$127,$G339)</f>
        <v>0</v>
      </c>
      <c r="AF339" s="171">
        <f ca="1">SUMIFS(ФОТ!AF$25:AF$127,ФОТ!$F$25:$F$127,$F339,ФОТ!$G$25:$G$127,$G339)</f>
        <v>0</v>
      </c>
      <c r="AG339" s="171">
        <f ca="1">SUMIFS(ФОТ!AG$25:AG$127,ФОТ!$F$25:$F$127,$F339,ФОТ!$G$25:$G$127,$G339)</f>
        <v>0</v>
      </c>
      <c r="AH339" s="171">
        <f t="shared" ca="1" si="96"/>
        <v>0</v>
      </c>
      <c r="AI339" s="171">
        <f ca="1">SUMIFS(ФОТ!AH$25:AH$127,ФОТ!$F$25:$F$127,$F339,ФОТ!$G$25:$G$127,$G339)</f>
        <v>0</v>
      </c>
      <c r="AJ339" s="171">
        <f ca="1">SUMIFS(ФОТ!AI$25:AI$127,ФОТ!$F$25:$F$127,$F339,ФОТ!$G$25:$G$127,$G339)</f>
        <v>0</v>
      </c>
      <c r="AK339" s="542"/>
      <c r="AL339" s="542"/>
      <c r="AM339" s="542"/>
      <c r="AN339" s="542"/>
      <c r="AO339" s="542"/>
      <c r="AP339" s="542"/>
      <c r="AQ339" s="542"/>
      <c r="AR339" s="542"/>
      <c r="AS339" s="542"/>
      <c r="AT339" s="171">
        <f ca="1">SUMIFS(ФОТ!AJ$25:AJ$127,ФОТ!$F$25:$F$127,$F339,ФОТ!$G$25:$G$127,$G339)</f>
        <v>0</v>
      </c>
      <c r="AU339" s="542"/>
      <c r="AV339" s="542"/>
      <c r="AW339" s="542"/>
      <c r="AX339" s="542"/>
      <c r="AY339" s="542"/>
      <c r="AZ339" s="542"/>
      <c r="BA339" s="542"/>
      <c r="BB339" s="542"/>
      <c r="BC339" s="542"/>
      <c r="BD339" s="171">
        <f t="shared" ca="1" si="99"/>
        <v>0</v>
      </c>
      <c r="BE339" s="542"/>
      <c r="BF339" s="542"/>
      <c r="BG339" s="542"/>
      <c r="BH339" s="542"/>
      <c r="BI339" s="542"/>
      <c r="BJ339" s="542"/>
      <c r="BK339" s="542"/>
      <c r="BL339" s="542"/>
      <c r="BM339" s="542"/>
      <c r="BN339" s="196"/>
      <c r="BO339" s="601" t="str">
        <f ca="1">IF(IFERROR(INDEX(ФОТ!$K$26:$L$127,MATCH($F339&amp;"3komm",ФОТ!$K$26:$K$127,0),2),"")=0,"",IFERROR(INDEX(ФОТ!$K$26:$L$127,MATCH($F339&amp;"3komm",ФОТ!$K$26:$K$127,0),2),""))</f>
        <v/>
      </c>
      <c r="BP339" s="196"/>
      <c r="BS339" s="694" t="s">
        <v>1814</v>
      </c>
    </row>
    <row r="340" spans="1:75" ht="21.75" customHeight="1" x14ac:dyDescent="0.25">
      <c r="C340" s="25"/>
      <c r="D340" s="25"/>
      <c r="E340" s="451">
        <v>22.5</v>
      </c>
      <c r="F340" s="3" t="str" cm="1">
        <f t="array" aca="1" ref="F340" ca="1">OFFSET(E340,-1,1)</f>
        <v>2</v>
      </c>
      <c r="G340" s="571" t="s">
        <v>1182</v>
      </c>
      <c r="H340" s="577"/>
      <c r="I340" s="577" t="s">
        <v>1996</v>
      </c>
      <c r="J340" s="25"/>
      <c r="K340" s="277" t="s">
        <v>1996</v>
      </c>
      <c r="L340" s="25" t="s">
        <v>1815</v>
      </c>
      <c r="M340" s="25"/>
      <c r="N340" s="25"/>
      <c r="O340" s="25"/>
      <c r="P340" s="25"/>
      <c r="Q340" s="25"/>
      <c r="R340" s="25"/>
      <c r="S340" s="25"/>
      <c r="T340" s="353" t="b" cm="1">
        <f t="array" ref="T340">T339</f>
        <v>1</v>
      </c>
      <c r="U340" s="25"/>
      <c r="V340" s="25"/>
      <c r="W340" s="25"/>
      <c r="X340" s="1022"/>
      <c r="Z340" s="967"/>
      <c r="AB340" s="7" t="s">
        <v>1997</v>
      </c>
      <c r="AC340" s="543" t="s">
        <v>1998</v>
      </c>
      <c r="AD340" s="7" t="s">
        <v>828</v>
      </c>
      <c r="AE340" s="171">
        <f ca="1">SUMIFS(ФОТ!AE$25:AE$127,ФОТ!$F$25:$F$127,$F340,ФОТ!$G$25:$G$127,$G340)</f>
        <v>0</v>
      </c>
      <c r="AF340" s="171">
        <f ca="1">SUMIFS(ФОТ!AF$25:AF$127,ФОТ!$F$25:$F$127,$F340,ФОТ!$G$25:$G$127,$G340)</f>
        <v>0</v>
      </c>
      <c r="AG340" s="171">
        <f ca="1">SUMIFS(ФОТ!AG$25:AG$127,ФОТ!$F$25:$F$127,$F340,ФОТ!$G$25:$G$127,$G340)</f>
        <v>0</v>
      </c>
      <c r="AH340" s="171">
        <f t="shared" ca="1" si="96"/>
        <v>0</v>
      </c>
      <c r="AI340" s="171">
        <f ca="1">SUMIFS(ФОТ!AH$25:AH$127,ФОТ!$F$25:$F$127,$F340,ФОТ!$G$25:$G$127,$G340)</f>
        <v>0</v>
      </c>
      <c r="AJ340" s="171">
        <f ca="1">SUMIFS(ФОТ!AI$25:AI$127,ФОТ!$F$25:$F$127,$F340,ФОТ!$G$25:$G$127,$G340)</f>
        <v>0</v>
      </c>
      <c r="AK340" s="542"/>
      <c r="AL340" s="542"/>
      <c r="AM340" s="542"/>
      <c r="AN340" s="542"/>
      <c r="AO340" s="542"/>
      <c r="AP340" s="542"/>
      <c r="AQ340" s="542"/>
      <c r="AR340" s="542"/>
      <c r="AS340" s="542"/>
      <c r="AT340" s="171">
        <f ca="1">SUMIFS(ФОТ!AJ$25:AJ$127,ФОТ!$F$25:$F$127,$F340,ФОТ!$G$25:$G$127,$G340)</f>
        <v>0</v>
      </c>
      <c r="AU340" s="542"/>
      <c r="AV340" s="542"/>
      <c r="AW340" s="542"/>
      <c r="AX340" s="542"/>
      <c r="AY340" s="542"/>
      <c r="AZ340" s="542"/>
      <c r="BA340" s="542"/>
      <c r="BB340" s="542"/>
      <c r="BC340" s="542"/>
      <c r="BD340" s="171">
        <f t="shared" ca="1" si="99"/>
        <v>0</v>
      </c>
      <c r="BE340" s="542"/>
      <c r="BF340" s="542"/>
      <c r="BG340" s="542"/>
      <c r="BH340" s="542"/>
      <c r="BI340" s="542"/>
      <c r="BJ340" s="542"/>
      <c r="BK340" s="542"/>
      <c r="BL340" s="542"/>
      <c r="BM340" s="542"/>
      <c r="BN340" s="196"/>
      <c r="BO340" s="601" t="str">
        <f ca="1">IF(IFERROR(INDEX(ФОТ!$K$26:$L$127,MATCH($F340&amp;"4komm",ФОТ!$K$26:$K$127,0),2),"")=0,"",IFERROR(INDEX(ФОТ!$K$26:$L$127,MATCH($F340&amp;"4komm",ФОТ!$K$26:$K$127,0),2),""))</f>
        <v/>
      </c>
      <c r="BP340" s="196"/>
      <c r="BS340" s="694" t="s">
        <v>1817</v>
      </c>
    </row>
    <row r="341" spans="1:75" s="870" customFormat="1" ht="20.25" customHeight="1" x14ac:dyDescent="0.25">
      <c r="A341" s="76"/>
      <c r="B341" s="332"/>
      <c r="C341" s="27"/>
      <c r="D341" s="27"/>
      <c r="E341" s="559">
        <v>21</v>
      </c>
      <c r="F341" s="3" t="str" cm="1">
        <f t="array" aca="1" ref="F341" ca="1">OFFSET(E341,-1,1)</f>
        <v>2</v>
      </c>
      <c r="G341" s="27"/>
      <c r="H341" s="577"/>
      <c r="I341" s="577" t="s">
        <v>493</v>
      </c>
      <c r="J341" s="27"/>
      <c r="K341" s="277" t="s">
        <v>493</v>
      </c>
      <c r="L341" s="27" t="s">
        <v>333</v>
      </c>
      <c r="M341" s="27"/>
      <c r="N341" s="27"/>
      <c r="O341" s="27"/>
      <c r="P341" s="27"/>
      <c r="Q341" s="27"/>
      <c r="R341" s="27"/>
      <c r="S341" s="27"/>
      <c r="T341" s="353" t="b" cm="1">
        <f t="array" ref="T341">T340</f>
        <v>1</v>
      </c>
      <c r="U341" s="27"/>
      <c r="V341" s="27"/>
      <c r="W341" s="27"/>
      <c r="X341" s="1022"/>
      <c r="Y341" s="76"/>
      <c r="Z341" s="967"/>
      <c r="AA341" s="76"/>
      <c r="AB341" s="124" t="s">
        <v>948</v>
      </c>
      <c r="AC341" s="263" t="s">
        <v>1999</v>
      </c>
      <c r="AD341" s="124" t="s">
        <v>828</v>
      </c>
      <c r="AE341" s="126">
        <f ca="1">AE342+AE350+AE353+AE354+AE355+AE356+AE357</f>
        <v>0</v>
      </c>
      <c r="AF341" s="126">
        <f ca="1">AF342+AF350+AF353+AF354+AF355+AF356+AF357</f>
        <v>0</v>
      </c>
      <c r="AG341" s="126">
        <f ca="1">AG342+AG350+AG353+AG354+AG355+AG356+AG357</f>
        <v>0</v>
      </c>
      <c r="AH341" s="126">
        <f t="shared" ca="1" si="96"/>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99"/>
        <v>0</v>
      </c>
      <c r="BE341" s="129"/>
      <c r="BF341" s="129"/>
      <c r="BG341" s="129"/>
      <c r="BH341" s="129"/>
      <c r="BI341" s="129"/>
      <c r="BJ341" s="129"/>
      <c r="BK341" s="129"/>
      <c r="BL341" s="129"/>
      <c r="BM341" s="129"/>
      <c r="BN341" s="556"/>
      <c r="BO341" s="556"/>
      <c r="BP341" s="556"/>
      <c r="BQ341" s="76"/>
      <c r="BR341" s="76"/>
      <c r="BS341" s="695" t="s">
        <v>1819</v>
      </c>
      <c r="BT341" s="702"/>
      <c r="BU341" s="702"/>
      <c r="BV341" s="511"/>
      <c r="BW341" s="511"/>
    </row>
    <row r="342" spans="1:75" ht="21.75" customHeight="1" x14ac:dyDescent="0.25">
      <c r="C342" s="25"/>
      <c r="D342" s="25"/>
      <c r="E342" s="451">
        <v>22.5</v>
      </c>
      <c r="F342" s="3" t="str" cm="1">
        <f t="array" aca="1" ref="F342" ca="1">OFFSET(E342,-1,1)</f>
        <v>2</v>
      </c>
      <c r="G342" s="25" t="s">
        <v>1203</v>
      </c>
      <c r="H342" s="577"/>
      <c r="I342" s="577" t="s">
        <v>1371</v>
      </c>
      <c r="J342" s="25"/>
      <c r="K342" s="277" t="s">
        <v>1371</v>
      </c>
      <c r="L342" s="25" t="s">
        <v>969</v>
      </c>
      <c r="M342" s="25"/>
      <c r="N342" s="25"/>
      <c r="O342" s="25"/>
      <c r="P342" s="25"/>
      <c r="Q342" s="25"/>
      <c r="R342" s="25"/>
      <c r="S342" s="25"/>
      <c r="T342" s="353" t="b" cm="1">
        <f t="array" ref="T342">T341</f>
        <v>1</v>
      </c>
      <c r="U342" s="25"/>
      <c r="V342" s="25"/>
      <c r="W342" s="25"/>
      <c r="X342" s="1022"/>
      <c r="Z342" s="967"/>
      <c r="AB342" s="7" t="s">
        <v>1087</v>
      </c>
      <c r="AC342" s="134" t="s">
        <v>2000</v>
      </c>
      <c r="AD342" s="7" t="s">
        <v>828</v>
      </c>
      <c r="AE342" s="171">
        <f ca="1">SUMIFS(Административные!AE$25:AE$103,Административные!$F$25:$F$103,$F342,Административные!$G$25:$G$103,$G342)</f>
        <v>0</v>
      </c>
      <c r="AF342" s="171">
        <f ca="1">SUMIFS(Административные!AF$25:AF$103,Административные!$F$25:$F$103,$F342,Административные!$G$25:$G$103,$G342)</f>
        <v>0</v>
      </c>
      <c r="AG342" s="171">
        <f ca="1">SUMIFS(Административные!AG$25:AG$103,Административные!$F$25:$F$103,$F342,Административные!$G$25:$G$103,$G342)</f>
        <v>0</v>
      </c>
      <c r="AH342" s="171">
        <f t="shared" ca="1" si="96"/>
        <v>0</v>
      </c>
      <c r="AI342" s="171">
        <f ca="1">SUMIFS(Административные!AH$25:AH$103,Административные!$F$25:$F$103,$F342,Административные!$G$25:$G$103,$G342)</f>
        <v>0</v>
      </c>
      <c r="AJ342" s="171">
        <f ca="1">SUMIFS(Административные!AI$25:AI$103,Административные!$F$25:$F$103,$F342,Административные!$G$25:$G$103,$G342)</f>
        <v>0</v>
      </c>
      <c r="AK342" s="542"/>
      <c r="AL342" s="542"/>
      <c r="AM342" s="542"/>
      <c r="AN342" s="542"/>
      <c r="AO342" s="542"/>
      <c r="AP342" s="542"/>
      <c r="AQ342" s="542"/>
      <c r="AR342" s="542"/>
      <c r="AS342" s="542"/>
      <c r="AT342" s="171">
        <f ca="1">SUMIFS(Административные!AJ$25:AJ$103,Административные!$F$25:$F$103,$F342,Административные!$G$25:$G$103,$G342)</f>
        <v>0</v>
      </c>
      <c r="AU342" s="542"/>
      <c r="AV342" s="542"/>
      <c r="AW342" s="542"/>
      <c r="AX342" s="542"/>
      <c r="AY342" s="542"/>
      <c r="AZ342" s="542"/>
      <c r="BA342" s="542"/>
      <c r="BB342" s="542"/>
      <c r="BC342" s="542"/>
      <c r="BD342" s="171">
        <f t="shared" ca="1" si="99"/>
        <v>0</v>
      </c>
      <c r="BE342" s="542"/>
      <c r="BF342" s="542"/>
      <c r="BG342" s="542"/>
      <c r="BH342" s="542"/>
      <c r="BI342" s="542"/>
      <c r="BJ342" s="542"/>
      <c r="BK342" s="542"/>
      <c r="BL342" s="542"/>
      <c r="BM342" s="542"/>
      <c r="BN342" s="196"/>
      <c r="BO342" s="601" t="str">
        <f ca="1">IF(IFERROR(INDEX(Административные!$K$26:$L$103,MATCH($F342&amp;"17komm",Административные!$K$26:$K$103,0),2),"")=0,"",IFERROR(INDEX(Административные!$K$26:$L$103,MATCH($F342&amp;"17komm",Административные!$K$26:$K$103,0),2),""))</f>
        <v/>
      </c>
      <c r="BP342" s="196"/>
      <c r="BS342" s="694" t="s">
        <v>1205</v>
      </c>
    </row>
    <row r="343" spans="1:75" ht="14.25" customHeight="1" x14ac:dyDescent="0.15">
      <c r="C343" s="25"/>
      <c r="D343" s="25"/>
      <c r="E343" s="451">
        <v>15</v>
      </c>
      <c r="F343" s="3" t="str" cm="1">
        <f t="array" aca="1" ref="F343" ca="1">OFFSET(E343,-1,1)</f>
        <v>2</v>
      </c>
      <c r="G343" s="25" t="s">
        <v>1206</v>
      </c>
      <c r="H343" s="577"/>
      <c r="I343" s="577" t="s">
        <v>2001</v>
      </c>
      <c r="J343" s="25"/>
      <c r="K343" s="277" t="s">
        <v>2001</v>
      </c>
      <c r="L343" s="25"/>
      <c r="M343" s="25"/>
      <c r="N343" s="25"/>
      <c r="O343" s="25"/>
      <c r="P343" s="25"/>
      <c r="Q343" s="25"/>
      <c r="R343" s="25"/>
      <c r="S343" s="25"/>
      <c r="T343" s="353" t="b" cm="1">
        <f t="array" ref="T343">T342</f>
        <v>1</v>
      </c>
      <c r="U343" s="25"/>
      <c r="V343" s="25"/>
      <c r="W343" s="25"/>
      <c r="X343" s="1022"/>
      <c r="Z343" s="967"/>
      <c r="AB343" s="7" t="s">
        <v>2002</v>
      </c>
      <c r="AC343" s="543" t="s">
        <v>1207</v>
      </c>
      <c r="AD343" s="7" t="s">
        <v>828</v>
      </c>
      <c r="AE343" s="171">
        <f ca="1">SUMIFS(Административные!AE$25:AE$103,Административные!$F$25:$F$103,$F343,Административные!$G$25:$G$103,$G343)</f>
        <v>0</v>
      </c>
      <c r="AF343" s="171">
        <f ca="1">SUMIFS(Административные!AF$25:AF$103,Административные!$F$25:$F$103,$F343,Административные!$G$25:$G$103,$G343)</f>
        <v>0</v>
      </c>
      <c r="AG343" s="171">
        <f ca="1">SUMIFS(Административные!AG$25:AG$103,Административные!$F$25:$F$103,$F343,Административные!$G$25:$G$103,$G343)</f>
        <v>0</v>
      </c>
      <c r="AH343" s="171">
        <f t="shared" ca="1" si="96"/>
        <v>0</v>
      </c>
      <c r="AI343" s="171">
        <f ca="1">SUMIFS(Административные!AH$25:AH$103,Административные!$F$25:$F$103,$F343,Административные!$G$25:$G$103,$G343)</f>
        <v>0</v>
      </c>
      <c r="AJ343" s="171">
        <f ca="1">SUMIFS(Административные!AI$25:AI$103,Административные!$F$25:$F$103,$F343,Административные!$G$25:$G$103,$G343)</f>
        <v>0</v>
      </c>
      <c r="AK343" s="542"/>
      <c r="AL343" s="542"/>
      <c r="AM343" s="542"/>
      <c r="AN343" s="542"/>
      <c r="AO343" s="542"/>
      <c r="AP343" s="542"/>
      <c r="AQ343" s="542"/>
      <c r="AR343" s="542"/>
      <c r="AS343" s="542"/>
      <c r="AT343" s="171">
        <f ca="1">SUMIFS(Административные!AJ$25:AJ$103,Административные!$F$25:$F$103,$F343,Административные!$G$25:$G$103,$G343)</f>
        <v>0</v>
      </c>
      <c r="AU343" s="542"/>
      <c r="AV343" s="542"/>
      <c r="AW343" s="542"/>
      <c r="AX343" s="542"/>
      <c r="AY343" s="542"/>
      <c r="AZ343" s="542"/>
      <c r="BA343" s="542"/>
      <c r="BB343" s="542"/>
      <c r="BC343" s="542"/>
      <c r="BD343" s="171">
        <f t="shared" ca="1" si="99"/>
        <v>0</v>
      </c>
      <c r="BE343" s="542"/>
      <c r="BF343" s="542"/>
      <c r="BG343" s="542"/>
      <c r="BH343" s="542"/>
      <c r="BI343" s="542"/>
      <c r="BJ343" s="542"/>
      <c r="BK343" s="542"/>
      <c r="BL343" s="542"/>
      <c r="BM343" s="542"/>
      <c r="BN343" s="196"/>
      <c r="BO343" s="601" t="str">
        <f ca="1">IF(IFERROR(INDEX(Административные!$K$26:$L$103,MATCH($F343&amp;"18komm",Административные!$K$26:$K$103,0),2),"")=0,"",IFERROR(INDEX(Административные!$K$26:$L$103,MATCH($F343&amp;"18komm",Административные!$K$26:$K$103,0),2),""))</f>
        <v/>
      </c>
      <c r="BP343" s="196"/>
      <c r="BS343" s="696" t="s">
        <v>1208</v>
      </c>
    </row>
    <row r="344" spans="1:75" ht="14.25" customHeight="1" x14ac:dyDescent="0.15">
      <c r="C344" s="25"/>
      <c r="D344" s="25"/>
      <c r="E344" s="451">
        <v>15</v>
      </c>
      <c r="F344" s="3" t="str" cm="1">
        <f t="array" aca="1" ref="F344" ca="1">OFFSET(E344,-1,1)</f>
        <v>2</v>
      </c>
      <c r="G344" s="25" t="s">
        <v>1209</v>
      </c>
      <c r="H344" s="577"/>
      <c r="I344" s="577" t="s">
        <v>2003</v>
      </c>
      <c r="J344" s="25"/>
      <c r="K344" s="277" t="s">
        <v>2003</v>
      </c>
      <c r="L344" s="25"/>
      <c r="M344" s="25"/>
      <c r="N344" s="25"/>
      <c r="O344" s="25"/>
      <c r="P344" s="25"/>
      <c r="Q344" s="25"/>
      <c r="R344" s="25"/>
      <c r="S344" s="25"/>
      <c r="T344" s="353" t="b" cm="1">
        <f t="array" ref="T344">T343</f>
        <v>1</v>
      </c>
      <c r="U344" s="25"/>
      <c r="V344" s="25"/>
      <c r="W344" s="25"/>
      <c r="X344" s="1022"/>
      <c r="Z344" s="967"/>
      <c r="AB344" s="7" t="s">
        <v>2004</v>
      </c>
      <c r="AC344" s="543" t="s">
        <v>1210</v>
      </c>
      <c r="AD344" s="7" t="s">
        <v>828</v>
      </c>
      <c r="AE344" s="171">
        <f ca="1">SUMIFS(Административные!AE$25:AE$103,Административные!$F$25:$F$103,$F344,Административные!$G$25:$G$103,$G344)</f>
        <v>0</v>
      </c>
      <c r="AF344" s="171">
        <f ca="1">SUMIFS(Административные!AF$25:AF$103,Административные!$F$25:$F$103,$F344,Административные!$G$25:$G$103,$G344)</f>
        <v>0</v>
      </c>
      <c r="AG344" s="171">
        <f ca="1">SUMIFS(Административные!AG$25:AG$103,Административные!$F$25:$F$103,$F344,Административные!$G$25:$G$103,$G344)</f>
        <v>0</v>
      </c>
      <c r="AH344" s="171">
        <f t="shared" ca="1" si="96"/>
        <v>0</v>
      </c>
      <c r="AI344" s="171">
        <f ca="1">SUMIFS(Административные!AH$25:AH$103,Административные!$F$25:$F$103,$F344,Административные!$G$25:$G$103,$G344)</f>
        <v>0</v>
      </c>
      <c r="AJ344" s="171">
        <f ca="1">SUMIFS(Административные!AI$25:AI$103,Административные!$F$25:$F$103,$F344,Административные!$G$25:$G$103,$G344)</f>
        <v>0</v>
      </c>
      <c r="AK344" s="542"/>
      <c r="AL344" s="542"/>
      <c r="AM344" s="542"/>
      <c r="AN344" s="542"/>
      <c r="AO344" s="542"/>
      <c r="AP344" s="542"/>
      <c r="AQ344" s="542"/>
      <c r="AR344" s="542"/>
      <c r="AS344" s="542"/>
      <c r="AT344" s="171">
        <f ca="1">SUMIFS(Административные!AJ$25:AJ$103,Административные!$F$25:$F$103,$F344,Административные!$G$25:$G$103,$G344)</f>
        <v>0</v>
      </c>
      <c r="AU344" s="542"/>
      <c r="AV344" s="542"/>
      <c r="AW344" s="542"/>
      <c r="AX344" s="542"/>
      <c r="AY344" s="542"/>
      <c r="AZ344" s="542"/>
      <c r="BA344" s="542"/>
      <c r="BB344" s="542"/>
      <c r="BC344" s="542"/>
      <c r="BD344" s="171">
        <f t="shared" ca="1" si="99"/>
        <v>0</v>
      </c>
      <c r="BE344" s="542"/>
      <c r="BF344" s="542"/>
      <c r="BG344" s="542"/>
      <c r="BH344" s="542"/>
      <c r="BI344" s="542"/>
      <c r="BJ344" s="542"/>
      <c r="BK344" s="542"/>
      <c r="BL344" s="542"/>
      <c r="BM344" s="542"/>
      <c r="BN344" s="196"/>
      <c r="BO344" s="601" t="str">
        <f ca="1">IF(IFERROR(INDEX(Административные!$K$26:$L$103,MATCH($F344&amp;"11komm",Административные!$K$26:$K$103,0),2),"")=0,"",IFERROR(INDEX(Административные!$K$26:$L$103,MATCH($F344&amp;"11komm",Административные!$K$26:$K$103,0),2),""))</f>
        <v/>
      </c>
      <c r="BP344" s="196"/>
      <c r="BS344" s="696" t="s">
        <v>1211</v>
      </c>
    </row>
    <row r="345" spans="1:75" ht="14.25" customHeight="1" x14ac:dyDescent="0.15">
      <c r="C345" s="25"/>
      <c r="D345" s="25"/>
      <c r="E345" s="451">
        <v>15</v>
      </c>
      <c r="F345" s="3" t="str" cm="1">
        <f t="array" aca="1" ref="F345" ca="1">OFFSET(E345,-1,1)</f>
        <v>2</v>
      </c>
      <c r="G345" s="25" t="s">
        <v>1212</v>
      </c>
      <c r="H345" s="577"/>
      <c r="I345" s="577" t="s">
        <v>2005</v>
      </c>
      <c r="J345" s="25"/>
      <c r="K345" s="277" t="s">
        <v>2005</v>
      </c>
      <c r="L345" s="25"/>
      <c r="M345" s="25"/>
      <c r="N345" s="25"/>
      <c r="O345" s="25"/>
      <c r="P345" s="25"/>
      <c r="Q345" s="25"/>
      <c r="R345" s="25"/>
      <c r="S345" s="25"/>
      <c r="T345" s="353" t="b" cm="1">
        <f t="array" ref="T345">T344</f>
        <v>1</v>
      </c>
      <c r="U345" s="25"/>
      <c r="V345" s="25"/>
      <c r="W345" s="25"/>
      <c r="X345" s="1022"/>
      <c r="Z345" s="967"/>
      <c r="AB345" s="7" t="s">
        <v>2006</v>
      </c>
      <c r="AC345" s="543" t="s">
        <v>1213</v>
      </c>
      <c r="AD345" s="7" t="s">
        <v>828</v>
      </c>
      <c r="AE345" s="171">
        <f ca="1">SUMIFS(Административные!AE$25:AE$103,Административные!$F$25:$F$103,$F345,Административные!$G$25:$G$103,$G345)</f>
        <v>0</v>
      </c>
      <c r="AF345" s="171">
        <f ca="1">SUMIFS(Административные!AF$25:AF$103,Административные!$F$25:$F$103,$F345,Административные!$G$25:$G$103,$G345)</f>
        <v>0</v>
      </c>
      <c r="AG345" s="171">
        <f ca="1">SUMIFS(Административные!AG$25:AG$103,Административные!$F$25:$F$103,$F345,Административные!$G$25:$G$103,$G345)</f>
        <v>0</v>
      </c>
      <c r="AH345" s="171">
        <f t="shared" ca="1" si="96"/>
        <v>0</v>
      </c>
      <c r="AI345" s="171">
        <f ca="1">SUMIFS(Административные!AH$25:AH$103,Административные!$F$25:$F$103,$F345,Административные!$G$25:$G$103,$G345)</f>
        <v>0</v>
      </c>
      <c r="AJ345" s="171">
        <f ca="1">SUMIFS(Административные!AI$25:AI$103,Административные!$F$25:$F$103,$F345,Административные!$G$25:$G$103,$G345)</f>
        <v>0</v>
      </c>
      <c r="AK345" s="542"/>
      <c r="AL345" s="542"/>
      <c r="AM345" s="542"/>
      <c r="AN345" s="542"/>
      <c r="AO345" s="542"/>
      <c r="AP345" s="542"/>
      <c r="AQ345" s="542"/>
      <c r="AR345" s="542"/>
      <c r="AS345" s="542"/>
      <c r="AT345" s="171">
        <f ca="1">SUMIFS(Административные!AJ$25:AJ$103,Административные!$F$25:$F$103,$F345,Административные!$G$25:$G$103,$G345)</f>
        <v>0</v>
      </c>
      <c r="AU345" s="542"/>
      <c r="AV345" s="542"/>
      <c r="AW345" s="542"/>
      <c r="AX345" s="542"/>
      <c r="AY345" s="542"/>
      <c r="AZ345" s="542"/>
      <c r="BA345" s="542"/>
      <c r="BB345" s="542"/>
      <c r="BC345" s="542"/>
      <c r="BD345" s="171">
        <f t="shared" ca="1" si="99"/>
        <v>0</v>
      </c>
      <c r="BE345" s="542"/>
      <c r="BF345" s="542"/>
      <c r="BG345" s="542"/>
      <c r="BH345" s="542"/>
      <c r="BI345" s="542"/>
      <c r="BJ345" s="542"/>
      <c r="BK345" s="542"/>
      <c r="BL345" s="542"/>
      <c r="BM345" s="542"/>
      <c r="BN345" s="196"/>
      <c r="BO345" s="601" t="str">
        <f ca="1">IF(IFERROR(INDEX(Административные!$K$26:$L$103,MATCH($F345&amp;"12komm",Административные!$K$26:$K$103,0),2),"")=0,"",IFERROR(INDEX(Административные!$K$26:$L$103,MATCH($F345&amp;"12komm",Административные!$K$26:$K$103,0),2),""))</f>
        <v/>
      </c>
      <c r="BP345" s="196"/>
      <c r="BS345" s="696" t="s">
        <v>1214</v>
      </c>
    </row>
    <row r="346" spans="1:75" ht="14.25" customHeight="1" x14ac:dyDescent="0.15">
      <c r="C346" s="25"/>
      <c r="D346" s="25"/>
      <c r="E346" s="451">
        <v>15</v>
      </c>
      <c r="F346" s="3" t="str" cm="1">
        <f t="array" aca="1" ref="F346" ca="1">OFFSET(E346,-1,1)</f>
        <v>2</v>
      </c>
      <c r="G346" s="25" t="s">
        <v>1215</v>
      </c>
      <c r="H346" s="577"/>
      <c r="I346" s="577" t="s">
        <v>2007</v>
      </c>
      <c r="J346" s="25"/>
      <c r="K346" s="277" t="s">
        <v>2007</v>
      </c>
      <c r="L346" s="25"/>
      <c r="M346" s="25"/>
      <c r="N346" s="25"/>
      <c r="O346" s="25"/>
      <c r="P346" s="25"/>
      <c r="Q346" s="25"/>
      <c r="R346" s="25"/>
      <c r="S346" s="25"/>
      <c r="T346" s="353" t="b" cm="1">
        <f t="array" ref="T346">T345</f>
        <v>1</v>
      </c>
      <c r="U346" s="25"/>
      <c r="V346" s="25"/>
      <c r="W346" s="25"/>
      <c r="X346" s="1022"/>
      <c r="Z346" s="967"/>
      <c r="AB346" s="7" t="s">
        <v>2008</v>
      </c>
      <c r="AC346" s="543" t="s">
        <v>1216</v>
      </c>
      <c r="AD346" s="7" t="s">
        <v>828</v>
      </c>
      <c r="AE346" s="171">
        <f ca="1">SUMIFS(Административные!AE$25:AE$103,Административные!$F$25:$F$103,$F346,Административные!$G$25:$G$103,$G346)</f>
        <v>0</v>
      </c>
      <c r="AF346" s="171">
        <f ca="1">SUMIFS(Административные!AF$25:AF$103,Административные!$F$25:$F$103,$F346,Административные!$G$25:$G$103,$G346)</f>
        <v>0</v>
      </c>
      <c r="AG346" s="171">
        <f ca="1">SUMIFS(Административные!AG$25:AG$103,Административные!$F$25:$F$103,$F346,Административные!$G$25:$G$103,$G346)</f>
        <v>0</v>
      </c>
      <c r="AH346" s="171">
        <f t="shared" ca="1" si="96"/>
        <v>0</v>
      </c>
      <c r="AI346" s="171">
        <f ca="1">SUMIFS(Административные!AH$25:AH$103,Административные!$F$25:$F$103,$F346,Административные!$G$25:$G$103,$G346)</f>
        <v>0</v>
      </c>
      <c r="AJ346" s="171">
        <f ca="1">SUMIFS(Административные!AI$25:AI$103,Административные!$F$25:$F$103,$F346,Административные!$G$25:$G$103,$G346)</f>
        <v>0</v>
      </c>
      <c r="AK346" s="542"/>
      <c r="AL346" s="542"/>
      <c r="AM346" s="542"/>
      <c r="AN346" s="542"/>
      <c r="AO346" s="542"/>
      <c r="AP346" s="542"/>
      <c r="AQ346" s="542"/>
      <c r="AR346" s="542"/>
      <c r="AS346" s="542"/>
      <c r="AT346" s="171">
        <f ca="1">SUMIFS(Административные!AJ$25:AJ$103,Административные!$F$25:$F$103,$F346,Административные!$G$25:$G$103,$G346)</f>
        <v>0</v>
      </c>
      <c r="AU346" s="542"/>
      <c r="AV346" s="542"/>
      <c r="AW346" s="542"/>
      <c r="AX346" s="542"/>
      <c r="AY346" s="542"/>
      <c r="AZ346" s="542"/>
      <c r="BA346" s="542"/>
      <c r="BB346" s="542"/>
      <c r="BC346" s="542"/>
      <c r="BD346" s="171">
        <f t="shared" ca="1" si="99"/>
        <v>0</v>
      </c>
      <c r="BE346" s="542"/>
      <c r="BF346" s="542"/>
      <c r="BG346" s="542"/>
      <c r="BH346" s="542"/>
      <c r="BI346" s="542"/>
      <c r="BJ346" s="542"/>
      <c r="BK346" s="542"/>
      <c r="BL346" s="542"/>
      <c r="BM346" s="542"/>
      <c r="BN346" s="196"/>
      <c r="BO346" s="601" t="str">
        <f ca="1">IF(IFERROR(INDEX(Административные!$K$26:$L$103,MATCH($F346&amp;"13komm",Административные!$K$26:$K$103,0),2),"")=0,"",IFERROR(INDEX(Административные!$K$26:$L$103,MATCH($F346&amp;"13komm",Административные!$K$26:$K$103,0),2),""))</f>
        <v/>
      </c>
      <c r="BP346" s="196"/>
      <c r="BS346" s="696" t="s">
        <v>1217</v>
      </c>
    </row>
    <row r="347" spans="1:75" ht="14.25" customHeight="1" x14ac:dyDescent="0.15">
      <c r="C347" s="25"/>
      <c r="D347" s="25"/>
      <c r="E347" s="451">
        <v>15</v>
      </c>
      <c r="F347" s="3" t="str" cm="1">
        <f t="array" aca="1" ref="F347" ca="1">OFFSET(E347,-1,1)</f>
        <v>2</v>
      </c>
      <c r="G347" s="25" t="s">
        <v>1218</v>
      </c>
      <c r="H347" s="577"/>
      <c r="I347" s="577" t="s">
        <v>2009</v>
      </c>
      <c r="J347" s="25"/>
      <c r="K347" s="277" t="s">
        <v>2009</v>
      </c>
      <c r="L347" s="25"/>
      <c r="M347" s="25"/>
      <c r="N347" s="25"/>
      <c r="O347" s="25"/>
      <c r="P347" s="25"/>
      <c r="Q347" s="25"/>
      <c r="R347" s="25"/>
      <c r="S347" s="25"/>
      <c r="T347" s="353" t="b" cm="1">
        <f t="array" ref="T347">T346</f>
        <v>1</v>
      </c>
      <c r="U347" s="25"/>
      <c r="V347" s="25"/>
      <c r="W347" s="25"/>
      <c r="X347" s="1022"/>
      <c r="Z347" s="967"/>
      <c r="AB347" s="7" t="s">
        <v>2010</v>
      </c>
      <c r="AC347" s="543" t="s">
        <v>1219</v>
      </c>
      <c r="AD347" s="7" t="s">
        <v>828</v>
      </c>
      <c r="AE347" s="171">
        <f ca="1">SUMIFS(Административные!AE$25:AE$103,Административные!$F$25:$F$103,$F347,Административные!$G$25:$G$103,$G347)</f>
        <v>0</v>
      </c>
      <c r="AF347" s="171">
        <f ca="1">SUMIFS(Административные!AF$25:AF$103,Административные!$F$25:$F$103,$F347,Административные!$G$25:$G$103,$G347)</f>
        <v>0</v>
      </c>
      <c r="AG347" s="171">
        <f ca="1">SUMIFS(Административные!AG$25:AG$103,Административные!$F$25:$F$103,$F347,Административные!$G$25:$G$103,$G347)</f>
        <v>0</v>
      </c>
      <c r="AH347" s="171">
        <f t="shared" ca="1" si="96"/>
        <v>0</v>
      </c>
      <c r="AI347" s="171">
        <f ca="1">SUMIFS(Административные!AH$25:AH$103,Административные!$F$25:$F$103,$F347,Административные!$G$25:$G$103,$G347)</f>
        <v>0</v>
      </c>
      <c r="AJ347" s="171">
        <f ca="1">SUMIFS(Административные!AI$25:AI$103,Административные!$F$25:$F$103,$F347,Административные!$G$25:$G$103,$G347)</f>
        <v>0</v>
      </c>
      <c r="AK347" s="542"/>
      <c r="AL347" s="542"/>
      <c r="AM347" s="542"/>
      <c r="AN347" s="542"/>
      <c r="AO347" s="542"/>
      <c r="AP347" s="542"/>
      <c r="AQ347" s="542"/>
      <c r="AR347" s="542"/>
      <c r="AS347" s="542"/>
      <c r="AT347" s="171">
        <f ca="1">SUMIFS(Административные!AJ$25:AJ$103,Административные!$F$25:$F$103,$F347,Административные!$G$25:$G$103,$G347)</f>
        <v>0</v>
      </c>
      <c r="AU347" s="542"/>
      <c r="AV347" s="542"/>
      <c r="AW347" s="542"/>
      <c r="AX347" s="542"/>
      <c r="AY347" s="542"/>
      <c r="AZ347" s="542"/>
      <c r="BA347" s="542"/>
      <c r="BB347" s="542"/>
      <c r="BC347" s="542"/>
      <c r="BD347" s="171">
        <f t="shared" ca="1" si="99"/>
        <v>0</v>
      </c>
      <c r="BE347" s="542"/>
      <c r="BF347" s="542"/>
      <c r="BG347" s="542"/>
      <c r="BH347" s="542"/>
      <c r="BI347" s="542"/>
      <c r="BJ347" s="542"/>
      <c r="BK347" s="542"/>
      <c r="BL347" s="542"/>
      <c r="BM347" s="542"/>
      <c r="BN347" s="196"/>
      <c r="BO347" s="601" t="str">
        <f ca="1">IF(IFERROR(INDEX(Административные!$K$26:$L$103,MATCH($F347&amp;"14komm",Административные!$K$26:$K$103,0),2),"")=0,"",IFERROR(INDEX(Административные!$K$26:$L$103,MATCH($F347&amp;"14komm",Административные!$K$26:$K$103,0),2),""))</f>
        <v/>
      </c>
      <c r="BP347" s="196"/>
      <c r="BS347" s="696" t="s">
        <v>2011</v>
      </c>
    </row>
    <row r="348" spans="1:75" ht="14.25" customHeight="1" x14ac:dyDescent="0.15">
      <c r="C348" s="25"/>
      <c r="D348" s="25"/>
      <c r="E348" s="451">
        <v>15</v>
      </c>
      <c r="F348" s="3" t="str" cm="1">
        <f t="array" aca="1" ref="F348" ca="1">OFFSET(E348,-1,1)</f>
        <v>2</v>
      </c>
      <c r="G348" s="25" t="s">
        <v>1221</v>
      </c>
      <c r="H348" s="577"/>
      <c r="I348" s="577" t="s">
        <v>2012</v>
      </c>
      <c r="J348" s="25"/>
      <c r="K348" s="277" t="s">
        <v>2012</v>
      </c>
      <c r="L348" s="25"/>
      <c r="M348" s="25"/>
      <c r="N348" s="25"/>
      <c r="O348" s="25"/>
      <c r="P348" s="25"/>
      <c r="Q348" s="25"/>
      <c r="R348" s="25"/>
      <c r="S348" s="25"/>
      <c r="T348" s="353" t="b" cm="1">
        <f t="array" ref="T348">T347</f>
        <v>1</v>
      </c>
      <c r="U348" s="25"/>
      <c r="V348" s="25"/>
      <c r="W348" s="25"/>
      <c r="X348" s="1022"/>
      <c r="Z348" s="967"/>
      <c r="AB348" s="7" t="s">
        <v>2013</v>
      </c>
      <c r="AC348" s="543" t="s">
        <v>1224</v>
      </c>
      <c r="AD348" s="7" t="s">
        <v>828</v>
      </c>
      <c r="AE348" s="171">
        <f ca="1">SUMIFS(Административные!AE$25:AE$103,Административные!$F$25:$F$103,$F348,Административные!$G$25:$G$103,$G348)</f>
        <v>0</v>
      </c>
      <c r="AF348" s="171">
        <f ca="1">SUMIFS(Административные!AF$25:AF$103,Административные!$F$25:$F$103,$F348,Административные!$G$25:$G$103,$G348)</f>
        <v>0</v>
      </c>
      <c r="AG348" s="171">
        <f ca="1">SUMIFS(Административные!AG$25:AG$103,Административные!$F$25:$F$103,$F348,Административные!$G$25:$G$103,$G348)</f>
        <v>0</v>
      </c>
      <c r="AH348" s="171">
        <f t="shared" ref="AH348:AH379" ca="1" si="101">AG348-AF348</f>
        <v>0</v>
      </c>
      <c r="AI348" s="171">
        <f ca="1">SUMIFS(Административные!AH$25:AH$103,Административные!$F$25:$F$103,$F348,Административные!$G$25:$G$103,$G348)</f>
        <v>0</v>
      </c>
      <c r="AJ348" s="171">
        <f ca="1">SUMIFS(Административные!AI$25:AI$103,Административные!$F$25:$F$103,$F348,Административные!$G$25:$G$103,$G348)</f>
        <v>0</v>
      </c>
      <c r="AK348" s="542"/>
      <c r="AL348" s="542"/>
      <c r="AM348" s="542"/>
      <c r="AN348" s="542"/>
      <c r="AO348" s="542"/>
      <c r="AP348" s="542"/>
      <c r="AQ348" s="542"/>
      <c r="AR348" s="542"/>
      <c r="AS348" s="542"/>
      <c r="AT348" s="171">
        <f ca="1">SUMIFS(Административные!AJ$25:AJ$103,Административные!$F$25:$F$103,$F348,Административные!$G$25:$G$103,$G348)</f>
        <v>0</v>
      </c>
      <c r="AU348" s="542"/>
      <c r="AV348" s="542"/>
      <c r="AW348" s="542"/>
      <c r="AX348" s="542"/>
      <c r="AY348" s="542"/>
      <c r="AZ348" s="542"/>
      <c r="BA348" s="542"/>
      <c r="BB348" s="542"/>
      <c r="BC348" s="542"/>
      <c r="BD348" s="171">
        <f t="shared" ref="BD348:BD364" ca="1" si="102">IF(AI348=0,0,(AT348-AI348)/AI348*100)</f>
        <v>0</v>
      </c>
      <c r="BE348" s="542"/>
      <c r="BF348" s="542"/>
      <c r="BG348" s="542"/>
      <c r="BH348" s="542"/>
      <c r="BI348" s="542"/>
      <c r="BJ348" s="542"/>
      <c r="BK348" s="542"/>
      <c r="BL348" s="542"/>
      <c r="BM348" s="542"/>
      <c r="BN348" s="196"/>
      <c r="BO348" s="601" t="str">
        <f ca="1">IF(IFERROR(INDEX(Административные!$K$26:$L$103,MATCH($F348&amp;"15komm",Административные!$K$26:$K$103,0),2),"")=0,"",IFERROR(INDEX(Административные!$K$26:$L$103,MATCH($F348&amp;"15komm",Административные!$K$26:$K$103,0),2),""))</f>
        <v/>
      </c>
      <c r="BP348" s="196"/>
      <c r="BS348" s="696" t="s">
        <v>1225</v>
      </c>
    </row>
    <row r="349" spans="1:75" ht="14.25" customHeight="1" x14ac:dyDescent="0.15">
      <c r="C349" s="25"/>
      <c r="D349" s="25"/>
      <c r="E349" s="451">
        <v>15</v>
      </c>
      <c r="F349" s="3" t="str" cm="1">
        <f t="array" aca="1" ref="F349" ca="1">OFFSET(E349,-1,1)</f>
        <v>2</v>
      </c>
      <c r="G349" s="25" t="s">
        <v>1226</v>
      </c>
      <c r="H349" s="577"/>
      <c r="I349" s="577" t="s">
        <v>2014</v>
      </c>
      <c r="J349" s="25"/>
      <c r="K349" s="277" t="s">
        <v>2014</v>
      </c>
      <c r="L349" s="25"/>
      <c r="M349" s="25"/>
      <c r="N349" s="25"/>
      <c r="O349" s="25"/>
      <c r="P349" s="25"/>
      <c r="Q349" s="25"/>
      <c r="R349" s="25"/>
      <c r="S349" s="25"/>
      <c r="T349" s="353" t="b" cm="1">
        <f t="array" ref="T349">T348</f>
        <v>1</v>
      </c>
      <c r="U349" s="25"/>
      <c r="V349" s="25"/>
      <c r="W349" s="25"/>
      <c r="X349" s="1022"/>
      <c r="Z349" s="967"/>
      <c r="AB349" s="7" t="s">
        <v>2015</v>
      </c>
      <c r="AC349" s="543" t="s">
        <v>1229</v>
      </c>
      <c r="AD349" s="7" t="s">
        <v>828</v>
      </c>
      <c r="AE349" s="171">
        <f ca="1">SUMIFS(Административные!AE$25:AE$103,Административные!$F$25:$F$103,$F349,Административные!$G$25:$G$103,$G349)</f>
        <v>0</v>
      </c>
      <c r="AF349" s="171">
        <f ca="1">SUMIFS(Административные!AF$25:AF$103,Административные!$F$25:$F$103,$F349,Административные!$G$25:$G$103,$G349)</f>
        <v>0</v>
      </c>
      <c r="AG349" s="171">
        <f ca="1">SUMIFS(Административные!AG$25:AG$103,Административные!$F$25:$F$103,$F349,Административные!$G$25:$G$103,$G349)</f>
        <v>0</v>
      </c>
      <c r="AH349" s="171">
        <f t="shared" ca="1" si="101"/>
        <v>0</v>
      </c>
      <c r="AI349" s="171">
        <f ca="1">SUMIFS(Административные!AH$25:AH$103,Административные!$F$25:$F$103,$F349,Административные!$G$25:$G$103,$G349)</f>
        <v>0</v>
      </c>
      <c r="AJ349" s="171">
        <f ca="1">SUMIFS(Административные!AI$25:AI$103,Административные!$F$25:$F$103,$F349,Административные!$G$25:$G$103,$G349)</f>
        <v>0</v>
      </c>
      <c r="AK349" s="542"/>
      <c r="AL349" s="542"/>
      <c r="AM349" s="542"/>
      <c r="AN349" s="542"/>
      <c r="AO349" s="542"/>
      <c r="AP349" s="542"/>
      <c r="AQ349" s="542"/>
      <c r="AR349" s="542"/>
      <c r="AS349" s="542"/>
      <c r="AT349" s="171">
        <f ca="1">SUMIFS(Административные!AJ$25:AJ$103,Административные!$F$25:$F$103,$F349,Административные!$G$25:$G$103,$G349)</f>
        <v>0</v>
      </c>
      <c r="AU349" s="542"/>
      <c r="AV349" s="542"/>
      <c r="AW349" s="542"/>
      <c r="AX349" s="542"/>
      <c r="AY349" s="542"/>
      <c r="AZ349" s="542"/>
      <c r="BA349" s="542"/>
      <c r="BB349" s="542"/>
      <c r="BC349" s="542"/>
      <c r="BD349" s="171">
        <f t="shared" ca="1" si="102"/>
        <v>0</v>
      </c>
      <c r="BE349" s="542"/>
      <c r="BF349" s="542"/>
      <c r="BG349" s="542"/>
      <c r="BH349" s="542"/>
      <c r="BI349" s="542"/>
      <c r="BJ349" s="542"/>
      <c r="BK349" s="542"/>
      <c r="BL349" s="542"/>
      <c r="BM349" s="542"/>
      <c r="BN349" s="196"/>
      <c r="BO349" s="601" t="str">
        <f ca="1">IF(IFERROR(INDEX(Административные!$K$26:$L$103,MATCH($F349&amp;"16komm",Административные!$K$26:$K$103,0),2),"")=0,"",IFERROR(INDEX(Административные!$K$26:$L$103,MATCH($F349&amp;"16komm",Административные!$K$26:$K$103,0),2),""))</f>
        <v/>
      </c>
      <c r="BP349" s="196"/>
      <c r="BS349" s="696" t="s">
        <v>2016</v>
      </c>
    </row>
    <row r="350" spans="1:75" ht="21.75" customHeight="1" x14ac:dyDescent="0.25">
      <c r="C350" s="25"/>
      <c r="D350" s="25"/>
      <c r="E350" s="451">
        <v>22.5</v>
      </c>
      <c r="F350" s="3" t="str" cm="1">
        <f t="array" aca="1" ref="F350" ca="1">OFFSET(E350,-1,1)</f>
        <v>2</v>
      </c>
      <c r="G350" s="25"/>
      <c r="H350" s="577"/>
      <c r="I350" s="577" t="s">
        <v>1372</v>
      </c>
      <c r="J350" s="25"/>
      <c r="K350" s="277" t="s">
        <v>1372</v>
      </c>
      <c r="L350" s="25" t="s">
        <v>971</v>
      </c>
      <c r="M350" s="25"/>
      <c r="N350" s="25"/>
      <c r="O350" s="25"/>
      <c r="P350" s="25"/>
      <c r="Q350" s="25"/>
      <c r="R350" s="25"/>
      <c r="S350" s="25"/>
      <c r="T350" s="353" t="b" cm="1">
        <f t="array" ref="T350">T349</f>
        <v>1</v>
      </c>
      <c r="U350" s="25"/>
      <c r="V350" s="25"/>
      <c r="W350" s="25"/>
      <c r="X350" s="1022"/>
      <c r="Z350" s="967"/>
      <c r="AB350" s="7" t="s">
        <v>1090</v>
      </c>
      <c r="AC350" s="134" t="s">
        <v>2017</v>
      </c>
      <c r="AD350" s="7" t="s">
        <v>828</v>
      </c>
      <c r="AE350" s="171">
        <f ca="1">AE351+AE352</f>
        <v>0</v>
      </c>
      <c r="AF350" s="171">
        <f ca="1">AF351+AF352</f>
        <v>0</v>
      </c>
      <c r="AG350" s="171">
        <f ca="1">AG351+AG352</f>
        <v>0</v>
      </c>
      <c r="AH350" s="171">
        <f t="shared" ca="1" si="101"/>
        <v>0</v>
      </c>
      <c r="AI350" s="171">
        <f ca="1">AI351+AI352</f>
        <v>0</v>
      </c>
      <c r="AJ350" s="171">
        <f ca="1">AJ351+AJ352</f>
        <v>0</v>
      </c>
      <c r="AK350" s="542"/>
      <c r="AL350" s="542"/>
      <c r="AM350" s="542"/>
      <c r="AN350" s="542"/>
      <c r="AO350" s="542"/>
      <c r="AP350" s="542"/>
      <c r="AQ350" s="542"/>
      <c r="AR350" s="542"/>
      <c r="AS350" s="542"/>
      <c r="AT350" s="171">
        <f ca="1">AT351+AT352</f>
        <v>0</v>
      </c>
      <c r="AU350" s="542"/>
      <c r="AV350" s="542"/>
      <c r="AW350" s="542"/>
      <c r="AX350" s="542"/>
      <c r="AY350" s="542"/>
      <c r="AZ350" s="542"/>
      <c r="BA350" s="542"/>
      <c r="BB350" s="542"/>
      <c r="BC350" s="542"/>
      <c r="BD350" s="171">
        <f t="shared" ca="1" si="102"/>
        <v>0</v>
      </c>
      <c r="BE350" s="542"/>
      <c r="BF350" s="542"/>
      <c r="BG350" s="542"/>
      <c r="BH350" s="542"/>
      <c r="BI350" s="542"/>
      <c r="BJ350" s="542"/>
      <c r="BK350" s="542"/>
      <c r="BL350" s="542"/>
      <c r="BM350" s="542"/>
      <c r="BN350" s="196"/>
      <c r="BO350" s="196"/>
      <c r="BP350" s="196"/>
      <c r="BS350" s="694" t="s">
        <v>1822</v>
      </c>
    </row>
    <row r="351" spans="1:75" ht="14.25" customHeight="1" x14ac:dyDescent="0.25">
      <c r="C351" s="25"/>
      <c r="D351" s="25"/>
      <c r="E351" s="451">
        <v>15</v>
      </c>
      <c r="F351" s="3" t="str" cm="1">
        <f t="array" aca="1" ref="F351" ca="1">OFFSET(E351,-1,1)</f>
        <v>2</v>
      </c>
      <c r="G351" s="25" t="s">
        <v>1185</v>
      </c>
      <c r="H351" s="577"/>
      <c r="I351" s="577" t="s">
        <v>2018</v>
      </c>
      <c r="J351" s="25"/>
      <c r="K351" s="277" t="s">
        <v>2018</v>
      </c>
      <c r="L351" s="25" t="s">
        <v>518</v>
      </c>
      <c r="M351" s="25"/>
      <c r="N351" s="25"/>
      <c r="O351" s="25"/>
      <c r="P351" s="25"/>
      <c r="Q351" s="25"/>
      <c r="R351" s="25"/>
      <c r="S351" s="25"/>
      <c r="T351" s="353" t="b" cm="1">
        <f t="array" ref="T351">T350</f>
        <v>1</v>
      </c>
      <c r="U351" s="25"/>
      <c r="V351" s="25"/>
      <c r="W351" s="25"/>
      <c r="X351" s="1022"/>
      <c r="Z351" s="967"/>
      <c r="AB351" s="7" t="s">
        <v>2019</v>
      </c>
      <c r="AC351" s="543" t="s">
        <v>1823</v>
      </c>
      <c r="AD351" s="545" t="s">
        <v>828</v>
      </c>
      <c r="AE351" s="171">
        <f ca="1">SUMIFS(ФОТ!AE$25:AE$127,ФОТ!$F$25:$F$127,$F351,ФОТ!$G$25:$G$127,$G351)</f>
        <v>0</v>
      </c>
      <c r="AF351" s="171">
        <f ca="1">SUMIFS(ФОТ!AF$25:AF$127,ФОТ!$F$25:$F$127,$F351,ФОТ!$G$25:$G$127,$G351)</f>
        <v>0</v>
      </c>
      <c r="AG351" s="171">
        <f ca="1">SUMIFS(ФОТ!AG$25:AG$127,ФОТ!$F$25:$F$127,$F351,ФОТ!$G$25:$G$127,$G351)</f>
        <v>0</v>
      </c>
      <c r="AH351" s="171">
        <f t="shared" ca="1" si="101"/>
        <v>0</v>
      </c>
      <c r="AI351" s="171">
        <f ca="1">SUMIFS(ФОТ!AH$25:AH$127,ФОТ!$F$25:$F$127,$F351,ФОТ!$G$25:$G$127,$G351)</f>
        <v>0</v>
      </c>
      <c r="AJ351" s="171">
        <f ca="1">SUMIFS(ФОТ!AI$25:AI$127,ФОТ!$F$25:$F$127,$F351,ФОТ!$G$25:$G$127,$G351)</f>
        <v>0</v>
      </c>
      <c r="AK351" s="542"/>
      <c r="AL351" s="542"/>
      <c r="AM351" s="542"/>
      <c r="AN351" s="542"/>
      <c r="AO351" s="542"/>
      <c r="AP351" s="542"/>
      <c r="AQ351" s="542"/>
      <c r="AR351" s="542"/>
      <c r="AS351" s="542"/>
      <c r="AT351" s="171">
        <f ca="1">SUMIFS(ФОТ!AJ$25:AJ$127,ФОТ!$F$25:$F$127,$F351,ФОТ!$G$25:$G$127,$G351)</f>
        <v>0</v>
      </c>
      <c r="AU351" s="542"/>
      <c r="AV351" s="542"/>
      <c r="AW351" s="542"/>
      <c r="AX351" s="542"/>
      <c r="AY351" s="542"/>
      <c r="AZ351" s="542"/>
      <c r="BA351" s="542"/>
      <c r="BB351" s="542"/>
      <c r="BC351" s="542"/>
      <c r="BD351" s="171">
        <f t="shared" ca="1" si="102"/>
        <v>0</v>
      </c>
      <c r="BE351" s="542"/>
      <c r="BF351" s="542"/>
      <c r="BG351" s="542"/>
      <c r="BH351" s="542"/>
      <c r="BI351" s="542"/>
      <c r="BJ351" s="542"/>
      <c r="BK351" s="542"/>
      <c r="BL351" s="542"/>
      <c r="BM351" s="542"/>
      <c r="BN351" s="196"/>
      <c r="BO351" s="601" t="str">
        <f ca="1">IF(IFERROR(INDEX(ФОТ!$K$26:$L$127,MATCH($F351&amp;"5komm",ФОТ!$K$26:$K$127,0),2),"")=0,"",IFERROR(INDEX(ФОТ!$K$26:$L$127,MATCH($F351&amp;"5komm",ФОТ!$K$26:$K$127,0),2),""))</f>
        <v/>
      </c>
      <c r="BP351" s="196"/>
      <c r="BS351" s="694" t="s">
        <v>1202</v>
      </c>
    </row>
    <row r="352" spans="1:75" ht="21.75" customHeight="1" x14ac:dyDescent="0.25">
      <c r="C352" s="25"/>
      <c r="D352" s="25"/>
      <c r="E352" s="451">
        <v>22.5</v>
      </c>
      <c r="F352" s="3" t="str" cm="1">
        <f t="array" aca="1" ref="F352" ca="1">OFFSET(E352,-1,1)</f>
        <v>2</v>
      </c>
      <c r="G352" s="25" t="s">
        <v>1190</v>
      </c>
      <c r="H352" s="577"/>
      <c r="I352" s="577" t="s">
        <v>2020</v>
      </c>
      <c r="J352" s="25"/>
      <c r="K352" s="277" t="s">
        <v>2020</v>
      </c>
      <c r="L352" s="25" t="s">
        <v>523</v>
      </c>
      <c r="M352" s="25"/>
      <c r="N352" s="25"/>
      <c r="O352" s="25"/>
      <c r="P352" s="25"/>
      <c r="Q352" s="25"/>
      <c r="R352" s="25"/>
      <c r="S352" s="25"/>
      <c r="T352" s="353" t="b" cm="1">
        <f t="array" ref="T352">T351</f>
        <v>1</v>
      </c>
      <c r="U352" s="25"/>
      <c r="V352" s="25"/>
      <c r="W352" s="25"/>
      <c r="X352" s="1022"/>
      <c r="Z352" s="967"/>
      <c r="AB352" s="7" t="s">
        <v>2021</v>
      </c>
      <c r="AC352" s="543" t="s">
        <v>2022</v>
      </c>
      <c r="AD352" s="7" t="s">
        <v>828</v>
      </c>
      <c r="AE352" s="171">
        <f ca="1">SUMIFS(ФОТ!AE$25:AE$127,ФОТ!$F$25:$F$127,$F352,ФОТ!$G$25:$G$127,$G352)</f>
        <v>0</v>
      </c>
      <c r="AF352" s="171">
        <f ca="1">SUMIFS(ФОТ!AF$25:AF$127,ФОТ!$F$25:$F$127,$F352,ФОТ!$G$25:$G$127,$G352)</f>
        <v>0</v>
      </c>
      <c r="AG352" s="171">
        <f ca="1">SUMIFS(ФОТ!AG$25:AG$127,ФОТ!$F$25:$F$127,$F352,ФОТ!$G$25:$G$127,$G352)</f>
        <v>0</v>
      </c>
      <c r="AH352" s="171">
        <f t="shared" ca="1" si="101"/>
        <v>0</v>
      </c>
      <c r="AI352" s="171">
        <f ca="1">SUMIFS(ФОТ!AH$25:AH$127,ФОТ!$F$25:$F$127,$F352,ФОТ!$G$25:$G$127,$G352)</f>
        <v>0</v>
      </c>
      <c r="AJ352" s="171">
        <f ca="1">SUMIFS(ФОТ!AI$25:AI$127,ФОТ!$F$25:$F$127,$F352,ФОТ!$G$25:$G$127,$G352)</f>
        <v>0</v>
      </c>
      <c r="AK352" s="542"/>
      <c r="AL352" s="542"/>
      <c r="AM352" s="542"/>
      <c r="AN352" s="542"/>
      <c r="AO352" s="542"/>
      <c r="AP352" s="542"/>
      <c r="AQ352" s="542"/>
      <c r="AR352" s="542"/>
      <c r="AS352" s="542"/>
      <c r="AT352" s="171">
        <f ca="1">SUMIFS(ФОТ!AJ$25:AJ$127,ФОТ!$F$25:$F$127,$F352,ФОТ!$G$25:$G$127,$G352)</f>
        <v>0</v>
      </c>
      <c r="AU352" s="542"/>
      <c r="AV352" s="542"/>
      <c r="AW352" s="542"/>
      <c r="AX352" s="542"/>
      <c r="AY352" s="542"/>
      <c r="AZ352" s="542"/>
      <c r="BA352" s="542"/>
      <c r="BB352" s="542"/>
      <c r="BC352" s="542"/>
      <c r="BD352" s="171">
        <f t="shared" ca="1" si="102"/>
        <v>0</v>
      </c>
      <c r="BE352" s="542"/>
      <c r="BF352" s="542"/>
      <c r="BG352" s="542"/>
      <c r="BH352" s="542"/>
      <c r="BI352" s="542"/>
      <c r="BJ352" s="542"/>
      <c r="BK352" s="542"/>
      <c r="BL352" s="542"/>
      <c r="BM352" s="542"/>
      <c r="BN352" s="196"/>
      <c r="BO352" s="601" t="str">
        <f ca="1">IF(IFERROR(INDEX(ФОТ!$K$26:$L$127,MATCH($F352&amp;"6komm",ФОТ!$K$26:$K$127,0),2),"")=0,"",IFERROR(INDEX(ФОТ!$K$26:$L$127,MATCH($F352&amp;"6komm",ФОТ!$K$26:$K$127,0),2),""))</f>
        <v/>
      </c>
      <c r="BP352" s="196"/>
      <c r="BS352" s="694" t="s">
        <v>1825</v>
      </c>
    </row>
    <row r="353" spans="1:75" ht="32.25" customHeight="1" x14ac:dyDescent="0.25">
      <c r="C353" s="25"/>
      <c r="D353" s="25"/>
      <c r="E353" s="451">
        <v>33.75</v>
      </c>
      <c r="F353" s="3" t="str" cm="1">
        <f t="array" aca="1" ref="F353" ca="1">OFFSET(E353,-1,1)</f>
        <v>2</v>
      </c>
      <c r="G353" s="571" t="s">
        <v>1231</v>
      </c>
      <c r="H353" s="577"/>
      <c r="I353" s="577" t="s">
        <v>1375</v>
      </c>
      <c r="J353" s="25"/>
      <c r="K353" s="277" t="s">
        <v>1375</v>
      </c>
      <c r="L353" s="25" t="s">
        <v>973</v>
      </c>
      <c r="M353" s="25"/>
      <c r="N353" s="25"/>
      <c r="O353" s="25"/>
      <c r="P353" s="25"/>
      <c r="Q353" s="25"/>
      <c r="R353" s="25"/>
      <c r="S353" s="25"/>
      <c r="T353" s="353" t="b" cm="1">
        <f t="array" ref="T353">T352</f>
        <v>1</v>
      </c>
      <c r="U353" s="25"/>
      <c r="V353" s="25"/>
      <c r="W353" s="25"/>
      <c r="X353" s="1022"/>
      <c r="Z353" s="967"/>
      <c r="AB353" s="7" t="s">
        <v>1376</v>
      </c>
      <c r="AC353" s="134" t="s">
        <v>2023</v>
      </c>
      <c r="AD353" s="7" t="s">
        <v>828</v>
      </c>
      <c r="AE353" s="171">
        <f ca="1">SUMIFS(Административные!AE$25:AE$103,Административные!$F$25:$F$103,$F353,Административные!$G$25:$G$103,$G353)</f>
        <v>0</v>
      </c>
      <c r="AF353" s="171">
        <f ca="1">SUMIFS(Административные!AF$25:AF$103,Административные!$F$25:$F$103,$F353,Административные!$G$25:$G$103,$G353)</f>
        <v>0</v>
      </c>
      <c r="AG353" s="171">
        <f ca="1">SUMIFS(Административные!AG$25:AG$103,Административные!$F$25:$F$103,$F353,Административные!$G$25:$G$103,$G353)</f>
        <v>0</v>
      </c>
      <c r="AH353" s="171">
        <f t="shared" ca="1" si="101"/>
        <v>0</v>
      </c>
      <c r="AI353" s="171">
        <f ca="1">SUMIFS(Административные!AH$25:AH$103,Административные!$F$25:$F$103,$F353,Административные!$G$25:$G$103,$G353)</f>
        <v>0</v>
      </c>
      <c r="AJ353" s="171">
        <f ca="1">SUMIFS(Административные!AI$25:AI$103,Административные!$F$25:$F$103,$F353,Административные!$G$25:$G$103,$G353)</f>
        <v>0</v>
      </c>
      <c r="AK353" s="542"/>
      <c r="AL353" s="542"/>
      <c r="AM353" s="542"/>
      <c r="AN353" s="542"/>
      <c r="AO353" s="542"/>
      <c r="AP353" s="542"/>
      <c r="AQ353" s="542"/>
      <c r="AR353" s="542"/>
      <c r="AS353" s="542"/>
      <c r="AT353" s="171">
        <f ca="1">SUMIFS(Административные!AJ$25:AJ$103,Административные!$F$25:$F$103,$F353,Административные!$G$25:$G$103,$G353)</f>
        <v>0</v>
      </c>
      <c r="AU353" s="542"/>
      <c r="AV353" s="542"/>
      <c r="AW353" s="542"/>
      <c r="AX353" s="542"/>
      <c r="AY353" s="542"/>
      <c r="AZ353" s="542"/>
      <c r="BA353" s="542"/>
      <c r="BB353" s="542"/>
      <c r="BC353" s="542"/>
      <c r="BD353" s="171">
        <f t="shared" ca="1" si="102"/>
        <v>0</v>
      </c>
      <c r="BE353" s="542"/>
      <c r="BF353" s="542"/>
      <c r="BG353" s="542"/>
      <c r="BH353" s="542"/>
      <c r="BI353" s="542"/>
      <c r="BJ353" s="542"/>
      <c r="BK353" s="542"/>
      <c r="BL353" s="542"/>
      <c r="BM353" s="542"/>
      <c r="BN353" s="196"/>
      <c r="BO353" s="601" t="str">
        <f ca="1">IF(IFERROR(INDEX(Административные!$K$26:$L$103,MATCH($F353&amp;"2komm",Административные!$K$26:$K$103,0),2),"")=0,"",IFERROR(INDEX(Административные!$K$26:$L$103,MATCH($F353&amp;"2komm",Административные!$K$26:$K$103,0),2),""))</f>
        <v/>
      </c>
      <c r="BP353" s="196"/>
      <c r="BS353" s="694" t="s">
        <v>1233</v>
      </c>
    </row>
    <row r="354" spans="1:75" ht="14.25" customHeight="1" x14ac:dyDescent="0.25">
      <c r="C354" s="25"/>
      <c r="D354" s="25"/>
      <c r="E354" s="451">
        <v>15</v>
      </c>
      <c r="F354" s="3" t="str" cm="1">
        <f t="array" aca="1" ref="F354" ca="1">OFFSET(E354,-1,1)</f>
        <v>2</v>
      </c>
      <c r="G354" s="571" t="s">
        <v>1234</v>
      </c>
      <c r="H354" s="577"/>
      <c r="I354" s="577" t="s">
        <v>1379</v>
      </c>
      <c r="J354" s="25"/>
      <c r="K354" s="277" t="s">
        <v>1379</v>
      </c>
      <c r="L354" s="25" t="s">
        <v>975</v>
      </c>
      <c r="M354" s="25"/>
      <c r="N354" s="25"/>
      <c r="O354" s="25"/>
      <c r="P354" s="25"/>
      <c r="Q354" s="25"/>
      <c r="R354" s="25"/>
      <c r="S354" s="25"/>
      <c r="T354" s="353" t="b" cm="1">
        <f t="array" ref="T354">T353</f>
        <v>1</v>
      </c>
      <c r="U354" s="25"/>
      <c r="V354" s="25"/>
      <c r="W354" s="25"/>
      <c r="X354" s="1022"/>
      <c r="Z354" s="967"/>
      <c r="AB354" s="7" t="s">
        <v>1380</v>
      </c>
      <c r="AC354" s="134" t="s">
        <v>2024</v>
      </c>
      <c r="AD354" s="7" t="s">
        <v>828</v>
      </c>
      <c r="AE354" s="171">
        <f ca="1">SUMIFS(Административные!AE$25:AE$103,Административные!$F$25:$F$103,$F354,Административные!$G$25:$G$103,$G354)</f>
        <v>0</v>
      </c>
      <c r="AF354" s="171">
        <f ca="1">SUMIFS(Административные!AF$25:AF$103,Административные!$F$25:$F$103,$F354,Административные!$G$25:$G$103,$G354)</f>
        <v>0</v>
      </c>
      <c r="AG354" s="171">
        <f ca="1">SUMIFS(Административные!AG$25:AG$103,Административные!$F$25:$F$103,$F354,Административные!$G$25:$G$103,$G354)</f>
        <v>0</v>
      </c>
      <c r="AH354" s="171">
        <f t="shared" ca="1" si="101"/>
        <v>0</v>
      </c>
      <c r="AI354" s="171">
        <f ca="1">SUMIFS(Административные!AH$25:AH$103,Административные!$F$25:$F$103,$F354,Административные!$G$25:$G$103,$G354)</f>
        <v>0</v>
      </c>
      <c r="AJ354" s="171">
        <f ca="1">SUMIFS(Административные!AI$25:AI$103,Административные!$F$25:$F$103,$F354,Административные!$G$25:$G$103,$G354)</f>
        <v>0</v>
      </c>
      <c r="AK354" s="542"/>
      <c r="AL354" s="542"/>
      <c r="AM354" s="542"/>
      <c r="AN354" s="542"/>
      <c r="AO354" s="542"/>
      <c r="AP354" s="542"/>
      <c r="AQ354" s="542"/>
      <c r="AR354" s="542"/>
      <c r="AS354" s="542"/>
      <c r="AT354" s="171">
        <f ca="1">SUMIFS(Административные!AJ$25:AJ$103,Административные!$F$25:$F$103,$F354,Административные!$G$25:$G$103,$G354)</f>
        <v>0</v>
      </c>
      <c r="AU354" s="542"/>
      <c r="AV354" s="542"/>
      <c r="AW354" s="542"/>
      <c r="AX354" s="542"/>
      <c r="AY354" s="542"/>
      <c r="AZ354" s="542"/>
      <c r="BA354" s="542"/>
      <c r="BB354" s="542"/>
      <c r="BC354" s="542"/>
      <c r="BD354" s="171">
        <f t="shared" ca="1" si="102"/>
        <v>0</v>
      </c>
      <c r="BE354" s="542"/>
      <c r="BF354" s="542"/>
      <c r="BG354" s="542"/>
      <c r="BH354" s="542"/>
      <c r="BI354" s="542"/>
      <c r="BJ354" s="542"/>
      <c r="BK354" s="542"/>
      <c r="BL354" s="542"/>
      <c r="BM354" s="542"/>
      <c r="BN354" s="196"/>
      <c r="BO354" s="601" t="str">
        <f ca="1">IF(IFERROR(INDEX(Административные!$K$26:$L$103,MATCH($F354&amp;"3komm",Административные!$K$26:$K$103,0),2),"")=0,"",IFERROR(INDEX(Административные!$K$26:$L$103,MATCH($F354&amp;"3komm",Административные!$K$26:$K$103,0),2),""))</f>
        <v/>
      </c>
      <c r="BP354" s="196"/>
      <c r="BS354" s="694" t="s">
        <v>1236</v>
      </c>
    </row>
    <row r="355" spans="1:75" ht="14.25" customHeight="1" x14ac:dyDescent="0.25">
      <c r="C355" s="25"/>
      <c r="D355" s="25"/>
      <c r="E355" s="451">
        <v>15</v>
      </c>
      <c r="F355" s="3" t="str" cm="1">
        <f t="array" aca="1" ref="F355" ca="1">OFFSET(E355,-1,1)</f>
        <v>2</v>
      </c>
      <c r="G355" s="571" t="s">
        <v>1237</v>
      </c>
      <c r="H355" s="577"/>
      <c r="I355" s="577" t="s">
        <v>2025</v>
      </c>
      <c r="J355" s="25"/>
      <c r="K355" s="277" t="s">
        <v>2025</v>
      </c>
      <c r="L355" s="25" t="s">
        <v>978</v>
      </c>
      <c r="M355" s="25"/>
      <c r="N355" s="25"/>
      <c r="O355" s="25"/>
      <c r="P355" s="25"/>
      <c r="Q355" s="25"/>
      <c r="R355" s="25"/>
      <c r="S355" s="25"/>
      <c r="T355" s="353" t="b" cm="1">
        <f t="array" ref="T355">T354</f>
        <v>1</v>
      </c>
      <c r="U355" s="25"/>
      <c r="V355" s="25"/>
      <c r="W355" s="25"/>
      <c r="X355" s="1022"/>
      <c r="Z355" s="967"/>
      <c r="AB355" s="7" t="s">
        <v>2026</v>
      </c>
      <c r="AC355" s="134" t="s">
        <v>2027</v>
      </c>
      <c r="AD355" s="7" t="s">
        <v>828</v>
      </c>
      <c r="AE355" s="171">
        <f ca="1">SUMIFS(Административные!AE$25:AE$103,Административные!$F$25:$F$103,$F355,Административные!$G$25:$G$103,$G355)</f>
        <v>0</v>
      </c>
      <c r="AF355" s="171">
        <f ca="1">SUMIFS(Административные!AF$25:AF$103,Административные!$F$25:$F$103,$F355,Административные!$G$25:$G$103,$G355)</f>
        <v>0</v>
      </c>
      <c r="AG355" s="171">
        <f ca="1">SUMIFS(Административные!AG$25:AG$103,Административные!$F$25:$F$103,$F355,Административные!$G$25:$G$103,$G355)</f>
        <v>0</v>
      </c>
      <c r="AH355" s="171">
        <f t="shared" ca="1" si="101"/>
        <v>0</v>
      </c>
      <c r="AI355" s="171">
        <f ca="1">SUMIFS(Административные!AH$25:AH$103,Административные!$F$25:$F$103,$F355,Административные!$G$25:$G$103,$G355)</f>
        <v>0</v>
      </c>
      <c r="AJ355" s="171">
        <f ca="1">SUMIFS(Административные!AI$25:AI$103,Административные!$F$25:$F$103,$F355,Административные!$G$25:$G$103,$G355)</f>
        <v>0</v>
      </c>
      <c r="AK355" s="542"/>
      <c r="AL355" s="542"/>
      <c r="AM355" s="542"/>
      <c r="AN355" s="542"/>
      <c r="AO355" s="542"/>
      <c r="AP355" s="542"/>
      <c r="AQ355" s="542"/>
      <c r="AR355" s="542"/>
      <c r="AS355" s="542"/>
      <c r="AT355" s="171">
        <f ca="1">SUMIFS(Административные!AJ$25:AJ$103,Административные!$F$25:$F$103,$F355,Административные!$G$25:$G$103,$G355)</f>
        <v>0</v>
      </c>
      <c r="AU355" s="542"/>
      <c r="AV355" s="542"/>
      <c r="AW355" s="542"/>
      <c r="AX355" s="542"/>
      <c r="AY355" s="542"/>
      <c r="AZ355" s="542"/>
      <c r="BA355" s="542"/>
      <c r="BB355" s="542"/>
      <c r="BC355" s="542"/>
      <c r="BD355" s="171">
        <f t="shared" ca="1" si="102"/>
        <v>0</v>
      </c>
      <c r="BE355" s="542"/>
      <c r="BF355" s="542"/>
      <c r="BG355" s="542"/>
      <c r="BH355" s="542"/>
      <c r="BI355" s="542"/>
      <c r="BJ355" s="542"/>
      <c r="BK355" s="542"/>
      <c r="BL355" s="542"/>
      <c r="BM355" s="542"/>
      <c r="BN355" s="196"/>
      <c r="BO355" s="601" t="str">
        <f ca="1">IF(IFERROR(INDEX(Административные!$K$26:$L$103,MATCH($F355&amp;"4komm",Административные!$K$26:$K$103,0),2),"")=0,"",IFERROR(INDEX(Административные!$K$26:$L$103,MATCH($F355&amp;"4komm",Административные!$K$26:$K$103,0),2),""))</f>
        <v/>
      </c>
      <c r="BP355" s="196"/>
      <c r="BS355" s="694" t="s">
        <v>1239</v>
      </c>
    </row>
    <row r="356" spans="1:75" ht="14.25" customHeight="1" x14ac:dyDescent="0.25">
      <c r="C356" s="25"/>
      <c r="D356" s="25"/>
      <c r="E356" s="451">
        <v>15</v>
      </c>
      <c r="F356" s="3" t="str" cm="1">
        <f t="array" aca="1" ref="F356" ca="1">OFFSET(E356,-1,1)</f>
        <v>2</v>
      </c>
      <c r="G356" s="571" t="s">
        <v>1240</v>
      </c>
      <c r="H356" s="577"/>
      <c r="I356" s="577" t="s">
        <v>2028</v>
      </c>
      <c r="J356" s="25"/>
      <c r="K356" s="277" t="s">
        <v>2028</v>
      </c>
      <c r="L356" s="25" t="s">
        <v>1222</v>
      </c>
      <c r="M356" s="25"/>
      <c r="N356" s="25"/>
      <c r="O356" s="25"/>
      <c r="P356" s="25"/>
      <c r="Q356" s="25"/>
      <c r="R356" s="25"/>
      <c r="S356" s="25"/>
      <c r="T356" s="353" t="b" cm="1">
        <f t="array" ref="T356">T355</f>
        <v>1</v>
      </c>
      <c r="U356" s="25"/>
      <c r="V356" s="25"/>
      <c r="W356" s="25"/>
      <c r="X356" s="1022"/>
      <c r="Z356" s="967"/>
      <c r="AB356" s="7" t="s">
        <v>2029</v>
      </c>
      <c r="AC356" s="134" t="s">
        <v>2030</v>
      </c>
      <c r="AD356" s="7" t="s">
        <v>828</v>
      </c>
      <c r="AE356" s="171">
        <f ca="1">SUMIFS(Административные!AE$25:AE$103,Административные!$F$25:$F$103,$F356,Административные!$G$25:$G$103,$G356)</f>
        <v>0</v>
      </c>
      <c r="AF356" s="171">
        <f ca="1">SUMIFS(Административные!AF$25:AF$103,Административные!$F$25:$F$103,$F356,Административные!$G$25:$G$103,$G356)</f>
        <v>0</v>
      </c>
      <c r="AG356" s="171">
        <f ca="1">SUMIFS(Административные!AG$25:AG$103,Административные!$F$25:$F$103,$F356,Административные!$G$25:$G$103,$G356)</f>
        <v>0</v>
      </c>
      <c r="AH356" s="171">
        <f t="shared" ca="1" si="101"/>
        <v>0</v>
      </c>
      <c r="AI356" s="171">
        <f ca="1">SUMIFS(Административные!AH$25:AH$103,Административные!$F$25:$F$103,$F356,Административные!$G$25:$G$103,$G356)</f>
        <v>0</v>
      </c>
      <c r="AJ356" s="171">
        <f ca="1">SUMIFS(Административные!AI$25:AI$103,Административные!$F$25:$F$103,$F356,Административные!$G$25:$G$103,$G356)</f>
        <v>0</v>
      </c>
      <c r="AK356" s="542"/>
      <c r="AL356" s="542"/>
      <c r="AM356" s="542"/>
      <c r="AN356" s="542"/>
      <c r="AO356" s="542"/>
      <c r="AP356" s="542"/>
      <c r="AQ356" s="542"/>
      <c r="AR356" s="542"/>
      <c r="AS356" s="542"/>
      <c r="AT356" s="171">
        <f ca="1">SUMIFS(Административные!AJ$25:AJ$103,Административные!$F$25:$F$103,$F356,Административные!$G$25:$G$103,$G356)</f>
        <v>0</v>
      </c>
      <c r="AU356" s="542"/>
      <c r="AV356" s="542"/>
      <c r="AW356" s="542"/>
      <c r="AX356" s="542"/>
      <c r="AY356" s="542"/>
      <c r="AZ356" s="542"/>
      <c r="BA356" s="542"/>
      <c r="BB356" s="542"/>
      <c r="BC356" s="542"/>
      <c r="BD356" s="171">
        <f t="shared" ca="1" si="102"/>
        <v>0</v>
      </c>
      <c r="BE356" s="542"/>
      <c r="BF356" s="542"/>
      <c r="BG356" s="542"/>
      <c r="BH356" s="542"/>
      <c r="BI356" s="542"/>
      <c r="BJ356" s="542"/>
      <c r="BK356" s="542"/>
      <c r="BL356" s="542"/>
      <c r="BM356" s="542"/>
      <c r="BN356" s="196"/>
      <c r="BO356" s="601" t="str">
        <f ca="1">IF(IFERROR(INDEX(Административные!$K$26:$L$103,MATCH($F356&amp;"5komm",Административные!$K$26:$K$103,0),2),"")=0,"",IFERROR(INDEX(Административные!$K$26:$L$103,MATCH($F356&amp;"5komm",Административные!$K$26:$K$103,0),2),""))</f>
        <v/>
      </c>
      <c r="BP356" s="196"/>
      <c r="BS356" s="694" t="s">
        <v>1827</v>
      </c>
    </row>
    <row r="357" spans="1:75" ht="14.25" customHeight="1" x14ac:dyDescent="0.25">
      <c r="C357" s="25"/>
      <c r="D357" s="25"/>
      <c r="E357" s="451">
        <v>15</v>
      </c>
      <c r="F357" s="3" t="str" cm="1">
        <f t="array" aca="1" ref="F357" ca="1">OFFSET(E357,-1,1)</f>
        <v>2</v>
      </c>
      <c r="G357" s="571" t="s">
        <v>1243</v>
      </c>
      <c r="H357" s="577"/>
      <c r="I357" s="577" t="s">
        <v>2031</v>
      </c>
      <c r="J357" s="25"/>
      <c r="K357" s="277" t="s">
        <v>2031</v>
      </c>
      <c r="L357" s="25" t="s">
        <v>1227</v>
      </c>
      <c r="M357" s="25"/>
      <c r="N357" s="25"/>
      <c r="O357" s="25"/>
      <c r="P357" s="25"/>
      <c r="Q357" s="25"/>
      <c r="R357" s="25"/>
      <c r="S357" s="25"/>
      <c r="T357" s="353" t="b" cm="1">
        <f t="array" ref="T357">T356</f>
        <v>1</v>
      </c>
      <c r="U357" s="25"/>
      <c r="V357" s="25"/>
      <c r="W357" s="25"/>
      <c r="X357" s="1022"/>
      <c r="Z357" s="967"/>
      <c r="AB357" s="7" t="s">
        <v>2032</v>
      </c>
      <c r="AC357" s="134" t="s">
        <v>2033</v>
      </c>
      <c r="AD357" s="7" t="s">
        <v>828</v>
      </c>
      <c r="AE357" s="171">
        <f ca="1">SUMIFS(Административные!AE$25:AE$103,Административные!$F$25:$F$103,$F357,Административные!$G$25:$G$103,$G357)</f>
        <v>0</v>
      </c>
      <c r="AF357" s="171">
        <f ca="1">SUMIFS(Административные!AF$25:AF$103,Административные!$F$25:$F$103,$F357,Административные!$G$25:$G$103,$G357)</f>
        <v>0</v>
      </c>
      <c r="AG357" s="171">
        <f ca="1">SUMIFS(Административные!AG$25:AG$103,Административные!$F$25:$F$103,$F357,Административные!$G$25:$G$103,$G357)</f>
        <v>0</v>
      </c>
      <c r="AH357" s="171">
        <f t="shared" ca="1" si="101"/>
        <v>0</v>
      </c>
      <c r="AI357" s="171">
        <f ca="1">SUMIFS(Административные!AH$25:AH$103,Административные!$F$25:$F$103,$F357,Административные!$G$25:$G$103,$G357)</f>
        <v>0</v>
      </c>
      <c r="AJ357" s="171">
        <f ca="1">SUMIFS(Административные!AI$25:AI$103,Административные!$F$25:$F$103,$F357,Административные!$G$25:$G$103,$G357)</f>
        <v>0</v>
      </c>
      <c r="AK357" s="542"/>
      <c r="AL357" s="542"/>
      <c r="AM357" s="542"/>
      <c r="AN357" s="542"/>
      <c r="AO357" s="542"/>
      <c r="AP357" s="542"/>
      <c r="AQ357" s="542"/>
      <c r="AR357" s="542"/>
      <c r="AS357" s="542"/>
      <c r="AT357" s="171">
        <f ca="1">SUMIFS(Административные!AJ$25:AJ$103,Административные!$F$25:$F$103,$F357,Административные!$G$25:$G$103,$G357)</f>
        <v>0</v>
      </c>
      <c r="AU357" s="542"/>
      <c r="AV357" s="542"/>
      <c r="AW357" s="542"/>
      <c r="AX357" s="542"/>
      <c r="AY357" s="542"/>
      <c r="AZ357" s="542"/>
      <c r="BA357" s="542"/>
      <c r="BB357" s="542"/>
      <c r="BC357" s="542"/>
      <c r="BD357" s="171">
        <f t="shared" ca="1" si="102"/>
        <v>0</v>
      </c>
      <c r="BE357" s="542"/>
      <c r="BF357" s="542"/>
      <c r="BG357" s="542"/>
      <c r="BH357" s="542"/>
      <c r="BI357" s="542"/>
      <c r="BJ357" s="542"/>
      <c r="BK357" s="542"/>
      <c r="BL357" s="542"/>
      <c r="BM357" s="542"/>
      <c r="BN357" s="196"/>
      <c r="BO357" s="601" t="str">
        <f ca="1">IF(IFERROR(INDEX(Административные!$K$26:$L$103,MATCH($F357&amp;"6komm",Административные!$K$26:$K$103,0),2),"")=0,"",IFERROR(INDEX(Административные!$K$26:$L$103,MATCH($F357&amp;"6komm",Административные!$K$26:$K$103,0),2),""))</f>
        <v/>
      </c>
      <c r="BP357" s="196"/>
      <c r="BS357" s="694" t="s">
        <v>1829</v>
      </c>
    </row>
    <row r="358" spans="1:75" ht="14.25" customHeight="1" x14ac:dyDescent="0.25">
      <c r="C358" s="25"/>
      <c r="D358" s="25"/>
      <c r="E358" s="451">
        <v>15</v>
      </c>
      <c r="F358" s="3" t="str" cm="1">
        <f t="array" aca="1" ref="F358" ca="1">OFFSET(E358,-1,1)</f>
        <v>2</v>
      </c>
      <c r="G358" s="571" t="s">
        <v>1245</v>
      </c>
      <c r="H358" s="577"/>
      <c r="I358" s="577" t="s">
        <v>2034</v>
      </c>
      <c r="J358" s="25"/>
      <c r="K358" s="277" t="s">
        <v>2034</v>
      </c>
      <c r="L358" s="25" t="s">
        <v>1830</v>
      </c>
      <c r="M358" s="25"/>
      <c r="N358" s="25"/>
      <c r="O358" s="25"/>
      <c r="P358" s="25"/>
      <c r="Q358" s="25"/>
      <c r="R358" s="25"/>
      <c r="S358" s="25"/>
      <c r="T358" s="353" t="b" cm="1">
        <f t="array" ref="T358">T357</f>
        <v>1</v>
      </c>
      <c r="U358" s="25"/>
      <c r="V358" s="25"/>
      <c r="W358" s="25"/>
      <c r="X358" s="1022"/>
      <c r="Z358" s="967"/>
      <c r="AB358" s="7" t="s">
        <v>2035</v>
      </c>
      <c r="AC358" s="543" t="s">
        <v>1832</v>
      </c>
      <c r="AD358" s="7" t="s">
        <v>828</v>
      </c>
      <c r="AE358" s="171">
        <f ca="1">SUMIFS(Административные!AE$25:AE$103,Административные!$F$25:$F$103,$F358,Административные!$G$25:$G$103,$G358)</f>
        <v>0</v>
      </c>
      <c r="AF358" s="171">
        <f ca="1">SUMIFS(Административные!AF$25:AF$103,Административные!$F$25:$F$103,$F358,Административные!$G$25:$G$103,$G358)</f>
        <v>0</v>
      </c>
      <c r="AG358" s="171">
        <f ca="1">SUMIFS(Административные!AG$25:AG$103,Административные!$F$25:$F$103,$F358,Административные!$G$25:$G$103,$G358)</f>
        <v>0</v>
      </c>
      <c r="AH358" s="171">
        <f t="shared" ca="1" si="101"/>
        <v>0</v>
      </c>
      <c r="AI358" s="171">
        <f ca="1">SUMIFS(Административные!AH$25:AH$103,Административные!$F$25:$F$103,$F358,Административные!$G$25:$G$103,$G358)</f>
        <v>0</v>
      </c>
      <c r="AJ358" s="171">
        <f ca="1">SUMIFS(Административные!AI$25:AI$103,Административные!$F$25:$F$103,$F358,Административные!$G$25:$G$103,$G358)</f>
        <v>0</v>
      </c>
      <c r="AK358" s="542"/>
      <c r="AL358" s="542"/>
      <c r="AM358" s="542"/>
      <c r="AN358" s="542"/>
      <c r="AO358" s="542"/>
      <c r="AP358" s="542"/>
      <c r="AQ358" s="542"/>
      <c r="AR358" s="542"/>
      <c r="AS358" s="542"/>
      <c r="AT358" s="171">
        <f ca="1">SUMIFS(Административные!AJ$25:AJ$103,Административные!$F$25:$F$103,$F358,Административные!$G$25:$G$103,$G358)</f>
        <v>0</v>
      </c>
      <c r="AU358" s="542"/>
      <c r="AV358" s="542"/>
      <c r="AW358" s="542"/>
      <c r="AX358" s="542"/>
      <c r="AY358" s="542"/>
      <c r="AZ358" s="542"/>
      <c r="BA358" s="542"/>
      <c r="BB358" s="542"/>
      <c r="BC358" s="542"/>
      <c r="BD358" s="171">
        <f t="shared" ca="1" si="102"/>
        <v>0</v>
      </c>
      <c r="BE358" s="542"/>
      <c r="BF358" s="542"/>
      <c r="BG358" s="542"/>
      <c r="BH358" s="542"/>
      <c r="BI358" s="542"/>
      <c r="BJ358" s="542"/>
      <c r="BK358" s="542"/>
      <c r="BL358" s="542"/>
      <c r="BM358" s="542"/>
      <c r="BN358" s="196"/>
      <c r="BO358" s="601" t="str">
        <f ca="1">IF(IFERROR(INDEX(Административные!$K$26:$L$103,MATCH($F358&amp;"7komm",Административные!$K$26:$K$103,0),2),"")=0,"",IFERROR(INDEX(Административные!$K$26:$L$103,MATCH($F358&amp;"7komm",Административные!$K$26:$K$103,0),2),""))</f>
        <v/>
      </c>
      <c r="BP358" s="196"/>
      <c r="BS358" s="694" t="s">
        <v>1833</v>
      </c>
    </row>
    <row r="359" spans="1:75" ht="14.25" customHeight="1" x14ac:dyDescent="0.25">
      <c r="C359" s="25"/>
      <c r="D359" s="25"/>
      <c r="E359" s="451">
        <v>15</v>
      </c>
      <c r="F359" s="3" t="str" cm="1">
        <f t="array" aca="1" ref="F359" ca="1">OFFSET(E359,-1,1)</f>
        <v>2</v>
      </c>
      <c r="G359" s="571" t="s">
        <v>1248</v>
      </c>
      <c r="H359" s="577"/>
      <c r="I359" s="577" t="s">
        <v>2036</v>
      </c>
      <c r="J359" s="25"/>
      <c r="K359" s="277" t="s">
        <v>2036</v>
      </c>
      <c r="L359" s="25" t="s">
        <v>1834</v>
      </c>
      <c r="M359" s="25"/>
      <c r="N359" s="25"/>
      <c r="O359" s="25"/>
      <c r="P359" s="25"/>
      <c r="Q359" s="25"/>
      <c r="R359" s="25"/>
      <c r="S359" s="25"/>
      <c r="T359" s="353" t="b" cm="1">
        <f t="array" ref="T359">T358</f>
        <v>1</v>
      </c>
      <c r="U359" s="25"/>
      <c r="V359" s="25"/>
      <c r="W359" s="25"/>
      <c r="X359" s="1022"/>
      <c r="Z359" s="967"/>
      <c r="AB359" s="7" t="s">
        <v>2037</v>
      </c>
      <c r="AC359" s="543" t="s">
        <v>1249</v>
      </c>
      <c r="AD359" s="7" t="s">
        <v>828</v>
      </c>
      <c r="AE359" s="171">
        <f ca="1">SUMIFS(Административные!AE$25:AE$103,Административные!$F$25:$F$103,$F359,Административные!$G$25:$G$103,$G359)</f>
        <v>0</v>
      </c>
      <c r="AF359" s="171">
        <f ca="1">SUMIFS(Административные!AF$25:AF$103,Административные!$F$25:$F$103,$F359,Административные!$G$25:$G$103,$G359)</f>
        <v>0</v>
      </c>
      <c r="AG359" s="171">
        <f ca="1">SUMIFS(Административные!AG$25:AG$103,Административные!$F$25:$F$103,$F359,Административные!$G$25:$G$103,$G359)</f>
        <v>0</v>
      </c>
      <c r="AH359" s="171">
        <f t="shared" ca="1" si="101"/>
        <v>0</v>
      </c>
      <c r="AI359" s="171">
        <f ca="1">SUMIFS(Административные!AH$25:AH$103,Административные!$F$25:$F$103,$F359,Административные!$G$25:$G$103,$G359)</f>
        <v>0</v>
      </c>
      <c r="AJ359" s="171">
        <f ca="1">SUMIFS(Административные!AI$25:AI$103,Административные!$F$25:$F$103,$F359,Административные!$G$25:$G$103,$G359)</f>
        <v>0</v>
      </c>
      <c r="AK359" s="542"/>
      <c r="AL359" s="542"/>
      <c r="AM359" s="542"/>
      <c r="AN359" s="542"/>
      <c r="AO359" s="542"/>
      <c r="AP359" s="542"/>
      <c r="AQ359" s="542"/>
      <c r="AR359" s="542"/>
      <c r="AS359" s="542"/>
      <c r="AT359" s="171">
        <f ca="1">SUMIFS(Административные!AJ$25:AJ$103,Административные!$F$25:$F$103,$F359,Административные!$G$25:$G$103,$G359)</f>
        <v>0</v>
      </c>
      <c r="AU359" s="542"/>
      <c r="AV359" s="542"/>
      <c r="AW359" s="542"/>
      <c r="AX359" s="542"/>
      <c r="AY359" s="542"/>
      <c r="AZ359" s="542"/>
      <c r="BA359" s="542"/>
      <c r="BB359" s="542"/>
      <c r="BC359" s="542"/>
      <c r="BD359" s="171">
        <f t="shared" ca="1" si="102"/>
        <v>0</v>
      </c>
      <c r="BE359" s="542"/>
      <c r="BF359" s="542"/>
      <c r="BG359" s="542"/>
      <c r="BH359" s="542"/>
      <c r="BI359" s="542"/>
      <c r="BJ359" s="542"/>
      <c r="BK359" s="542"/>
      <c r="BL359" s="542"/>
      <c r="BM359" s="542"/>
      <c r="BN359" s="196"/>
      <c r="BO359" s="601" t="str">
        <f ca="1">IF(IFERROR(INDEX(Административные!$K$26:$L$103,MATCH($F359&amp;"8komm",Административные!$K$26:$K$103,0),2),"")=0,"",IFERROR(INDEX(Административные!$K$26:$L$103,MATCH($F359&amp;"8komm",Административные!$K$26:$K$103,0),2),""))</f>
        <v/>
      </c>
      <c r="BP359" s="196"/>
      <c r="BS359" s="694" t="s">
        <v>1836</v>
      </c>
    </row>
    <row r="360" spans="1:75" ht="14.25" customHeight="1" x14ac:dyDescent="0.25">
      <c r="C360" s="25"/>
      <c r="D360" s="25"/>
      <c r="E360" s="451">
        <v>15</v>
      </c>
      <c r="F360" s="3" t="str" cm="1">
        <f t="array" aca="1" ref="F360" ca="1">OFFSET(E360,-1,1)</f>
        <v>2</v>
      </c>
      <c r="G360" s="25" t="s">
        <v>1251</v>
      </c>
      <c r="H360" s="577"/>
      <c r="I360" s="577" t="s">
        <v>2038</v>
      </c>
      <c r="J360" s="25"/>
      <c r="K360" s="277" t="s">
        <v>2038</v>
      </c>
      <c r="L360" s="25" t="s">
        <v>1837</v>
      </c>
      <c r="M360" s="25"/>
      <c r="N360" s="25"/>
      <c r="O360" s="25"/>
      <c r="P360" s="25"/>
      <c r="Q360" s="25"/>
      <c r="R360" s="25"/>
      <c r="S360" s="25"/>
      <c r="T360" s="353" t="b" cm="1">
        <f t="array" ref="T360">T359</f>
        <v>1</v>
      </c>
      <c r="U360" s="25"/>
      <c r="V360" s="25"/>
      <c r="W360" s="25"/>
      <c r="X360" s="1022"/>
      <c r="Z360" s="967"/>
      <c r="AB360" s="7" t="s">
        <v>2039</v>
      </c>
      <c r="AC360" s="543" t="s">
        <v>1252</v>
      </c>
      <c r="AD360" s="7" t="s">
        <v>828</v>
      </c>
      <c r="AE360" s="171">
        <f ca="1">SUMIFS(Административные!AE$25:AE$103,Административные!$F$25:$F$103,$F360,Административные!$G$25:$G$103,$G360)</f>
        <v>0</v>
      </c>
      <c r="AF360" s="171">
        <f ca="1">SUMIFS(Административные!AF$25:AF$103,Административные!$F$25:$F$103,$F360,Административные!$G$25:$G$103,$G360)</f>
        <v>0</v>
      </c>
      <c r="AG360" s="171">
        <f ca="1">SUMIFS(Административные!AG$25:AG$103,Административные!$F$25:$F$103,$F360,Административные!$G$25:$G$103,$G360)</f>
        <v>0</v>
      </c>
      <c r="AH360" s="171">
        <f t="shared" ca="1" si="101"/>
        <v>0</v>
      </c>
      <c r="AI360" s="171">
        <f ca="1">SUMIFS(Административные!AH$25:AH$103,Административные!$F$25:$F$103,$F360,Административные!$G$25:$G$103,$G360)</f>
        <v>0</v>
      </c>
      <c r="AJ360" s="171">
        <f ca="1">SUMIFS(Административные!AI$25:AI$103,Административные!$F$25:$F$103,$F360,Административные!$G$25:$G$103,$G360)</f>
        <v>0</v>
      </c>
      <c r="AK360" s="542"/>
      <c r="AL360" s="542"/>
      <c r="AM360" s="542"/>
      <c r="AN360" s="542"/>
      <c r="AO360" s="542"/>
      <c r="AP360" s="542"/>
      <c r="AQ360" s="542"/>
      <c r="AR360" s="542"/>
      <c r="AS360" s="542"/>
      <c r="AT360" s="171">
        <f ca="1">SUMIFS(Административные!AJ$25:AJ$103,Административные!$F$25:$F$103,$F360,Административные!$G$25:$G$103,$G360)</f>
        <v>0</v>
      </c>
      <c r="AU360" s="542"/>
      <c r="AV360" s="542"/>
      <c r="AW360" s="542"/>
      <c r="AX360" s="542"/>
      <c r="AY360" s="542"/>
      <c r="AZ360" s="542"/>
      <c r="BA360" s="542"/>
      <c r="BB360" s="542"/>
      <c r="BC360" s="542"/>
      <c r="BD360" s="171">
        <f t="shared" ca="1" si="102"/>
        <v>0</v>
      </c>
      <c r="BE360" s="542"/>
      <c r="BF360" s="542"/>
      <c r="BG360" s="542"/>
      <c r="BH360" s="542"/>
      <c r="BI360" s="542"/>
      <c r="BJ360" s="542"/>
      <c r="BK360" s="542"/>
      <c r="BL360" s="542"/>
      <c r="BM360" s="542"/>
      <c r="BN360" s="196"/>
      <c r="BO360" s="601" t="str">
        <f ca="1">IF(IFERROR(INDEX(Административные!$K$26:$L$103,MATCH($F360&amp;"9komm",Административные!$K$26:$K$103,0),2),"")=0,"",IFERROR(INDEX(Административные!$K$26:$L$103,MATCH($F360&amp;"9komm",Административные!$K$26:$K$103,0),2),""))</f>
        <v/>
      </c>
      <c r="BP360" s="196"/>
      <c r="BS360" s="694" t="s">
        <v>1839</v>
      </c>
    </row>
    <row r="361" spans="1:75" ht="21.75" hidden="1" customHeight="1" x14ac:dyDescent="0.25">
      <c r="B361" s="329" t="b">
        <f>STATUS_GO="да"</f>
        <v>0</v>
      </c>
      <c r="C361" s="25"/>
      <c r="D361" s="25"/>
      <c r="E361" s="451">
        <v>22.5</v>
      </c>
      <c r="F361" s="3" t="str" cm="1">
        <f t="array" aca="1" ref="F361" ca="1">OFFSET(E361,-1,1)</f>
        <v>2</v>
      </c>
      <c r="G361" s="25"/>
      <c r="H361" s="577"/>
      <c r="I361" s="577" t="s">
        <v>951</v>
      </c>
      <c r="J361" s="25"/>
      <c r="K361" s="277" t="s">
        <v>951</v>
      </c>
      <c r="L361" s="25" t="s">
        <v>335</v>
      </c>
      <c r="M361" s="25"/>
      <c r="N361" s="25"/>
      <c r="O361" s="25"/>
      <c r="P361" s="25"/>
      <c r="Q361" s="25"/>
      <c r="R361" s="25"/>
      <c r="S361" s="25"/>
      <c r="T361" s="353" t="b" cm="1">
        <f t="array" ref="T361">T360</f>
        <v>1</v>
      </c>
      <c r="U361" s="25"/>
      <c r="V361" s="25"/>
      <c r="W361" s="25"/>
      <c r="X361" s="1022"/>
      <c r="Z361" s="967"/>
      <c r="AB361" s="7" t="s">
        <v>952</v>
      </c>
      <c r="AC361" s="127" t="s">
        <v>2040</v>
      </c>
      <c r="AD361" s="7" t="s">
        <v>828</v>
      </c>
      <c r="AE361" s="171">
        <f ca="1">SUMIFS('Сбытовые расходы ГО'!AE$25:AE$75,'Сбытовые расходы ГО'!$F$25:$F$75,$F361,'Сбытовые расходы ГО'!$G$25:$G$75,"L0")-SUMIFS('Сбытовые расходы ГО'!AE$25:AE$75,'Сбытовые расходы ГО'!$F$25:$F$75,$F361,'Сбытовые расходы ГО'!$G$25:$G$75,"L1")</f>
        <v>0</v>
      </c>
      <c r="AF361" s="171">
        <f ca="1">SUMIFS('Сбытовые расходы ГО'!AF$25:AF$75,'Сбытовые расходы ГО'!$F$25:$F$75,$F361,'Сбытовые расходы ГО'!$G$25:$G$75,"L0")-SUMIFS('Сбытовые расходы ГО'!AF$25:AF$75,'Сбытовые расходы ГО'!$F$25:$F$75,$F361,'Сбытовые расходы ГО'!$G$25:$G$75,"L1")</f>
        <v>0</v>
      </c>
      <c r="AG361" s="171">
        <f ca="1">SUMIFS('Сбытовые расходы ГО'!AG$25:AG$75,'Сбытовые расходы ГО'!$F$25:$F$75,$F361,'Сбытовые расходы ГО'!$G$25:$G$75,"L0")-SUMIFS('Сбытовые расходы ГО'!AG$25:AG$75,'Сбытовые расходы ГО'!$F$25:$F$75,$F361,'Сбытовые расходы ГО'!$G$25:$G$75,"L1")</f>
        <v>0</v>
      </c>
      <c r="AH361" s="171">
        <f t="shared" ca="1" si="101"/>
        <v>0</v>
      </c>
      <c r="AI361" s="171">
        <f ca="1">SUMIFS('Сбытовые расходы ГО'!AH$25:AH$75,'Сбытовые расходы ГО'!$F$25:$F$75,$F361,'Сбытовые расходы ГО'!$G$25:$G$75,"L0")-SUMIFS('Сбытовые расходы ГО'!AH$25:AH$75,'Сбытовые расходы ГО'!$F$25:$F$75,$F361,'Сбытовые расходы ГО'!$G$25:$G$75,"L1")</f>
        <v>0</v>
      </c>
      <c r="AJ361" s="171">
        <f ca="1">SUMIFS('Сбытовые расходы ГО'!AI$25:AI$75,'Сбытовые расходы ГО'!$F$25:$F$75,$F361,'Сбытовые расходы ГО'!$G$25:$G$75,"L0")-SUMIFS('Сбытовые расходы ГО'!AI$25:AI$75,'Сбытовые расходы ГО'!$F$25:$F$75,$F361,'Сбытовые расходы ГО'!$G$25:$G$75,"L1")</f>
        <v>0</v>
      </c>
      <c r="AK361" s="542"/>
      <c r="AL361" s="542"/>
      <c r="AM361" s="542"/>
      <c r="AN361" s="542"/>
      <c r="AO361" s="542"/>
      <c r="AP361" s="542"/>
      <c r="AQ361" s="542"/>
      <c r="AR361" s="542"/>
      <c r="AS361" s="542"/>
      <c r="AT361" s="171">
        <f ca="1">SUMIFS('Сбытовые расходы ГО'!AJ$25:AJ$75,'Сбытовые расходы ГО'!$F$25:$F$75,$F361,'Сбытовые расходы ГО'!$G$25:$G$75,"L0")-SUMIFS('Сбытовые расходы ГО'!AJ$25:AJ$75,'Сбытовые расходы ГО'!$F$25:$F$75,$F361,'Сбытовые расходы ГО'!$G$25:$G$75,"L1")</f>
        <v>0</v>
      </c>
      <c r="AU361" s="542"/>
      <c r="AV361" s="542"/>
      <c r="AW361" s="542"/>
      <c r="AX361" s="542"/>
      <c r="AY361" s="542"/>
      <c r="AZ361" s="542"/>
      <c r="BA361" s="542"/>
      <c r="BB361" s="542"/>
      <c r="BC361" s="542"/>
      <c r="BD361" s="171">
        <f t="shared" ca="1" si="102"/>
        <v>0</v>
      </c>
      <c r="BE361" s="542"/>
      <c r="BF361" s="542"/>
      <c r="BG361" s="542"/>
      <c r="BH361" s="542"/>
      <c r="BI361" s="542"/>
      <c r="BJ361" s="542"/>
      <c r="BK361" s="542"/>
      <c r="BL361" s="542"/>
      <c r="BM361" s="542"/>
      <c r="BN361" s="775"/>
      <c r="BO361" s="775"/>
      <c r="BP361" s="775"/>
      <c r="BS361" s="695" t="s">
        <v>1841</v>
      </c>
    </row>
    <row r="362" spans="1:75" ht="33.75" customHeight="1" x14ac:dyDescent="0.15">
      <c r="C362" s="25"/>
      <c r="D362" s="25"/>
      <c r="E362" s="451">
        <v>15</v>
      </c>
      <c r="F362" s="3" t="str" cm="1">
        <f t="array" aca="1" ref="F362" ca="1">OFFSET(E362,-1,1)</f>
        <v>2</v>
      </c>
      <c r="G362" s="25"/>
      <c r="H362" s="577"/>
      <c r="I362" s="577" t="s">
        <v>1779</v>
      </c>
      <c r="J362" s="25"/>
      <c r="K362" s="277" t="s">
        <v>1779</v>
      </c>
      <c r="L362" s="25"/>
      <c r="M362" s="25"/>
      <c r="N362" s="25"/>
      <c r="O362" s="25"/>
      <c r="P362" s="25"/>
      <c r="Q362" s="25"/>
      <c r="R362" s="25"/>
      <c r="S362" s="25"/>
      <c r="T362" s="353" t="b" cm="1">
        <f t="array" ref="T362">T361</f>
        <v>1</v>
      </c>
      <c r="U362" s="25"/>
      <c r="V362" s="25"/>
      <c r="W362" s="25"/>
      <c r="X362" s="1022"/>
      <c r="Z362" s="967"/>
      <c r="AB362" s="7" t="s">
        <v>1780</v>
      </c>
      <c r="AC362" s="127" t="s">
        <v>2041</v>
      </c>
      <c r="AD362" s="7" t="s">
        <v>828</v>
      </c>
      <c r="AE362" s="128"/>
      <c r="AF362" s="128"/>
      <c r="AG362" s="128"/>
      <c r="AH362" s="171">
        <f t="shared" si="101"/>
        <v>0</v>
      </c>
      <c r="AI362" s="128"/>
      <c r="AJ362" s="128"/>
      <c r="AK362" s="542"/>
      <c r="AL362" s="542"/>
      <c r="AM362" s="542"/>
      <c r="AN362" s="542"/>
      <c r="AO362" s="542"/>
      <c r="AP362" s="542"/>
      <c r="AQ362" s="542"/>
      <c r="AR362" s="542"/>
      <c r="AS362" s="542"/>
      <c r="AT362" s="128"/>
      <c r="AU362" s="542"/>
      <c r="AV362" s="542"/>
      <c r="AW362" s="542"/>
      <c r="AX362" s="542"/>
      <c r="AY362" s="542"/>
      <c r="AZ362" s="542"/>
      <c r="BA362" s="542"/>
      <c r="BB362" s="542"/>
      <c r="BC362" s="542"/>
      <c r="BD362" s="171">
        <f t="shared" si="102"/>
        <v>0</v>
      </c>
      <c r="BE362" s="542"/>
      <c r="BF362" s="542"/>
      <c r="BG362" s="542"/>
      <c r="BH362" s="542"/>
      <c r="BI362" s="542"/>
      <c r="BJ362" s="542"/>
      <c r="BK362" s="542"/>
      <c r="BL362" s="542"/>
      <c r="BM362" s="542"/>
      <c r="BN362" s="196"/>
      <c r="BO362" s="196" t="s">
        <v>2241</v>
      </c>
      <c r="BP362" s="196"/>
      <c r="BS362" s="696" t="s">
        <v>2042</v>
      </c>
    </row>
    <row r="363" spans="1:75" s="870" customFormat="1" ht="20.25" customHeight="1" x14ac:dyDescent="0.15">
      <c r="A363" s="76"/>
      <c r="B363" s="332"/>
      <c r="C363" s="27"/>
      <c r="D363" s="27"/>
      <c r="E363" s="559">
        <v>21</v>
      </c>
      <c r="F363" s="3" t="str" cm="1">
        <f t="array" aca="1" ref="F363" ca="1">OFFSET(E363,-1,1)</f>
        <v>2</v>
      </c>
      <c r="G363" s="27"/>
      <c r="H363" s="577"/>
      <c r="I363" s="577" t="s">
        <v>1783</v>
      </c>
      <c r="J363" s="27"/>
      <c r="K363" s="277" t="s">
        <v>1783</v>
      </c>
      <c r="L363" s="27"/>
      <c r="M363" s="27"/>
      <c r="N363" s="27"/>
      <c r="O363" s="27"/>
      <c r="P363" s="27"/>
      <c r="Q363" s="27"/>
      <c r="R363" s="27"/>
      <c r="S363" s="27"/>
      <c r="T363" s="353" t="b">
        <f ca="1">AND(F363&gt;0,method_reg="Метод индексации")</f>
        <v>1</v>
      </c>
      <c r="U363" s="27"/>
      <c r="V363" s="27"/>
      <c r="W363" s="27"/>
      <c r="X363" s="1022"/>
      <c r="Y363" s="76"/>
      <c r="Z363" s="967"/>
      <c r="AA363" s="76"/>
      <c r="AB363" s="124" t="s">
        <v>1784</v>
      </c>
      <c r="AC363" s="263" t="s">
        <v>2043</v>
      </c>
      <c r="AD363" s="124" t="s">
        <v>828</v>
      </c>
      <c r="AE363" s="126">
        <f>SUM(AE364:AE365)</f>
        <v>0</v>
      </c>
      <c r="AF363" s="126">
        <f>SUM(AF364:AF365)</f>
        <v>0</v>
      </c>
      <c r="AG363" s="126">
        <f>SUM(AG364:AG365)</f>
        <v>0</v>
      </c>
      <c r="AH363" s="126">
        <f t="shared" si="101"/>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2"/>
        <v>0</v>
      </c>
      <c r="BE363" s="129"/>
      <c r="BF363" s="129"/>
      <c r="BG363" s="129"/>
      <c r="BH363" s="129"/>
      <c r="BI363" s="129"/>
      <c r="BJ363" s="129"/>
      <c r="BK363" s="129"/>
      <c r="BL363" s="129"/>
      <c r="BM363" s="129"/>
      <c r="BN363" s="556"/>
      <c r="BO363" s="556"/>
      <c r="BP363" s="556"/>
      <c r="BQ363" s="76"/>
      <c r="BR363" s="76"/>
      <c r="BS363" s="702" t="s">
        <v>2044</v>
      </c>
      <c r="BT363" s="702"/>
      <c r="BU363" s="702"/>
      <c r="BV363" s="511"/>
      <c r="BW363" s="511"/>
    </row>
    <row r="364" spans="1:75" ht="14.25" hidden="1" customHeight="1" x14ac:dyDescent="0.15">
      <c r="B364" s="329" t="b">
        <f>method_reg="Метод индексации"</f>
        <v>1</v>
      </c>
      <c r="C364" s="25"/>
      <c r="D364" s="25"/>
      <c r="E364" s="451">
        <v>15</v>
      </c>
      <c r="F364" s="3" t="str" cm="1">
        <f t="array" aca="1" ref="F364" ca="1">OFFSET(E364,-1,1)</f>
        <v>2</v>
      </c>
      <c r="G364" s="25"/>
      <c r="H364" s="25"/>
      <c r="I364" s="577" t="s">
        <v>1783</v>
      </c>
      <c r="J364" s="25" cm="1">
        <f t="array" ref="J364">AC364</f>
        <v>0</v>
      </c>
      <c r="K364" s="277" t="s">
        <v>1783</v>
      </c>
      <c r="L364" s="25"/>
      <c r="M364" s="25"/>
      <c r="N364" s="25"/>
      <c r="O364" s="25"/>
      <c r="P364" s="25"/>
      <c r="Q364" s="25"/>
      <c r="R364" s="25"/>
      <c r="S364" s="25"/>
      <c r="T364" s="353" t="b">
        <f ca="1">AND(F364&gt;0,Y364&gt;0)</f>
        <v>0</v>
      </c>
      <c r="U364" s="25"/>
      <c r="V364" s="25"/>
      <c r="W364" s="25" t="s">
        <v>172</v>
      </c>
      <c r="X364" s="1022"/>
      <c r="Y364" s="72">
        <v>0</v>
      </c>
      <c r="Z364" s="967"/>
      <c r="AA364" s="320" t="s">
        <v>173</v>
      </c>
      <c r="AB364" s="7" t="str">
        <f>"1.7."&amp;Y364</f>
        <v>1.7.0</v>
      </c>
      <c r="AC364" s="780"/>
      <c r="AD364" s="7" t="s">
        <v>828</v>
      </c>
      <c r="AE364" s="778"/>
      <c r="AF364" s="778"/>
      <c r="AG364" s="778"/>
      <c r="AH364" s="171">
        <f t="shared" si="101"/>
        <v>0</v>
      </c>
      <c r="AI364" s="778"/>
      <c r="AJ364" s="128"/>
      <c r="AK364" s="542"/>
      <c r="AL364" s="542"/>
      <c r="AM364" s="542"/>
      <c r="AN364" s="542"/>
      <c r="AO364" s="542"/>
      <c r="AP364" s="542"/>
      <c r="AQ364" s="542"/>
      <c r="AR364" s="542"/>
      <c r="AS364" s="542"/>
      <c r="AT364" s="128"/>
      <c r="AU364" s="542"/>
      <c r="AV364" s="542"/>
      <c r="AW364" s="542"/>
      <c r="AX364" s="542"/>
      <c r="AY364" s="542"/>
      <c r="AZ364" s="542"/>
      <c r="BA364" s="542"/>
      <c r="BB364" s="542"/>
      <c r="BC364" s="542"/>
      <c r="BD364" s="171">
        <f t="shared" si="102"/>
        <v>0</v>
      </c>
      <c r="BE364" s="542"/>
      <c r="BF364" s="542"/>
      <c r="BG364" s="542"/>
      <c r="BH364" s="542"/>
      <c r="BI364" s="542"/>
      <c r="BJ364" s="542"/>
      <c r="BK364" s="542"/>
      <c r="BL364" s="542"/>
      <c r="BM364" s="542"/>
      <c r="BN364" s="775"/>
      <c r="BO364" s="775"/>
      <c r="BP364" s="775"/>
      <c r="BS364" s="696" t="s">
        <v>2044</v>
      </c>
      <c r="BT364" s="696" t="s">
        <v>2045</v>
      </c>
      <c r="BU364" s="696" cm="1">
        <f t="array" ref="BU364">AC364</f>
        <v>0</v>
      </c>
      <c r="BW364" s="507" t="b">
        <v>1</v>
      </c>
    </row>
    <row r="365" spans="1:75" ht="14.25" customHeight="1" x14ac:dyDescent="0.15">
      <c r="B365" s="329" t="b" cm="1">
        <f t="array" ref="B365">B364</f>
        <v>1</v>
      </c>
      <c r="C365" s="25"/>
      <c r="D365" s="25"/>
      <c r="E365" s="451">
        <v>15</v>
      </c>
      <c r="F365" s="3" t="str" cm="1">
        <f t="array" aca="1" ref="F365" ca="1">OFFSET(E365,-1,1)</f>
        <v>2</v>
      </c>
      <c r="G365" s="362"/>
      <c r="H365" s="25"/>
      <c r="I365" s="25"/>
      <c r="J365" s="25" t="s">
        <v>2046</v>
      </c>
      <c r="L365" s="25"/>
      <c r="M365" s="25"/>
      <c r="N365" s="25"/>
      <c r="O365" s="25"/>
      <c r="P365" s="25"/>
      <c r="Q365" s="25"/>
      <c r="R365" s="25"/>
      <c r="S365" s="25"/>
      <c r="T365" s="353" t="b">
        <f ca="1">F365&gt;0</f>
        <v>1</v>
      </c>
      <c r="U365" s="25"/>
      <c r="V365" s="25"/>
      <c r="W365" s="506" t="s">
        <v>397</v>
      </c>
      <c r="X365" s="1022"/>
      <c r="Z365" s="967"/>
      <c r="AB365" s="589"/>
      <c r="AC365" s="172" t="s">
        <v>176</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7" t="s">
        <v>2045</v>
      </c>
    </row>
    <row r="366" spans="1:75" s="870" customFormat="1" ht="33.75" customHeight="1" x14ac:dyDescent="0.15">
      <c r="A366" s="76"/>
      <c r="B366" s="332"/>
      <c r="C366" s="27"/>
      <c r="D366" s="27"/>
      <c r="E366" s="559">
        <v>21</v>
      </c>
      <c r="F366" s="3" t="str" cm="1">
        <f t="array" aca="1" ref="F366" ca="1">OFFSET(E366,-1,1)</f>
        <v>2</v>
      </c>
      <c r="G366" s="27"/>
      <c r="H366" s="25"/>
      <c r="I366" s="25" t="s">
        <v>332</v>
      </c>
      <c r="J366" s="27"/>
      <c r="K366" s="72" t="s">
        <v>332</v>
      </c>
      <c r="L366" s="27"/>
      <c r="M366" s="27"/>
      <c r="N366" s="27"/>
      <c r="O366" s="27"/>
      <c r="P366" s="27"/>
      <c r="Q366" s="27"/>
      <c r="R366" s="27"/>
      <c r="S366" s="27"/>
      <c r="T366" s="353" t="b">
        <f ca="1">F366&gt;0</f>
        <v>1</v>
      </c>
      <c r="U366" s="27"/>
      <c r="V366" s="27"/>
      <c r="W366" s="27"/>
      <c r="X366" s="1022"/>
      <c r="Y366" s="76"/>
      <c r="Z366" s="967"/>
      <c r="AA366" s="76"/>
      <c r="AB366" s="147" t="s">
        <v>285</v>
      </c>
      <c r="AC366" s="125" t="s">
        <v>2047</v>
      </c>
      <c r="AD366" s="147" t="s">
        <v>828</v>
      </c>
      <c r="AE366" s="126">
        <f ca="1">AE367+AE379+AE380++AE391+AE392+AE393+AE395+AE396+AE397+AE398+AE401</f>
        <v>571.56318805570004</v>
      </c>
      <c r="AF366" s="126">
        <f ca="1">AF367+AF379+AF380++AF391+AF392+AF393+AF395+AF396+AF397+AF398+AF401</f>
        <v>14504.0747158052</v>
      </c>
      <c r="AG366" s="126">
        <f ca="1">AG367+AG379+AG380++AG391+AG392+AG393+AG395+AG396+AG397+AG398+AG401</f>
        <v>808.20579690539989</v>
      </c>
      <c r="AH366" s="126">
        <f t="shared" ref="AH366:AH411" ca="1" si="103">AG366-AF366</f>
        <v>-13695.8689188998</v>
      </c>
      <c r="AI366" s="126">
        <f t="shared" ref="AI366:BC366" ca="1" si="104">AI367+AI379+AI380++AI391+AI392+AI393+AI395+AI396+AI397+AI398+AI401</f>
        <v>370.19264900000002</v>
      </c>
      <c r="AJ366" s="126">
        <f t="shared" ca="1" si="104"/>
        <v>23555.587716720202</v>
      </c>
      <c r="AK366" s="126">
        <f t="shared" ca="1" si="104"/>
        <v>0</v>
      </c>
      <c r="AL366" s="126">
        <f t="shared" ca="1" si="104"/>
        <v>0</v>
      </c>
      <c r="AM366" s="126">
        <f t="shared" ca="1" si="104"/>
        <v>0</v>
      </c>
      <c r="AN366" s="126">
        <f t="shared" ca="1" si="104"/>
        <v>0</v>
      </c>
      <c r="AO366" s="126">
        <f t="shared" ca="1" si="104"/>
        <v>0</v>
      </c>
      <c r="AP366" s="126">
        <f t="shared" ca="1" si="104"/>
        <v>0</v>
      </c>
      <c r="AQ366" s="126">
        <f t="shared" ca="1" si="104"/>
        <v>0</v>
      </c>
      <c r="AR366" s="126">
        <f t="shared" ca="1" si="104"/>
        <v>0</v>
      </c>
      <c r="AS366" s="126">
        <f t="shared" ca="1" si="104"/>
        <v>0</v>
      </c>
      <c r="AT366" s="126">
        <f t="shared" ca="1" si="104"/>
        <v>9829.4634270752995</v>
      </c>
      <c r="AU366" s="126">
        <f t="shared" ca="1" si="104"/>
        <v>0</v>
      </c>
      <c r="AV366" s="126">
        <f t="shared" ca="1" si="104"/>
        <v>0</v>
      </c>
      <c r="AW366" s="126">
        <f t="shared" ca="1" si="104"/>
        <v>0</v>
      </c>
      <c r="AX366" s="126">
        <f t="shared" ca="1" si="104"/>
        <v>0</v>
      </c>
      <c r="AY366" s="126">
        <f t="shared" ca="1" si="104"/>
        <v>0</v>
      </c>
      <c r="AZ366" s="126">
        <f t="shared" ca="1" si="104"/>
        <v>0</v>
      </c>
      <c r="BA366" s="126">
        <f t="shared" ca="1" si="104"/>
        <v>0</v>
      </c>
      <c r="BB366" s="126">
        <f t="shared" ca="1" si="104"/>
        <v>0</v>
      </c>
      <c r="BC366" s="126">
        <f t="shared" ca="1" si="104"/>
        <v>0</v>
      </c>
      <c r="BD366" s="126">
        <f t="shared" ref="BD366:BD411" ca="1" si="105">IF(AI366=0,0,(AT366-AI366)/AI366*100)</f>
        <v>2555.2292309497748</v>
      </c>
      <c r="BE366" s="126">
        <f t="shared" ref="BE366:BE411" ca="1" si="106">IF(AT366=0,0,(AU366-AT366)/AT366*100)</f>
        <v>-100</v>
      </c>
      <c r="BF366" s="126">
        <f t="shared" ref="BF366:BF411" ca="1" si="107">IF(AU366=0,0,(AV366-AU366)/AU366*100)</f>
        <v>0</v>
      </c>
      <c r="BG366" s="126">
        <f t="shared" ref="BG366:BG411" ca="1" si="108">IF(AV366=0,0,(AW366-AV366)/AV366*100)</f>
        <v>0</v>
      </c>
      <c r="BH366" s="126">
        <f t="shared" ref="BH366:BH411" ca="1" si="109">IF(AW366=0,0,(AX366-AW366)/AW366*100)</f>
        <v>0</v>
      </c>
      <c r="BI366" s="126">
        <f t="shared" ref="BI366:BI411" ca="1" si="110">IF(AX366=0,0,(AY366-AX366)/AX366*100)</f>
        <v>0</v>
      </c>
      <c r="BJ366" s="126">
        <f t="shared" ref="BJ366:BJ411" ca="1" si="111">IF(AY366=0,0,(AZ366-AY366)/AY366*100)</f>
        <v>0</v>
      </c>
      <c r="BK366" s="126">
        <f t="shared" ref="BK366:BK411" ca="1" si="112">IF(AZ366=0,0,(BA366-AZ366)/AZ366*100)</f>
        <v>0</v>
      </c>
      <c r="BL366" s="126">
        <f t="shared" ref="BL366:BL411" ca="1" si="113">IF(BA366=0,0,(BB366-BA366)/BA366*100)</f>
        <v>0</v>
      </c>
      <c r="BM366" s="126">
        <f t="shared" ref="BM366:BM411" ca="1" si="114">IF(BB366=0,0,(BC366-BB366)/BB366*100)</f>
        <v>0</v>
      </c>
      <c r="BN366" s="196"/>
      <c r="BO366" s="196" t="s">
        <v>2242</v>
      </c>
      <c r="BP366" s="196"/>
      <c r="BQ366" s="74"/>
      <c r="BR366" s="76"/>
      <c r="BS366" s="702" t="s">
        <v>2048</v>
      </c>
      <c r="BT366" s="702"/>
      <c r="BU366" s="702"/>
      <c r="BV366" s="511"/>
      <c r="BW366" s="511"/>
    </row>
    <row r="367" spans="1:75" s="870" customFormat="1" ht="21.75" customHeight="1" x14ac:dyDescent="0.15">
      <c r="A367" s="76"/>
      <c r="B367" s="332"/>
      <c r="C367" s="27"/>
      <c r="D367" s="27"/>
      <c r="E367" s="559">
        <v>22.5</v>
      </c>
      <c r="F367" s="3" t="str" cm="1">
        <f t="array" aca="1" ref="F367" ca="1">OFFSET(E367,-1,1)</f>
        <v>2</v>
      </c>
      <c r="G367" s="267" t="str" cm="1">
        <f t="array" aca="1" ref="G367" ca="1">F366</f>
        <v>2</v>
      </c>
      <c r="H367" s="25"/>
      <c r="I367" s="25" t="s">
        <v>500</v>
      </c>
      <c r="J367" s="27"/>
      <c r="K367" s="72" t="s">
        <v>500</v>
      </c>
      <c r="L367" s="27" t="s">
        <v>486</v>
      </c>
      <c r="M367" s="27"/>
      <c r="N367" s="27"/>
      <c r="O367" s="27"/>
      <c r="P367" s="27"/>
      <c r="Q367" s="27"/>
      <c r="R367" s="27"/>
      <c r="S367" s="27"/>
      <c r="T367" s="353" t="b" cm="1">
        <f t="array" aca="1" ref="T367" ca="1">T366</f>
        <v>1</v>
      </c>
      <c r="U367" s="27"/>
      <c r="V367" s="27"/>
      <c r="W367" s="27"/>
      <c r="X367" s="1022"/>
      <c r="Y367" s="76"/>
      <c r="Z367" s="967"/>
      <c r="AA367" s="76"/>
      <c r="AB367" s="124" t="s">
        <v>561</v>
      </c>
      <c r="AC367" s="263" t="s">
        <v>2049</v>
      </c>
      <c r="AD367" s="124" t="s">
        <v>828</v>
      </c>
      <c r="AE367" s="126">
        <f ca="1">SUM(AE368:AE378)</f>
        <v>132.99834370569999</v>
      </c>
      <c r="AF367" s="126">
        <f ca="1">SUM(AF368:AF378)</f>
        <v>164.492367712</v>
      </c>
      <c r="AG367" s="126">
        <f ca="1">SUM(AG368:AG378)</f>
        <v>164.66</v>
      </c>
      <c r="AH367" s="126">
        <f t="shared" ca="1" si="103"/>
        <v>0.16763228799999297</v>
      </c>
      <c r="AI367" s="126">
        <f t="shared" ref="AI367:BC367" ca="1" si="115">SUM(AI368:AI378)</f>
        <v>168.97</v>
      </c>
      <c r="AJ367" s="126">
        <f t="shared" ca="1" si="115"/>
        <v>241.71289999999999</v>
      </c>
      <c r="AK367" s="126">
        <f t="shared" ca="1" si="115"/>
        <v>0</v>
      </c>
      <c r="AL367" s="126">
        <f t="shared" ca="1" si="115"/>
        <v>0</v>
      </c>
      <c r="AM367" s="126">
        <f t="shared" ca="1" si="115"/>
        <v>0</v>
      </c>
      <c r="AN367" s="126">
        <f t="shared" ca="1" si="115"/>
        <v>0</v>
      </c>
      <c r="AO367" s="126">
        <f t="shared" ca="1" si="115"/>
        <v>0</v>
      </c>
      <c r="AP367" s="126">
        <f t="shared" ca="1" si="115"/>
        <v>0</v>
      </c>
      <c r="AQ367" s="126">
        <f t="shared" ca="1" si="115"/>
        <v>0</v>
      </c>
      <c r="AR367" s="126">
        <f t="shared" ca="1" si="115"/>
        <v>0</v>
      </c>
      <c r="AS367" s="126">
        <f t="shared" ca="1" si="115"/>
        <v>0</v>
      </c>
      <c r="AT367" s="126">
        <f t="shared" ca="1" si="115"/>
        <v>182.26</v>
      </c>
      <c r="AU367" s="126">
        <f t="shared" ca="1" si="115"/>
        <v>0</v>
      </c>
      <c r="AV367" s="126">
        <f t="shared" ca="1" si="115"/>
        <v>0</v>
      </c>
      <c r="AW367" s="126">
        <f t="shared" ca="1" si="115"/>
        <v>0</v>
      </c>
      <c r="AX367" s="126">
        <f t="shared" ca="1" si="115"/>
        <v>0</v>
      </c>
      <c r="AY367" s="126">
        <f t="shared" ca="1" si="115"/>
        <v>0</v>
      </c>
      <c r="AZ367" s="126">
        <f t="shared" ca="1" si="115"/>
        <v>0</v>
      </c>
      <c r="BA367" s="126">
        <f t="shared" ca="1" si="115"/>
        <v>0</v>
      </c>
      <c r="BB367" s="126">
        <f t="shared" ca="1" si="115"/>
        <v>0</v>
      </c>
      <c r="BC367" s="126">
        <f t="shared" ca="1" si="115"/>
        <v>0</v>
      </c>
      <c r="BD367" s="126">
        <f t="shared" ca="1" si="105"/>
        <v>7.8653015328164706</v>
      </c>
      <c r="BE367" s="126">
        <f t="shared" ca="1" si="106"/>
        <v>-100</v>
      </c>
      <c r="BF367" s="126">
        <f t="shared" ca="1" si="107"/>
        <v>0</v>
      </c>
      <c r="BG367" s="126">
        <f t="shared" ca="1" si="108"/>
        <v>0</v>
      </c>
      <c r="BH367" s="126">
        <f t="shared" ca="1" si="109"/>
        <v>0</v>
      </c>
      <c r="BI367" s="126">
        <f t="shared" ca="1" si="110"/>
        <v>0</v>
      </c>
      <c r="BJ367" s="126">
        <f t="shared" ca="1" si="111"/>
        <v>0</v>
      </c>
      <c r="BK367" s="126">
        <f t="shared" ca="1" si="112"/>
        <v>0</v>
      </c>
      <c r="BL367" s="126">
        <f t="shared" ca="1" si="113"/>
        <v>0</v>
      </c>
      <c r="BM367" s="126">
        <f t="shared" ca="1" si="114"/>
        <v>0</v>
      </c>
      <c r="BN367" s="556"/>
      <c r="BO367" s="556"/>
      <c r="BP367" s="556"/>
      <c r="BQ367" s="76"/>
      <c r="BR367" s="76"/>
      <c r="BS367" s="702" t="s">
        <v>2050</v>
      </c>
      <c r="BT367" s="702"/>
      <c r="BU367" s="702"/>
      <c r="BV367" s="511"/>
      <c r="BW367" s="511"/>
    </row>
    <row r="368" spans="1:75" ht="14.25" customHeight="1" x14ac:dyDescent="0.15">
      <c r="C368" s="25"/>
      <c r="D368" s="25"/>
      <c r="E368" s="451">
        <v>15</v>
      </c>
      <c r="F368" s="3" t="str" cm="1">
        <f t="array" aca="1" ref="F368" ca="1">OFFSET(E368,-1,1)</f>
        <v>2</v>
      </c>
      <c r="G368" s="25" t="s">
        <v>1148</v>
      </c>
      <c r="H368" s="25"/>
      <c r="I368" s="25" t="s">
        <v>1570</v>
      </c>
      <c r="J368" s="25"/>
      <c r="K368" s="72" t="s">
        <v>1570</v>
      </c>
      <c r="L368" s="25" t="s">
        <v>1347</v>
      </c>
      <c r="M368" s="25"/>
      <c r="N368" s="25"/>
      <c r="O368" s="25"/>
      <c r="P368" s="25"/>
      <c r="Q368" s="25"/>
      <c r="R368" s="25"/>
      <c r="S368" s="25"/>
      <c r="T368" s="353" t="b" cm="1">
        <f t="array" aca="1" ref="T368" ca="1">T367</f>
        <v>1</v>
      </c>
      <c r="U368" s="25"/>
      <c r="V368" s="25"/>
      <c r="W368" s="25"/>
      <c r="X368" s="1022"/>
      <c r="Z368" s="967"/>
      <c r="AB368" s="7" t="s">
        <v>508</v>
      </c>
      <c r="AC368" s="134" t="s">
        <v>2051</v>
      </c>
      <c r="AD368" s="7" t="s">
        <v>828</v>
      </c>
      <c r="AE368" s="171">
        <f ca="1">SUMIFS(Покупка!AE$25:AE$150,Покупка!$F$25:$F$150,$F368,Покупка!$AC$25:$AC$150,$G368)</f>
        <v>0</v>
      </c>
      <c r="AF368" s="171">
        <f ca="1">SUMIFS(Покупка!AF$25:AF$150,Покупка!$F$25:$F$150,$F368,Покупка!$AC$25:$AC$150,$G368)</f>
        <v>0</v>
      </c>
      <c r="AG368" s="171">
        <f ca="1">SUMIFS(Покупка!AG$25:AG$150,Покупка!$F$25:$F$150,$F368,Покупка!$AC$25:$AC$150,$G368)</f>
        <v>0</v>
      </c>
      <c r="AH368" s="171">
        <f t="shared" ca="1" si="103"/>
        <v>0</v>
      </c>
      <c r="AI368" s="171">
        <f ca="1">SUMIFS(Покупка!AH$25:AH$150,Покупка!$F$25:$F$150,$F368,Покупка!$AC$25:$AC$150,$G368)</f>
        <v>0</v>
      </c>
      <c r="AJ368" s="171">
        <f ca="1">SUMIFS(Покупка!AI$25:AI$150,Покупка!$F$25:$F$150,$F368,Покупка!$AC$25:$AC$150,$G368)</f>
        <v>0</v>
      </c>
      <c r="AK368" s="171">
        <f ca="1">SUMIFS(Покупка!AJ$25:AJ$150,Покупка!$F$25:$F$150,$F368,Покупка!$AC$25:$AC$150,$G368)</f>
        <v>0</v>
      </c>
      <c r="AL368" s="171">
        <f ca="1">SUMIFS(Покупка!AK$25:AK$150,Покупка!$F$25:$F$150,$F368,Покупка!$AC$25:$AC$150,$G368)</f>
        <v>0</v>
      </c>
      <c r="AM368" s="171">
        <f ca="1">SUMIFS(Покупка!AL$25:AL$150,Покупка!$F$25:$F$150,$F368,Покупка!$AC$25:$AC$150,$G368)</f>
        <v>0</v>
      </c>
      <c r="AN368" s="171">
        <f ca="1">SUMIFS(Покупка!AM$25:AM$150,Покупка!$F$25:$F$150,$F368,Покупка!$AC$25:$AC$150,$G368)</f>
        <v>0</v>
      </c>
      <c r="AO368" s="171">
        <f ca="1">SUMIFS(Покупка!AN$25:AN$150,Покупка!$F$25:$F$150,$F368,Покупка!$AC$25:$AC$150,$G368)</f>
        <v>0</v>
      </c>
      <c r="AP368" s="171">
        <f ca="1">SUMIFS(Покупка!AO$25:AO$150,Покупка!$F$25:$F$150,$F368,Покупка!$AC$25:$AC$150,$G368)</f>
        <v>0</v>
      </c>
      <c r="AQ368" s="171">
        <f ca="1">SUMIFS(Покупка!AP$25:AP$150,Покупка!$F$25:$F$150,$F368,Покупка!$AC$25:$AC$150,$G368)</f>
        <v>0</v>
      </c>
      <c r="AR368" s="171">
        <f ca="1">SUMIFS(Покупка!AQ$25:AQ$150,Покупка!$F$25:$F$150,$F368,Покупка!$AC$25:$AC$150,$G368)</f>
        <v>0</v>
      </c>
      <c r="AS368" s="171">
        <f ca="1">SUMIFS(Покупка!AR$25:AR$150,Покупка!$F$25:$F$150,$F368,Покупка!$AC$25:$AC$150,$G368)</f>
        <v>0</v>
      </c>
      <c r="AT368" s="171">
        <f ca="1">SUMIFS(Покупка!AS$25:AS$150,Покупка!$F$25:$F$150,$F368,Покупка!$AC$25:$AC$150,$G368)</f>
        <v>0</v>
      </c>
      <c r="AU368" s="171">
        <f ca="1">SUMIFS(Покупка!AT$25:AT$150,Покупка!$F$25:$F$150,$F368,Покупка!$AC$25:$AC$150,$G368)</f>
        <v>0</v>
      </c>
      <c r="AV368" s="171">
        <f ca="1">SUMIFS(Покупка!AU$25:AU$150,Покупка!$F$25:$F$150,$F368,Покупка!$AC$25:$AC$150,$G368)</f>
        <v>0</v>
      </c>
      <c r="AW368" s="171">
        <f ca="1">SUMIFS(Покупка!AV$25:AV$150,Покупка!$F$25:$F$150,$F368,Покупка!$AC$25:$AC$150,$G368)</f>
        <v>0</v>
      </c>
      <c r="AX368" s="171">
        <f ca="1">SUMIFS(Покупка!AW$25:AW$150,Покупка!$F$25:$F$150,$F368,Покупка!$AC$25:$AC$150,$G368)</f>
        <v>0</v>
      </c>
      <c r="AY368" s="171">
        <f ca="1">SUMIFS(Покупка!AX$25:AX$150,Покупка!$F$25:$F$150,$F368,Покупка!$AC$25:$AC$150,$G368)</f>
        <v>0</v>
      </c>
      <c r="AZ368" s="171">
        <f ca="1">SUMIFS(Покупка!AY$25:AY$150,Покупка!$F$25:$F$150,$F368,Покупка!$AC$25:$AC$150,$G368)</f>
        <v>0</v>
      </c>
      <c r="BA368" s="171">
        <f ca="1">SUMIFS(Покупка!AZ$25:AZ$150,Покупка!$F$25:$F$150,$F368,Покупка!$AC$25:$AC$150,$G368)</f>
        <v>0</v>
      </c>
      <c r="BB368" s="171">
        <f ca="1">SUMIFS(Покупка!BA$25:BA$150,Покупка!$F$25:$F$150,$F368,Покупка!$AC$25:$AC$150,$G368)</f>
        <v>0</v>
      </c>
      <c r="BC368" s="171">
        <f ca="1">SUMIFS(Покупка!BB$25:BB$150,Покупка!$F$25:$F$150,$F368,Покупка!$AC$25:$AC$150,$G368)</f>
        <v>0</v>
      </c>
      <c r="BD368" s="171">
        <f t="shared" ca="1" si="105"/>
        <v>0</v>
      </c>
      <c r="BE368" s="171">
        <f t="shared" ca="1" si="106"/>
        <v>0</v>
      </c>
      <c r="BF368" s="171">
        <f t="shared" ca="1" si="107"/>
        <v>0</v>
      </c>
      <c r="BG368" s="171">
        <f t="shared" ca="1" si="108"/>
        <v>0</v>
      </c>
      <c r="BH368" s="171">
        <f t="shared" ca="1" si="109"/>
        <v>0</v>
      </c>
      <c r="BI368" s="171">
        <f t="shared" ca="1" si="110"/>
        <v>0</v>
      </c>
      <c r="BJ368" s="171">
        <f t="shared" ca="1" si="111"/>
        <v>0</v>
      </c>
      <c r="BK368" s="171">
        <f t="shared" ca="1" si="112"/>
        <v>0</v>
      </c>
      <c r="BL368" s="171">
        <f t="shared" ca="1" si="113"/>
        <v>0</v>
      </c>
      <c r="BM368" s="171">
        <f t="shared" ca="1" si="114"/>
        <v>0</v>
      </c>
      <c r="BN368" s="196"/>
      <c r="BO368" s="601" t="str">
        <f ca="1">IF(IFERROR(INDEX(Покупка!$K$26:$L$150,MATCH($F368&amp;"6komm",Покупка!$K$26:$K$150,0),2),"")=0,"",IFERROR(INDEX(Покупка!$K$26:$L$150,MATCH($F368&amp;"6komm",Покупка!$K$26:$K$150,0),2),""))</f>
        <v>ПАР  (услуги  аффилированной организации АО "Новокемеровская ТЭЦ").  Специалистом РЭК Кузбасса расходы  на 2024-2028 гг. учтены в составе Операционных расходов (п. 2.1.1), как это было принято в предыдущем долгосрочном периоде.</v>
      </c>
      <c r="BP368" s="196"/>
      <c r="BS368" s="696" t="s">
        <v>1149</v>
      </c>
    </row>
    <row r="369" spans="1:75" ht="14.25" customHeight="1" x14ac:dyDescent="0.15">
      <c r="C369" s="25"/>
      <c r="D369" s="25"/>
      <c r="E369" s="451">
        <v>15</v>
      </c>
      <c r="F369" s="3" t="str" cm="1">
        <f t="array" aca="1" ref="F369" ca="1">OFFSET(E369,-1,1)</f>
        <v>2</v>
      </c>
      <c r="G369" s="25" t="s">
        <v>1150</v>
      </c>
      <c r="H369" s="25"/>
      <c r="I369" s="25" t="s">
        <v>1574</v>
      </c>
      <c r="J369" s="25"/>
      <c r="K369" s="25" t="s">
        <v>1574</v>
      </c>
      <c r="L369" s="25" t="s">
        <v>1351</v>
      </c>
      <c r="M369" s="25"/>
      <c r="N369" s="25"/>
      <c r="O369" s="25"/>
      <c r="P369" s="25"/>
      <c r="Q369" s="25"/>
      <c r="R369" s="25"/>
      <c r="S369" s="25"/>
      <c r="T369" s="353" t="b" cm="1">
        <f t="array" aca="1" ref="T369" ca="1">T368</f>
        <v>1</v>
      </c>
      <c r="U369" s="25"/>
      <c r="V369" s="25"/>
      <c r="W369" s="25"/>
      <c r="X369" s="1022"/>
      <c r="Z369" s="967"/>
      <c r="AB369" s="7" t="s">
        <v>2052</v>
      </c>
      <c r="AC369" s="134" t="s">
        <v>2053</v>
      </c>
      <c r="AD369" s="7" t="s">
        <v>828</v>
      </c>
      <c r="AE369" s="171">
        <f ca="1">SUMIFS(Покупка!AE$25:AE$150,Покупка!$F$25:$F$150,$F369,Покупка!$AC$25:$AC$150,$G369)</f>
        <v>0</v>
      </c>
      <c r="AF369" s="171">
        <f ca="1">SUMIFS(Покупка!AF$25:AF$150,Покупка!$F$25:$F$150,$F369,Покупка!$AC$25:$AC$150,$G369)</f>
        <v>0</v>
      </c>
      <c r="AG369" s="171">
        <f ca="1">SUMIFS(Покупка!AG$25:AG$150,Покупка!$F$25:$F$150,$F369,Покупка!$AC$25:$AC$150,$G369)</f>
        <v>0</v>
      </c>
      <c r="AH369" s="171">
        <f t="shared" ca="1" si="103"/>
        <v>0</v>
      </c>
      <c r="AI369" s="171">
        <f ca="1">SUMIFS(Покупка!AH$25:AH$150,Покупка!$F$25:$F$150,$F369,Покупка!$AC$25:$AC$150,$G369)</f>
        <v>0</v>
      </c>
      <c r="AJ369" s="171">
        <f ca="1">SUMIFS(Покупка!AI$25:AI$150,Покупка!$F$25:$F$150,$F369,Покупка!$AC$25:$AC$150,$G369)</f>
        <v>0</v>
      </c>
      <c r="AK369" s="171">
        <f ca="1">SUMIFS(Покупка!AJ$25:AJ$150,Покупка!$F$25:$F$150,$F369,Покупка!$AC$25:$AC$150,$G369)</f>
        <v>0</v>
      </c>
      <c r="AL369" s="171">
        <f ca="1">SUMIFS(Покупка!AK$25:AK$150,Покупка!$F$25:$F$150,$F369,Покупка!$AC$25:$AC$150,$G369)</f>
        <v>0</v>
      </c>
      <c r="AM369" s="171">
        <f ca="1">SUMIFS(Покупка!AL$25:AL$150,Покупка!$F$25:$F$150,$F369,Покупка!$AC$25:$AC$150,$G369)</f>
        <v>0</v>
      </c>
      <c r="AN369" s="171">
        <f ca="1">SUMIFS(Покупка!AM$25:AM$150,Покупка!$F$25:$F$150,$F369,Покупка!$AC$25:$AC$150,$G369)</f>
        <v>0</v>
      </c>
      <c r="AO369" s="171">
        <f ca="1">SUMIFS(Покупка!AN$25:AN$150,Покупка!$F$25:$F$150,$F369,Покупка!$AC$25:$AC$150,$G369)</f>
        <v>0</v>
      </c>
      <c r="AP369" s="171">
        <f ca="1">SUMIFS(Покупка!AO$25:AO$150,Покупка!$F$25:$F$150,$F369,Покупка!$AC$25:$AC$150,$G369)</f>
        <v>0</v>
      </c>
      <c r="AQ369" s="171">
        <f ca="1">SUMIFS(Покупка!AP$25:AP$150,Покупка!$F$25:$F$150,$F369,Покупка!$AC$25:$AC$150,$G369)</f>
        <v>0</v>
      </c>
      <c r="AR369" s="171">
        <f ca="1">SUMIFS(Покупка!AQ$25:AQ$150,Покупка!$F$25:$F$150,$F369,Покупка!$AC$25:$AC$150,$G369)</f>
        <v>0</v>
      </c>
      <c r="AS369" s="171">
        <f ca="1">SUMIFS(Покупка!AR$25:AR$150,Покупка!$F$25:$F$150,$F369,Покупка!$AC$25:$AC$150,$G369)</f>
        <v>0</v>
      </c>
      <c r="AT369" s="171">
        <f ca="1">SUMIFS(Покупка!AS$25:AS$150,Покупка!$F$25:$F$150,$F369,Покупка!$AC$25:$AC$150,$G369)</f>
        <v>0</v>
      </c>
      <c r="AU369" s="171">
        <f ca="1">SUMIFS(Покупка!AT$25:AT$150,Покупка!$F$25:$F$150,$F369,Покупка!$AC$25:$AC$150,$G369)</f>
        <v>0</v>
      </c>
      <c r="AV369" s="171">
        <f ca="1">SUMIFS(Покупка!AU$25:AU$150,Покупка!$F$25:$F$150,$F369,Покупка!$AC$25:$AC$150,$G369)</f>
        <v>0</v>
      </c>
      <c r="AW369" s="171">
        <f ca="1">SUMIFS(Покупка!AV$25:AV$150,Покупка!$F$25:$F$150,$F369,Покупка!$AC$25:$AC$150,$G369)</f>
        <v>0</v>
      </c>
      <c r="AX369" s="171">
        <f ca="1">SUMIFS(Покупка!AW$25:AW$150,Покупка!$F$25:$F$150,$F369,Покупка!$AC$25:$AC$150,$G369)</f>
        <v>0</v>
      </c>
      <c r="AY369" s="171">
        <f ca="1">SUMIFS(Покупка!AX$25:AX$150,Покупка!$F$25:$F$150,$F369,Покупка!$AC$25:$AC$150,$G369)</f>
        <v>0</v>
      </c>
      <c r="AZ369" s="171">
        <f ca="1">SUMIFS(Покупка!AY$25:AY$150,Покупка!$F$25:$F$150,$F369,Покупка!$AC$25:$AC$150,$G369)</f>
        <v>0</v>
      </c>
      <c r="BA369" s="171">
        <f ca="1">SUMIFS(Покупка!AZ$25:AZ$150,Покупка!$F$25:$F$150,$F369,Покупка!$AC$25:$AC$150,$G369)</f>
        <v>0</v>
      </c>
      <c r="BB369" s="171">
        <f ca="1">SUMIFS(Покупка!BA$25:BA$150,Покупка!$F$25:$F$150,$F369,Покупка!$AC$25:$AC$150,$G369)</f>
        <v>0</v>
      </c>
      <c r="BC369" s="171">
        <f ca="1">SUMIFS(Покупка!BB$25:BB$150,Покупка!$F$25:$F$150,$F369,Покупка!$AC$25:$AC$150,$G369)</f>
        <v>0</v>
      </c>
      <c r="BD369" s="171">
        <f t="shared" ca="1" si="105"/>
        <v>0</v>
      </c>
      <c r="BE369" s="171">
        <f t="shared" ca="1" si="106"/>
        <v>0</v>
      </c>
      <c r="BF369" s="171">
        <f t="shared" ca="1" si="107"/>
        <v>0</v>
      </c>
      <c r="BG369" s="171">
        <f t="shared" ca="1" si="108"/>
        <v>0</v>
      </c>
      <c r="BH369" s="171">
        <f t="shared" ca="1" si="109"/>
        <v>0</v>
      </c>
      <c r="BI369" s="171">
        <f t="shared" ca="1" si="110"/>
        <v>0</v>
      </c>
      <c r="BJ369" s="171">
        <f t="shared" ca="1" si="111"/>
        <v>0</v>
      </c>
      <c r="BK369" s="171">
        <f t="shared" ca="1" si="112"/>
        <v>0</v>
      </c>
      <c r="BL369" s="171">
        <f t="shared" ca="1" si="113"/>
        <v>0</v>
      </c>
      <c r="BM369" s="171">
        <f t="shared" ca="1" si="114"/>
        <v>0</v>
      </c>
      <c r="BN369" s="196"/>
      <c r="BO369" s="601" t="str">
        <f ca="1">IF(IFERROR(INDEX(Покупка!$K$26:$L$150,MATCH($F369&amp;"7komm",Покупка!$K$26:$K$150,0),2),"")=0,"",IFERROR(INDEX(Покупка!$K$26:$L$150,MATCH($F369&amp;"7komm",Покупка!$K$26:$K$150,0),2),""))</f>
        <v/>
      </c>
      <c r="BP369" s="196"/>
      <c r="BS369" s="696" t="s">
        <v>1151</v>
      </c>
    </row>
    <row r="370" spans="1:75" ht="14.25" customHeight="1" x14ac:dyDescent="0.15">
      <c r="C370" s="25"/>
      <c r="D370" s="25"/>
      <c r="E370" s="451">
        <v>15</v>
      </c>
      <c r="F370" s="3" t="str" cm="1">
        <f t="array" aca="1" ref="F370" ca="1">OFFSET(E370,-1,1)</f>
        <v>2</v>
      </c>
      <c r="G370" s="25" t="s">
        <v>1125</v>
      </c>
      <c r="H370" s="25"/>
      <c r="I370" s="25" t="s">
        <v>1681</v>
      </c>
      <c r="J370" s="25"/>
      <c r="K370" s="25" t="s">
        <v>1681</v>
      </c>
      <c r="L370" s="25" t="s">
        <v>1519</v>
      </c>
      <c r="M370" s="25"/>
      <c r="N370" s="25"/>
      <c r="O370" s="25"/>
      <c r="P370" s="25"/>
      <c r="Q370" s="25"/>
      <c r="R370" s="25"/>
      <c r="S370" s="25"/>
      <c r="T370" s="353" t="b" cm="1">
        <f t="array" aca="1" ref="T370" ca="1">T369</f>
        <v>1</v>
      </c>
      <c r="U370" s="25"/>
      <c r="V370" s="25"/>
      <c r="W370" s="25"/>
      <c r="X370" s="1022"/>
      <c r="Z370" s="967"/>
      <c r="AB370" s="7" t="s">
        <v>2054</v>
      </c>
      <c r="AC370" s="134" t="s">
        <v>2055</v>
      </c>
      <c r="AD370" s="7" t="s">
        <v>828</v>
      </c>
      <c r="AE370" s="171">
        <f ca="1">SUMIFS(Покупка!AE$25:AE$150,Покупка!$F$25:$F$150,$F370,Покупка!$AC$25:$AC$150,$G370)</f>
        <v>0</v>
      </c>
      <c r="AF370" s="171">
        <f ca="1">SUMIFS(Покупка!AF$25:AF$150,Покупка!$F$25:$F$150,$F370,Покупка!$AC$25:$AC$150,$G370)</f>
        <v>0</v>
      </c>
      <c r="AG370" s="171">
        <f ca="1">SUMIFS(Покупка!AG$25:AG$150,Покупка!$F$25:$F$150,$F370,Покупка!$AC$25:$AC$150,$G370)</f>
        <v>0</v>
      </c>
      <c r="AH370" s="171">
        <f t="shared" ca="1" si="103"/>
        <v>0</v>
      </c>
      <c r="AI370" s="171">
        <f ca="1">SUMIFS(Покупка!AH$25:AH$150,Покупка!$F$25:$F$150,$F370,Покупка!$AC$25:$AC$150,$G370)</f>
        <v>0</v>
      </c>
      <c r="AJ370" s="171">
        <f ca="1">SUMIFS(Покупка!AI$25:AI$150,Покупка!$F$25:$F$150,$F370,Покупка!$AC$25:$AC$150,$G370)</f>
        <v>0</v>
      </c>
      <c r="AK370" s="171">
        <f ca="1">SUMIFS(Покупка!AJ$25:AJ$150,Покупка!$F$25:$F$150,$F370,Покупка!$AC$25:$AC$150,$G370)</f>
        <v>0</v>
      </c>
      <c r="AL370" s="171">
        <f ca="1">SUMIFS(Покупка!AK$25:AK$150,Покупка!$F$25:$F$150,$F370,Покупка!$AC$25:$AC$150,$G370)</f>
        <v>0</v>
      </c>
      <c r="AM370" s="171">
        <f ca="1">SUMIFS(Покупка!AL$25:AL$150,Покупка!$F$25:$F$150,$F370,Покупка!$AC$25:$AC$150,$G370)</f>
        <v>0</v>
      </c>
      <c r="AN370" s="171">
        <f ca="1">SUMIFS(Покупка!AM$25:AM$150,Покупка!$F$25:$F$150,$F370,Покупка!$AC$25:$AC$150,$G370)</f>
        <v>0</v>
      </c>
      <c r="AO370" s="171">
        <f ca="1">SUMIFS(Покупка!AN$25:AN$150,Покупка!$F$25:$F$150,$F370,Покупка!$AC$25:$AC$150,$G370)</f>
        <v>0</v>
      </c>
      <c r="AP370" s="171">
        <f ca="1">SUMIFS(Покупка!AO$25:AO$150,Покупка!$F$25:$F$150,$F370,Покупка!$AC$25:$AC$150,$G370)</f>
        <v>0</v>
      </c>
      <c r="AQ370" s="171">
        <f ca="1">SUMIFS(Покупка!AP$25:AP$150,Покупка!$F$25:$F$150,$F370,Покупка!$AC$25:$AC$150,$G370)</f>
        <v>0</v>
      </c>
      <c r="AR370" s="171">
        <f ca="1">SUMIFS(Покупка!AQ$25:AQ$150,Покупка!$F$25:$F$150,$F370,Покупка!$AC$25:$AC$150,$G370)</f>
        <v>0</v>
      </c>
      <c r="AS370" s="171">
        <f ca="1">SUMIFS(Покупка!AR$25:AR$150,Покупка!$F$25:$F$150,$F370,Покупка!$AC$25:$AC$150,$G370)</f>
        <v>0</v>
      </c>
      <c r="AT370" s="171">
        <f ca="1">SUMIFS(Покупка!AS$25:AS$150,Покупка!$F$25:$F$150,$F370,Покупка!$AC$25:$AC$150,$G370)</f>
        <v>0</v>
      </c>
      <c r="AU370" s="171">
        <f ca="1">SUMIFS(Покупка!AT$25:AT$150,Покупка!$F$25:$F$150,$F370,Покупка!$AC$25:$AC$150,$G370)</f>
        <v>0</v>
      </c>
      <c r="AV370" s="171">
        <f ca="1">SUMIFS(Покупка!AU$25:AU$150,Покупка!$F$25:$F$150,$F370,Покупка!$AC$25:$AC$150,$G370)</f>
        <v>0</v>
      </c>
      <c r="AW370" s="171">
        <f ca="1">SUMIFS(Покупка!AV$25:AV$150,Покупка!$F$25:$F$150,$F370,Покупка!$AC$25:$AC$150,$G370)</f>
        <v>0</v>
      </c>
      <c r="AX370" s="171">
        <f ca="1">SUMIFS(Покупка!AW$25:AW$150,Покупка!$F$25:$F$150,$F370,Покупка!$AC$25:$AC$150,$G370)</f>
        <v>0</v>
      </c>
      <c r="AY370" s="171">
        <f ca="1">SUMIFS(Покупка!AX$25:AX$150,Покупка!$F$25:$F$150,$F370,Покупка!$AC$25:$AC$150,$G370)</f>
        <v>0</v>
      </c>
      <c r="AZ370" s="171">
        <f ca="1">SUMIFS(Покупка!AY$25:AY$150,Покупка!$F$25:$F$150,$F370,Покупка!$AC$25:$AC$150,$G370)</f>
        <v>0</v>
      </c>
      <c r="BA370" s="171">
        <f ca="1">SUMIFS(Покупка!AZ$25:AZ$150,Покупка!$F$25:$F$150,$F370,Покупка!$AC$25:$AC$150,$G370)</f>
        <v>0</v>
      </c>
      <c r="BB370" s="171">
        <f ca="1">SUMIFS(Покупка!BA$25:BA$150,Покупка!$F$25:$F$150,$F370,Покупка!$AC$25:$AC$150,$G370)</f>
        <v>0</v>
      </c>
      <c r="BC370" s="171">
        <f ca="1">SUMIFS(Покупка!BB$25:BB$150,Покупка!$F$25:$F$150,$F370,Покупка!$AC$25:$AC$150,$G370)</f>
        <v>0</v>
      </c>
      <c r="BD370" s="171">
        <f t="shared" ca="1" si="105"/>
        <v>0</v>
      </c>
      <c r="BE370" s="171">
        <f t="shared" ca="1" si="106"/>
        <v>0</v>
      </c>
      <c r="BF370" s="171">
        <f t="shared" ca="1" si="107"/>
        <v>0</v>
      </c>
      <c r="BG370" s="171">
        <f t="shared" ca="1" si="108"/>
        <v>0</v>
      </c>
      <c r="BH370" s="171">
        <f t="shared" ca="1" si="109"/>
        <v>0</v>
      </c>
      <c r="BI370" s="171">
        <f t="shared" ca="1" si="110"/>
        <v>0</v>
      </c>
      <c r="BJ370" s="171">
        <f t="shared" ca="1" si="111"/>
        <v>0</v>
      </c>
      <c r="BK370" s="171">
        <f t="shared" ca="1" si="112"/>
        <v>0</v>
      </c>
      <c r="BL370" s="171">
        <f t="shared" ca="1" si="113"/>
        <v>0</v>
      </c>
      <c r="BM370" s="171">
        <f t="shared" ca="1" si="114"/>
        <v>0</v>
      </c>
      <c r="BN370" s="196"/>
      <c r="BO370" s="601" t="str">
        <f ca="1">IF(IFERROR(INDEX(Покупка!$K$26:$L$150,MATCH($F370&amp;"2komm",Покупка!$K$26:$K$150,0),2),"")=0,"",IFERROR(INDEX(Покупка!$K$26:$L$150,MATCH($F370&amp;"2komm",Покупка!$K$26:$K$150,0),2),""))</f>
        <v/>
      </c>
      <c r="BP370" s="196"/>
      <c r="BS370" s="696" t="s">
        <v>2056</v>
      </c>
    </row>
    <row r="371" spans="1:75" ht="14.25" customHeight="1" x14ac:dyDescent="0.15">
      <c r="C371" s="25"/>
      <c r="D371" s="25"/>
      <c r="E371" s="451">
        <v>15</v>
      </c>
      <c r="F371" s="3" t="str" cm="1">
        <f t="array" aca="1" ref="F371" ca="1">OFFSET(E371,-1,1)</f>
        <v>2</v>
      </c>
      <c r="G371" s="25" t="s">
        <v>1116</v>
      </c>
      <c r="H371" s="25"/>
      <c r="I371" s="25" t="s">
        <v>1683</v>
      </c>
      <c r="J371" s="25"/>
      <c r="K371" s="25" t="s">
        <v>1683</v>
      </c>
      <c r="L371" s="25" t="s">
        <v>1514</v>
      </c>
      <c r="M371" s="25"/>
      <c r="N371" s="25"/>
      <c r="O371" s="25"/>
      <c r="P371" s="25"/>
      <c r="Q371" s="25"/>
      <c r="R371" s="25"/>
      <c r="S371" s="25"/>
      <c r="T371" s="353" t="b" cm="1">
        <f t="array" aca="1" ref="T371" ca="1">T370</f>
        <v>1</v>
      </c>
      <c r="U371" s="25"/>
      <c r="V371" s="25"/>
      <c r="W371" s="25"/>
      <c r="X371" s="1022"/>
      <c r="Z371" s="967"/>
      <c r="AB371" s="7" t="s">
        <v>2057</v>
      </c>
      <c r="AC371" s="134" t="s">
        <v>2058</v>
      </c>
      <c r="AD371" s="7" t="s">
        <v>828</v>
      </c>
      <c r="AE371" s="171">
        <f ca="1">SUMIFS(Покупка!AE$25:AE$150,Покупка!$F$25:$F$150,$F371,Покупка!$AC$25:$AC$150,$G371)</f>
        <v>0</v>
      </c>
      <c r="AF371" s="171">
        <f ca="1">SUMIFS(Покупка!AF$25:AF$150,Покупка!$F$25:$F$150,$F371,Покупка!$AC$25:$AC$150,$G371)</f>
        <v>0</v>
      </c>
      <c r="AG371" s="171">
        <f ca="1">SUMIFS(Покупка!AG$25:AG$150,Покупка!$F$25:$F$150,$F371,Покупка!$AC$25:$AC$150,$G371)</f>
        <v>0</v>
      </c>
      <c r="AH371" s="171">
        <f t="shared" ca="1" si="103"/>
        <v>0</v>
      </c>
      <c r="AI371" s="171">
        <f ca="1">SUMIFS(Покупка!AH$25:AH$150,Покупка!$F$25:$F$150,$F371,Покупка!$AC$25:$AC$150,$G371)</f>
        <v>0</v>
      </c>
      <c r="AJ371" s="171">
        <f ca="1">SUMIFS(Покупка!AI$25:AI$150,Покупка!$F$25:$F$150,$F371,Покупка!$AC$25:$AC$150,$G371)</f>
        <v>0</v>
      </c>
      <c r="AK371" s="171">
        <f ca="1">SUMIFS(Покупка!AJ$25:AJ$150,Покупка!$F$25:$F$150,$F371,Покупка!$AC$25:$AC$150,$G371)</f>
        <v>0</v>
      </c>
      <c r="AL371" s="171">
        <f ca="1">SUMIFS(Покупка!AK$25:AK$150,Покупка!$F$25:$F$150,$F371,Покупка!$AC$25:$AC$150,$G371)</f>
        <v>0</v>
      </c>
      <c r="AM371" s="171">
        <f ca="1">SUMIFS(Покупка!AL$25:AL$150,Покупка!$F$25:$F$150,$F371,Покупка!$AC$25:$AC$150,$G371)</f>
        <v>0</v>
      </c>
      <c r="AN371" s="171">
        <f ca="1">SUMIFS(Покупка!AM$25:AM$150,Покупка!$F$25:$F$150,$F371,Покупка!$AC$25:$AC$150,$G371)</f>
        <v>0</v>
      </c>
      <c r="AO371" s="171">
        <f ca="1">SUMIFS(Покупка!AN$25:AN$150,Покупка!$F$25:$F$150,$F371,Покупка!$AC$25:$AC$150,$G371)</f>
        <v>0</v>
      </c>
      <c r="AP371" s="171">
        <f ca="1">SUMIFS(Покупка!AO$25:AO$150,Покупка!$F$25:$F$150,$F371,Покупка!$AC$25:$AC$150,$G371)</f>
        <v>0</v>
      </c>
      <c r="AQ371" s="171">
        <f ca="1">SUMIFS(Покупка!AP$25:AP$150,Покупка!$F$25:$F$150,$F371,Покупка!$AC$25:$AC$150,$G371)</f>
        <v>0</v>
      </c>
      <c r="AR371" s="171">
        <f ca="1">SUMIFS(Покупка!AQ$25:AQ$150,Покупка!$F$25:$F$150,$F371,Покупка!$AC$25:$AC$150,$G371)</f>
        <v>0</v>
      </c>
      <c r="AS371" s="171">
        <f ca="1">SUMIFS(Покупка!AR$25:AR$150,Покупка!$F$25:$F$150,$F371,Покупка!$AC$25:$AC$150,$G371)</f>
        <v>0</v>
      </c>
      <c r="AT371" s="171">
        <f ca="1">SUMIFS(Покупка!AS$25:AS$150,Покупка!$F$25:$F$150,$F371,Покупка!$AC$25:$AC$150,$G371)</f>
        <v>0</v>
      </c>
      <c r="AU371" s="171">
        <f ca="1">SUMIFS(Покупка!AT$25:AT$150,Покупка!$F$25:$F$150,$F371,Покупка!$AC$25:$AC$150,$G371)</f>
        <v>0</v>
      </c>
      <c r="AV371" s="171">
        <f ca="1">SUMIFS(Покупка!AU$25:AU$150,Покупка!$F$25:$F$150,$F371,Покупка!$AC$25:$AC$150,$G371)</f>
        <v>0</v>
      </c>
      <c r="AW371" s="171">
        <f ca="1">SUMIFS(Покупка!AV$25:AV$150,Покупка!$F$25:$F$150,$F371,Покупка!$AC$25:$AC$150,$G371)</f>
        <v>0</v>
      </c>
      <c r="AX371" s="171">
        <f ca="1">SUMIFS(Покупка!AW$25:AW$150,Покупка!$F$25:$F$150,$F371,Покупка!$AC$25:$AC$150,$G371)</f>
        <v>0</v>
      </c>
      <c r="AY371" s="171">
        <f ca="1">SUMIFS(Покупка!AX$25:AX$150,Покупка!$F$25:$F$150,$F371,Покупка!$AC$25:$AC$150,$G371)</f>
        <v>0</v>
      </c>
      <c r="AZ371" s="171">
        <f ca="1">SUMIFS(Покупка!AY$25:AY$150,Покупка!$F$25:$F$150,$F371,Покупка!$AC$25:$AC$150,$G371)</f>
        <v>0</v>
      </c>
      <c r="BA371" s="171">
        <f ca="1">SUMIFS(Покупка!AZ$25:AZ$150,Покупка!$F$25:$F$150,$F371,Покупка!$AC$25:$AC$150,$G371)</f>
        <v>0</v>
      </c>
      <c r="BB371" s="171">
        <f ca="1">SUMIFS(Покупка!BA$25:BA$150,Покупка!$F$25:$F$150,$F371,Покупка!$AC$25:$AC$150,$G371)</f>
        <v>0</v>
      </c>
      <c r="BC371" s="171">
        <f ca="1">SUMIFS(Покупка!BB$25:BB$150,Покупка!$F$25:$F$150,$F371,Покупка!$AC$25:$AC$150,$G371)</f>
        <v>0</v>
      </c>
      <c r="BD371" s="171">
        <f t="shared" ca="1" si="105"/>
        <v>0</v>
      </c>
      <c r="BE371" s="171">
        <f t="shared" ca="1" si="106"/>
        <v>0</v>
      </c>
      <c r="BF371" s="171">
        <f t="shared" ca="1" si="107"/>
        <v>0</v>
      </c>
      <c r="BG371" s="171">
        <f t="shared" ca="1" si="108"/>
        <v>0</v>
      </c>
      <c r="BH371" s="171">
        <f t="shared" ca="1" si="109"/>
        <v>0</v>
      </c>
      <c r="BI371" s="171">
        <f t="shared" ca="1" si="110"/>
        <v>0</v>
      </c>
      <c r="BJ371" s="171">
        <f t="shared" ca="1" si="111"/>
        <v>0</v>
      </c>
      <c r="BK371" s="171">
        <f t="shared" ca="1" si="112"/>
        <v>0</v>
      </c>
      <c r="BL371" s="171">
        <f t="shared" ca="1" si="113"/>
        <v>0</v>
      </c>
      <c r="BM371" s="171">
        <f t="shared" ca="1" si="114"/>
        <v>0</v>
      </c>
      <c r="BN371" s="196"/>
      <c r="BO371" s="601" t="str">
        <f ca="1">IF(IFERROR(INDEX(Покупка!$K$26:$L$150,MATCH($F371&amp;"1komm",Покупка!$K$26:$K$150,0),2),"")=0,"",IFERROR(INDEX(Покупка!$K$26:$L$150,MATCH($F371&amp;"1komm",Покупка!$K$26:$K$150,0),2),""))</f>
        <v/>
      </c>
      <c r="BP371" s="196"/>
      <c r="BS371" s="696" t="s">
        <v>2059</v>
      </c>
    </row>
    <row r="372" spans="1:75" ht="14.25" customHeight="1" x14ac:dyDescent="0.15">
      <c r="C372" s="25"/>
      <c r="D372" s="25"/>
      <c r="E372" s="451">
        <v>15</v>
      </c>
      <c r="F372" s="3" t="str" cm="1">
        <f t="array" aca="1" ref="F372" ca="1">OFFSET(E372,-1,1)</f>
        <v>2</v>
      </c>
      <c r="G372" s="25" t="s">
        <v>1152</v>
      </c>
      <c r="H372" s="25"/>
      <c r="I372" s="25" t="s">
        <v>1686</v>
      </c>
      <c r="J372" s="25"/>
      <c r="K372" s="25" t="s">
        <v>1686</v>
      </c>
      <c r="L372" s="25"/>
      <c r="M372" s="25"/>
      <c r="N372" s="25"/>
      <c r="O372" s="25"/>
      <c r="P372" s="25"/>
      <c r="Q372" s="25"/>
      <c r="R372" s="25"/>
      <c r="S372" s="25"/>
      <c r="T372" s="353" t="b" cm="1">
        <f t="array" aca="1" ref="T372" ca="1">T371</f>
        <v>1</v>
      </c>
      <c r="U372" s="25"/>
      <c r="V372" s="25"/>
      <c r="W372" s="25"/>
      <c r="X372" s="1022"/>
      <c r="Z372" s="967"/>
      <c r="AB372" s="7" t="s">
        <v>2060</v>
      </c>
      <c r="AC372" s="134" t="s">
        <v>2061</v>
      </c>
      <c r="AD372" s="7" t="s">
        <v>828</v>
      </c>
      <c r="AE372" s="171">
        <f ca="1">SUMIFS(Покупка!AE$25:AE$150,Покупка!$F$25:$F$150,$F372,Покупка!$AC$25:$AC$150,$G372)</f>
        <v>0</v>
      </c>
      <c r="AF372" s="171">
        <f ca="1">SUMIFS(Покупка!AF$25:AF$150,Покупка!$F$25:$F$150,$F372,Покупка!$AC$25:$AC$150,$G372)</f>
        <v>0</v>
      </c>
      <c r="AG372" s="171">
        <f ca="1">SUMIFS(Покупка!AG$25:AG$150,Покупка!$F$25:$F$150,$F372,Покупка!$AC$25:$AC$150,$G372)</f>
        <v>0</v>
      </c>
      <c r="AH372" s="171">
        <f t="shared" ca="1" si="103"/>
        <v>0</v>
      </c>
      <c r="AI372" s="171">
        <f ca="1">SUMIFS(Покупка!AH$25:AH$150,Покупка!$F$25:$F$150,$F372,Покупка!$AC$25:$AC$150,$G372)</f>
        <v>0</v>
      </c>
      <c r="AJ372" s="171">
        <f ca="1">SUMIFS(Покупка!AI$25:AI$150,Покупка!$F$25:$F$150,$F372,Покупка!$AC$25:$AC$150,$G372)</f>
        <v>0</v>
      </c>
      <c r="AK372" s="171">
        <f ca="1">SUMIFS(Покупка!AJ$25:AJ$150,Покупка!$F$25:$F$150,$F372,Покупка!$AC$25:$AC$150,$G372)</f>
        <v>0</v>
      </c>
      <c r="AL372" s="171">
        <f ca="1">SUMIFS(Покупка!AK$25:AK$150,Покупка!$F$25:$F$150,$F372,Покупка!$AC$25:$AC$150,$G372)</f>
        <v>0</v>
      </c>
      <c r="AM372" s="171">
        <f ca="1">SUMIFS(Покупка!AL$25:AL$150,Покупка!$F$25:$F$150,$F372,Покупка!$AC$25:$AC$150,$G372)</f>
        <v>0</v>
      </c>
      <c r="AN372" s="171">
        <f ca="1">SUMIFS(Покупка!AM$25:AM$150,Покупка!$F$25:$F$150,$F372,Покупка!$AC$25:$AC$150,$G372)</f>
        <v>0</v>
      </c>
      <c r="AO372" s="171">
        <f ca="1">SUMIFS(Покупка!AN$25:AN$150,Покупка!$F$25:$F$150,$F372,Покупка!$AC$25:$AC$150,$G372)</f>
        <v>0</v>
      </c>
      <c r="AP372" s="171">
        <f ca="1">SUMIFS(Покупка!AO$25:AO$150,Покупка!$F$25:$F$150,$F372,Покупка!$AC$25:$AC$150,$G372)</f>
        <v>0</v>
      </c>
      <c r="AQ372" s="171">
        <f ca="1">SUMIFS(Покупка!AP$25:AP$150,Покупка!$F$25:$F$150,$F372,Покупка!$AC$25:$AC$150,$G372)</f>
        <v>0</v>
      </c>
      <c r="AR372" s="171">
        <f ca="1">SUMIFS(Покупка!AQ$25:AQ$150,Покупка!$F$25:$F$150,$F372,Покупка!$AC$25:$AC$150,$G372)</f>
        <v>0</v>
      </c>
      <c r="AS372" s="171">
        <f ca="1">SUMIFS(Покупка!AR$25:AR$150,Покупка!$F$25:$F$150,$F372,Покупка!$AC$25:$AC$150,$G372)</f>
        <v>0</v>
      </c>
      <c r="AT372" s="171">
        <f ca="1">SUMIFS(Покупка!AS$25:AS$150,Покупка!$F$25:$F$150,$F372,Покупка!$AC$25:$AC$150,$G372)</f>
        <v>0</v>
      </c>
      <c r="AU372" s="171">
        <f ca="1">SUMIFS(Покупка!AT$25:AT$150,Покупка!$F$25:$F$150,$F372,Покупка!$AC$25:$AC$150,$G372)</f>
        <v>0</v>
      </c>
      <c r="AV372" s="171">
        <f ca="1">SUMIFS(Покупка!AU$25:AU$150,Покупка!$F$25:$F$150,$F372,Покупка!$AC$25:$AC$150,$G372)</f>
        <v>0</v>
      </c>
      <c r="AW372" s="171">
        <f ca="1">SUMIFS(Покупка!AV$25:AV$150,Покупка!$F$25:$F$150,$F372,Покупка!$AC$25:$AC$150,$G372)</f>
        <v>0</v>
      </c>
      <c r="AX372" s="171">
        <f ca="1">SUMIFS(Покупка!AW$25:AW$150,Покупка!$F$25:$F$150,$F372,Покупка!$AC$25:$AC$150,$G372)</f>
        <v>0</v>
      </c>
      <c r="AY372" s="171">
        <f ca="1">SUMIFS(Покупка!AX$25:AX$150,Покупка!$F$25:$F$150,$F372,Покупка!$AC$25:$AC$150,$G372)</f>
        <v>0</v>
      </c>
      <c r="AZ372" s="171">
        <f ca="1">SUMIFS(Покупка!AY$25:AY$150,Покупка!$F$25:$F$150,$F372,Покупка!$AC$25:$AC$150,$G372)</f>
        <v>0</v>
      </c>
      <c r="BA372" s="171">
        <f ca="1">SUMIFS(Покупка!AZ$25:AZ$150,Покупка!$F$25:$F$150,$F372,Покупка!$AC$25:$AC$150,$G372)</f>
        <v>0</v>
      </c>
      <c r="BB372" s="171">
        <f ca="1">SUMIFS(Покупка!BA$25:BA$150,Покупка!$F$25:$F$150,$F372,Покупка!$AC$25:$AC$150,$G372)</f>
        <v>0</v>
      </c>
      <c r="BC372" s="171">
        <f ca="1">SUMIFS(Покупка!BB$25:BB$150,Покупка!$F$25:$F$150,$F372,Покупка!$AC$25:$AC$150,$G372)</f>
        <v>0</v>
      </c>
      <c r="BD372" s="171">
        <f t="shared" ca="1" si="105"/>
        <v>0</v>
      </c>
      <c r="BE372" s="171">
        <f t="shared" ca="1" si="106"/>
        <v>0</v>
      </c>
      <c r="BF372" s="171">
        <f t="shared" ca="1" si="107"/>
        <v>0</v>
      </c>
      <c r="BG372" s="171">
        <f t="shared" ca="1" si="108"/>
        <v>0</v>
      </c>
      <c r="BH372" s="171">
        <f t="shared" ca="1" si="109"/>
        <v>0</v>
      </c>
      <c r="BI372" s="171">
        <f t="shared" ca="1" si="110"/>
        <v>0</v>
      </c>
      <c r="BJ372" s="171">
        <f t="shared" ca="1" si="111"/>
        <v>0</v>
      </c>
      <c r="BK372" s="171">
        <f t="shared" ca="1" si="112"/>
        <v>0</v>
      </c>
      <c r="BL372" s="171">
        <f t="shared" ca="1" si="113"/>
        <v>0</v>
      </c>
      <c r="BM372" s="171">
        <f t="shared" ca="1" si="114"/>
        <v>0</v>
      </c>
      <c r="BN372" s="196"/>
      <c r="BO372" s="601" t="str">
        <f ca="1">IF(IFERROR(INDEX(Покупка!$K$26:$L$150,MATCH($F372&amp;"8komm",Покупка!$K$26:$K$150,0),2),"")=0,"",IFERROR(INDEX(Покупка!$K$26:$L$150,MATCH($F372&amp;"8komm",Покупка!$K$26:$K$150,0),2),""))</f>
        <v/>
      </c>
      <c r="BP372" s="196"/>
      <c r="BS372" s="696" t="s">
        <v>1153</v>
      </c>
    </row>
    <row r="373" spans="1:75" ht="14.25" customHeight="1" x14ac:dyDescent="0.15">
      <c r="C373" s="25"/>
      <c r="D373" s="25"/>
      <c r="E373" s="451">
        <v>15</v>
      </c>
      <c r="F373" s="3" t="str" cm="1">
        <f t="array" aca="1" ref="F373" ca="1">OFFSET(E373,-1,1)</f>
        <v>2</v>
      </c>
      <c r="G373" s="25"/>
      <c r="H373" s="25"/>
      <c r="I373" s="25" t="s">
        <v>2062</v>
      </c>
      <c r="J373" s="25"/>
      <c r="K373" s="25" t="s">
        <v>2062</v>
      </c>
      <c r="L373" s="25"/>
      <c r="M373" s="25"/>
      <c r="N373" s="25"/>
      <c r="O373" s="25"/>
      <c r="P373" s="25"/>
      <c r="Q373" s="25"/>
      <c r="R373" s="25"/>
      <c r="S373" s="25"/>
      <c r="T373" s="353" t="b" cm="1">
        <f t="array" aca="1" ref="T373" ca="1">T372</f>
        <v>1</v>
      </c>
      <c r="U373" s="25"/>
      <c r="V373" s="25"/>
      <c r="W373" s="25"/>
      <c r="X373" s="1022"/>
      <c r="Z373" s="967"/>
      <c r="AB373" s="7" t="s">
        <v>2063</v>
      </c>
      <c r="AC373" s="134" t="s">
        <v>2064</v>
      </c>
      <c r="AD373" s="7" t="s">
        <v>828</v>
      </c>
      <c r="AE373" s="128"/>
      <c r="AF373" s="128"/>
      <c r="AG373" s="128"/>
      <c r="AH373" s="171">
        <f t="shared" si="103"/>
        <v>0</v>
      </c>
      <c r="AI373" s="128"/>
      <c r="AJ373" s="128"/>
      <c r="AK373" s="778"/>
      <c r="AL373" s="778"/>
      <c r="AM373" s="128"/>
      <c r="AN373" s="128"/>
      <c r="AO373" s="128"/>
      <c r="AP373" s="128"/>
      <c r="AQ373" s="128"/>
      <c r="AR373" s="128"/>
      <c r="AS373" s="128"/>
      <c r="AT373" s="128"/>
      <c r="AU373" s="778"/>
      <c r="AV373" s="778"/>
      <c r="AW373" s="128"/>
      <c r="AX373" s="128"/>
      <c r="AY373" s="128"/>
      <c r="AZ373" s="128"/>
      <c r="BA373" s="128"/>
      <c r="BB373" s="128"/>
      <c r="BC373" s="128"/>
      <c r="BD373" s="171">
        <f t="shared" si="105"/>
        <v>0</v>
      </c>
      <c r="BE373" s="171">
        <f t="shared" si="106"/>
        <v>0</v>
      </c>
      <c r="BF373" s="171">
        <f t="shared" si="107"/>
        <v>0</v>
      </c>
      <c r="BG373" s="171">
        <f t="shared" si="108"/>
        <v>0</v>
      </c>
      <c r="BH373" s="171">
        <f t="shared" si="109"/>
        <v>0</v>
      </c>
      <c r="BI373" s="171">
        <f t="shared" si="110"/>
        <v>0</v>
      </c>
      <c r="BJ373" s="171">
        <f t="shared" si="111"/>
        <v>0</v>
      </c>
      <c r="BK373" s="171">
        <f t="shared" si="112"/>
        <v>0</v>
      </c>
      <c r="BL373" s="171">
        <f t="shared" si="113"/>
        <v>0</v>
      </c>
      <c r="BM373" s="171">
        <f t="shared" si="114"/>
        <v>0</v>
      </c>
      <c r="BN373" s="196"/>
      <c r="BO373" s="196"/>
      <c r="BP373" s="196"/>
      <c r="BS373" s="696" t="s">
        <v>2065</v>
      </c>
    </row>
    <row r="374" spans="1:75" ht="14.25" customHeight="1" x14ac:dyDescent="0.15">
      <c r="C374" s="25"/>
      <c r="D374" s="25"/>
      <c r="E374" s="451">
        <v>15</v>
      </c>
      <c r="F374" s="3" t="str" cm="1">
        <f t="array" aca="1" ref="F374" ca="1">OFFSET(E374,-1,1)</f>
        <v>2</v>
      </c>
      <c r="G374" s="25"/>
      <c r="H374" s="25"/>
      <c r="I374" s="25" t="s">
        <v>2066</v>
      </c>
      <c r="J374" s="25"/>
      <c r="K374" s="25" t="s">
        <v>2066</v>
      </c>
      <c r="L374" s="25"/>
      <c r="M374" s="25"/>
      <c r="N374" s="25"/>
      <c r="O374" s="25"/>
      <c r="P374" s="25"/>
      <c r="Q374" s="25"/>
      <c r="R374" s="25"/>
      <c r="S374" s="25"/>
      <c r="T374" s="353" t="b" cm="1">
        <f t="array" aca="1" ref="T374" ca="1">T373</f>
        <v>1</v>
      </c>
      <c r="U374" s="25"/>
      <c r="V374" s="25"/>
      <c r="W374" s="25"/>
      <c r="X374" s="1022"/>
      <c r="Z374" s="967"/>
      <c r="AB374" s="7" t="s">
        <v>2067</v>
      </c>
      <c r="AC374" s="134" t="s">
        <v>2068</v>
      </c>
      <c r="AD374" s="7" t="s">
        <v>828</v>
      </c>
      <c r="AE374" s="128"/>
      <c r="AF374" s="128"/>
      <c r="AG374" s="128"/>
      <c r="AH374" s="171">
        <f t="shared" si="103"/>
        <v>0</v>
      </c>
      <c r="AI374" s="128"/>
      <c r="AJ374" s="128"/>
      <c r="AK374" s="778"/>
      <c r="AL374" s="778"/>
      <c r="AM374" s="128"/>
      <c r="AN374" s="128"/>
      <c r="AO374" s="128"/>
      <c r="AP374" s="128"/>
      <c r="AQ374" s="128"/>
      <c r="AR374" s="128"/>
      <c r="AS374" s="128"/>
      <c r="AT374" s="128"/>
      <c r="AU374" s="778"/>
      <c r="AV374" s="778"/>
      <c r="AW374" s="128"/>
      <c r="AX374" s="128"/>
      <c r="AY374" s="128"/>
      <c r="AZ374" s="128"/>
      <c r="BA374" s="128"/>
      <c r="BB374" s="128"/>
      <c r="BC374" s="128"/>
      <c r="BD374" s="171">
        <f t="shared" si="105"/>
        <v>0</v>
      </c>
      <c r="BE374" s="171">
        <f t="shared" si="106"/>
        <v>0</v>
      </c>
      <c r="BF374" s="171">
        <f t="shared" si="107"/>
        <v>0</v>
      </c>
      <c r="BG374" s="171">
        <f t="shared" si="108"/>
        <v>0</v>
      </c>
      <c r="BH374" s="171">
        <f t="shared" si="109"/>
        <v>0</v>
      </c>
      <c r="BI374" s="171">
        <f t="shared" si="110"/>
        <v>0</v>
      </c>
      <c r="BJ374" s="171">
        <f t="shared" si="111"/>
        <v>0</v>
      </c>
      <c r="BK374" s="171">
        <f t="shared" si="112"/>
        <v>0</v>
      </c>
      <c r="BL374" s="171">
        <f t="shared" si="113"/>
        <v>0</v>
      </c>
      <c r="BM374" s="171">
        <f t="shared" si="114"/>
        <v>0</v>
      </c>
      <c r="BN374" s="196"/>
      <c r="BO374" s="196"/>
      <c r="BP374" s="196"/>
      <c r="BS374" s="696" t="s">
        <v>2069</v>
      </c>
    </row>
    <row r="375" spans="1:75" ht="14.25" customHeight="1" x14ac:dyDescent="0.15">
      <c r="C375" s="25"/>
      <c r="D375" s="25"/>
      <c r="E375" s="451">
        <v>15</v>
      </c>
      <c r="F375" s="3" t="str" cm="1">
        <f t="array" aca="1" ref="F375" ca="1">OFFSET(E375,-1,1)</f>
        <v>2</v>
      </c>
      <c r="G375" s="25" t="s">
        <v>1130</v>
      </c>
      <c r="H375" s="25"/>
      <c r="I375" s="25" t="s">
        <v>2070</v>
      </c>
      <c r="J375" s="25"/>
      <c r="K375" s="25" t="s">
        <v>2070</v>
      </c>
      <c r="L375" s="25" t="s">
        <v>1528</v>
      </c>
      <c r="M375" s="25"/>
      <c r="N375" s="25"/>
      <c r="O375" s="25"/>
      <c r="P375" s="25"/>
      <c r="Q375" s="25"/>
      <c r="R375" s="25"/>
      <c r="S375" s="25"/>
      <c r="T375" s="353" t="b" cm="1">
        <f t="array" aca="1" ref="T375" ca="1">T374</f>
        <v>1</v>
      </c>
      <c r="U375" s="25"/>
      <c r="V375" s="25"/>
      <c r="W375" s="25"/>
      <c r="X375" s="1022"/>
      <c r="Z375" s="967"/>
      <c r="AB375" s="7" t="s">
        <v>2071</v>
      </c>
      <c r="AC375" s="134" t="s">
        <v>2072</v>
      </c>
      <c r="AD375" s="7" t="s">
        <v>828</v>
      </c>
      <c r="AE375" s="171">
        <f ca="1">SUMIFS(Покупка!AE$25:AE$150,Покупка!$F$25:$F$150,$F375,Покупка!$AC$25:$AC$150,$G375)</f>
        <v>0</v>
      </c>
      <c r="AF375" s="171">
        <f ca="1">SUMIFS(Покупка!AF$25:AF$150,Покупка!$F$25:$F$150,$F375,Покупка!$AC$25:$AC$150,$G375)</f>
        <v>0</v>
      </c>
      <c r="AG375" s="171">
        <f ca="1">SUMIFS(Покупка!AG$25:AG$150,Покупка!$F$25:$F$150,$F375,Покупка!$AC$25:$AC$150,$G375)</f>
        <v>0</v>
      </c>
      <c r="AH375" s="171">
        <f t="shared" ca="1" si="103"/>
        <v>0</v>
      </c>
      <c r="AI375" s="171">
        <f ca="1">SUMIFS(Покупка!AH$25:AH$150,Покупка!$F$25:$F$150,$F375,Покупка!$AC$25:$AC$150,$G375)</f>
        <v>0</v>
      </c>
      <c r="AJ375" s="171">
        <f ca="1">SUMIFS(Покупка!AI$25:AI$150,Покупка!$F$25:$F$150,$F375,Покупка!$AC$25:$AC$150,$G375)</f>
        <v>0</v>
      </c>
      <c r="AK375" s="171">
        <f ca="1">SUMIFS(Покупка!AJ$25:AJ$150,Покупка!$F$25:$F$150,$F375,Покупка!$AC$25:$AC$150,$G375)</f>
        <v>0</v>
      </c>
      <c r="AL375" s="171">
        <f ca="1">SUMIFS(Покупка!AK$25:AK$150,Покупка!$F$25:$F$150,$F375,Покупка!$AC$25:$AC$150,$G375)</f>
        <v>0</v>
      </c>
      <c r="AM375" s="171">
        <f ca="1">SUMIFS(Покупка!AL$25:AL$150,Покупка!$F$25:$F$150,$F375,Покупка!$AC$25:$AC$150,$G375)</f>
        <v>0</v>
      </c>
      <c r="AN375" s="171">
        <f ca="1">SUMIFS(Покупка!AM$25:AM$150,Покупка!$F$25:$F$150,$F375,Покупка!$AC$25:$AC$150,$G375)</f>
        <v>0</v>
      </c>
      <c r="AO375" s="171">
        <f ca="1">SUMIFS(Покупка!AN$25:AN$150,Покупка!$F$25:$F$150,$F375,Покупка!$AC$25:$AC$150,$G375)</f>
        <v>0</v>
      </c>
      <c r="AP375" s="171">
        <f ca="1">SUMIFS(Покупка!AO$25:AO$150,Покупка!$F$25:$F$150,$F375,Покупка!$AC$25:$AC$150,$G375)</f>
        <v>0</v>
      </c>
      <c r="AQ375" s="171">
        <f ca="1">SUMIFS(Покупка!AP$25:AP$150,Покупка!$F$25:$F$150,$F375,Покупка!$AC$25:$AC$150,$G375)</f>
        <v>0</v>
      </c>
      <c r="AR375" s="171">
        <f ca="1">SUMIFS(Покупка!AQ$25:AQ$150,Покупка!$F$25:$F$150,$F375,Покупка!$AC$25:$AC$150,$G375)</f>
        <v>0</v>
      </c>
      <c r="AS375" s="171">
        <f ca="1">SUMIFS(Покупка!AR$25:AR$150,Покупка!$F$25:$F$150,$F375,Покупка!$AC$25:$AC$150,$G375)</f>
        <v>0</v>
      </c>
      <c r="AT375" s="171">
        <f ca="1">SUMIFS(Покупка!AS$25:AS$150,Покупка!$F$25:$F$150,$F375,Покупка!$AC$25:$AC$150,$G375)</f>
        <v>0</v>
      </c>
      <c r="AU375" s="171">
        <f ca="1">SUMIFS(Покупка!AT$25:AT$150,Покупка!$F$25:$F$150,$F375,Покупка!$AC$25:$AC$150,$G375)</f>
        <v>0</v>
      </c>
      <c r="AV375" s="171">
        <f ca="1">SUMIFS(Покупка!AU$25:AU$150,Покупка!$F$25:$F$150,$F375,Покупка!$AC$25:$AC$150,$G375)</f>
        <v>0</v>
      </c>
      <c r="AW375" s="171">
        <f ca="1">SUMIFS(Покупка!AV$25:AV$150,Покупка!$F$25:$F$150,$F375,Покупка!$AC$25:$AC$150,$G375)</f>
        <v>0</v>
      </c>
      <c r="AX375" s="171">
        <f ca="1">SUMIFS(Покупка!AW$25:AW$150,Покупка!$F$25:$F$150,$F375,Покупка!$AC$25:$AC$150,$G375)</f>
        <v>0</v>
      </c>
      <c r="AY375" s="171">
        <f ca="1">SUMIFS(Покупка!AX$25:AX$150,Покупка!$F$25:$F$150,$F375,Покупка!$AC$25:$AC$150,$G375)</f>
        <v>0</v>
      </c>
      <c r="AZ375" s="171">
        <f ca="1">SUMIFS(Покупка!AY$25:AY$150,Покупка!$F$25:$F$150,$F375,Покупка!$AC$25:$AC$150,$G375)</f>
        <v>0</v>
      </c>
      <c r="BA375" s="171">
        <f ca="1">SUMIFS(Покупка!AZ$25:AZ$150,Покупка!$F$25:$F$150,$F375,Покупка!$AC$25:$AC$150,$G375)</f>
        <v>0</v>
      </c>
      <c r="BB375" s="171">
        <f ca="1">SUMIFS(Покупка!BA$25:BA$150,Покупка!$F$25:$F$150,$F375,Покупка!$AC$25:$AC$150,$G375)</f>
        <v>0</v>
      </c>
      <c r="BC375" s="171">
        <f ca="1">SUMIFS(Покупка!BB$25:BB$150,Покупка!$F$25:$F$150,$F375,Покупка!$AC$25:$AC$150,$G375)</f>
        <v>0</v>
      </c>
      <c r="BD375" s="171">
        <f t="shared" ca="1" si="105"/>
        <v>0</v>
      </c>
      <c r="BE375" s="171">
        <f t="shared" ca="1" si="106"/>
        <v>0</v>
      </c>
      <c r="BF375" s="171">
        <f t="shared" ca="1" si="107"/>
        <v>0</v>
      </c>
      <c r="BG375" s="171">
        <f t="shared" ca="1" si="108"/>
        <v>0</v>
      </c>
      <c r="BH375" s="171">
        <f t="shared" ca="1" si="109"/>
        <v>0</v>
      </c>
      <c r="BI375" s="171">
        <f t="shared" ca="1" si="110"/>
        <v>0</v>
      </c>
      <c r="BJ375" s="171">
        <f t="shared" ca="1" si="111"/>
        <v>0</v>
      </c>
      <c r="BK375" s="171">
        <f t="shared" ca="1" si="112"/>
        <v>0</v>
      </c>
      <c r="BL375" s="171">
        <f t="shared" ca="1" si="113"/>
        <v>0</v>
      </c>
      <c r="BM375" s="171">
        <f t="shared" ca="1" si="114"/>
        <v>0</v>
      </c>
      <c r="BN375" s="196"/>
      <c r="BO375" s="601" t="str">
        <f ca="1">IF(IFERROR(INDEX(Покупка!$K$26:$L$150,MATCH($F375&amp;"3komm",Покупка!$K$26:$K$150,0),2),"")=0,"",IFERROR(INDEX(Покупка!$K$26:$L$150,MATCH($F375&amp;"3komm",Покупка!$K$26:$K$150,0),2),""))</f>
        <v/>
      </c>
      <c r="BP375" s="196"/>
      <c r="BS375" s="696" t="s">
        <v>1763</v>
      </c>
    </row>
    <row r="376" spans="1:75" ht="138.75" customHeight="1" x14ac:dyDescent="0.15">
      <c r="C376" s="25"/>
      <c r="D376" s="25"/>
      <c r="E376" s="451">
        <v>15</v>
      </c>
      <c r="F376" s="3" t="str" cm="1">
        <f t="array" aca="1" ref="F376" ca="1">OFFSET(E376,-1,1)</f>
        <v>2</v>
      </c>
      <c r="G376" s="25" t="s">
        <v>1136</v>
      </c>
      <c r="H376" s="25"/>
      <c r="I376" s="25" t="s">
        <v>2073</v>
      </c>
      <c r="J376" s="25"/>
      <c r="K376" s="25" t="s">
        <v>2073</v>
      </c>
      <c r="L376" s="25" t="s">
        <v>1533</v>
      </c>
      <c r="M376" s="25"/>
      <c r="N376" s="25"/>
      <c r="O376" s="25"/>
      <c r="P376" s="25"/>
      <c r="Q376" s="25"/>
      <c r="R376" s="25"/>
      <c r="S376" s="25"/>
      <c r="T376" s="353" t="b" cm="1">
        <f t="array" aca="1" ref="T376" ca="1">T375</f>
        <v>1</v>
      </c>
      <c r="U376" s="25"/>
      <c r="V376" s="25"/>
      <c r="W376" s="25"/>
      <c r="X376" s="1022"/>
      <c r="Z376" s="967"/>
      <c r="AB376" s="7" t="s">
        <v>2074</v>
      </c>
      <c r="AC376" s="134" t="s">
        <v>2075</v>
      </c>
      <c r="AD376" s="7" t="s">
        <v>828</v>
      </c>
      <c r="AE376" s="171">
        <f ca="1">SUMIFS(Покупка!AE$25:AE$150,Покупка!$F$25:$F$150,$F376,Покупка!$AC$25:$AC$150,$G376)</f>
        <v>132.99834370569999</v>
      </c>
      <c r="AF376" s="171">
        <f ca="1">SUMIFS(Покупка!AF$25:AF$150,Покупка!$F$25:$F$150,$F376,Покупка!$AC$25:$AC$150,$G376)</f>
        <v>164.492367712</v>
      </c>
      <c r="AG376" s="171">
        <f ca="1">SUMIFS(Покупка!AG$25:AG$150,Покупка!$F$25:$F$150,$F376,Покупка!$AC$25:$AC$150,$G376)</f>
        <v>164.66</v>
      </c>
      <c r="AH376" s="171">
        <f t="shared" ca="1" si="103"/>
        <v>0.16763228799999297</v>
      </c>
      <c r="AI376" s="171">
        <f ca="1">SUMIFS(Покупка!AH$25:AH$150,Покупка!$F$25:$F$150,$F376,Покупка!$AC$25:$AC$150,$G376)</f>
        <v>168.97</v>
      </c>
      <c r="AJ376" s="171">
        <f ca="1">SUMIFS(Покупка!AI$25:AI$150,Покупка!$F$25:$F$150,$F376,Покупка!$AC$25:$AC$150,$G376)</f>
        <v>241.71289999999999</v>
      </c>
      <c r="AK376" s="171">
        <f ca="1">SUMIFS(Покупка!AJ$25:AJ$150,Покупка!$F$25:$F$150,$F376,Покупка!$AC$25:$AC$150,$G376)</f>
        <v>0</v>
      </c>
      <c r="AL376" s="171">
        <f ca="1">SUMIFS(Покупка!AK$25:AK$150,Покупка!$F$25:$F$150,$F376,Покупка!$AC$25:$AC$150,$G376)</f>
        <v>0</v>
      </c>
      <c r="AM376" s="171">
        <f ca="1">SUMIFS(Покупка!AL$25:AL$150,Покупка!$F$25:$F$150,$F376,Покупка!$AC$25:$AC$150,$G376)</f>
        <v>0</v>
      </c>
      <c r="AN376" s="171">
        <f ca="1">SUMIFS(Покупка!AM$25:AM$150,Покупка!$F$25:$F$150,$F376,Покупка!$AC$25:$AC$150,$G376)</f>
        <v>0</v>
      </c>
      <c r="AO376" s="171">
        <f ca="1">SUMIFS(Покупка!AN$25:AN$150,Покупка!$F$25:$F$150,$F376,Покупка!$AC$25:$AC$150,$G376)</f>
        <v>0</v>
      </c>
      <c r="AP376" s="171">
        <f ca="1">SUMIFS(Покупка!AO$25:AO$150,Покупка!$F$25:$F$150,$F376,Покупка!$AC$25:$AC$150,$G376)</f>
        <v>0</v>
      </c>
      <c r="AQ376" s="171">
        <f ca="1">SUMIFS(Покупка!AP$25:AP$150,Покупка!$F$25:$F$150,$F376,Покупка!$AC$25:$AC$150,$G376)</f>
        <v>0</v>
      </c>
      <c r="AR376" s="171">
        <f ca="1">SUMIFS(Покупка!AQ$25:AQ$150,Покупка!$F$25:$F$150,$F376,Покупка!$AC$25:$AC$150,$G376)</f>
        <v>0</v>
      </c>
      <c r="AS376" s="171">
        <f ca="1">SUMIFS(Покупка!AR$25:AR$150,Покупка!$F$25:$F$150,$F376,Покупка!$AC$25:$AC$150,$G376)</f>
        <v>0</v>
      </c>
      <c r="AT376" s="171">
        <f ca="1">SUMIFS(Покупка!AS$25:AS$150,Покупка!$F$25:$F$150,$F376,Покупка!$AC$25:$AC$150,$G376)</f>
        <v>182.26</v>
      </c>
      <c r="AU376" s="171">
        <f ca="1">SUMIFS(Покупка!AT$25:AT$150,Покупка!$F$25:$F$150,$F376,Покупка!$AC$25:$AC$150,$G376)</f>
        <v>0</v>
      </c>
      <c r="AV376" s="171">
        <f ca="1">SUMIFS(Покупка!AU$25:AU$150,Покупка!$F$25:$F$150,$F376,Покупка!$AC$25:$AC$150,$G376)</f>
        <v>0</v>
      </c>
      <c r="AW376" s="171">
        <f ca="1">SUMIFS(Покупка!AV$25:AV$150,Покупка!$F$25:$F$150,$F376,Покупка!$AC$25:$AC$150,$G376)</f>
        <v>0</v>
      </c>
      <c r="AX376" s="171">
        <f ca="1">SUMIFS(Покупка!AW$25:AW$150,Покупка!$F$25:$F$150,$F376,Покупка!$AC$25:$AC$150,$G376)</f>
        <v>0</v>
      </c>
      <c r="AY376" s="171">
        <f ca="1">SUMIFS(Покупка!AX$25:AX$150,Покупка!$F$25:$F$150,$F376,Покупка!$AC$25:$AC$150,$G376)</f>
        <v>0</v>
      </c>
      <c r="AZ376" s="171">
        <f ca="1">SUMIFS(Покупка!AY$25:AY$150,Покупка!$F$25:$F$150,$F376,Покупка!$AC$25:$AC$150,$G376)</f>
        <v>0</v>
      </c>
      <c r="BA376" s="171">
        <f ca="1">SUMIFS(Покупка!AZ$25:AZ$150,Покупка!$F$25:$F$150,$F376,Покупка!$AC$25:$AC$150,$G376)</f>
        <v>0</v>
      </c>
      <c r="BB376" s="171">
        <f ca="1">SUMIFS(Покупка!BA$25:BA$150,Покупка!$F$25:$F$150,$F376,Покупка!$AC$25:$AC$150,$G376)</f>
        <v>0</v>
      </c>
      <c r="BC376" s="171">
        <f ca="1">SUMIFS(Покупка!BB$25:BB$150,Покупка!$F$25:$F$150,$F376,Покупка!$AC$25:$AC$150,$G376)</f>
        <v>0</v>
      </c>
      <c r="BD376" s="171">
        <f t="shared" ca="1" si="105"/>
        <v>7.8653015328164706</v>
      </c>
      <c r="BE376" s="171">
        <f t="shared" ca="1" si="106"/>
        <v>-100</v>
      </c>
      <c r="BF376" s="171">
        <f t="shared" ca="1" si="107"/>
        <v>0</v>
      </c>
      <c r="BG376" s="171">
        <f t="shared" ca="1" si="108"/>
        <v>0</v>
      </c>
      <c r="BH376" s="171">
        <f t="shared" ca="1" si="109"/>
        <v>0</v>
      </c>
      <c r="BI376" s="171">
        <f t="shared" ca="1" si="110"/>
        <v>0</v>
      </c>
      <c r="BJ376" s="171">
        <f t="shared" ca="1" si="111"/>
        <v>0</v>
      </c>
      <c r="BK376" s="171">
        <f t="shared" ca="1" si="112"/>
        <v>0</v>
      </c>
      <c r="BL376" s="171">
        <f t="shared" ca="1" si="113"/>
        <v>0</v>
      </c>
      <c r="BM376" s="171">
        <f t="shared" ca="1" si="114"/>
        <v>0</v>
      </c>
      <c r="BN376" s="196"/>
      <c r="BO376" s="601" t="s">
        <v>2280</v>
      </c>
      <c r="BP376" s="196" t="s">
        <v>2281</v>
      </c>
      <c r="BS376" s="696" t="s">
        <v>1766</v>
      </c>
    </row>
    <row r="377" spans="1:75" ht="14.25" customHeight="1" x14ac:dyDescent="0.15">
      <c r="C377" s="25"/>
      <c r="D377" s="25"/>
      <c r="E377" s="451">
        <v>15</v>
      </c>
      <c r="F377" s="3" t="str" cm="1">
        <f t="array" aca="1" ref="F377" ca="1">OFFSET(E377,-1,1)</f>
        <v>2</v>
      </c>
      <c r="G377" s="25" t="s">
        <v>1142</v>
      </c>
      <c r="H377" s="25"/>
      <c r="I377" s="25" t="s">
        <v>2076</v>
      </c>
      <c r="J377" s="25"/>
      <c r="K377" s="25" t="s">
        <v>2076</v>
      </c>
      <c r="L377" s="25" t="s">
        <v>1543</v>
      </c>
      <c r="M377" s="25"/>
      <c r="N377" s="25"/>
      <c r="O377" s="25"/>
      <c r="P377" s="25"/>
      <c r="Q377" s="25"/>
      <c r="R377" s="25"/>
      <c r="S377" s="25"/>
      <c r="T377" s="353" t="b" cm="1">
        <f t="array" aca="1" ref="T377" ca="1">T376</f>
        <v>1</v>
      </c>
      <c r="U377" s="25"/>
      <c r="V377" s="25"/>
      <c r="W377" s="25"/>
      <c r="X377" s="1022"/>
      <c r="Z377" s="967"/>
      <c r="AB377" s="7" t="s">
        <v>2077</v>
      </c>
      <c r="AC377" s="134" t="s">
        <v>2078</v>
      </c>
      <c r="AD377" s="7" t="s">
        <v>828</v>
      </c>
      <c r="AE377" s="171">
        <f ca="1">SUMIFS(Покупка!AE$25:AE$150,Покупка!$F$25:$F$150,$F377,Покупка!$AC$25:$AC$150,$G377)</f>
        <v>0</v>
      </c>
      <c r="AF377" s="171">
        <f ca="1">SUMIFS(Покупка!AF$25:AF$150,Покупка!$F$25:$F$150,$F377,Покупка!$AC$25:$AC$150,$G377)</f>
        <v>0</v>
      </c>
      <c r="AG377" s="171">
        <f ca="1">SUMIFS(Покупка!AG$25:AG$150,Покупка!$F$25:$F$150,$F377,Покупка!$AC$25:$AC$150,$G377)</f>
        <v>0</v>
      </c>
      <c r="AH377" s="171">
        <f t="shared" ca="1" si="103"/>
        <v>0</v>
      </c>
      <c r="AI377" s="171">
        <f ca="1">SUMIFS(Покупка!AH$25:AH$150,Покупка!$F$25:$F$150,$F377,Покупка!$AC$25:$AC$150,$G377)</f>
        <v>0</v>
      </c>
      <c r="AJ377" s="171">
        <f ca="1">SUMIFS(Покупка!AI$25:AI$150,Покупка!$F$25:$F$150,$F377,Покупка!$AC$25:$AC$150,$G377)</f>
        <v>0</v>
      </c>
      <c r="AK377" s="171">
        <f ca="1">SUMIFS(Покупка!AJ$25:AJ$150,Покупка!$F$25:$F$150,$F377,Покупка!$AC$25:$AC$150,$G377)</f>
        <v>0</v>
      </c>
      <c r="AL377" s="171">
        <f ca="1">SUMIFS(Покупка!AK$25:AK$150,Покупка!$F$25:$F$150,$F377,Покупка!$AC$25:$AC$150,$G377)</f>
        <v>0</v>
      </c>
      <c r="AM377" s="171">
        <f ca="1">SUMIFS(Покупка!AL$25:AL$150,Покупка!$F$25:$F$150,$F377,Покупка!$AC$25:$AC$150,$G377)</f>
        <v>0</v>
      </c>
      <c r="AN377" s="171">
        <f ca="1">SUMIFS(Покупка!AM$25:AM$150,Покупка!$F$25:$F$150,$F377,Покупка!$AC$25:$AC$150,$G377)</f>
        <v>0</v>
      </c>
      <c r="AO377" s="171">
        <f ca="1">SUMIFS(Покупка!AN$25:AN$150,Покупка!$F$25:$F$150,$F377,Покупка!$AC$25:$AC$150,$G377)</f>
        <v>0</v>
      </c>
      <c r="AP377" s="171">
        <f ca="1">SUMIFS(Покупка!AO$25:AO$150,Покупка!$F$25:$F$150,$F377,Покупка!$AC$25:$AC$150,$G377)</f>
        <v>0</v>
      </c>
      <c r="AQ377" s="171">
        <f ca="1">SUMIFS(Покупка!AP$25:AP$150,Покупка!$F$25:$F$150,$F377,Покупка!$AC$25:$AC$150,$G377)</f>
        <v>0</v>
      </c>
      <c r="AR377" s="171">
        <f ca="1">SUMIFS(Покупка!AQ$25:AQ$150,Покупка!$F$25:$F$150,$F377,Покупка!$AC$25:$AC$150,$G377)</f>
        <v>0</v>
      </c>
      <c r="AS377" s="171">
        <f ca="1">SUMIFS(Покупка!AR$25:AR$150,Покупка!$F$25:$F$150,$F377,Покупка!$AC$25:$AC$150,$G377)</f>
        <v>0</v>
      </c>
      <c r="AT377" s="171">
        <f ca="1">SUMIFS(Покупка!AS$25:AS$150,Покупка!$F$25:$F$150,$F377,Покупка!$AC$25:$AC$150,$G377)</f>
        <v>0</v>
      </c>
      <c r="AU377" s="171">
        <f ca="1">SUMIFS(Покупка!AT$25:AT$150,Покупка!$F$25:$F$150,$F377,Покупка!$AC$25:$AC$150,$G377)</f>
        <v>0</v>
      </c>
      <c r="AV377" s="171">
        <f ca="1">SUMIFS(Покупка!AU$25:AU$150,Покупка!$F$25:$F$150,$F377,Покупка!$AC$25:$AC$150,$G377)</f>
        <v>0</v>
      </c>
      <c r="AW377" s="171">
        <f ca="1">SUMIFS(Покупка!AV$25:AV$150,Покупка!$F$25:$F$150,$F377,Покупка!$AC$25:$AC$150,$G377)</f>
        <v>0</v>
      </c>
      <c r="AX377" s="171">
        <f ca="1">SUMIFS(Покупка!AW$25:AW$150,Покупка!$F$25:$F$150,$F377,Покупка!$AC$25:$AC$150,$G377)</f>
        <v>0</v>
      </c>
      <c r="AY377" s="171">
        <f ca="1">SUMIFS(Покупка!AX$25:AX$150,Покупка!$F$25:$F$150,$F377,Покупка!$AC$25:$AC$150,$G377)</f>
        <v>0</v>
      </c>
      <c r="AZ377" s="171">
        <f ca="1">SUMIFS(Покупка!AY$25:AY$150,Покупка!$F$25:$F$150,$F377,Покупка!$AC$25:$AC$150,$G377)</f>
        <v>0</v>
      </c>
      <c r="BA377" s="171">
        <f ca="1">SUMIFS(Покупка!AZ$25:AZ$150,Покупка!$F$25:$F$150,$F377,Покупка!$AC$25:$AC$150,$G377)</f>
        <v>0</v>
      </c>
      <c r="BB377" s="171">
        <f ca="1">SUMIFS(Покупка!BA$25:BA$150,Покупка!$F$25:$F$150,$F377,Покупка!$AC$25:$AC$150,$G377)</f>
        <v>0</v>
      </c>
      <c r="BC377" s="171">
        <f ca="1">SUMIFS(Покупка!BB$25:BB$150,Покупка!$F$25:$F$150,$F377,Покупка!$AC$25:$AC$150,$G377)</f>
        <v>0</v>
      </c>
      <c r="BD377" s="171">
        <f t="shared" ca="1" si="105"/>
        <v>0</v>
      </c>
      <c r="BE377" s="171">
        <f t="shared" ca="1" si="106"/>
        <v>0</v>
      </c>
      <c r="BF377" s="171">
        <f t="shared" ca="1" si="107"/>
        <v>0</v>
      </c>
      <c r="BG377" s="171">
        <f t="shared" ca="1" si="108"/>
        <v>0</v>
      </c>
      <c r="BH377" s="171">
        <f t="shared" ca="1" si="109"/>
        <v>0</v>
      </c>
      <c r="BI377" s="171">
        <f t="shared" ca="1" si="110"/>
        <v>0</v>
      </c>
      <c r="BJ377" s="171">
        <f t="shared" ca="1" si="111"/>
        <v>0</v>
      </c>
      <c r="BK377" s="171">
        <f t="shared" ca="1" si="112"/>
        <v>0</v>
      </c>
      <c r="BL377" s="171">
        <f t="shared" ca="1" si="113"/>
        <v>0</v>
      </c>
      <c r="BM377" s="171">
        <f t="shared" ca="1" si="114"/>
        <v>0</v>
      </c>
      <c r="BN377" s="196"/>
      <c r="BO377" s="601" t="str">
        <f ca="1">IF(IFERROR(INDEX(Покупка!$K$26:$L$150,MATCH($F377&amp;"5komm",Покупка!$K$26:$K$150,0),2),"")=0,"",IFERROR(INDEX(Покупка!$K$26:$L$150,MATCH($F377&amp;"5komm",Покупка!$K$26:$K$150,0),2),""))</f>
        <v/>
      </c>
      <c r="BP377" s="196"/>
      <c r="BS377" s="696" t="s">
        <v>1769</v>
      </c>
    </row>
    <row r="378" spans="1:75" ht="14.25" customHeight="1" x14ac:dyDescent="0.15">
      <c r="C378" s="25"/>
      <c r="D378" s="25"/>
      <c r="E378" s="451">
        <v>15</v>
      </c>
      <c r="F378" s="3" t="str" cm="1">
        <f t="array" aca="1" ref="F378" ca="1">OFFSET(E378,-1,1)</f>
        <v>2</v>
      </c>
      <c r="G378" s="25" t="s">
        <v>1154</v>
      </c>
      <c r="H378" s="25"/>
      <c r="I378" s="25"/>
      <c r="J378" s="25"/>
      <c r="K378" s="25"/>
      <c r="L378" s="25" t="s">
        <v>1510</v>
      </c>
      <c r="M378" s="25"/>
      <c r="N378" s="25"/>
      <c r="O378" s="25"/>
      <c r="P378" s="25"/>
      <c r="Q378" s="25"/>
      <c r="R378" s="25"/>
      <c r="S378" s="25"/>
      <c r="T378" s="353" t="b" cm="1">
        <f t="array" aca="1" ref="T378" ca="1">T377</f>
        <v>1</v>
      </c>
      <c r="U378" s="25"/>
      <c r="V378" s="25"/>
      <c r="W378" s="25"/>
      <c r="X378" s="1022"/>
      <c r="Z378" s="967"/>
      <c r="AB378" s="7" t="s">
        <v>2079</v>
      </c>
      <c r="AC378" s="134" t="s">
        <v>2080</v>
      </c>
      <c r="AD378" s="7" t="s">
        <v>828</v>
      </c>
      <c r="AE378" s="171">
        <f ca="1">SUMIFS(Покупка!AE$25:AE$150,Покупка!$F$25:$F$150,$F378,Покупка!$AC$25:$AC$150,$G378)</f>
        <v>0</v>
      </c>
      <c r="AF378" s="171">
        <f ca="1">SUMIFS(Покупка!AF$25:AF$150,Покупка!$F$25:$F$150,$F378,Покупка!$AC$25:$AC$150,$G378)</f>
        <v>0</v>
      </c>
      <c r="AG378" s="171">
        <f ca="1">SUMIFS(Покупка!AG$25:AG$150,Покупка!$F$25:$F$150,$F378,Покупка!$AC$25:$AC$150,$G378)</f>
        <v>0</v>
      </c>
      <c r="AH378" s="171">
        <f t="shared" ca="1" si="103"/>
        <v>0</v>
      </c>
      <c r="AI378" s="171">
        <f ca="1">SUMIFS(Покупка!AH$25:AH$150,Покупка!$F$25:$F$150,$F378,Покупка!$AC$25:$AC$150,$G378)</f>
        <v>0</v>
      </c>
      <c r="AJ378" s="171">
        <f ca="1">SUMIFS(Покупка!AI$25:AI$150,Покупка!$F$25:$F$150,$F378,Покупка!$AC$25:$AC$150,$G378)</f>
        <v>0</v>
      </c>
      <c r="AK378" s="171">
        <f ca="1">SUMIFS(Покупка!AJ$25:AJ$150,Покупка!$F$25:$F$150,$F378,Покупка!$AC$25:$AC$150,$G378)</f>
        <v>0</v>
      </c>
      <c r="AL378" s="171">
        <f ca="1">SUMIFS(Покупка!AK$25:AK$150,Покупка!$F$25:$F$150,$F378,Покупка!$AC$25:$AC$150,$G378)</f>
        <v>0</v>
      </c>
      <c r="AM378" s="171">
        <f ca="1">SUMIFS(Покупка!AL$25:AL$150,Покупка!$F$25:$F$150,$F378,Покупка!$AC$25:$AC$150,$G378)</f>
        <v>0</v>
      </c>
      <c r="AN378" s="171">
        <f ca="1">SUMIFS(Покупка!AM$25:AM$150,Покупка!$F$25:$F$150,$F378,Покупка!$AC$25:$AC$150,$G378)</f>
        <v>0</v>
      </c>
      <c r="AO378" s="171">
        <f ca="1">SUMIFS(Покупка!AN$25:AN$150,Покупка!$F$25:$F$150,$F378,Покупка!$AC$25:$AC$150,$G378)</f>
        <v>0</v>
      </c>
      <c r="AP378" s="171">
        <f ca="1">SUMIFS(Покупка!AO$25:AO$150,Покупка!$F$25:$F$150,$F378,Покупка!$AC$25:$AC$150,$G378)</f>
        <v>0</v>
      </c>
      <c r="AQ378" s="171">
        <f ca="1">SUMIFS(Покупка!AP$25:AP$150,Покупка!$F$25:$F$150,$F378,Покупка!$AC$25:$AC$150,$G378)</f>
        <v>0</v>
      </c>
      <c r="AR378" s="171">
        <f ca="1">SUMIFS(Покупка!AQ$25:AQ$150,Покупка!$F$25:$F$150,$F378,Покупка!$AC$25:$AC$150,$G378)</f>
        <v>0</v>
      </c>
      <c r="AS378" s="171">
        <f ca="1">SUMIFS(Покупка!AR$25:AR$150,Покупка!$F$25:$F$150,$F378,Покупка!$AC$25:$AC$150,$G378)</f>
        <v>0</v>
      </c>
      <c r="AT378" s="171">
        <f ca="1">SUMIFS(Покупка!AS$25:AS$150,Покупка!$F$25:$F$150,$F378,Покупка!$AC$25:$AC$150,$G378)</f>
        <v>0</v>
      </c>
      <c r="AU378" s="171">
        <f ca="1">SUMIFS(Покупка!AT$25:AT$150,Покупка!$F$25:$F$150,$F378,Покупка!$AC$25:$AC$150,$G378)</f>
        <v>0</v>
      </c>
      <c r="AV378" s="171">
        <f ca="1">SUMIFS(Покупка!AU$25:AU$150,Покупка!$F$25:$F$150,$F378,Покупка!$AC$25:$AC$150,$G378)</f>
        <v>0</v>
      </c>
      <c r="AW378" s="171">
        <f ca="1">SUMIFS(Покупка!AV$25:AV$150,Покупка!$F$25:$F$150,$F378,Покупка!$AC$25:$AC$150,$G378)</f>
        <v>0</v>
      </c>
      <c r="AX378" s="171">
        <f ca="1">SUMIFS(Покупка!AW$25:AW$150,Покупка!$F$25:$F$150,$F378,Покупка!$AC$25:$AC$150,$G378)</f>
        <v>0</v>
      </c>
      <c r="AY378" s="171">
        <f ca="1">SUMIFS(Покупка!AX$25:AX$150,Покупка!$F$25:$F$150,$F378,Покупка!$AC$25:$AC$150,$G378)</f>
        <v>0</v>
      </c>
      <c r="AZ378" s="171">
        <f ca="1">SUMIFS(Покупка!AY$25:AY$150,Покупка!$F$25:$F$150,$F378,Покупка!$AC$25:$AC$150,$G378)</f>
        <v>0</v>
      </c>
      <c r="BA378" s="171">
        <f ca="1">SUMIFS(Покупка!AZ$25:AZ$150,Покупка!$F$25:$F$150,$F378,Покупка!$AC$25:$AC$150,$G378)</f>
        <v>0</v>
      </c>
      <c r="BB378" s="171">
        <f ca="1">SUMIFS(Покупка!BA$25:BA$150,Покупка!$F$25:$F$150,$F378,Покупка!$AC$25:$AC$150,$G378)</f>
        <v>0</v>
      </c>
      <c r="BC378" s="171">
        <f ca="1">SUMIFS(Покупка!BB$25:BB$150,Покупка!$F$25:$F$150,$F378,Покупка!$AC$25:$AC$150,$G378)</f>
        <v>0</v>
      </c>
      <c r="BD378" s="171">
        <f t="shared" ca="1" si="105"/>
        <v>0</v>
      </c>
      <c r="BE378" s="171">
        <f t="shared" ca="1" si="106"/>
        <v>0</v>
      </c>
      <c r="BF378" s="171">
        <f t="shared" ca="1" si="107"/>
        <v>0</v>
      </c>
      <c r="BG378" s="171">
        <f t="shared" ca="1" si="108"/>
        <v>0</v>
      </c>
      <c r="BH378" s="171">
        <f t="shared" ca="1" si="109"/>
        <v>0</v>
      </c>
      <c r="BI378" s="171">
        <f t="shared" ca="1" si="110"/>
        <v>0</v>
      </c>
      <c r="BJ378" s="171">
        <f t="shared" ca="1" si="111"/>
        <v>0</v>
      </c>
      <c r="BK378" s="171">
        <f t="shared" ca="1" si="112"/>
        <v>0</v>
      </c>
      <c r="BL378" s="171">
        <f t="shared" ca="1" si="113"/>
        <v>0</v>
      </c>
      <c r="BM378" s="171">
        <f t="shared" ca="1" si="114"/>
        <v>0</v>
      </c>
      <c r="BN378" s="196"/>
      <c r="BO378" s="601" t="str">
        <f ca="1">IF(IFERROR(INDEX(Покупка!$K$26:$L$150,MATCH($F378&amp;"9komm",Покупка!$K$26:$K$150,0),2),"")=0,"",IFERROR(INDEX(Покупка!$K$26:$L$150,MATCH($F378&amp;"9komm",Покупка!$K$26:$K$150,0),2),""))</f>
        <v/>
      </c>
      <c r="BP378" s="196"/>
      <c r="BS378" s="696" t="s">
        <v>1155</v>
      </c>
    </row>
    <row r="379" spans="1:75" ht="409.6" customHeight="1" x14ac:dyDescent="0.15">
      <c r="C379" s="25"/>
      <c r="D379" s="25"/>
      <c r="E379" s="451">
        <v>15</v>
      </c>
      <c r="F379" s="3" t="str" cm="1">
        <f t="array" aca="1" ref="F379" ca="1">OFFSET(E379,-1,1)</f>
        <v>2</v>
      </c>
      <c r="G379" s="25"/>
      <c r="H379" s="25"/>
      <c r="I379" s="25" t="s">
        <v>503</v>
      </c>
      <c r="J379" s="25"/>
      <c r="K379" s="25" t="s">
        <v>503</v>
      </c>
      <c r="L379" s="25"/>
      <c r="M379" s="25"/>
      <c r="N379" s="25"/>
      <c r="O379" s="25"/>
      <c r="P379" s="25"/>
      <c r="Q379" s="25"/>
      <c r="R379" s="25"/>
      <c r="S379" s="25"/>
      <c r="T379" s="353" t="b" cm="1">
        <f t="array" aca="1" ref="T379" ca="1">T378</f>
        <v>1</v>
      </c>
      <c r="U379" s="25"/>
      <c r="V379" s="25"/>
      <c r="W379" s="25"/>
      <c r="X379" s="1022"/>
      <c r="Z379" s="967"/>
      <c r="AB379" s="7" t="s">
        <v>565</v>
      </c>
      <c r="AC379" s="127" t="s">
        <v>2081</v>
      </c>
      <c r="AD379" s="99" t="s">
        <v>828</v>
      </c>
      <c r="AE379" s="171">
        <f ca="1">SUMIFS('Сырье и материалы'!AE$25:AE$48,'Сырье и материалы'!$F$25:$F$48,$F379,'Сырье и материалы'!$AC$25:$AC$48,"Всего по тарифу")</f>
        <v>145.5097122</v>
      </c>
      <c r="AF379" s="171">
        <f ca="1">SUMIFS('Сырье и материалы'!AF$25:AF$48,'Сырье и материалы'!$F$25:$F$48,$F379,'Сырье и материалы'!$AC$25:$AC$48,"Всего по тарифу")</f>
        <v>13827.0223480932</v>
      </c>
      <c r="AG379" s="171">
        <f ca="1">SUMIFS('Сырье и материалы'!AG$25:AG$48,'Сырье и материалы'!$F$25:$F$48,$F379,'Сырье и материалы'!$AC$25:$AC$48,"Всего по тарифу")</f>
        <v>130.98579690540001</v>
      </c>
      <c r="AH379" s="171">
        <f t="shared" ca="1" si="103"/>
        <v>-13696.036551187801</v>
      </c>
      <c r="AI379" s="171">
        <f ca="1">SUMIFS('Сырье и материалы'!AH$25:AH$48,'Сырье и материалы'!$F$25:$F$48,$F379,'Сырье и материалы'!$AC$25:$AC$48,"Всего по тарифу")</f>
        <v>182.14000000000001</v>
      </c>
      <c r="AJ379" s="171">
        <f ca="1">SUMIFS('Сырье и материалы'!AI$25:AI$48,'Сырье и материалы'!$F$25:$F$48,$F379,'Сырье и материалы'!$AC$25:$AC$48,"Всего по тарифу")</f>
        <v>22504.651727138502</v>
      </c>
      <c r="AK379" s="171">
        <f ca="1">SUMIFS('Сырье и материалы'!AJ$25:AJ$48,'Сырье и материалы'!$F$25:$F$48,$F379,'Сырье и материалы'!$AC$25:$AC$48,"Всего по тарифу")</f>
        <v>0</v>
      </c>
      <c r="AL379" s="171">
        <f ca="1">SUMIFS('Сырье и материалы'!AK$25:AK$48,'Сырье и материалы'!$F$25:$F$48,$F379,'Сырье и материалы'!$AC$25:$AC$48,"Всего по тарифу")</f>
        <v>0</v>
      </c>
      <c r="AM379" s="171">
        <f ca="1">SUMIFS('Сырье и материалы'!AL$25:AL$48,'Сырье и материалы'!$F$25:$F$48,$F379,'Сырье и материалы'!$AC$25:$AC$48,"Всего по тарифу")</f>
        <v>0</v>
      </c>
      <c r="AN379" s="171">
        <f ca="1">SUMIFS('Сырье и материалы'!AM$25:AM$48,'Сырье и материалы'!$F$25:$F$48,$F379,'Сырье и материалы'!$AC$25:$AC$48,"Всего по тарифу")</f>
        <v>0</v>
      </c>
      <c r="AO379" s="171">
        <f ca="1">SUMIFS('Сырье и материалы'!AN$25:AN$48,'Сырье и материалы'!$F$25:$F$48,$F379,'Сырье и материалы'!$AC$25:$AC$48,"Всего по тарифу")</f>
        <v>0</v>
      </c>
      <c r="AP379" s="171">
        <f ca="1">SUMIFS('Сырье и материалы'!AO$25:AO$48,'Сырье и материалы'!$F$25:$F$48,$F379,'Сырье и материалы'!$AC$25:$AC$48,"Всего по тарифу")</f>
        <v>0</v>
      </c>
      <c r="AQ379" s="171">
        <f ca="1">SUMIFS('Сырье и материалы'!AP$25:AP$48,'Сырье и материалы'!$F$25:$F$48,$F379,'Сырье и материалы'!$AC$25:$AC$48,"Всего по тарифу")</f>
        <v>0</v>
      </c>
      <c r="AR379" s="171">
        <f ca="1">SUMIFS('Сырье и материалы'!AQ$25:AQ$48,'Сырье и материалы'!$F$25:$F$48,$F379,'Сырье и материалы'!$AC$25:$AC$48,"Всего по тарифу")</f>
        <v>0</v>
      </c>
      <c r="AS379" s="171">
        <f ca="1">SUMIFS('Сырье и материалы'!AR$25:AR$48,'Сырье и материалы'!$F$25:$F$48,$F379,'Сырье и материалы'!$AC$25:$AC$48,"Всего по тарифу")</f>
        <v>0</v>
      </c>
      <c r="AT379" s="171">
        <f ca="1">SUMIFS('Сырье и материалы'!AS$25:AS$48,'Сырье и материалы'!$F$25:$F$48,$F379,'Сырье и материалы'!$AC$25:$AC$48,"Всего по тарифу")</f>
        <v>9136.024577075299</v>
      </c>
      <c r="AU379" s="171">
        <f ca="1">SUMIFS('Сырье и материалы'!AT$25:AT$48,'Сырье и материалы'!$F$25:$F$48,$F379,'Сырье и материалы'!$AC$25:$AC$48,"Всего по тарифу")</f>
        <v>0</v>
      </c>
      <c r="AV379" s="171">
        <f ca="1">SUMIFS('Сырье и материалы'!AU$25:AU$48,'Сырье и материалы'!$F$25:$F$48,$F379,'Сырье и материалы'!$AC$25:$AC$48,"Всего по тарифу")</f>
        <v>0</v>
      </c>
      <c r="AW379" s="171">
        <f ca="1">SUMIFS('Сырье и материалы'!AV$25:AV$48,'Сырье и материалы'!$F$25:$F$48,$F379,'Сырье и материалы'!$AC$25:$AC$48,"Всего по тарифу")</f>
        <v>0</v>
      </c>
      <c r="AX379" s="171">
        <f ca="1">SUMIFS('Сырье и материалы'!AW$25:AW$48,'Сырье и материалы'!$F$25:$F$48,$F379,'Сырье и материалы'!$AC$25:$AC$48,"Всего по тарифу")</f>
        <v>0</v>
      </c>
      <c r="AY379" s="171">
        <f ca="1">SUMIFS('Сырье и материалы'!AX$25:AX$48,'Сырье и материалы'!$F$25:$F$48,$F379,'Сырье и материалы'!$AC$25:$AC$48,"Всего по тарифу")</f>
        <v>0</v>
      </c>
      <c r="AZ379" s="171">
        <f ca="1">SUMIFS('Сырье и материалы'!AY$25:AY$48,'Сырье и материалы'!$F$25:$F$48,$F379,'Сырье и материалы'!$AC$25:$AC$48,"Всего по тарифу")</f>
        <v>0</v>
      </c>
      <c r="BA379" s="171">
        <f ca="1">SUMIFS('Сырье и материалы'!AZ$25:AZ$48,'Сырье и материалы'!$F$25:$F$48,$F379,'Сырье и материалы'!$AC$25:$AC$48,"Всего по тарифу")</f>
        <v>0</v>
      </c>
      <c r="BB379" s="171">
        <f ca="1">SUMIFS('Сырье и материалы'!BA$25:BA$48,'Сырье и материалы'!$F$25:$F$48,$F379,'Сырье и материалы'!$AC$25:$AC$48,"Всего по тарифу")</f>
        <v>0</v>
      </c>
      <c r="BC379" s="171">
        <f ca="1">SUMIFS('Сырье и материалы'!BB$25:BB$48,'Сырье и материалы'!$F$25:$F$48,$F379,'Сырье и материалы'!$AC$25:$AC$48,"Всего по тарифу")</f>
        <v>0</v>
      </c>
      <c r="BD379" s="171">
        <f t="shared" ca="1" si="105"/>
        <v>4915.9353118893705</v>
      </c>
      <c r="BE379" s="171">
        <f t="shared" ca="1" si="106"/>
        <v>-100</v>
      </c>
      <c r="BF379" s="171">
        <f t="shared" ca="1" si="107"/>
        <v>0</v>
      </c>
      <c r="BG379" s="171">
        <f t="shared" ca="1" si="108"/>
        <v>0</v>
      </c>
      <c r="BH379" s="171">
        <f t="shared" ca="1" si="109"/>
        <v>0</v>
      </c>
      <c r="BI379" s="171">
        <f t="shared" ca="1" si="110"/>
        <v>0</v>
      </c>
      <c r="BJ379" s="171">
        <f t="shared" ca="1" si="111"/>
        <v>0</v>
      </c>
      <c r="BK379" s="171">
        <f t="shared" ca="1" si="112"/>
        <v>0</v>
      </c>
      <c r="BL379" s="171">
        <f t="shared" ca="1" si="113"/>
        <v>0</v>
      </c>
      <c r="BM379" s="171">
        <f t="shared" ca="1" si="114"/>
        <v>0</v>
      </c>
      <c r="BN379" s="196" t="s">
        <v>2282</v>
      </c>
      <c r="BO379" s="601" t="s">
        <v>836</v>
      </c>
      <c r="BP379" s="196" t="s">
        <v>2283</v>
      </c>
      <c r="BS379" s="696" t="s">
        <v>1742</v>
      </c>
    </row>
    <row r="380" spans="1:75" s="870" customFormat="1" ht="33.75" customHeight="1" x14ac:dyDescent="0.15">
      <c r="A380" s="76"/>
      <c r="B380" s="332"/>
      <c r="C380" s="27"/>
      <c r="D380" s="27"/>
      <c r="E380" s="559">
        <v>21</v>
      </c>
      <c r="F380" s="3" t="str" cm="1">
        <f t="array" aca="1" ref="F380" ca="1">OFFSET(E380,-1,1)</f>
        <v>2</v>
      </c>
      <c r="G380" s="27"/>
      <c r="H380" s="25"/>
      <c r="I380" s="25" t="s">
        <v>959</v>
      </c>
      <c r="J380" s="27"/>
      <c r="K380" s="25" t="s">
        <v>959</v>
      </c>
      <c r="L380" s="27" t="s">
        <v>535</v>
      </c>
      <c r="M380" s="27"/>
      <c r="N380" s="27"/>
      <c r="O380" s="27"/>
      <c r="P380" s="27"/>
      <c r="Q380" s="27"/>
      <c r="R380" s="27"/>
      <c r="S380" s="27"/>
      <c r="T380" s="353" t="b" cm="1">
        <f t="array" aca="1" ref="T380" ca="1">T379</f>
        <v>1</v>
      </c>
      <c r="U380" s="27"/>
      <c r="V380" s="27"/>
      <c r="W380" s="27"/>
      <c r="X380" s="1022"/>
      <c r="Y380" s="76"/>
      <c r="Z380" s="967"/>
      <c r="AA380" s="76"/>
      <c r="AB380" s="124" t="s">
        <v>569</v>
      </c>
      <c r="AC380" s="263" t="s">
        <v>2082</v>
      </c>
      <c r="AD380" s="124" t="s">
        <v>828</v>
      </c>
      <c r="AE380" s="126">
        <f ca="1">SUM(AE381:AE390)</f>
        <v>293.05513215000002</v>
      </c>
      <c r="AF380" s="126">
        <f ca="1">SUM(AF381:AF390)</f>
        <v>512.55999999999995</v>
      </c>
      <c r="AG380" s="126">
        <f ca="1">SUM(AG381:AG390)</f>
        <v>512.55999999999995</v>
      </c>
      <c r="AH380" s="126">
        <f t="shared" ca="1" si="103"/>
        <v>0</v>
      </c>
      <c r="AI380" s="126">
        <f t="shared" ref="AI380:BC380" ca="1" si="116">SUM(AI381:AI390)</f>
        <v>19.082649</v>
      </c>
      <c r="AJ380" s="126">
        <f t="shared" ca="1" si="116"/>
        <v>809.22308958170004</v>
      </c>
      <c r="AK380" s="126">
        <f t="shared" ca="1" si="116"/>
        <v>0</v>
      </c>
      <c r="AL380" s="126">
        <f t="shared" ca="1" si="116"/>
        <v>0</v>
      </c>
      <c r="AM380" s="126">
        <f t="shared" ca="1" si="116"/>
        <v>0</v>
      </c>
      <c r="AN380" s="126">
        <f t="shared" ca="1" si="116"/>
        <v>0</v>
      </c>
      <c r="AO380" s="126">
        <f t="shared" ca="1" si="116"/>
        <v>0</v>
      </c>
      <c r="AP380" s="126">
        <f t="shared" ca="1" si="116"/>
        <v>0</v>
      </c>
      <c r="AQ380" s="126">
        <f t="shared" ca="1" si="116"/>
        <v>0</v>
      </c>
      <c r="AR380" s="126">
        <f t="shared" ca="1" si="116"/>
        <v>0</v>
      </c>
      <c r="AS380" s="126">
        <f t="shared" ca="1" si="116"/>
        <v>0</v>
      </c>
      <c r="AT380" s="126">
        <f t="shared" ca="1" si="116"/>
        <v>511.17885000000001</v>
      </c>
      <c r="AU380" s="126">
        <f t="shared" ca="1" si="116"/>
        <v>0</v>
      </c>
      <c r="AV380" s="126">
        <f t="shared" ca="1" si="116"/>
        <v>0</v>
      </c>
      <c r="AW380" s="126">
        <f t="shared" ca="1" si="116"/>
        <v>0</v>
      </c>
      <c r="AX380" s="126">
        <f t="shared" ca="1" si="116"/>
        <v>0</v>
      </c>
      <c r="AY380" s="126">
        <f t="shared" ca="1" si="116"/>
        <v>0</v>
      </c>
      <c r="AZ380" s="126">
        <f t="shared" ca="1" si="116"/>
        <v>0</v>
      </c>
      <c r="BA380" s="126">
        <f t="shared" ca="1" si="116"/>
        <v>0</v>
      </c>
      <c r="BB380" s="126">
        <f t="shared" ca="1" si="116"/>
        <v>0</v>
      </c>
      <c r="BC380" s="126">
        <f t="shared" ca="1" si="116"/>
        <v>0</v>
      </c>
      <c r="BD380" s="126">
        <f t="shared" ca="1" si="105"/>
        <v>2578.7625240080661</v>
      </c>
      <c r="BE380" s="126">
        <f t="shared" ca="1" si="106"/>
        <v>-100</v>
      </c>
      <c r="BF380" s="126">
        <f t="shared" ca="1" si="107"/>
        <v>0</v>
      </c>
      <c r="BG380" s="126">
        <f t="shared" ca="1" si="108"/>
        <v>0</v>
      </c>
      <c r="BH380" s="126">
        <f t="shared" ca="1" si="109"/>
        <v>0</v>
      </c>
      <c r="BI380" s="126">
        <f t="shared" ca="1" si="110"/>
        <v>0</v>
      </c>
      <c r="BJ380" s="126">
        <f t="shared" ca="1" si="111"/>
        <v>0</v>
      </c>
      <c r="BK380" s="126">
        <f t="shared" ca="1" si="112"/>
        <v>0</v>
      </c>
      <c r="BL380" s="126">
        <f t="shared" ca="1" si="113"/>
        <v>0</v>
      </c>
      <c r="BM380" s="126">
        <f t="shared" ca="1" si="114"/>
        <v>0</v>
      </c>
      <c r="BN380" s="556"/>
      <c r="BO380" s="601" t="s">
        <v>2245</v>
      </c>
      <c r="BP380" s="556"/>
      <c r="BQ380" s="76"/>
      <c r="BR380" s="76"/>
      <c r="BS380" s="702" t="s">
        <v>1275</v>
      </c>
      <c r="BT380" s="702"/>
      <c r="BU380" s="702"/>
      <c r="BV380" s="511"/>
      <c r="BW380" s="511"/>
    </row>
    <row r="381" spans="1:75" ht="14.25" customHeight="1" x14ac:dyDescent="0.15">
      <c r="C381" s="25"/>
      <c r="D381" s="25"/>
      <c r="E381" s="451">
        <v>15</v>
      </c>
      <c r="F381" s="3" t="str" cm="1">
        <f t="array" aca="1" ref="F381" ca="1">OFFSET(E381,-1,1)</f>
        <v>2</v>
      </c>
      <c r="G381" s="611">
        <v>7</v>
      </c>
      <c r="H381" s="25"/>
      <c r="I381" s="25" t="s">
        <v>2083</v>
      </c>
      <c r="J381" s="25"/>
      <c r="K381" s="25" t="s">
        <v>2083</v>
      </c>
      <c r="L381" s="25"/>
      <c r="M381" s="25"/>
      <c r="N381" s="25"/>
      <c r="O381" s="25"/>
      <c r="P381" s="25"/>
      <c r="Q381" s="25"/>
      <c r="R381" s="25"/>
      <c r="S381" s="25"/>
      <c r="T381" s="353" t="b" cm="1">
        <f t="array" aca="1" ref="T381" ca="1">T380</f>
        <v>1</v>
      </c>
      <c r="U381" s="25"/>
      <c r="V381" s="25"/>
      <c r="W381" s="25"/>
      <c r="X381" s="1022"/>
      <c r="Z381" s="967"/>
      <c r="AB381" s="7" t="s">
        <v>519</v>
      </c>
      <c r="AC381" s="134" t="s">
        <v>1289</v>
      </c>
      <c r="AD381" s="7" t="s">
        <v>828</v>
      </c>
      <c r="AE381" s="171">
        <f ca="1">SUMIFS(Налоги!AE$25:AE$83,Налоги!$F$25:$F$83,$F381,Налоги!$AB$25:$AB$83,$G381)</f>
        <v>0</v>
      </c>
      <c r="AF381" s="171">
        <f ca="1">SUMIFS(Налоги!AF$25:AF$83,Налоги!$F$25:$F$83,$F381,Налоги!$AB$25:$AB$83,$G381)</f>
        <v>0</v>
      </c>
      <c r="AG381" s="171">
        <f ca="1">SUMIFS(Налоги!AG$25:AG$83,Налоги!$F$25:$F$83,$F381,Налоги!$AB$25:$AB$83,$G381)</f>
        <v>0</v>
      </c>
      <c r="AH381" s="171">
        <f t="shared" ca="1" si="103"/>
        <v>0</v>
      </c>
      <c r="AI381" s="171">
        <f ca="1">SUMIFS(Налоги!AH$25:AH$83,Налоги!$F$25:$F$83,$F381,Налоги!$AB$25:$AB$83,$G381)</f>
        <v>0</v>
      </c>
      <c r="AJ381" s="171">
        <f ca="1">SUMIFS(Налоги!AI$25:AI$83,Налоги!$F$25:$F$83,$F381,Налоги!$AB$25:$AB$83,$G381)</f>
        <v>0</v>
      </c>
      <c r="AK381" s="171">
        <f ca="1">SUMIFS(Налоги!AJ$25:AJ$83,Налоги!$F$25:$F$83,$F381,Налоги!$AB$25:$AB$83,$G381)</f>
        <v>0</v>
      </c>
      <c r="AL381" s="171">
        <f ca="1">SUMIFS(Налоги!AK$25:AK$83,Налоги!$F$25:$F$83,$F381,Налоги!$AB$25:$AB$83,$G381)</f>
        <v>0</v>
      </c>
      <c r="AM381" s="171">
        <f ca="1">SUMIFS(Налоги!AL$25:AL$83,Налоги!$F$25:$F$83,$F381,Налоги!$AB$25:$AB$83,$G381)</f>
        <v>0</v>
      </c>
      <c r="AN381" s="171">
        <f ca="1">SUMIFS(Налоги!AM$25:AM$83,Налоги!$F$25:$F$83,$F381,Налоги!$AB$25:$AB$83,$G381)</f>
        <v>0</v>
      </c>
      <c r="AO381" s="171">
        <f ca="1">SUMIFS(Налоги!AN$25:AN$83,Налоги!$F$25:$F$83,$F381,Налоги!$AB$25:$AB$83,$G381)</f>
        <v>0</v>
      </c>
      <c r="AP381" s="171">
        <f ca="1">SUMIFS(Налоги!AO$25:AO$83,Налоги!$F$25:$F$83,$F381,Налоги!$AB$25:$AB$83,$G381)</f>
        <v>0</v>
      </c>
      <c r="AQ381" s="171">
        <f ca="1">SUMIFS(Налоги!AP$25:AP$83,Налоги!$F$25:$F$83,$F381,Налоги!$AB$25:$AB$83,$G381)</f>
        <v>0</v>
      </c>
      <c r="AR381" s="171">
        <f ca="1">SUMIFS(Налоги!AQ$25:AQ$83,Налоги!$F$25:$F$83,$F381,Налоги!$AB$25:$AB$83,$G381)</f>
        <v>0</v>
      </c>
      <c r="AS381" s="171">
        <f ca="1">SUMIFS(Налоги!AR$25:AR$83,Налоги!$F$25:$F$83,$F381,Налоги!$AB$25:$AB$83,$G381)</f>
        <v>0</v>
      </c>
      <c r="AT381" s="171">
        <f ca="1">SUMIFS(Налоги!AS$25:AS$83,Налоги!$F$25:$F$83,$F381,Налоги!$AB$25:$AB$83,$G381)</f>
        <v>0</v>
      </c>
      <c r="AU381" s="171">
        <f ca="1">SUMIFS(Налоги!AT$25:AT$83,Налоги!$F$25:$F$83,$F381,Налоги!$AB$25:$AB$83,$G381)</f>
        <v>0</v>
      </c>
      <c r="AV381" s="171">
        <f ca="1">SUMIFS(Налоги!AU$25:AU$83,Налоги!$F$25:$F$83,$F381,Налоги!$AB$25:$AB$83,$G381)</f>
        <v>0</v>
      </c>
      <c r="AW381" s="171">
        <f ca="1">SUMIFS(Налоги!AV$25:AV$83,Налоги!$F$25:$F$83,$F381,Налоги!$AB$25:$AB$83,$G381)</f>
        <v>0</v>
      </c>
      <c r="AX381" s="171">
        <f ca="1">SUMIFS(Налоги!AW$25:AW$83,Налоги!$F$25:$F$83,$F381,Налоги!$AB$25:$AB$83,$G381)</f>
        <v>0</v>
      </c>
      <c r="AY381" s="171">
        <f ca="1">SUMIFS(Налоги!AX$25:AX$83,Налоги!$F$25:$F$83,$F381,Налоги!$AB$25:$AB$83,$G381)</f>
        <v>0</v>
      </c>
      <c r="AZ381" s="171">
        <f ca="1">SUMIFS(Налоги!AY$25:AY$83,Налоги!$F$25:$F$83,$F381,Налоги!$AB$25:$AB$83,$G381)</f>
        <v>0</v>
      </c>
      <c r="BA381" s="171">
        <f ca="1">SUMIFS(Налоги!AZ$25:AZ$83,Налоги!$F$25:$F$83,$F381,Налоги!$AB$25:$AB$83,$G381)</f>
        <v>0</v>
      </c>
      <c r="BB381" s="171">
        <f ca="1">SUMIFS(Налоги!BA$25:BA$83,Налоги!$F$25:$F$83,$F381,Налоги!$AB$25:$AB$83,$G381)</f>
        <v>0</v>
      </c>
      <c r="BC381" s="171">
        <f ca="1">SUMIFS(Налоги!BB$25:BB$83,Налоги!$F$25:$F$83,$F381,Налоги!$AB$25:$AB$83,$G381)</f>
        <v>0</v>
      </c>
      <c r="BD381" s="171">
        <f t="shared" ca="1" si="105"/>
        <v>0</v>
      </c>
      <c r="BE381" s="171">
        <f t="shared" ca="1" si="106"/>
        <v>0</v>
      </c>
      <c r="BF381" s="171">
        <f t="shared" ca="1" si="107"/>
        <v>0</v>
      </c>
      <c r="BG381" s="171">
        <f t="shared" ca="1" si="108"/>
        <v>0</v>
      </c>
      <c r="BH381" s="171">
        <f t="shared" ca="1" si="109"/>
        <v>0</v>
      </c>
      <c r="BI381" s="171">
        <f t="shared" ca="1" si="110"/>
        <v>0</v>
      </c>
      <c r="BJ381" s="171">
        <f t="shared" ca="1" si="111"/>
        <v>0</v>
      </c>
      <c r="BK381" s="171">
        <f t="shared" ca="1" si="112"/>
        <v>0</v>
      </c>
      <c r="BL381" s="171">
        <f t="shared" ca="1" si="113"/>
        <v>0</v>
      </c>
      <c r="BM381" s="171">
        <f t="shared" ca="1" si="114"/>
        <v>0</v>
      </c>
      <c r="BN381" s="196"/>
      <c r="BO381" s="601" t="str">
        <f ca="1">IF(IFERROR(INDEX(Налоги!$K$26:$L$83,MATCH($F381&amp;"7komm",Налоги!$K$26:$K$83,0),2),"")=0,"",IFERROR(INDEX(Налоги!$K$26:$L$83,MATCH($F381&amp;"7komm",Налоги!$K$26:$K$83,0),2),""))</f>
        <v/>
      </c>
      <c r="BP381" s="196"/>
      <c r="BS381" s="696" t="s">
        <v>2084</v>
      </c>
    </row>
    <row r="382" spans="1:75" ht="180.75" customHeight="1" x14ac:dyDescent="0.15">
      <c r="C382" s="25"/>
      <c r="D382" s="25"/>
      <c r="E382" s="451">
        <v>15</v>
      </c>
      <c r="F382" s="3" t="str" cm="1">
        <f t="array" aca="1" ref="F382" ca="1">OFFSET(E382,-1,1)</f>
        <v>2</v>
      </c>
      <c r="G382" s="611">
        <v>6</v>
      </c>
      <c r="H382" s="25"/>
      <c r="I382" s="25" t="s">
        <v>2085</v>
      </c>
      <c r="J382" s="25"/>
      <c r="K382" s="25" t="s">
        <v>2085</v>
      </c>
      <c r="L382" s="25"/>
      <c r="M382" s="25"/>
      <c r="N382" s="25"/>
      <c r="O382" s="25"/>
      <c r="P382" s="25"/>
      <c r="Q382" s="25"/>
      <c r="R382" s="25"/>
      <c r="S382" s="25"/>
      <c r="T382" s="353" t="b" cm="1">
        <f t="array" aca="1" ref="T382" ca="1">T381</f>
        <v>1</v>
      </c>
      <c r="U382" s="25"/>
      <c r="V382" s="25"/>
      <c r="W382" s="25"/>
      <c r="X382" s="1022"/>
      <c r="Z382" s="967"/>
      <c r="AB382" s="7" t="s">
        <v>1500</v>
      </c>
      <c r="AC382" s="134" t="s">
        <v>2086</v>
      </c>
      <c r="AD382" s="7" t="s">
        <v>828</v>
      </c>
      <c r="AE382" s="171">
        <f ca="1">SUMIFS(Налоги!AE$25:AE$83,Налоги!$F$25:$F$83,$F382,Налоги!$AB$25:$AB$83,$G382)</f>
        <v>293.05513215000002</v>
      </c>
      <c r="AF382" s="171">
        <f ca="1">SUMIFS(Налоги!AF$25:AF$83,Налоги!$F$25:$F$83,$F382,Налоги!$AB$25:$AB$83,$G382)</f>
        <v>512.55999999999995</v>
      </c>
      <c r="AG382" s="171">
        <f ca="1">SUMIFS(Налоги!AG$25:AG$83,Налоги!$F$25:$F$83,$F382,Налоги!$AB$25:$AB$83,$G382)</f>
        <v>512.55999999999995</v>
      </c>
      <c r="AH382" s="171">
        <f t="shared" ca="1" si="103"/>
        <v>0</v>
      </c>
      <c r="AI382" s="171">
        <f ca="1">SUMIFS(Налоги!AH$25:AH$83,Налоги!$F$25:$F$83,$F382,Налоги!$AB$25:$AB$83,$G382)</f>
        <v>19.082649</v>
      </c>
      <c r="AJ382" s="171">
        <f ca="1">SUMIFS(Налоги!AI$25:AI$83,Налоги!$F$25:$F$83,$F382,Налоги!$AB$25:$AB$83,$G382)</f>
        <v>809.22308958170004</v>
      </c>
      <c r="AK382" s="171">
        <f ca="1">SUMIFS(Налоги!AJ$25:AJ$83,Налоги!$F$25:$F$83,$F382,Налоги!$AB$25:$AB$83,$G382)</f>
        <v>0</v>
      </c>
      <c r="AL382" s="171">
        <f ca="1">SUMIFS(Налоги!AK$25:AK$83,Налоги!$F$25:$F$83,$F382,Налоги!$AB$25:$AB$83,$G382)</f>
        <v>0</v>
      </c>
      <c r="AM382" s="171">
        <f ca="1">SUMIFS(Налоги!AL$25:AL$83,Налоги!$F$25:$F$83,$F382,Налоги!$AB$25:$AB$83,$G382)</f>
        <v>0</v>
      </c>
      <c r="AN382" s="171">
        <f ca="1">SUMIFS(Налоги!AM$25:AM$83,Налоги!$F$25:$F$83,$F382,Налоги!$AB$25:$AB$83,$G382)</f>
        <v>0</v>
      </c>
      <c r="AO382" s="171">
        <f ca="1">SUMIFS(Налоги!AN$25:AN$83,Налоги!$F$25:$F$83,$F382,Налоги!$AB$25:$AB$83,$G382)</f>
        <v>0</v>
      </c>
      <c r="AP382" s="171">
        <f ca="1">SUMIFS(Налоги!AO$25:AO$83,Налоги!$F$25:$F$83,$F382,Налоги!$AB$25:$AB$83,$G382)</f>
        <v>0</v>
      </c>
      <c r="AQ382" s="171">
        <f ca="1">SUMIFS(Налоги!AP$25:AP$83,Налоги!$F$25:$F$83,$F382,Налоги!$AB$25:$AB$83,$G382)</f>
        <v>0</v>
      </c>
      <c r="AR382" s="171">
        <f ca="1">SUMIFS(Налоги!AQ$25:AQ$83,Налоги!$F$25:$F$83,$F382,Налоги!$AB$25:$AB$83,$G382)</f>
        <v>0</v>
      </c>
      <c r="AS382" s="171">
        <f ca="1">SUMIFS(Налоги!AR$25:AR$83,Налоги!$F$25:$F$83,$F382,Налоги!$AB$25:$AB$83,$G382)</f>
        <v>0</v>
      </c>
      <c r="AT382" s="171">
        <f ca="1">SUMIFS(Налоги!AS$25:AS$83,Налоги!$F$25:$F$83,$F382,Налоги!$AB$25:$AB$83,$G382)</f>
        <v>511.17885000000001</v>
      </c>
      <c r="AU382" s="171">
        <f ca="1">SUMIFS(Налоги!AT$25:AT$83,Налоги!$F$25:$F$83,$F382,Налоги!$AB$25:$AB$83,$G382)</f>
        <v>0</v>
      </c>
      <c r="AV382" s="171">
        <f ca="1">SUMIFS(Налоги!AU$25:AU$83,Налоги!$F$25:$F$83,$F382,Налоги!$AB$25:$AB$83,$G382)</f>
        <v>0</v>
      </c>
      <c r="AW382" s="171">
        <f ca="1">SUMIFS(Налоги!AV$25:AV$83,Налоги!$F$25:$F$83,$F382,Налоги!$AB$25:$AB$83,$G382)</f>
        <v>0</v>
      </c>
      <c r="AX382" s="171">
        <f ca="1">SUMIFS(Налоги!AW$25:AW$83,Налоги!$F$25:$F$83,$F382,Налоги!$AB$25:$AB$83,$G382)</f>
        <v>0</v>
      </c>
      <c r="AY382" s="171">
        <f ca="1">SUMIFS(Налоги!AX$25:AX$83,Налоги!$F$25:$F$83,$F382,Налоги!$AB$25:$AB$83,$G382)</f>
        <v>0</v>
      </c>
      <c r="AZ382" s="171">
        <f ca="1">SUMIFS(Налоги!AY$25:AY$83,Налоги!$F$25:$F$83,$F382,Налоги!$AB$25:$AB$83,$G382)</f>
        <v>0</v>
      </c>
      <c r="BA382" s="171">
        <f ca="1">SUMIFS(Налоги!AZ$25:AZ$83,Налоги!$F$25:$F$83,$F382,Налоги!$AB$25:$AB$83,$G382)</f>
        <v>0</v>
      </c>
      <c r="BB382" s="171">
        <f ca="1">SUMIFS(Налоги!BA$25:BA$83,Налоги!$F$25:$F$83,$F382,Налоги!$AB$25:$AB$83,$G382)</f>
        <v>0</v>
      </c>
      <c r="BC382" s="171">
        <f ca="1">SUMIFS(Налоги!BB$25:BB$83,Налоги!$F$25:$F$83,$F382,Налоги!$AB$25:$AB$83,$G382)</f>
        <v>0</v>
      </c>
      <c r="BD382" s="171">
        <f t="shared" ca="1" si="105"/>
        <v>2578.7625240080661</v>
      </c>
      <c r="BE382" s="171">
        <f t="shared" ca="1" si="106"/>
        <v>-100</v>
      </c>
      <c r="BF382" s="171">
        <f t="shared" ca="1" si="107"/>
        <v>0</v>
      </c>
      <c r="BG382" s="171">
        <f t="shared" ca="1" si="108"/>
        <v>0</v>
      </c>
      <c r="BH382" s="171">
        <f t="shared" ca="1" si="109"/>
        <v>0</v>
      </c>
      <c r="BI382" s="171">
        <f t="shared" ca="1" si="110"/>
        <v>0</v>
      </c>
      <c r="BJ382" s="171">
        <f t="shared" ca="1" si="111"/>
        <v>0</v>
      </c>
      <c r="BK382" s="171">
        <f t="shared" ca="1" si="112"/>
        <v>0</v>
      </c>
      <c r="BL382" s="171">
        <f t="shared" ca="1" si="113"/>
        <v>0</v>
      </c>
      <c r="BM382" s="171">
        <f t="shared" ca="1" si="114"/>
        <v>0</v>
      </c>
      <c r="BN382" s="196" t="s">
        <v>2284</v>
      </c>
      <c r="BO382" s="601" t="s">
        <v>2247</v>
      </c>
      <c r="BP382" s="196" t="s">
        <v>2248</v>
      </c>
      <c r="BS382" s="696" t="s">
        <v>2087</v>
      </c>
    </row>
    <row r="383" spans="1:75" ht="14.25" customHeight="1" x14ac:dyDescent="0.15">
      <c r="C383" s="25"/>
      <c r="D383" s="25"/>
      <c r="E383" s="451">
        <v>15</v>
      </c>
      <c r="F383" s="3" t="str" cm="1">
        <f t="array" aca="1" ref="F383" ca="1">OFFSET(E383,-1,1)</f>
        <v>2</v>
      </c>
      <c r="G383" s="611">
        <v>2</v>
      </c>
      <c r="H383" s="25"/>
      <c r="I383" s="25" t="s">
        <v>2088</v>
      </c>
      <c r="J383" s="25"/>
      <c r="K383" s="25" t="s">
        <v>2088</v>
      </c>
      <c r="L383" s="25"/>
      <c r="M383" s="25"/>
      <c r="N383" s="25"/>
      <c r="O383" s="25"/>
      <c r="P383" s="25"/>
      <c r="Q383" s="25"/>
      <c r="R383" s="25"/>
      <c r="S383" s="25"/>
      <c r="T383" s="353" t="b" cm="1">
        <f t="array" aca="1" ref="T383" ca="1">T382</f>
        <v>1</v>
      </c>
      <c r="U383" s="25"/>
      <c r="V383" s="25"/>
      <c r="W383" s="25"/>
      <c r="X383" s="1022"/>
      <c r="Z383" s="967"/>
      <c r="AB383" s="7" t="s">
        <v>1505</v>
      </c>
      <c r="AC383" s="134" t="s">
        <v>2089</v>
      </c>
      <c r="AD383" s="7" t="s">
        <v>828</v>
      </c>
      <c r="AE383" s="171">
        <f ca="1">SUMIFS(Налоги!AE$25:AE$83,Налоги!$F$25:$F$83,$F383,Налоги!$AB$25:$AB$83,$G383)</f>
        <v>0</v>
      </c>
      <c r="AF383" s="171">
        <f ca="1">SUMIFS(Налоги!AF$25:AF$83,Налоги!$F$25:$F$83,$F383,Налоги!$AB$25:$AB$83,$G383)</f>
        <v>0</v>
      </c>
      <c r="AG383" s="171">
        <f ca="1">SUMIFS(Налоги!AG$25:AG$83,Налоги!$F$25:$F$83,$F383,Налоги!$AB$25:$AB$83,$G383)</f>
        <v>0</v>
      </c>
      <c r="AH383" s="171">
        <f t="shared" ca="1" si="103"/>
        <v>0</v>
      </c>
      <c r="AI383" s="171">
        <f ca="1">SUMIFS(Налоги!AH$25:AH$83,Налоги!$F$25:$F$83,$F383,Налоги!$AB$25:$AB$83,$G383)</f>
        <v>0</v>
      </c>
      <c r="AJ383" s="171">
        <f ca="1">SUMIFS(Налоги!AI$25:AI$83,Налоги!$F$25:$F$83,$F383,Налоги!$AB$25:$AB$83,$G383)</f>
        <v>0</v>
      </c>
      <c r="AK383" s="171">
        <f ca="1">SUMIFS(Налоги!AJ$25:AJ$83,Налоги!$F$25:$F$83,$F383,Налоги!$AB$25:$AB$83,$G383)</f>
        <v>0</v>
      </c>
      <c r="AL383" s="171">
        <f ca="1">SUMIFS(Налоги!AK$25:AK$83,Налоги!$F$25:$F$83,$F383,Налоги!$AB$25:$AB$83,$G383)</f>
        <v>0</v>
      </c>
      <c r="AM383" s="171">
        <f ca="1">SUMIFS(Налоги!AL$25:AL$83,Налоги!$F$25:$F$83,$F383,Налоги!$AB$25:$AB$83,$G383)</f>
        <v>0</v>
      </c>
      <c r="AN383" s="171">
        <f ca="1">SUMIFS(Налоги!AM$25:AM$83,Налоги!$F$25:$F$83,$F383,Налоги!$AB$25:$AB$83,$G383)</f>
        <v>0</v>
      </c>
      <c r="AO383" s="171">
        <f ca="1">SUMIFS(Налоги!AN$25:AN$83,Налоги!$F$25:$F$83,$F383,Налоги!$AB$25:$AB$83,$G383)</f>
        <v>0</v>
      </c>
      <c r="AP383" s="171">
        <f ca="1">SUMIFS(Налоги!AO$25:AO$83,Налоги!$F$25:$F$83,$F383,Налоги!$AB$25:$AB$83,$G383)</f>
        <v>0</v>
      </c>
      <c r="AQ383" s="171">
        <f ca="1">SUMIFS(Налоги!AP$25:AP$83,Налоги!$F$25:$F$83,$F383,Налоги!$AB$25:$AB$83,$G383)</f>
        <v>0</v>
      </c>
      <c r="AR383" s="171">
        <f ca="1">SUMIFS(Налоги!AQ$25:AQ$83,Налоги!$F$25:$F$83,$F383,Налоги!$AB$25:$AB$83,$G383)</f>
        <v>0</v>
      </c>
      <c r="AS383" s="171">
        <f ca="1">SUMIFS(Налоги!AR$25:AR$83,Налоги!$F$25:$F$83,$F383,Налоги!$AB$25:$AB$83,$G383)</f>
        <v>0</v>
      </c>
      <c r="AT383" s="171">
        <f ca="1">SUMIFS(Налоги!AS$25:AS$83,Налоги!$F$25:$F$83,$F383,Налоги!$AB$25:$AB$83,$G383)</f>
        <v>0</v>
      </c>
      <c r="AU383" s="171">
        <f ca="1">SUMIFS(Налоги!AT$25:AT$83,Налоги!$F$25:$F$83,$F383,Налоги!$AB$25:$AB$83,$G383)</f>
        <v>0</v>
      </c>
      <c r="AV383" s="171">
        <f ca="1">SUMIFS(Налоги!AU$25:AU$83,Налоги!$F$25:$F$83,$F383,Налоги!$AB$25:$AB$83,$G383)</f>
        <v>0</v>
      </c>
      <c r="AW383" s="171">
        <f ca="1">SUMIFS(Налоги!AV$25:AV$83,Налоги!$F$25:$F$83,$F383,Налоги!$AB$25:$AB$83,$G383)</f>
        <v>0</v>
      </c>
      <c r="AX383" s="171">
        <f ca="1">SUMIFS(Налоги!AW$25:AW$83,Налоги!$F$25:$F$83,$F383,Налоги!$AB$25:$AB$83,$G383)</f>
        <v>0</v>
      </c>
      <c r="AY383" s="171">
        <f ca="1">SUMIFS(Налоги!AX$25:AX$83,Налоги!$F$25:$F$83,$F383,Налоги!$AB$25:$AB$83,$G383)</f>
        <v>0</v>
      </c>
      <c r="AZ383" s="171">
        <f ca="1">SUMIFS(Налоги!AY$25:AY$83,Налоги!$F$25:$F$83,$F383,Налоги!$AB$25:$AB$83,$G383)</f>
        <v>0</v>
      </c>
      <c r="BA383" s="171">
        <f ca="1">SUMIFS(Налоги!AZ$25:AZ$83,Налоги!$F$25:$F$83,$F383,Налоги!$AB$25:$AB$83,$G383)</f>
        <v>0</v>
      </c>
      <c r="BB383" s="171">
        <f ca="1">SUMIFS(Налоги!BA$25:BA$83,Налоги!$F$25:$F$83,$F383,Налоги!$AB$25:$AB$83,$G383)</f>
        <v>0</v>
      </c>
      <c r="BC383" s="171">
        <f ca="1">SUMIFS(Налоги!BB$25:BB$83,Налоги!$F$25:$F$83,$F383,Налоги!$AB$25:$AB$83,$G383)</f>
        <v>0</v>
      </c>
      <c r="BD383" s="171">
        <f t="shared" ca="1" si="105"/>
        <v>0</v>
      </c>
      <c r="BE383" s="171">
        <f t="shared" ca="1" si="106"/>
        <v>0</v>
      </c>
      <c r="BF383" s="171">
        <f t="shared" ca="1" si="107"/>
        <v>0</v>
      </c>
      <c r="BG383" s="171">
        <f t="shared" ca="1" si="108"/>
        <v>0</v>
      </c>
      <c r="BH383" s="171">
        <f t="shared" ca="1" si="109"/>
        <v>0</v>
      </c>
      <c r="BI383" s="171">
        <f t="shared" ca="1" si="110"/>
        <v>0</v>
      </c>
      <c r="BJ383" s="171">
        <f t="shared" ca="1" si="111"/>
        <v>0</v>
      </c>
      <c r="BK383" s="171">
        <f t="shared" ca="1" si="112"/>
        <v>0</v>
      </c>
      <c r="BL383" s="171">
        <f t="shared" ca="1" si="113"/>
        <v>0</v>
      </c>
      <c r="BM383" s="171">
        <f t="shared" ca="1" si="114"/>
        <v>0</v>
      </c>
      <c r="BN383" s="196"/>
      <c r="BO383" s="601" t="str">
        <f ca="1">IF(IFERROR(INDEX(Налоги!$K$26:$L$83,MATCH($F383&amp;"2komm",Налоги!$K$26:$K$83,0),2),"")=0,"",IFERROR(INDEX(Налоги!$K$26:$L$83,MATCH($F383&amp;"2komm",Налоги!$K$26:$K$83,0),2),""))</f>
        <v/>
      </c>
      <c r="BP383" s="196"/>
      <c r="BS383" s="696" t="s">
        <v>2090</v>
      </c>
    </row>
    <row r="384" spans="1:75" ht="14.25" customHeight="1" x14ac:dyDescent="0.15">
      <c r="C384" s="25"/>
      <c r="D384" s="25"/>
      <c r="E384" s="451">
        <v>15</v>
      </c>
      <c r="F384" s="3" t="str" cm="1">
        <f t="array" aca="1" ref="F384" ca="1">OFFSET(E384,-1,1)</f>
        <v>2</v>
      </c>
      <c r="G384" s="611">
        <v>4</v>
      </c>
      <c r="H384" s="25"/>
      <c r="I384" s="25" t="s">
        <v>2091</v>
      </c>
      <c r="J384" s="25"/>
      <c r="K384" s="25" t="s">
        <v>2091</v>
      </c>
      <c r="L384" s="25"/>
      <c r="M384" s="25"/>
      <c r="N384" s="25"/>
      <c r="O384" s="25"/>
      <c r="P384" s="25"/>
      <c r="Q384" s="25"/>
      <c r="R384" s="25"/>
      <c r="S384" s="25"/>
      <c r="T384" s="353" t="b" cm="1">
        <f t="array" aca="1" ref="T384" ca="1">T383</f>
        <v>1</v>
      </c>
      <c r="U384" s="25"/>
      <c r="V384" s="25"/>
      <c r="W384" s="25"/>
      <c r="X384" s="1022"/>
      <c r="Z384" s="967"/>
      <c r="AB384" s="7" t="s">
        <v>2092</v>
      </c>
      <c r="AC384" s="134" t="s">
        <v>2093</v>
      </c>
      <c r="AD384" s="7" t="s">
        <v>828</v>
      </c>
      <c r="AE384" s="171">
        <f ca="1">SUMIFS(Налоги!AE$25:AE$83,Налоги!$F$25:$F$83,$F384,Налоги!$AB$25:$AB$83,$G384)</f>
        <v>0</v>
      </c>
      <c r="AF384" s="171">
        <f ca="1">SUMIFS(Налоги!AF$25:AF$83,Налоги!$F$25:$F$83,$F384,Налоги!$AB$25:$AB$83,$G384)</f>
        <v>0</v>
      </c>
      <c r="AG384" s="171">
        <f ca="1">SUMIFS(Налоги!AG$25:AG$83,Налоги!$F$25:$F$83,$F384,Налоги!$AB$25:$AB$83,$G384)</f>
        <v>0</v>
      </c>
      <c r="AH384" s="171">
        <f t="shared" ca="1" si="103"/>
        <v>0</v>
      </c>
      <c r="AI384" s="171">
        <f ca="1">SUMIFS(Налоги!AH$25:AH$83,Налоги!$F$25:$F$83,$F384,Налоги!$AB$25:$AB$83,$G384)</f>
        <v>0</v>
      </c>
      <c r="AJ384" s="171">
        <f ca="1">SUMIFS(Налоги!AI$25:AI$83,Налоги!$F$25:$F$83,$F384,Налоги!$AB$25:$AB$83,$G384)</f>
        <v>0</v>
      </c>
      <c r="AK384" s="171">
        <f ca="1">SUMIFS(Налоги!AJ$25:AJ$83,Налоги!$F$25:$F$83,$F384,Налоги!$AB$25:$AB$83,$G384)</f>
        <v>0</v>
      </c>
      <c r="AL384" s="171">
        <f ca="1">SUMIFS(Налоги!AK$25:AK$83,Налоги!$F$25:$F$83,$F384,Налоги!$AB$25:$AB$83,$G384)</f>
        <v>0</v>
      </c>
      <c r="AM384" s="171">
        <f ca="1">SUMIFS(Налоги!AL$25:AL$83,Налоги!$F$25:$F$83,$F384,Налоги!$AB$25:$AB$83,$G384)</f>
        <v>0</v>
      </c>
      <c r="AN384" s="171">
        <f ca="1">SUMIFS(Налоги!AM$25:AM$83,Налоги!$F$25:$F$83,$F384,Налоги!$AB$25:$AB$83,$G384)</f>
        <v>0</v>
      </c>
      <c r="AO384" s="171">
        <f ca="1">SUMIFS(Налоги!AN$25:AN$83,Налоги!$F$25:$F$83,$F384,Налоги!$AB$25:$AB$83,$G384)</f>
        <v>0</v>
      </c>
      <c r="AP384" s="171">
        <f ca="1">SUMIFS(Налоги!AO$25:AO$83,Налоги!$F$25:$F$83,$F384,Налоги!$AB$25:$AB$83,$G384)</f>
        <v>0</v>
      </c>
      <c r="AQ384" s="171">
        <f ca="1">SUMIFS(Налоги!AP$25:AP$83,Налоги!$F$25:$F$83,$F384,Налоги!$AB$25:$AB$83,$G384)</f>
        <v>0</v>
      </c>
      <c r="AR384" s="171">
        <f ca="1">SUMIFS(Налоги!AQ$25:AQ$83,Налоги!$F$25:$F$83,$F384,Налоги!$AB$25:$AB$83,$G384)</f>
        <v>0</v>
      </c>
      <c r="AS384" s="171">
        <f ca="1">SUMIFS(Налоги!AR$25:AR$83,Налоги!$F$25:$F$83,$F384,Налоги!$AB$25:$AB$83,$G384)</f>
        <v>0</v>
      </c>
      <c r="AT384" s="171">
        <f ca="1">SUMIFS(Налоги!AS$25:AS$83,Налоги!$F$25:$F$83,$F384,Налоги!$AB$25:$AB$83,$G384)</f>
        <v>0</v>
      </c>
      <c r="AU384" s="171">
        <f ca="1">SUMIFS(Налоги!AT$25:AT$83,Налоги!$F$25:$F$83,$F384,Налоги!$AB$25:$AB$83,$G384)</f>
        <v>0</v>
      </c>
      <c r="AV384" s="171">
        <f ca="1">SUMIFS(Налоги!AU$25:AU$83,Налоги!$F$25:$F$83,$F384,Налоги!$AB$25:$AB$83,$G384)</f>
        <v>0</v>
      </c>
      <c r="AW384" s="171">
        <f ca="1">SUMIFS(Налоги!AV$25:AV$83,Налоги!$F$25:$F$83,$F384,Налоги!$AB$25:$AB$83,$G384)</f>
        <v>0</v>
      </c>
      <c r="AX384" s="171">
        <f ca="1">SUMIFS(Налоги!AW$25:AW$83,Налоги!$F$25:$F$83,$F384,Налоги!$AB$25:$AB$83,$G384)</f>
        <v>0</v>
      </c>
      <c r="AY384" s="171">
        <f ca="1">SUMIFS(Налоги!AX$25:AX$83,Налоги!$F$25:$F$83,$F384,Налоги!$AB$25:$AB$83,$G384)</f>
        <v>0</v>
      </c>
      <c r="AZ384" s="171">
        <f ca="1">SUMIFS(Налоги!AY$25:AY$83,Налоги!$F$25:$F$83,$F384,Налоги!$AB$25:$AB$83,$G384)</f>
        <v>0</v>
      </c>
      <c r="BA384" s="171">
        <f ca="1">SUMIFS(Налоги!AZ$25:AZ$83,Налоги!$F$25:$F$83,$F384,Налоги!$AB$25:$AB$83,$G384)</f>
        <v>0</v>
      </c>
      <c r="BB384" s="171">
        <f ca="1">SUMIFS(Налоги!BA$25:BA$83,Налоги!$F$25:$F$83,$F384,Налоги!$AB$25:$AB$83,$G384)</f>
        <v>0</v>
      </c>
      <c r="BC384" s="171">
        <f ca="1">SUMIFS(Налоги!BB$25:BB$83,Налоги!$F$25:$F$83,$F384,Налоги!$AB$25:$AB$83,$G384)</f>
        <v>0</v>
      </c>
      <c r="BD384" s="171">
        <f t="shared" ca="1" si="105"/>
        <v>0</v>
      </c>
      <c r="BE384" s="171">
        <f t="shared" ca="1" si="106"/>
        <v>0</v>
      </c>
      <c r="BF384" s="171">
        <f t="shared" ca="1" si="107"/>
        <v>0</v>
      </c>
      <c r="BG384" s="171">
        <f t="shared" ca="1" si="108"/>
        <v>0</v>
      </c>
      <c r="BH384" s="171">
        <f t="shared" ca="1" si="109"/>
        <v>0</v>
      </c>
      <c r="BI384" s="171">
        <f t="shared" ca="1" si="110"/>
        <v>0</v>
      </c>
      <c r="BJ384" s="171">
        <f t="shared" ca="1" si="111"/>
        <v>0</v>
      </c>
      <c r="BK384" s="171">
        <f t="shared" ca="1" si="112"/>
        <v>0</v>
      </c>
      <c r="BL384" s="171">
        <f t="shared" ca="1" si="113"/>
        <v>0</v>
      </c>
      <c r="BM384" s="171">
        <f t="shared" ca="1" si="114"/>
        <v>0</v>
      </c>
      <c r="BN384" s="196"/>
      <c r="BO384" s="601" t="str">
        <f ca="1">IF(IFERROR(INDEX(Налоги!$K$26:$L$83,MATCH($F384&amp;"4komm",Налоги!$K$26:$K$83,0),2),"")=0,"",IFERROR(INDEX(Налоги!$K$26:$L$83,MATCH($F384&amp;"4komm",Налоги!$K$26:$K$83,0),2),""))</f>
        <v/>
      </c>
      <c r="BP384" s="196"/>
      <c r="BS384" s="696" t="s">
        <v>2094</v>
      </c>
    </row>
    <row r="385" spans="2:75" ht="14.25" customHeight="1" x14ac:dyDescent="0.15">
      <c r="C385" s="25"/>
      <c r="D385" s="25"/>
      <c r="E385" s="451">
        <v>15</v>
      </c>
      <c r="F385" s="3" t="str" cm="1">
        <f t="array" aca="1" ref="F385" ca="1">OFFSET(E385,-1,1)</f>
        <v>2</v>
      </c>
      <c r="G385" s="611">
        <v>5</v>
      </c>
      <c r="H385" s="25"/>
      <c r="I385" s="25" t="s">
        <v>2095</v>
      </c>
      <c r="J385" s="25"/>
      <c r="K385" s="25" t="s">
        <v>2095</v>
      </c>
      <c r="L385" s="25"/>
      <c r="M385" s="25"/>
      <c r="N385" s="25"/>
      <c r="O385" s="25"/>
      <c r="P385" s="25"/>
      <c r="Q385" s="25"/>
      <c r="R385" s="25"/>
      <c r="S385" s="25"/>
      <c r="T385" s="353" t="b" cm="1">
        <f t="array" aca="1" ref="T385" ca="1">T384</f>
        <v>1</v>
      </c>
      <c r="U385" s="25"/>
      <c r="V385" s="25"/>
      <c r="W385" s="25"/>
      <c r="X385" s="1022"/>
      <c r="Z385" s="967"/>
      <c r="AB385" s="7" t="s">
        <v>2096</v>
      </c>
      <c r="AC385" s="134" t="s">
        <v>2097</v>
      </c>
      <c r="AD385" s="7" t="s">
        <v>828</v>
      </c>
      <c r="AE385" s="171">
        <f ca="1">SUMIFS(Налоги!AE$25:AE$83,Налоги!$F$25:$F$83,$F385,Налоги!$AB$25:$AB$83,$G385)</f>
        <v>0</v>
      </c>
      <c r="AF385" s="171">
        <f ca="1">SUMIFS(Налоги!AF$25:AF$83,Налоги!$F$25:$F$83,$F385,Налоги!$AB$25:$AB$83,$G385)</f>
        <v>0</v>
      </c>
      <c r="AG385" s="171">
        <f ca="1">SUMIFS(Налоги!AG$25:AG$83,Налоги!$F$25:$F$83,$F385,Налоги!$AB$25:$AB$83,$G385)</f>
        <v>0</v>
      </c>
      <c r="AH385" s="171">
        <f t="shared" ca="1" si="103"/>
        <v>0</v>
      </c>
      <c r="AI385" s="171">
        <f ca="1">SUMIFS(Налоги!AH$25:AH$83,Налоги!$F$25:$F$83,$F385,Налоги!$AB$25:$AB$83,$G385)</f>
        <v>0</v>
      </c>
      <c r="AJ385" s="171">
        <f ca="1">SUMIFS(Налоги!AI$25:AI$83,Налоги!$F$25:$F$83,$F385,Налоги!$AB$25:$AB$83,$G385)</f>
        <v>0</v>
      </c>
      <c r="AK385" s="171">
        <f ca="1">SUMIFS(Налоги!AJ$25:AJ$83,Налоги!$F$25:$F$83,$F385,Налоги!$AB$25:$AB$83,$G385)</f>
        <v>0</v>
      </c>
      <c r="AL385" s="171">
        <f ca="1">SUMIFS(Налоги!AK$25:AK$83,Налоги!$F$25:$F$83,$F385,Налоги!$AB$25:$AB$83,$G385)</f>
        <v>0</v>
      </c>
      <c r="AM385" s="171">
        <f ca="1">SUMIFS(Налоги!AL$25:AL$83,Налоги!$F$25:$F$83,$F385,Налоги!$AB$25:$AB$83,$G385)</f>
        <v>0</v>
      </c>
      <c r="AN385" s="171">
        <f ca="1">SUMIFS(Налоги!AM$25:AM$83,Налоги!$F$25:$F$83,$F385,Налоги!$AB$25:$AB$83,$G385)</f>
        <v>0</v>
      </c>
      <c r="AO385" s="171">
        <f ca="1">SUMIFS(Налоги!AN$25:AN$83,Налоги!$F$25:$F$83,$F385,Налоги!$AB$25:$AB$83,$G385)</f>
        <v>0</v>
      </c>
      <c r="AP385" s="171">
        <f ca="1">SUMIFS(Налоги!AO$25:AO$83,Налоги!$F$25:$F$83,$F385,Налоги!$AB$25:$AB$83,$G385)</f>
        <v>0</v>
      </c>
      <c r="AQ385" s="171">
        <f ca="1">SUMIFS(Налоги!AP$25:AP$83,Налоги!$F$25:$F$83,$F385,Налоги!$AB$25:$AB$83,$G385)</f>
        <v>0</v>
      </c>
      <c r="AR385" s="171">
        <f ca="1">SUMIFS(Налоги!AQ$25:AQ$83,Налоги!$F$25:$F$83,$F385,Налоги!$AB$25:$AB$83,$G385)</f>
        <v>0</v>
      </c>
      <c r="AS385" s="171">
        <f ca="1">SUMIFS(Налоги!AR$25:AR$83,Налоги!$F$25:$F$83,$F385,Налоги!$AB$25:$AB$83,$G385)</f>
        <v>0</v>
      </c>
      <c r="AT385" s="171">
        <f ca="1">SUMIFS(Налоги!AS$25:AS$83,Налоги!$F$25:$F$83,$F385,Налоги!$AB$25:$AB$83,$G385)</f>
        <v>0</v>
      </c>
      <c r="AU385" s="171">
        <f ca="1">SUMIFS(Налоги!AT$25:AT$83,Налоги!$F$25:$F$83,$F385,Налоги!$AB$25:$AB$83,$G385)</f>
        <v>0</v>
      </c>
      <c r="AV385" s="171">
        <f ca="1">SUMIFS(Налоги!AU$25:AU$83,Налоги!$F$25:$F$83,$F385,Налоги!$AB$25:$AB$83,$G385)</f>
        <v>0</v>
      </c>
      <c r="AW385" s="171">
        <f ca="1">SUMIFS(Налоги!AV$25:AV$83,Налоги!$F$25:$F$83,$F385,Налоги!$AB$25:$AB$83,$G385)</f>
        <v>0</v>
      </c>
      <c r="AX385" s="171">
        <f ca="1">SUMIFS(Налоги!AW$25:AW$83,Налоги!$F$25:$F$83,$F385,Налоги!$AB$25:$AB$83,$G385)</f>
        <v>0</v>
      </c>
      <c r="AY385" s="171">
        <f ca="1">SUMIFS(Налоги!AX$25:AX$83,Налоги!$F$25:$F$83,$F385,Налоги!$AB$25:$AB$83,$G385)</f>
        <v>0</v>
      </c>
      <c r="AZ385" s="171">
        <f ca="1">SUMIFS(Налоги!AY$25:AY$83,Налоги!$F$25:$F$83,$F385,Налоги!$AB$25:$AB$83,$G385)</f>
        <v>0</v>
      </c>
      <c r="BA385" s="171">
        <f ca="1">SUMIFS(Налоги!AZ$25:AZ$83,Налоги!$F$25:$F$83,$F385,Налоги!$AB$25:$AB$83,$G385)</f>
        <v>0</v>
      </c>
      <c r="BB385" s="171">
        <f ca="1">SUMIFS(Налоги!BA$25:BA$83,Налоги!$F$25:$F$83,$F385,Налоги!$AB$25:$AB$83,$G385)</f>
        <v>0</v>
      </c>
      <c r="BC385" s="171">
        <f ca="1">SUMIFS(Налоги!BB$25:BB$83,Налоги!$F$25:$F$83,$F385,Налоги!$AB$25:$AB$83,$G385)</f>
        <v>0</v>
      </c>
      <c r="BD385" s="171">
        <f t="shared" ca="1" si="105"/>
        <v>0</v>
      </c>
      <c r="BE385" s="171">
        <f t="shared" ca="1" si="106"/>
        <v>0</v>
      </c>
      <c r="BF385" s="171">
        <f t="shared" ca="1" si="107"/>
        <v>0</v>
      </c>
      <c r="BG385" s="171">
        <f t="shared" ca="1" si="108"/>
        <v>0</v>
      </c>
      <c r="BH385" s="171">
        <f t="shared" ca="1" si="109"/>
        <v>0</v>
      </c>
      <c r="BI385" s="171">
        <f t="shared" ca="1" si="110"/>
        <v>0</v>
      </c>
      <c r="BJ385" s="171">
        <f t="shared" ca="1" si="111"/>
        <v>0</v>
      </c>
      <c r="BK385" s="171">
        <f t="shared" ca="1" si="112"/>
        <v>0</v>
      </c>
      <c r="BL385" s="171">
        <f t="shared" ca="1" si="113"/>
        <v>0</v>
      </c>
      <c r="BM385" s="171">
        <f t="shared" ca="1" si="114"/>
        <v>0</v>
      </c>
      <c r="BN385" s="196"/>
      <c r="BO385" s="601" t="str">
        <f ca="1">IF(IFERROR(INDEX(Налоги!$K$26:$L$83,MATCH($F385&amp;"5komm",Налоги!$K$26:$K$83,0),2),"")=0,"",IFERROR(INDEX(Налоги!$K$26:$L$83,MATCH($F385&amp;"5komm",Налоги!$K$26:$K$83,0),2),""))</f>
        <v/>
      </c>
      <c r="BP385" s="196"/>
      <c r="BS385" s="696" t="s">
        <v>2098</v>
      </c>
    </row>
    <row r="386" spans="2:75" ht="14.25" customHeight="1" x14ac:dyDescent="0.15">
      <c r="C386" s="25"/>
      <c r="D386" s="25"/>
      <c r="E386" s="451">
        <v>15</v>
      </c>
      <c r="F386" s="3" t="str" cm="1">
        <f t="array" aca="1" ref="F386" ca="1">OFFSET(E386,-1,1)</f>
        <v>2</v>
      </c>
      <c r="G386" s="611">
        <v>1</v>
      </c>
      <c r="H386" s="25"/>
      <c r="I386" s="25" t="s">
        <v>2099</v>
      </c>
      <c r="J386" s="25"/>
      <c r="K386" s="25" t="s">
        <v>2099</v>
      </c>
      <c r="L386" s="25"/>
      <c r="M386" s="25"/>
      <c r="N386" s="25"/>
      <c r="O386" s="25"/>
      <c r="P386" s="25"/>
      <c r="Q386" s="25"/>
      <c r="R386" s="25"/>
      <c r="S386" s="25"/>
      <c r="T386" s="353" t="b" cm="1">
        <f t="array" aca="1" ref="T386" ca="1">T385</f>
        <v>1</v>
      </c>
      <c r="U386" s="25"/>
      <c r="V386" s="25"/>
      <c r="W386" s="25"/>
      <c r="X386" s="1022"/>
      <c r="Z386" s="967"/>
      <c r="AB386" s="7" t="s">
        <v>2100</v>
      </c>
      <c r="AC386" s="134" t="s">
        <v>2101</v>
      </c>
      <c r="AD386" s="7" t="s">
        <v>828</v>
      </c>
      <c r="AE386" s="171">
        <f ca="1">SUMIFS(Налоги!AE$25:AE$83,Налоги!$F$25:$F$83,$F386,Налоги!$AB$25:$AB$83,$G386)</f>
        <v>0</v>
      </c>
      <c r="AF386" s="171">
        <f ca="1">SUMIFS(Налоги!AF$25:AF$83,Налоги!$F$25:$F$83,$F386,Налоги!$AB$25:$AB$83,$G386)</f>
        <v>0</v>
      </c>
      <c r="AG386" s="171">
        <f ca="1">SUMIFS(Налоги!AG$25:AG$83,Налоги!$F$25:$F$83,$F386,Налоги!$AB$25:$AB$83,$G386)</f>
        <v>0</v>
      </c>
      <c r="AH386" s="171">
        <f t="shared" ca="1" si="103"/>
        <v>0</v>
      </c>
      <c r="AI386" s="171">
        <f ca="1">SUMIFS(Налоги!AH$25:AH$83,Налоги!$F$25:$F$83,$F386,Налоги!$AB$25:$AB$83,$G386)</f>
        <v>0</v>
      </c>
      <c r="AJ386" s="171">
        <f ca="1">SUMIFS(Налоги!AI$25:AI$83,Налоги!$F$25:$F$83,$F386,Налоги!$AB$25:$AB$83,$G386)</f>
        <v>0</v>
      </c>
      <c r="AK386" s="171">
        <f ca="1">SUMIFS(Налоги!AJ$25:AJ$83,Налоги!$F$25:$F$83,$F386,Налоги!$AB$25:$AB$83,$G386)</f>
        <v>0</v>
      </c>
      <c r="AL386" s="171">
        <f ca="1">SUMIFS(Налоги!AK$25:AK$83,Налоги!$F$25:$F$83,$F386,Налоги!$AB$25:$AB$83,$G386)</f>
        <v>0</v>
      </c>
      <c r="AM386" s="171">
        <f ca="1">SUMIFS(Налоги!AL$25:AL$83,Налоги!$F$25:$F$83,$F386,Налоги!$AB$25:$AB$83,$G386)</f>
        <v>0</v>
      </c>
      <c r="AN386" s="171">
        <f ca="1">SUMIFS(Налоги!AM$25:AM$83,Налоги!$F$25:$F$83,$F386,Налоги!$AB$25:$AB$83,$G386)</f>
        <v>0</v>
      </c>
      <c r="AO386" s="171">
        <f ca="1">SUMIFS(Налоги!AN$25:AN$83,Налоги!$F$25:$F$83,$F386,Налоги!$AB$25:$AB$83,$G386)</f>
        <v>0</v>
      </c>
      <c r="AP386" s="171">
        <f ca="1">SUMIFS(Налоги!AO$25:AO$83,Налоги!$F$25:$F$83,$F386,Налоги!$AB$25:$AB$83,$G386)</f>
        <v>0</v>
      </c>
      <c r="AQ386" s="171">
        <f ca="1">SUMIFS(Налоги!AP$25:AP$83,Налоги!$F$25:$F$83,$F386,Налоги!$AB$25:$AB$83,$G386)</f>
        <v>0</v>
      </c>
      <c r="AR386" s="171">
        <f ca="1">SUMIFS(Налоги!AQ$25:AQ$83,Налоги!$F$25:$F$83,$F386,Налоги!$AB$25:$AB$83,$G386)</f>
        <v>0</v>
      </c>
      <c r="AS386" s="171">
        <f ca="1">SUMIFS(Налоги!AR$25:AR$83,Налоги!$F$25:$F$83,$F386,Налоги!$AB$25:$AB$83,$G386)</f>
        <v>0</v>
      </c>
      <c r="AT386" s="171">
        <f ca="1">SUMIFS(Налоги!AS$25:AS$83,Налоги!$F$25:$F$83,$F386,Налоги!$AB$25:$AB$83,$G386)</f>
        <v>0</v>
      </c>
      <c r="AU386" s="171">
        <f ca="1">SUMIFS(Налоги!AT$25:AT$83,Налоги!$F$25:$F$83,$F386,Налоги!$AB$25:$AB$83,$G386)</f>
        <v>0</v>
      </c>
      <c r="AV386" s="171">
        <f ca="1">SUMIFS(Налоги!AU$25:AU$83,Налоги!$F$25:$F$83,$F386,Налоги!$AB$25:$AB$83,$G386)</f>
        <v>0</v>
      </c>
      <c r="AW386" s="171">
        <f ca="1">SUMIFS(Налоги!AV$25:AV$83,Налоги!$F$25:$F$83,$F386,Налоги!$AB$25:$AB$83,$G386)</f>
        <v>0</v>
      </c>
      <c r="AX386" s="171">
        <f ca="1">SUMIFS(Налоги!AW$25:AW$83,Налоги!$F$25:$F$83,$F386,Налоги!$AB$25:$AB$83,$G386)</f>
        <v>0</v>
      </c>
      <c r="AY386" s="171">
        <f ca="1">SUMIFS(Налоги!AX$25:AX$83,Налоги!$F$25:$F$83,$F386,Налоги!$AB$25:$AB$83,$G386)</f>
        <v>0</v>
      </c>
      <c r="AZ386" s="171">
        <f ca="1">SUMIFS(Налоги!AY$25:AY$83,Налоги!$F$25:$F$83,$F386,Налоги!$AB$25:$AB$83,$G386)</f>
        <v>0</v>
      </c>
      <c r="BA386" s="171">
        <f ca="1">SUMIFS(Налоги!AZ$25:AZ$83,Налоги!$F$25:$F$83,$F386,Налоги!$AB$25:$AB$83,$G386)</f>
        <v>0</v>
      </c>
      <c r="BB386" s="171">
        <f ca="1">SUMIFS(Налоги!BA$25:BA$83,Налоги!$F$25:$F$83,$F386,Налоги!$AB$25:$AB$83,$G386)</f>
        <v>0</v>
      </c>
      <c r="BC386" s="171">
        <f ca="1">SUMIFS(Налоги!BB$25:BB$83,Налоги!$F$25:$F$83,$F386,Налоги!$AB$25:$AB$83,$G386)</f>
        <v>0</v>
      </c>
      <c r="BD386" s="171">
        <f t="shared" ca="1" si="105"/>
        <v>0</v>
      </c>
      <c r="BE386" s="171">
        <f t="shared" ca="1" si="106"/>
        <v>0</v>
      </c>
      <c r="BF386" s="171">
        <f t="shared" ca="1" si="107"/>
        <v>0</v>
      </c>
      <c r="BG386" s="171">
        <f t="shared" ca="1" si="108"/>
        <v>0</v>
      </c>
      <c r="BH386" s="171">
        <f t="shared" ca="1" si="109"/>
        <v>0</v>
      </c>
      <c r="BI386" s="171">
        <f t="shared" ca="1" si="110"/>
        <v>0</v>
      </c>
      <c r="BJ386" s="171">
        <f t="shared" ca="1" si="111"/>
        <v>0</v>
      </c>
      <c r="BK386" s="171">
        <f t="shared" ca="1" si="112"/>
        <v>0</v>
      </c>
      <c r="BL386" s="171">
        <f t="shared" ca="1" si="113"/>
        <v>0</v>
      </c>
      <c r="BM386" s="171">
        <f t="shared" ca="1" si="114"/>
        <v>0</v>
      </c>
      <c r="BN386" s="196"/>
      <c r="BO386" s="601" t="str">
        <f ca="1">IF(IFERROR(INDEX(Налоги!$K$26:$L$83,MATCH($F386&amp;"1komm",Налоги!$K$26:$K$83,0),2),"")=0,"",IFERROR(INDEX(Налоги!$K$26:$L$83,MATCH($F386&amp;"1komm",Налоги!$K$26:$K$83,0),2),""))</f>
        <v/>
      </c>
      <c r="BP386" s="196"/>
      <c r="BS386" s="696" t="s">
        <v>2102</v>
      </c>
    </row>
    <row r="387" spans="2:75" ht="14.25" customHeight="1" x14ac:dyDescent="0.15">
      <c r="C387" s="25"/>
      <c r="D387" s="25"/>
      <c r="E387" s="451">
        <v>15</v>
      </c>
      <c r="F387" s="3" t="str" cm="1">
        <f t="array" aca="1" ref="F387" ca="1">OFFSET(E387,-1,1)</f>
        <v>2</v>
      </c>
      <c r="G387" s="611">
        <v>3</v>
      </c>
      <c r="H387" s="25"/>
      <c r="I387" s="25" t="s">
        <v>2103</v>
      </c>
      <c r="J387" s="25"/>
      <c r="K387" s="25" t="s">
        <v>2103</v>
      </c>
      <c r="L387" s="25"/>
      <c r="M387" s="25"/>
      <c r="N387" s="25"/>
      <c r="O387" s="25"/>
      <c r="P387" s="25"/>
      <c r="Q387" s="25"/>
      <c r="R387" s="25"/>
      <c r="S387" s="25"/>
      <c r="T387" s="353" t="b" cm="1">
        <f t="array" aca="1" ref="T387" ca="1">T386</f>
        <v>1</v>
      </c>
      <c r="U387" s="25"/>
      <c r="V387" s="25"/>
      <c r="W387" s="25"/>
      <c r="X387" s="1022"/>
      <c r="Z387" s="967"/>
      <c r="AB387" s="7" t="s">
        <v>2104</v>
      </c>
      <c r="AC387" s="134" t="s">
        <v>2105</v>
      </c>
      <c r="AD387" s="7" t="s">
        <v>828</v>
      </c>
      <c r="AE387" s="171">
        <f ca="1">SUMIFS(Налоги!AE$25:AE$83,Налоги!$F$25:$F$83,$F387,Налоги!$AB$25:$AB$83,$G387)</f>
        <v>0</v>
      </c>
      <c r="AF387" s="171">
        <f ca="1">SUMIFS(Налоги!AF$25:AF$83,Налоги!$F$25:$F$83,$F387,Налоги!$AB$25:$AB$83,$G387)</f>
        <v>0</v>
      </c>
      <c r="AG387" s="171">
        <f ca="1">SUMIFS(Налоги!AG$25:AG$83,Налоги!$F$25:$F$83,$F387,Налоги!$AB$25:$AB$83,$G387)</f>
        <v>0</v>
      </c>
      <c r="AH387" s="171">
        <f t="shared" ca="1" si="103"/>
        <v>0</v>
      </c>
      <c r="AI387" s="171">
        <f ca="1">SUMIFS(Налоги!AH$25:AH$83,Налоги!$F$25:$F$83,$F387,Налоги!$AB$25:$AB$83,$G387)</f>
        <v>0</v>
      </c>
      <c r="AJ387" s="171">
        <f ca="1">SUMIFS(Налоги!AI$25:AI$83,Налоги!$F$25:$F$83,$F387,Налоги!$AB$25:$AB$83,$G387)</f>
        <v>0</v>
      </c>
      <c r="AK387" s="171">
        <f ca="1">SUMIFS(Налоги!AJ$25:AJ$83,Налоги!$F$25:$F$83,$F387,Налоги!$AB$25:$AB$83,$G387)</f>
        <v>0</v>
      </c>
      <c r="AL387" s="171">
        <f ca="1">SUMIFS(Налоги!AK$25:AK$83,Налоги!$F$25:$F$83,$F387,Налоги!$AB$25:$AB$83,$G387)</f>
        <v>0</v>
      </c>
      <c r="AM387" s="171">
        <f ca="1">SUMIFS(Налоги!AL$25:AL$83,Налоги!$F$25:$F$83,$F387,Налоги!$AB$25:$AB$83,$G387)</f>
        <v>0</v>
      </c>
      <c r="AN387" s="171">
        <f ca="1">SUMIFS(Налоги!AM$25:AM$83,Налоги!$F$25:$F$83,$F387,Налоги!$AB$25:$AB$83,$G387)</f>
        <v>0</v>
      </c>
      <c r="AO387" s="171">
        <f ca="1">SUMIFS(Налоги!AN$25:AN$83,Налоги!$F$25:$F$83,$F387,Налоги!$AB$25:$AB$83,$G387)</f>
        <v>0</v>
      </c>
      <c r="AP387" s="171">
        <f ca="1">SUMIFS(Налоги!AO$25:AO$83,Налоги!$F$25:$F$83,$F387,Налоги!$AB$25:$AB$83,$G387)</f>
        <v>0</v>
      </c>
      <c r="AQ387" s="171">
        <f ca="1">SUMIFS(Налоги!AP$25:AP$83,Налоги!$F$25:$F$83,$F387,Налоги!$AB$25:$AB$83,$G387)</f>
        <v>0</v>
      </c>
      <c r="AR387" s="171">
        <f ca="1">SUMIFS(Налоги!AQ$25:AQ$83,Налоги!$F$25:$F$83,$F387,Налоги!$AB$25:$AB$83,$G387)</f>
        <v>0</v>
      </c>
      <c r="AS387" s="171">
        <f ca="1">SUMIFS(Налоги!AR$25:AR$83,Налоги!$F$25:$F$83,$F387,Налоги!$AB$25:$AB$83,$G387)</f>
        <v>0</v>
      </c>
      <c r="AT387" s="171">
        <f ca="1">SUMIFS(Налоги!AS$25:AS$83,Налоги!$F$25:$F$83,$F387,Налоги!$AB$25:$AB$83,$G387)</f>
        <v>0</v>
      </c>
      <c r="AU387" s="171">
        <f ca="1">SUMIFS(Налоги!AT$25:AT$83,Налоги!$F$25:$F$83,$F387,Налоги!$AB$25:$AB$83,$G387)</f>
        <v>0</v>
      </c>
      <c r="AV387" s="171">
        <f ca="1">SUMIFS(Налоги!AU$25:AU$83,Налоги!$F$25:$F$83,$F387,Налоги!$AB$25:$AB$83,$G387)</f>
        <v>0</v>
      </c>
      <c r="AW387" s="171">
        <f ca="1">SUMIFS(Налоги!AV$25:AV$83,Налоги!$F$25:$F$83,$F387,Налоги!$AB$25:$AB$83,$G387)</f>
        <v>0</v>
      </c>
      <c r="AX387" s="171">
        <f ca="1">SUMIFS(Налоги!AW$25:AW$83,Налоги!$F$25:$F$83,$F387,Налоги!$AB$25:$AB$83,$G387)</f>
        <v>0</v>
      </c>
      <c r="AY387" s="171">
        <f ca="1">SUMIFS(Налоги!AX$25:AX$83,Налоги!$F$25:$F$83,$F387,Налоги!$AB$25:$AB$83,$G387)</f>
        <v>0</v>
      </c>
      <c r="AZ387" s="171">
        <f ca="1">SUMIFS(Налоги!AY$25:AY$83,Налоги!$F$25:$F$83,$F387,Налоги!$AB$25:$AB$83,$G387)</f>
        <v>0</v>
      </c>
      <c r="BA387" s="171">
        <f ca="1">SUMIFS(Налоги!AZ$25:AZ$83,Налоги!$F$25:$F$83,$F387,Налоги!$AB$25:$AB$83,$G387)</f>
        <v>0</v>
      </c>
      <c r="BB387" s="171">
        <f ca="1">SUMIFS(Налоги!BA$25:BA$83,Налоги!$F$25:$F$83,$F387,Налоги!$AB$25:$AB$83,$G387)</f>
        <v>0</v>
      </c>
      <c r="BC387" s="171">
        <f ca="1">SUMIFS(Налоги!BB$25:BB$83,Налоги!$F$25:$F$83,$F387,Налоги!$AB$25:$AB$83,$G387)</f>
        <v>0</v>
      </c>
      <c r="BD387" s="171">
        <f t="shared" ca="1" si="105"/>
        <v>0</v>
      </c>
      <c r="BE387" s="171">
        <f t="shared" ca="1" si="106"/>
        <v>0</v>
      </c>
      <c r="BF387" s="171">
        <f t="shared" ca="1" si="107"/>
        <v>0</v>
      </c>
      <c r="BG387" s="171">
        <f t="shared" ca="1" si="108"/>
        <v>0</v>
      </c>
      <c r="BH387" s="171">
        <f t="shared" ca="1" si="109"/>
        <v>0</v>
      </c>
      <c r="BI387" s="171">
        <f t="shared" ca="1" si="110"/>
        <v>0</v>
      </c>
      <c r="BJ387" s="171">
        <f t="shared" ca="1" si="111"/>
        <v>0</v>
      </c>
      <c r="BK387" s="171">
        <f t="shared" ca="1" si="112"/>
        <v>0</v>
      </c>
      <c r="BL387" s="171">
        <f t="shared" ca="1" si="113"/>
        <v>0</v>
      </c>
      <c r="BM387" s="171">
        <f t="shared" ca="1" si="114"/>
        <v>0</v>
      </c>
      <c r="BN387" s="196"/>
      <c r="BO387" s="601" t="str">
        <f ca="1">IF(IFERROR(INDEX(Налоги!$K$26:$L$83,MATCH($F387&amp;"5komm",Налоги!$K$26:$K$83,0),2),"")=0,"",IFERROR(INDEX(Налоги!$K$26:$L$83,MATCH($F387&amp;"5komm",Налоги!$K$26:$K$83,0),2),""))</f>
        <v/>
      </c>
      <c r="BP387" s="196"/>
      <c r="BS387" s="696" t="s">
        <v>2106</v>
      </c>
    </row>
    <row r="388" spans="2:75" ht="14.25" customHeight="1" x14ac:dyDescent="0.15">
      <c r="C388" s="25"/>
      <c r="D388" s="25"/>
      <c r="E388" s="451">
        <v>15</v>
      </c>
      <c r="F388" s="3" t="str" cm="1">
        <f t="array" aca="1" ref="F388" ca="1">OFFSET(E388,-1,1)</f>
        <v>2</v>
      </c>
      <c r="G388" s="611">
        <v>8</v>
      </c>
      <c r="H388" s="25"/>
      <c r="I388" s="25" t="s">
        <v>2107</v>
      </c>
      <c r="J388" s="25"/>
      <c r="K388" s="25" t="s">
        <v>2107</v>
      </c>
      <c r="L388" s="25"/>
      <c r="M388" s="25"/>
      <c r="N388" s="25"/>
      <c r="O388" s="25"/>
      <c r="P388" s="25"/>
      <c r="Q388" s="25"/>
      <c r="R388" s="25"/>
      <c r="S388" s="25"/>
      <c r="T388" s="353" t="b" cm="1">
        <f t="array" aca="1" ref="T388" ca="1">T387</f>
        <v>1</v>
      </c>
      <c r="U388" s="25"/>
      <c r="V388" s="25"/>
      <c r="W388" s="25"/>
      <c r="X388" s="1022"/>
      <c r="Z388" s="967"/>
      <c r="AB388" s="7" t="s">
        <v>2108</v>
      </c>
      <c r="AC388" s="134" t="s">
        <v>2109</v>
      </c>
      <c r="AD388" s="7" t="s">
        <v>828</v>
      </c>
      <c r="AE388" s="171">
        <f ca="1">SUMIFS(Налоги!AE$25:AE$83,Налоги!$F$25:$F$83,$F388,Налоги!$AB$25:$AB$83,$G388)</f>
        <v>0</v>
      </c>
      <c r="AF388" s="171">
        <f ca="1">SUMIFS(Налоги!AF$25:AF$83,Налоги!$F$25:$F$83,$F388,Налоги!$AB$25:$AB$83,$G388)</f>
        <v>0</v>
      </c>
      <c r="AG388" s="171">
        <f ca="1">SUMIFS(Налоги!AG$25:AG$83,Налоги!$F$25:$F$83,$F388,Налоги!$AB$25:$AB$83,$G388)</f>
        <v>0</v>
      </c>
      <c r="AH388" s="171">
        <f t="shared" ca="1" si="103"/>
        <v>0</v>
      </c>
      <c r="AI388" s="171">
        <f ca="1">SUMIFS(Налоги!AH$25:AH$83,Налоги!$F$25:$F$83,$F388,Налоги!$AB$25:$AB$83,$G388)</f>
        <v>0</v>
      </c>
      <c r="AJ388" s="171">
        <f ca="1">SUMIFS(Налоги!AI$25:AI$83,Налоги!$F$25:$F$83,$F388,Налоги!$AB$25:$AB$83,$G388)</f>
        <v>0</v>
      </c>
      <c r="AK388" s="171">
        <f ca="1">SUMIFS(Налоги!AJ$25:AJ$83,Налоги!$F$25:$F$83,$F388,Налоги!$AB$25:$AB$83,$G388)</f>
        <v>0</v>
      </c>
      <c r="AL388" s="171">
        <f ca="1">SUMIFS(Налоги!AK$25:AK$83,Налоги!$F$25:$F$83,$F388,Налоги!$AB$25:$AB$83,$G388)</f>
        <v>0</v>
      </c>
      <c r="AM388" s="171">
        <f ca="1">SUMIFS(Налоги!AL$25:AL$83,Налоги!$F$25:$F$83,$F388,Налоги!$AB$25:$AB$83,$G388)</f>
        <v>0</v>
      </c>
      <c r="AN388" s="171">
        <f ca="1">SUMIFS(Налоги!AM$25:AM$83,Налоги!$F$25:$F$83,$F388,Налоги!$AB$25:$AB$83,$G388)</f>
        <v>0</v>
      </c>
      <c r="AO388" s="171">
        <f ca="1">SUMIFS(Налоги!AN$25:AN$83,Налоги!$F$25:$F$83,$F388,Налоги!$AB$25:$AB$83,$G388)</f>
        <v>0</v>
      </c>
      <c r="AP388" s="171">
        <f ca="1">SUMIFS(Налоги!AO$25:AO$83,Налоги!$F$25:$F$83,$F388,Налоги!$AB$25:$AB$83,$G388)</f>
        <v>0</v>
      </c>
      <c r="AQ388" s="171">
        <f ca="1">SUMIFS(Налоги!AP$25:AP$83,Налоги!$F$25:$F$83,$F388,Налоги!$AB$25:$AB$83,$G388)</f>
        <v>0</v>
      </c>
      <c r="AR388" s="171">
        <f ca="1">SUMIFS(Налоги!AQ$25:AQ$83,Налоги!$F$25:$F$83,$F388,Налоги!$AB$25:$AB$83,$G388)</f>
        <v>0</v>
      </c>
      <c r="AS388" s="171">
        <f ca="1">SUMIFS(Налоги!AR$25:AR$83,Налоги!$F$25:$F$83,$F388,Налоги!$AB$25:$AB$83,$G388)</f>
        <v>0</v>
      </c>
      <c r="AT388" s="171">
        <f ca="1">SUMIFS(Налоги!AS$25:AS$83,Налоги!$F$25:$F$83,$F388,Налоги!$AB$25:$AB$83,$G388)</f>
        <v>0</v>
      </c>
      <c r="AU388" s="171">
        <f ca="1">SUMIFS(Налоги!AT$25:AT$83,Налоги!$F$25:$F$83,$F388,Налоги!$AB$25:$AB$83,$G388)</f>
        <v>0</v>
      </c>
      <c r="AV388" s="171">
        <f ca="1">SUMIFS(Налоги!AU$25:AU$83,Налоги!$F$25:$F$83,$F388,Налоги!$AB$25:$AB$83,$G388)</f>
        <v>0</v>
      </c>
      <c r="AW388" s="171">
        <f ca="1">SUMIFS(Налоги!AV$25:AV$83,Налоги!$F$25:$F$83,$F388,Налоги!$AB$25:$AB$83,$G388)</f>
        <v>0</v>
      </c>
      <c r="AX388" s="171">
        <f ca="1">SUMIFS(Налоги!AW$25:AW$83,Налоги!$F$25:$F$83,$F388,Налоги!$AB$25:$AB$83,$G388)</f>
        <v>0</v>
      </c>
      <c r="AY388" s="171">
        <f ca="1">SUMIFS(Налоги!AX$25:AX$83,Налоги!$F$25:$F$83,$F388,Налоги!$AB$25:$AB$83,$G388)</f>
        <v>0</v>
      </c>
      <c r="AZ388" s="171">
        <f ca="1">SUMIFS(Налоги!AY$25:AY$83,Налоги!$F$25:$F$83,$F388,Налоги!$AB$25:$AB$83,$G388)</f>
        <v>0</v>
      </c>
      <c r="BA388" s="171">
        <f ca="1">SUMIFS(Налоги!AZ$25:AZ$83,Налоги!$F$25:$F$83,$F388,Налоги!$AB$25:$AB$83,$G388)</f>
        <v>0</v>
      </c>
      <c r="BB388" s="171">
        <f ca="1">SUMIFS(Налоги!BA$25:BA$83,Налоги!$F$25:$F$83,$F388,Налоги!$AB$25:$AB$83,$G388)</f>
        <v>0</v>
      </c>
      <c r="BC388" s="171">
        <f ca="1">SUMIFS(Налоги!BB$25:BB$83,Налоги!$F$25:$F$83,$F388,Налоги!$AB$25:$AB$83,$G388)</f>
        <v>0</v>
      </c>
      <c r="BD388" s="171">
        <f t="shared" ca="1" si="105"/>
        <v>0</v>
      </c>
      <c r="BE388" s="171">
        <f t="shared" ca="1" si="106"/>
        <v>0</v>
      </c>
      <c r="BF388" s="171">
        <f t="shared" ca="1" si="107"/>
        <v>0</v>
      </c>
      <c r="BG388" s="171">
        <f t="shared" ca="1" si="108"/>
        <v>0</v>
      </c>
      <c r="BH388" s="171">
        <f t="shared" ca="1" si="109"/>
        <v>0</v>
      </c>
      <c r="BI388" s="171">
        <f t="shared" ca="1" si="110"/>
        <v>0</v>
      </c>
      <c r="BJ388" s="171">
        <f t="shared" ca="1" si="111"/>
        <v>0</v>
      </c>
      <c r="BK388" s="171">
        <f t="shared" ca="1" si="112"/>
        <v>0</v>
      </c>
      <c r="BL388" s="171">
        <f t="shared" ca="1" si="113"/>
        <v>0</v>
      </c>
      <c r="BM388" s="171">
        <f t="shared" ca="1" si="114"/>
        <v>0</v>
      </c>
      <c r="BN388" s="196"/>
      <c r="BO388" s="601" t="str">
        <f ca="1">IF(IFERROR(INDEX(Налоги!$K$26:$L$83,MATCH($F388&amp;"8komm",Налоги!$K$26:$K$83,0),2),"")=0,"",IFERROR(INDEX(Налоги!$K$26:$L$83,MATCH($F388&amp;"8komm",Налоги!$K$26:$K$83,0),2),""))</f>
        <v/>
      </c>
      <c r="BP388" s="196"/>
      <c r="BS388" s="696" t="s">
        <v>1293</v>
      </c>
    </row>
    <row r="389" spans="2:75" s="376" customFormat="1" ht="14.25" customHeight="1" x14ac:dyDescent="0.15">
      <c r="B389" s="537"/>
      <c r="C389" s="25"/>
      <c r="D389" s="25"/>
      <c r="E389" s="451">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W389" s="25"/>
      <c r="X389" s="1022"/>
      <c r="Z389" s="967"/>
      <c r="AB389" s="7" t="s">
        <v>2110</v>
      </c>
      <c r="AC389" s="549" t="s">
        <v>2111</v>
      </c>
      <c r="AD389" s="7" t="s">
        <v>828</v>
      </c>
      <c r="AE389" s="171">
        <f ca="1">SUMIFS(Налоги!AE$25:AE$83,Налоги!$F$25:$F$83,$F389,Налоги!$AB$25:$AB$83,$G389)</f>
        <v>0</v>
      </c>
      <c r="AF389" s="171">
        <f ca="1">SUMIFS(Налоги!AF$25:AF$83,Налоги!$F$25:$F$83,$F389,Налоги!$AB$25:$AB$83,$G389)</f>
        <v>0</v>
      </c>
      <c r="AG389" s="171">
        <f ca="1">SUMIFS(Налоги!AG$25:AG$83,Налоги!$F$25:$F$83,$F389,Налоги!$AB$25:$AB$83,$G389)</f>
        <v>0</v>
      </c>
      <c r="AH389" s="171">
        <f t="shared" ca="1" si="103"/>
        <v>0</v>
      </c>
      <c r="AI389" s="171">
        <f ca="1">SUMIFS(Налоги!AH$25:AH$83,Налоги!$F$25:$F$83,$F389,Налоги!$AB$25:$AB$83,$G389)</f>
        <v>0</v>
      </c>
      <c r="AJ389" s="171">
        <f ca="1">SUMIFS(Налоги!AI$25:AI$83,Налоги!$F$25:$F$83,$F389,Налоги!$AB$25:$AB$83,$G389)</f>
        <v>0</v>
      </c>
      <c r="AK389" s="171">
        <f ca="1">SUMIFS(Налоги!AJ$25:AJ$83,Налоги!$F$25:$F$83,$F389,Налоги!$AB$25:$AB$83,$G389)</f>
        <v>0</v>
      </c>
      <c r="AL389" s="171">
        <f ca="1">SUMIFS(Налоги!AK$25:AK$83,Налоги!$F$25:$F$83,$F389,Налоги!$AB$25:$AB$83,$G389)</f>
        <v>0</v>
      </c>
      <c r="AM389" s="171">
        <f ca="1">SUMIFS(Налоги!AL$25:AL$83,Налоги!$F$25:$F$83,$F389,Налоги!$AB$25:$AB$83,$G389)</f>
        <v>0</v>
      </c>
      <c r="AN389" s="171">
        <f ca="1">SUMIFS(Налоги!AM$25:AM$83,Налоги!$F$25:$F$83,$F389,Налоги!$AB$25:$AB$83,$G389)</f>
        <v>0</v>
      </c>
      <c r="AO389" s="171">
        <f ca="1">SUMIFS(Налоги!AN$25:AN$83,Налоги!$F$25:$F$83,$F389,Налоги!$AB$25:$AB$83,$G389)</f>
        <v>0</v>
      </c>
      <c r="AP389" s="171">
        <f ca="1">SUMIFS(Налоги!AO$25:AO$83,Налоги!$F$25:$F$83,$F389,Налоги!$AB$25:$AB$83,$G389)</f>
        <v>0</v>
      </c>
      <c r="AQ389" s="171">
        <f ca="1">SUMIFS(Налоги!AP$25:AP$83,Налоги!$F$25:$F$83,$F389,Налоги!$AB$25:$AB$83,$G389)</f>
        <v>0</v>
      </c>
      <c r="AR389" s="171">
        <f ca="1">SUMIFS(Налоги!AQ$25:AQ$83,Налоги!$F$25:$F$83,$F389,Налоги!$AB$25:$AB$83,$G389)</f>
        <v>0</v>
      </c>
      <c r="AS389" s="171">
        <f ca="1">SUMIFS(Налоги!AR$25:AR$83,Налоги!$F$25:$F$83,$F389,Налоги!$AB$25:$AB$83,$G389)</f>
        <v>0</v>
      </c>
      <c r="AT389" s="171">
        <f ca="1">SUMIFS(Налоги!AS$25:AS$83,Налоги!$F$25:$F$83,$F389,Налоги!$AB$25:$AB$83,$G389)</f>
        <v>0</v>
      </c>
      <c r="AU389" s="171">
        <f ca="1">SUMIFS(Налоги!AT$25:AT$83,Налоги!$F$25:$F$83,$F389,Налоги!$AB$25:$AB$83,$G389)</f>
        <v>0</v>
      </c>
      <c r="AV389" s="171">
        <f ca="1">SUMIFS(Налоги!AU$25:AU$83,Налоги!$F$25:$F$83,$F389,Налоги!$AB$25:$AB$83,$G389)</f>
        <v>0</v>
      </c>
      <c r="AW389" s="171">
        <f ca="1">SUMIFS(Налоги!AV$25:AV$83,Налоги!$F$25:$F$83,$F389,Налоги!$AB$25:$AB$83,$G389)</f>
        <v>0</v>
      </c>
      <c r="AX389" s="171">
        <f ca="1">SUMIFS(Налоги!AW$25:AW$83,Налоги!$F$25:$F$83,$F389,Налоги!$AB$25:$AB$83,$G389)</f>
        <v>0</v>
      </c>
      <c r="AY389" s="171">
        <f ca="1">SUMIFS(Налоги!AX$25:AX$83,Налоги!$F$25:$F$83,$F389,Налоги!$AB$25:$AB$83,$G389)</f>
        <v>0</v>
      </c>
      <c r="AZ389" s="171">
        <f ca="1">SUMIFS(Налоги!AY$25:AY$83,Налоги!$F$25:$F$83,$F389,Налоги!$AB$25:$AB$83,$G389)</f>
        <v>0</v>
      </c>
      <c r="BA389" s="171">
        <f ca="1">SUMIFS(Налоги!AZ$25:AZ$83,Налоги!$F$25:$F$83,$F389,Налоги!$AB$25:$AB$83,$G389)</f>
        <v>0</v>
      </c>
      <c r="BB389" s="171">
        <f ca="1">SUMIFS(Налоги!BA$25:BA$83,Налоги!$F$25:$F$83,$F389,Налоги!$AB$25:$AB$83,$G389)</f>
        <v>0</v>
      </c>
      <c r="BC389" s="171">
        <f ca="1">SUMIFS(Налоги!BB$25:BB$83,Налоги!$F$25:$F$83,$F389,Налоги!$AB$25:$AB$83,$G389)</f>
        <v>0</v>
      </c>
      <c r="BD389" s="171">
        <f t="shared" ca="1" si="105"/>
        <v>0</v>
      </c>
      <c r="BE389" s="171">
        <f t="shared" ca="1" si="106"/>
        <v>0</v>
      </c>
      <c r="BF389" s="171">
        <f t="shared" ca="1" si="107"/>
        <v>0</v>
      </c>
      <c r="BG389" s="171">
        <f t="shared" ca="1" si="108"/>
        <v>0</v>
      </c>
      <c r="BH389" s="171">
        <f t="shared" ca="1" si="109"/>
        <v>0</v>
      </c>
      <c r="BI389" s="171">
        <f t="shared" ca="1" si="110"/>
        <v>0</v>
      </c>
      <c r="BJ389" s="171">
        <f t="shared" ca="1" si="111"/>
        <v>0</v>
      </c>
      <c r="BK389" s="171">
        <f t="shared" ca="1" si="112"/>
        <v>0</v>
      </c>
      <c r="BL389" s="171">
        <f t="shared" ca="1" si="113"/>
        <v>0</v>
      </c>
      <c r="BM389" s="171">
        <f t="shared" ca="1" si="114"/>
        <v>0</v>
      </c>
      <c r="BN389" s="196"/>
      <c r="BO389" s="601" t="str">
        <f ca="1">IF(IFERROR(INDEX(Налоги!$K$26:$L$83,MATCH($F389&amp;"9komm",Налоги!$K$26:$K$83,0),2),"")=0,"",IFERROR(INDEX(Налоги!$K$26:$L$83,MATCH($F389&amp;"9komm",Налоги!$K$26:$K$83,0),2),""))</f>
        <v/>
      </c>
      <c r="BP389" s="196"/>
      <c r="BS389" s="703" t="s">
        <v>2112</v>
      </c>
      <c r="BT389" s="703"/>
      <c r="BU389" s="703"/>
      <c r="BV389" s="704"/>
      <c r="BW389" s="704"/>
    </row>
    <row r="390" spans="2:75" ht="14.25" customHeight="1" x14ac:dyDescent="0.15">
      <c r="C390" s="25"/>
      <c r="D390" s="25"/>
      <c r="E390" s="451">
        <v>15</v>
      </c>
      <c r="F390" s="3" t="str" cm="1">
        <f t="array" aca="1" ref="F390" ca="1">OFFSET(E390,-1,1)</f>
        <v>2</v>
      </c>
      <c r="G390" s="611">
        <v>10</v>
      </c>
      <c r="H390" s="25"/>
      <c r="I390" s="25" t="s">
        <v>2113</v>
      </c>
      <c r="J390" s="25"/>
      <c r="K390" s="25" t="s">
        <v>2113</v>
      </c>
      <c r="L390" s="25"/>
      <c r="M390" s="25"/>
      <c r="N390" s="25"/>
      <c r="O390" s="25"/>
      <c r="P390" s="25"/>
      <c r="Q390" s="25"/>
      <c r="R390" s="25"/>
      <c r="S390" s="25"/>
      <c r="T390" s="353" t="b" cm="1">
        <f t="array" aca="1" ref="T390" ca="1">T389</f>
        <v>1</v>
      </c>
      <c r="U390" s="25"/>
      <c r="V390" s="25"/>
      <c r="W390" s="25"/>
      <c r="X390" s="1022"/>
      <c r="Z390" s="967"/>
      <c r="AB390" s="7" t="s">
        <v>2114</v>
      </c>
      <c r="AC390" s="549" t="s">
        <v>2115</v>
      </c>
      <c r="AD390" s="7" t="s">
        <v>828</v>
      </c>
      <c r="AE390" s="171">
        <f ca="1">SUMIFS(Налоги!AE$25:AE$83,Налоги!$F$25:$F$83,$F390,Налоги!$AB$25:$AB$83,$G390)</f>
        <v>0</v>
      </c>
      <c r="AF390" s="171">
        <f ca="1">SUMIFS(Налоги!AF$25:AF$83,Налоги!$F$25:$F$83,$F390,Налоги!$AB$25:$AB$83,$G390)</f>
        <v>0</v>
      </c>
      <c r="AG390" s="171">
        <f ca="1">SUMIFS(Налоги!AG$25:AG$83,Налоги!$F$25:$F$83,$F390,Налоги!$AB$25:$AB$83,$G390)</f>
        <v>0</v>
      </c>
      <c r="AH390" s="171">
        <f t="shared" ca="1" si="103"/>
        <v>0</v>
      </c>
      <c r="AI390" s="171">
        <f ca="1">SUMIFS(Налоги!AH$25:AH$83,Налоги!$F$25:$F$83,$F390,Налоги!$AB$25:$AB$83,$G390)</f>
        <v>0</v>
      </c>
      <c r="AJ390" s="171">
        <f ca="1">SUMIFS(Налоги!AI$25:AI$83,Налоги!$F$25:$F$83,$F390,Налоги!$AB$25:$AB$83,$G390)</f>
        <v>0</v>
      </c>
      <c r="AK390" s="171">
        <f ca="1">SUMIFS(Налоги!AJ$25:AJ$83,Налоги!$F$25:$F$83,$F390,Налоги!$AB$25:$AB$83,$G390)</f>
        <v>0</v>
      </c>
      <c r="AL390" s="171">
        <f ca="1">SUMIFS(Налоги!AK$25:AK$83,Налоги!$F$25:$F$83,$F390,Налоги!$AB$25:$AB$83,$G390)</f>
        <v>0</v>
      </c>
      <c r="AM390" s="171">
        <f ca="1">SUMIFS(Налоги!AL$25:AL$83,Налоги!$F$25:$F$83,$F390,Налоги!$AB$25:$AB$83,$G390)</f>
        <v>0</v>
      </c>
      <c r="AN390" s="171">
        <f ca="1">SUMIFS(Налоги!AM$25:AM$83,Налоги!$F$25:$F$83,$F390,Налоги!$AB$25:$AB$83,$G390)</f>
        <v>0</v>
      </c>
      <c r="AO390" s="171">
        <f ca="1">SUMIFS(Налоги!AN$25:AN$83,Налоги!$F$25:$F$83,$F390,Налоги!$AB$25:$AB$83,$G390)</f>
        <v>0</v>
      </c>
      <c r="AP390" s="171">
        <f ca="1">SUMIFS(Налоги!AO$25:AO$83,Налоги!$F$25:$F$83,$F390,Налоги!$AB$25:$AB$83,$G390)</f>
        <v>0</v>
      </c>
      <c r="AQ390" s="171">
        <f ca="1">SUMIFS(Налоги!AP$25:AP$83,Налоги!$F$25:$F$83,$F390,Налоги!$AB$25:$AB$83,$G390)</f>
        <v>0</v>
      </c>
      <c r="AR390" s="171">
        <f ca="1">SUMIFS(Налоги!AQ$25:AQ$83,Налоги!$F$25:$F$83,$F390,Налоги!$AB$25:$AB$83,$G390)</f>
        <v>0</v>
      </c>
      <c r="AS390" s="171">
        <f ca="1">SUMIFS(Налоги!AR$25:AR$83,Налоги!$F$25:$F$83,$F390,Налоги!$AB$25:$AB$83,$G390)</f>
        <v>0</v>
      </c>
      <c r="AT390" s="171">
        <f ca="1">SUMIFS(Налоги!AS$25:AS$83,Налоги!$F$25:$F$83,$F390,Налоги!$AB$25:$AB$83,$G390)</f>
        <v>0</v>
      </c>
      <c r="AU390" s="171">
        <f ca="1">SUMIFS(Налоги!AT$25:AT$83,Налоги!$F$25:$F$83,$F390,Налоги!$AB$25:$AB$83,$G390)</f>
        <v>0</v>
      </c>
      <c r="AV390" s="171">
        <f ca="1">SUMIFS(Налоги!AU$25:AU$83,Налоги!$F$25:$F$83,$F390,Налоги!$AB$25:$AB$83,$G390)</f>
        <v>0</v>
      </c>
      <c r="AW390" s="171">
        <f ca="1">SUMIFS(Налоги!AV$25:AV$83,Налоги!$F$25:$F$83,$F390,Налоги!$AB$25:$AB$83,$G390)</f>
        <v>0</v>
      </c>
      <c r="AX390" s="171">
        <f ca="1">SUMIFS(Налоги!AW$25:AW$83,Налоги!$F$25:$F$83,$F390,Налоги!$AB$25:$AB$83,$G390)</f>
        <v>0</v>
      </c>
      <c r="AY390" s="171">
        <f ca="1">SUMIFS(Налоги!AX$25:AX$83,Налоги!$F$25:$F$83,$F390,Налоги!$AB$25:$AB$83,$G390)</f>
        <v>0</v>
      </c>
      <c r="AZ390" s="171">
        <f ca="1">SUMIFS(Налоги!AY$25:AY$83,Налоги!$F$25:$F$83,$F390,Налоги!$AB$25:$AB$83,$G390)</f>
        <v>0</v>
      </c>
      <c r="BA390" s="171">
        <f ca="1">SUMIFS(Налоги!AZ$25:AZ$83,Налоги!$F$25:$F$83,$F390,Налоги!$AB$25:$AB$83,$G390)</f>
        <v>0</v>
      </c>
      <c r="BB390" s="171">
        <f ca="1">SUMIFS(Налоги!BA$25:BA$83,Налоги!$F$25:$F$83,$F390,Налоги!$AB$25:$AB$83,$G390)</f>
        <v>0</v>
      </c>
      <c r="BC390" s="171">
        <f ca="1">SUMIFS(Налоги!BB$25:BB$83,Налоги!$F$25:$F$83,$F390,Налоги!$AB$25:$AB$83,$G390)</f>
        <v>0</v>
      </c>
      <c r="BD390" s="171">
        <f t="shared" ca="1" si="105"/>
        <v>0</v>
      </c>
      <c r="BE390" s="171">
        <f t="shared" ca="1" si="106"/>
        <v>0</v>
      </c>
      <c r="BF390" s="171">
        <f t="shared" ca="1" si="107"/>
        <v>0</v>
      </c>
      <c r="BG390" s="171">
        <f t="shared" ca="1" si="108"/>
        <v>0</v>
      </c>
      <c r="BH390" s="171">
        <f t="shared" ca="1" si="109"/>
        <v>0</v>
      </c>
      <c r="BI390" s="171">
        <f t="shared" ca="1" si="110"/>
        <v>0</v>
      </c>
      <c r="BJ390" s="171">
        <f t="shared" ca="1" si="111"/>
        <v>0</v>
      </c>
      <c r="BK390" s="171">
        <f t="shared" ca="1" si="112"/>
        <v>0</v>
      </c>
      <c r="BL390" s="171">
        <f t="shared" ca="1" si="113"/>
        <v>0</v>
      </c>
      <c r="BM390" s="171">
        <f t="shared" ca="1" si="114"/>
        <v>0</v>
      </c>
      <c r="BN390" s="196"/>
      <c r="BO390" s="601" t="str">
        <f ca="1">IF(IFERROR(INDEX(Налоги!$K$26:$L$83,MATCH($F390&amp;"10komm",Налоги!$K$26:$K$83,0),2),"")=0,"",IFERROR(INDEX(Налоги!$K$26:$L$83,MATCH($F390&amp;"10komm",Налоги!$K$26:$K$83,0),2),""))</f>
        <v/>
      </c>
      <c r="BP390" s="196"/>
      <c r="BS390" s="696" t="s">
        <v>2116</v>
      </c>
    </row>
    <row r="391" spans="2:75" ht="65.25" customHeight="1" x14ac:dyDescent="0.15">
      <c r="C391" s="25"/>
      <c r="D391" s="25"/>
      <c r="E391" s="451">
        <v>67.5</v>
      </c>
      <c r="F391" s="3" t="str" cm="1">
        <f t="array" aca="1" ref="F391" ca="1">OFFSET(E391,-1,1)</f>
        <v>2</v>
      </c>
      <c r="G391" s="25" t="s">
        <v>1453</v>
      </c>
      <c r="H391" s="25"/>
      <c r="I391" s="25" t="s">
        <v>961</v>
      </c>
      <c r="J391" s="25"/>
      <c r="K391" s="72" t="s">
        <v>961</v>
      </c>
      <c r="L391" s="25"/>
      <c r="M391" s="25"/>
      <c r="N391" s="25"/>
      <c r="O391" s="25"/>
      <c r="P391" s="25"/>
      <c r="Q391" s="25"/>
      <c r="R391" s="25"/>
      <c r="S391" s="25"/>
      <c r="T391" s="353" t="b" cm="1">
        <f t="array" aca="1" ref="T391" ca="1">T390</f>
        <v>1</v>
      </c>
      <c r="U391" s="25"/>
      <c r="V391" s="25"/>
      <c r="W391" s="25"/>
      <c r="X391" s="1022"/>
      <c r="Z391" s="967"/>
      <c r="AB391" s="7" t="s">
        <v>962</v>
      </c>
      <c r="AC391" s="550" t="s">
        <v>1456</v>
      </c>
      <c r="AD391" s="7" t="s">
        <v>828</v>
      </c>
      <c r="AE391" s="141"/>
      <c r="AF391" s="141"/>
      <c r="AG391" s="141"/>
      <c r="AH391" s="171">
        <f t="shared" si="103"/>
        <v>0</v>
      </c>
      <c r="AI391" s="141"/>
      <c r="AJ391" s="141"/>
      <c r="AK391" s="781"/>
      <c r="AL391" s="781"/>
      <c r="AM391" s="141"/>
      <c r="AN391" s="141"/>
      <c r="AO391" s="141"/>
      <c r="AP391" s="141"/>
      <c r="AQ391" s="141"/>
      <c r="AR391" s="141"/>
      <c r="AS391" s="141"/>
      <c r="AT391" s="141"/>
      <c r="AU391" s="781"/>
      <c r="AV391" s="781"/>
      <c r="AW391" s="141"/>
      <c r="AX391" s="141"/>
      <c r="AY391" s="141"/>
      <c r="AZ391" s="141"/>
      <c r="BA391" s="141"/>
      <c r="BB391" s="141"/>
      <c r="BC391" s="141"/>
      <c r="BD391" s="171">
        <f t="shared" si="105"/>
        <v>0</v>
      </c>
      <c r="BE391" s="171">
        <f t="shared" si="106"/>
        <v>0</v>
      </c>
      <c r="BF391" s="171">
        <f t="shared" si="107"/>
        <v>0</v>
      </c>
      <c r="BG391" s="171">
        <f t="shared" si="108"/>
        <v>0</v>
      </c>
      <c r="BH391" s="171">
        <f t="shared" si="109"/>
        <v>0</v>
      </c>
      <c r="BI391" s="171">
        <f t="shared" si="110"/>
        <v>0</v>
      </c>
      <c r="BJ391" s="171">
        <f t="shared" si="111"/>
        <v>0</v>
      </c>
      <c r="BK391" s="171">
        <f t="shared" si="112"/>
        <v>0</v>
      </c>
      <c r="BL391" s="171">
        <f t="shared" si="113"/>
        <v>0</v>
      </c>
      <c r="BM391" s="171">
        <f t="shared" si="114"/>
        <v>0</v>
      </c>
      <c r="BN391" s="196"/>
      <c r="BO391" s="196"/>
      <c r="BP391" s="196"/>
      <c r="BS391" s="696" t="s">
        <v>2117</v>
      </c>
    </row>
    <row r="392" spans="2:75" ht="14.25" customHeight="1" x14ac:dyDescent="0.15">
      <c r="C392" s="25"/>
      <c r="D392" s="25"/>
      <c r="E392" s="451">
        <v>15</v>
      </c>
      <c r="F392" s="3" t="str" cm="1">
        <f t="array" aca="1" ref="F392" ca="1">OFFSET(E392,-1,1)</f>
        <v>2</v>
      </c>
      <c r="G392" s="25" t="s">
        <v>1065</v>
      </c>
      <c r="H392" s="25"/>
      <c r="I392" s="25" t="s">
        <v>964</v>
      </c>
      <c r="J392" s="25"/>
      <c r="K392" s="72" t="s">
        <v>964</v>
      </c>
      <c r="L392" s="25" t="s">
        <v>532</v>
      </c>
      <c r="M392" s="25"/>
      <c r="N392" s="25"/>
      <c r="O392" s="25"/>
      <c r="P392" s="25"/>
      <c r="Q392" s="25"/>
      <c r="R392" s="25"/>
      <c r="S392" s="25"/>
      <c r="T392" s="353" t="b" cm="1">
        <f t="array" aca="1" ref="T392" ca="1">T391</f>
        <v>1</v>
      </c>
      <c r="U392" s="25"/>
      <c r="V392" s="25"/>
      <c r="W392" s="25"/>
      <c r="X392" s="1022"/>
      <c r="Z392" s="967"/>
      <c r="AB392" s="7" t="s">
        <v>965</v>
      </c>
      <c r="AC392" s="127" t="s">
        <v>1065</v>
      </c>
      <c r="AD392" s="7" t="s">
        <v>828</v>
      </c>
      <c r="AE392" s="171">
        <f ca="1">SUMIFS(Аренда!AE$25:AE$67,Аренда!$F$25:$F$67,$F392,Аренда!$G$25:$G$67,"Арендная и концессионная плата, лизинговые платежи")</f>
        <v>0</v>
      </c>
      <c r="AF392" s="171">
        <f ca="1">SUMIFS(Аренда!AF$25:AF$67,Аренда!$F$25:$F$67,$F392,Аренда!$G$25:$G$67,"Арендная и концессионная плата, лизинговые платежи")</f>
        <v>0</v>
      </c>
      <c r="AG392" s="171">
        <f ca="1">SUMIFS(Аренда!AG$25:AG$67,Аренда!$F$25:$F$67,$F392,Аренда!$G$25:$G$67,"Арендная и концессионная плата, лизинговые платежи")</f>
        <v>0</v>
      </c>
      <c r="AH392" s="171">
        <f t="shared" ca="1" si="103"/>
        <v>0</v>
      </c>
      <c r="AI392" s="171">
        <f ca="1">SUMIFS(Аренда!AH$25:AH$67,Аренда!$F$25:$F$67,$F392,Аренда!$G$25:$G$67,"Арендная и концессионная плата, лизинговые платежи")</f>
        <v>0</v>
      </c>
      <c r="AJ392" s="171">
        <f ca="1">SUMIFS(Аренда!AI$25:AI$67,Аренда!$F$25:$F$67,$F392,Аренда!$G$25:$G$67,"Арендная и концессионная плата, лизинговые платежи")</f>
        <v>0</v>
      </c>
      <c r="AK392" s="171">
        <f ca="1">SUMIFS(Аренда!AJ$25:AJ$67,Аренда!$F$25:$F$67,$F392,Аренда!$G$25:$G$67,"Арендная и концессионная плата, лизинговые платежи")</f>
        <v>0</v>
      </c>
      <c r="AL392" s="171">
        <f ca="1">SUMIFS(Аренда!AK$25:AK$67,Аренда!$F$25:$F$67,$F392,Аренда!$G$25:$G$67,"Арендная и концессионная плата, лизинговые платежи")</f>
        <v>0</v>
      </c>
      <c r="AM392" s="171">
        <f ca="1">SUMIFS(Аренда!AL$25:AL$67,Аренда!$F$25:$F$67,$F392,Аренда!$G$25:$G$67,"Арендная и концессионная плата, лизинговые платежи")</f>
        <v>0</v>
      </c>
      <c r="AN392" s="171">
        <f ca="1">SUMIFS(Аренда!AM$25:AM$67,Аренда!$F$25:$F$67,$F392,Аренда!$G$25:$G$67,"Арендная и концессионная плата, лизинговые платежи")</f>
        <v>0</v>
      </c>
      <c r="AO392" s="171">
        <f ca="1">SUMIFS(Аренда!AN$25:AN$67,Аренда!$F$25:$F$67,$F392,Аренда!$G$25:$G$67,"Арендная и концессионная плата, лизинговые платежи")</f>
        <v>0</v>
      </c>
      <c r="AP392" s="171">
        <f ca="1">SUMIFS(Аренда!AO$25:AO$67,Аренда!$F$25:$F$67,$F392,Аренда!$G$25:$G$67,"Арендная и концессионная плата, лизинговые платежи")</f>
        <v>0</v>
      </c>
      <c r="AQ392" s="171">
        <f ca="1">SUMIFS(Аренда!AP$25:AP$67,Аренда!$F$25:$F$67,$F392,Аренда!$G$25:$G$67,"Арендная и концессионная плата, лизинговые платежи")</f>
        <v>0</v>
      </c>
      <c r="AR392" s="171">
        <f ca="1">SUMIFS(Аренда!AQ$25:AQ$67,Аренда!$F$25:$F$67,$F392,Аренда!$G$25:$G$67,"Арендная и концессионная плата, лизинговые платежи")</f>
        <v>0</v>
      </c>
      <c r="AS392" s="171">
        <f ca="1">SUMIFS(Аренда!AR$25:AR$67,Аренда!$F$25:$F$67,$F392,Аренда!$G$25:$G$67,"Арендная и концессионная плата, лизинговые платежи")</f>
        <v>0</v>
      </c>
      <c r="AT392" s="171">
        <f ca="1">SUMIFS(Аренда!AS$25:AS$67,Аренда!$F$25:$F$67,$F392,Аренда!$G$25:$G$67,"Арендная и концессионная плата, лизинговые платежи")</f>
        <v>0</v>
      </c>
      <c r="AU392" s="171">
        <f ca="1">SUMIFS(Аренда!AT$25:AT$67,Аренда!$F$25:$F$67,$F392,Аренда!$G$25:$G$67,"Арендная и концессионная плата, лизинговые платежи")</f>
        <v>0</v>
      </c>
      <c r="AV392" s="171">
        <f ca="1">SUMIFS(Аренда!AU$25:AU$67,Аренда!$F$25:$F$67,$F392,Аренда!$G$25:$G$67,"Арендная и концессионная плата, лизинговые платежи")</f>
        <v>0</v>
      </c>
      <c r="AW392" s="171">
        <f ca="1">SUMIFS(Аренда!AV$25:AV$67,Аренда!$F$25:$F$67,$F392,Аренда!$G$25:$G$67,"Арендная и концессионная плата, лизинговые платежи")</f>
        <v>0</v>
      </c>
      <c r="AX392" s="171">
        <f ca="1">SUMIFS(Аренда!AW$25:AW$67,Аренда!$F$25:$F$67,$F392,Аренда!$G$25:$G$67,"Арендная и концессионная плата, лизинговые платежи")</f>
        <v>0</v>
      </c>
      <c r="AY392" s="171">
        <f ca="1">SUMIFS(Аренда!AX$25:AX$67,Аренда!$F$25:$F$67,$F392,Аренда!$G$25:$G$67,"Арендная и концессионная плата, лизинговые платежи")</f>
        <v>0</v>
      </c>
      <c r="AZ392" s="171">
        <f ca="1">SUMIFS(Аренда!AY$25:AY$67,Аренда!$F$25:$F$67,$F392,Аренда!$G$25:$G$67,"Арендная и концессионная плата, лизинговые платежи")</f>
        <v>0</v>
      </c>
      <c r="BA392" s="171">
        <f ca="1">SUMIFS(Аренда!AZ$25:AZ$67,Аренда!$F$25:$F$67,$F392,Аренда!$G$25:$G$67,"Арендная и концессионная плата, лизинговые платежи")</f>
        <v>0</v>
      </c>
      <c r="BB392" s="171">
        <f ca="1">SUMIFS(Аренда!BA$25:BA$67,Аренда!$F$25:$F$67,$F392,Аренда!$G$25:$G$67,"Арендная и концессионная плата, лизинговые платежи")</f>
        <v>0</v>
      </c>
      <c r="BC392" s="171">
        <f ca="1">SUMIFS(Аренда!BB$25:BB$67,Аренда!$F$25:$F$67,$F392,Аренда!$G$25:$G$67,"Арендная и концессионная плата, лизинговые платежи")</f>
        <v>0</v>
      </c>
      <c r="BD392" s="171">
        <f t="shared" ca="1" si="105"/>
        <v>0</v>
      </c>
      <c r="BE392" s="171">
        <f t="shared" ca="1" si="106"/>
        <v>0</v>
      </c>
      <c r="BF392" s="171">
        <f t="shared" ca="1" si="107"/>
        <v>0</v>
      </c>
      <c r="BG392" s="171">
        <f t="shared" ca="1" si="108"/>
        <v>0</v>
      </c>
      <c r="BH392" s="171">
        <f t="shared" ca="1" si="109"/>
        <v>0</v>
      </c>
      <c r="BI392" s="171">
        <f t="shared" ca="1" si="110"/>
        <v>0</v>
      </c>
      <c r="BJ392" s="171">
        <f t="shared" ca="1" si="111"/>
        <v>0</v>
      </c>
      <c r="BK392" s="171">
        <f t="shared" ca="1" si="112"/>
        <v>0</v>
      </c>
      <c r="BL392" s="171">
        <f t="shared" ca="1" si="113"/>
        <v>0</v>
      </c>
      <c r="BM392" s="171">
        <f t="shared" ca="1" si="114"/>
        <v>0</v>
      </c>
      <c r="BN392" s="196"/>
      <c r="BO392" s="601" t="str">
        <f ca="1">IF(IFERROR(INDEX(Аренда!$K$26:$L$67,MATCH($F392&amp;"komm",Аренда!$K$26:$K$67,0),2),"")=0,"",IFERROR(INDEX(Аренда!$K$26:$L$67,MATCH($F392&amp;"komm",Аренда!$K$26:$K$67,0),2),""))</f>
        <v/>
      </c>
      <c r="BP392" s="196"/>
      <c r="BS392" s="696" t="s">
        <v>2118</v>
      </c>
    </row>
    <row r="393" spans="2:75" ht="14.25" hidden="1" customHeight="1" x14ac:dyDescent="0.15">
      <c r="B393" s="329" t="b">
        <f>STATUS_GO="да"</f>
        <v>0</v>
      </c>
      <c r="C393" s="25"/>
      <c r="D393" s="25"/>
      <c r="E393" s="451">
        <v>15</v>
      </c>
      <c r="F393" s="3" t="str" cm="1">
        <f t="array" aca="1" ref="F393" ca="1">OFFSET(E393,-1,1)</f>
        <v>2</v>
      </c>
      <c r="G393" s="25"/>
      <c r="H393" s="25"/>
      <c r="I393" s="25" t="s">
        <v>2119</v>
      </c>
      <c r="J393" s="25"/>
      <c r="K393" s="72" t="s">
        <v>2119</v>
      </c>
      <c r="L393" s="25"/>
      <c r="M393" s="25"/>
      <c r="N393" s="25"/>
      <c r="O393" s="25"/>
      <c r="P393" s="25"/>
      <c r="Q393" s="25"/>
      <c r="R393" s="25"/>
      <c r="S393" s="25"/>
      <c r="T393" s="353" t="b" cm="1">
        <f t="array" aca="1" ref="T393" ca="1">T392</f>
        <v>1</v>
      </c>
      <c r="U393" s="25"/>
      <c r="V393" s="25"/>
      <c r="W393" s="25"/>
      <c r="X393" s="1022"/>
      <c r="Z393" s="967"/>
      <c r="AB393" s="7" t="s">
        <v>1520</v>
      </c>
      <c r="AC393" s="127" t="s">
        <v>2120</v>
      </c>
      <c r="AD393" s="7" t="s">
        <v>828</v>
      </c>
      <c r="AE393" s="778" cm="1">
        <f t="array" aca="1" ref="AE393" ca="1">AE394</f>
        <v>0</v>
      </c>
      <c r="AF393" s="778" cm="1">
        <f t="array" aca="1" ref="AF393" ca="1">AF394</f>
        <v>0</v>
      </c>
      <c r="AG393" s="778" cm="1">
        <f t="array" aca="1" ref="AG393" ca="1">AG394</f>
        <v>0</v>
      </c>
      <c r="AH393" s="171">
        <f t="shared" ca="1" si="103"/>
        <v>0</v>
      </c>
      <c r="AI393" s="778" cm="1">
        <f t="array" aca="1" ref="AI393" ca="1">AI394</f>
        <v>0</v>
      </c>
      <c r="AJ393" s="128" cm="1">
        <f t="array" aca="1" ref="AJ393" ca="1">AJ394</f>
        <v>0</v>
      </c>
      <c r="AK393" s="778" cm="1">
        <f t="array" ref="AK393">AK394</f>
        <v>0</v>
      </c>
      <c r="AL393" s="778" cm="1">
        <f t="array" ref="AL393">AL394</f>
        <v>0</v>
      </c>
      <c r="AM393" s="778" cm="1">
        <f t="array" ref="AM393">AM394</f>
        <v>0</v>
      </c>
      <c r="AN393" s="778" cm="1">
        <f t="array" ref="AN393">AN394</f>
        <v>0</v>
      </c>
      <c r="AO393" s="778" cm="1">
        <f t="array" ref="AO393">AO394</f>
        <v>0</v>
      </c>
      <c r="AP393" s="778" cm="1">
        <f t="array" ref="AP393">AP394</f>
        <v>0</v>
      </c>
      <c r="AQ393" s="778" cm="1">
        <f t="array" ref="AQ393">AQ394</f>
        <v>0</v>
      </c>
      <c r="AR393" s="778" cm="1">
        <f t="array" ref="AR393">AR394</f>
        <v>0</v>
      </c>
      <c r="AS393" s="778" cm="1">
        <f t="array" ref="AS393">AS394</f>
        <v>0</v>
      </c>
      <c r="AT393" s="128" cm="1">
        <f t="array" aca="1" ref="AT393" ca="1">AT394</f>
        <v>0</v>
      </c>
      <c r="AU393" s="778" cm="1">
        <f t="array" ref="AU393">AU394</f>
        <v>0</v>
      </c>
      <c r="AV393" s="778" cm="1">
        <f t="array" ref="AV393">AV394</f>
        <v>0</v>
      </c>
      <c r="AW393" s="778" cm="1">
        <f t="array" ref="AW393">AW394</f>
        <v>0</v>
      </c>
      <c r="AX393" s="778" cm="1">
        <f t="array" ref="AX393">AX394</f>
        <v>0</v>
      </c>
      <c r="AY393" s="778" cm="1">
        <f t="array" ref="AY393">AY394</f>
        <v>0</v>
      </c>
      <c r="AZ393" s="778" cm="1">
        <f t="array" ref="AZ393">AZ394</f>
        <v>0</v>
      </c>
      <c r="BA393" s="778" cm="1">
        <f t="array" ref="BA393">BA394</f>
        <v>0</v>
      </c>
      <c r="BB393" s="778" cm="1">
        <f t="array" ref="BB393">BB394</f>
        <v>0</v>
      </c>
      <c r="BC393" s="778" cm="1">
        <f t="array" ref="BC393">BC394</f>
        <v>0</v>
      </c>
      <c r="BD393" s="171">
        <f t="shared" ca="1" si="105"/>
        <v>0</v>
      </c>
      <c r="BE393" s="171">
        <f t="shared" ca="1" si="106"/>
        <v>0</v>
      </c>
      <c r="BF393" s="171">
        <f t="shared" si="107"/>
        <v>0</v>
      </c>
      <c r="BG393" s="171">
        <f t="shared" si="108"/>
        <v>0</v>
      </c>
      <c r="BH393" s="171">
        <f t="shared" si="109"/>
        <v>0</v>
      </c>
      <c r="BI393" s="171">
        <f t="shared" si="110"/>
        <v>0</v>
      </c>
      <c r="BJ393" s="171">
        <f t="shared" si="111"/>
        <v>0</v>
      </c>
      <c r="BK393" s="171">
        <f t="shared" si="112"/>
        <v>0</v>
      </c>
      <c r="BL393" s="171">
        <f t="shared" si="113"/>
        <v>0</v>
      </c>
      <c r="BM393" s="171">
        <f t="shared" si="114"/>
        <v>0</v>
      </c>
      <c r="BN393" s="775"/>
      <c r="BO393" s="775"/>
      <c r="BP393" s="775"/>
      <c r="BS393" s="696" t="s">
        <v>2121</v>
      </c>
    </row>
    <row r="394" spans="2:75" ht="14.25" hidden="1" customHeight="1" x14ac:dyDescent="0.15">
      <c r="B394" s="329" t="b">
        <f>STATUS_GO="да"</f>
        <v>0</v>
      </c>
      <c r="C394" s="25"/>
      <c r="D394" s="25"/>
      <c r="E394" s="451">
        <v>15</v>
      </c>
      <c r="F394" s="3" t="str" cm="1">
        <f t="array" aca="1" ref="F394" ca="1">OFFSET(E394,-1,1)</f>
        <v>2</v>
      </c>
      <c r="G394" s="25" t="s">
        <v>1462</v>
      </c>
      <c r="H394" s="25"/>
      <c r="I394" s="25" t="s">
        <v>2122</v>
      </c>
      <c r="J394" s="25"/>
      <c r="K394" s="72" t="s">
        <v>2122</v>
      </c>
      <c r="L394" s="25"/>
      <c r="M394" s="25"/>
      <c r="N394" s="25"/>
      <c r="O394" s="25"/>
      <c r="P394" s="25"/>
      <c r="Q394" s="25"/>
      <c r="R394" s="25"/>
      <c r="S394" s="25"/>
      <c r="T394" s="353" t="b" cm="1">
        <f t="array" aca="1" ref="T394" ca="1">T393</f>
        <v>1</v>
      </c>
      <c r="U394" s="25"/>
      <c r="V394" s="25"/>
      <c r="W394" s="25"/>
      <c r="X394" s="1022"/>
      <c r="Z394" s="967"/>
      <c r="AB394" s="7" t="s">
        <v>2123</v>
      </c>
      <c r="AC394" s="134" t="s">
        <v>1462</v>
      </c>
      <c r="AD394" s="7" t="s">
        <v>828</v>
      </c>
      <c r="AE394" s="171">
        <f ca="1">SUMIFS('Сбытовые расходы ГО'!AE$25:AE$75,'Сбытовые расходы ГО'!$F$25:$F$75,$F394,'Сбытовые расходы ГО'!$G$25:$G$75,"l1")</f>
        <v>0</v>
      </c>
      <c r="AF394" s="171">
        <f ca="1">SUMIFS('Сбытовые расходы ГО'!AF$25:AF$75,'Сбытовые расходы ГО'!$F$25:$F$75,$F394,'Сбытовые расходы ГО'!$G$25:$G$75,"l1")</f>
        <v>0</v>
      </c>
      <c r="AG394" s="171">
        <f ca="1">SUMIFS('Сбытовые расходы ГО'!AG$25:AG$75,'Сбытовые расходы ГО'!$F$25:$F$75,$F394,'Сбытовые расходы ГО'!$G$25:$G$75,"l1")</f>
        <v>0</v>
      </c>
      <c r="AH394" s="171">
        <f t="shared" ca="1" si="103"/>
        <v>0</v>
      </c>
      <c r="AI394" s="171">
        <f ca="1">SUMIFS('Сбытовые расходы ГО'!AH$25:AH$75,'Сбытовые расходы ГО'!$F$25:$F$75,$F394,'Сбытовые расходы ГО'!$G$25:$G$75,"l1")</f>
        <v>0</v>
      </c>
      <c r="AJ394" s="171">
        <f ca="1">SUMIFS('Сбытовые расходы ГО'!AI$25:AI$75,'Сбытовые расходы ГО'!$F$25:$F$75,$F394,'Сбытовые расходы ГО'!$G$25:$G$75,"l1")</f>
        <v>0</v>
      </c>
      <c r="AK394" s="778"/>
      <c r="AL394" s="778"/>
      <c r="AM394" s="778"/>
      <c r="AN394" s="778"/>
      <c r="AO394" s="778"/>
      <c r="AP394" s="778"/>
      <c r="AQ394" s="778"/>
      <c r="AR394" s="778"/>
      <c r="AS394" s="778"/>
      <c r="AT394" s="171">
        <f ca="1">SUMIFS('Сбытовые расходы ГО'!AJ$25:AJ$75,'Сбытовые расходы ГО'!$F$25:$F$75,$F394,'Сбытовые расходы ГО'!$G$25:$G$75,"l1")</f>
        <v>0</v>
      </c>
      <c r="AU394" s="778"/>
      <c r="AV394" s="778"/>
      <c r="AW394" s="778"/>
      <c r="AX394" s="778"/>
      <c r="AY394" s="778"/>
      <c r="AZ394" s="778"/>
      <c r="BA394" s="778"/>
      <c r="BB394" s="778"/>
      <c r="BC394" s="778"/>
      <c r="BD394" s="171">
        <f t="shared" ca="1" si="105"/>
        <v>0</v>
      </c>
      <c r="BE394" s="171">
        <f t="shared" ca="1" si="106"/>
        <v>0</v>
      </c>
      <c r="BF394" s="171">
        <f t="shared" si="107"/>
        <v>0</v>
      </c>
      <c r="BG394" s="171">
        <f t="shared" si="108"/>
        <v>0</v>
      </c>
      <c r="BH394" s="171">
        <f t="shared" si="109"/>
        <v>0</v>
      </c>
      <c r="BI394" s="171">
        <f t="shared" si="110"/>
        <v>0</v>
      </c>
      <c r="BJ394" s="171">
        <f t="shared" si="111"/>
        <v>0</v>
      </c>
      <c r="BK394" s="171">
        <f t="shared" si="112"/>
        <v>0</v>
      </c>
      <c r="BL394" s="171">
        <f t="shared" si="113"/>
        <v>0</v>
      </c>
      <c r="BM394" s="171">
        <f t="shared" si="114"/>
        <v>0</v>
      </c>
      <c r="BN394" s="775"/>
      <c r="BO394" s="779" t="str">
        <f ca="1">IF(IFERROR(INDEX('Сбытовые расходы ГО'!$K$26:$M$75,MATCH($F394&amp;"komm",'Сбытовые расходы ГО'!$K$26:$K$75,0),2),"")=0,"",IFERROR(INDEX('Сбытовые расходы ГО'!$K$26:$M$75,MATCH($F394&amp;"komm",'Сбытовые расходы ГО'!$K$26:$K$75,0),2),""))</f>
        <v/>
      </c>
      <c r="BP394" s="775"/>
      <c r="BS394" s="696" t="s">
        <v>2124</v>
      </c>
    </row>
    <row r="395" spans="2:75" ht="14.65" customHeight="1" x14ac:dyDescent="0.15">
      <c r="C395" s="25"/>
      <c r="D395" s="25"/>
      <c r="E395" s="451">
        <v>15</v>
      </c>
      <c r="F395" s="3" t="str" cm="1">
        <f t="array" aca="1" ref="F395" ca="1">OFFSET(E395,-1,1)</f>
        <v>2</v>
      </c>
      <c r="G395" s="25" t="s">
        <v>1467</v>
      </c>
      <c r="H395" s="25"/>
      <c r="I395" s="25" t="s">
        <v>2125</v>
      </c>
      <c r="J395" s="25"/>
      <c r="K395" s="72" t="s">
        <v>2125</v>
      </c>
      <c r="L395" s="25"/>
      <c r="M395" s="25"/>
      <c r="N395" s="25"/>
      <c r="O395" s="25"/>
      <c r="P395" s="25"/>
      <c r="Q395" s="25"/>
      <c r="R395" s="25"/>
      <c r="S395" s="25"/>
      <c r="T395" s="353" t="b" cm="1">
        <f t="array" aca="1" ref="T395" ca="1">T394</f>
        <v>1</v>
      </c>
      <c r="U395" s="25"/>
      <c r="V395" s="25"/>
      <c r="W395" s="25"/>
      <c r="X395" s="1022"/>
      <c r="Z395" s="967"/>
      <c r="AB395" s="7" t="s">
        <v>1525</v>
      </c>
      <c r="AC395" s="127" t="s">
        <v>1467</v>
      </c>
      <c r="AD395" s="7" t="s">
        <v>828</v>
      </c>
      <c r="AE395" s="128">
        <v>0</v>
      </c>
      <c r="AF395" s="128"/>
      <c r="AG395" s="128"/>
      <c r="AH395" s="171">
        <f t="shared" si="103"/>
        <v>0</v>
      </c>
      <c r="AI395" s="128">
        <v>0</v>
      </c>
      <c r="AJ395" s="128">
        <f ca="1">SUMIFS(Экономия_корр!AE$25:AE$59,Экономия_корр!$F$25:$F$59,$F395,Экономия_корр!$AC$25:$AC$59,"Экономия расходов с учетом ИПЦ")</f>
        <v>0</v>
      </c>
      <c r="AK395" s="778">
        <f ca="1">SUMIFS(Экономия_корр!AF$25:AF$59,Экономия_корр!$F$25:$F$59,$F395,Экономия_корр!$AC$25:$AC$59,"Экономия расходов с учетом ИПЦ")</f>
        <v>0</v>
      </c>
      <c r="AL395" s="778">
        <f ca="1">SUMIFS(Экономия_корр!AG$25:AG$59,Экономия_корр!$F$25:$F$59,$F395,Экономия_корр!$AC$25:$AC$59,"Экономия расходов с учетом ИПЦ")</f>
        <v>0</v>
      </c>
      <c r="AM395" s="128">
        <f ca="1">SUMIFS(Экономия_корр!AH$25:AH$59,Экономия_корр!$F$25:$F$59,$F395,Экономия_корр!$AC$25:$AC$59,"Экономия расходов с учетом ИПЦ")</f>
        <v>0</v>
      </c>
      <c r="AN395" s="128">
        <f ca="1">SUMIFS(Экономия_корр!AI$25:AI$59,Экономия_корр!$F$25:$F$59,$F395,Экономия_корр!$AC$25:$AC$59,"Экономия расходов с учетом ИПЦ")</f>
        <v>0</v>
      </c>
      <c r="AO395" s="128">
        <f ca="1">SUMIFS(Экономия_корр!AJ$25:AJ$59,Экономия_корр!$F$25:$F$59,$F395,Экономия_корр!$AC$25:$AC$59,"Экономия расходов с учетом ИПЦ")</f>
        <v>0</v>
      </c>
      <c r="AP395" s="128">
        <f ca="1">SUMIFS(Экономия_корр!AK$25:AK$59,Экономия_корр!$F$25:$F$59,$F395,Экономия_корр!$AC$25:$AC$59,"Экономия расходов с учетом ИПЦ")</f>
        <v>0</v>
      </c>
      <c r="AQ395" s="128">
        <f ca="1">SUMIFS(Экономия_корр!AL$25:AL$59,Экономия_корр!$F$25:$F$59,$F395,Экономия_корр!$AC$25:$AC$59,"Экономия расходов с учетом ИПЦ")</f>
        <v>0</v>
      </c>
      <c r="AR395" s="128">
        <f ca="1">SUMIFS(Экономия_корр!AM$25:AM$59,Экономия_корр!$F$25:$F$59,$F395,Экономия_корр!$AC$25:$AC$59,"Экономия расходов с учетом ИПЦ")</f>
        <v>0</v>
      </c>
      <c r="AS395" s="128">
        <f ca="1">SUMIFS(Экономия_корр!AN$25:AN$59,Экономия_корр!$F$25:$F$59,$F395,Экономия_корр!$AC$25:$AC$59,"Экономия расходов с учетом ИПЦ")</f>
        <v>0</v>
      </c>
      <c r="AT395" s="128">
        <f ca="1">SUMIFS(Экономия_корр!AO$25:AO$59,Экономия_корр!$F$25:$F$59,$F395,Экономия_корр!$AC$25:$AC$59,"Экономия расходов с учетом ИПЦ")</f>
        <v>0</v>
      </c>
      <c r="AU395" s="778">
        <f ca="1">SUMIFS(Экономия_корр!AP$25:AP$59,Экономия_корр!$F$25:$F$59,$F395,Экономия_корр!$AC$25:$AC$59,"Экономия расходов с учетом ИПЦ")</f>
        <v>0</v>
      </c>
      <c r="AV395" s="778">
        <f ca="1">SUMIFS(Экономия_корр!AQ$25:AQ$59,Экономия_корр!$F$25:$F$59,$F395,Экономия_корр!$AC$25:$AC$59,"Экономия расходов с учетом ИПЦ")</f>
        <v>0</v>
      </c>
      <c r="AW395" s="128">
        <f ca="1">SUMIFS(Экономия_корр!AR$25:AR$59,Экономия_корр!$F$25:$F$59,$F395,Экономия_корр!$AC$25:$AC$59,"Экономия расходов с учетом ИПЦ")</f>
        <v>0</v>
      </c>
      <c r="AX395" s="128">
        <f ca="1">SUMIFS(Экономия_корр!AS$25:AS$59,Экономия_корр!$F$25:$F$59,$F395,Экономия_корр!$AC$25:$AC$59,"Экономия расходов с учетом ИПЦ")</f>
        <v>0</v>
      </c>
      <c r="AY395" s="128">
        <f ca="1">SUMIFS(Экономия_корр!AT$25:AT$59,Экономия_корр!$F$25:$F$59,$F395,Экономия_корр!$AC$25:$AC$59,"Экономия расходов с учетом ИПЦ")</f>
        <v>0</v>
      </c>
      <c r="AZ395" s="128">
        <f ca="1">SUMIFS(Экономия_корр!AU$25:AU$59,Экономия_корр!$F$25:$F$59,$F395,Экономия_корр!$AC$25:$AC$59,"Экономия расходов с учетом ИПЦ")</f>
        <v>0</v>
      </c>
      <c r="BA395" s="128">
        <f ca="1">SUMIFS(Экономия_корр!AV$25:AV$59,Экономия_корр!$F$25:$F$59,$F395,Экономия_корр!$AC$25:$AC$59,"Экономия расходов с учетом ИПЦ")</f>
        <v>0</v>
      </c>
      <c r="BB395" s="128">
        <f ca="1">SUMIFS(Экономия_корр!AW$25:AW$59,Экономия_корр!$F$25:$F$59,$F395,Экономия_корр!$AC$25:$AC$59,"Экономия расходов с учетом ИПЦ")</f>
        <v>0</v>
      </c>
      <c r="BC395" s="128">
        <f ca="1">SUMIFS(Экономия_корр!AX$25:AX$59,Экономия_корр!$F$25:$F$59,$F395,Экономия_корр!$AC$25:$AC$59,"Экономия расходов с учетом ИПЦ")</f>
        <v>0</v>
      </c>
      <c r="BD395" s="171">
        <f t="shared" si="105"/>
        <v>0</v>
      </c>
      <c r="BE395" s="171">
        <f t="shared" ca="1" si="106"/>
        <v>0</v>
      </c>
      <c r="BF395" s="171">
        <f t="shared" ca="1" si="107"/>
        <v>0</v>
      </c>
      <c r="BG395" s="171">
        <f t="shared" ca="1" si="108"/>
        <v>0</v>
      </c>
      <c r="BH395" s="171">
        <f t="shared" ca="1" si="109"/>
        <v>0</v>
      </c>
      <c r="BI395" s="171">
        <f t="shared" ca="1" si="110"/>
        <v>0</v>
      </c>
      <c r="BJ395" s="171">
        <f t="shared" ca="1" si="111"/>
        <v>0</v>
      </c>
      <c r="BK395" s="171">
        <f t="shared" ca="1" si="112"/>
        <v>0</v>
      </c>
      <c r="BL395" s="171">
        <f t="shared" ca="1" si="113"/>
        <v>0</v>
      </c>
      <c r="BM395" s="171">
        <f t="shared" ca="1" si="114"/>
        <v>0</v>
      </c>
      <c r="BN395" s="196"/>
      <c r="BO395" s="196"/>
      <c r="BP395" s="196"/>
      <c r="BS395" s="696" t="s">
        <v>2126</v>
      </c>
    </row>
    <row r="396" spans="2:75" ht="14.25" customHeight="1" x14ac:dyDescent="0.15">
      <c r="C396" s="25"/>
      <c r="D396" s="25"/>
      <c r="E396" s="451">
        <v>15</v>
      </c>
      <c r="F396" s="3" t="str" cm="1">
        <f t="array" aca="1" ref="F396" ca="1">OFFSET(E396,-1,1)</f>
        <v>2</v>
      </c>
      <c r="G396" s="25" t="s">
        <v>1472</v>
      </c>
      <c r="H396" s="25"/>
      <c r="I396" s="25" t="s">
        <v>2127</v>
      </c>
      <c r="J396" s="25"/>
      <c r="K396" s="72" t="s">
        <v>2127</v>
      </c>
      <c r="L396" s="25"/>
      <c r="M396" s="25"/>
      <c r="N396" s="25"/>
      <c r="O396" s="25"/>
      <c r="P396" s="25"/>
      <c r="Q396" s="25"/>
      <c r="R396" s="25"/>
      <c r="S396" s="25"/>
      <c r="T396" s="353" t="b" cm="1">
        <f t="array" aca="1" ref="T396" ca="1">T395</f>
        <v>1</v>
      </c>
      <c r="U396" s="25"/>
      <c r="V396" s="25"/>
      <c r="W396" s="25"/>
      <c r="X396" s="1022"/>
      <c r="Z396" s="967"/>
      <c r="AB396" s="7" t="s">
        <v>2128</v>
      </c>
      <c r="AC396" s="127" t="s">
        <v>1472</v>
      </c>
      <c r="AD396" s="7" t="s">
        <v>828</v>
      </c>
      <c r="AE396" s="128"/>
      <c r="AF396" s="128"/>
      <c r="AG396" s="128"/>
      <c r="AH396" s="171">
        <f t="shared" si="103"/>
        <v>0</v>
      </c>
      <c r="AI396" s="128"/>
      <c r="AJ396" s="128"/>
      <c r="AK396" s="778"/>
      <c r="AL396" s="778"/>
      <c r="AM396" s="128"/>
      <c r="AN396" s="128"/>
      <c r="AO396" s="128"/>
      <c r="AP396" s="128"/>
      <c r="AQ396" s="128"/>
      <c r="AR396" s="128"/>
      <c r="AS396" s="128"/>
      <c r="AT396" s="128"/>
      <c r="AU396" s="778"/>
      <c r="AV396" s="778"/>
      <c r="AW396" s="128"/>
      <c r="AX396" s="128"/>
      <c r="AY396" s="128"/>
      <c r="AZ396" s="128"/>
      <c r="BA396" s="128"/>
      <c r="BB396" s="128"/>
      <c r="BC396" s="128"/>
      <c r="BD396" s="171">
        <f t="shared" si="105"/>
        <v>0</v>
      </c>
      <c r="BE396" s="171">
        <f t="shared" si="106"/>
        <v>0</v>
      </c>
      <c r="BF396" s="171">
        <f t="shared" si="107"/>
        <v>0</v>
      </c>
      <c r="BG396" s="171">
        <f t="shared" si="108"/>
        <v>0</v>
      </c>
      <c r="BH396" s="171">
        <f t="shared" si="109"/>
        <v>0</v>
      </c>
      <c r="BI396" s="171">
        <f t="shared" si="110"/>
        <v>0</v>
      </c>
      <c r="BJ396" s="171">
        <f t="shared" si="111"/>
        <v>0</v>
      </c>
      <c r="BK396" s="171">
        <f t="shared" si="112"/>
        <v>0</v>
      </c>
      <c r="BL396" s="171">
        <f t="shared" si="113"/>
        <v>0</v>
      </c>
      <c r="BM396" s="171">
        <f t="shared" si="114"/>
        <v>0</v>
      </c>
      <c r="BN396" s="196"/>
      <c r="BO396" s="196"/>
      <c r="BP396" s="196"/>
      <c r="BS396" s="696" t="s">
        <v>1856</v>
      </c>
    </row>
    <row r="397" spans="2:75" ht="14.25" customHeight="1" x14ac:dyDescent="0.15">
      <c r="C397" s="25"/>
      <c r="D397" s="25"/>
      <c r="E397" s="451">
        <v>15</v>
      </c>
      <c r="F397" s="3" t="str" cm="1">
        <f t="array" aca="1" ref="F397" ca="1">OFFSET(E397,-1,1)</f>
        <v>2</v>
      </c>
      <c r="G397" s="25" t="s">
        <v>1477</v>
      </c>
      <c r="H397" s="25"/>
      <c r="I397" s="25" t="s">
        <v>2129</v>
      </c>
      <c r="J397" s="25"/>
      <c r="K397" s="72" t="s">
        <v>2129</v>
      </c>
      <c r="L397" s="25"/>
      <c r="M397" s="25"/>
      <c r="N397" s="25"/>
      <c r="O397" s="25"/>
      <c r="P397" s="25"/>
      <c r="Q397" s="25"/>
      <c r="R397" s="25"/>
      <c r="S397" s="25"/>
      <c r="T397" s="353" t="b" cm="1">
        <f t="array" aca="1" ref="T397" ca="1">T396</f>
        <v>1</v>
      </c>
      <c r="U397" s="25"/>
      <c r="V397" s="25"/>
      <c r="W397" s="25"/>
      <c r="X397" s="1022"/>
      <c r="Z397" s="967"/>
      <c r="AB397" s="7" t="s">
        <v>1544</v>
      </c>
      <c r="AC397" s="127" t="s">
        <v>1477</v>
      </c>
      <c r="AD397" s="7" t="s">
        <v>828</v>
      </c>
      <c r="AE397" s="128"/>
      <c r="AF397" s="128"/>
      <c r="AG397" s="128"/>
      <c r="AH397" s="171">
        <f t="shared" si="103"/>
        <v>0</v>
      </c>
      <c r="AI397" s="128"/>
      <c r="AJ397" s="128"/>
      <c r="AK397" s="778"/>
      <c r="AL397" s="778"/>
      <c r="AM397" s="128"/>
      <c r="AN397" s="128"/>
      <c r="AO397" s="128"/>
      <c r="AP397" s="128"/>
      <c r="AQ397" s="128"/>
      <c r="AR397" s="128"/>
      <c r="AS397" s="128"/>
      <c r="AT397" s="128"/>
      <c r="AU397" s="778"/>
      <c r="AV397" s="778"/>
      <c r="AW397" s="128"/>
      <c r="AX397" s="128"/>
      <c r="AY397" s="128"/>
      <c r="AZ397" s="128"/>
      <c r="BA397" s="128"/>
      <c r="BB397" s="128"/>
      <c r="BC397" s="128"/>
      <c r="BD397" s="171">
        <f t="shared" si="105"/>
        <v>0</v>
      </c>
      <c r="BE397" s="171">
        <f t="shared" si="106"/>
        <v>0</v>
      </c>
      <c r="BF397" s="171">
        <f t="shared" si="107"/>
        <v>0</v>
      </c>
      <c r="BG397" s="171">
        <f t="shared" si="108"/>
        <v>0</v>
      </c>
      <c r="BH397" s="171">
        <f t="shared" si="109"/>
        <v>0</v>
      </c>
      <c r="BI397" s="171">
        <f t="shared" si="110"/>
        <v>0</v>
      </c>
      <c r="BJ397" s="171">
        <f t="shared" si="111"/>
        <v>0</v>
      </c>
      <c r="BK397" s="171">
        <f t="shared" si="112"/>
        <v>0</v>
      </c>
      <c r="BL397" s="171">
        <f t="shared" si="113"/>
        <v>0</v>
      </c>
      <c r="BM397" s="171">
        <f t="shared" si="114"/>
        <v>0</v>
      </c>
      <c r="BN397" s="196"/>
      <c r="BO397" s="196"/>
      <c r="BP397" s="196"/>
      <c r="BS397" s="696" t="s">
        <v>2130</v>
      </c>
    </row>
    <row r="398" spans="2:75" ht="14.25" customHeight="1" x14ac:dyDescent="0.15">
      <c r="C398" s="25"/>
      <c r="D398" s="25"/>
      <c r="E398" s="451">
        <v>15</v>
      </c>
      <c r="F398" s="3" t="str" cm="1">
        <f t="array" aca="1" ref="F398" ca="1">OFFSET(E398,-1,1)</f>
        <v>2</v>
      </c>
      <c r="G398" s="25" t="s">
        <v>1482</v>
      </c>
      <c r="H398" s="25"/>
      <c r="I398" s="25" t="s">
        <v>2131</v>
      </c>
      <c r="J398" s="25"/>
      <c r="K398" s="72" t="s">
        <v>2131</v>
      </c>
      <c r="L398" s="25"/>
      <c r="M398" s="25"/>
      <c r="N398" s="25"/>
      <c r="O398" s="25"/>
      <c r="P398" s="25"/>
      <c r="Q398" s="25"/>
      <c r="R398" s="25"/>
      <c r="S398" s="25"/>
      <c r="T398" s="353" t="b" cm="1">
        <f t="array" aca="1" ref="T398" ca="1">T397</f>
        <v>1</v>
      </c>
      <c r="U398" s="25"/>
      <c r="V398" s="25"/>
      <c r="W398" s="25"/>
      <c r="X398" s="1022"/>
      <c r="Z398" s="967"/>
      <c r="AB398" s="7" t="s">
        <v>1548</v>
      </c>
      <c r="AC398" s="127" t="s">
        <v>1482</v>
      </c>
      <c r="AD398" s="7" t="s">
        <v>828</v>
      </c>
      <c r="AE398" s="171">
        <f>SUM(AE399,AE400)</f>
        <v>0</v>
      </c>
      <c r="AF398" s="171">
        <f>SUM(AF399,AF400)</f>
        <v>0</v>
      </c>
      <c r="AG398" s="171">
        <f>SUM(AG399,AG400)</f>
        <v>0</v>
      </c>
      <c r="AH398" s="171">
        <f t="shared" si="103"/>
        <v>0</v>
      </c>
      <c r="AI398" s="171">
        <f t="shared" ref="AI398:BC398" si="117">SUM(AI399,AI400)</f>
        <v>0</v>
      </c>
      <c r="AJ398" s="171">
        <f t="shared" si="117"/>
        <v>0</v>
      </c>
      <c r="AK398" s="171">
        <f t="shared" si="117"/>
        <v>0</v>
      </c>
      <c r="AL398" s="171">
        <f t="shared" si="117"/>
        <v>0</v>
      </c>
      <c r="AM398" s="171">
        <f t="shared" si="117"/>
        <v>0</v>
      </c>
      <c r="AN398" s="171">
        <f t="shared" si="117"/>
        <v>0</v>
      </c>
      <c r="AO398" s="171">
        <f t="shared" si="117"/>
        <v>0</v>
      </c>
      <c r="AP398" s="171">
        <f t="shared" si="117"/>
        <v>0</v>
      </c>
      <c r="AQ398" s="171">
        <f t="shared" si="117"/>
        <v>0</v>
      </c>
      <c r="AR398" s="171">
        <f t="shared" si="117"/>
        <v>0</v>
      </c>
      <c r="AS398" s="171">
        <f t="shared" si="117"/>
        <v>0</v>
      </c>
      <c r="AT398" s="171">
        <f t="shared" si="117"/>
        <v>0</v>
      </c>
      <c r="AU398" s="171">
        <f t="shared" si="117"/>
        <v>0</v>
      </c>
      <c r="AV398" s="171">
        <f t="shared" si="117"/>
        <v>0</v>
      </c>
      <c r="AW398" s="171">
        <f t="shared" si="117"/>
        <v>0</v>
      </c>
      <c r="AX398" s="171">
        <f t="shared" si="117"/>
        <v>0</v>
      </c>
      <c r="AY398" s="171">
        <f t="shared" si="117"/>
        <v>0</v>
      </c>
      <c r="AZ398" s="171">
        <f t="shared" si="117"/>
        <v>0</v>
      </c>
      <c r="BA398" s="171">
        <f t="shared" si="117"/>
        <v>0</v>
      </c>
      <c r="BB398" s="171">
        <f t="shared" si="117"/>
        <v>0</v>
      </c>
      <c r="BC398" s="171">
        <f t="shared" si="117"/>
        <v>0</v>
      </c>
      <c r="BD398" s="171">
        <f t="shared" si="105"/>
        <v>0</v>
      </c>
      <c r="BE398" s="171">
        <f t="shared" si="106"/>
        <v>0</v>
      </c>
      <c r="BF398" s="171">
        <f t="shared" si="107"/>
        <v>0</v>
      </c>
      <c r="BG398" s="171">
        <f t="shared" si="108"/>
        <v>0</v>
      </c>
      <c r="BH398" s="171">
        <f t="shared" si="109"/>
        <v>0</v>
      </c>
      <c r="BI398" s="171">
        <f t="shared" si="110"/>
        <v>0</v>
      </c>
      <c r="BJ398" s="171">
        <f t="shared" si="111"/>
        <v>0</v>
      </c>
      <c r="BK398" s="171">
        <f t="shared" si="112"/>
        <v>0</v>
      </c>
      <c r="BL398" s="171">
        <f t="shared" si="113"/>
        <v>0</v>
      </c>
      <c r="BM398" s="171">
        <f t="shared" si="114"/>
        <v>0</v>
      </c>
      <c r="BN398" s="196"/>
      <c r="BO398" s="196"/>
      <c r="BP398" s="196"/>
      <c r="BS398" s="696" t="s">
        <v>2132</v>
      </c>
    </row>
    <row r="399" spans="2:75" ht="14.25" customHeight="1" x14ac:dyDescent="0.15">
      <c r="C399" s="25"/>
      <c r="D399" s="25"/>
      <c r="E399" s="451">
        <v>15</v>
      </c>
      <c r="F399" s="3" t="str" cm="1">
        <f t="array" aca="1" ref="F399" ca="1">OFFSET(E399,-1,1)</f>
        <v>2</v>
      </c>
      <c r="G399" s="25"/>
      <c r="H399" s="25"/>
      <c r="I399" s="25" t="s">
        <v>2133</v>
      </c>
      <c r="J399" s="25"/>
      <c r="K399" s="72" t="s">
        <v>2133</v>
      </c>
      <c r="L399" s="25"/>
      <c r="M399" s="25"/>
      <c r="N399" s="25"/>
      <c r="O399" s="25"/>
      <c r="P399" s="25"/>
      <c r="Q399" s="25"/>
      <c r="R399" s="25"/>
      <c r="S399" s="25"/>
      <c r="T399" s="353" t="b" cm="1">
        <f t="array" aca="1" ref="T399" ca="1">T398</f>
        <v>1</v>
      </c>
      <c r="U399" s="25"/>
      <c r="V399" s="25"/>
      <c r="W399" s="25"/>
      <c r="X399" s="1022"/>
      <c r="Z399" s="967"/>
      <c r="AB399" s="7" t="s">
        <v>2134</v>
      </c>
      <c r="AC399" s="134" t="s">
        <v>2135</v>
      </c>
      <c r="AD399" s="7" t="s">
        <v>828</v>
      </c>
      <c r="AE399" s="128"/>
      <c r="AF399" s="128"/>
      <c r="AG399" s="128"/>
      <c r="AH399" s="171">
        <f t="shared" si="103"/>
        <v>0</v>
      </c>
      <c r="AI399" s="128"/>
      <c r="AJ399" s="128"/>
      <c r="AK399" s="778"/>
      <c r="AL399" s="778"/>
      <c r="AM399" s="128"/>
      <c r="AN399" s="128"/>
      <c r="AO399" s="128"/>
      <c r="AP399" s="128"/>
      <c r="AQ399" s="128"/>
      <c r="AR399" s="128"/>
      <c r="AS399" s="128"/>
      <c r="AT399" s="128"/>
      <c r="AU399" s="778"/>
      <c r="AV399" s="778"/>
      <c r="AW399" s="128"/>
      <c r="AX399" s="128"/>
      <c r="AY399" s="128"/>
      <c r="AZ399" s="128"/>
      <c r="BA399" s="128"/>
      <c r="BB399" s="128"/>
      <c r="BC399" s="128"/>
      <c r="BD399" s="171">
        <f t="shared" si="105"/>
        <v>0</v>
      </c>
      <c r="BE399" s="171">
        <f t="shared" si="106"/>
        <v>0</v>
      </c>
      <c r="BF399" s="171">
        <f t="shared" si="107"/>
        <v>0</v>
      </c>
      <c r="BG399" s="171">
        <f t="shared" si="108"/>
        <v>0</v>
      </c>
      <c r="BH399" s="171">
        <f t="shared" si="109"/>
        <v>0</v>
      </c>
      <c r="BI399" s="171">
        <f t="shared" si="110"/>
        <v>0</v>
      </c>
      <c r="BJ399" s="171">
        <f t="shared" si="111"/>
        <v>0</v>
      </c>
      <c r="BK399" s="171">
        <f t="shared" si="112"/>
        <v>0</v>
      </c>
      <c r="BL399" s="171">
        <f t="shared" si="113"/>
        <v>0</v>
      </c>
      <c r="BM399" s="171">
        <f t="shared" si="114"/>
        <v>0</v>
      </c>
      <c r="BN399" s="196"/>
      <c r="BO399" s="196"/>
      <c r="BP399" s="196"/>
      <c r="BS399" s="696" t="s">
        <v>1268</v>
      </c>
    </row>
    <row r="400" spans="2:75" ht="14.25" customHeight="1" x14ac:dyDescent="0.15">
      <c r="C400" s="25"/>
      <c r="D400" s="25"/>
      <c r="E400" s="451">
        <v>15</v>
      </c>
      <c r="F400" s="3" t="str" cm="1">
        <f t="array" aca="1" ref="F400" ca="1">OFFSET(E400,-1,1)</f>
        <v>2</v>
      </c>
      <c r="G400" s="25"/>
      <c r="H400" s="25"/>
      <c r="I400" s="25" t="s">
        <v>2136</v>
      </c>
      <c r="J400" s="25"/>
      <c r="K400" s="72" t="s">
        <v>2136</v>
      </c>
      <c r="L400" s="25" t="s">
        <v>951</v>
      </c>
      <c r="M400" s="25"/>
      <c r="N400" s="25"/>
      <c r="O400" s="25"/>
      <c r="P400" s="25"/>
      <c r="Q400" s="25"/>
      <c r="R400" s="25"/>
      <c r="S400" s="25"/>
      <c r="T400" s="353" t="b" cm="1">
        <f t="array" aca="1" ref="T400" ca="1">T399</f>
        <v>1</v>
      </c>
      <c r="U400" s="25"/>
      <c r="V400" s="25"/>
      <c r="W400" s="25"/>
      <c r="X400" s="1022"/>
      <c r="Z400" s="967"/>
      <c r="AB400" s="7" t="s">
        <v>2137</v>
      </c>
      <c r="AC400" s="134" t="s">
        <v>2138</v>
      </c>
      <c r="AD400" s="7" t="s">
        <v>828</v>
      </c>
      <c r="AE400" s="128"/>
      <c r="AF400" s="128"/>
      <c r="AG400" s="128"/>
      <c r="AH400" s="171">
        <f t="shared" si="103"/>
        <v>0</v>
      </c>
      <c r="AI400" s="128"/>
      <c r="AJ400" s="128"/>
      <c r="AK400" s="778"/>
      <c r="AL400" s="778"/>
      <c r="AM400" s="128"/>
      <c r="AN400" s="128"/>
      <c r="AO400" s="128"/>
      <c r="AP400" s="128"/>
      <c r="AQ400" s="128"/>
      <c r="AR400" s="128"/>
      <c r="AS400" s="128"/>
      <c r="AT400" s="128"/>
      <c r="AU400" s="778"/>
      <c r="AV400" s="778"/>
      <c r="AW400" s="128"/>
      <c r="AX400" s="128"/>
      <c r="AY400" s="128"/>
      <c r="AZ400" s="128"/>
      <c r="BA400" s="128"/>
      <c r="BB400" s="128"/>
      <c r="BC400" s="128"/>
      <c r="BD400" s="171">
        <f t="shared" si="105"/>
        <v>0</v>
      </c>
      <c r="BE400" s="171">
        <f t="shared" si="106"/>
        <v>0</v>
      </c>
      <c r="BF400" s="171">
        <f t="shared" si="107"/>
        <v>0</v>
      </c>
      <c r="BG400" s="171">
        <f t="shared" si="108"/>
        <v>0</v>
      </c>
      <c r="BH400" s="171">
        <f t="shared" si="109"/>
        <v>0</v>
      </c>
      <c r="BI400" s="171">
        <f t="shared" si="110"/>
        <v>0</v>
      </c>
      <c r="BJ400" s="171">
        <f t="shared" si="111"/>
        <v>0</v>
      </c>
      <c r="BK400" s="171">
        <f t="shared" si="112"/>
        <v>0</v>
      </c>
      <c r="BL400" s="171">
        <f t="shared" si="113"/>
        <v>0</v>
      </c>
      <c r="BM400" s="171">
        <f t="shared" si="114"/>
        <v>0</v>
      </c>
      <c r="BN400" s="196"/>
      <c r="BO400" s="196"/>
      <c r="BP400" s="196"/>
      <c r="BS400" s="696" t="s">
        <v>2139</v>
      </c>
    </row>
    <row r="401" spans="1:75" ht="21.75" customHeight="1" x14ac:dyDescent="0.15">
      <c r="C401" s="25"/>
      <c r="D401" s="25"/>
      <c r="E401" s="451">
        <v>22.5</v>
      </c>
      <c r="F401" s="3" t="str" cm="1">
        <f t="array" aca="1" ref="F401" ca="1">OFFSET(E401,-1,1)</f>
        <v>2</v>
      </c>
      <c r="G401" s="25" t="s">
        <v>1487</v>
      </c>
      <c r="H401" s="25"/>
      <c r="I401" s="25" t="s">
        <v>2140</v>
      </c>
      <c r="J401" s="25"/>
      <c r="K401" s="72" t="s">
        <v>2140</v>
      </c>
      <c r="L401" s="25"/>
      <c r="M401" s="25"/>
      <c r="N401" s="25"/>
      <c r="O401" s="25"/>
      <c r="P401" s="25"/>
      <c r="Q401" s="25"/>
      <c r="R401" s="25"/>
      <c r="S401" s="25"/>
      <c r="T401" s="353" t="b" cm="1">
        <f t="array" aca="1" ref="T401" ca="1">T400</f>
        <v>1</v>
      </c>
      <c r="U401" s="25"/>
      <c r="V401" s="25"/>
      <c r="W401" s="25"/>
      <c r="X401" s="1022"/>
      <c r="Z401" s="967"/>
      <c r="AB401" s="7" t="s">
        <v>1551</v>
      </c>
      <c r="AC401" s="127" t="s">
        <v>2141</v>
      </c>
      <c r="AD401" s="7" t="s">
        <v>828</v>
      </c>
      <c r="AE401" s="128"/>
      <c r="AF401" s="128"/>
      <c r="AG401" s="128"/>
      <c r="AH401" s="171">
        <f t="shared" si="103"/>
        <v>0</v>
      </c>
      <c r="AI401" s="128"/>
      <c r="AJ401" s="128"/>
      <c r="AK401" s="778"/>
      <c r="AL401" s="778"/>
      <c r="AM401" s="128"/>
      <c r="AN401" s="128"/>
      <c r="AO401" s="128"/>
      <c r="AP401" s="128"/>
      <c r="AQ401" s="128"/>
      <c r="AR401" s="128"/>
      <c r="AS401" s="128"/>
      <c r="AT401" s="128"/>
      <c r="AU401" s="778"/>
      <c r="AV401" s="778"/>
      <c r="AW401" s="128"/>
      <c r="AX401" s="128"/>
      <c r="AY401" s="128"/>
      <c r="AZ401" s="128"/>
      <c r="BA401" s="128"/>
      <c r="BB401" s="128"/>
      <c r="BC401" s="128"/>
      <c r="BD401" s="171">
        <f t="shared" si="105"/>
        <v>0</v>
      </c>
      <c r="BE401" s="171">
        <f t="shared" si="106"/>
        <v>0</v>
      </c>
      <c r="BF401" s="171">
        <f t="shared" si="107"/>
        <v>0</v>
      </c>
      <c r="BG401" s="171">
        <f t="shared" si="108"/>
        <v>0</v>
      </c>
      <c r="BH401" s="171">
        <f t="shared" si="109"/>
        <v>0</v>
      </c>
      <c r="BI401" s="171">
        <f t="shared" si="110"/>
        <v>0</v>
      </c>
      <c r="BJ401" s="171">
        <f t="shared" si="111"/>
        <v>0</v>
      </c>
      <c r="BK401" s="171">
        <f t="shared" si="112"/>
        <v>0</v>
      </c>
      <c r="BL401" s="171">
        <f t="shared" si="113"/>
        <v>0</v>
      </c>
      <c r="BM401" s="171">
        <f t="shared" si="114"/>
        <v>0</v>
      </c>
      <c r="BN401" s="196"/>
      <c r="BO401" s="196"/>
      <c r="BP401" s="196"/>
      <c r="BS401" s="696" t="s">
        <v>2142</v>
      </c>
    </row>
    <row r="402" spans="1:75" s="870" customFormat="1" ht="264.75" customHeight="1" x14ac:dyDescent="0.15">
      <c r="A402" s="76"/>
      <c r="B402" s="332"/>
      <c r="C402" s="27"/>
      <c r="D402" s="27"/>
      <c r="E402" s="559">
        <v>21</v>
      </c>
      <c r="F402" s="3" t="str" cm="1">
        <f t="array" aca="1" ref="F402" ca="1">OFFSET(E402,-1,1)</f>
        <v>2</v>
      </c>
      <c r="G402" s="25" t="s">
        <v>2143</v>
      </c>
      <c r="H402" s="25"/>
      <c r="I402" s="25" t="s">
        <v>333</v>
      </c>
      <c r="J402" s="27"/>
      <c r="K402" s="72" t="s">
        <v>333</v>
      </c>
      <c r="L402" s="27" t="s">
        <v>1344</v>
      </c>
      <c r="M402" s="27"/>
      <c r="N402" s="27"/>
      <c r="O402" s="27"/>
      <c r="P402" s="27"/>
      <c r="Q402" s="27"/>
      <c r="R402" s="27"/>
      <c r="S402" s="27"/>
      <c r="T402" s="353" t="b" cm="1">
        <f t="array" aca="1" ref="T402" ca="1">T401</f>
        <v>1</v>
      </c>
      <c r="U402" s="27"/>
      <c r="V402" s="27"/>
      <c r="W402" s="27"/>
      <c r="X402" s="1022"/>
      <c r="Y402" s="76"/>
      <c r="Z402" s="967"/>
      <c r="AA402" s="76"/>
      <c r="AB402" s="124" t="s">
        <v>291</v>
      </c>
      <c r="AC402" s="125" t="s">
        <v>2144</v>
      </c>
      <c r="AD402" s="124" t="s">
        <v>828</v>
      </c>
      <c r="AE402" s="126">
        <f ca="1">SUMIFS(ЭЭ!AE$25:AE$116,ЭЭ!$F$25:$F$116,$F402,ЭЭ!$AC$25:$AC$116,"Всего по тарифу")</f>
        <v>857.82</v>
      </c>
      <c r="AF402" s="126">
        <f ca="1">SUMIFS(ЭЭ!AF$25:AF$116,ЭЭ!$F$25:$F$116,$F402,ЭЭ!$AC$25:$AC$116,"Всего по тарифу")</f>
        <v>6460.7177775607997</v>
      </c>
      <c r="AG402" s="126">
        <f ca="1">SUMIFS(ЭЭ!AG$25:AG$116,ЭЭ!$F$25:$F$116,$F402,ЭЭ!$AC$25:$AC$116,"Всего по тарифу")</f>
        <v>1058.945365602</v>
      </c>
      <c r="AH402" s="126">
        <f t="shared" ca="1" si="103"/>
        <v>-5401.7724119588001</v>
      </c>
      <c r="AI402" s="126">
        <f ca="1">SUMIFS(ЭЭ!AH$25:AH$116,ЭЭ!$F$25:$F$116,$F402,ЭЭ!$AC$25:$AC$116,"Всего по тарифу")</f>
        <v>988.65</v>
      </c>
      <c r="AJ402" s="126">
        <f ca="1">SUMIFS(ЭЭ!AI$25:AI$116,ЭЭ!$F$25:$F$116,$F402,ЭЭ!$AC$25:$AC$116,"Всего по тарифу")</f>
        <v>11464.921884666701</v>
      </c>
      <c r="AK402" s="126">
        <f ca="1">SUMIFS(ЭЭ!AJ$25:AJ$116,ЭЭ!$F$25:$F$116,$F402,ЭЭ!$AC$25:$AC$116,"Всего по тарифу")</f>
        <v>0</v>
      </c>
      <c r="AL402" s="126">
        <f ca="1">SUMIFS(ЭЭ!AK$25:AK$116,ЭЭ!$F$25:$F$116,$F402,ЭЭ!$AC$25:$AC$116,"Всего по тарифу")</f>
        <v>0</v>
      </c>
      <c r="AM402" s="126">
        <f ca="1">SUMIFS(ЭЭ!AL$25:AL$116,ЭЭ!$F$25:$F$116,$F402,ЭЭ!$AC$25:$AC$116,"Всего по тарифу")</f>
        <v>0</v>
      </c>
      <c r="AN402" s="126">
        <f ca="1">SUMIFS(ЭЭ!AM$25:AM$116,ЭЭ!$F$25:$F$116,$F402,ЭЭ!$AC$25:$AC$116,"Всего по тарифу")</f>
        <v>0</v>
      </c>
      <c r="AO402" s="126">
        <f ca="1">SUMIFS(ЭЭ!AN$25:AN$116,ЭЭ!$F$25:$F$116,$F402,ЭЭ!$AC$25:$AC$116,"Всего по тарифу")</f>
        <v>0</v>
      </c>
      <c r="AP402" s="126">
        <f ca="1">SUMIFS(ЭЭ!AO$25:AO$116,ЭЭ!$F$25:$F$116,$F402,ЭЭ!$AC$25:$AC$116,"Всего по тарифу")</f>
        <v>0</v>
      </c>
      <c r="AQ402" s="126">
        <f ca="1">SUMIFS(ЭЭ!AP$25:AP$116,ЭЭ!$F$25:$F$116,$F402,ЭЭ!$AC$25:$AC$116,"Всего по тарифу")</f>
        <v>0</v>
      </c>
      <c r="AR402" s="126">
        <f ca="1">SUMIFS(ЭЭ!AQ$25:AQ$116,ЭЭ!$F$25:$F$116,$F402,ЭЭ!$AC$25:$AC$116,"Всего по тарифу")</f>
        <v>0</v>
      </c>
      <c r="AS402" s="126">
        <f ca="1">SUMIFS(ЭЭ!AR$25:AR$116,ЭЭ!$F$25:$F$116,$F402,ЭЭ!$AC$25:$AC$116,"Всего по тарифу")</f>
        <v>0</v>
      </c>
      <c r="AT402" s="126">
        <f ca="1">SUMIFS(ЭЭ!AS$25:AS$116,ЭЭ!$F$25:$F$116,$F402,ЭЭ!$AC$25:$AC$116,"Всего по тарифу")</f>
        <v>1251.4621776563999</v>
      </c>
      <c r="AU402" s="126">
        <f ca="1">SUMIFS(ЭЭ!AT$25:AT$116,ЭЭ!$F$25:$F$116,$F402,ЭЭ!$AC$25:$AC$116,"Всего по тарифу")</f>
        <v>0</v>
      </c>
      <c r="AV402" s="126">
        <f ca="1">SUMIFS(ЭЭ!AU$25:AU$116,ЭЭ!$F$25:$F$116,$F402,ЭЭ!$AC$25:$AC$116,"Всего по тарифу")</f>
        <v>0</v>
      </c>
      <c r="AW402" s="126">
        <f ca="1">SUMIFS(ЭЭ!AV$25:AV$116,ЭЭ!$F$25:$F$116,$F402,ЭЭ!$AC$25:$AC$116,"Всего по тарифу")</f>
        <v>0</v>
      </c>
      <c r="AX402" s="126">
        <f ca="1">SUMIFS(ЭЭ!AW$25:AW$116,ЭЭ!$F$25:$F$116,$F402,ЭЭ!$AC$25:$AC$116,"Всего по тарифу")</f>
        <v>0</v>
      </c>
      <c r="AY402" s="126">
        <f ca="1">SUMIFS(ЭЭ!AX$25:AX$116,ЭЭ!$F$25:$F$116,$F402,ЭЭ!$AC$25:$AC$116,"Всего по тарифу")</f>
        <v>0</v>
      </c>
      <c r="AZ402" s="126">
        <f ca="1">SUMIFS(ЭЭ!AY$25:AY$116,ЭЭ!$F$25:$F$116,$F402,ЭЭ!$AC$25:$AC$116,"Всего по тарифу")</f>
        <v>0</v>
      </c>
      <c r="BA402" s="126">
        <f ca="1">SUMIFS(ЭЭ!AZ$25:AZ$116,ЭЭ!$F$25:$F$116,$F402,ЭЭ!$AC$25:$AC$116,"Всего по тарифу")</f>
        <v>0</v>
      </c>
      <c r="BB402" s="126">
        <f ca="1">SUMIFS(ЭЭ!BA$25:BA$116,ЭЭ!$F$25:$F$116,$F402,ЭЭ!$AC$25:$AC$116,"Всего по тарифу")</f>
        <v>0</v>
      </c>
      <c r="BC402" s="126">
        <f ca="1">SUMIFS(ЭЭ!BB$25:BB$116,ЭЭ!$F$25:$F$116,$F402,ЭЭ!$AC$25:$AC$116,"Всего по тарифу")</f>
        <v>0</v>
      </c>
      <c r="BD402" s="126">
        <f t="shared" ca="1" si="105"/>
        <v>26.582934067303899</v>
      </c>
      <c r="BE402" s="126">
        <f t="shared" ca="1" si="106"/>
        <v>-100</v>
      </c>
      <c r="BF402" s="126">
        <f t="shared" ca="1" si="107"/>
        <v>0</v>
      </c>
      <c r="BG402" s="126">
        <f t="shared" ca="1" si="108"/>
        <v>0</v>
      </c>
      <c r="BH402" s="126">
        <f t="shared" ca="1" si="109"/>
        <v>0</v>
      </c>
      <c r="BI402" s="126">
        <f t="shared" ca="1" si="110"/>
        <v>0</v>
      </c>
      <c r="BJ402" s="126">
        <f t="shared" ca="1" si="111"/>
        <v>0</v>
      </c>
      <c r="BK402" s="126">
        <f t="shared" ca="1" si="112"/>
        <v>0</v>
      </c>
      <c r="BL402" s="126">
        <f t="shared" ca="1" si="113"/>
        <v>0</v>
      </c>
      <c r="BM402" s="126">
        <f t="shared" ca="1" si="114"/>
        <v>0</v>
      </c>
      <c r="BN402" s="196" t="s">
        <v>2285</v>
      </c>
      <c r="BO402" s="601" t="s">
        <v>2252</v>
      </c>
      <c r="BP402" s="196" t="s">
        <v>2253</v>
      </c>
      <c r="BQ402" s="76"/>
      <c r="BR402" s="76"/>
      <c r="BS402" s="702" t="s">
        <v>1750</v>
      </c>
      <c r="BT402" s="702"/>
      <c r="BU402" s="702"/>
      <c r="BV402" s="511"/>
      <c r="BW402" s="511"/>
    </row>
    <row r="403" spans="1:75" s="870" customFormat="1" ht="212.25" customHeight="1" x14ac:dyDescent="0.15">
      <c r="A403" s="76"/>
      <c r="B403" s="76" t="b">
        <f>method_reg="Метод индексации"</f>
        <v>1</v>
      </c>
      <c r="C403" s="27"/>
      <c r="D403" s="27"/>
      <c r="E403" s="559">
        <v>22.5</v>
      </c>
      <c r="F403" s="3" t="str" cm="1">
        <f t="array" aca="1" ref="F403" ca="1">OFFSET(E403,-1,1)</f>
        <v>2</v>
      </c>
      <c r="G403" s="25" t="s">
        <v>1509</v>
      </c>
      <c r="H403" s="25"/>
      <c r="I403" s="25" t="s">
        <v>335</v>
      </c>
      <c r="J403" s="27"/>
      <c r="K403" s="72"/>
      <c r="L403" s="27" t="s">
        <v>334</v>
      </c>
      <c r="M403" s="27"/>
      <c r="N403" s="27"/>
      <c r="O403" s="27"/>
      <c r="P403" s="27"/>
      <c r="Q403" s="27"/>
      <c r="R403" s="27"/>
      <c r="S403" s="27"/>
      <c r="T403" s="353" t="b" cm="1">
        <f t="array" aca="1" ref="T403" ca="1">T402</f>
        <v>1</v>
      </c>
      <c r="U403" s="27"/>
      <c r="V403" s="27"/>
      <c r="W403" s="27"/>
      <c r="X403" s="1022"/>
      <c r="Y403" s="76"/>
      <c r="Z403" s="967"/>
      <c r="AA403" s="76"/>
      <c r="AB403" s="124" t="s">
        <v>454</v>
      </c>
      <c r="AC403" s="125" t="s">
        <v>2145</v>
      </c>
      <c r="AD403" s="124" t="s">
        <v>828</v>
      </c>
      <c r="AE403" s="126">
        <f ca="1">SUMIFS(Амортизация!AE$25:AE$223,Амортизация!$F$25:$F$223,$F403,Амортизация!$AC$25:$AC$223,"Сумма амортизационных отчислений")</f>
        <v>284.57311600000003</v>
      </c>
      <c r="AF403" s="126">
        <f ca="1">SUMIFS(Амортизация!AF$25:AF$223,Амортизация!$F$25:$F$223,$F403,Амортизация!$AC$25:$AC$223,"Сумма амортизационных отчислений")</f>
        <v>3196.6111077234</v>
      </c>
      <c r="AG403" s="126">
        <f ca="1">SUMIFS(Амортизация!AG$25:AG$223,Амортизация!$F$25:$F$223,$F403,Амортизация!$AC$25:$AC$223,"Сумма амортизационных отчислений")</f>
        <v>539.54257240000004</v>
      </c>
      <c r="AH403" s="126">
        <f t="shared" ca="1" si="103"/>
        <v>-2657.0685353233998</v>
      </c>
      <c r="AI403" s="126">
        <f ca="1">SUMIFS(Амортизация!AH$25:AH$223,Амортизация!$F$25:$F$223,$F403,Амортизация!$AC$25:$AC$223,"Сумма амортизационных отчислений")</f>
        <v>515.00771491149999</v>
      </c>
      <c r="AJ403" s="126">
        <f ca="1">SUMIFS(Амортизация!AI$25:AI$223,Амортизация!$F$25:$F$223,$F403,Амортизация!$AC$25:$AC$223,"Сумма амортизационных отчислений")</f>
        <v>5158.9897164878003</v>
      </c>
      <c r="AK403" s="126">
        <f ca="1">SUMIFS(Амортизация!AJ$25:AJ$223,Амортизация!$F$25:$F$223,$F403,Амортизация!$AC$25:$AC$223,"Сумма амортизационных отчислений")</f>
        <v>0</v>
      </c>
      <c r="AL403" s="126">
        <f ca="1">SUMIFS(Амортизация!AK$25:AK$223,Амортизация!$F$25:$F$223,$F403,Амортизация!$AC$25:$AC$223,"Сумма амортизационных отчислений")</f>
        <v>0</v>
      </c>
      <c r="AM403" s="126">
        <f ca="1">SUMIFS(Амортизация!AL$25:AL$223,Амортизация!$F$25:$F$223,$F403,Амортизация!$AC$25:$AC$223,"Сумма амортизационных отчислений")</f>
        <v>0</v>
      </c>
      <c r="AN403" s="126">
        <f ca="1">SUMIFS(Амортизация!AM$25:AM$223,Амортизация!$F$25:$F$223,$F403,Амортизация!$AC$25:$AC$223,"Сумма амортизационных отчислений")</f>
        <v>0</v>
      </c>
      <c r="AO403" s="126">
        <f ca="1">SUMIFS(Амортизация!AN$25:AN$223,Амортизация!$F$25:$F$223,$F403,Амортизация!$AC$25:$AC$223,"Сумма амортизационных отчислений")</f>
        <v>0</v>
      </c>
      <c r="AP403" s="126">
        <f ca="1">SUMIFS(Амортизация!AO$25:AO$223,Амортизация!$F$25:$F$223,$F403,Амортизация!$AC$25:$AC$223,"Сумма амортизационных отчислений")</f>
        <v>0</v>
      </c>
      <c r="AQ403" s="126">
        <f ca="1">SUMIFS(Амортизация!AP$25:AP$223,Амортизация!$F$25:$F$223,$F403,Амортизация!$AC$25:$AC$223,"Сумма амортизационных отчислений")</f>
        <v>0</v>
      </c>
      <c r="AR403" s="126">
        <f ca="1">SUMIFS(Амортизация!AQ$25:AQ$223,Амортизация!$F$25:$F$223,$F403,Амортизация!$AC$25:$AC$223,"Сумма амортизационных отчислений")</f>
        <v>0</v>
      </c>
      <c r="AS403" s="126">
        <f ca="1">SUMIFS(Амортизация!AR$25:AR$223,Амортизация!$F$25:$F$223,$F403,Амортизация!$AC$25:$AC$223,"Сумма амортизационных отчислений")</f>
        <v>0</v>
      </c>
      <c r="AT403" s="126">
        <f ca="1">SUMIFS(Амортизация!AS$25:AS$223,Амортизация!$F$25:$F$223,$F403,Амортизация!$AC$25:$AC$223,"Сумма амортизационных отчислений")</f>
        <v>531.41589390000001</v>
      </c>
      <c r="AU403" s="126">
        <f ca="1">SUMIFS(Амортизация!AT$25:AT$223,Амортизация!$F$25:$F$223,$F403,Амортизация!$AC$25:$AC$223,"Сумма амортизационных отчислений")</f>
        <v>0</v>
      </c>
      <c r="AV403" s="126">
        <f ca="1">SUMIFS(Амортизация!AU$25:AU$223,Амортизация!$F$25:$F$223,$F403,Амортизация!$AC$25:$AC$223,"Сумма амортизационных отчислений")</f>
        <v>0</v>
      </c>
      <c r="AW403" s="126">
        <f ca="1">SUMIFS(Амортизация!AV$25:AV$223,Амортизация!$F$25:$F$223,$F403,Амортизация!$AC$25:$AC$223,"Сумма амортизационных отчислений")</f>
        <v>0</v>
      </c>
      <c r="AX403" s="126">
        <f ca="1">SUMIFS(Амортизация!AW$25:AW$223,Амортизация!$F$25:$F$223,$F403,Амортизация!$AC$25:$AC$223,"Сумма амортизационных отчислений")</f>
        <v>0</v>
      </c>
      <c r="AY403" s="126">
        <f ca="1">SUMIFS(Амортизация!AX$25:AX$223,Амортизация!$F$25:$F$223,$F403,Амортизация!$AC$25:$AC$223,"Сумма амортизационных отчислений")</f>
        <v>0</v>
      </c>
      <c r="AZ403" s="126">
        <f ca="1">SUMIFS(Амортизация!AY$25:AY$223,Амортизация!$F$25:$F$223,$F403,Амортизация!$AC$25:$AC$223,"Сумма амортизационных отчислений")</f>
        <v>0</v>
      </c>
      <c r="BA403" s="126">
        <f ca="1">SUMIFS(Амортизация!AZ$25:AZ$223,Амортизация!$F$25:$F$223,$F403,Амортизация!$AC$25:$AC$223,"Сумма амортизационных отчислений")</f>
        <v>0</v>
      </c>
      <c r="BB403" s="126">
        <f ca="1">SUMIFS(Амортизация!BA$25:BA$223,Амортизация!$F$25:$F$223,$F403,Амортизация!$AC$25:$AC$223,"Сумма амортизационных отчислений")</f>
        <v>0</v>
      </c>
      <c r="BC403" s="126">
        <f ca="1">SUMIFS(Амортизация!BB$25:BB$223,Амортизация!$F$25:$F$223,$F403,Амортизация!$AC$25:$AC$223,"Сумма амортизационных отчислений")</f>
        <v>0</v>
      </c>
      <c r="BD403" s="126">
        <f t="shared" ca="1" si="105"/>
        <v>3.1860064448393053</v>
      </c>
      <c r="BE403" s="126">
        <f t="shared" ca="1" si="106"/>
        <v>-100</v>
      </c>
      <c r="BF403" s="126">
        <f t="shared" ca="1" si="107"/>
        <v>0</v>
      </c>
      <c r="BG403" s="126">
        <f t="shared" ca="1" si="108"/>
        <v>0</v>
      </c>
      <c r="BH403" s="126">
        <f t="shared" ca="1" si="109"/>
        <v>0</v>
      </c>
      <c r="BI403" s="126">
        <f t="shared" ca="1" si="110"/>
        <v>0</v>
      </c>
      <c r="BJ403" s="126">
        <f t="shared" ca="1" si="111"/>
        <v>0</v>
      </c>
      <c r="BK403" s="126">
        <f t="shared" ca="1" si="112"/>
        <v>0</v>
      </c>
      <c r="BL403" s="126">
        <f t="shared" ca="1" si="113"/>
        <v>0</v>
      </c>
      <c r="BM403" s="126">
        <f t="shared" ca="1" si="114"/>
        <v>0</v>
      </c>
      <c r="BN403" s="196" t="s">
        <v>2286</v>
      </c>
      <c r="BO403" s="601" t="s">
        <v>2255</v>
      </c>
      <c r="BP403" s="196" t="s">
        <v>2256</v>
      </c>
      <c r="BQ403" s="76"/>
      <c r="BR403" s="76"/>
      <c r="BS403" s="702" t="s">
        <v>1247</v>
      </c>
      <c r="BT403" s="702"/>
      <c r="BU403" s="702"/>
      <c r="BV403" s="511"/>
      <c r="BW403" s="511"/>
    </row>
    <row r="404" spans="1:75" ht="14.25" customHeight="1" x14ac:dyDescent="0.15">
      <c r="B404" s="329" t="b" cm="1">
        <f t="array" ref="B404">B403</f>
        <v>1</v>
      </c>
      <c r="C404" s="25"/>
      <c r="D404" s="25"/>
      <c r="E404" s="451">
        <v>15</v>
      </c>
      <c r="F404" s="3" t="str" cm="1">
        <f t="array" aca="1" ref="F404" ca="1">OFFSET(E404,-1,1)</f>
        <v>2</v>
      </c>
      <c r="G404" s="25"/>
      <c r="H404" s="25"/>
      <c r="I404" s="25" t="s">
        <v>560</v>
      </c>
      <c r="J404" s="25"/>
      <c r="L404" s="25" t="s">
        <v>574</v>
      </c>
      <c r="M404" s="25"/>
      <c r="N404" s="25"/>
      <c r="O404" s="25"/>
      <c r="P404" s="25"/>
      <c r="Q404" s="25"/>
      <c r="R404" s="25"/>
      <c r="S404" s="25"/>
      <c r="T404" s="353" t="b" cm="1">
        <f t="array" aca="1" ref="T404" ca="1">T403</f>
        <v>1</v>
      </c>
      <c r="U404" s="25"/>
      <c r="V404" s="25"/>
      <c r="W404" s="25"/>
      <c r="X404" s="1022"/>
      <c r="Z404" s="967"/>
      <c r="AB404" s="7" t="s">
        <v>697</v>
      </c>
      <c r="AC404" s="127" t="s">
        <v>1843</v>
      </c>
      <c r="AD404" s="7" t="s">
        <v>828</v>
      </c>
      <c r="AE404" s="128">
        <f ca="1">SUMIFS('ИП + источники'!AF$27:AF$145,'ИП + источники'!$F$27:$F$145,$F404,'ИП + источники'!$AC$27:$AC$145,"Амортизационные отчисления")+SUMIFS('ИП + источники'!AF$27:AF$145,'ИП + источники'!$F$27:$F$145,$F404,'ИП + источники'!$AC$27:$AC$145,"погашение займов и кредитов из амортизации")</f>
        <v>0</v>
      </c>
      <c r="AF404" s="128">
        <f ca="1">SUMIFS('ИП + источники'!AG$27:AG$145,'ИП + источники'!$F$27:$F$145,$F404,'ИП + источники'!$AC$27:$AC$145,"Амортизационные отчисления")+SUMIFS('ИП + источники'!AG$27:AG$145,'ИП + источники'!$F$27:$F$145,$F404,'ИП + источники'!$AC$27:$AC$145,"погашение займов и кредитов из амортизации")</f>
        <v>0</v>
      </c>
      <c r="AG404" s="128">
        <f ca="1">SUMIFS('ИП + источники'!AH$27:AH$145,'ИП + источники'!$F$27:$F$145,$F404,'ИП + источники'!$AC$27:$AC$145,"Амортизационные отчисления")+SUMIFS('ИП + источники'!AH$27:AH$145,'ИП + источники'!$F$27:$F$145,$F404,'ИП + источники'!$AC$27:$AC$145,"погашение займов и кредитов из амортизации")</f>
        <v>0</v>
      </c>
      <c r="AH404" s="171">
        <f t="shared" ca="1" si="103"/>
        <v>0</v>
      </c>
      <c r="AI404" s="128">
        <f ca="1">SUMIFS('ИП + источники'!AJ$27:AJ$145,'ИП + источники'!$F$27:$F$145,$F404,'ИП + источники'!$AC$27:$AC$145,"Амортизационные отчисления")+SUMIFS('ИП + источники'!AJ$27:AJ$145,'ИП + источники'!$F$27:$F$145,$F404,'ИП + источники'!$AC$27:$AC$145,"погашение займов и кредитов из амортизации")</f>
        <v>0</v>
      </c>
      <c r="AJ404" s="128">
        <f ca="1">SUMIFS('ИП + источники'!AK$27:AK$145,'ИП + источники'!$F$27:$F$145,$F404,'ИП + источники'!$AC$27:$AC$145,"Амортизационные отчисления")+SUMIFS('ИП + источники'!AK$27:AK$145,'ИП + источники'!$F$27:$F$145,$F404,'ИП + источники'!$AC$27:$AC$145,"погашение займов и кредитов из амортизации")</f>
        <v>0</v>
      </c>
      <c r="AK404" s="778">
        <f ca="1">SUMIFS('ИП + источники'!AL$27:AL$145,'ИП + источники'!$F$27:$F$145,$F404,'ИП + источники'!$AC$27:$AC$145,"Амортизационные отчисления")+SUMIFS('ИП + источники'!AL$27:AL$145,'ИП + источники'!$F$27:$F$145,$F404,'ИП + источники'!$AC$27:$AC$145,"погашение займов и кредитов из амортизации")</f>
        <v>0</v>
      </c>
      <c r="AL404" s="778">
        <f ca="1">SUMIFS('ИП + источники'!AM$27:AM$145,'ИП + источники'!$F$27:$F$145,$F404,'ИП + источники'!$AC$27:$AC$145,"Амортизационные отчисления")+SUMIFS('ИП + источники'!AM$27:AM$145,'ИП + источники'!$F$27:$F$145,$F404,'ИП + источники'!$AC$27:$AC$145,"погашение займов и кредитов из амортизации")</f>
        <v>0</v>
      </c>
      <c r="AM404" s="128">
        <f ca="1">SUMIFS('ИП + источники'!AN$27:AN$145,'ИП + источники'!$F$27:$F$145,$F404,'ИП + источники'!$AC$27:$AC$145,"Амортизационные отчисления")+SUMIFS('ИП + источники'!AN$27:AN$145,'ИП + источники'!$F$27:$F$145,$F404,'ИП + источники'!$AC$27:$AC$145,"погашение займов и кредитов из амортизации")</f>
        <v>0</v>
      </c>
      <c r="AN404" s="128">
        <f ca="1">SUMIFS('ИП + источники'!AO$27:AO$145,'ИП + источники'!$F$27:$F$145,$F404,'ИП + источники'!$AC$27:$AC$145,"Амортизационные отчисления")+SUMIFS('ИП + источники'!AO$27:AO$145,'ИП + источники'!$F$27:$F$145,$F404,'ИП + источники'!$AC$27:$AC$145,"погашение займов и кредитов из амортизации")</f>
        <v>0</v>
      </c>
      <c r="AO404" s="128">
        <f ca="1">SUMIFS('ИП + источники'!AP$27:AP$145,'ИП + источники'!$F$27:$F$145,$F404,'ИП + источники'!$AC$27:$AC$145,"Амортизационные отчисления")+SUMIFS('ИП + источники'!AP$27:AP$145,'ИП + источники'!$F$27:$F$145,$F404,'ИП + источники'!$AC$27:$AC$145,"погашение займов и кредитов из амортизации")</f>
        <v>0</v>
      </c>
      <c r="AP404" s="128">
        <f ca="1">SUMIFS('ИП + источники'!AQ$27:AQ$145,'ИП + источники'!$F$27:$F$145,$F404,'ИП + источники'!$AC$27:$AC$145,"Амортизационные отчисления")+SUMIFS('ИП + источники'!AQ$27:AQ$145,'ИП + источники'!$F$27:$F$145,$F404,'ИП + источники'!$AC$27:$AC$145,"погашение займов и кредитов из амортизации")</f>
        <v>0</v>
      </c>
      <c r="AQ404" s="128">
        <f ca="1">SUMIFS('ИП + источники'!AR$27:AR$145,'ИП + источники'!$F$27:$F$145,$F404,'ИП + источники'!$AC$27:$AC$145,"Амортизационные отчисления")+SUMIFS('ИП + источники'!AR$27:AR$145,'ИП + источники'!$F$27:$F$145,$F404,'ИП + источники'!$AC$27:$AC$145,"погашение займов и кредитов из амортизации")</f>
        <v>0</v>
      </c>
      <c r="AR404" s="128">
        <f ca="1">SUMIFS('ИП + источники'!AS$27:AS$145,'ИП + источники'!$F$27:$F$145,$F404,'ИП + источники'!$AC$27:$AC$145,"Амортизационные отчисления")+SUMIFS('ИП + источники'!AS$27:AS$145,'ИП + источники'!$F$27:$F$145,$F404,'ИП + источники'!$AC$27:$AC$145,"погашение займов и кредитов из амортизации")</f>
        <v>0</v>
      </c>
      <c r="AS404" s="128">
        <f ca="1">SUMIFS('ИП + источники'!AT$27:AT$145,'ИП + источники'!$F$27:$F$145,$F404,'ИП + источники'!$AC$27:$AC$145,"Амортизационные отчисления")+SUMIFS('ИП + источники'!AT$27:AT$145,'ИП + источники'!$F$27:$F$145,$F404,'ИП + источники'!$AC$27:$AC$145,"погашение займов и кредитов из амортизации")</f>
        <v>0</v>
      </c>
      <c r="AT404" s="128">
        <f ca="1">SUMIFS('ИП + источники'!AU$27:AU$145,'ИП + источники'!$F$27:$F$145,$F404,'ИП + источники'!$AC$27:$AC$145,"Амортизационные отчисления")+SUMIFS('ИП + источники'!AU$27:AU$145,'ИП + источники'!$F$27:$F$145,$F404,'ИП + источники'!$AC$27:$AC$145,"погашение займов и кредитов из амортизации")</f>
        <v>0</v>
      </c>
      <c r="AU404" s="778">
        <f ca="1">SUMIFS('ИП + источники'!AV$27:AV$145,'ИП + источники'!$F$27:$F$145,$F404,'ИП + источники'!$AC$27:$AC$145,"Амортизационные отчисления")+SUMIFS('ИП + источники'!AV$27:AV$145,'ИП + источники'!$F$27:$F$145,$F404,'ИП + источники'!$AC$27:$AC$145,"погашение займов и кредитов из амортизации")</f>
        <v>0</v>
      </c>
      <c r="AV404" s="778">
        <f ca="1">SUMIFS('ИП + источники'!AW$27:AW$145,'ИП + источники'!$F$27:$F$145,$F404,'ИП + источники'!$AC$27:$AC$145,"Амортизационные отчисления")+SUMIFS('ИП + источники'!AW$27:AW$145,'ИП + источники'!$F$27:$F$145,$F404,'ИП + источники'!$AC$27:$AC$145,"погашение займов и кредитов из амортизации")</f>
        <v>0</v>
      </c>
      <c r="AW404" s="128">
        <f ca="1">SUMIFS('ИП + источники'!AX$27:AX$145,'ИП + источники'!$F$27:$F$145,$F404,'ИП + источники'!$AC$27:$AC$145,"Амортизационные отчисления")+SUMIFS('ИП + источники'!AX$27:AX$145,'ИП + источники'!$F$27:$F$145,$F404,'ИП + источники'!$AC$27:$AC$145,"погашение займов и кредитов из амортизации")</f>
        <v>0</v>
      </c>
      <c r="AX404" s="128">
        <f ca="1">SUMIFS('ИП + источники'!AY$27:AY$145,'ИП + источники'!$F$27:$F$145,$F404,'ИП + источники'!$AC$27:$AC$145,"Амортизационные отчисления")+SUMIFS('ИП + источники'!AY$27:AY$145,'ИП + источники'!$F$27:$F$145,$F404,'ИП + источники'!$AC$27:$AC$145,"погашение займов и кредитов из амортизации")</f>
        <v>0</v>
      </c>
      <c r="AY404" s="128">
        <f ca="1">SUMIFS('ИП + источники'!AZ$27:AZ$145,'ИП + источники'!$F$27:$F$145,$F404,'ИП + источники'!$AC$27:$AC$145,"Амортизационные отчисления")+SUMIFS('ИП + источники'!AZ$27:AZ$145,'ИП + источники'!$F$27:$F$145,$F404,'ИП + источники'!$AC$27:$AC$145,"погашение займов и кредитов из амортизации")</f>
        <v>0</v>
      </c>
      <c r="AZ404" s="128">
        <f ca="1">SUMIFS('ИП + источники'!BA$27:BA$145,'ИП + источники'!$F$27:$F$145,$F404,'ИП + источники'!$AC$27:$AC$145,"Амортизационные отчисления")+SUMIFS('ИП + источники'!BA$27:BA$145,'ИП + источники'!$F$27:$F$145,$F404,'ИП + источники'!$AC$27:$AC$145,"погашение займов и кредитов из амортизации")</f>
        <v>0</v>
      </c>
      <c r="BA404" s="128">
        <f ca="1">SUMIFS('ИП + источники'!BB$27:BB$145,'ИП + источники'!$F$27:$F$145,$F404,'ИП + источники'!$AC$27:$AC$145,"Амортизационные отчисления")+SUMIFS('ИП + источники'!BB$27:BB$145,'ИП + источники'!$F$27:$F$145,$F404,'ИП + источники'!$AC$27:$AC$145,"погашение займов и кредитов из амортизации")</f>
        <v>0</v>
      </c>
      <c r="BB404" s="128">
        <f ca="1">SUMIFS('ИП + источники'!BC$27:BC$145,'ИП + источники'!$F$27:$F$145,$F404,'ИП + источники'!$AC$27:$AC$145,"Амортизационные отчисления")+SUMIFS('ИП + источники'!BC$27:BC$145,'ИП + источники'!$F$27:$F$145,$F404,'ИП + источники'!$AC$27:$AC$145,"погашение займов и кредитов из амортизации")</f>
        <v>0</v>
      </c>
      <c r="BC404" s="128">
        <f ca="1">SUMIFS('ИП + источники'!BD$27:BD$145,'ИП + источники'!$F$27:$F$145,$F404,'ИП + источники'!$AC$27:$AC$145,"Амортизационные отчисления")+SUMIFS('ИП + источники'!BD$27:BD$145,'ИП + источники'!$F$27:$F$145,$F404,'ИП + источники'!$AC$27:$AC$145,"погашение займов и кредитов из амортизации")</f>
        <v>0</v>
      </c>
      <c r="BD404" s="171">
        <f t="shared" ca="1" si="105"/>
        <v>0</v>
      </c>
      <c r="BE404" s="171">
        <f t="shared" ca="1" si="106"/>
        <v>0</v>
      </c>
      <c r="BF404" s="171">
        <f t="shared" ca="1" si="107"/>
        <v>0</v>
      </c>
      <c r="BG404" s="171">
        <f t="shared" ca="1" si="108"/>
        <v>0</v>
      </c>
      <c r="BH404" s="171">
        <f t="shared" ca="1" si="109"/>
        <v>0</v>
      </c>
      <c r="BI404" s="171">
        <f t="shared" ca="1" si="110"/>
        <v>0</v>
      </c>
      <c r="BJ404" s="171">
        <f t="shared" ca="1" si="111"/>
        <v>0</v>
      </c>
      <c r="BK404" s="171">
        <f t="shared" ca="1" si="112"/>
        <v>0</v>
      </c>
      <c r="BL404" s="171">
        <f t="shared" ca="1" si="113"/>
        <v>0</v>
      </c>
      <c r="BM404" s="171">
        <f t="shared" ca="1" si="114"/>
        <v>0</v>
      </c>
      <c r="BN404" s="196"/>
      <c r="BO404" s="196"/>
      <c r="BP404" s="196"/>
      <c r="BS404" s="696" t="s">
        <v>1844</v>
      </c>
    </row>
    <row r="405" spans="1:75" s="870" customFormat="1" ht="33.75" customHeight="1" x14ac:dyDescent="0.25">
      <c r="A405" s="76"/>
      <c r="B405" s="329" t="b" cm="1">
        <f t="array" ref="B405">B404</f>
        <v>1</v>
      </c>
      <c r="C405" s="27"/>
      <c r="D405" s="27"/>
      <c r="E405" s="559">
        <v>21</v>
      </c>
      <c r="F405" s="3" t="str" cm="1">
        <f t="array" aca="1" ref="F405" ca="1">OFFSET(E405,-1,1)</f>
        <v>2</v>
      </c>
      <c r="G405" s="25" t="s">
        <v>1513</v>
      </c>
      <c r="H405" s="25"/>
      <c r="I405" s="25" t="s">
        <v>334</v>
      </c>
      <c r="J405" s="27"/>
      <c r="K405" s="72"/>
      <c r="L405" s="27" t="s">
        <v>586</v>
      </c>
      <c r="M405" s="27"/>
      <c r="N405" s="27"/>
      <c r="O405" s="27"/>
      <c r="P405" s="27"/>
      <c r="Q405" s="27"/>
      <c r="R405" s="27"/>
      <c r="S405" s="27"/>
      <c r="T405" s="353" t="b" cm="1">
        <f t="array" aca="1" ref="T405" ca="1">T404</f>
        <v>1</v>
      </c>
      <c r="U405" s="27"/>
      <c r="V405" s="27"/>
      <c r="W405" s="27"/>
      <c r="X405" s="1022"/>
      <c r="Y405" s="76"/>
      <c r="Z405" s="967"/>
      <c r="AA405" s="76"/>
      <c r="AB405" s="124" t="s">
        <v>460</v>
      </c>
      <c r="AC405" s="125" t="s">
        <v>1513</v>
      </c>
      <c r="AD405" s="147" t="s">
        <v>828</v>
      </c>
      <c r="AE405" s="126">
        <f ca="1">AE406+AE407+AE408+AE409</f>
        <v>0</v>
      </c>
      <c r="AF405" s="126">
        <f ca="1">AF406+AF407+AF408+AF409</f>
        <v>0</v>
      </c>
      <c r="AG405" s="126">
        <f ca="1">AG406+AG407+AG408+AG409</f>
        <v>0</v>
      </c>
      <c r="AH405" s="126">
        <f t="shared" ca="1" si="103"/>
        <v>0</v>
      </c>
      <c r="AI405" s="126">
        <f t="shared" ref="AI405:BC405" ca="1" si="118">AI406+AI407+AI408+AI409</f>
        <v>0</v>
      </c>
      <c r="AJ405" s="126">
        <f t="shared" ca="1" si="118"/>
        <v>0</v>
      </c>
      <c r="AK405" s="126">
        <f t="shared" ca="1" si="118"/>
        <v>0</v>
      </c>
      <c r="AL405" s="126">
        <f t="shared" ca="1" si="118"/>
        <v>0</v>
      </c>
      <c r="AM405" s="126">
        <f t="shared" ca="1" si="118"/>
        <v>0</v>
      </c>
      <c r="AN405" s="126">
        <f t="shared" ca="1" si="118"/>
        <v>0</v>
      </c>
      <c r="AO405" s="126">
        <f t="shared" ca="1" si="118"/>
        <v>0</v>
      </c>
      <c r="AP405" s="126">
        <f t="shared" ca="1" si="118"/>
        <v>0</v>
      </c>
      <c r="AQ405" s="126">
        <f t="shared" ca="1" si="118"/>
        <v>0</v>
      </c>
      <c r="AR405" s="126">
        <f t="shared" ca="1" si="118"/>
        <v>0</v>
      </c>
      <c r="AS405" s="126">
        <f t="shared" ca="1" si="118"/>
        <v>0</v>
      </c>
      <c r="AT405" s="126">
        <f t="shared" ca="1" si="118"/>
        <v>0</v>
      </c>
      <c r="AU405" s="126">
        <f t="shared" ca="1" si="118"/>
        <v>0</v>
      </c>
      <c r="AV405" s="126">
        <f t="shared" ca="1" si="118"/>
        <v>0</v>
      </c>
      <c r="AW405" s="126">
        <f t="shared" ca="1" si="118"/>
        <v>0</v>
      </c>
      <c r="AX405" s="126">
        <f t="shared" ca="1" si="118"/>
        <v>0</v>
      </c>
      <c r="AY405" s="126">
        <f t="shared" ca="1" si="118"/>
        <v>0</v>
      </c>
      <c r="AZ405" s="126">
        <f t="shared" ca="1" si="118"/>
        <v>0</v>
      </c>
      <c r="BA405" s="126">
        <f t="shared" ca="1" si="118"/>
        <v>0</v>
      </c>
      <c r="BB405" s="126">
        <f t="shared" ca="1" si="118"/>
        <v>0</v>
      </c>
      <c r="BC405" s="126">
        <f t="shared" ca="1" si="118"/>
        <v>0</v>
      </c>
      <c r="BD405" s="126">
        <f t="shared" ca="1" si="105"/>
        <v>0</v>
      </c>
      <c r="BE405" s="126">
        <f t="shared" ca="1" si="106"/>
        <v>0</v>
      </c>
      <c r="BF405" s="126">
        <f t="shared" ca="1" si="107"/>
        <v>0</v>
      </c>
      <c r="BG405" s="126">
        <f t="shared" ca="1" si="108"/>
        <v>0</v>
      </c>
      <c r="BH405" s="126">
        <f t="shared" ca="1" si="109"/>
        <v>0</v>
      </c>
      <c r="BI405" s="126">
        <f t="shared" ca="1" si="110"/>
        <v>0</v>
      </c>
      <c r="BJ405" s="126">
        <f t="shared" ca="1" si="111"/>
        <v>0</v>
      </c>
      <c r="BK405" s="126">
        <f t="shared" ca="1" si="112"/>
        <v>0</v>
      </c>
      <c r="BL405" s="126">
        <f t="shared" ca="1" si="113"/>
        <v>0</v>
      </c>
      <c r="BM405" s="126">
        <f t="shared" ca="1" si="114"/>
        <v>0</v>
      </c>
      <c r="BN405" s="196"/>
      <c r="BO405" s="196" t="s">
        <v>2257</v>
      </c>
      <c r="BP405" s="196"/>
      <c r="BQ405" s="76"/>
      <c r="BR405" s="76"/>
      <c r="BS405" s="695" t="s">
        <v>1517</v>
      </c>
      <c r="BT405" s="702"/>
      <c r="BU405" s="702"/>
      <c r="BV405" s="511"/>
      <c r="BW405" s="511"/>
    </row>
    <row r="406" spans="1:75" ht="14.25" customHeight="1" x14ac:dyDescent="0.15">
      <c r="B406" s="329" t="b" cm="1">
        <f t="array" ref="B406">B405</f>
        <v>1</v>
      </c>
      <c r="C406" s="25"/>
      <c r="D406" s="25"/>
      <c r="E406" s="451">
        <v>15</v>
      </c>
      <c r="F406" s="3" t="str" cm="1">
        <f t="array" aca="1" ref="F406" ca="1">OFFSET(E406,-1,1)</f>
        <v>2</v>
      </c>
      <c r="G406" s="25"/>
      <c r="H406" s="25"/>
      <c r="I406" s="25" t="s">
        <v>574</v>
      </c>
      <c r="J406" s="25"/>
      <c r="L406" s="25"/>
      <c r="M406" s="25"/>
      <c r="N406" s="25"/>
      <c r="O406" s="25"/>
      <c r="P406" s="25"/>
      <c r="Q406" s="25"/>
      <c r="R406" s="25"/>
      <c r="S406" s="25"/>
      <c r="T406" s="353" t="b" cm="1">
        <f t="array" aca="1" ref="T406" ca="1">T405</f>
        <v>1</v>
      </c>
      <c r="U406" s="25"/>
      <c r="V406" s="25"/>
      <c r="W406" s="25"/>
      <c r="X406" s="1022"/>
      <c r="Z406" s="967"/>
      <c r="AB406" s="7" t="s">
        <v>704</v>
      </c>
      <c r="AC406" s="127" t="s">
        <v>2146</v>
      </c>
      <c r="AD406" s="7" t="s">
        <v>828</v>
      </c>
      <c r="AE406" s="128">
        <f ca="1">SUMIFS('ИП + источники'!AF$27:AF$145,'ИП + источники'!$F$27:$F$145,$F406,'ИП + источники'!$AC$27:$AC$145,"погашение займов и кредитов из нормативной прибыли")</f>
        <v>0</v>
      </c>
      <c r="AF406" s="128">
        <f ca="1">SUMIFS('ИП + источники'!AG$27:AG$145,'ИП + источники'!$F$27:$F$145,$F406,'ИП + источники'!$AC$27:$AC$145,"погашение займов и кредитов из нормативной прибыли")</f>
        <v>0</v>
      </c>
      <c r="AG406" s="128">
        <f ca="1">SUMIFS('ИП + источники'!AH$27:AH$145,'ИП + источники'!$F$27:$F$145,$F406,'ИП + источники'!$AC$27:$AC$145,"погашение займов и кредитов из нормативной прибыли")</f>
        <v>0</v>
      </c>
      <c r="AH406" s="171">
        <f t="shared" ca="1" si="103"/>
        <v>0</v>
      </c>
      <c r="AI406" s="128">
        <f ca="1">SUMIFS('ИП + источники'!AJ$27:AJ$145,'ИП + источники'!$F$27:$F$145,$F406,'ИП + источники'!$AC$27:$AC$145,"погашение займов и кредитов из нормативной прибыли")</f>
        <v>0</v>
      </c>
      <c r="AJ406" s="128">
        <f ca="1">SUMIFS('ИП + источники'!AK$27:AK$145,'ИП + источники'!$F$27:$F$145,$F406,'ИП + источники'!$AC$27:$AC$145,"погашение займов и кредитов из нормативной прибыли")</f>
        <v>0</v>
      </c>
      <c r="AK406" s="778">
        <f ca="1">SUMIFS('ИП + источники'!AL$27:AL$145,'ИП + источники'!$F$27:$F$145,$F406,'ИП + источники'!$AC$27:$AC$145,"погашение займов и кредитов из нормативной прибыли")</f>
        <v>0</v>
      </c>
      <c r="AL406" s="778">
        <f ca="1">SUMIFS('ИП + источники'!AM$27:AM$145,'ИП + источники'!$F$27:$F$145,$F406,'ИП + источники'!$AC$27:$AC$145,"погашение займов и кредитов из нормативной прибыли")</f>
        <v>0</v>
      </c>
      <c r="AM406" s="128">
        <f ca="1">SUMIFS('ИП + источники'!AN$27:AN$145,'ИП + источники'!$F$27:$F$145,$F406,'ИП + источники'!$AC$27:$AC$145,"погашение займов и кредитов из нормативной прибыли")</f>
        <v>0</v>
      </c>
      <c r="AN406" s="128">
        <f ca="1">SUMIFS('ИП + источники'!AO$27:AO$145,'ИП + источники'!$F$27:$F$145,$F406,'ИП + источники'!$AC$27:$AC$145,"погашение займов и кредитов из нормативной прибыли")</f>
        <v>0</v>
      </c>
      <c r="AO406" s="128">
        <f ca="1">SUMIFS('ИП + источники'!AP$27:AP$145,'ИП + источники'!$F$27:$F$145,$F406,'ИП + источники'!$AC$27:$AC$145,"погашение займов и кредитов из нормативной прибыли")</f>
        <v>0</v>
      </c>
      <c r="AP406" s="128">
        <f ca="1">SUMIFS('ИП + источники'!AQ$27:AQ$145,'ИП + источники'!$F$27:$F$145,$F406,'ИП + источники'!$AC$27:$AC$145,"погашение займов и кредитов из нормативной прибыли")</f>
        <v>0</v>
      </c>
      <c r="AQ406" s="128">
        <f ca="1">SUMIFS('ИП + источники'!AR$27:AR$145,'ИП + источники'!$F$27:$F$145,$F406,'ИП + источники'!$AC$27:$AC$145,"погашение займов и кредитов из нормативной прибыли")</f>
        <v>0</v>
      </c>
      <c r="AR406" s="128">
        <f ca="1">SUMIFS('ИП + источники'!AS$27:AS$145,'ИП + источники'!$F$27:$F$145,$F406,'ИП + источники'!$AC$27:$AC$145,"погашение займов и кредитов из нормативной прибыли")</f>
        <v>0</v>
      </c>
      <c r="AS406" s="128">
        <f ca="1">SUMIFS('ИП + источники'!AT$27:AT$145,'ИП + источники'!$F$27:$F$145,$F406,'ИП + источники'!$AC$27:$AC$145,"погашение займов и кредитов из нормативной прибыли")</f>
        <v>0</v>
      </c>
      <c r="AT406" s="128">
        <f ca="1">SUMIFS('ИП + источники'!AU$27:AU$145,'ИП + источники'!$F$27:$F$145,$F406,'ИП + источники'!$AC$27:$AC$145,"погашение займов и кредитов из нормативной прибыли")</f>
        <v>0</v>
      </c>
      <c r="AU406" s="778">
        <f ca="1">SUMIFS('ИП + источники'!AV$27:AV$145,'ИП + источники'!$F$27:$F$145,$F406,'ИП + источники'!$AC$27:$AC$145,"погашение займов и кредитов из нормативной прибыли")</f>
        <v>0</v>
      </c>
      <c r="AV406" s="778">
        <f ca="1">SUMIFS('ИП + источники'!AW$27:AW$145,'ИП + источники'!$F$27:$F$145,$F406,'ИП + источники'!$AC$27:$AC$145,"погашение займов и кредитов из нормативной прибыли")</f>
        <v>0</v>
      </c>
      <c r="AW406" s="128">
        <f ca="1">SUMIFS('ИП + источники'!AX$27:AX$145,'ИП + источники'!$F$27:$F$145,$F406,'ИП + источники'!$AC$27:$AC$145,"погашение займов и кредитов из нормативной прибыли")</f>
        <v>0</v>
      </c>
      <c r="AX406" s="128">
        <f ca="1">SUMIFS('ИП + источники'!AY$27:AY$145,'ИП + источники'!$F$27:$F$145,$F406,'ИП + источники'!$AC$27:$AC$145,"погашение займов и кредитов из нормативной прибыли")</f>
        <v>0</v>
      </c>
      <c r="AY406" s="128">
        <f ca="1">SUMIFS('ИП + источники'!AZ$27:AZ$145,'ИП + источники'!$F$27:$F$145,$F406,'ИП + источники'!$AC$27:$AC$145,"погашение займов и кредитов из нормативной прибыли")</f>
        <v>0</v>
      </c>
      <c r="AZ406" s="128">
        <f ca="1">SUMIFS('ИП + источники'!BA$27:BA$145,'ИП + источники'!$F$27:$F$145,$F406,'ИП + источники'!$AC$27:$AC$145,"погашение займов и кредитов из нормативной прибыли")</f>
        <v>0</v>
      </c>
      <c r="BA406" s="128">
        <f ca="1">SUMIFS('ИП + источники'!BB$27:BB$145,'ИП + источники'!$F$27:$F$145,$F406,'ИП + источники'!$AC$27:$AC$145,"погашение займов и кредитов из нормативной прибыли")</f>
        <v>0</v>
      </c>
      <c r="BB406" s="128">
        <f ca="1">SUMIFS('ИП + источники'!BC$27:BC$145,'ИП + источники'!$F$27:$F$145,$F406,'ИП + источники'!$AC$27:$AC$145,"погашение займов и кредитов из нормативной прибыли")</f>
        <v>0</v>
      </c>
      <c r="BC406" s="128">
        <f ca="1">SUMIFS('ИП + источники'!BD$27:BD$145,'ИП + источники'!$F$27:$F$145,$F406,'ИП + источники'!$AC$27:$AC$145,"погашение займов и кредитов из нормативной прибыли")</f>
        <v>0</v>
      </c>
      <c r="BD406" s="171">
        <f t="shared" ca="1" si="105"/>
        <v>0</v>
      </c>
      <c r="BE406" s="171">
        <f t="shared" ca="1" si="106"/>
        <v>0</v>
      </c>
      <c r="BF406" s="171">
        <f t="shared" ca="1" si="107"/>
        <v>0</v>
      </c>
      <c r="BG406" s="171">
        <f t="shared" ca="1" si="108"/>
        <v>0</v>
      </c>
      <c r="BH406" s="171">
        <f t="shared" ca="1" si="109"/>
        <v>0</v>
      </c>
      <c r="BI406" s="171">
        <f t="shared" ca="1" si="110"/>
        <v>0</v>
      </c>
      <c r="BJ406" s="171">
        <f t="shared" ca="1" si="111"/>
        <v>0</v>
      </c>
      <c r="BK406" s="171">
        <f t="shared" ca="1" si="112"/>
        <v>0</v>
      </c>
      <c r="BL406" s="171">
        <f t="shared" ca="1" si="113"/>
        <v>0</v>
      </c>
      <c r="BM406" s="171">
        <f t="shared" ca="1" si="114"/>
        <v>0</v>
      </c>
      <c r="BN406" s="196"/>
      <c r="BO406" s="601" t="str">
        <f ca="1">IF(IFERROR(INDEX('ИП + источники'!$K$28:$L$145,MATCH($F406&amp;"2komm",'ИП + источники'!$K$28:$K$145,0),2),"")=0,"",IFERROR(INDEX('ИП + источники'!$K$28:$L$145,MATCH($F406&amp;"2komm",'ИП + источники'!$K$28:$K$145,0),2),""))</f>
        <v/>
      </c>
      <c r="BP406" s="196"/>
      <c r="BS406" s="696" t="s">
        <v>2147</v>
      </c>
    </row>
    <row r="407" spans="1:75" ht="14.25" customHeight="1" x14ac:dyDescent="0.15">
      <c r="B407" s="329" t="b" cm="1">
        <f t="array" ref="B407">B406</f>
        <v>1</v>
      </c>
      <c r="C407" s="25"/>
      <c r="D407" s="25"/>
      <c r="E407" s="451">
        <v>15</v>
      </c>
      <c r="F407" s="3" t="str" cm="1">
        <f t="array" aca="1" ref="F407" ca="1">OFFSET(E407,-1,1)</f>
        <v>2</v>
      </c>
      <c r="G407" s="25"/>
      <c r="H407" s="25"/>
      <c r="I407" s="25" t="s">
        <v>578</v>
      </c>
      <c r="J407" s="25"/>
      <c r="L407" s="25"/>
      <c r="M407" s="25"/>
      <c r="N407" s="25"/>
      <c r="O407" s="25"/>
      <c r="P407" s="25"/>
      <c r="Q407" s="25"/>
      <c r="R407" s="25"/>
      <c r="S407" s="25"/>
      <c r="T407" s="353" t="b" cm="1">
        <f t="array" aca="1" ref="T407" ca="1">T406</f>
        <v>1</v>
      </c>
      <c r="U407" s="25"/>
      <c r="V407" s="25"/>
      <c r="W407" s="25"/>
      <c r="X407" s="1022"/>
      <c r="Z407" s="967"/>
      <c r="AB407" s="7" t="s">
        <v>707</v>
      </c>
      <c r="AC407" s="127" t="s">
        <v>2148</v>
      </c>
      <c r="AD407" s="7" t="s">
        <v>828</v>
      </c>
      <c r="AE407" s="128">
        <f ca="1">SUMIFS('ИП + источники'!AF$27:AF$145,'ИП + источники'!$F$27:$F$145,$F407,'ИП + источники'!$AC$27:$AC$145,"уплата процентов по кредитам из нормативной прибыли")</f>
        <v>0</v>
      </c>
      <c r="AF407" s="128">
        <f ca="1">SUMIFS('ИП + источники'!AG$27:AG$145,'ИП + источники'!$F$27:$F$145,$F407,'ИП + источники'!$AC$27:$AC$145,"уплата процентов по кредитам из нормативной прибыли")</f>
        <v>0</v>
      </c>
      <c r="AG407" s="128">
        <f ca="1">SUMIFS('ИП + источники'!AH$27:AH$145,'ИП + источники'!$F$27:$F$145,$F407,'ИП + источники'!$AC$27:$AC$145,"уплата процентов по кредитам из нормативной прибыли")</f>
        <v>0</v>
      </c>
      <c r="AH407" s="171">
        <f t="shared" ca="1" si="103"/>
        <v>0</v>
      </c>
      <c r="AI407" s="128">
        <f ca="1">SUMIFS('ИП + источники'!AJ$27:AJ$145,'ИП + источники'!$F$27:$F$145,$F407,'ИП + источники'!$AC$27:$AC$145,"уплата процентов по кредитам из нормативной прибыли")</f>
        <v>0</v>
      </c>
      <c r="AJ407" s="128">
        <f ca="1">SUMIFS('ИП + источники'!AK$27:AK$145,'ИП + источники'!$F$27:$F$145,$F407,'ИП + источники'!$AC$27:$AC$145,"уплата процентов по кредитам из нормативной прибыли")</f>
        <v>0</v>
      </c>
      <c r="AK407" s="778">
        <f ca="1">SUMIFS('ИП + источники'!AL$27:AL$145,'ИП + источники'!$F$27:$F$145,$F407,'ИП + источники'!$AC$27:$AC$145,"уплата процентов по кредитам из нормативной прибыли")</f>
        <v>0</v>
      </c>
      <c r="AL407" s="778">
        <f ca="1">SUMIFS('ИП + источники'!AM$27:AM$145,'ИП + источники'!$F$27:$F$145,$F407,'ИП + источники'!$AC$27:$AC$145,"уплата процентов по кредитам из нормативной прибыли")</f>
        <v>0</v>
      </c>
      <c r="AM407" s="128">
        <f ca="1">SUMIFS('ИП + источники'!AN$27:AN$145,'ИП + источники'!$F$27:$F$145,$F407,'ИП + источники'!$AC$27:$AC$145,"уплата процентов по кредитам из нормативной прибыли")</f>
        <v>0</v>
      </c>
      <c r="AN407" s="128">
        <f ca="1">SUMIFS('ИП + источники'!AO$27:AO$145,'ИП + источники'!$F$27:$F$145,$F407,'ИП + источники'!$AC$27:$AC$145,"уплата процентов по кредитам из нормативной прибыли")</f>
        <v>0</v>
      </c>
      <c r="AO407" s="128">
        <f ca="1">SUMIFS('ИП + источники'!AP$27:AP$145,'ИП + источники'!$F$27:$F$145,$F407,'ИП + источники'!$AC$27:$AC$145,"уплата процентов по кредитам из нормативной прибыли")</f>
        <v>0</v>
      </c>
      <c r="AP407" s="128">
        <f ca="1">SUMIFS('ИП + источники'!AQ$27:AQ$145,'ИП + источники'!$F$27:$F$145,$F407,'ИП + источники'!$AC$27:$AC$145,"уплата процентов по кредитам из нормативной прибыли")</f>
        <v>0</v>
      </c>
      <c r="AQ407" s="128">
        <f ca="1">SUMIFS('ИП + источники'!AR$27:AR$145,'ИП + источники'!$F$27:$F$145,$F407,'ИП + источники'!$AC$27:$AC$145,"уплата процентов по кредитам из нормативной прибыли")</f>
        <v>0</v>
      </c>
      <c r="AR407" s="128">
        <f ca="1">SUMIFS('ИП + источники'!AS$27:AS$145,'ИП + источники'!$F$27:$F$145,$F407,'ИП + источники'!$AC$27:$AC$145,"уплата процентов по кредитам из нормативной прибыли")</f>
        <v>0</v>
      </c>
      <c r="AS407" s="128">
        <f ca="1">SUMIFS('ИП + источники'!AT$27:AT$145,'ИП + источники'!$F$27:$F$145,$F407,'ИП + источники'!$AC$27:$AC$145,"уплата процентов по кредитам из нормативной прибыли")</f>
        <v>0</v>
      </c>
      <c r="AT407" s="128">
        <f ca="1">SUMIFS('ИП + источники'!AU$27:AU$145,'ИП + источники'!$F$27:$F$145,$F407,'ИП + источники'!$AC$27:$AC$145,"уплата процентов по кредитам из нормативной прибыли")</f>
        <v>0</v>
      </c>
      <c r="AU407" s="778">
        <f ca="1">SUMIFS('ИП + источники'!AV$27:AV$145,'ИП + источники'!$F$27:$F$145,$F407,'ИП + источники'!$AC$27:$AC$145,"уплата процентов по кредитам из нормативной прибыли")</f>
        <v>0</v>
      </c>
      <c r="AV407" s="778">
        <f ca="1">SUMIFS('ИП + источники'!AW$27:AW$145,'ИП + источники'!$F$27:$F$145,$F407,'ИП + источники'!$AC$27:$AC$145,"уплата процентов по кредитам из нормативной прибыли")</f>
        <v>0</v>
      </c>
      <c r="AW407" s="128">
        <f ca="1">SUMIFS('ИП + источники'!AX$27:AX$145,'ИП + источники'!$F$27:$F$145,$F407,'ИП + источники'!$AC$27:$AC$145,"уплата процентов по кредитам из нормативной прибыли")</f>
        <v>0</v>
      </c>
      <c r="AX407" s="128">
        <f ca="1">SUMIFS('ИП + источники'!AY$27:AY$145,'ИП + источники'!$F$27:$F$145,$F407,'ИП + источники'!$AC$27:$AC$145,"уплата процентов по кредитам из нормативной прибыли")</f>
        <v>0</v>
      </c>
      <c r="AY407" s="128">
        <f ca="1">SUMIFS('ИП + источники'!AZ$27:AZ$145,'ИП + источники'!$F$27:$F$145,$F407,'ИП + источники'!$AC$27:$AC$145,"уплата процентов по кредитам из нормативной прибыли")</f>
        <v>0</v>
      </c>
      <c r="AZ407" s="128">
        <f ca="1">SUMIFS('ИП + источники'!BA$27:BA$145,'ИП + источники'!$F$27:$F$145,$F407,'ИП + источники'!$AC$27:$AC$145,"уплата процентов по кредитам из нормативной прибыли")</f>
        <v>0</v>
      </c>
      <c r="BA407" s="128">
        <f ca="1">SUMIFS('ИП + источники'!BB$27:BB$145,'ИП + источники'!$F$27:$F$145,$F407,'ИП + источники'!$AC$27:$AC$145,"уплата процентов по кредитам из нормативной прибыли")</f>
        <v>0</v>
      </c>
      <c r="BB407" s="128">
        <f ca="1">SUMIFS('ИП + источники'!BC$27:BC$145,'ИП + источники'!$F$27:$F$145,$F407,'ИП + источники'!$AC$27:$AC$145,"уплата процентов по кредитам из нормативной прибыли")</f>
        <v>0</v>
      </c>
      <c r="BC407" s="128">
        <f ca="1">SUMIFS('ИП + источники'!BD$27:BD$145,'ИП + источники'!$F$27:$F$145,$F407,'ИП + источники'!$AC$27:$AC$145,"уплата процентов по кредитам из нормативной прибыли")</f>
        <v>0</v>
      </c>
      <c r="BD407" s="171">
        <f t="shared" ca="1" si="105"/>
        <v>0</v>
      </c>
      <c r="BE407" s="171">
        <f t="shared" ca="1" si="106"/>
        <v>0</v>
      </c>
      <c r="BF407" s="171">
        <f t="shared" ca="1" si="107"/>
        <v>0</v>
      </c>
      <c r="BG407" s="171">
        <f t="shared" ca="1" si="108"/>
        <v>0</v>
      </c>
      <c r="BH407" s="171">
        <f t="shared" ca="1" si="109"/>
        <v>0</v>
      </c>
      <c r="BI407" s="171">
        <f t="shared" ca="1" si="110"/>
        <v>0</v>
      </c>
      <c r="BJ407" s="171">
        <f t="shared" ca="1" si="111"/>
        <v>0</v>
      </c>
      <c r="BK407" s="171">
        <f t="shared" ca="1" si="112"/>
        <v>0</v>
      </c>
      <c r="BL407" s="171">
        <f t="shared" ca="1" si="113"/>
        <v>0</v>
      </c>
      <c r="BM407" s="171">
        <f t="shared" ca="1" si="114"/>
        <v>0</v>
      </c>
      <c r="BN407" s="196"/>
      <c r="BO407" s="601" t="str">
        <f ca="1">IF(IFERROR(INDEX('ИП + источники'!$K$28:$L$145,MATCH($F407&amp;"3komm",'ИП + источники'!$K$28:$K$145,0),2),"")=0,"",IFERROR(INDEX('ИП + источники'!$K$28:$L$145,MATCH($F407&amp;"3komm",'ИП + источники'!$K$28:$K$145,0),2),""))</f>
        <v/>
      </c>
      <c r="BP407" s="196"/>
      <c r="BS407" s="696" t="s">
        <v>2149</v>
      </c>
    </row>
    <row r="408" spans="1:75" ht="14.25" customHeight="1" x14ac:dyDescent="0.15">
      <c r="B408" s="329" t="b" cm="1">
        <f t="array" ref="B408">B407</f>
        <v>1</v>
      </c>
      <c r="C408" s="25"/>
      <c r="D408" s="25"/>
      <c r="E408" s="451">
        <v>15</v>
      </c>
      <c r="F408" s="3" t="str" cm="1">
        <f t="array" aca="1" ref="F408" ca="1">OFFSET(E408,-1,1)</f>
        <v>2</v>
      </c>
      <c r="G408" s="25"/>
      <c r="H408" s="25"/>
      <c r="I408" s="25" t="s">
        <v>794</v>
      </c>
      <c r="J408" s="25"/>
      <c r="L408" s="25" t="s">
        <v>593</v>
      </c>
      <c r="M408" s="25"/>
      <c r="N408" s="25"/>
      <c r="O408" s="25"/>
      <c r="P408" s="25"/>
      <c r="Q408" s="25"/>
      <c r="R408" s="25"/>
      <c r="S408" s="25"/>
      <c r="T408" s="353" t="b" cm="1">
        <f t="array" aca="1" ref="T408" ca="1">T407</f>
        <v>1</v>
      </c>
      <c r="U408" s="25"/>
      <c r="V408" s="25"/>
      <c r="W408" s="25"/>
      <c r="X408" s="1022"/>
      <c r="Z408" s="967"/>
      <c r="AB408" s="7" t="s">
        <v>994</v>
      </c>
      <c r="AC408" s="127" t="s">
        <v>2150</v>
      </c>
      <c r="AD408" s="7" t="s">
        <v>828</v>
      </c>
      <c r="AE408" s="128">
        <f ca="1">SUMIFS('ИП + источники'!AF$27:AF$145,'ИП + источники'!$F$27:$F$145,$F408,'ИП + источники'!$AC$27:$AC$145,"Прибыль на капвложения")</f>
        <v>0</v>
      </c>
      <c r="AF408" s="128">
        <f ca="1">SUMIFS('ИП + источники'!AG$27:AG$145,'ИП + источники'!$F$27:$F$145,$F408,'ИП + источники'!$AC$27:$AC$145,"Прибыль на капвложения")</f>
        <v>0</v>
      </c>
      <c r="AG408" s="128">
        <f ca="1">SUMIFS('ИП + источники'!AH$27:AH$145,'ИП + источники'!$F$27:$F$145,$F408,'ИП + источники'!$AC$27:$AC$145,"Прибыль на капвложения")</f>
        <v>0</v>
      </c>
      <c r="AH408" s="171">
        <f t="shared" ca="1" si="103"/>
        <v>0</v>
      </c>
      <c r="AI408" s="128">
        <f ca="1">SUMIFS('ИП + источники'!AJ$27:AJ$145,'ИП + источники'!$F$27:$F$145,$F408,'ИП + источники'!$AC$27:$AC$145,"Прибыль на капвложения")</f>
        <v>0</v>
      </c>
      <c r="AJ408" s="128">
        <f ca="1">SUMIFS('ИП + источники'!AK$27:AK$145,'ИП + источники'!$F$27:$F$145,$F408,'ИП + источники'!$AC$27:$AC$145,"Прибыль на капвложения")</f>
        <v>0</v>
      </c>
      <c r="AK408" s="778">
        <f ca="1">SUMIFS('ИП + источники'!AL$27:AL$145,'ИП + источники'!$F$27:$F$145,$F408,'ИП + источники'!$AC$27:$AC$145,"Прибыль на капвложения")</f>
        <v>0</v>
      </c>
      <c r="AL408" s="778">
        <f ca="1">SUMIFS('ИП + источники'!AM$27:AM$145,'ИП + источники'!$F$27:$F$145,$F408,'ИП + источники'!$AC$27:$AC$145,"Прибыль на капвложения")</f>
        <v>0</v>
      </c>
      <c r="AM408" s="128">
        <f ca="1">SUMIFS('ИП + источники'!AN$27:AN$145,'ИП + источники'!$F$27:$F$145,$F408,'ИП + источники'!$AC$27:$AC$145,"Прибыль на капвложения")</f>
        <v>0</v>
      </c>
      <c r="AN408" s="128">
        <f ca="1">SUMIFS('ИП + источники'!AO$27:AO$145,'ИП + источники'!$F$27:$F$145,$F408,'ИП + источники'!$AC$27:$AC$145,"Прибыль на капвложения")</f>
        <v>0</v>
      </c>
      <c r="AO408" s="128">
        <f ca="1">SUMIFS('ИП + источники'!AP$27:AP$145,'ИП + источники'!$F$27:$F$145,$F408,'ИП + источники'!$AC$27:$AC$145,"Прибыль на капвложения")</f>
        <v>0</v>
      </c>
      <c r="AP408" s="128">
        <f ca="1">SUMIFS('ИП + источники'!AQ$27:AQ$145,'ИП + источники'!$F$27:$F$145,$F408,'ИП + источники'!$AC$27:$AC$145,"Прибыль на капвложения")</f>
        <v>0</v>
      </c>
      <c r="AQ408" s="128">
        <f ca="1">SUMIFS('ИП + источники'!AR$27:AR$145,'ИП + источники'!$F$27:$F$145,$F408,'ИП + источники'!$AC$27:$AC$145,"Прибыль на капвложения")</f>
        <v>0</v>
      </c>
      <c r="AR408" s="128">
        <f ca="1">SUMIFS('ИП + источники'!AS$27:AS$145,'ИП + источники'!$F$27:$F$145,$F408,'ИП + источники'!$AC$27:$AC$145,"Прибыль на капвложения")</f>
        <v>0</v>
      </c>
      <c r="AS408" s="128">
        <f ca="1">SUMIFS('ИП + источники'!AT$27:AT$145,'ИП + источники'!$F$27:$F$145,$F408,'ИП + источники'!$AC$27:$AC$145,"Прибыль на капвложения")</f>
        <v>0</v>
      </c>
      <c r="AT408" s="128">
        <f ca="1">SUMIFS('ИП + источники'!AU$27:AU$145,'ИП + источники'!$F$27:$F$145,$F408,'ИП + источники'!$AC$27:$AC$145,"Прибыль на капвложения")</f>
        <v>0</v>
      </c>
      <c r="AU408" s="778">
        <f ca="1">SUMIFS('ИП + источники'!AV$27:AV$145,'ИП + источники'!$F$27:$F$145,$F408,'ИП + источники'!$AC$27:$AC$145,"Прибыль на капвложения")</f>
        <v>0</v>
      </c>
      <c r="AV408" s="778">
        <f ca="1">SUMIFS('ИП + источники'!AW$27:AW$145,'ИП + источники'!$F$27:$F$145,$F408,'ИП + источники'!$AC$27:$AC$145,"Прибыль на капвложения")</f>
        <v>0</v>
      </c>
      <c r="AW408" s="128">
        <f ca="1">SUMIFS('ИП + источники'!AX$27:AX$145,'ИП + источники'!$F$27:$F$145,$F408,'ИП + источники'!$AC$27:$AC$145,"Прибыль на капвложения")</f>
        <v>0</v>
      </c>
      <c r="AX408" s="128">
        <f ca="1">SUMIFS('ИП + источники'!AY$27:AY$145,'ИП + источники'!$F$27:$F$145,$F408,'ИП + источники'!$AC$27:$AC$145,"Прибыль на капвложения")</f>
        <v>0</v>
      </c>
      <c r="AY408" s="128">
        <f ca="1">SUMIFS('ИП + источники'!AZ$27:AZ$145,'ИП + источники'!$F$27:$F$145,$F408,'ИП + источники'!$AC$27:$AC$145,"Прибыль на капвложения")</f>
        <v>0</v>
      </c>
      <c r="AZ408" s="128">
        <f ca="1">SUMIFS('ИП + источники'!BA$27:BA$145,'ИП + источники'!$F$27:$F$145,$F408,'ИП + источники'!$AC$27:$AC$145,"Прибыль на капвложения")</f>
        <v>0</v>
      </c>
      <c r="BA408" s="128">
        <f ca="1">SUMIFS('ИП + источники'!BB$27:BB$145,'ИП + источники'!$F$27:$F$145,$F408,'ИП + источники'!$AC$27:$AC$145,"Прибыль на капвложения")</f>
        <v>0</v>
      </c>
      <c r="BB408" s="128">
        <f ca="1">SUMIFS('ИП + источники'!BC$27:BC$145,'ИП + источники'!$F$27:$F$145,$F408,'ИП + источники'!$AC$27:$AC$145,"Прибыль на капвложения")</f>
        <v>0</v>
      </c>
      <c r="BC408" s="128">
        <f ca="1">SUMIFS('ИП + источники'!BD$27:BD$145,'ИП + источники'!$F$27:$F$145,$F408,'ИП + источники'!$AC$27:$AC$145,"Прибыль на капвложения")</f>
        <v>0</v>
      </c>
      <c r="BD408" s="171">
        <f t="shared" ca="1" si="105"/>
        <v>0</v>
      </c>
      <c r="BE408" s="171">
        <f t="shared" ca="1" si="106"/>
        <v>0</v>
      </c>
      <c r="BF408" s="171">
        <f t="shared" ca="1" si="107"/>
        <v>0</v>
      </c>
      <c r="BG408" s="171">
        <f t="shared" ca="1" si="108"/>
        <v>0</v>
      </c>
      <c r="BH408" s="171">
        <f t="shared" ca="1" si="109"/>
        <v>0</v>
      </c>
      <c r="BI408" s="171">
        <f t="shared" ca="1" si="110"/>
        <v>0</v>
      </c>
      <c r="BJ408" s="171">
        <f t="shared" ca="1" si="111"/>
        <v>0</v>
      </c>
      <c r="BK408" s="171">
        <f t="shared" ca="1" si="112"/>
        <v>0</v>
      </c>
      <c r="BL408" s="171">
        <f t="shared" ca="1" si="113"/>
        <v>0</v>
      </c>
      <c r="BM408" s="171">
        <f t="shared" ca="1" si="114"/>
        <v>0</v>
      </c>
      <c r="BN408" s="196"/>
      <c r="BO408" s="601" t="str">
        <f ca="1">IF(IFERROR(INDEX('ИП + источники'!$K$28:$L$145,MATCH($F408&amp;"1komm",'ИП + источники'!$K$28:$K$145,0),2),"")=0,"",IFERROR(INDEX('ИП + источники'!$K$28:$L$145,MATCH($F408&amp;"1komm",'ИП + источники'!$K$28:$K$145,0),2),""))</f>
        <v/>
      </c>
      <c r="BP408" s="196"/>
      <c r="BS408" s="696" t="s">
        <v>1851</v>
      </c>
    </row>
    <row r="409" spans="1:75" ht="21.75" customHeight="1" x14ac:dyDescent="0.15">
      <c r="B409" s="329" t="b" cm="1">
        <f t="array" ref="B409">B408</f>
        <v>1</v>
      </c>
      <c r="C409" s="25"/>
      <c r="D409" s="25"/>
      <c r="E409" s="451">
        <v>22.5</v>
      </c>
      <c r="F409" s="3" t="str" cm="1">
        <f t="array" aca="1" ref="F409" ca="1">OFFSET(E409,-1,1)</f>
        <v>2</v>
      </c>
      <c r="G409" s="25" t="s">
        <v>2151</v>
      </c>
      <c r="H409" s="25"/>
      <c r="I409" s="25" t="s">
        <v>996</v>
      </c>
      <c r="J409" s="25"/>
      <c r="L409" s="25" t="s">
        <v>597</v>
      </c>
      <c r="M409" s="25"/>
      <c r="N409" s="25"/>
      <c r="O409" s="25"/>
      <c r="P409" s="25"/>
      <c r="Q409" s="25"/>
      <c r="R409" s="25"/>
      <c r="S409" s="25"/>
      <c r="T409" s="353" t="b" cm="1">
        <f t="array" aca="1" ref="T409" ca="1">T408</f>
        <v>1</v>
      </c>
      <c r="U409" s="25"/>
      <c r="V409" s="25"/>
      <c r="W409" s="25"/>
      <c r="X409" s="1022"/>
      <c r="Z409" s="967"/>
      <c r="AB409" s="7" t="s">
        <v>997</v>
      </c>
      <c r="AC409" s="127" t="s">
        <v>2152</v>
      </c>
      <c r="AD409" s="7" t="s">
        <v>828</v>
      </c>
      <c r="AE409" s="128"/>
      <c r="AF409" s="128"/>
      <c r="AG409" s="128"/>
      <c r="AH409" s="171">
        <f t="shared" si="103"/>
        <v>0</v>
      </c>
      <c r="AI409" s="128"/>
      <c r="AJ409" s="128"/>
      <c r="AK409" s="778"/>
      <c r="AL409" s="778"/>
      <c r="AM409" s="128"/>
      <c r="AN409" s="128"/>
      <c r="AO409" s="128"/>
      <c r="AP409" s="128"/>
      <c r="AQ409" s="128"/>
      <c r="AR409" s="128"/>
      <c r="AS409" s="128"/>
      <c r="AT409" s="128"/>
      <c r="AU409" s="778"/>
      <c r="AV409" s="778"/>
      <c r="AW409" s="128"/>
      <c r="AX409" s="128"/>
      <c r="AY409" s="128"/>
      <c r="AZ409" s="128"/>
      <c r="BA409" s="128"/>
      <c r="BB409" s="128"/>
      <c r="BC409" s="128"/>
      <c r="BD409" s="171">
        <f t="shared" si="105"/>
        <v>0</v>
      </c>
      <c r="BE409" s="171">
        <f t="shared" si="106"/>
        <v>0</v>
      </c>
      <c r="BF409" s="171">
        <f t="shared" si="107"/>
        <v>0</v>
      </c>
      <c r="BG409" s="171">
        <f t="shared" si="108"/>
        <v>0</v>
      </c>
      <c r="BH409" s="171">
        <f t="shared" si="109"/>
        <v>0</v>
      </c>
      <c r="BI409" s="171">
        <f t="shared" si="110"/>
        <v>0</v>
      </c>
      <c r="BJ409" s="171">
        <f t="shared" si="111"/>
        <v>0</v>
      </c>
      <c r="BK409" s="171">
        <f t="shared" si="112"/>
        <v>0</v>
      </c>
      <c r="BL409" s="171">
        <f t="shared" si="113"/>
        <v>0</v>
      </c>
      <c r="BM409" s="171">
        <f t="shared" si="114"/>
        <v>0</v>
      </c>
      <c r="BN409" s="196"/>
      <c r="BO409" s="196"/>
      <c r="BP409" s="196"/>
      <c r="BS409" s="696" t="s">
        <v>2153</v>
      </c>
    </row>
    <row r="410" spans="1:75" ht="14.25" hidden="1" customHeight="1" x14ac:dyDescent="0.15">
      <c r="B410" s="329" t="b">
        <f>AND(method_reg="Метод индексации",STATUS_GO="да")</f>
        <v>0</v>
      </c>
      <c r="C410" s="25"/>
      <c r="D410" s="25"/>
      <c r="E410" s="451">
        <v>15</v>
      </c>
      <c r="F410" s="3" t="str" cm="1">
        <f t="array" aca="1" ref="F410" ca="1">OFFSET(E410,-1,1)</f>
        <v>2</v>
      </c>
      <c r="G410" s="25" t="s">
        <v>1854</v>
      </c>
      <c r="H410" s="25"/>
      <c r="I410" s="25" t="s">
        <v>532</v>
      </c>
      <c r="J410" s="25"/>
      <c r="L410" s="25" t="s">
        <v>601</v>
      </c>
      <c r="M410" s="25"/>
      <c r="N410" s="25"/>
      <c r="O410" s="25"/>
      <c r="P410" s="25"/>
      <c r="Q410" s="25"/>
      <c r="R410" s="25"/>
      <c r="S410" s="25"/>
      <c r="T410" s="353" t="b" cm="1">
        <f t="array" aca="1" ref="T410" ca="1">T409</f>
        <v>1</v>
      </c>
      <c r="U410" s="25"/>
      <c r="V410" s="25"/>
      <c r="W410" s="25"/>
      <c r="X410" s="1022"/>
      <c r="Z410" s="967"/>
      <c r="AB410" s="7" t="s">
        <v>536</v>
      </c>
      <c r="AC410" s="346" t="s">
        <v>1854</v>
      </c>
      <c r="AD410" s="7" t="s">
        <v>828</v>
      </c>
      <c r="AE410" s="778"/>
      <c r="AF410" s="778"/>
      <c r="AG410" s="778"/>
      <c r="AH410" s="171">
        <f t="shared" si="103"/>
        <v>0</v>
      </c>
      <c r="AI410" s="778"/>
      <c r="AJ410" s="128"/>
      <c r="AK410" s="778"/>
      <c r="AL410" s="778"/>
      <c r="AM410" s="778"/>
      <c r="AN410" s="778"/>
      <c r="AO410" s="778"/>
      <c r="AP410" s="778"/>
      <c r="AQ410" s="778"/>
      <c r="AR410" s="778"/>
      <c r="AS410" s="778"/>
      <c r="AT410" s="128"/>
      <c r="AU410" s="778"/>
      <c r="AV410" s="778"/>
      <c r="AW410" s="778"/>
      <c r="AX410" s="778"/>
      <c r="AY410" s="778"/>
      <c r="AZ410" s="778"/>
      <c r="BA410" s="778"/>
      <c r="BB410" s="778"/>
      <c r="BC410" s="778"/>
      <c r="BD410" s="171">
        <f t="shared" si="105"/>
        <v>0</v>
      </c>
      <c r="BE410" s="171">
        <f t="shared" si="106"/>
        <v>0</v>
      </c>
      <c r="BF410" s="171">
        <f t="shared" si="107"/>
        <v>0</v>
      </c>
      <c r="BG410" s="171">
        <f t="shared" si="108"/>
        <v>0</v>
      </c>
      <c r="BH410" s="171">
        <f t="shared" si="109"/>
        <v>0</v>
      </c>
      <c r="BI410" s="171">
        <f t="shared" si="110"/>
        <v>0</v>
      </c>
      <c r="BJ410" s="171">
        <f t="shared" si="111"/>
        <v>0</v>
      </c>
      <c r="BK410" s="171">
        <f t="shared" si="112"/>
        <v>0</v>
      </c>
      <c r="BL410" s="171">
        <f t="shared" si="113"/>
        <v>0</v>
      </c>
      <c r="BM410" s="171">
        <f t="shared" si="114"/>
        <v>0</v>
      </c>
      <c r="BN410" s="775"/>
      <c r="BO410" s="775"/>
      <c r="BP410" s="775"/>
      <c r="BS410" s="696" t="s">
        <v>1855</v>
      </c>
    </row>
    <row r="411" spans="1:75" ht="14.25" hidden="1" customHeight="1" x14ac:dyDescent="0.15">
      <c r="B411" s="580" t="b">
        <f>method_reg="Метод обеспечения доходности инвестированного капитала"</f>
        <v>0</v>
      </c>
      <c r="C411" s="25"/>
      <c r="D411" s="25"/>
      <c r="E411" s="451">
        <v>15</v>
      </c>
      <c r="F411" s="3" t="str" cm="1">
        <f t="array" aca="1" ref="F411" ca="1">OFFSET(E411,-1,1)</f>
        <v>2</v>
      </c>
      <c r="G411" s="25"/>
      <c r="H411" s="25"/>
      <c r="I411" s="25"/>
      <c r="J411" s="25"/>
      <c r="K411" s="25" t="s">
        <v>335</v>
      </c>
      <c r="L411" s="25"/>
      <c r="M411" s="25"/>
      <c r="N411" s="25"/>
      <c r="O411" s="25"/>
      <c r="P411" s="25"/>
      <c r="Q411" s="25"/>
      <c r="R411" s="25"/>
      <c r="S411" s="25"/>
      <c r="T411" s="580" t="b" cm="1">
        <f t="array" aca="1" ref="T411" ca="1">T410</f>
        <v>1</v>
      </c>
      <c r="U411" s="25"/>
      <c r="V411" s="25"/>
      <c r="W411" s="25"/>
      <c r="X411" s="1022"/>
      <c r="Z411" s="967"/>
      <c r="AB411" s="124" t="s">
        <v>454</v>
      </c>
      <c r="AC411" s="132" t="s">
        <v>2154</v>
      </c>
      <c r="AD411" s="124" t="s">
        <v>828</v>
      </c>
      <c r="AE411" s="774"/>
      <c r="AF411" s="774"/>
      <c r="AG411" s="774"/>
      <c r="AH411" s="126">
        <f t="shared" si="103"/>
        <v>0</v>
      </c>
      <c r="AI411" s="774"/>
      <c r="AJ411" s="138"/>
      <c r="AK411" s="774"/>
      <c r="AL411" s="774"/>
      <c r="AM411" s="774"/>
      <c r="AN411" s="774"/>
      <c r="AO411" s="774"/>
      <c r="AP411" s="774"/>
      <c r="AQ411" s="774"/>
      <c r="AR411" s="774"/>
      <c r="AS411" s="774"/>
      <c r="AT411" s="138"/>
      <c r="AU411" s="774"/>
      <c r="AV411" s="774"/>
      <c r="AW411" s="774"/>
      <c r="AX411" s="774"/>
      <c r="AY411" s="774"/>
      <c r="AZ411" s="774"/>
      <c r="BA411" s="774"/>
      <c r="BB411" s="774"/>
      <c r="BC411" s="774"/>
      <c r="BD411" s="126">
        <f t="shared" si="105"/>
        <v>0</v>
      </c>
      <c r="BE411" s="126">
        <f t="shared" si="106"/>
        <v>0</v>
      </c>
      <c r="BF411" s="126">
        <f t="shared" si="107"/>
        <v>0</v>
      </c>
      <c r="BG411" s="126">
        <f t="shared" si="108"/>
        <v>0</v>
      </c>
      <c r="BH411" s="126">
        <f t="shared" si="109"/>
        <v>0</v>
      </c>
      <c r="BI411" s="126">
        <f t="shared" si="110"/>
        <v>0</v>
      </c>
      <c r="BJ411" s="126">
        <f t="shared" si="111"/>
        <v>0</v>
      </c>
      <c r="BK411" s="126">
        <f t="shared" si="112"/>
        <v>0</v>
      </c>
      <c r="BL411" s="126">
        <f t="shared" si="113"/>
        <v>0</v>
      </c>
      <c r="BM411" s="126">
        <f t="shared" si="114"/>
        <v>0</v>
      </c>
      <c r="BN411" s="777"/>
      <c r="BO411" s="777"/>
      <c r="BP411" s="777"/>
      <c r="BS411" s="696" t="s">
        <v>2155</v>
      </c>
    </row>
    <row r="412" spans="1:75" ht="14.25" hidden="1" customHeight="1" x14ac:dyDescent="0.15">
      <c r="B412" s="580" t="b" cm="1">
        <f t="array" ref="B412">B411</f>
        <v>0</v>
      </c>
      <c r="C412" s="25"/>
      <c r="D412" s="25"/>
      <c r="E412" s="451">
        <v>15</v>
      </c>
      <c r="F412" s="3" t="str" cm="1">
        <f t="array" aca="1" ref="F412" ca="1">OFFSET(E412,-1,1)</f>
        <v>2</v>
      </c>
      <c r="G412" s="25"/>
      <c r="H412" s="25"/>
      <c r="I412" s="25"/>
      <c r="J412" s="25"/>
      <c r="K412" s="25" t="s">
        <v>560</v>
      </c>
      <c r="L412" s="25"/>
      <c r="M412" s="25"/>
      <c r="N412" s="25"/>
      <c r="O412" s="25"/>
      <c r="P412" s="25"/>
      <c r="Q412" s="25"/>
      <c r="R412" s="25"/>
      <c r="S412" s="25"/>
      <c r="T412" s="580" t="b" cm="1">
        <f t="array" aca="1" ref="T412" ca="1">T411</f>
        <v>1</v>
      </c>
      <c r="U412" s="25"/>
      <c r="V412" s="25"/>
      <c r="W412" s="25"/>
      <c r="X412" s="1022"/>
      <c r="Z412" s="967"/>
      <c r="AB412" s="7" t="s">
        <v>697</v>
      </c>
      <c r="AC412" s="127" t="s">
        <v>2156</v>
      </c>
      <c r="AD412" s="7" t="s">
        <v>828</v>
      </c>
      <c r="AE412" s="778"/>
      <c r="AF412" s="778"/>
      <c r="AG412" s="778"/>
      <c r="AH412" s="542"/>
      <c r="AI412" s="778"/>
      <c r="AJ412" s="128"/>
      <c r="AK412" s="778"/>
      <c r="AL412" s="778"/>
      <c r="AM412" s="778"/>
      <c r="AN412" s="778"/>
      <c r="AO412" s="778"/>
      <c r="AP412" s="778"/>
      <c r="AQ412" s="778"/>
      <c r="AR412" s="778"/>
      <c r="AS412" s="778"/>
      <c r="AT412" s="128"/>
      <c r="AU412" s="778"/>
      <c r="AV412" s="778"/>
      <c r="AW412" s="778"/>
      <c r="AX412" s="778"/>
      <c r="AY412" s="778"/>
      <c r="AZ412" s="778"/>
      <c r="BA412" s="778"/>
      <c r="BB412" s="778"/>
      <c r="BC412" s="778"/>
      <c r="BD412" s="542"/>
      <c r="BE412" s="542"/>
      <c r="BF412" s="542"/>
      <c r="BG412" s="542"/>
      <c r="BH412" s="542"/>
      <c r="BI412" s="542"/>
      <c r="BJ412" s="542"/>
      <c r="BK412" s="542"/>
      <c r="BL412" s="542"/>
      <c r="BM412" s="542"/>
      <c r="BN412" s="775"/>
      <c r="BO412" s="775"/>
      <c r="BP412" s="775"/>
      <c r="BS412" s="696" t="s">
        <v>2157</v>
      </c>
    </row>
    <row r="413" spans="1:75" ht="14.25" hidden="1" customHeight="1" x14ac:dyDescent="0.15">
      <c r="B413" s="580" t="b" cm="1">
        <f t="array" ref="B413">B412</f>
        <v>0</v>
      </c>
      <c r="C413" s="25"/>
      <c r="D413" s="25"/>
      <c r="E413" s="451">
        <v>15</v>
      </c>
      <c r="F413" s="3" t="str" cm="1">
        <f t="array" aca="1" ref="F413" ca="1">OFFSET(E413,-1,1)</f>
        <v>2</v>
      </c>
      <c r="G413" s="25"/>
      <c r="H413" s="25"/>
      <c r="I413" s="25"/>
      <c r="J413" s="25"/>
      <c r="K413" s="25" t="s">
        <v>564</v>
      </c>
      <c r="L413" s="25"/>
      <c r="M413" s="25"/>
      <c r="N413" s="25"/>
      <c r="O413" s="25"/>
      <c r="P413" s="25"/>
      <c r="Q413" s="25"/>
      <c r="R413" s="25"/>
      <c r="S413" s="25"/>
      <c r="T413" s="580" t="b" cm="1">
        <f t="array" aca="1" ref="T413" ca="1">T412</f>
        <v>1</v>
      </c>
      <c r="U413" s="25"/>
      <c r="V413" s="25"/>
      <c r="W413" s="25"/>
      <c r="X413" s="1022"/>
      <c r="Z413" s="967"/>
      <c r="AB413" s="7" t="s">
        <v>700</v>
      </c>
      <c r="AC413" s="127" t="s">
        <v>2158</v>
      </c>
      <c r="AD413" s="7" t="s">
        <v>2159</v>
      </c>
      <c r="AE413" s="778"/>
      <c r="AF413" s="778"/>
      <c r="AG413" s="778"/>
      <c r="AH413" s="542"/>
      <c r="AI413" s="778"/>
      <c r="AJ413" s="128"/>
      <c r="AK413" s="778"/>
      <c r="AL413" s="778"/>
      <c r="AM413" s="778"/>
      <c r="AN413" s="778"/>
      <c r="AO413" s="778"/>
      <c r="AP413" s="778"/>
      <c r="AQ413" s="778"/>
      <c r="AR413" s="778"/>
      <c r="AS413" s="778"/>
      <c r="AT413" s="128"/>
      <c r="AU413" s="778"/>
      <c r="AV413" s="778"/>
      <c r="AW413" s="778"/>
      <c r="AX413" s="778"/>
      <c r="AY413" s="778"/>
      <c r="AZ413" s="778"/>
      <c r="BA413" s="778"/>
      <c r="BB413" s="778"/>
      <c r="BC413" s="778"/>
      <c r="BD413" s="542"/>
      <c r="BE413" s="542"/>
      <c r="BF413" s="542"/>
      <c r="BG413" s="542"/>
      <c r="BH413" s="542"/>
      <c r="BI413" s="542"/>
      <c r="BJ413" s="542"/>
      <c r="BK413" s="542"/>
      <c r="BL413" s="542"/>
      <c r="BM413" s="542"/>
      <c r="BN413" s="775"/>
      <c r="BO413" s="775"/>
      <c r="BP413" s="775"/>
      <c r="BS413" s="696" t="s">
        <v>2160</v>
      </c>
    </row>
    <row r="414" spans="1:75" ht="14.25" hidden="1" customHeight="1" x14ac:dyDescent="0.15">
      <c r="B414" s="580" t="b" cm="1">
        <f t="array" ref="B414">B413</f>
        <v>0</v>
      </c>
      <c r="C414" s="25"/>
      <c r="D414" s="25"/>
      <c r="E414" s="451">
        <v>15</v>
      </c>
      <c r="F414" s="3" t="str" cm="1">
        <f t="array" aca="1" ref="F414" ca="1">OFFSET(E414,-1,1)</f>
        <v>2</v>
      </c>
      <c r="G414" s="25"/>
      <c r="H414" s="25"/>
      <c r="I414" s="25"/>
      <c r="J414" s="25"/>
      <c r="K414" s="25" t="s">
        <v>334</v>
      </c>
      <c r="L414" s="25"/>
      <c r="M414" s="25"/>
      <c r="N414" s="25"/>
      <c r="O414" s="25"/>
      <c r="P414" s="25"/>
      <c r="Q414" s="25"/>
      <c r="R414" s="25"/>
      <c r="S414" s="25"/>
      <c r="T414" s="580" t="b" cm="1">
        <f t="array" aca="1" ref="T414" ca="1">T413</f>
        <v>1</v>
      </c>
      <c r="U414" s="25"/>
      <c r="V414" s="25"/>
      <c r="W414" s="25"/>
      <c r="X414" s="1022"/>
      <c r="Z414" s="967"/>
      <c r="AB414" s="124" t="s">
        <v>460</v>
      </c>
      <c r="AC414" s="132" t="s">
        <v>2161</v>
      </c>
      <c r="AD414" s="124" t="s">
        <v>828</v>
      </c>
      <c r="AE414" s="774"/>
      <c r="AF414" s="774"/>
      <c r="AG414" s="774"/>
      <c r="AH414" s="126">
        <f>AG414-AF414</f>
        <v>0</v>
      </c>
      <c r="AI414" s="774"/>
      <c r="AJ414" s="138"/>
      <c r="AK414" s="774"/>
      <c r="AL414" s="774"/>
      <c r="AM414" s="774"/>
      <c r="AN414" s="774"/>
      <c r="AO414" s="774"/>
      <c r="AP414" s="774"/>
      <c r="AQ414" s="774"/>
      <c r="AR414" s="774"/>
      <c r="AS414" s="774"/>
      <c r="AT414" s="138"/>
      <c r="AU414" s="774"/>
      <c r="AV414" s="774"/>
      <c r="AW414" s="774"/>
      <c r="AX414" s="774"/>
      <c r="AY414" s="774"/>
      <c r="AZ414" s="774"/>
      <c r="BA414" s="774"/>
      <c r="BB414" s="774"/>
      <c r="BC414" s="774"/>
      <c r="BD414" s="126">
        <f>IF(AI414=0,0,(AT414-AI414)/AI414*100)</f>
        <v>0</v>
      </c>
      <c r="BE414" s="126">
        <f t="shared" ref="BE414:BM414" si="119">IF(AT414=0,0,(AU414-AT414)/AT414*100)</f>
        <v>0</v>
      </c>
      <c r="BF414" s="126">
        <f t="shared" si="119"/>
        <v>0</v>
      </c>
      <c r="BG414" s="126">
        <f t="shared" si="119"/>
        <v>0</v>
      </c>
      <c r="BH414" s="126">
        <f t="shared" si="119"/>
        <v>0</v>
      </c>
      <c r="BI414" s="126">
        <f t="shared" si="119"/>
        <v>0</v>
      </c>
      <c r="BJ414" s="126">
        <f t="shared" si="119"/>
        <v>0</v>
      </c>
      <c r="BK414" s="126">
        <f t="shared" si="119"/>
        <v>0</v>
      </c>
      <c r="BL414" s="126">
        <f t="shared" si="119"/>
        <v>0</v>
      </c>
      <c r="BM414" s="126">
        <f t="shared" si="119"/>
        <v>0</v>
      </c>
      <c r="BN414" s="777"/>
      <c r="BO414" s="777"/>
      <c r="BP414" s="777"/>
      <c r="BS414" s="696" t="s">
        <v>2162</v>
      </c>
    </row>
    <row r="415" spans="1:75" ht="14.25" hidden="1" customHeight="1" x14ac:dyDescent="0.15">
      <c r="B415" s="580" t="b" cm="1">
        <f t="array" ref="B415">B414</f>
        <v>0</v>
      </c>
      <c r="C415" s="25"/>
      <c r="D415" s="25"/>
      <c r="E415" s="451">
        <v>15</v>
      </c>
      <c r="F415" s="3" t="str" cm="1">
        <f t="array" aca="1" ref="F415" ca="1">OFFSET(E415,-1,1)</f>
        <v>2</v>
      </c>
      <c r="G415" s="25"/>
      <c r="H415" s="25"/>
      <c r="I415" s="25"/>
      <c r="J415" s="25"/>
      <c r="K415" s="25" t="s">
        <v>574</v>
      </c>
      <c r="L415" s="25"/>
      <c r="M415" s="25"/>
      <c r="N415" s="25"/>
      <c r="O415" s="25"/>
      <c r="P415" s="25"/>
      <c r="Q415" s="25"/>
      <c r="R415" s="25"/>
      <c r="S415" s="25"/>
      <c r="T415" s="580" t="b" cm="1">
        <f t="array" aca="1" ref="T415" ca="1">T414</f>
        <v>1</v>
      </c>
      <c r="U415" s="25"/>
      <c r="V415" s="25"/>
      <c r="W415" s="25"/>
      <c r="X415" s="1022"/>
      <c r="Z415" s="967"/>
      <c r="AB415" s="7" t="s">
        <v>704</v>
      </c>
      <c r="AC415" s="127" t="s">
        <v>2163</v>
      </c>
      <c r="AD415" s="7" t="s">
        <v>828</v>
      </c>
      <c r="AE415" s="778"/>
      <c r="AF415" s="778"/>
      <c r="AG415" s="778"/>
      <c r="AH415" s="542"/>
      <c r="AI415" s="778"/>
      <c r="AJ415" s="128"/>
      <c r="AK415" s="778"/>
      <c r="AL415" s="778"/>
      <c r="AM415" s="778"/>
      <c r="AN415" s="778"/>
      <c r="AO415" s="778"/>
      <c r="AP415" s="778"/>
      <c r="AQ415" s="778"/>
      <c r="AR415" s="778"/>
      <c r="AS415" s="778"/>
      <c r="AT415" s="128"/>
      <c r="AU415" s="778"/>
      <c r="AV415" s="778"/>
      <c r="AW415" s="778"/>
      <c r="AX415" s="778"/>
      <c r="AY415" s="778"/>
      <c r="AZ415" s="778"/>
      <c r="BA415" s="778"/>
      <c r="BB415" s="778"/>
      <c r="BC415" s="778"/>
      <c r="BD415" s="542"/>
      <c r="BE415" s="542"/>
      <c r="BF415" s="542"/>
      <c r="BG415" s="542"/>
      <c r="BH415" s="542"/>
      <c r="BI415" s="542"/>
      <c r="BJ415" s="542"/>
      <c r="BK415" s="542"/>
      <c r="BL415" s="542"/>
      <c r="BM415" s="542"/>
      <c r="BN415" s="775"/>
      <c r="BO415" s="775"/>
      <c r="BP415" s="775"/>
      <c r="BS415" s="696" t="s">
        <v>2164</v>
      </c>
    </row>
    <row r="416" spans="1:75" ht="14.25" hidden="1" customHeight="1" x14ac:dyDescent="0.15">
      <c r="B416" s="580" t="b" cm="1">
        <f t="array" ref="B416">B415</f>
        <v>0</v>
      </c>
      <c r="C416" s="25"/>
      <c r="D416" s="25"/>
      <c r="E416" s="451">
        <v>15</v>
      </c>
      <c r="F416" s="3" t="str" cm="1">
        <f t="array" aca="1" ref="F416" ca="1">OFFSET(E416,-1,1)</f>
        <v>2</v>
      </c>
      <c r="G416" s="25"/>
      <c r="H416" s="25"/>
      <c r="I416" s="25"/>
      <c r="J416" s="25"/>
      <c r="K416" s="25" t="s">
        <v>578</v>
      </c>
      <c r="L416" s="25"/>
      <c r="M416" s="25"/>
      <c r="N416" s="25"/>
      <c r="O416" s="25"/>
      <c r="P416" s="25"/>
      <c r="Q416" s="25"/>
      <c r="R416" s="25"/>
      <c r="S416" s="25"/>
      <c r="T416" s="580" t="b" cm="1">
        <f t="array" aca="1" ref="T416" ca="1">T415</f>
        <v>1</v>
      </c>
      <c r="U416" s="25"/>
      <c r="V416" s="25"/>
      <c r="W416" s="25"/>
      <c r="X416" s="1022"/>
      <c r="Z416" s="967"/>
      <c r="AB416" s="7" t="s">
        <v>707</v>
      </c>
      <c r="AC416" s="127" t="s">
        <v>2165</v>
      </c>
      <c r="AD416" s="7" t="s">
        <v>476</v>
      </c>
      <c r="AE416" s="778"/>
      <c r="AF416" s="778"/>
      <c r="AG416" s="778"/>
      <c r="AH416" s="542"/>
      <c r="AI416" s="778"/>
      <c r="AJ416" s="128"/>
      <c r="AK416" s="778"/>
      <c r="AL416" s="778"/>
      <c r="AM416" s="778"/>
      <c r="AN416" s="778"/>
      <c r="AO416" s="778"/>
      <c r="AP416" s="778"/>
      <c r="AQ416" s="778"/>
      <c r="AR416" s="778"/>
      <c r="AS416" s="778"/>
      <c r="AT416" s="128"/>
      <c r="AU416" s="778"/>
      <c r="AV416" s="778"/>
      <c r="AW416" s="778"/>
      <c r="AX416" s="778"/>
      <c r="AY416" s="778"/>
      <c r="AZ416" s="778"/>
      <c r="BA416" s="778"/>
      <c r="BB416" s="778"/>
      <c r="BC416" s="778"/>
      <c r="BD416" s="542"/>
      <c r="BE416" s="542"/>
      <c r="BF416" s="542"/>
      <c r="BG416" s="542"/>
      <c r="BH416" s="542"/>
      <c r="BI416" s="542"/>
      <c r="BJ416" s="542"/>
      <c r="BK416" s="542"/>
      <c r="BL416" s="542"/>
      <c r="BM416" s="542"/>
      <c r="BN416" s="775"/>
      <c r="BO416" s="775"/>
      <c r="BP416" s="775"/>
      <c r="BS416" s="696" t="s">
        <v>2166</v>
      </c>
    </row>
    <row r="417" spans="1:75" ht="14.25" hidden="1" customHeight="1" x14ac:dyDescent="0.15">
      <c r="B417" s="580" t="b" cm="1">
        <f t="array" ref="B417">B416</f>
        <v>0</v>
      </c>
      <c r="C417" s="25"/>
      <c r="D417" s="25"/>
      <c r="E417" s="451">
        <v>15</v>
      </c>
      <c r="F417" s="3" t="str" cm="1">
        <f t="array" aca="1" ref="F417" ca="1">OFFSET(E417,-1,1)</f>
        <v>2</v>
      </c>
      <c r="G417" s="25"/>
      <c r="H417" s="25"/>
      <c r="I417" s="25"/>
      <c r="J417" s="25"/>
      <c r="K417" s="25" t="s">
        <v>794</v>
      </c>
      <c r="L417" s="25"/>
      <c r="M417" s="25"/>
      <c r="N417" s="25"/>
      <c r="O417" s="25"/>
      <c r="P417" s="25"/>
      <c r="Q417" s="25"/>
      <c r="R417" s="25"/>
      <c r="S417" s="25"/>
      <c r="T417" s="580" t="b" cm="1">
        <f t="array" aca="1" ref="T417" ca="1">T416</f>
        <v>1</v>
      </c>
      <c r="U417" s="25"/>
      <c r="V417" s="25"/>
      <c r="W417" s="25"/>
      <c r="X417" s="1022"/>
      <c r="Z417" s="967"/>
      <c r="AB417" s="7" t="s">
        <v>994</v>
      </c>
      <c r="AC417" s="127" t="s">
        <v>2167</v>
      </c>
      <c r="AD417" s="7" t="s">
        <v>828</v>
      </c>
      <c r="AE417" s="778"/>
      <c r="AF417" s="778"/>
      <c r="AG417" s="778"/>
      <c r="AH417" s="542"/>
      <c r="AI417" s="778"/>
      <c r="AJ417" s="128"/>
      <c r="AK417" s="778"/>
      <c r="AL417" s="778"/>
      <c r="AM417" s="778"/>
      <c r="AN417" s="778"/>
      <c r="AO417" s="778"/>
      <c r="AP417" s="778"/>
      <c r="AQ417" s="778"/>
      <c r="AR417" s="778"/>
      <c r="AS417" s="778"/>
      <c r="AT417" s="128"/>
      <c r="AU417" s="778"/>
      <c r="AV417" s="778"/>
      <c r="AW417" s="778"/>
      <c r="AX417" s="778"/>
      <c r="AY417" s="778"/>
      <c r="AZ417" s="778"/>
      <c r="BA417" s="778"/>
      <c r="BB417" s="778"/>
      <c r="BC417" s="778"/>
      <c r="BD417" s="542"/>
      <c r="BE417" s="542"/>
      <c r="BF417" s="542"/>
      <c r="BG417" s="542"/>
      <c r="BH417" s="542"/>
      <c r="BI417" s="542"/>
      <c r="BJ417" s="542"/>
      <c r="BK417" s="542"/>
      <c r="BL417" s="542"/>
      <c r="BM417" s="542"/>
      <c r="BN417" s="775"/>
      <c r="BO417" s="775"/>
      <c r="BP417" s="775"/>
      <c r="BS417" s="696" t="s">
        <v>2168</v>
      </c>
    </row>
    <row r="418" spans="1:75" ht="14.25" hidden="1" customHeight="1" x14ac:dyDescent="0.15">
      <c r="B418" s="580" t="b" cm="1">
        <f t="array" ref="B418">B417</f>
        <v>0</v>
      </c>
      <c r="C418" s="25"/>
      <c r="D418" s="25"/>
      <c r="E418" s="451">
        <v>15</v>
      </c>
      <c r="F418" s="3" t="str" cm="1">
        <f t="array" aca="1" ref="F418" ca="1">OFFSET(E418,-1,1)</f>
        <v>2</v>
      </c>
      <c r="G418" s="25"/>
      <c r="H418" s="25"/>
      <c r="I418" s="25"/>
      <c r="J418" s="25"/>
      <c r="K418" s="25" t="s">
        <v>996</v>
      </c>
      <c r="L418" s="25"/>
      <c r="M418" s="25"/>
      <c r="N418" s="25"/>
      <c r="O418" s="25"/>
      <c r="P418" s="25"/>
      <c r="Q418" s="25"/>
      <c r="R418" s="25"/>
      <c r="S418" s="25"/>
      <c r="T418" s="580" t="b" cm="1">
        <f t="array" aca="1" ref="T418" ca="1">T417</f>
        <v>1</v>
      </c>
      <c r="U418" s="25"/>
      <c r="V418" s="25"/>
      <c r="W418" s="25"/>
      <c r="X418" s="1022"/>
      <c r="Z418" s="967"/>
      <c r="AB418" s="7" t="s">
        <v>997</v>
      </c>
      <c r="AC418" s="127" t="s">
        <v>2169</v>
      </c>
      <c r="AD418" s="7" t="s">
        <v>828</v>
      </c>
      <c r="AE418" s="778"/>
      <c r="AF418" s="778"/>
      <c r="AG418" s="778"/>
      <c r="AH418" s="542"/>
      <c r="AI418" s="778"/>
      <c r="AJ418" s="128"/>
      <c r="AK418" s="778"/>
      <c r="AL418" s="778"/>
      <c r="AM418" s="778"/>
      <c r="AN418" s="778"/>
      <c r="AO418" s="778"/>
      <c r="AP418" s="778"/>
      <c r="AQ418" s="778"/>
      <c r="AR418" s="778"/>
      <c r="AS418" s="778"/>
      <c r="AT418" s="128"/>
      <c r="AU418" s="778"/>
      <c r="AV418" s="778"/>
      <c r="AW418" s="778"/>
      <c r="AX418" s="778"/>
      <c r="AY418" s="778"/>
      <c r="AZ418" s="778"/>
      <c r="BA418" s="778"/>
      <c r="BB418" s="778"/>
      <c r="BC418" s="778"/>
      <c r="BD418" s="542"/>
      <c r="BE418" s="542"/>
      <c r="BF418" s="542"/>
      <c r="BG418" s="542"/>
      <c r="BH418" s="542"/>
      <c r="BI418" s="542"/>
      <c r="BJ418" s="542"/>
      <c r="BK418" s="542"/>
      <c r="BL418" s="542"/>
      <c r="BM418" s="542"/>
      <c r="BN418" s="775"/>
      <c r="BO418" s="775"/>
      <c r="BP418" s="775"/>
      <c r="BS418" s="696" t="s">
        <v>2170</v>
      </c>
    </row>
    <row r="419" spans="1:75" ht="14.25" hidden="1" customHeight="1" x14ac:dyDescent="0.15">
      <c r="B419" s="580" t="b" cm="1">
        <f t="array" ref="B419">B418</f>
        <v>0</v>
      </c>
      <c r="C419" s="25"/>
      <c r="D419" s="25"/>
      <c r="E419" s="451">
        <v>15</v>
      </c>
      <c r="F419" s="3" t="str" cm="1">
        <f t="array" aca="1" ref="F419" ca="1">OFFSET(E419,-1,1)</f>
        <v>2</v>
      </c>
      <c r="G419" s="25"/>
      <c r="H419" s="25"/>
      <c r="I419" s="25"/>
      <c r="J419" s="25"/>
      <c r="K419" s="25" t="s">
        <v>2171</v>
      </c>
      <c r="L419" s="25"/>
      <c r="M419" s="25"/>
      <c r="N419" s="25"/>
      <c r="O419" s="25"/>
      <c r="P419" s="25"/>
      <c r="Q419" s="25"/>
      <c r="R419" s="25"/>
      <c r="S419" s="25"/>
      <c r="T419" s="580" t="b" cm="1">
        <f t="array" aca="1" ref="T419" ca="1">T418</f>
        <v>1</v>
      </c>
      <c r="U419" s="25"/>
      <c r="V419" s="25"/>
      <c r="W419" s="25"/>
      <c r="X419" s="1022"/>
      <c r="Z419" s="967"/>
      <c r="AB419" s="7" t="s">
        <v>2172</v>
      </c>
      <c r="AC419" s="134" t="s">
        <v>2173</v>
      </c>
      <c r="AD419" s="7" t="s">
        <v>476</v>
      </c>
      <c r="AE419" s="778"/>
      <c r="AF419" s="778"/>
      <c r="AG419" s="778"/>
      <c r="AH419" s="542"/>
      <c r="AI419" s="778"/>
      <c r="AJ419" s="128"/>
      <c r="AK419" s="778"/>
      <c r="AL419" s="778"/>
      <c r="AM419" s="778"/>
      <c r="AN419" s="778"/>
      <c r="AO419" s="778"/>
      <c r="AP419" s="778"/>
      <c r="AQ419" s="778"/>
      <c r="AR419" s="778"/>
      <c r="AS419" s="778"/>
      <c r="AT419" s="128"/>
      <c r="AU419" s="778"/>
      <c r="AV419" s="778"/>
      <c r="AW419" s="778"/>
      <c r="AX419" s="778"/>
      <c r="AY419" s="778"/>
      <c r="AZ419" s="778"/>
      <c r="BA419" s="778"/>
      <c r="BB419" s="778"/>
      <c r="BC419" s="778"/>
      <c r="BD419" s="542"/>
      <c r="BE419" s="542"/>
      <c r="BF419" s="542"/>
      <c r="BG419" s="542"/>
      <c r="BH419" s="542"/>
      <c r="BI419" s="542"/>
      <c r="BJ419" s="542"/>
      <c r="BK419" s="542"/>
      <c r="BL419" s="542"/>
      <c r="BM419" s="542"/>
      <c r="BN419" s="775"/>
      <c r="BO419" s="775"/>
      <c r="BP419" s="775"/>
      <c r="BS419" s="696" t="s">
        <v>2174</v>
      </c>
    </row>
    <row r="420" spans="1:75" ht="14.25" hidden="1" customHeight="1" x14ac:dyDescent="0.15">
      <c r="B420" s="580" t="b" cm="1">
        <f t="array" ref="B420">B419</f>
        <v>0</v>
      </c>
      <c r="C420" s="25"/>
      <c r="D420" s="25"/>
      <c r="E420" s="451">
        <v>15</v>
      </c>
      <c r="F420" s="3" t="str" cm="1">
        <f t="array" aca="1" ref="F420" ca="1">OFFSET(E420,-1,1)</f>
        <v>2</v>
      </c>
      <c r="G420" s="25"/>
      <c r="H420" s="25"/>
      <c r="I420" s="25"/>
      <c r="J420" s="25"/>
      <c r="K420" s="25" t="s">
        <v>999</v>
      </c>
      <c r="L420" s="25"/>
      <c r="M420" s="25"/>
      <c r="N420" s="25"/>
      <c r="O420" s="25"/>
      <c r="P420" s="25"/>
      <c r="Q420" s="25"/>
      <c r="R420" s="25"/>
      <c r="S420" s="25"/>
      <c r="T420" s="580" t="b" cm="1">
        <f t="array" aca="1" ref="T420" ca="1">T419</f>
        <v>1</v>
      </c>
      <c r="U420" s="25"/>
      <c r="V420" s="25"/>
      <c r="W420" s="25"/>
      <c r="X420" s="1022"/>
      <c r="Z420" s="967"/>
      <c r="AB420" s="7" t="s">
        <v>1000</v>
      </c>
      <c r="AC420" s="127" t="s">
        <v>2175</v>
      </c>
      <c r="AD420" s="7" t="s">
        <v>476</v>
      </c>
      <c r="AE420" s="778"/>
      <c r="AF420" s="778"/>
      <c r="AG420" s="778"/>
      <c r="AH420" s="542"/>
      <c r="AI420" s="778"/>
      <c r="AJ420" s="128"/>
      <c r="AK420" s="778"/>
      <c r="AL420" s="778"/>
      <c r="AM420" s="778"/>
      <c r="AN420" s="778"/>
      <c r="AO420" s="778"/>
      <c r="AP420" s="778"/>
      <c r="AQ420" s="778"/>
      <c r="AR420" s="778"/>
      <c r="AS420" s="778"/>
      <c r="AT420" s="128"/>
      <c r="AU420" s="778"/>
      <c r="AV420" s="778"/>
      <c r="AW420" s="778"/>
      <c r="AX420" s="778"/>
      <c r="AY420" s="778"/>
      <c r="AZ420" s="778"/>
      <c r="BA420" s="778"/>
      <c r="BB420" s="778"/>
      <c r="BC420" s="778"/>
      <c r="BD420" s="542"/>
      <c r="BE420" s="542"/>
      <c r="BF420" s="542"/>
      <c r="BG420" s="542"/>
      <c r="BH420" s="542"/>
      <c r="BI420" s="542"/>
      <c r="BJ420" s="542"/>
      <c r="BK420" s="542"/>
      <c r="BL420" s="542"/>
      <c r="BM420" s="542"/>
      <c r="BN420" s="775"/>
      <c r="BO420" s="775"/>
      <c r="BP420" s="775"/>
      <c r="BS420" s="696" t="s">
        <v>2176</v>
      </c>
    </row>
    <row r="421" spans="1:75" ht="14.25" hidden="1" customHeight="1" x14ac:dyDescent="0.15">
      <c r="B421" s="580" t="b" cm="1">
        <f t="array" ref="B421">B420</f>
        <v>0</v>
      </c>
      <c r="C421" s="25"/>
      <c r="D421" s="25"/>
      <c r="E421" s="451">
        <v>15</v>
      </c>
      <c r="F421" s="3" t="str" cm="1">
        <f t="array" aca="1" ref="F421" ca="1">OFFSET(E421,-1,1)</f>
        <v>2</v>
      </c>
      <c r="G421" s="25"/>
      <c r="H421" s="25"/>
      <c r="I421" s="25"/>
      <c r="J421" s="25"/>
      <c r="K421" s="25" t="s">
        <v>2177</v>
      </c>
      <c r="L421" s="25"/>
      <c r="M421" s="25"/>
      <c r="N421" s="25"/>
      <c r="O421" s="25"/>
      <c r="P421" s="25"/>
      <c r="Q421" s="25"/>
      <c r="R421" s="25"/>
      <c r="S421" s="25"/>
      <c r="T421" s="580" t="b" cm="1">
        <f t="array" aca="1" ref="T421" ca="1">T420</f>
        <v>1</v>
      </c>
      <c r="U421" s="25"/>
      <c r="V421" s="25"/>
      <c r="W421" s="25"/>
      <c r="X421" s="1022"/>
      <c r="Z421" s="967"/>
      <c r="AB421" s="7" t="s">
        <v>2178</v>
      </c>
      <c r="AC421" s="134" t="s">
        <v>2179</v>
      </c>
      <c r="AD421" s="7" t="s">
        <v>476</v>
      </c>
      <c r="AE421" s="778"/>
      <c r="AF421" s="778"/>
      <c r="AG421" s="778"/>
      <c r="AH421" s="542"/>
      <c r="AI421" s="778"/>
      <c r="AJ421" s="128"/>
      <c r="AK421" s="778"/>
      <c r="AL421" s="778"/>
      <c r="AM421" s="778"/>
      <c r="AN421" s="778"/>
      <c r="AO421" s="778"/>
      <c r="AP421" s="778"/>
      <c r="AQ421" s="778"/>
      <c r="AR421" s="778"/>
      <c r="AS421" s="778"/>
      <c r="AT421" s="128"/>
      <c r="AU421" s="778"/>
      <c r="AV421" s="778"/>
      <c r="AW421" s="778"/>
      <c r="AX421" s="778"/>
      <c r="AY421" s="778"/>
      <c r="AZ421" s="778"/>
      <c r="BA421" s="778"/>
      <c r="BB421" s="778"/>
      <c r="BC421" s="778"/>
      <c r="BD421" s="542"/>
      <c r="BE421" s="542"/>
      <c r="BF421" s="542"/>
      <c r="BG421" s="542"/>
      <c r="BH421" s="542"/>
      <c r="BI421" s="542"/>
      <c r="BJ421" s="542"/>
      <c r="BK421" s="542"/>
      <c r="BL421" s="542"/>
      <c r="BM421" s="542"/>
      <c r="BN421" s="775"/>
      <c r="BO421" s="775"/>
      <c r="BP421" s="775"/>
      <c r="BS421" s="696" t="s">
        <v>2180</v>
      </c>
    </row>
    <row r="422" spans="1:75" ht="14.25" hidden="1" customHeight="1" x14ac:dyDescent="0.15">
      <c r="B422" s="580" t="b" cm="1">
        <f t="array" ref="B422">B421</f>
        <v>0</v>
      </c>
      <c r="C422" s="25"/>
      <c r="D422" s="25"/>
      <c r="E422" s="451">
        <v>15</v>
      </c>
      <c r="F422" s="3" t="str" cm="1">
        <f t="array" aca="1" ref="F422" ca="1">OFFSET(E422,-1,1)</f>
        <v>2</v>
      </c>
      <c r="G422" s="25"/>
      <c r="H422" s="25"/>
      <c r="I422" s="25"/>
      <c r="J422" s="25"/>
      <c r="K422" s="25" t="s">
        <v>2181</v>
      </c>
      <c r="L422" s="25"/>
      <c r="M422" s="25"/>
      <c r="N422" s="25"/>
      <c r="O422" s="25"/>
      <c r="P422" s="25"/>
      <c r="Q422" s="25"/>
      <c r="R422" s="25"/>
      <c r="S422" s="25"/>
      <c r="T422" s="580" t="b" cm="1">
        <f t="array" aca="1" ref="T422" ca="1">T421</f>
        <v>1</v>
      </c>
      <c r="U422" s="25"/>
      <c r="V422" s="25"/>
      <c r="W422" s="25"/>
      <c r="X422" s="1022"/>
      <c r="Z422" s="967"/>
      <c r="AB422" s="7" t="s">
        <v>2182</v>
      </c>
      <c r="AC422" s="134" t="s">
        <v>2183</v>
      </c>
      <c r="AD422" s="7" t="s">
        <v>476</v>
      </c>
      <c r="AE422" s="778"/>
      <c r="AF422" s="778"/>
      <c r="AG422" s="778"/>
      <c r="AH422" s="542"/>
      <c r="AI422" s="778"/>
      <c r="AJ422" s="128"/>
      <c r="AK422" s="778"/>
      <c r="AL422" s="778"/>
      <c r="AM422" s="778"/>
      <c r="AN422" s="778"/>
      <c r="AO422" s="778"/>
      <c r="AP422" s="778"/>
      <c r="AQ422" s="778"/>
      <c r="AR422" s="778"/>
      <c r="AS422" s="778"/>
      <c r="AT422" s="128"/>
      <c r="AU422" s="778"/>
      <c r="AV422" s="778"/>
      <c r="AW422" s="778"/>
      <c r="AX422" s="778"/>
      <c r="AY422" s="778"/>
      <c r="AZ422" s="778"/>
      <c r="BA422" s="778"/>
      <c r="BB422" s="778"/>
      <c r="BC422" s="778"/>
      <c r="BD422" s="542"/>
      <c r="BE422" s="542"/>
      <c r="BF422" s="542"/>
      <c r="BG422" s="542"/>
      <c r="BH422" s="542"/>
      <c r="BI422" s="542"/>
      <c r="BJ422" s="542"/>
      <c r="BK422" s="542"/>
      <c r="BL422" s="542"/>
      <c r="BM422" s="542"/>
      <c r="BN422" s="775"/>
      <c r="BO422" s="775"/>
      <c r="BP422" s="775"/>
      <c r="BS422" s="696" t="s">
        <v>2184</v>
      </c>
    </row>
    <row r="423" spans="1:75" s="870" customFormat="1" ht="20.45" customHeight="1" x14ac:dyDescent="0.15">
      <c r="A423" s="76"/>
      <c r="B423" s="332"/>
      <c r="C423" s="27"/>
      <c r="D423" s="27" t="str">
        <f>IF(B422,"6","7")</f>
        <v>7</v>
      </c>
      <c r="E423" s="559">
        <v>21</v>
      </c>
      <c r="F423" s="3" t="str" cm="1">
        <f t="array" aca="1" ref="F423" ca="1">OFFSET(E423,-1,1)</f>
        <v>2</v>
      </c>
      <c r="G423" s="25" t="s">
        <v>2185</v>
      </c>
      <c r="H423" s="25"/>
      <c r="I423" s="283" t="s">
        <v>2186</v>
      </c>
      <c r="J423" s="27"/>
      <c r="K423" s="279" t="s">
        <v>2186</v>
      </c>
      <c r="L423" s="27"/>
      <c r="M423" s="27"/>
      <c r="N423" s="27"/>
      <c r="O423" s="27"/>
      <c r="P423" s="27"/>
      <c r="Q423" s="27"/>
      <c r="R423" s="27"/>
      <c r="S423" s="27"/>
      <c r="T423" s="353" t="b" cm="1">
        <f t="array" aca="1" ref="T423" ca="1">T422</f>
        <v>1</v>
      </c>
      <c r="U423" s="27"/>
      <c r="V423" s="27"/>
      <c r="W423" s="27"/>
      <c r="X423" s="1022"/>
      <c r="Y423" s="76"/>
      <c r="Z423" s="967"/>
      <c r="AA423" s="76"/>
      <c r="AB423" s="124" t="str" cm="1">
        <f t="array" ref="AB423">D423</f>
        <v>7</v>
      </c>
      <c r="AC423" s="132" t="s">
        <v>1598</v>
      </c>
      <c r="AD423" s="124" t="s">
        <v>828</v>
      </c>
      <c r="AE423" s="138">
        <v>499.99</v>
      </c>
      <c r="AF423" s="138"/>
      <c r="AG423" s="138">
        <v>499.99</v>
      </c>
      <c r="AH423" s="126">
        <f>AG423-AF423</f>
        <v>499.99</v>
      </c>
      <c r="AI423" s="138">
        <v>2719.2007125760001</v>
      </c>
      <c r="AJ423" s="128">
        <v>33064.861465526497</v>
      </c>
      <c r="AK423" s="774"/>
      <c r="AL423" s="774"/>
      <c r="AM423" s="138"/>
      <c r="AN423" s="138"/>
      <c r="AO423" s="138"/>
      <c r="AP423" s="138"/>
      <c r="AQ423" s="138"/>
      <c r="AR423" s="138"/>
      <c r="AS423" s="138"/>
      <c r="AT423" s="128">
        <v>-4184.38</v>
      </c>
      <c r="AU423" s="774"/>
      <c r="AV423" s="774"/>
      <c r="AW423" s="138"/>
      <c r="AX423" s="138"/>
      <c r="AY423" s="138"/>
      <c r="AZ423" s="138"/>
      <c r="BA423" s="138"/>
      <c r="BB423" s="138"/>
      <c r="BC423" s="138"/>
      <c r="BD423" s="126">
        <f>IF(AI423=0,0,(AT423-AI423)/AI423*100)</f>
        <v>-253.88271930967471</v>
      </c>
      <c r="BE423" s="126">
        <f t="shared" ref="BE423:BM423" si="120">IF(AT423=0,0,(AU423-AT423)/AT423*100)</f>
        <v>-100</v>
      </c>
      <c r="BF423" s="126">
        <f t="shared" si="120"/>
        <v>0</v>
      </c>
      <c r="BG423" s="126">
        <f t="shared" si="120"/>
        <v>0</v>
      </c>
      <c r="BH423" s="126">
        <f t="shared" si="120"/>
        <v>0</v>
      </c>
      <c r="BI423" s="126">
        <f t="shared" si="120"/>
        <v>0</v>
      </c>
      <c r="BJ423" s="126">
        <f t="shared" si="120"/>
        <v>0</v>
      </c>
      <c r="BK423" s="126">
        <f t="shared" si="120"/>
        <v>0</v>
      </c>
      <c r="BL423" s="126">
        <f t="shared" si="120"/>
        <v>0</v>
      </c>
      <c r="BM423" s="126">
        <f t="shared" si="120"/>
        <v>0</v>
      </c>
      <c r="BN423" s="556"/>
      <c r="BO423" s="601" t="str">
        <f ca="1">IF(IFERROR(INDEX('Корректировка НВВ'!$K$26:$L$231,MATCH($F423&amp;"11komm",'Корректировка НВВ'!$K$26:$K$231,0),2),"")=0,"",IFERROR(INDEX('Корректировка НВВ'!$K$26:$L$231,MATCH($F423&amp;"11komm",'Корректировка НВВ'!$K$26:$K$231,0),2),""))</f>
        <v/>
      </c>
      <c r="BP423" s="556"/>
      <c r="BQ423" s="76"/>
      <c r="BR423" s="76"/>
      <c r="BS423" s="702" t="s">
        <v>2187</v>
      </c>
      <c r="BT423" s="702"/>
      <c r="BU423" s="702"/>
      <c r="BV423" s="511"/>
      <c r="BW423" s="511"/>
    </row>
    <row r="424" spans="1:75" ht="14.25" customHeight="1" x14ac:dyDescent="0.15">
      <c r="C424" s="25"/>
      <c r="D424" s="25" t="str" cm="1">
        <f t="array" ref="D424">D423</f>
        <v>7</v>
      </c>
      <c r="E424" s="451">
        <v>15</v>
      </c>
      <c r="F424" s="3" t="str" cm="1">
        <f t="array" aca="1" ref="F424" ca="1">OFFSET(E424,-1,1)</f>
        <v>2</v>
      </c>
      <c r="G424" s="25"/>
      <c r="H424" s="25"/>
      <c r="I424" s="25"/>
      <c r="J424" s="25"/>
      <c r="L424" s="25"/>
      <c r="M424" s="25"/>
      <c r="N424" s="25"/>
      <c r="O424" s="25"/>
      <c r="P424" s="25"/>
      <c r="Q424" s="25"/>
      <c r="R424" s="25"/>
      <c r="S424" s="25"/>
      <c r="T424" s="353" t="b" cm="1">
        <f t="array" aca="1" ref="T424" ca="1">T423</f>
        <v>1</v>
      </c>
      <c r="U424" s="25"/>
      <c r="V424" s="25"/>
      <c r="W424" s="25"/>
      <c r="X424" s="1022"/>
      <c r="Z424" s="967"/>
      <c r="AB424" s="7"/>
      <c r="AC424" s="346" t="s">
        <v>2188</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23.25" customHeight="1" x14ac:dyDescent="0.15">
      <c r="C425" s="25"/>
      <c r="D425" s="25" t="str" cm="1">
        <f t="array" ref="D425">D424</f>
        <v>7</v>
      </c>
      <c r="E425" s="451">
        <v>22.5</v>
      </c>
      <c r="F425" s="3" t="str" cm="1">
        <f t="array" aca="1" ref="F425" ca="1">OFFSET(E425,-1,1)</f>
        <v>2</v>
      </c>
      <c r="G425" s="25" t="s">
        <v>373</v>
      </c>
      <c r="H425" s="25"/>
      <c r="I425" s="25" t="s">
        <v>535</v>
      </c>
      <c r="J425" s="25"/>
      <c r="K425" s="72" t="s">
        <v>535</v>
      </c>
      <c r="L425" s="25"/>
      <c r="M425" s="25"/>
      <c r="N425" s="25"/>
      <c r="O425" s="25"/>
      <c r="P425" s="25"/>
      <c r="Q425" s="25"/>
      <c r="R425" s="25"/>
      <c r="S425" s="25"/>
      <c r="T425" s="353" t="b" cm="1">
        <f t="array" aca="1" ref="T425" ca="1">T424</f>
        <v>1</v>
      </c>
      <c r="U425" s="25"/>
      <c r="V425" s="25"/>
      <c r="W425" s="25"/>
      <c r="X425" s="1022"/>
      <c r="Z425" s="967"/>
      <c r="AB425" s="7" t="str">
        <f>D425&amp;".1"</f>
        <v>7.1</v>
      </c>
      <c r="AC425" s="127" t="s">
        <v>2189</v>
      </c>
      <c r="AD425" s="7" t="s">
        <v>828</v>
      </c>
      <c r="AE425" s="128">
        <v>0</v>
      </c>
      <c r="AF425" s="128"/>
      <c r="AG425" s="128"/>
      <c r="AH425" s="171">
        <f t="shared" ref="AH425:AH438" si="121">AG425-AF425</f>
        <v>0</v>
      </c>
      <c r="AI425" s="128">
        <v>0</v>
      </c>
      <c r="AJ425" s="128">
        <f ca="1">SUMIFS('Корректировка НВВ'!$AF$25:$AF$231,'Корректировка НВВ'!$F$25:$F$231,$F425,'Корректировка НВВ'!$I$25:$I$231,$G425)</f>
        <v>0</v>
      </c>
      <c r="AK425" s="778"/>
      <c r="AL425" s="778"/>
      <c r="AM425" s="128"/>
      <c r="AN425" s="128"/>
      <c r="AO425" s="128"/>
      <c r="AP425" s="128"/>
      <c r="AQ425" s="128"/>
      <c r="AR425" s="128"/>
      <c r="AS425" s="128"/>
      <c r="AT425" s="128">
        <f ca="1">SUMIFS('Корректировка НВВ'!$AG$25:$AG$231,'Корректировка НВВ'!$F$25:$F$231,$F425,'Корректировка НВВ'!$I$25:$I$231,$G425)</f>
        <v>0</v>
      </c>
      <c r="AU425" s="778"/>
      <c r="AV425" s="778"/>
      <c r="AW425" s="128"/>
      <c r="AX425" s="128"/>
      <c r="AY425" s="128"/>
      <c r="AZ425" s="128"/>
      <c r="BA425" s="128"/>
      <c r="BB425" s="128"/>
      <c r="BC425" s="128"/>
      <c r="BD425" s="542"/>
      <c r="BE425" s="542"/>
      <c r="BF425" s="542"/>
      <c r="BG425" s="542"/>
      <c r="BH425" s="542"/>
      <c r="BI425" s="542"/>
      <c r="BJ425" s="542"/>
      <c r="BK425" s="542"/>
      <c r="BL425" s="542"/>
      <c r="BM425" s="542"/>
      <c r="BN425" s="196"/>
      <c r="BO425" s="601" t="str">
        <f ca="1">IF(IFERROR(INDEX('Корректировка НВВ'!$K$26:$L$231,MATCH($F425&amp;"1komm",'Корректировка НВВ'!$K$26:$K$231,0),2),"")=0,"",IFERROR(INDEX('Корректировка НВВ'!$K$26:$L$231,MATCH($F425&amp;"1komm",'Корректировка НВВ'!$K$26:$K$231,0),2),""))</f>
        <v/>
      </c>
      <c r="BP425" s="196"/>
      <c r="BS425" s="696" t="s">
        <v>2190</v>
      </c>
    </row>
    <row r="426" spans="1:75" ht="233.25" customHeight="1" x14ac:dyDescent="0.15">
      <c r="C426" s="25"/>
      <c r="D426" s="25" t="str" cm="1">
        <f t="array" ref="D426">D425</f>
        <v>7</v>
      </c>
      <c r="E426" s="451">
        <v>101.25</v>
      </c>
      <c r="F426" s="3" t="str" cm="1">
        <f t="array" aca="1" ref="F426" ca="1">OFFSET(E426,-1,1)</f>
        <v>2</v>
      </c>
      <c r="G426" s="25" t="s">
        <v>2191</v>
      </c>
      <c r="H426" s="25"/>
      <c r="I426" s="25" t="s">
        <v>586</v>
      </c>
      <c r="J426" s="25"/>
      <c r="K426" s="72" t="s">
        <v>586</v>
      </c>
      <c r="L426" s="25"/>
      <c r="M426" s="25"/>
      <c r="N426" s="25"/>
      <c r="O426" s="25"/>
      <c r="P426" s="25"/>
      <c r="Q426" s="25"/>
      <c r="R426" s="25"/>
      <c r="S426" s="25"/>
      <c r="T426" s="353" t="b" cm="1">
        <f t="array" aca="1" ref="T426" ca="1">T425</f>
        <v>1</v>
      </c>
      <c r="U426" s="25"/>
      <c r="V426" s="25"/>
      <c r="W426" s="25"/>
      <c r="X426" s="1022"/>
      <c r="Z426" s="967"/>
      <c r="AB426" s="7" t="str">
        <f>D426&amp;".2"</f>
        <v>7.2</v>
      </c>
      <c r="AC426" s="127" t="s">
        <v>2192</v>
      </c>
      <c r="AD426" s="7" t="s">
        <v>828</v>
      </c>
      <c r="AE426" s="128">
        <v>0</v>
      </c>
      <c r="AF426" s="128"/>
      <c r="AG426" s="128"/>
      <c r="AH426" s="171">
        <f t="shared" si="121"/>
        <v>0</v>
      </c>
      <c r="AI426" s="128">
        <v>-355.894737384</v>
      </c>
      <c r="AJ426" s="128">
        <f ca="1">SUMIFS('Корректировка НВВ'!$AF$25:$AF$231,'Корректировка НВВ'!$F$25:$F$231,$F426,'Корректировка НВВ'!$I$25:$I$231,$G426)</f>
        <v>0</v>
      </c>
      <c r="AK426" s="778"/>
      <c r="AL426" s="778"/>
      <c r="AM426" s="128"/>
      <c r="AN426" s="128"/>
      <c r="AO426" s="128"/>
      <c r="AP426" s="128"/>
      <c r="AQ426" s="128"/>
      <c r="AR426" s="128"/>
      <c r="AS426" s="128"/>
      <c r="AT426" s="128">
        <v>-389.47</v>
      </c>
      <c r="AU426" s="778"/>
      <c r="AV426" s="778"/>
      <c r="AW426" s="128"/>
      <c r="AX426" s="128"/>
      <c r="AY426" s="128"/>
      <c r="AZ426" s="128"/>
      <c r="BA426" s="128"/>
      <c r="BB426" s="128"/>
      <c r="BC426" s="128"/>
      <c r="BD426" s="542"/>
      <c r="BE426" s="542"/>
      <c r="BF426" s="542"/>
      <c r="BG426" s="542"/>
      <c r="BH426" s="542"/>
      <c r="BI426" s="542"/>
      <c r="BJ426" s="542"/>
      <c r="BK426" s="542"/>
      <c r="BL426" s="542"/>
      <c r="BM426" s="542"/>
      <c r="BN426" s="196" t="s">
        <v>2258</v>
      </c>
      <c r="BO426" s="601" t="s">
        <v>2259</v>
      </c>
      <c r="BP426" s="196" t="s">
        <v>2287</v>
      </c>
      <c r="BS426" s="696" t="s">
        <v>2193</v>
      </c>
    </row>
    <row r="427" spans="1:75" ht="44.25" customHeight="1" x14ac:dyDescent="0.15">
      <c r="C427" s="25"/>
      <c r="D427" s="25" t="str" cm="1">
        <f t="array" ref="D427">D426</f>
        <v>7</v>
      </c>
      <c r="E427" s="451">
        <v>45</v>
      </c>
      <c r="F427" s="3" t="str" cm="1">
        <f t="array" aca="1" ref="F427" ca="1">OFFSET(E427,-1,1)</f>
        <v>2</v>
      </c>
      <c r="G427" s="25"/>
      <c r="H427" s="25"/>
      <c r="I427" s="25" t="s">
        <v>601</v>
      </c>
      <c r="J427" s="25"/>
      <c r="K427" s="72" t="s">
        <v>601</v>
      </c>
      <c r="L427" s="25"/>
      <c r="M427" s="25"/>
      <c r="N427" s="25"/>
      <c r="O427" s="25"/>
      <c r="P427" s="25"/>
      <c r="Q427" s="25"/>
      <c r="R427" s="25"/>
      <c r="S427" s="25"/>
      <c r="T427" s="353" t="b" cm="1">
        <f t="array" aca="1" ref="T427" ca="1">T426</f>
        <v>1</v>
      </c>
      <c r="U427" s="25"/>
      <c r="V427" s="25"/>
      <c r="W427" s="25"/>
      <c r="X427" s="1022"/>
      <c r="Z427" s="967"/>
      <c r="AB427" s="7" t="str">
        <f>D427&amp;".3"</f>
        <v>7.3</v>
      </c>
      <c r="AC427" s="127" t="s">
        <v>2194</v>
      </c>
      <c r="AD427" s="7" t="s">
        <v>828</v>
      </c>
      <c r="AE427" s="128"/>
      <c r="AF427" s="128"/>
      <c r="AG427" s="128"/>
      <c r="AH427" s="171">
        <f t="shared" si="121"/>
        <v>0</v>
      </c>
      <c r="AI427" s="128">
        <v>1654.6746699600001</v>
      </c>
      <c r="AJ427" s="128">
        <v>33064.861465526497</v>
      </c>
      <c r="AK427" s="778"/>
      <c r="AL427" s="778"/>
      <c r="AM427" s="128"/>
      <c r="AN427" s="128"/>
      <c r="AO427" s="128"/>
      <c r="AP427" s="128"/>
      <c r="AQ427" s="128"/>
      <c r="AR427" s="128"/>
      <c r="AS427" s="128"/>
      <c r="AT427" s="128">
        <v>-2107.94</v>
      </c>
      <c r="AU427" s="778"/>
      <c r="AV427" s="778"/>
      <c r="AW427" s="128"/>
      <c r="AX427" s="128"/>
      <c r="AY427" s="128"/>
      <c r="AZ427" s="128"/>
      <c r="BA427" s="128"/>
      <c r="BB427" s="128"/>
      <c r="BC427" s="128"/>
      <c r="BD427" s="542"/>
      <c r="BE427" s="542"/>
      <c r="BF427" s="542"/>
      <c r="BG427" s="542"/>
      <c r="BH427" s="542"/>
      <c r="BI427" s="542"/>
      <c r="BJ427" s="542"/>
      <c r="BK427" s="542"/>
      <c r="BL427" s="542"/>
      <c r="BM427" s="542"/>
      <c r="BN427" s="196"/>
      <c r="BO427" s="601" t="s">
        <v>2261</v>
      </c>
      <c r="BP427" s="196" t="s">
        <v>2288</v>
      </c>
      <c r="BS427" s="696" t="s">
        <v>2195</v>
      </c>
    </row>
    <row r="428" spans="1:75" ht="87.75" customHeight="1" x14ac:dyDescent="0.25">
      <c r="B428" s="341" t="b">
        <f>S315="Водоотведение"</f>
        <v>1</v>
      </c>
      <c r="C428" s="25"/>
      <c r="D428" s="25" t="str" cm="1">
        <f t="array" ref="D428">D427</f>
        <v>7</v>
      </c>
      <c r="E428" s="451">
        <v>90</v>
      </c>
      <c r="F428" s="3" t="str" cm="1">
        <f t="array" aca="1" ref="F428" ca="1">OFFSET(E428,-1,1)</f>
        <v>2</v>
      </c>
      <c r="G428" s="25" t="s">
        <v>2196</v>
      </c>
      <c r="H428" s="571"/>
      <c r="I428" s="25" t="s">
        <v>770</v>
      </c>
      <c r="J428" s="25"/>
      <c r="K428" s="72" t="s">
        <v>770</v>
      </c>
      <c r="L428" s="25" t="s">
        <v>767</v>
      </c>
      <c r="M428" s="25"/>
      <c r="N428" s="25"/>
      <c r="O428" s="25"/>
      <c r="P428" s="25"/>
      <c r="Q428" s="25"/>
      <c r="R428" s="25"/>
      <c r="S428" s="25"/>
      <c r="T428" s="353" t="b" cm="1">
        <f t="array" aca="1" ref="T428" ca="1">T427</f>
        <v>1</v>
      </c>
      <c r="U428" s="25"/>
      <c r="V428" s="25"/>
      <c r="W428" s="25"/>
      <c r="X428" s="1022"/>
      <c r="Z428" s="967"/>
      <c r="AB428" s="7" t="str">
        <f>D428&amp;".4"</f>
        <v>7.4</v>
      </c>
      <c r="AC428" s="127" t="s">
        <v>1857</v>
      </c>
      <c r="AD428" s="9" t="s">
        <v>828</v>
      </c>
      <c r="AE428" s="128">
        <v>0</v>
      </c>
      <c r="AF428" s="128"/>
      <c r="AG428" s="128"/>
      <c r="AH428" s="171">
        <f t="shared" si="121"/>
        <v>0</v>
      </c>
      <c r="AI428" s="128">
        <v>0</v>
      </c>
      <c r="AJ428" s="128">
        <f ca="1">SUMIFS('Корректировка НВВ'!$AF$25:$AF$231,'Корректировка НВВ'!$F$25:$F$231,$F428,'Корректировка НВВ'!$I$25:$I$231,$G428)</f>
        <v>0</v>
      </c>
      <c r="AK428" s="778"/>
      <c r="AL428" s="778"/>
      <c r="AM428" s="128"/>
      <c r="AN428" s="128"/>
      <c r="AO428" s="128"/>
      <c r="AP428" s="128"/>
      <c r="AQ428" s="128"/>
      <c r="AR428" s="128"/>
      <c r="AS428" s="128"/>
      <c r="AT428" s="128">
        <f ca="1">SUMIFS('Корректировка НВВ'!$AG$25:$AG$231,'Корректировка НВВ'!$F$25:$F$231,$F428,'Корректировка НВВ'!$I$25:$I$231,$G428)</f>
        <v>0</v>
      </c>
      <c r="AU428" s="778"/>
      <c r="AV428" s="778"/>
      <c r="AW428" s="128"/>
      <c r="AX428" s="128"/>
      <c r="AY428" s="128"/>
      <c r="AZ428" s="128"/>
      <c r="BA428" s="128"/>
      <c r="BB428" s="128"/>
      <c r="BC428" s="128"/>
      <c r="BD428" s="542"/>
      <c r="BE428" s="542"/>
      <c r="BF428" s="542"/>
      <c r="BG428" s="542"/>
      <c r="BH428" s="542"/>
      <c r="BI428" s="542"/>
      <c r="BJ428" s="542"/>
      <c r="BK428" s="542"/>
      <c r="BL428" s="542"/>
      <c r="BM428" s="542"/>
      <c r="BN428" s="196"/>
      <c r="BO428" s="601" t="str">
        <f ca="1">IF(IFERROR(INDEX('Корректировка НВВ'!$K$26:$L$231,MATCH($F428&amp;"3komm",'Корректировка НВВ'!$K$26:$K$231,0),2),"")=0,"",IFERROR(INDEX('Корректировка НВВ'!$K$26:$L$231,MATCH($F428&amp;"3komm",'Корректировка НВВ'!$K$26:$K$231,0),2),""))</f>
        <v/>
      </c>
      <c r="BP428" s="196"/>
      <c r="BS428" s="696" t="s">
        <v>1374</v>
      </c>
    </row>
    <row r="429" spans="1:75" ht="54.75" customHeight="1" x14ac:dyDescent="0.25">
      <c r="B429" s="341" t="b" cm="1">
        <f t="array" ref="B429">B428</f>
        <v>1</v>
      </c>
      <c r="C429" s="25"/>
      <c r="D429" s="25" t="str" cm="1">
        <f t="array" ref="D429">D428</f>
        <v>7</v>
      </c>
      <c r="E429" s="451">
        <v>56.25</v>
      </c>
      <c r="F429" s="3" t="str" cm="1">
        <f t="array" aca="1" ref="F429" ca="1">OFFSET(E429,-1,1)</f>
        <v>2</v>
      </c>
      <c r="G429" s="25" t="s">
        <v>2197</v>
      </c>
      <c r="H429" s="571"/>
      <c r="I429" s="25" t="s">
        <v>806</v>
      </c>
      <c r="J429" s="25"/>
      <c r="K429" s="72" t="s">
        <v>806</v>
      </c>
      <c r="L429" s="25" t="s">
        <v>770</v>
      </c>
      <c r="M429" s="25"/>
      <c r="N429" s="25"/>
      <c r="O429" s="25"/>
      <c r="P429" s="25"/>
      <c r="Q429" s="25"/>
      <c r="R429" s="25"/>
      <c r="S429" s="25"/>
      <c r="T429" s="353" t="b" cm="1">
        <f t="array" aca="1" ref="T429" ca="1">T428</f>
        <v>1</v>
      </c>
      <c r="U429" s="25"/>
      <c r="V429" s="25"/>
      <c r="W429" s="25"/>
      <c r="X429" s="1022"/>
      <c r="Z429" s="967"/>
      <c r="AB429" s="7" t="str">
        <f>D429&amp;".5"</f>
        <v>7.5</v>
      </c>
      <c r="AC429" s="127" t="s">
        <v>1859</v>
      </c>
      <c r="AD429" s="9" t="s">
        <v>828</v>
      </c>
      <c r="AE429" s="128">
        <v>0</v>
      </c>
      <c r="AF429" s="128"/>
      <c r="AG429" s="128"/>
      <c r="AH429" s="171">
        <f t="shared" si="121"/>
        <v>0</v>
      </c>
      <c r="AI429" s="128">
        <v>0</v>
      </c>
      <c r="AJ429" s="128">
        <f ca="1">SUMIFS('Корректировка НВВ'!$AF$25:$AF$231,'Корректировка НВВ'!$F$25:$F$231,$F429,'Корректировка НВВ'!$I$25:$I$231,$G429)</f>
        <v>0</v>
      </c>
      <c r="AK429" s="778"/>
      <c r="AL429" s="778"/>
      <c r="AM429" s="128"/>
      <c r="AN429" s="128"/>
      <c r="AO429" s="128"/>
      <c r="AP429" s="128"/>
      <c r="AQ429" s="128"/>
      <c r="AR429" s="128"/>
      <c r="AS429" s="128"/>
      <c r="AT429" s="128">
        <f ca="1">SUMIFS('Корректировка НВВ'!$AG$25:$AG$231,'Корректировка НВВ'!$F$25:$F$231,$F429,'Корректировка НВВ'!$I$25:$I$231,$G429)</f>
        <v>0</v>
      </c>
      <c r="AU429" s="778"/>
      <c r="AV429" s="778"/>
      <c r="AW429" s="128"/>
      <c r="AX429" s="128"/>
      <c r="AY429" s="128"/>
      <c r="AZ429" s="128"/>
      <c r="BA429" s="128"/>
      <c r="BB429" s="128"/>
      <c r="BC429" s="128"/>
      <c r="BD429" s="542"/>
      <c r="BE429" s="542"/>
      <c r="BF429" s="542"/>
      <c r="BG429" s="542"/>
      <c r="BH429" s="542"/>
      <c r="BI429" s="542"/>
      <c r="BJ429" s="542"/>
      <c r="BK429" s="542"/>
      <c r="BL429" s="542"/>
      <c r="BM429" s="542"/>
      <c r="BN429" s="196"/>
      <c r="BO429" s="601" t="str">
        <f ca="1">IF(IFERROR(INDEX('Корректировка НВВ'!$K$26:$L$231,MATCH($F429&amp;"4komm",'Корректировка НВВ'!$K$26:$K$231,0),2),"")=0,"",IFERROR(INDEX('Корректировка НВВ'!$K$26:$L$231,MATCH($F429&amp;"4komm",'Корректировка НВВ'!$K$26:$K$231,0),2),""))</f>
        <v/>
      </c>
      <c r="BP429" s="196"/>
      <c r="BS429" s="696" t="s">
        <v>1378</v>
      </c>
    </row>
    <row r="430" spans="1:75" ht="44.25" customHeight="1" x14ac:dyDescent="0.15">
      <c r="B430" s="46"/>
      <c r="C430" s="25"/>
      <c r="D430" s="25" t="str" cm="1">
        <f t="array" ref="D430">D429</f>
        <v>7</v>
      </c>
      <c r="E430" s="451">
        <v>15</v>
      </c>
      <c r="F430" s="3" t="str" cm="1">
        <f t="array" aca="1" ref="F430" ca="1">OFFSET(E430,-1,1)</f>
        <v>2</v>
      </c>
      <c r="G430" s="25" t="s">
        <v>2198</v>
      </c>
      <c r="H430" s="25"/>
      <c r="I430" s="25" t="s">
        <v>807</v>
      </c>
      <c r="J430" s="25"/>
      <c r="K430" s="72" t="s">
        <v>807</v>
      </c>
      <c r="L430" s="25" t="s">
        <v>806</v>
      </c>
      <c r="M430" s="25"/>
      <c r="N430" s="25"/>
      <c r="O430" s="25"/>
      <c r="P430" s="25"/>
      <c r="Q430" s="25"/>
      <c r="R430" s="25"/>
      <c r="S430" s="25"/>
      <c r="T430" s="353" t="b" cm="1">
        <f t="array" aca="1" ref="T430" ca="1">T429</f>
        <v>1</v>
      </c>
      <c r="U430" s="25"/>
      <c r="V430" s="25"/>
      <c r="W430" s="25"/>
      <c r="X430" s="1022"/>
      <c r="Z430" s="967"/>
      <c r="AB430" s="7" t="str">
        <f>IF(B429,D430&amp;".6",D430&amp;".4")</f>
        <v>7.6</v>
      </c>
      <c r="AC430" s="127" t="s">
        <v>1591</v>
      </c>
      <c r="AD430" s="7" t="s">
        <v>828</v>
      </c>
      <c r="AE430" s="128">
        <v>499.99</v>
      </c>
      <c r="AF430" s="128"/>
      <c r="AG430" s="128">
        <v>499.99</v>
      </c>
      <c r="AH430" s="171">
        <f t="shared" si="121"/>
        <v>499.99</v>
      </c>
      <c r="AI430" s="128">
        <v>1486.87</v>
      </c>
      <c r="AJ430" s="128">
        <v>1287.3399999999999</v>
      </c>
      <c r="AK430" s="778"/>
      <c r="AL430" s="778"/>
      <c r="AM430" s="128"/>
      <c r="AN430" s="128"/>
      <c r="AO430" s="128"/>
      <c r="AP430" s="128"/>
      <c r="AQ430" s="128"/>
      <c r="AR430" s="128"/>
      <c r="AS430" s="128"/>
      <c r="AT430" s="128">
        <v>1287.3399999999999</v>
      </c>
      <c r="AU430" s="778"/>
      <c r="AV430" s="778"/>
      <c r="AW430" s="128"/>
      <c r="AX430" s="128"/>
      <c r="AY430" s="128"/>
      <c r="AZ430" s="128"/>
      <c r="BA430" s="128"/>
      <c r="BB430" s="128"/>
      <c r="BC430" s="128"/>
      <c r="BD430" s="542"/>
      <c r="BE430" s="542"/>
      <c r="BF430" s="542"/>
      <c r="BG430" s="542"/>
      <c r="BH430" s="542"/>
      <c r="BI430" s="542"/>
      <c r="BJ430" s="542"/>
      <c r="BK430" s="542"/>
      <c r="BL430" s="542"/>
      <c r="BM430" s="542"/>
      <c r="BN430" s="196"/>
      <c r="BO430" s="601" t="s">
        <v>2289</v>
      </c>
      <c r="BP430" s="196" t="s">
        <v>2290</v>
      </c>
      <c r="BS430" s="696" t="s">
        <v>2199</v>
      </c>
    </row>
    <row r="431" spans="1:75" ht="14.65" customHeight="1" x14ac:dyDescent="0.15">
      <c r="C431" s="25"/>
      <c r="D431" s="25" t="str" cm="1">
        <f t="array" ref="D431">D430</f>
        <v>7</v>
      </c>
      <c r="E431" s="451">
        <v>15</v>
      </c>
      <c r="F431" s="3" t="str" cm="1">
        <f t="array" aca="1" ref="F431" ca="1">OFFSET(E431,-1,1)</f>
        <v>2</v>
      </c>
      <c r="G431" s="25" t="s">
        <v>2200</v>
      </c>
      <c r="H431" s="25"/>
      <c r="I431" s="25" t="s">
        <v>1869</v>
      </c>
      <c r="J431" s="25"/>
      <c r="K431" s="72" t="s">
        <v>1869</v>
      </c>
      <c r="L431" s="25" t="s">
        <v>807</v>
      </c>
      <c r="M431" s="25"/>
      <c r="N431" s="25"/>
      <c r="O431" s="25"/>
      <c r="P431" s="25"/>
      <c r="Q431" s="25"/>
      <c r="R431" s="25"/>
      <c r="S431" s="25"/>
      <c r="T431" s="353" t="b" cm="1">
        <f t="array" aca="1" ref="T431" ca="1">T430</f>
        <v>1</v>
      </c>
      <c r="U431" s="25"/>
      <c r="V431" s="25"/>
      <c r="W431" s="25"/>
      <c r="X431" s="1022"/>
      <c r="Z431" s="967"/>
      <c r="AB431" s="7" t="str">
        <f>IF(B429,D430&amp;".7",D430&amp;".5")</f>
        <v>7.7</v>
      </c>
      <c r="AC431" s="127" t="s">
        <v>1553</v>
      </c>
      <c r="AD431" s="7" t="s">
        <v>828</v>
      </c>
      <c r="AE431" s="128">
        <f>AE432+AE433</f>
        <v>0</v>
      </c>
      <c r="AF431" s="128">
        <f>AF432+AF433</f>
        <v>0</v>
      </c>
      <c r="AG431" s="128">
        <f>AG432+AG433</f>
        <v>0</v>
      </c>
      <c r="AH431" s="171">
        <f t="shared" si="121"/>
        <v>0</v>
      </c>
      <c r="AI431" s="128">
        <v>-66.449219999999997</v>
      </c>
      <c r="AJ431" s="128">
        <f ca="1">SUMIFS('Корректировка НВВ'!$AF$25:$AF$231,'Корректировка НВВ'!$F$25:$F$231,$F431,'Корректировка НВВ'!$I$25:$I$231,$G431)</f>
        <v>0</v>
      </c>
      <c r="AK431" s="778">
        <f t="shared" ref="AK431:AS431" si="122">AK432+AK433</f>
        <v>0</v>
      </c>
      <c r="AL431" s="778">
        <f t="shared" si="122"/>
        <v>0</v>
      </c>
      <c r="AM431" s="128">
        <f t="shared" si="122"/>
        <v>0</v>
      </c>
      <c r="AN431" s="128">
        <f t="shared" si="122"/>
        <v>0</v>
      </c>
      <c r="AO431" s="128">
        <f t="shared" si="122"/>
        <v>0</v>
      </c>
      <c r="AP431" s="128">
        <f t="shared" si="122"/>
        <v>0</v>
      </c>
      <c r="AQ431" s="128">
        <f t="shared" si="122"/>
        <v>0</v>
      </c>
      <c r="AR431" s="128">
        <f t="shared" si="122"/>
        <v>0</v>
      </c>
      <c r="AS431" s="128">
        <f t="shared" si="122"/>
        <v>0</v>
      </c>
      <c r="AT431" s="128">
        <v>2974.31</v>
      </c>
      <c r="AU431" s="778">
        <f t="shared" ref="AU431:BC431" si="123">AU432+AU433</f>
        <v>0</v>
      </c>
      <c r="AV431" s="778">
        <f t="shared" si="123"/>
        <v>0</v>
      </c>
      <c r="AW431" s="128">
        <f t="shared" si="123"/>
        <v>0</v>
      </c>
      <c r="AX431" s="128">
        <f t="shared" si="123"/>
        <v>0</v>
      </c>
      <c r="AY431" s="128">
        <f t="shared" si="123"/>
        <v>0</v>
      </c>
      <c r="AZ431" s="128">
        <f t="shared" si="123"/>
        <v>0</v>
      </c>
      <c r="BA431" s="128">
        <f t="shared" si="123"/>
        <v>0</v>
      </c>
      <c r="BB431" s="128">
        <f t="shared" si="123"/>
        <v>0</v>
      </c>
      <c r="BC431" s="128">
        <f t="shared" si="123"/>
        <v>0</v>
      </c>
      <c r="BD431" s="171">
        <f>IF(AI431=0,0,(AT431-AI431)/AI431*100)</f>
        <v>-4576.0645798400647</v>
      </c>
      <c r="BE431" s="171">
        <f t="shared" ref="BE431:BM431" si="124">IF(AT431=0,0,(AU431-AT431)/AT431*100)</f>
        <v>-100</v>
      </c>
      <c r="BF431" s="171">
        <f t="shared" si="124"/>
        <v>0</v>
      </c>
      <c r="BG431" s="171">
        <f t="shared" si="124"/>
        <v>0</v>
      </c>
      <c r="BH431" s="171">
        <f t="shared" si="124"/>
        <v>0</v>
      </c>
      <c r="BI431" s="171">
        <f t="shared" si="124"/>
        <v>0</v>
      </c>
      <c r="BJ431" s="171">
        <f t="shared" si="124"/>
        <v>0</v>
      </c>
      <c r="BK431" s="171">
        <f t="shared" si="124"/>
        <v>0</v>
      </c>
      <c r="BL431" s="171">
        <f t="shared" si="124"/>
        <v>0</v>
      </c>
      <c r="BM431" s="171">
        <f t="shared" si="124"/>
        <v>0</v>
      </c>
      <c r="BN431" s="196"/>
      <c r="BO431" s="601" t="str">
        <f ca="1">IF(IFERROR(INDEX('Корректировка НВВ'!$K$26:$L$231,MATCH($F431&amp;"6komm",'Корректировка НВВ'!$K$26:$K$231,0),2),"")=0,"",IFERROR(INDEX('Корректировка НВВ'!$K$26:$L$231,MATCH($F431&amp;"6komm",'Корректировка НВВ'!$K$26:$K$231,0),2),""))</f>
        <v/>
      </c>
      <c r="BP431" s="196"/>
      <c r="BS431" s="696" t="s">
        <v>1555</v>
      </c>
    </row>
    <row r="432" spans="1:75" ht="317.25" customHeight="1" x14ac:dyDescent="0.15">
      <c r="C432" s="25"/>
      <c r="D432" s="25" t="str" cm="1">
        <f t="array" ref="D432">D431</f>
        <v>7</v>
      </c>
      <c r="E432" s="451">
        <v>22.5</v>
      </c>
      <c r="F432" s="3" t="str" cm="1">
        <f t="array" aca="1" ref="F432" ca="1">OFFSET(E432,-1,1)</f>
        <v>2</v>
      </c>
      <c r="G432" s="25" t="s">
        <v>2201</v>
      </c>
      <c r="H432" s="25"/>
      <c r="I432" s="25" t="s">
        <v>2202</v>
      </c>
      <c r="J432" s="25"/>
      <c r="K432" s="72" t="s">
        <v>2202</v>
      </c>
      <c r="L432" s="25" t="s">
        <v>1864</v>
      </c>
      <c r="M432" s="25"/>
      <c r="N432" s="25"/>
      <c r="O432" s="25"/>
      <c r="P432" s="25"/>
      <c r="Q432" s="25"/>
      <c r="R432" s="25"/>
      <c r="S432" s="25"/>
      <c r="T432" s="353" t="b" cm="1">
        <f t="array" aca="1" ref="T432" ca="1">T431</f>
        <v>1</v>
      </c>
      <c r="U432" s="25"/>
      <c r="V432" s="25"/>
      <c r="W432" s="25"/>
      <c r="X432" s="1022"/>
      <c r="Z432" s="967"/>
      <c r="AB432" s="7" t="str">
        <f>AB431&amp;".1"</f>
        <v>7.7.1</v>
      </c>
      <c r="AC432" s="549" t="s">
        <v>1556</v>
      </c>
      <c r="AD432" s="7" t="s">
        <v>828</v>
      </c>
      <c r="AE432" s="128"/>
      <c r="AF432" s="128"/>
      <c r="AG432" s="128"/>
      <c r="AH432" s="171">
        <f t="shared" si="121"/>
        <v>0</v>
      </c>
      <c r="AI432" s="128">
        <v>-66.449219999999997</v>
      </c>
      <c r="AJ432" s="128">
        <f ca="1">SUMIFS('Корректировка НВВ'!$AF$25:$AF$231,'Корректировка НВВ'!$F$25:$F$231,$F432,'Корректировка НВВ'!$I$25:$I$231,$G432)</f>
        <v>0</v>
      </c>
      <c r="AK432" s="778"/>
      <c r="AL432" s="778"/>
      <c r="AM432" s="128"/>
      <c r="AN432" s="128"/>
      <c r="AO432" s="128"/>
      <c r="AP432" s="128"/>
      <c r="AQ432" s="128"/>
      <c r="AR432" s="128"/>
      <c r="AS432" s="128"/>
      <c r="AT432" s="128">
        <v>2974.31</v>
      </c>
      <c r="AU432" s="778"/>
      <c r="AV432" s="778"/>
      <c r="AW432" s="128"/>
      <c r="AX432" s="128"/>
      <c r="AY432" s="128"/>
      <c r="AZ432" s="128"/>
      <c r="BA432" s="128"/>
      <c r="BB432" s="128"/>
      <c r="BC432" s="128"/>
      <c r="BD432" s="542"/>
      <c r="BE432" s="542"/>
      <c r="BF432" s="542"/>
      <c r="BG432" s="542"/>
      <c r="BH432" s="542"/>
      <c r="BI432" s="542"/>
      <c r="BJ432" s="542"/>
      <c r="BK432" s="542"/>
      <c r="BL432" s="542"/>
      <c r="BM432" s="542"/>
      <c r="BN432" s="196" t="s">
        <v>2279</v>
      </c>
      <c r="BO432" s="601" t="s">
        <v>2291</v>
      </c>
      <c r="BP432" s="196" t="s">
        <v>2292</v>
      </c>
      <c r="BS432" s="696" t="s">
        <v>1557</v>
      </c>
    </row>
    <row r="433" spans="1:75" ht="21.95" customHeight="1" x14ac:dyDescent="0.15">
      <c r="C433" s="25"/>
      <c r="D433" s="25" t="str" cm="1">
        <f t="array" ref="D433">D432</f>
        <v>7</v>
      </c>
      <c r="E433" s="451">
        <v>22.5</v>
      </c>
      <c r="F433" s="3" t="str" cm="1">
        <f t="array" aca="1" ref="F433" ca="1">OFFSET(E433,-1,1)</f>
        <v>2</v>
      </c>
      <c r="G433" s="25" t="s">
        <v>2203</v>
      </c>
      <c r="H433" s="25"/>
      <c r="I433" s="25" t="s">
        <v>2204</v>
      </c>
      <c r="J433" s="25"/>
      <c r="K433" s="72" t="s">
        <v>2204</v>
      </c>
      <c r="L433" s="25" t="s">
        <v>1866</v>
      </c>
      <c r="M433" s="25"/>
      <c r="N433" s="25"/>
      <c r="O433" s="25"/>
      <c r="P433" s="25"/>
      <c r="Q433" s="25"/>
      <c r="R433" s="25"/>
      <c r="S433" s="25"/>
      <c r="T433" s="353" t="b" cm="1">
        <f t="array" aca="1" ref="T433" ca="1">T432</f>
        <v>1</v>
      </c>
      <c r="U433" s="25"/>
      <c r="V433" s="25"/>
      <c r="W433" s="25"/>
      <c r="X433" s="1022"/>
      <c r="Z433" s="967"/>
      <c r="AB433" s="7" t="str">
        <f>AB431&amp;".2"</f>
        <v>7.7.2</v>
      </c>
      <c r="AC433" s="549" t="s">
        <v>1558</v>
      </c>
      <c r="AD433" s="7" t="s">
        <v>828</v>
      </c>
      <c r="AE433" s="128"/>
      <c r="AF433" s="128"/>
      <c r="AG433" s="128"/>
      <c r="AH433" s="171">
        <f t="shared" si="121"/>
        <v>0</v>
      </c>
      <c r="AI433" s="128">
        <v>0</v>
      </c>
      <c r="AJ433" s="128">
        <f ca="1">SUMIFS('Корректировка НВВ'!$AF$25:$AF$231,'Корректировка НВВ'!$F$25:$F$231,$F433,'Корректировка НВВ'!$I$25:$I$231,$G433)</f>
        <v>0</v>
      </c>
      <c r="AK433" s="778"/>
      <c r="AL433" s="778"/>
      <c r="AM433" s="128"/>
      <c r="AN433" s="128"/>
      <c r="AO433" s="128"/>
      <c r="AP433" s="128"/>
      <c r="AQ433" s="128"/>
      <c r="AR433" s="128"/>
      <c r="AS433" s="128"/>
      <c r="AT433" s="128">
        <f ca="1">SUMIFS('Корректировка НВВ'!$AG$25:$AG$231,'Корректировка НВВ'!$F$25:$F$231,$F433,'Корректировка НВВ'!$I$25:$I$231,$G433)</f>
        <v>0</v>
      </c>
      <c r="AU433" s="778"/>
      <c r="AV433" s="778"/>
      <c r="AW433" s="128"/>
      <c r="AX433" s="128"/>
      <c r="AY433" s="128"/>
      <c r="AZ433" s="128"/>
      <c r="BA433" s="128"/>
      <c r="BB433" s="128"/>
      <c r="BC433" s="128"/>
      <c r="BD433" s="542"/>
      <c r="BE433" s="542"/>
      <c r="BF433" s="542"/>
      <c r="BG433" s="542"/>
      <c r="BH433" s="542"/>
      <c r="BI433" s="542"/>
      <c r="BJ433" s="542"/>
      <c r="BK433" s="542"/>
      <c r="BL433" s="542"/>
      <c r="BM433" s="542"/>
      <c r="BN433" s="196"/>
      <c r="BO433" s="601" t="str">
        <f ca="1">IF(IFERROR(INDEX('Корректировка НВВ'!$K$26:$L$231,MATCH($F433&amp;"8komm",'Корректировка НВВ'!$K$26:$K$231,0),2),"")=0,"",IFERROR(INDEX('Корректировка НВВ'!$K$26:$L$231,MATCH($F433&amp;"8komm",'Корректировка НВВ'!$K$26:$K$231,0),2),""))</f>
        <v/>
      </c>
      <c r="BP433" s="196"/>
      <c r="BS433" s="696" t="s">
        <v>1559</v>
      </c>
    </row>
    <row r="434" spans="1:75" ht="14.65" customHeight="1" x14ac:dyDescent="0.15">
      <c r="C434" s="25"/>
      <c r="D434" s="25" t="str" cm="1">
        <f t="array" ref="D434">D433</f>
        <v>7</v>
      </c>
      <c r="E434" s="451">
        <v>15</v>
      </c>
      <c r="F434" s="3" t="str" cm="1">
        <f t="array" aca="1" ref="F434" ca="1">OFFSET(E434,-1,1)</f>
        <v>2</v>
      </c>
      <c r="G434" s="25" t="s">
        <v>319</v>
      </c>
      <c r="H434" s="25"/>
      <c r="I434" s="25" t="s">
        <v>1870</v>
      </c>
      <c r="J434" s="25"/>
      <c r="K434" s="72" t="s">
        <v>1870</v>
      </c>
      <c r="L434" s="25" t="s">
        <v>1869</v>
      </c>
      <c r="M434" s="25"/>
      <c r="N434" s="25"/>
      <c r="O434" s="25"/>
      <c r="P434" s="25"/>
      <c r="Q434" s="25"/>
      <c r="R434" s="25"/>
      <c r="S434" s="25"/>
      <c r="T434" s="353" t="b" cm="1">
        <f t="array" aca="1" ref="T434" ca="1">T433</f>
        <v>1</v>
      </c>
      <c r="U434" s="25"/>
      <c r="V434" s="25"/>
      <c r="W434" s="25"/>
      <c r="X434" s="1022"/>
      <c r="Z434" s="967"/>
      <c r="AB434" s="7" t="str">
        <f>IF(B429,D430&amp;".8",D430&amp;".6")</f>
        <v>7.8</v>
      </c>
      <c r="AC434" s="550" t="s">
        <v>1560</v>
      </c>
      <c r="AD434" s="7" t="s">
        <v>828</v>
      </c>
      <c r="AE434" s="128"/>
      <c r="AF434" s="128"/>
      <c r="AG434" s="128"/>
      <c r="AH434" s="171">
        <f t="shared" si="121"/>
        <v>0</v>
      </c>
      <c r="AI434" s="128">
        <v>0</v>
      </c>
      <c r="AJ434" s="128">
        <f ca="1">SUMIFS('Корректировка НВВ'!$AF$25:$AF$231,'Корректировка НВВ'!$F$25:$F$231,$F434,'Корректировка НВВ'!$I$25:$I$231,$G434)</f>
        <v>0</v>
      </c>
      <c r="AK434" s="778"/>
      <c r="AL434" s="778"/>
      <c r="AM434" s="128"/>
      <c r="AN434" s="128"/>
      <c r="AO434" s="128"/>
      <c r="AP434" s="128"/>
      <c r="AQ434" s="128"/>
      <c r="AR434" s="128"/>
      <c r="AS434" s="128"/>
      <c r="AT434" s="128">
        <f ca="1">SUMIFS('Корректировка НВВ'!$AG$25:$AG$231,'Корректировка НВВ'!$F$25:$F$231,$F434,'Корректировка НВВ'!$I$25:$I$231,$G434)</f>
        <v>0</v>
      </c>
      <c r="AU434" s="778"/>
      <c r="AV434" s="778"/>
      <c r="AW434" s="128"/>
      <c r="AX434" s="128"/>
      <c r="AY434" s="128"/>
      <c r="AZ434" s="128"/>
      <c r="BA434" s="128"/>
      <c r="BB434" s="128"/>
      <c r="BC434" s="128"/>
      <c r="BD434" s="542"/>
      <c r="BE434" s="542"/>
      <c r="BF434" s="542"/>
      <c r="BG434" s="542"/>
      <c r="BH434" s="542"/>
      <c r="BI434" s="542"/>
      <c r="BJ434" s="542"/>
      <c r="BK434" s="542"/>
      <c r="BL434" s="542"/>
      <c r="BM434" s="542"/>
      <c r="BN434" s="196"/>
      <c r="BO434" s="601" t="str">
        <f ca="1">IF(IFERROR(INDEX('Корректировка НВВ'!$K$26:$L$231,MATCH($F434&amp;"9komm",'Корректировка НВВ'!$K$26:$K$231,0),2),"")=0,"",IFERROR(INDEX('Корректировка НВВ'!$K$26:$L$231,MATCH($F434&amp;"9komm",'Корректировка НВВ'!$K$26:$K$231,0),2),""))</f>
        <v/>
      </c>
      <c r="BP434" s="196"/>
      <c r="BS434" s="696" t="s">
        <v>2205</v>
      </c>
    </row>
    <row r="435" spans="1:75" ht="14.65" customHeight="1" x14ac:dyDescent="0.15">
      <c r="C435" s="25"/>
      <c r="D435" s="25" t="str" cm="1">
        <f t="array" ref="D435">D434</f>
        <v>7</v>
      </c>
      <c r="E435" s="451">
        <v>15</v>
      </c>
      <c r="F435" s="3" t="str" cm="1">
        <f t="array" aca="1" ref="F435" ca="1">OFFSET(E435,-1,1)</f>
        <v>2</v>
      </c>
      <c r="G435" s="25" t="s">
        <v>2206</v>
      </c>
      <c r="H435" s="25"/>
      <c r="I435" s="25" t="s">
        <v>1872</v>
      </c>
      <c r="J435" s="25"/>
      <c r="K435" s="72" t="s">
        <v>1872</v>
      </c>
      <c r="L435" s="25" t="s">
        <v>1870</v>
      </c>
      <c r="M435" s="25"/>
      <c r="N435" s="25"/>
      <c r="O435" s="25"/>
      <c r="P435" s="25"/>
      <c r="Q435" s="25"/>
      <c r="R435" s="25"/>
      <c r="S435" s="25"/>
      <c r="T435" s="353" t="b" cm="1">
        <f t="array" aca="1" ref="T435" ca="1">T434</f>
        <v>1</v>
      </c>
      <c r="U435" s="25"/>
      <c r="V435" s="25"/>
      <c r="W435" s="25"/>
      <c r="X435" s="1022"/>
      <c r="Z435" s="967"/>
      <c r="AB435" s="7" t="str">
        <f>IF(B429,D430&amp;".9",D430&amp;".7")</f>
        <v>7.9</v>
      </c>
      <c r="AC435" s="550" t="s">
        <v>1562</v>
      </c>
      <c r="AD435" s="7" t="s">
        <v>828</v>
      </c>
      <c r="AE435" s="128"/>
      <c r="AF435" s="128"/>
      <c r="AG435" s="128"/>
      <c r="AH435" s="171">
        <f t="shared" si="121"/>
        <v>0</v>
      </c>
      <c r="AI435" s="128">
        <v>0</v>
      </c>
      <c r="AJ435" s="128">
        <f ca="1">SUMIFS('Корректировка НВВ'!$AF$25:$AF$231,'Корректировка НВВ'!$F$25:$F$231,$F435,'Корректировка НВВ'!$I$25:$I$231,$G435)</f>
        <v>0</v>
      </c>
      <c r="AK435" s="778"/>
      <c r="AL435" s="778"/>
      <c r="AM435" s="128"/>
      <c r="AN435" s="128"/>
      <c r="AO435" s="128"/>
      <c r="AP435" s="128"/>
      <c r="AQ435" s="128"/>
      <c r="AR435" s="128"/>
      <c r="AS435" s="128"/>
      <c r="AT435" s="128">
        <f ca="1">SUMIFS('Корректировка НВВ'!$AG$25:$AG$231,'Корректировка НВВ'!$F$25:$F$231,$F435,'Корректировка НВВ'!$I$25:$I$231,$G435)</f>
        <v>0</v>
      </c>
      <c r="AU435" s="778"/>
      <c r="AV435" s="778"/>
      <c r="AW435" s="128"/>
      <c r="AX435" s="128"/>
      <c r="AY435" s="128"/>
      <c r="AZ435" s="128"/>
      <c r="BA435" s="128"/>
      <c r="BB435" s="128"/>
      <c r="BC435" s="128"/>
      <c r="BD435" s="542"/>
      <c r="BE435" s="542"/>
      <c r="BF435" s="542"/>
      <c r="BG435" s="542"/>
      <c r="BH435" s="542"/>
      <c r="BI435" s="542"/>
      <c r="BJ435" s="542"/>
      <c r="BK435" s="542"/>
      <c r="BL435" s="542"/>
      <c r="BM435" s="542"/>
      <c r="BN435" s="196"/>
      <c r="BO435" s="601" t="str">
        <f ca="1">IF(IFERROR(INDEX('Корректировка НВВ'!$K$26:$L$231,MATCH($F435&amp;"10komm",'Корректировка НВВ'!$K$26:$K$231,0),2),"")=0,"",IFERROR(INDEX('Корректировка НВВ'!$K$26:$L$231,MATCH($F435&amp;"10komm",'Корректировка НВВ'!$K$26:$K$231,0),2),""))</f>
        <v/>
      </c>
      <c r="BP435" s="196"/>
      <c r="BS435" s="696" t="s">
        <v>1563</v>
      </c>
    </row>
    <row r="436" spans="1:75" s="870" customFormat="1" ht="33.75" customHeight="1" x14ac:dyDescent="0.15">
      <c r="A436" s="76"/>
      <c r="B436" s="332"/>
      <c r="C436" s="27"/>
      <c r="D436" s="27">
        <f>D435+1</f>
        <v>8</v>
      </c>
      <c r="E436" s="559">
        <v>21</v>
      </c>
      <c r="F436" s="3" t="str" cm="1">
        <f t="array" aca="1" ref="F436" ca="1">OFFSET(E436,-1,1)</f>
        <v>2</v>
      </c>
      <c r="G436" s="27"/>
      <c r="H436" s="27"/>
      <c r="I436" s="27" t="s">
        <v>609</v>
      </c>
      <c r="J436" s="27"/>
      <c r="K436" s="76" t="s">
        <v>609</v>
      </c>
      <c r="L436" s="27"/>
      <c r="M436" s="27"/>
      <c r="N436" s="27"/>
      <c r="O436" s="27"/>
      <c r="P436" s="27"/>
      <c r="Q436" s="27"/>
      <c r="R436" s="27"/>
      <c r="S436" s="27"/>
      <c r="T436" s="353" t="b" cm="1">
        <f t="array" aca="1" ref="T436" ca="1">T435</f>
        <v>1</v>
      </c>
      <c r="U436" s="27"/>
      <c r="V436" s="27"/>
      <c r="W436" s="27"/>
      <c r="X436" s="1022"/>
      <c r="Y436" s="76"/>
      <c r="Z436" s="967"/>
      <c r="AA436" s="76"/>
      <c r="AB436" s="124" cm="1">
        <f t="array" ref="AB436">D436</f>
        <v>8</v>
      </c>
      <c r="AC436" s="125" t="s">
        <v>2207</v>
      </c>
      <c r="AD436" s="124" t="s">
        <v>828</v>
      </c>
      <c r="AE436" s="138"/>
      <c r="AF436" s="138"/>
      <c r="AG436" s="138"/>
      <c r="AH436" s="126">
        <f t="shared" si="121"/>
        <v>0</v>
      </c>
      <c r="AI436" s="138">
        <v>0</v>
      </c>
      <c r="AJ436" s="138"/>
      <c r="AK436" s="774"/>
      <c r="AL436" s="774"/>
      <c r="AM436" s="138"/>
      <c r="AN436" s="138"/>
      <c r="AO436" s="138"/>
      <c r="AP436" s="138"/>
      <c r="AQ436" s="138"/>
      <c r="AR436" s="138"/>
      <c r="AS436" s="138"/>
      <c r="AT436" s="138"/>
      <c r="AU436" s="774"/>
      <c r="AV436" s="774"/>
      <c r="AW436" s="138"/>
      <c r="AX436" s="138"/>
      <c r="AY436" s="138"/>
      <c r="AZ436" s="138"/>
      <c r="BA436" s="138"/>
      <c r="BB436" s="138"/>
      <c r="BC436" s="138"/>
      <c r="BD436" s="129"/>
      <c r="BE436" s="129"/>
      <c r="BF436" s="129"/>
      <c r="BG436" s="129"/>
      <c r="BH436" s="129"/>
      <c r="BI436" s="129"/>
      <c r="BJ436" s="129"/>
      <c r="BK436" s="129"/>
      <c r="BL436" s="129"/>
      <c r="BM436" s="129"/>
      <c r="BN436" s="556"/>
      <c r="BO436" s="556" t="s">
        <v>2263</v>
      </c>
      <c r="BP436" s="556"/>
      <c r="BQ436" s="76"/>
      <c r="BR436" s="76"/>
      <c r="BS436" s="702" t="s">
        <v>2208</v>
      </c>
      <c r="BT436" s="702"/>
      <c r="BU436" s="702"/>
      <c r="BV436" s="511"/>
      <c r="BW436" s="511"/>
    </row>
    <row r="437" spans="1:75" ht="14.25" customHeight="1" x14ac:dyDescent="0.15">
      <c r="C437" s="25"/>
      <c r="D437" s="27" cm="1">
        <f t="array" ref="D437">D436</f>
        <v>8</v>
      </c>
      <c r="E437" s="451">
        <v>15</v>
      </c>
      <c r="F437" s="3" t="str" cm="1">
        <f t="array" aca="1" ref="F437" ca="1">OFFSET(E437,-1,1)</f>
        <v>2</v>
      </c>
      <c r="G437" s="25"/>
      <c r="H437" s="25"/>
      <c r="I437" s="25" t="s">
        <v>613</v>
      </c>
      <c r="J437" s="25"/>
      <c r="K437" s="72" t="s">
        <v>613</v>
      </c>
      <c r="L437" s="25"/>
      <c r="M437" s="25"/>
      <c r="N437" s="25"/>
      <c r="O437" s="25"/>
      <c r="P437" s="25"/>
      <c r="Q437" s="25"/>
      <c r="R437" s="25"/>
      <c r="S437" s="25"/>
      <c r="T437" s="353" t="b" cm="1">
        <f t="array" aca="1" ref="T437" ca="1">T436</f>
        <v>1</v>
      </c>
      <c r="U437" s="25"/>
      <c r="V437" s="25"/>
      <c r="W437" s="25"/>
      <c r="X437" s="1022"/>
      <c r="Z437" s="967"/>
      <c r="AB437" s="7" t="str">
        <f>D437&amp;".1"</f>
        <v>8.1</v>
      </c>
      <c r="AC437" s="127" t="s">
        <v>2209</v>
      </c>
      <c r="AD437" s="7" t="s">
        <v>476</v>
      </c>
      <c r="AE437" s="171">
        <f ca="1">IF(AE438=0,0,AE436/(AE438+AE423)*100)</f>
        <v>0</v>
      </c>
      <c r="AF437" s="171">
        <f ca="1">IF(AF438=0,0,AF436/(AF438+AF423)*100)</f>
        <v>0</v>
      </c>
      <c r="AG437" s="171">
        <f ca="1">IF(AG438=0,0,AG436/(AG438+AG423)*100)</f>
        <v>0</v>
      </c>
      <c r="AH437" s="171">
        <f t="shared" ca="1" si="121"/>
        <v>0</v>
      </c>
      <c r="AI437" s="171">
        <f t="shared" ref="AI437:BC437" ca="1" si="125">IF(AI438=0,0,AI436/(AI438+AI423)*100)</f>
        <v>0</v>
      </c>
      <c r="AJ437" s="171">
        <f t="shared" ca="1" si="125"/>
        <v>0</v>
      </c>
      <c r="AK437" s="171">
        <f t="shared" ca="1" si="125"/>
        <v>0</v>
      </c>
      <c r="AL437" s="171">
        <f t="shared" ca="1" si="125"/>
        <v>0</v>
      </c>
      <c r="AM437" s="171">
        <f t="shared" ca="1" si="125"/>
        <v>0</v>
      </c>
      <c r="AN437" s="171">
        <f t="shared" ca="1" si="125"/>
        <v>0</v>
      </c>
      <c r="AO437" s="171">
        <f t="shared" ca="1" si="125"/>
        <v>0</v>
      </c>
      <c r="AP437" s="171">
        <f t="shared" ca="1" si="125"/>
        <v>0</v>
      </c>
      <c r="AQ437" s="171">
        <f t="shared" ca="1" si="125"/>
        <v>0</v>
      </c>
      <c r="AR437" s="171">
        <f t="shared" ca="1" si="125"/>
        <v>0</v>
      </c>
      <c r="AS437" s="171">
        <f t="shared" ca="1" si="125"/>
        <v>0</v>
      </c>
      <c r="AT437" s="171">
        <f t="shared" ca="1" si="125"/>
        <v>0</v>
      </c>
      <c r="AU437" s="171">
        <f t="shared" ca="1" si="125"/>
        <v>0</v>
      </c>
      <c r="AV437" s="171">
        <f t="shared" ca="1" si="125"/>
        <v>0</v>
      </c>
      <c r="AW437" s="171">
        <f t="shared" ca="1" si="125"/>
        <v>0</v>
      </c>
      <c r="AX437" s="171">
        <f t="shared" ca="1" si="125"/>
        <v>0</v>
      </c>
      <c r="AY437" s="171">
        <f t="shared" ca="1" si="125"/>
        <v>0</v>
      </c>
      <c r="AZ437" s="171">
        <f t="shared" ca="1" si="125"/>
        <v>0</v>
      </c>
      <c r="BA437" s="171">
        <f t="shared" ca="1" si="125"/>
        <v>0</v>
      </c>
      <c r="BB437" s="171">
        <f t="shared" ca="1" si="125"/>
        <v>0</v>
      </c>
      <c r="BC437" s="171">
        <f t="shared" ca="1" si="125"/>
        <v>0</v>
      </c>
      <c r="BD437" s="542"/>
      <c r="BE437" s="542"/>
      <c r="BF437" s="542"/>
      <c r="BG437" s="542"/>
      <c r="BH437" s="542"/>
      <c r="BI437" s="542"/>
      <c r="BJ437" s="542"/>
      <c r="BK437" s="542"/>
      <c r="BL437" s="542"/>
      <c r="BM437" s="542"/>
      <c r="BN437" s="196"/>
      <c r="BO437" s="196"/>
      <c r="BP437" s="196"/>
      <c r="BS437" s="696" t="s">
        <v>2210</v>
      </c>
    </row>
    <row r="438" spans="1:75" s="870" customFormat="1" ht="20.25" customHeight="1" x14ac:dyDescent="0.15">
      <c r="A438" s="76"/>
      <c r="B438" s="332"/>
      <c r="C438" s="27"/>
      <c r="D438" s="27">
        <f>D437+1</f>
        <v>9</v>
      </c>
      <c r="E438" s="559">
        <v>21</v>
      </c>
      <c r="F438" s="3" t="str" cm="1">
        <f t="array" aca="1" ref="F438" ca="1">OFFSET(E438,-1,1)</f>
        <v>2</v>
      </c>
      <c r="G438" s="27"/>
      <c r="H438" s="25"/>
      <c r="I438" s="25" t="s">
        <v>767</v>
      </c>
      <c r="J438" s="27"/>
      <c r="K438" s="72" t="s">
        <v>767</v>
      </c>
      <c r="L438" s="27" t="s">
        <v>1872</v>
      </c>
      <c r="M438" s="27"/>
      <c r="N438" s="27"/>
      <c r="O438" s="27"/>
      <c r="P438" s="27"/>
      <c r="Q438" s="27"/>
      <c r="R438" s="27"/>
      <c r="S438" s="27"/>
      <c r="T438" s="353" t="b" cm="1">
        <f t="array" aca="1" ref="T438" ca="1">T437</f>
        <v>1</v>
      </c>
      <c r="U438" s="27"/>
      <c r="V438" s="27"/>
      <c r="W438" s="27"/>
      <c r="X438" s="1022"/>
      <c r="Y438" s="76"/>
      <c r="Z438" s="967"/>
      <c r="AA438" s="76"/>
      <c r="AB438" s="124" cm="1">
        <f t="array" ref="AB438">D438</f>
        <v>9</v>
      </c>
      <c r="AC438" s="125" t="s">
        <v>1874</v>
      </c>
      <c r="AD438" s="147" t="s">
        <v>828</v>
      </c>
      <c r="AE438" s="126">
        <f ca="1">AE316+AE366+AE402+AE403+AE405+AE410+AE411+AE414</f>
        <v>8268.6541881205994</v>
      </c>
      <c r="AF438" s="126">
        <f ca="1">AF316+AF366+AF402+AF403+AF405+AF410+AF411+AF414</f>
        <v>39264.121685455902</v>
      </c>
      <c r="AG438" s="126">
        <f ca="1">AG316+AG366+AG402+AG403+AG405+AG410+AG411+AG414</f>
        <v>8961.3916189722986</v>
      </c>
      <c r="AH438" s="126">
        <f t="shared" ca="1" si="121"/>
        <v>-30302.730066483604</v>
      </c>
      <c r="AI438" s="126">
        <f t="shared" ref="AI438:BC438" ca="1" si="126">AI316+AI366+AI402+AI403+AI405+AI410+AI411+AI414</f>
        <v>1873.8503639114999</v>
      </c>
      <c r="AJ438" s="126">
        <f t="shared" ca="1" si="126"/>
        <v>40179.499317874703</v>
      </c>
      <c r="AK438" s="126">
        <f t="shared" ca="1" si="126"/>
        <v>0</v>
      </c>
      <c r="AL438" s="126">
        <f t="shared" ca="1" si="126"/>
        <v>0</v>
      </c>
      <c r="AM438" s="126">
        <f t="shared" ca="1" si="126"/>
        <v>0</v>
      </c>
      <c r="AN438" s="126">
        <f t="shared" ca="1" si="126"/>
        <v>0</v>
      </c>
      <c r="AO438" s="126">
        <f t="shared" ca="1" si="126"/>
        <v>0</v>
      </c>
      <c r="AP438" s="126">
        <f t="shared" ca="1" si="126"/>
        <v>0</v>
      </c>
      <c r="AQ438" s="126">
        <f t="shared" ca="1" si="126"/>
        <v>0</v>
      </c>
      <c r="AR438" s="126">
        <f t="shared" ca="1" si="126"/>
        <v>0</v>
      </c>
      <c r="AS438" s="126">
        <f t="shared" ca="1" si="126"/>
        <v>0</v>
      </c>
      <c r="AT438" s="126">
        <f t="shared" ca="1" si="126"/>
        <v>11612.3414986317</v>
      </c>
      <c r="AU438" s="126">
        <f t="shared" ca="1" si="126"/>
        <v>0</v>
      </c>
      <c r="AV438" s="126">
        <f t="shared" ca="1" si="126"/>
        <v>0</v>
      </c>
      <c r="AW438" s="126">
        <f t="shared" ca="1" si="126"/>
        <v>0</v>
      </c>
      <c r="AX438" s="126">
        <f t="shared" ca="1" si="126"/>
        <v>0</v>
      </c>
      <c r="AY438" s="126">
        <f t="shared" ca="1" si="126"/>
        <v>0</v>
      </c>
      <c r="AZ438" s="126">
        <f t="shared" ca="1" si="126"/>
        <v>0</v>
      </c>
      <c r="BA438" s="126">
        <f t="shared" ca="1" si="126"/>
        <v>0</v>
      </c>
      <c r="BB438" s="126">
        <f t="shared" ca="1" si="126"/>
        <v>0</v>
      </c>
      <c r="BC438" s="126">
        <f t="shared" ca="1" si="126"/>
        <v>0</v>
      </c>
      <c r="BD438" s="126">
        <f ca="1">IF(AI438=0,0,(AT438-AI438)/AI438*100)</f>
        <v>519.70484528935094</v>
      </c>
      <c r="BE438" s="126">
        <f t="shared" ref="BE438:BM439" ca="1" si="127">IF(AT438=0,0,(AU438-AT438)/AT438*100)</f>
        <v>-100</v>
      </c>
      <c r="BF438" s="126">
        <f t="shared" ca="1" si="127"/>
        <v>0</v>
      </c>
      <c r="BG438" s="126">
        <f t="shared" ca="1" si="127"/>
        <v>0</v>
      </c>
      <c r="BH438" s="126">
        <f t="shared" ca="1" si="127"/>
        <v>0</v>
      </c>
      <c r="BI438" s="126">
        <f t="shared" ca="1" si="127"/>
        <v>0</v>
      </c>
      <c r="BJ438" s="126">
        <f t="shared" ca="1" si="127"/>
        <v>0</v>
      </c>
      <c r="BK438" s="126">
        <f t="shared" ca="1" si="127"/>
        <v>0</v>
      </c>
      <c r="BL438" s="126">
        <f t="shared" ca="1" si="127"/>
        <v>0</v>
      </c>
      <c r="BM438" s="126">
        <f t="shared" ca="1" si="127"/>
        <v>0</v>
      </c>
      <c r="BN438" s="196"/>
      <c r="BO438" s="196"/>
      <c r="BP438" s="196"/>
      <c r="BQ438" s="76"/>
      <c r="BR438" s="76"/>
      <c r="BS438" s="702" t="s">
        <v>1875</v>
      </c>
      <c r="BT438" s="702"/>
      <c r="BU438" s="702"/>
      <c r="BV438" s="511"/>
      <c r="BW438" s="511"/>
    </row>
    <row r="439" spans="1:75" s="870" customFormat="1" ht="86.25" customHeight="1" x14ac:dyDescent="0.15">
      <c r="A439" s="76"/>
      <c r="B439" s="332"/>
      <c r="C439" s="27"/>
      <c r="D439" s="27">
        <f>D438+1</f>
        <v>10</v>
      </c>
      <c r="E439" s="559">
        <v>21</v>
      </c>
      <c r="F439" s="3" t="str" cm="1">
        <f t="array" aca="1" ref="F439" ca="1">OFFSET(E439,-1,1)</f>
        <v>2</v>
      </c>
      <c r="G439" s="27"/>
      <c r="H439" s="25"/>
      <c r="I439" s="25" t="s">
        <v>1884</v>
      </c>
      <c r="J439" s="27"/>
      <c r="K439" s="72" t="s">
        <v>1884</v>
      </c>
      <c r="L439" s="27"/>
      <c r="M439" s="27"/>
      <c r="N439" s="27"/>
      <c r="O439" s="27"/>
      <c r="P439" s="27"/>
      <c r="Q439" s="27"/>
      <c r="R439" s="27"/>
      <c r="S439" s="27"/>
      <c r="T439" s="353" t="b" cm="1">
        <f t="array" aca="1" ref="T439" ca="1">T438</f>
        <v>1</v>
      </c>
      <c r="U439" s="27"/>
      <c r="V439" s="27"/>
      <c r="W439" s="27"/>
      <c r="X439" s="1022"/>
      <c r="Y439" s="76"/>
      <c r="Z439" s="967"/>
      <c r="AA439" s="76"/>
      <c r="AB439" s="124" cm="1">
        <f t="array" ref="AB439">D439</f>
        <v>10</v>
      </c>
      <c r="AC439" s="125" t="s">
        <v>2211</v>
      </c>
      <c r="AD439" s="124" t="s">
        <v>828</v>
      </c>
      <c r="AE439" s="126">
        <f t="shared" ref="AE439:BC439" ca="1" si="128">AE438+AE423+AE436</f>
        <v>8768.6441881205992</v>
      </c>
      <c r="AF439" s="126">
        <f t="shared" ca="1" si="128"/>
        <v>39264.121685455902</v>
      </c>
      <c r="AG439" s="126">
        <f t="shared" ca="1" si="128"/>
        <v>9461.3816189722984</v>
      </c>
      <c r="AH439" s="126">
        <f t="shared" ca="1" si="128"/>
        <v>-29802.740066483602</v>
      </c>
      <c r="AI439" s="126">
        <f t="shared" ca="1" si="128"/>
        <v>4593.0510764874998</v>
      </c>
      <c r="AJ439" s="126">
        <f t="shared" ca="1" si="128"/>
        <v>73244.360783401207</v>
      </c>
      <c r="AK439" s="126">
        <f t="shared" ca="1" si="128"/>
        <v>0</v>
      </c>
      <c r="AL439" s="126">
        <f t="shared" ca="1" si="128"/>
        <v>0</v>
      </c>
      <c r="AM439" s="126">
        <f t="shared" ca="1" si="128"/>
        <v>0</v>
      </c>
      <c r="AN439" s="126">
        <f t="shared" ca="1" si="128"/>
        <v>0</v>
      </c>
      <c r="AO439" s="126">
        <f t="shared" ca="1" si="128"/>
        <v>0</v>
      </c>
      <c r="AP439" s="126">
        <f t="shared" ca="1" si="128"/>
        <v>0</v>
      </c>
      <c r="AQ439" s="126">
        <f t="shared" ca="1" si="128"/>
        <v>0</v>
      </c>
      <c r="AR439" s="126">
        <f t="shared" ca="1" si="128"/>
        <v>0</v>
      </c>
      <c r="AS439" s="126">
        <f t="shared" ca="1" si="128"/>
        <v>0</v>
      </c>
      <c r="AT439" s="126">
        <f t="shared" ca="1" si="128"/>
        <v>7427.9614986317001</v>
      </c>
      <c r="AU439" s="126">
        <f t="shared" ca="1" si="128"/>
        <v>0</v>
      </c>
      <c r="AV439" s="126">
        <f t="shared" ca="1" si="128"/>
        <v>0</v>
      </c>
      <c r="AW439" s="126">
        <f t="shared" ca="1" si="128"/>
        <v>0</v>
      </c>
      <c r="AX439" s="126">
        <f t="shared" ca="1" si="128"/>
        <v>0</v>
      </c>
      <c r="AY439" s="126">
        <f t="shared" ca="1" si="128"/>
        <v>0</v>
      </c>
      <c r="AZ439" s="126">
        <f t="shared" ca="1" si="128"/>
        <v>0</v>
      </c>
      <c r="BA439" s="126">
        <f t="shared" ca="1" si="128"/>
        <v>0</v>
      </c>
      <c r="BB439" s="126">
        <f t="shared" ca="1" si="128"/>
        <v>0</v>
      </c>
      <c r="BC439" s="126">
        <f t="shared" ca="1" si="128"/>
        <v>0</v>
      </c>
      <c r="BD439" s="126">
        <f ca="1">IF(AI439=0,0,(AT439-AI439)/AI439*100)</f>
        <v>61.721726471898421</v>
      </c>
      <c r="BE439" s="126">
        <f t="shared" ca="1" si="127"/>
        <v>-100</v>
      </c>
      <c r="BF439" s="126">
        <f t="shared" ca="1" si="127"/>
        <v>0</v>
      </c>
      <c r="BG439" s="126">
        <f t="shared" ca="1" si="127"/>
        <v>0</v>
      </c>
      <c r="BH439" s="126">
        <f t="shared" ca="1" si="127"/>
        <v>0</v>
      </c>
      <c r="BI439" s="126">
        <f t="shared" ca="1" si="127"/>
        <v>0</v>
      </c>
      <c r="BJ439" s="126">
        <f t="shared" ca="1" si="127"/>
        <v>0</v>
      </c>
      <c r="BK439" s="126">
        <f t="shared" ca="1" si="127"/>
        <v>0</v>
      </c>
      <c r="BL439" s="126">
        <f t="shared" ca="1" si="127"/>
        <v>0</v>
      </c>
      <c r="BM439" s="126">
        <f t="shared" ca="1" si="127"/>
        <v>0</v>
      </c>
      <c r="BN439" s="196" t="s">
        <v>2293</v>
      </c>
      <c r="BO439" s="196"/>
      <c r="BP439" s="196"/>
      <c r="BQ439" s="76"/>
      <c r="BR439" s="76"/>
      <c r="BS439" s="702" t="s">
        <v>2212</v>
      </c>
      <c r="BT439" s="702"/>
      <c r="BU439" s="702"/>
      <c r="BV439" s="511"/>
      <c r="BW439" s="511"/>
    </row>
    <row r="440" spans="1:75" ht="14.25" hidden="1" customHeight="1" x14ac:dyDescent="0.25">
      <c r="B440" s="341" t="b">
        <f>A315="двухставочный"</f>
        <v>0</v>
      </c>
      <c r="C440" s="25"/>
      <c r="D440" s="25" cm="1">
        <f t="array" ref="D440">D439</f>
        <v>10</v>
      </c>
      <c r="E440" s="451">
        <v>15</v>
      </c>
      <c r="F440" s="3" t="str" cm="1">
        <f t="array" aca="1" ref="F440" ca="1">OFFSET(E440,-1,1)</f>
        <v>2</v>
      </c>
      <c r="G440" s="25"/>
      <c r="H440" s="571"/>
      <c r="I440" s="571" t="s">
        <v>1888</v>
      </c>
      <c r="J440" s="25"/>
      <c r="K440" s="278" t="s">
        <v>1888</v>
      </c>
      <c r="L440" s="25" t="s">
        <v>1876</v>
      </c>
      <c r="M440" s="25"/>
      <c r="N440" s="25"/>
      <c r="O440" s="25"/>
      <c r="P440" s="25"/>
      <c r="Q440" s="25"/>
      <c r="R440" s="25"/>
      <c r="S440" s="25"/>
      <c r="T440" s="353" t="b" cm="1">
        <f t="array" aca="1" ref="T440" ca="1">T439</f>
        <v>1</v>
      </c>
      <c r="U440" s="25"/>
      <c r="V440" s="25"/>
      <c r="W440" s="25"/>
      <c r="X440" s="1022"/>
      <c r="Z440" s="967"/>
      <c r="AB440" s="7" t="str">
        <f>D440&amp;".1"</f>
        <v>10.1</v>
      </c>
      <c r="AC440" s="550" t="s">
        <v>1878</v>
      </c>
      <c r="AD440" s="7" t="s">
        <v>828</v>
      </c>
      <c r="AE440" s="778"/>
      <c r="AF440" s="778"/>
      <c r="AG440" s="778"/>
      <c r="AH440" s="171">
        <f t="shared" ref="AH440:AH446" si="129">AG440-AF440</f>
        <v>0</v>
      </c>
      <c r="AI440" s="778"/>
      <c r="AJ440" s="128"/>
      <c r="AK440" s="778"/>
      <c r="AL440" s="778"/>
      <c r="AM440" s="778"/>
      <c r="AN440" s="778"/>
      <c r="AO440" s="778"/>
      <c r="AP440" s="778"/>
      <c r="AQ440" s="778"/>
      <c r="AR440" s="778"/>
      <c r="AS440" s="778"/>
      <c r="AT440" s="128"/>
      <c r="AU440" s="778"/>
      <c r="AV440" s="778"/>
      <c r="AW440" s="778"/>
      <c r="AX440" s="778"/>
      <c r="AY440" s="778"/>
      <c r="AZ440" s="778"/>
      <c r="BA440" s="778"/>
      <c r="BB440" s="778"/>
      <c r="BC440" s="778"/>
      <c r="BD440" s="542"/>
      <c r="BE440" s="542"/>
      <c r="BF440" s="542"/>
      <c r="BG440" s="542"/>
      <c r="BH440" s="542"/>
      <c r="BI440" s="542"/>
      <c r="BJ440" s="542"/>
      <c r="BK440" s="542"/>
      <c r="BL440" s="542"/>
      <c r="BM440" s="542"/>
      <c r="BN440" s="775"/>
      <c r="BO440" s="775"/>
      <c r="BP440" s="775"/>
      <c r="BS440" s="694" t="s">
        <v>1879</v>
      </c>
    </row>
    <row r="441" spans="1:75" ht="14.25" hidden="1" customHeight="1" x14ac:dyDescent="0.25">
      <c r="B441" s="341" t="b">
        <f>A315="двухставочный"</f>
        <v>0</v>
      </c>
      <c r="C441" s="25"/>
      <c r="D441" s="25" cm="1">
        <f t="array" ref="D441">D440</f>
        <v>10</v>
      </c>
      <c r="E441" s="451">
        <v>15</v>
      </c>
      <c r="F441" s="3" t="str" cm="1">
        <f t="array" aca="1" ref="F441" ca="1">OFFSET(E441,-1,1)</f>
        <v>2</v>
      </c>
      <c r="G441" s="25"/>
      <c r="H441" s="571"/>
      <c r="I441" s="571" t="s">
        <v>1892</v>
      </c>
      <c r="J441" s="25"/>
      <c r="K441" s="278" t="s">
        <v>1892</v>
      </c>
      <c r="L441" s="25" t="s">
        <v>1880</v>
      </c>
      <c r="M441" s="25"/>
      <c r="N441" s="25"/>
      <c r="O441" s="25"/>
      <c r="P441" s="25"/>
      <c r="Q441" s="25"/>
      <c r="R441" s="25"/>
      <c r="S441" s="25"/>
      <c r="T441" s="353" t="b" cm="1">
        <f t="array" aca="1" ref="T441" ca="1">T440</f>
        <v>1</v>
      </c>
      <c r="U441" s="25"/>
      <c r="V441" s="25"/>
      <c r="W441" s="25"/>
      <c r="X441" s="1022"/>
      <c r="Z441" s="967"/>
      <c r="AB441" s="7" t="str">
        <f>D441&amp;".2"</f>
        <v>10.2</v>
      </c>
      <c r="AC441" s="550" t="s">
        <v>1882</v>
      </c>
      <c r="AD441" s="7" t="s">
        <v>828</v>
      </c>
      <c r="AE441" s="778"/>
      <c r="AF441" s="778"/>
      <c r="AG441" s="778"/>
      <c r="AH441" s="171">
        <f t="shared" si="129"/>
        <v>0</v>
      </c>
      <c r="AI441" s="778"/>
      <c r="AJ441" s="128"/>
      <c r="AK441" s="778"/>
      <c r="AL441" s="778"/>
      <c r="AM441" s="778"/>
      <c r="AN441" s="778"/>
      <c r="AO441" s="778"/>
      <c r="AP441" s="778"/>
      <c r="AQ441" s="778"/>
      <c r="AR441" s="778"/>
      <c r="AS441" s="778"/>
      <c r="AT441" s="128"/>
      <c r="AU441" s="778"/>
      <c r="AV441" s="778"/>
      <c r="AW441" s="778"/>
      <c r="AX441" s="778"/>
      <c r="AY441" s="778"/>
      <c r="AZ441" s="778"/>
      <c r="BA441" s="778"/>
      <c r="BB441" s="778"/>
      <c r="BC441" s="778"/>
      <c r="BD441" s="542"/>
      <c r="BE441" s="542"/>
      <c r="BF441" s="542"/>
      <c r="BG441" s="542"/>
      <c r="BH441" s="542"/>
      <c r="BI441" s="542"/>
      <c r="BJ441" s="542"/>
      <c r="BK441" s="542"/>
      <c r="BL441" s="542"/>
      <c r="BM441" s="542"/>
      <c r="BN441" s="775"/>
      <c r="BO441" s="775"/>
      <c r="BP441" s="775"/>
      <c r="BS441" s="694" t="s">
        <v>1883</v>
      </c>
    </row>
    <row r="442" spans="1:75" s="870" customFormat="1" ht="20.25" customHeight="1" x14ac:dyDescent="0.25">
      <c r="A442" s="76"/>
      <c r="B442" s="332"/>
      <c r="C442" s="27"/>
      <c r="D442" s="27">
        <f>D441+1</f>
        <v>11</v>
      </c>
      <c r="E442" s="559">
        <v>21</v>
      </c>
      <c r="F442" s="3" t="str" cm="1">
        <f t="array" aca="1" ref="F442" ca="1">OFFSET(E442,-1,1)</f>
        <v>2</v>
      </c>
      <c r="G442" s="25" t="s">
        <v>1653</v>
      </c>
      <c r="H442" s="25"/>
      <c r="I442" s="25" t="s">
        <v>1912</v>
      </c>
      <c r="J442" s="27"/>
      <c r="K442" s="72" t="s">
        <v>1912</v>
      </c>
      <c r="L442" s="27" t="s">
        <v>1884</v>
      </c>
      <c r="M442" s="27"/>
      <c r="N442" s="27"/>
      <c r="O442" s="27"/>
      <c r="P442" s="27"/>
      <c r="Q442" s="27"/>
      <c r="R442" s="27"/>
      <c r="S442" s="27"/>
      <c r="T442" s="353" t="b" cm="1">
        <f t="array" aca="1" ref="T442" ca="1">T441</f>
        <v>1</v>
      </c>
      <c r="U442" s="27"/>
      <c r="V442" s="27"/>
      <c r="W442" s="27"/>
      <c r="X442" s="1022"/>
      <c r="Y442" s="76"/>
      <c r="Z442" s="967"/>
      <c r="AA442" s="76"/>
      <c r="AB442" s="124" cm="1">
        <f t="array" ref="AB442">D442</f>
        <v>11</v>
      </c>
      <c r="AC442" s="125" t="s">
        <v>1886</v>
      </c>
      <c r="AD442" s="124" t="s">
        <v>558</v>
      </c>
      <c r="AE442" s="552">
        <f ca="1">SUMIFS(Баланс!AE$26:AE$391,Баланс!$F$26:$F$391,$F442,Баланс!$G$26:$G$391,"ПО")</f>
        <v>272.25869999999998</v>
      </c>
      <c r="AF442" s="552">
        <f ca="1">SUMIFS(Баланс!AF$26:AF$391,Баланс!$F$26:$F$391,$F442,Баланс!$G$26:$G$391,"ПО")</f>
        <v>337.074524</v>
      </c>
      <c r="AG442" s="552">
        <f ca="1">SUMIFS(Баланс!AG$26:AG$391,Баланс!$F$26:$F$391,$F442,Баланс!$G$26:$G$391,"ПО")</f>
        <v>337.0745</v>
      </c>
      <c r="AH442" s="552">
        <f t="shared" ca="1" si="129"/>
        <v>-2.3999999996249244E-5</v>
      </c>
      <c r="AI442" s="552">
        <f ca="1">SUMIFS(Баланс!AH$26:AH$391,Баланс!$F$26:$F$391,$F442,Баланс!$G$26:$G$391,"ПО")</f>
        <v>304.45792999999998</v>
      </c>
      <c r="AJ442" s="552">
        <f ca="1">SUMIFS(Баланс!AI$26:AI$391,Баланс!$F$26:$F$391,$F442,Баланс!$G$26:$G$391,"ПО")</f>
        <v>422.57499999999999</v>
      </c>
      <c r="AK442" s="552">
        <f ca="1">SUMIFS(Баланс!AJ$26:AJ$391,Баланс!$F$26:$F$391,$F442,Баланс!$G$26:$G$391,"ПО")</f>
        <v>0</v>
      </c>
      <c r="AL442" s="552">
        <f ca="1">SUMIFS(Баланс!AK$26:AK$391,Баланс!$F$26:$F$391,$F442,Баланс!$G$26:$G$391,"ПО")</f>
        <v>0</v>
      </c>
      <c r="AM442" s="552">
        <f ca="1">SUMIFS(Баланс!AL$26:AL$391,Баланс!$F$26:$F$391,$F442,Баланс!$G$26:$G$391,"ПО")</f>
        <v>0</v>
      </c>
      <c r="AN442" s="552">
        <f ca="1">SUMIFS(Баланс!AM$26:AM$391,Баланс!$F$26:$F$391,$F442,Баланс!$G$26:$G$391,"ПО")</f>
        <v>0</v>
      </c>
      <c r="AO442" s="552">
        <f ca="1">SUMIFS(Баланс!AN$26:AN$391,Баланс!$F$26:$F$391,$F442,Баланс!$G$26:$G$391,"ПО")</f>
        <v>0</v>
      </c>
      <c r="AP442" s="552">
        <f ca="1">SUMIFS(Баланс!AO$26:AO$391,Баланс!$F$26:$F$391,$F442,Баланс!$G$26:$G$391,"ПО")</f>
        <v>0</v>
      </c>
      <c r="AQ442" s="552">
        <f ca="1">SUMIFS(Баланс!AP$26:AP$391,Баланс!$F$26:$F$391,$F442,Баланс!$G$26:$G$391,"ПО")</f>
        <v>0</v>
      </c>
      <c r="AR442" s="552">
        <f ca="1">SUMIFS(Баланс!AQ$26:AQ$391,Баланс!$F$26:$F$391,$F442,Баланс!$G$26:$G$391,"ПО")</f>
        <v>0</v>
      </c>
      <c r="AS442" s="552">
        <f ca="1">SUMIFS(Баланс!AR$26:AR$391,Баланс!$F$26:$F$391,$F442,Баланс!$G$26:$G$391,"ПО")</f>
        <v>0</v>
      </c>
      <c r="AT442" s="552">
        <f ca="1">SUMIFS(Баланс!AS$26:AS$391,Баланс!$F$26:$F$391,$F442,Баланс!$G$26:$G$391,"ПО")</f>
        <v>348.84325000000001</v>
      </c>
      <c r="AU442" s="552">
        <f ca="1">SUMIFS(Баланс!AT$26:AT$391,Баланс!$F$26:$F$391,$F442,Баланс!$G$26:$G$391,"ПО")</f>
        <v>0</v>
      </c>
      <c r="AV442" s="552">
        <f ca="1">SUMIFS(Баланс!AU$26:AU$391,Баланс!$F$26:$F$391,$F442,Баланс!$G$26:$G$391,"ПО")</f>
        <v>0</v>
      </c>
      <c r="AW442" s="552">
        <f ca="1">SUMIFS(Баланс!AV$26:AV$391,Баланс!$F$26:$F$391,$F442,Баланс!$G$26:$G$391,"ПО")</f>
        <v>0</v>
      </c>
      <c r="AX442" s="552">
        <f ca="1">SUMIFS(Баланс!AW$26:AW$391,Баланс!$F$26:$F$391,$F442,Баланс!$G$26:$G$391,"ПО")</f>
        <v>0</v>
      </c>
      <c r="AY442" s="552">
        <f ca="1">SUMIFS(Баланс!AX$26:AX$391,Баланс!$F$26:$F$391,$F442,Баланс!$G$26:$G$391,"ПО")</f>
        <v>0</v>
      </c>
      <c r="AZ442" s="552">
        <f ca="1">SUMIFS(Баланс!AY$26:AY$391,Баланс!$F$26:$F$391,$F442,Баланс!$G$26:$G$391,"ПО")</f>
        <v>0</v>
      </c>
      <c r="BA442" s="552">
        <f ca="1">SUMIFS(Баланс!AZ$26:AZ$391,Баланс!$F$26:$F$391,$F442,Баланс!$G$26:$G$391,"ПО")</f>
        <v>0</v>
      </c>
      <c r="BB442" s="552">
        <f ca="1">SUMIFS(Баланс!BA$26:BA$391,Баланс!$F$26:$F$391,$F442,Баланс!$G$26:$G$391,"ПО")</f>
        <v>0</v>
      </c>
      <c r="BC442" s="552">
        <f ca="1">SUMIFS(Баланс!BB$26:BB$391,Баланс!$F$26:$F$391,$F442,Баланс!$G$26:$G$391,"ПО")</f>
        <v>0</v>
      </c>
      <c r="BD442" s="129"/>
      <c r="BE442" s="129"/>
      <c r="BF442" s="129"/>
      <c r="BG442" s="129"/>
      <c r="BH442" s="129"/>
      <c r="BI442" s="129"/>
      <c r="BJ442" s="129"/>
      <c r="BK442" s="129"/>
      <c r="BL442" s="129"/>
      <c r="BM442" s="129"/>
      <c r="BN442" s="196"/>
      <c r="BO442" s="196"/>
      <c r="BP442" s="196"/>
      <c r="BQ442" s="76"/>
      <c r="BR442" s="76"/>
      <c r="BS442" s="695" t="s">
        <v>1887</v>
      </c>
      <c r="BT442" s="702"/>
      <c r="BU442" s="702"/>
      <c r="BV442" s="511"/>
      <c r="BW442" s="511"/>
    </row>
    <row r="443" spans="1:75" ht="14.65" customHeight="1" x14ac:dyDescent="0.25">
      <c r="C443" s="25"/>
      <c r="D443" s="25" cm="1">
        <f t="array" ref="D443">D442</f>
        <v>11</v>
      </c>
      <c r="E443" s="451">
        <v>15</v>
      </c>
      <c r="F443" s="3" t="str" cm="1">
        <f t="array" aca="1" ref="F443" ca="1">OFFSET(E443,-1,1)</f>
        <v>2</v>
      </c>
      <c r="G443" s="25" t="s">
        <v>1680</v>
      </c>
      <c r="H443" s="25"/>
      <c r="I443" s="25" t="s">
        <v>2213</v>
      </c>
      <c r="J443" s="25"/>
      <c r="K443" s="72" t="s">
        <v>2213</v>
      </c>
      <c r="L443" s="25" t="s">
        <v>1888</v>
      </c>
      <c r="M443" s="25"/>
      <c r="N443" s="25"/>
      <c r="O443" s="25"/>
      <c r="P443" s="25"/>
      <c r="Q443" s="25"/>
      <c r="R443" s="25"/>
      <c r="S443" s="25"/>
      <c r="T443" s="353" t="b" cm="1">
        <f t="array" aca="1" ref="T443" ca="1">T442</f>
        <v>1</v>
      </c>
      <c r="U443" s="25"/>
      <c r="V443" s="25"/>
      <c r="W443" s="25"/>
      <c r="X443" s="1022"/>
      <c r="Z443" s="967"/>
      <c r="AB443" s="7" t="str">
        <f>D443&amp;".1"</f>
        <v>11.1</v>
      </c>
      <c r="AC443" s="127" t="s">
        <v>1890</v>
      </c>
      <c r="AD443" s="7" t="s">
        <v>558</v>
      </c>
      <c r="AE443" s="444">
        <v>136.12934999999999</v>
      </c>
      <c r="AF443" s="444">
        <v>168.537262</v>
      </c>
      <c r="AG443" s="444">
        <v>168.53725</v>
      </c>
      <c r="AH443" s="558">
        <f t="shared" si="129"/>
        <v>-1.1999999998124622E-5</v>
      </c>
      <c r="AI443" s="444">
        <v>152.22896499999999</v>
      </c>
      <c r="AJ443" s="444">
        <v>211.28749999999999</v>
      </c>
      <c r="AK443" s="776">
        <f ca="1">IF(god=2025,AK442/12*9,AK442/2)</f>
        <v>0</v>
      </c>
      <c r="AL443" s="776">
        <f t="shared" ref="AL443:AS443" ca="1" si="130">AL442/2</f>
        <v>0</v>
      </c>
      <c r="AM443" s="444">
        <f t="shared" ca="1" si="130"/>
        <v>0</v>
      </c>
      <c r="AN443" s="444">
        <f t="shared" ca="1" si="130"/>
        <v>0</v>
      </c>
      <c r="AO443" s="444">
        <f t="shared" ca="1" si="130"/>
        <v>0</v>
      </c>
      <c r="AP443" s="444">
        <f t="shared" ca="1" si="130"/>
        <v>0</v>
      </c>
      <c r="AQ443" s="444">
        <f t="shared" ca="1" si="130"/>
        <v>0</v>
      </c>
      <c r="AR443" s="444">
        <f t="shared" ca="1" si="130"/>
        <v>0</v>
      </c>
      <c r="AS443" s="444">
        <f t="shared" ca="1" si="130"/>
        <v>0</v>
      </c>
      <c r="AT443" s="444">
        <v>174.42162500000001</v>
      </c>
      <c r="AU443" s="776">
        <f ca="1">IF(god=2025,AU442/12*9,AU442/2)</f>
        <v>0</v>
      </c>
      <c r="AV443" s="776">
        <f t="shared" ref="AV443:BC443" ca="1" si="131">AV442/2</f>
        <v>0</v>
      </c>
      <c r="AW443" s="444">
        <f t="shared" ca="1" si="131"/>
        <v>0</v>
      </c>
      <c r="AX443" s="444">
        <f t="shared" ca="1" si="131"/>
        <v>0</v>
      </c>
      <c r="AY443" s="444">
        <f t="shared" ca="1" si="131"/>
        <v>0</v>
      </c>
      <c r="AZ443" s="444">
        <f t="shared" ca="1" si="131"/>
        <v>0</v>
      </c>
      <c r="BA443" s="444">
        <f t="shared" ca="1" si="131"/>
        <v>0</v>
      </c>
      <c r="BB443" s="444">
        <f t="shared" ca="1" si="131"/>
        <v>0</v>
      </c>
      <c r="BC443" s="444">
        <f t="shared" ca="1" si="131"/>
        <v>0</v>
      </c>
      <c r="BD443" s="542"/>
      <c r="BE443" s="542"/>
      <c r="BF443" s="542"/>
      <c r="BG443" s="542"/>
      <c r="BH443" s="542"/>
      <c r="BI443" s="542"/>
      <c r="BJ443" s="542"/>
      <c r="BK443" s="542"/>
      <c r="BL443" s="542"/>
      <c r="BM443" s="542"/>
      <c r="BN443" s="196"/>
      <c r="BO443" s="196"/>
      <c r="BP443" s="196"/>
      <c r="BS443" s="694" t="s">
        <v>1891</v>
      </c>
    </row>
    <row r="444" spans="1:75" ht="75.75" customHeight="1" x14ac:dyDescent="0.25">
      <c r="C444" s="25"/>
      <c r="D444" s="25" cm="1">
        <f t="array" ref="D444">D443</f>
        <v>11</v>
      </c>
      <c r="E444" s="451">
        <v>15</v>
      </c>
      <c r="F444" s="3" t="str" cm="1">
        <f t="array" aca="1" ref="F444" ca="1">OFFSET(E444,-1,1)</f>
        <v>2</v>
      </c>
      <c r="G444" s="25" t="s">
        <v>1641</v>
      </c>
      <c r="H444" s="25"/>
      <c r="I444" s="25" t="s">
        <v>2214</v>
      </c>
      <c r="J444" s="25"/>
      <c r="K444" s="72" t="s">
        <v>2214</v>
      </c>
      <c r="L444" s="25" t="s">
        <v>1892</v>
      </c>
      <c r="M444" s="25"/>
      <c r="N444" s="25"/>
      <c r="O444" s="25"/>
      <c r="P444" s="25"/>
      <c r="Q444" s="25"/>
      <c r="R444" s="25"/>
      <c r="S444" s="25"/>
      <c r="T444" s="353" t="b" cm="1">
        <f t="array" aca="1" ref="T444" ca="1">T443</f>
        <v>1</v>
      </c>
      <c r="U444" s="25"/>
      <c r="V444" s="25"/>
      <c r="W444" s="25"/>
      <c r="X444" s="1022"/>
      <c r="Z444" s="967"/>
      <c r="AB444" s="7" t="str">
        <f>D444&amp;".2"</f>
        <v>11.2</v>
      </c>
      <c r="AC444" s="127" t="s">
        <v>1894</v>
      </c>
      <c r="AD444" s="7" t="s">
        <v>1644</v>
      </c>
      <c r="AE444" s="128">
        <v>41.190001403799997</v>
      </c>
      <c r="AF444" s="128">
        <v>136.88246632729999</v>
      </c>
      <c r="AG444" s="128">
        <v>36.956342218899998</v>
      </c>
      <c r="AH444" s="171">
        <f t="shared" si="129"/>
        <v>-99.926124108399989</v>
      </c>
      <c r="AI444" s="128">
        <v>45.23</v>
      </c>
      <c r="AJ444" s="128">
        <v>231.7124131402</v>
      </c>
      <c r="AK444" s="778"/>
      <c r="AL444" s="778"/>
      <c r="AM444" s="128"/>
      <c r="AN444" s="128"/>
      <c r="AO444" s="128"/>
      <c r="AP444" s="128"/>
      <c r="AQ444" s="128"/>
      <c r="AR444" s="128"/>
      <c r="AS444" s="128"/>
      <c r="AT444" s="128">
        <v>49.66</v>
      </c>
      <c r="AU444" s="778" cm="1">
        <f t="array" ref="AU444">AT446</f>
        <v>54.650010290499999</v>
      </c>
      <c r="AV444" s="778"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2"/>
      <c r="BE444" s="542"/>
      <c r="BF444" s="542"/>
      <c r="BG444" s="542"/>
      <c r="BH444" s="542"/>
      <c r="BI444" s="542"/>
      <c r="BJ444" s="542"/>
      <c r="BK444" s="542"/>
      <c r="BL444" s="542"/>
      <c r="BM444" s="542"/>
      <c r="BN444" s="196"/>
      <c r="BO444" s="196" t="s">
        <v>2294</v>
      </c>
      <c r="BP444" s="196"/>
      <c r="BS444" s="694" t="s">
        <v>1895</v>
      </c>
    </row>
    <row r="445" spans="1:75" ht="14.25" customHeight="1" x14ac:dyDescent="0.25">
      <c r="C445" s="25"/>
      <c r="D445" s="25" cm="1">
        <f t="array" ref="D445">D444</f>
        <v>11</v>
      </c>
      <c r="E445" s="451">
        <v>15</v>
      </c>
      <c r="F445" s="3" t="str" cm="1">
        <f t="array" aca="1" ref="F445" ca="1">OFFSET(E445,-1,1)</f>
        <v>2</v>
      </c>
      <c r="G445" s="25" t="s">
        <v>1693</v>
      </c>
      <c r="H445" s="25"/>
      <c r="I445" s="25" t="s">
        <v>2215</v>
      </c>
      <c r="J445" s="25"/>
      <c r="K445" s="72" t="s">
        <v>2215</v>
      </c>
      <c r="L445" s="25" t="s">
        <v>1896</v>
      </c>
      <c r="M445" s="25"/>
      <c r="N445" s="25"/>
      <c r="O445" s="25"/>
      <c r="P445" s="25"/>
      <c r="Q445" s="25"/>
      <c r="R445" s="25"/>
      <c r="S445" s="25"/>
      <c r="T445" s="353" t="b" cm="1">
        <f t="array" aca="1" ref="T445" ca="1">T444</f>
        <v>1</v>
      </c>
      <c r="U445" s="25"/>
      <c r="V445" s="25"/>
      <c r="W445" s="25"/>
      <c r="X445" s="1022"/>
      <c r="Z445" s="967"/>
      <c r="AB445" s="7" t="str">
        <f>D445&amp;".3"</f>
        <v>11.3</v>
      </c>
      <c r="AC445" s="127" t="s">
        <v>2216</v>
      </c>
      <c r="AD445" s="7" t="s">
        <v>558</v>
      </c>
      <c r="AE445" s="558">
        <f ca="1">AE442-AE443</f>
        <v>136.12934999999999</v>
      </c>
      <c r="AF445" s="558">
        <f ca="1">AF442-AF443</f>
        <v>168.537262</v>
      </c>
      <c r="AG445" s="558">
        <f ca="1">AG442-AG443</f>
        <v>168.53725</v>
      </c>
      <c r="AH445" s="558">
        <f t="shared" ca="1" si="129"/>
        <v>-1.1999999998124622E-5</v>
      </c>
      <c r="AI445" s="558">
        <f t="shared" ref="AI445:BC445" ca="1" si="132">AI442-AI443</f>
        <v>152.22896499999999</v>
      </c>
      <c r="AJ445" s="558">
        <f t="shared" ca="1" si="132"/>
        <v>211.28749999999999</v>
      </c>
      <c r="AK445" s="558">
        <f t="shared" ca="1" si="132"/>
        <v>0</v>
      </c>
      <c r="AL445" s="558">
        <f t="shared" ca="1" si="132"/>
        <v>0</v>
      </c>
      <c r="AM445" s="558">
        <f t="shared" ca="1" si="132"/>
        <v>0</v>
      </c>
      <c r="AN445" s="558">
        <f t="shared" ca="1" si="132"/>
        <v>0</v>
      </c>
      <c r="AO445" s="558">
        <f t="shared" ca="1" si="132"/>
        <v>0</v>
      </c>
      <c r="AP445" s="558">
        <f t="shared" ca="1" si="132"/>
        <v>0</v>
      </c>
      <c r="AQ445" s="558">
        <f t="shared" ca="1" si="132"/>
        <v>0</v>
      </c>
      <c r="AR445" s="558">
        <f t="shared" ca="1" si="132"/>
        <v>0</v>
      </c>
      <c r="AS445" s="558">
        <f t="shared" ca="1" si="132"/>
        <v>0</v>
      </c>
      <c r="AT445" s="558">
        <f t="shared" ca="1" si="132"/>
        <v>174.42162500000001</v>
      </c>
      <c r="AU445" s="558">
        <f t="shared" ca="1" si="132"/>
        <v>0</v>
      </c>
      <c r="AV445" s="558">
        <f t="shared" ca="1" si="132"/>
        <v>0</v>
      </c>
      <c r="AW445" s="558">
        <f t="shared" ca="1" si="132"/>
        <v>0</v>
      </c>
      <c r="AX445" s="558">
        <f t="shared" ca="1" si="132"/>
        <v>0</v>
      </c>
      <c r="AY445" s="558">
        <f t="shared" ca="1" si="132"/>
        <v>0</v>
      </c>
      <c r="AZ445" s="558">
        <f t="shared" ca="1" si="132"/>
        <v>0</v>
      </c>
      <c r="BA445" s="558">
        <f t="shared" ca="1" si="132"/>
        <v>0</v>
      </c>
      <c r="BB445" s="558">
        <f t="shared" ca="1" si="132"/>
        <v>0</v>
      </c>
      <c r="BC445" s="558">
        <f t="shared" ca="1" si="132"/>
        <v>0</v>
      </c>
      <c r="BD445" s="542"/>
      <c r="BE445" s="542"/>
      <c r="BF445" s="542"/>
      <c r="BG445" s="542"/>
      <c r="BH445" s="542"/>
      <c r="BI445" s="542"/>
      <c r="BJ445" s="542"/>
      <c r="BK445" s="542"/>
      <c r="BL445" s="542"/>
      <c r="BM445" s="542"/>
      <c r="BN445" s="196"/>
      <c r="BO445" s="196"/>
      <c r="BP445" s="196"/>
      <c r="BS445" s="694" t="s">
        <v>1899</v>
      </c>
    </row>
    <row r="446" spans="1:75" ht="14.65" customHeight="1" x14ac:dyDescent="0.25">
      <c r="C446" s="25"/>
      <c r="D446" s="25" cm="1">
        <f t="array" ref="D446">D445</f>
        <v>11</v>
      </c>
      <c r="E446" s="451">
        <v>15</v>
      </c>
      <c r="F446" s="3" t="str" cm="1">
        <f t="array" aca="1" ref="F446" ca="1">OFFSET(E446,-1,1)</f>
        <v>2</v>
      </c>
      <c r="G446" s="25" t="s">
        <v>1646</v>
      </c>
      <c r="H446" s="25"/>
      <c r="I446" s="25" t="s">
        <v>2217</v>
      </c>
      <c r="J446" s="25"/>
      <c r="K446" s="72" t="s">
        <v>2217</v>
      </c>
      <c r="L446" s="25" t="s">
        <v>1900</v>
      </c>
      <c r="M446" s="25"/>
      <c r="N446" s="25"/>
      <c r="O446" s="25"/>
      <c r="P446" s="25"/>
      <c r="Q446" s="25"/>
      <c r="R446" s="25"/>
      <c r="S446" s="25"/>
      <c r="T446" s="353" t="b" cm="1">
        <f t="array" aca="1" ref="T446" ca="1">T445</f>
        <v>1</v>
      </c>
      <c r="U446" s="25"/>
      <c r="V446" s="25"/>
      <c r="W446" s="25"/>
      <c r="X446" s="1022"/>
      <c r="Z446" s="967"/>
      <c r="AB446" s="7" t="str">
        <f>D446&amp;".4"</f>
        <v>11.4</v>
      </c>
      <c r="AC446" s="127" t="s">
        <v>1902</v>
      </c>
      <c r="AD446" s="7" t="s">
        <v>1644</v>
      </c>
      <c r="AE446" s="128">
        <v>45.2300332501</v>
      </c>
      <c r="AF446" s="128">
        <v>136.8823869062</v>
      </c>
      <c r="AG446" s="128">
        <v>36.956342218899998</v>
      </c>
      <c r="AH446" s="171">
        <f t="shared" si="129"/>
        <v>-99.926044687299992</v>
      </c>
      <c r="AI446" s="128">
        <v>49.66</v>
      </c>
      <c r="AJ446" s="128">
        <v>231.7124131402</v>
      </c>
      <c r="AK446" s="778">
        <f t="shared" ref="AK446:AS446" ca="1" si="133">IF(AK445=0,0,(AK439-AK443*AK444)/AK445)</f>
        <v>0</v>
      </c>
      <c r="AL446" s="778">
        <f t="shared" ca="1" si="133"/>
        <v>0</v>
      </c>
      <c r="AM446" s="128">
        <f t="shared" ca="1" si="133"/>
        <v>0</v>
      </c>
      <c r="AN446" s="128">
        <f t="shared" ca="1" si="133"/>
        <v>0</v>
      </c>
      <c r="AO446" s="128">
        <f t="shared" ca="1" si="133"/>
        <v>0</v>
      </c>
      <c r="AP446" s="128">
        <f t="shared" ca="1" si="133"/>
        <v>0</v>
      </c>
      <c r="AQ446" s="128">
        <f t="shared" ca="1" si="133"/>
        <v>0</v>
      </c>
      <c r="AR446" s="128">
        <f t="shared" ca="1" si="133"/>
        <v>0</v>
      </c>
      <c r="AS446" s="128">
        <f t="shared" ca="1" si="133"/>
        <v>0</v>
      </c>
      <c r="AT446" s="128">
        <v>54.650010290499999</v>
      </c>
      <c r="AU446" s="778">
        <f t="shared" ref="AU446:BC446" ca="1" si="134">IF(AU445=0,0,(AU439-AU443*AU444)/AU445)</f>
        <v>0</v>
      </c>
      <c r="AV446" s="778">
        <f t="shared" ca="1" si="134"/>
        <v>0</v>
      </c>
      <c r="AW446" s="128">
        <f t="shared" ca="1" si="134"/>
        <v>0</v>
      </c>
      <c r="AX446" s="128">
        <f t="shared" ca="1" si="134"/>
        <v>0</v>
      </c>
      <c r="AY446" s="128">
        <f t="shared" ca="1" si="134"/>
        <v>0</v>
      </c>
      <c r="AZ446" s="128">
        <f t="shared" ca="1" si="134"/>
        <v>0</v>
      </c>
      <c r="BA446" s="128">
        <f t="shared" ca="1" si="134"/>
        <v>0</v>
      </c>
      <c r="BB446" s="128">
        <f t="shared" ca="1" si="134"/>
        <v>0</v>
      </c>
      <c r="BC446" s="128">
        <f t="shared" ca="1" si="134"/>
        <v>0</v>
      </c>
      <c r="BD446" s="542"/>
      <c r="BE446" s="542"/>
      <c r="BF446" s="542"/>
      <c r="BG446" s="542"/>
      <c r="BH446" s="542"/>
      <c r="BI446" s="542"/>
      <c r="BJ446" s="542"/>
      <c r="BK446" s="542"/>
      <c r="BL446" s="542"/>
      <c r="BM446" s="542"/>
      <c r="BN446" s="196"/>
      <c r="BO446" s="196"/>
      <c r="BP446" s="196"/>
      <c r="BS446" s="694" t="s">
        <v>1903</v>
      </c>
    </row>
    <row r="447" spans="1:75" ht="14.25" customHeight="1" x14ac:dyDescent="0.25">
      <c r="C447" s="25"/>
      <c r="D447" s="25" cm="1">
        <f t="array" ref="D447">D446</f>
        <v>11</v>
      </c>
      <c r="E447" s="451">
        <v>15</v>
      </c>
      <c r="F447" s="3" t="str" cm="1">
        <f t="array" aca="1" ref="F447" ca="1">OFFSET(E447,-1,1)</f>
        <v>2</v>
      </c>
      <c r="G447" s="25"/>
      <c r="H447" s="25"/>
      <c r="I447" s="25" t="s">
        <v>2218</v>
      </c>
      <c r="J447" s="25"/>
      <c r="K447" s="72" t="s">
        <v>2218</v>
      </c>
      <c r="L447" s="25" t="s">
        <v>1904</v>
      </c>
      <c r="M447" s="25"/>
      <c r="N447" s="25"/>
      <c r="O447" s="25"/>
      <c r="P447" s="25"/>
      <c r="Q447" s="25"/>
      <c r="R447" s="25"/>
      <c r="S447" s="25"/>
      <c r="T447" s="353" t="b" cm="1">
        <f t="array" aca="1" ref="T447" ca="1">T446</f>
        <v>1</v>
      </c>
      <c r="U447" s="25"/>
      <c r="V447" s="25"/>
      <c r="W447" s="25"/>
      <c r="X447" s="1022"/>
      <c r="Z447" s="967"/>
      <c r="AB447" s="7" t="str">
        <f>D447&amp;".5"</f>
        <v>11.5</v>
      </c>
      <c r="AC447" s="127" t="s">
        <v>1906</v>
      </c>
      <c r="AD447" s="7" t="s">
        <v>476</v>
      </c>
      <c r="AE447" s="171">
        <f>IF(AE444=0,0,AE446/AE444*100)</f>
        <v>109.80828285654607</v>
      </c>
      <c r="AF447" s="171">
        <f>IF(AF444=0,0,AF446/AF444*100)</f>
        <v>99.999941978617031</v>
      </c>
      <c r="AG447" s="171">
        <f>IF(AG444=0,0,AG446/AG444*100)</f>
        <v>100</v>
      </c>
      <c r="AH447" s="542"/>
      <c r="AI447" s="171">
        <f t="shared" ref="AI447:BC447" si="135">IF(AI444=0,0,AI446/AI444*100)</f>
        <v>109.7943842582357</v>
      </c>
      <c r="AJ447" s="171">
        <f t="shared" si="135"/>
        <v>100</v>
      </c>
      <c r="AK447" s="171">
        <f t="shared" si="135"/>
        <v>0</v>
      </c>
      <c r="AL447" s="171">
        <f t="shared" si="135"/>
        <v>0</v>
      </c>
      <c r="AM447" s="171">
        <f t="shared" si="135"/>
        <v>0</v>
      </c>
      <c r="AN447" s="171">
        <f t="shared" si="135"/>
        <v>0</v>
      </c>
      <c r="AO447" s="171">
        <f t="shared" si="135"/>
        <v>0</v>
      </c>
      <c r="AP447" s="171">
        <f t="shared" si="135"/>
        <v>0</v>
      </c>
      <c r="AQ447" s="171">
        <f t="shared" si="135"/>
        <v>0</v>
      </c>
      <c r="AR447" s="171">
        <f t="shared" si="135"/>
        <v>0</v>
      </c>
      <c r="AS447" s="171">
        <f t="shared" si="135"/>
        <v>0</v>
      </c>
      <c r="AT447" s="171">
        <f t="shared" si="135"/>
        <v>110.04834935662507</v>
      </c>
      <c r="AU447" s="171">
        <f t="shared" ca="1" si="135"/>
        <v>0</v>
      </c>
      <c r="AV447" s="171">
        <f t="shared" ca="1" si="135"/>
        <v>0</v>
      </c>
      <c r="AW447" s="171">
        <f t="shared" ca="1" si="135"/>
        <v>0</v>
      </c>
      <c r="AX447" s="171">
        <f t="shared" ca="1" si="135"/>
        <v>0</v>
      </c>
      <c r="AY447" s="171">
        <f t="shared" ca="1" si="135"/>
        <v>0</v>
      </c>
      <c r="AZ447" s="171">
        <f t="shared" ca="1" si="135"/>
        <v>0</v>
      </c>
      <c r="BA447" s="171">
        <f t="shared" ca="1" si="135"/>
        <v>0</v>
      </c>
      <c r="BB447" s="171">
        <f t="shared" ca="1" si="135"/>
        <v>0</v>
      </c>
      <c r="BC447" s="171">
        <f t="shared" ca="1" si="135"/>
        <v>0</v>
      </c>
      <c r="BD447" s="542"/>
      <c r="BE447" s="542"/>
      <c r="BF447" s="542"/>
      <c r="BG447" s="542"/>
      <c r="BH447" s="542"/>
      <c r="BI447" s="542"/>
      <c r="BJ447" s="542"/>
      <c r="BK447" s="542"/>
      <c r="BL447" s="542"/>
      <c r="BM447" s="542"/>
      <c r="BN447" s="196"/>
      <c r="BO447" s="196"/>
      <c r="BP447" s="196"/>
      <c r="BS447" s="694" t="s">
        <v>1907</v>
      </c>
    </row>
    <row r="448" spans="1:75" ht="44.25" customHeight="1" x14ac:dyDescent="0.25">
      <c r="C448" s="25"/>
      <c r="D448" s="25" cm="1">
        <f t="array" ref="D448">D447</f>
        <v>11</v>
      </c>
      <c r="E448" s="451">
        <v>15</v>
      </c>
      <c r="F448" s="3" t="str" cm="1">
        <f t="array" aca="1" ref="F448" ca="1">OFFSET(E448,-1,1)</f>
        <v>2</v>
      </c>
      <c r="G448" s="25"/>
      <c r="H448" s="25"/>
      <c r="I448" s="25" t="s">
        <v>2219</v>
      </c>
      <c r="J448" s="25"/>
      <c r="K448" s="72" t="s">
        <v>2219</v>
      </c>
      <c r="L448" s="25" t="s">
        <v>1908</v>
      </c>
      <c r="M448" s="25"/>
      <c r="N448" s="25"/>
      <c r="O448" s="25"/>
      <c r="P448" s="25"/>
      <c r="Q448" s="25"/>
      <c r="R448" s="25"/>
      <c r="S448" s="25"/>
      <c r="T448" s="353" t="b" cm="1">
        <f t="array" aca="1" ref="T448" ca="1">T447</f>
        <v>1</v>
      </c>
      <c r="U448" s="25"/>
      <c r="V448" s="25"/>
      <c r="W448" s="25"/>
      <c r="X448" s="1022"/>
      <c r="Z448" s="967"/>
      <c r="AB448" s="7" t="str">
        <f>D448&amp;".6"</f>
        <v>11.6</v>
      </c>
      <c r="AC448" s="127" t="s">
        <v>1910</v>
      </c>
      <c r="AD448" s="7" t="s">
        <v>1644</v>
      </c>
      <c r="AE448" s="128">
        <v>43.210017327000003</v>
      </c>
      <c r="AF448" s="128">
        <v>136.8824266167</v>
      </c>
      <c r="AG448" s="128">
        <v>36.956342218899998</v>
      </c>
      <c r="AH448" s="171">
        <f>AG448-AF448</f>
        <v>-99.926084397799997</v>
      </c>
      <c r="AI448" s="128">
        <v>47.445016279500003</v>
      </c>
      <c r="AJ448" s="128">
        <v>231.7124131402</v>
      </c>
      <c r="AK448" s="778">
        <f t="shared" ref="AK448:AS448" ca="1" si="136">IF(AK442=0,0,AK439/AK442)</f>
        <v>0</v>
      </c>
      <c r="AL448" s="778">
        <f t="shared" ca="1" si="136"/>
        <v>0</v>
      </c>
      <c r="AM448" s="128">
        <f t="shared" ca="1" si="136"/>
        <v>0</v>
      </c>
      <c r="AN448" s="128">
        <f t="shared" ca="1" si="136"/>
        <v>0</v>
      </c>
      <c r="AO448" s="128">
        <f t="shared" ca="1" si="136"/>
        <v>0</v>
      </c>
      <c r="AP448" s="128">
        <f t="shared" ca="1" si="136"/>
        <v>0</v>
      </c>
      <c r="AQ448" s="128">
        <f t="shared" ca="1" si="136"/>
        <v>0</v>
      </c>
      <c r="AR448" s="128">
        <f t="shared" ca="1" si="136"/>
        <v>0</v>
      </c>
      <c r="AS448" s="128">
        <f t="shared" ca="1" si="136"/>
        <v>0</v>
      </c>
      <c r="AT448" s="128">
        <v>52.155005145200001</v>
      </c>
      <c r="AU448" s="778">
        <f t="shared" ref="AU448:BC448" ca="1" si="137">IF(AU442=0,0,AU439/AU442)</f>
        <v>0</v>
      </c>
      <c r="AV448" s="778">
        <f t="shared" ca="1" si="137"/>
        <v>0</v>
      </c>
      <c r="AW448" s="128">
        <f t="shared" ca="1" si="137"/>
        <v>0</v>
      </c>
      <c r="AX448" s="128">
        <f t="shared" ca="1" si="137"/>
        <v>0</v>
      </c>
      <c r="AY448" s="128">
        <f t="shared" ca="1" si="137"/>
        <v>0</v>
      </c>
      <c r="AZ448" s="128">
        <f t="shared" ca="1" si="137"/>
        <v>0</v>
      </c>
      <c r="BA448" s="128">
        <f t="shared" ca="1" si="137"/>
        <v>0</v>
      </c>
      <c r="BB448" s="128">
        <f t="shared" ca="1" si="137"/>
        <v>0</v>
      </c>
      <c r="BC448" s="128">
        <f t="shared" ca="1" si="137"/>
        <v>0</v>
      </c>
      <c r="BD448" s="542"/>
      <c r="BE448" s="542"/>
      <c r="BF448" s="542"/>
      <c r="BG448" s="542"/>
      <c r="BH448" s="542"/>
      <c r="BI448" s="542"/>
      <c r="BJ448" s="542"/>
      <c r="BK448" s="542"/>
      <c r="BL448" s="542"/>
      <c r="BM448" s="542"/>
      <c r="BN448" s="196" t="s">
        <v>2267</v>
      </c>
      <c r="BO448" s="196"/>
      <c r="BP448" s="196" t="s">
        <v>2295</v>
      </c>
      <c r="BS448" s="694" t="s">
        <v>1911</v>
      </c>
    </row>
    <row r="449" spans="1:75" s="870" customFormat="1" ht="20.25" customHeight="1" x14ac:dyDescent="0.25">
      <c r="A449" s="76"/>
      <c r="B449" s="332"/>
      <c r="C449" s="27"/>
      <c r="D449" s="27">
        <f>D448+1</f>
        <v>12</v>
      </c>
      <c r="E449" s="559">
        <v>21</v>
      </c>
      <c r="F449" s="3" t="str" cm="1">
        <f t="array" aca="1" ref="F449" ca="1">OFFSET(E449,-1,1)</f>
        <v>2</v>
      </c>
      <c r="G449" s="27"/>
      <c r="H449" s="25"/>
      <c r="I449" s="25" t="s">
        <v>1916</v>
      </c>
      <c r="J449" s="27"/>
      <c r="K449" s="72" t="s">
        <v>1916</v>
      </c>
      <c r="L449" s="27" t="s">
        <v>1912</v>
      </c>
      <c r="M449" s="27"/>
      <c r="N449" s="27"/>
      <c r="O449" s="27"/>
      <c r="P449" s="27"/>
      <c r="Q449" s="27"/>
      <c r="R449" s="27"/>
      <c r="S449" s="27"/>
      <c r="T449" s="353" t="b" cm="1">
        <f t="array" aca="1" ref="T449" ca="1">T448</f>
        <v>1</v>
      </c>
      <c r="U449" s="27"/>
      <c r="V449" s="27"/>
      <c r="W449" s="27"/>
      <c r="X449" s="1022"/>
      <c r="Y449" s="76"/>
      <c r="Z449" s="967"/>
      <c r="AA449" s="76"/>
      <c r="AB449" s="124" cm="1">
        <f t="array" ref="AB449">D449</f>
        <v>12</v>
      </c>
      <c r="AC449" s="125" t="s">
        <v>1914</v>
      </c>
      <c r="AD449" s="124" t="s">
        <v>828</v>
      </c>
      <c r="AE449" s="138">
        <f ca="1">IF(AE442=0,0,AE439/AE442*AE450)</f>
        <v>0</v>
      </c>
      <c r="AF449" s="138">
        <f ca="1">IF(AF442=0,0,AF439/AF442*AF450)</f>
        <v>0</v>
      </c>
      <c r="AG449" s="138">
        <f ca="1">IF(AG442=0,0,AG439/AG442*AG450)</f>
        <v>0</v>
      </c>
      <c r="AH449" s="126">
        <f ca="1">AH451*AH452+AH453*AH454</f>
        <v>0</v>
      </c>
      <c r="AI449" s="138">
        <f t="shared" ref="AI449:BC449" ca="1" si="138">IF(AI442=0,0,AI439/AI442*AI450)</f>
        <v>0</v>
      </c>
      <c r="AJ449" s="138">
        <f t="shared" ca="1" si="138"/>
        <v>0</v>
      </c>
      <c r="AK449" s="774">
        <f t="shared" ca="1" si="138"/>
        <v>0</v>
      </c>
      <c r="AL449" s="774">
        <f t="shared" ca="1" si="138"/>
        <v>0</v>
      </c>
      <c r="AM449" s="138">
        <f t="shared" ca="1" si="138"/>
        <v>0</v>
      </c>
      <c r="AN449" s="138">
        <f t="shared" ca="1" si="138"/>
        <v>0</v>
      </c>
      <c r="AO449" s="138">
        <f t="shared" ca="1" si="138"/>
        <v>0</v>
      </c>
      <c r="AP449" s="138">
        <f t="shared" ca="1" si="138"/>
        <v>0</v>
      </c>
      <c r="AQ449" s="138">
        <f t="shared" ca="1" si="138"/>
        <v>0</v>
      </c>
      <c r="AR449" s="138">
        <f t="shared" ca="1" si="138"/>
        <v>0</v>
      </c>
      <c r="AS449" s="138">
        <f t="shared" ca="1" si="138"/>
        <v>0</v>
      </c>
      <c r="AT449" s="138">
        <f t="shared" ca="1" si="138"/>
        <v>0</v>
      </c>
      <c r="AU449" s="774">
        <f t="shared" ca="1" si="138"/>
        <v>0</v>
      </c>
      <c r="AV449" s="774">
        <f t="shared" ca="1" si="138"/>
        <v>0</v>
      </c>
      <c r="AW449" s="138">
        <f t="shared" ca="1" si="138"/>
        <v>0</v>
      </c>
      <c r="AX449" s="138">
        <f t="shared" ca="1" si="138"/>
        <v>0</v>
      </c>
      <c r="AY449" s="138">
        <f t="shared" ca="1" si="138"/>
        <v>0</v>
      </c>
      <c r="AZ449" s="138">
        <f t="shared" ca="1" si="138"/>
        <v>0</v>
      </c>
      <c r="BA449" s="138">
        <f t="shared" ca="1" si="138"/>
        <v>0</v>
      </c>
      <c r="BB449" s="138">
        <f t="shared" ca="1" si="138"/>
        <v>0</v>
      </c>
      <c r="BC449" s="138">
        <f t="shared" ca="1" si="138"/>
        <v>0</v>
      </c>
      <c r="BD449" s="126">
        <f ca="1">IF(AI449=0,0,(AT449-AI449)/AI449*100)</f>
        <v>0</v>
      </c>
      <c r="BE449" s="126">
        <f t="shared" ref="BE449:BM449" ca="1" si="139">IF(AT449=0,0,(AU449-AT449)/AT449*100)</f>
        <v>0</v>
      </c>
      <c r="BF449" s="126">
        <f t="shared" ca="1" si="139"/>
        <v>0</v>
      </c>
      <c r="BG449" s="126">
        <f t="shared" ca="1" si="139"/>
        <v>0</v>
      </c>
      <c r="BH449" s="126">
        <f t="shared" ca="1" si="139"/>
        <v>0</v>
      </c>
      <c r="BI449" s="126">
        <f t="shared" ca="1" si="139"/>
        <v>0</v>
      </c>
      <c r="BJ449" s="126">
        <f t="shared" ca="1" si="139"/>
        <v>0</v>
      </c>
      <c r="BK449" s="126">
        <f t="shared" ca="1" si="139"/>
        <v>0</v>
      </c>
      <c r="BL449" s="126">
        <f t="shared" ca="1" si="139"/>
        <v>0</v>
      </c>
      <c r="BM449" s="126">
        <f t="shared" ca="1" si="139"/>
        <v>0</v>
      </c>
      <c r="BN449" s="196"/>
      <c r="BO449" s="196"/>
      <c r="BP449" s="196"/>
      <c r="BQ449" s="76"/>
      <c r="BR449" s="76"/>
      <c r="BS449" s="695" t="s">
        <v>1915</v>
      </c>
      <c r="BT449" s="702"/>
      <c r="BU449" s="702"/>
      <c r="BV449" s="511"/>
      <c r="BW449" s="511"/>
    </row>
    <row r="450" spans="1:75" s="870" customFormat="1" ht="20.25" customHeight="1" x14ac:dyDescent="0.25">
      <c r="A450" s="76"/>
      <c r="B450" s="332"/>
      <c r="C450" s="27"/>
      <c r="D450" s="27">
        <f>D449+1</f>
        <v>13</v>
      </c>
      <c r="E450" s="559">
        <v>21</v>
      </c>
      <c r="F450" s="3" t="str" cm="1">
        <f t="array" aca="1" ref="F450" ca="1">OFFSET(E450,-1,1)</f>
        <v>2</v>
      </c>
      <c r="G450" s="25" t="s">
        <v>1666</v>
      </c>
      <c r="H450" s="25"/>
      <c r="I450" s="25" t="s">
        <v>2220</v>
      </c>
      <c r="J450" s="27"/>
      <c r="K450" s="72" t="s">
        <v>2220</v>
      </c>
      <c r="L450" s="27" t="s">
        <v>1916</v>
      </c>
      <c r="M450" s="27"/>
      <c r="N450" s="27"/>
      <c r="O450" s="27"/>
      <c r="P450" s="27"/>
      <c r="Q450" s="27"/>
      <c r="R450" s="27"/>
      <c r="S450" s="27"/>
      <c r="T450" s="353" t="b" cm="1">
        <f t="array" aca="1" ref="T450" ca="1">T449</f>
        <v>1</v>
      </c>
      <c r="U450" s="27"/>
      <c r="V450" s="27"/>
      <c r="W450" s="27"/>
      <c r="X450" s="1022"/>
      <c r="Y450" s="76"/>
      <c r="Z450" s="967"/>
      <c r="AA450" s="76"/>
      <c r="AB450" s="124" cm="1">
        <f t="array" ref="AB450">D450</f>
        <v>13</v>
      </c>
      <c r="AC450" s="125" t="s">
        <v>1918</v>
      </c>
      <c r="AD450" s="124" t="s">
        <v>558</v>
      </c>
      <c r="AE450" s="552">
        <f ca="1">SUMIFS(Баланс!AE$26:AE$391,Баланс!$F$26:$F$391,$F450,Баланс!$G$26:$G$391,"население")</f>
        <v>0</v>
      </c>
      <c r="AF450" s="552">
        <f ca="1">SUMIFS(Баланс!AF$26:AF$391,Баланс!$F$26:$F$391,$F450,Баланс!$G$26:$G$391,"население")</f>
        <v>0</v>
      </c>
      <c r="AG450" s="552">
        <f ca="1">SUMIFS(Баланс!AG$26:AG$391,Баланс!$F$26:$F$391,$F450,Баланс!$G$26:$G$391,"население")</f>
        <v>0</v>
      </c>
      <c r="AH450" s="552">
        <f t="shared" ref="AH450:AH458" ca="1" si="140">AG450-AF450</f>
        <v>0</v>
      </c>
      <c r="AI450" s="552">
        <f ca="1">SUMIFS(Баланс!AH$26:AH$391,Баланс!$F$26:$F$391,$F450,Баланс!$G$26:$G$391,"население")</f>
        <v>0</v>
      </c>
      <c r="AJ450" s="552">
        <f ca="1">SUMIFS(Баланс!AI$26:AI$391,Баланс!$F$26:$F$391,$F450,Баланс!$G$26:$G$391,"население")</f>
        <v>0</v>
      </c>
      <c r="AK450" s="552">
        <f ca="1">SUMIFS(Баланс!AJ$26:AJ$391,Баланс!$F$26:$F$391,$F450,Баланс!$G$26:$G$391,"население")</f>
        <v>0</v>
      </c>
      <c r="AL450" s="552">
        <f ca="1">SUMIFS(Баланс!AK$26:AK$391,Баланс!$F$26:$F$391,$F450,Баланс!$G$26:$G$391,"население")</f>
        <v>0</v>
      </c>
      <c r="AM450" s="552">
        <f ca="1">SUMIFS(Баланс!AL$26:AL$391,Баланс!$F$26:$F$391,$F450,Баланс!$G$26:$G$391,"население")</f>
        <v>0</v>
      </c>
      <c r="AN450" s="552">
        <f ca="1">SUMIFS(Баланс!AM$26:AM$391,Баланс!$F$26:$F$391,$F450,Баланс!$G$26:$G$391,"население")</f>
        <v>0</v>
      </c>
      <c r="AO450" s="552">
        <f ca="1">SUMIFS(Баланс!AN$26:AN$391,Баланс!$F$26:$F$391,$F450,Баланс!$G$26:$G$391,"население")</f>
        <v>0</v>
      </c>
      <c r="AP450" s="552">
        <f ca="1">SUMIFS(Баланс!AO$26:AO$391,Баланс!$F$26:$F$391,$F450,Баланс!$G$26:$G$391,"население")</f>
        <v>0</v>
      </c>
      <c r="AQ450" s="552">
        <f ca="1">SUMIFS(Баланс!AP$26:AP$391,Баланс!$F$26:$F$391,$F450,Баланс!$G$26:$G$391,"население")</f>
        <v>0</v>
      </c>
      <c r="AR450" s="552">
        <f ca="1">SUMIFS(Баланс!AQ$26:AQ$391,Баланс!$F$26:$F$391,$F450,Баланс!$G$26:$G$391,"население")</f>
        <v>0</v>
      </c>
      <c r="AS450" s="552">
        <f ca="1">SUMIFS(Баланс!AR$26:AR$391,Баланс!$F$26:$F$391,$F450,Баланс!$G$26:$G$391,"население")</f>
        <v>0</v>
      </c>
      <c r="AT450" s="552">
        <f ca="1">SUMIFS(Баланс!AS$26:AS$391,Баланс!$F$26:$F$391,$F450,Баланс!$G$26:$G$391,"население")</f>
        <v>0</v>
      </c>
      <c r="AU450" s="552">
        <f ca="1">SUMIFS(Баланс!AT$26:AT$391,Баланс!$F$26:$F$391,$F450,Баланс!$G$26:$G$391,"население")</f>
        <v>0</v>
      </c>
      <c r="AV450" s="552">
        <f ca="1">SUMIFS(Баланс!AU$26:AU$391,Баланс!$F$26:$F$391,$F450,Баланс!$G$26:$G$391,"население")</f>
        <v>0</v>
      </c>
      <c r="AW450" s="552">
        <f ca="1">SUMIFS(Баланс!AV$26:AV$391,Баланс!$F$26:$F$391,$F450,Баланс!$G$26:$G$391,"население")</f>
        <v>0</v>
      </c>
      <c r="AX450" s="552">
        <f ca="1">SUMIFS(Баланс!AW$26:AW$391,Баланс!$F$26:$F$391,$F450,Баланс!$G$26:$G$391,"население")</f>
        <v>0</v>
      </c>
      <c r="AY450" s="552">
        <f ca="1">SUMIFS(Баланс!AX$26:AX$391,Баланс!$F$26:$F$391,$F450,Баланс!$G$26:$G$391,"население")</f>
        <v>0</v>
      </c>
      <c r="AZ450" s="552">
        <f ca="1">SUMIFS(Баланс!AY$26:AY$391,Баланс!$F$26:$F$391,$F450,Баланс!$G$26:$G$391,"население")</f>
        <v>0</v>
      </c>
      <c r="BA450" s="552">
        <f ca="1">SUMIFS(Баланс!AZ$26:AZ$391,Баланс!$F$26:$F$391,$F450,Баланс!$G$26:$G$391,"население")</f>
        <v>0</v>
      </c>
      <c r="BB450" s="552">
        <f ca="1">SUMIFS(Баланс!BA$26:BA$391,Баланс!$F$26:$F$391,$F450,Баланс!$G$26:$G$391,"население")</f>
        <v>0</v>
      </c>
      <c r="BC450" s="552">
        <f ca="1">SUMIFS(Баланс!BB$26:BB$391,Баланс!$F$26:$F$391,$F450,Баланс!$G$26:$G$391,"население")</f>
        <v>0</v>
      </c>
      <c r="BD450" s="129"/>
      <c r="BE450" s="129"/>
      <c r="BF450" s="129"/>
      <c r="BG450" s="129"/>
      <c r="BH450" s="129"/>
      <c r="BI450" s="129"/>
      <c r="BJ450" s="129"/>
      <c r="BK450" s="129"/>
      <c r="BL450" s="129"/>
      <c r="BM450" s="129"/>
      <c r="BN450" s="196"/>
      <c r="BO450" s="196"/>
      <c r="BP450" s="196"/>
      <c r="BQ450" s="76"/>
      <c r="BR450" s="76"/>
      <c r="BS450" s="695" t="s">
        <v>1919</v>
      </c>
      <c r="BT450" s="702"/>
      <c r="BU450" s="702"/>
      <c r="BV450" s="511"/>
      <c r="BW450" s="511"/>
    </row>
    <row r="451" spans="1:75" ht="14.25" customHeight="1" x14ac:dyDescent="0.25">
      <c r="C451" s="25"/>
      <c r="D451" s="25" cm="1">
        <f t="array" ref="D451">D450</f>
        <v>13</v>
      </c>
      <c r="E451" s="451">
        <v>15</v>
      </c>
      <c r="F451" s="3" t="str" cm="1">
        <f t="array" aca="1" ref="F451" ca="1">OFFSET(E451,-1,1)</f>
        <v>2</v>
      </c>
      <c r="G451" s="25" t="s">
        <v>1700</v>
      </c>
      <c r="H451" s="25"/>
      <c r="I451" s="25" t="s">
        <v>2221</v>
      </c>
      <c r="J451" s="25"/>
      <c r="K451" s="72" t="s">
        <v>2221</v>
      </c>
      <c r="L451" s="25" t="s">
        <v>1920</v>
      </c>
      <c r="M451" s="25"/>
      <c r="N451" s="25"/>
      <c r="O451" s="25"/>
      <c r="P451" s="25"/>
      <c r="Q451" s="25"/>
      <c r="R451" s="25"/>
      <c r="S451" s="25"/>
      <c r="T451" s="353" t="b" cm="1">
        <f t="array" aca="1" ref="T451" ca="1">T450</f>
        <v>1</v>
      </c>
      <c r="U451" s="25"/>
      <c r="V451" s="25"/>
      <c r="W451" s="25"/>
      <c r="X451" s="1022"/>
      <c r="Z451" s="967"/>
      <c r="AB451" s="7" t="str">
        <f>D451&amp;".1"</f>
        <v>13.1</v>
      </c>
      <c r="AC451" s="127" t="s">
        <v>1922</v>
      </c>
      <c r="AD451" s="7" t="s">
        <v>558</v>
      </c>
      <c r="AE451" s="444">
        <f ca="1">AE450/2</f>
        <v>0</v>
      </c>
      <c r="AF451" s="444">
        <f ca="1">AF450/2</f>
        <v>0</v>
      </c>
      <c r="AG451" s="444">
        <f ca="1">AG450/2</f>
        <v>0</v>
      </c>
      <c r="AH451" s="558">
        <f t="shared" ca="1" si="140"/>
        <v>0</v>
      </c>
      <c r="AI451" s="444">
        <f ca="1">AI450/2</f>
        <v>0</v>
      </c>
      <c r="AJ451" s="444">
        <f ca="1">IF(god=2026,AJ450/12*9,AJ450/2)</f>
        <v>0</v>
      </c>
      <c r="AK451" s="776">
        <f ca="1">IF(god=2025,AK450/12*9,AK450/2)</f>
        <v>0</v>
      </c>
      <c r="AL451" s="776">
        <f t="shared" ref="AL451:AS451" ca="1" si="141">AL450/2</f>
        <v>0</v>
      </c>
      <c r="AM451" s="444">
        <f t="shared" ca="1" si="141"/>
        <v>0</v>
      </c>
      <c r="AN451" s="444">
        <f t="shared" ca="1" si="141"/>
        <v>0</v>
      </c>
      <c r="AO451" s="444">
        <f t="shared" ca="1" si="141"/>
        <v>0</v>
      </c>
      <c r="AP451" s="444">
        <f t="shared" ca="1" si="141"/>
        <v>0</v>
      </c>
      <c r="AQ451" s="444">
        <f t="shared" ca="1" si="141"/>
        <v>0</v>
      </c>
      <c r="AR451" s="444">
        <f t="shared" ca="1" si="141"/>
        <v>0</v>
      </c>
      <c r="AS451" s="444">
        <f t="shared" ca="1" si="141"/>
        <v>0</v>
      </c>
      <c r="AT451" s="444">
        <f ca="1">IF(god=2026,AT450/12*9,AT450/2)</f>
        <v>0</v>
      </c>
      <c r="AU451" s="776">
        <f ca="1">IF(god=2025,AU450/12*9,AU450/2)</f>
        <v>0</v>
      </c>
      <c r="AV451" s="776">
        <f t="shared" ref="AV451:BC451" ca="1" si="142">AV450/2</f>
        <v>0</v>
      </c>
      <c r="AW451" s="444">
        <f t="shared" ca="1" si="142"/>
        <v>0</v>
      </c>
      <c r="AX451" s="444">
        <f t="shared" ca="1" si="142"/>
        <v>0</v>
      </c>
      <c r="AY451" s="444">
        <f t="shared" ca="1" si="142"/>
        <v>0</v>
      </c>
      <c r="AZ451" s="444">
        <f t="shared" ca="1" si="142"/>
        <v>0</v>
      </c>
      <c r="BA451" s="444">
        <f t="shared" ca="1" si="142"/>
        <v>0</v>
      </c>
      <c r="BB451" s="444">
        <f t="shared" ca="1" si="142"/>
        <v>0</v>
      </c>
      <c r="BC451" s="444">
        <f t="shared" ca="1" si="142"/>
        <v>0</v>
      </c>
      <c r="BD451" s="542"/>
      <c r="BE451" s="542"/>
      <c r="BF451" s="542"/>
      <c r="BG451" s="542"/>
      <c r="BH451" s="542"/>
      <c r="BI451" s="542"/>
      <c r="BJ451" s="542"/>
      <c r="BK451" s="542"/>
      <c r="BL451" s="542"/>
      <c r="BM451" s="542"/>
      <c r="BN451" s="196"/>
      <c r="BO451" s="196"/>
      <c r="BP451" s="196"/>
      <c r="BS451" s="694" t="s">
        <v>1923</v>
      </c>
    </row>
    <row r="452" spans="1:75" ht="14.25" customHeight="1" x14ac:dyDescent="0.25">
      <c r="C452" s="25"/>
      <c r="D452" s="25" cm="1">
        <f t="array" ref="D452">D451</f>
        <v>13</v>
      </c>
      <c r="E452" s="451">
        <v>15</v>
      </c>
      <c r="F452" s="3" t="str" cm="1">
        <f t="array" aca="1" ref="F452" ca="1">OFFSET(E452,-1,1)</f>
        <v>2</v>
      </c>
      <c r="G452" s="25" t="s">
        <v>1656</v>
      </c>
      <c r="H452" s="25"/>
      <c r="I452" s="25" t="s">
        <v>2222</v>
      </c>
      <c r="J452" s="25"/>
      <c r="K452" s="72" t="s">
        <v>2222</v>
      </c>
      <c r="L452" s="25" t="s">
        <v>1924</v>
      </c>
      <c r="M452" s="25"/>
      <c r="N452" s="25"/>
      <c r="O452" s="25"/>
      <c r="P452" s="25"/>
      <c r="Q452" s="25"/>
      <c r="R452" s="25"/>
      <c r="S452" s="25"/>
      <c r="T452" s="353" t="b" cm="1">
        <f t="array" aca="1" ref="T452" ca="1">T451</f>
        <v>1</v>
      </c>
      <c r="U452" s="25"/>
      <c r="V452" s="25"/>
      <c r="W452" s="25"/>
      <c r="X452" s="1022"/>
      <c r="Z452" s="967"/>
      <c r="AB452" s="7" t="str">
        <f>D452&amp;".2"</f>
        <v>13.2</v>
      </c>
      <c r="AC452" s="127" t="s">
        <v>1926</v>
      </c>
      <c r="AD452" s="7" t="s">
        <v>1644</v>
      </c>
      <c r="AE452" s="128">
        <f ca="1">IF(AE450=0,0,AE444*(1+Сценарии!AE$26))</f>
        <v>0</v>
      </c>
      <c r="AF452" s="128">
        <f ca="1">IF(AF450=0,0,AF444*(1+Сценарии!AF$26))</f>
        <v>0</v>
      </c>
      <c r="AG452" s="128">
        <f ca="1">IF(AG450=0,0,AG444*(1+Сценарии!AG$26))</f>
        <v>0</v>
      </c>
      <c r="AH452" s="171">
        <f t="shared" ca="1" si="140"/>
        <v>0</v>
      </c>
      <c r="AI452" s="128">
        <f ca="1">IF(AI450=0,0,AI444*(1+Сценарии!AI$26))</f>
        <v>0</v>
      </c>
      <c r="AJ452" s="128">
        <f ca="1">IF(AJ450=0,0,AJ444*(1+Сценарии!AJ$26))</f>
        <v>0</v>
      </c>
      <c r="AK452" s="778">
        <f ca="1">IF(AK450=0,0,AK444*(1+Сценарии!AO$26))</f>
        <v>0</v>
      </c>
      <c r="AL452" s="778">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8">
        <f ca="1">IF(AU450=0,0,AU444*(1+Сценарии!AX$26))</f>
        <v>0</v>
      </c>
      <c r="AV452" s="778">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2"/>
      <c r="BE452" s="542"/>
      <c r="BF452" s="542"/>
      <c r="BG452" s="542"/>
      <c r="BH452" s="542"/>
      <c r="BI452" s="542"/>
      <c r="BJ452" s="542"/>
      <c r="BK452" s="542"/>
      <c r="BL452" s="542"/>
      <c r="BM452" s="542"/>
      <c r="BN452" s="196"/>
      <c r="BO452" s="196"/>
      <c r="BP452" s="196"/>
      <c r="BS452" s="694" t="s">
        <v>1927</v>
      </c>
    </row>
    <row r="453" spans="1:75" ht="14.25" customHeight="1" x14ac:dyDescent="0.25">
      <c r="C453" s="25"/>
      <c r="D453" s="25" cm="1">
        <f t="array" ref="D453">D452</f>
        <v>13</v>
      </c>
      <c r="E453" s="451">
        <v>15</v>
      </c>
      <c r="F453" s="3" t="str" cm="1">
        <f t="array" aca="1" ref="F453" ca="1">OFFSET(E453,-1,1)</f>
        <v>2</v>
      </c>
      <c r="G453" s="25" t="s">
        <v>1707</v>
      </c>
      <c r="H453" s="25"/>
      <c r="I453" s="25" t="s">
        <v>2223</v>
      </c>
      <c r="J453" s="25"/>
      <c r="K453" s="25" t="s">
        <v>2223</v>
      </c>
      <c r="L453" s="25" t="s">
        <v>1928</v>
      </c>
      <c r="M453" s="25"/>
      <c r="N453" s="25"/>
      <c r="O453" s="25"/>
      <c r="P453" s="25"/>
      <c r="Q453" s="25"/>
      <c r="R453" s="25"/>
      <c r="S453" s="25"/>
      <c r="T453" s="353" t="b" cm="1">
        <f t="array" aca="1" ref="T453" ca="1">T452</f>
        <v>1</v>
      </c>
      <c r="U453" s="25"/>
      <c r="V453" s="25"/>
      <c r="W453" s="25"/>
      <c r="X453" s="1022"/>
      <c r="Z453" s="967"/>
      <c r="AB453" s="7" t="str">
        <f>D453&amp;".3"</f>
        <v>13.3</v>
      </c>
      <c r="AC453" s="127" t="s">
        <v>1898</v>
      </c>
      <c r="AD453" s="7" t="s">
        <v>558</v>
      </c>
      <c r="AE453" s="558">
        <f ca="1">AE450-AE451</f>
        <v>0</v>
      </c>
      <c r="AF453" s="558">
        <f ca="1">AF450-AF451</f>
        <v>0</v>
      </c>
      <c r="AG453" s="558">
        <f ca="1">AG450-AG451</f>
        <v>0</v>
      </c>
      <c r="AH453" s="558">
        <f t="shared" ca="1" si="140"/>
        <v>0</v>
      </c>
      <c r="AI453" s="558">
        <f t="shared" ref="AI453:BC453" ca="1" si="143">AI450-AI451</f>
        <v>0</v>
      </c>
      <c r="AJ453" s="558">
        <f t="shared" ca="1" si="143"/>
        <v>0</v>
      </c>
      <c r="AK453" s="558">
        <f t="shared" ca="1" si="143"/>
        <v>0</v>
      </c>
      <c r="AL453" s="558">
        <f t="shared" ca="1" si="143"/>
        <v>0</v>
      </c>
      <c r="AM453" s="558">
        <f t="shared" ca="1" si="143"/>
        <v>0</v>
      </c>
      <c r="AN453" s="558">
        <f t="shared" ca="1" si="143"/>
        <v>0</v>
      </c>
      <c r="AO453" s="558">
        <f t="shared" ca="1" si="143"/>
        <v>0</v>
      </c>
      <c r="AP453" s="558">
        <f t="shared" ca="1" si="143"/>
        <v>0</v>
      </c>
      <c r="AQ453" s="558">
        <f t="shared" ca="1" si="143"/>
        <v>0</v>
      </c>
      <c r="AR453" s="558">
        <f t="shared" ca="1" si="143"/>
        <v>0</v>
      </c>
      <c r="AS453" s="558">
        <f t="shared" ca="1" si="143"/>
        <v>0</v>
      </c>
      <c r="AT453" s="558">
        <f t="shared" ca="1" si="143"/>
        <v>0</v>
      </c>
      <c r="AU453" s="558">
        <f t="shared" ca="1" si="143"/>
        <v>0</v>
      </c>
      <c r="AV453" s="558">
        <f t="shared" ca="1" si="143"/>
        <v>0</v>
      </c>
      <c r="AW453" s="558">
        <f t="shared" ca="1" si="143"/>
        <v>0</v>
      </c>
      <c r="AX453" s="558">
        <f t="shared" ca="1" si="143"/>
        <v>0</v>
      </c>
      <c r="AY453" s="558">
        <f t="shared" ca="1" si="143"/>
        <v>0</v>
      </c>
      <c r="AZ453" s="558">
        <f t="shared" ca="1" si="143"/>
        <v>0</v>
      </c>
      <c r="BA453" s="558">
        <f t="shared" ca="1" si="143"/>
        <v>0</v>
      </c>
      <c r="BB453" s="558">
        <f t="shared" ca="1" si="143"/>
        <v>0</v>
      </c>
      <c r="BC453" s="558">
        <f t="shared" ca="1" si="143"/>
        <v>0</v>
      </c>
      <c r="BD453" s="542"/>
      <c r="BE453" s="542"/>
      <c r="BF453" s="542"/>
      <c r="BG453" s="542"/>
      <c r="BH453" s="542"/>
      <c r="BI453" s="542"/>
      <c r="BJ453" s="542"/>
      <c r="BK453" s="542"/>
      <c r="BL453" s="542"/>
      <c r="BM453" s="542"/>
      <c r="BN453" s="196"/>
      <c r="BO453" s="196"/>
      <c r="BP453" s="196"/>
      <c r="BS453" s="694" t="s">
        <v>1930</v>
      </c>
    </row>
    <row r="454" spans="1:75" ht="14.25" customHeight="1" x14ac:dyDescent="0.25">
      <c r="C454" s="25"/>
      <c r="D454" s="25" cm="1">
        <f t="array" ref="D454">D453</f>
        <v>13</v>
      </c>
      <c r="E454" s="451">
        <v>15</v>
      </c>
      <c r="F454" s="3" t="str" cm="1">
        <f t="array" aca="1" ref="F454" ca="1">OFFSET(E454,-1,1)</f>
        <v>2</v>
      </c>
      <c r="G454" s="25" t="s">
        <v>1660</v>
      </c>
      <c r="H454" s="25"/>
      <c r="I454" s="25" t="s">
        <v>2224</v>
      </c>
      <c r="J454" s="25"/>
      <c r="K454" s="25" t="s">
        <v>2224</v>
      </c>
      <c r="L454" s="25" t="s">
        <v>1931</v>
      </c>
      <c r="M454" s="25"/>
      <c r="N454" s="25"/>
      <c r="O454" s="25"/>
      <c r="P454" s="25"/>
      <c r="Q454" s="25"/>
      <c r="R454" s="25"/>
      <c r="S454" s="25"/>
      <c r="T454" s="353" t="b" cm="1">
        <f t="array" aca="1" ref="T454" ca="1">T453</f>
        <v>1</v>
      </c>
      <c r="U454" s="25"/>
      <c r="V454" s="25"/>
      <c r="W454" s="25"/>
      <c r="X454" s="1022"/>
      <c r="Z454" s="967"/>
      <c r="AB454" s="7" t="str">
        <f>D454&amp;".4"</f>
        <v>13.4</v>
      </c>
      <c r="AC454" s="127" t="s">
        <v>1902</v>
      </c>
      <c r="AD454" s="7" t="s">
        <v>1644</v>
      </c>
      <c r="AE454" s="128">
        <f ca="1">IF(AE450=0,0,AE446*(1+Сценарии!AE$26))</f>
        <v>0</v>
      </c>
      <c r="AF454" s="128">
        <f ca="1">IF(AF450=0,0,AF446*(1+Сценарии!AF$26))</f>
        <v>0</v>
      </c>
      <c r="AG454" s="128">
        <f ca="1">IF(AG450=0,0,AG446*(1+Сценарии!AG$26))</f>
        <v>0</v>
      </c>
      <c r="AH454" s="171">
        <f t="shared" ca="1" si="140"/>
        <v>0</v>
      </c>
      <c r="AI454" s="128">
        <f ca="1">IF(AI450=0,0,AI446*(1+Сценарии!AI$26))</f>
        <v>0</v>
      </c>
      <c r="AJ454" s="128">
        <f ca="1">IF(AJ450=0,0,AJ446*(1+Сценарии!AJ$26))</f>
        <v>0</v>
      </c>
      <c r="AK454" s="778">
        <f ca="1">IF(AK450=0,0,AK446*(1+Сценарии!AO$26))</f>
        <v>0</v>
      </c>
      <c r="AL454" s="778">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8">
        <f ca="1">IF(AU450=0,0,AU446*(1+Сценарии!AX$26))</f>
        <v>0</v>
      </c>
      <c r="AV454" s="778">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2"/>
      <c r="BE454" s="542"/>
      <c r="BF454" s="542"/>
      <c r="BG454" s="542"/>
      <c r="BH454" s="542"/>
      <c r="BI454" s="542"/>
      <c r="BJ454" s="542"/>
      <c r="BK454" s="542"/>
      <c r="BL454" s="542"/>
      <c r="BM454" s="542"/>
      <c r="BN454" s="196"/>
      <c r="BO454" s="196"/>
      <c r="BP454" s="196"/>
      <c r="BS454" s="694" t="s">
        <v>1934</v>
      </c>
    </row>
    <row r="455" spans="1:75" ht="14.25" customHeight="1" x14ac:dyDescent="0.25">
      <c r="C455" s="25"/>
      <c r="D455" s="25">
        <f>D454+1</f>
        <v>14</v>
      </c>
      <c r="E455" s="451">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1022"/>
      <c r="Z455" s="967"/>
      <c r="AB455" s="124" cm="1">
        <f t="array" ref="AB455">D455</f>
        <v>14</v>
      </c>
      <c r="AC455" s="125" t="s">
        <v>1936</v>
      </c>
      <c r="AD455" s="124" t="s">
        <v>828</v>
      </c>
      <c r="AE455" s="128"/>
      <c r="AF455" s="128"/>
      <c r="AG455" s="128"/>
      <c r="AH455" s="171">
        <f t="shared" si="140"/>
        <v>0</v>
      </c>
      <c r="AI455" s="128"/>
      <c r="AJ455" s="128"/>
      <c r="AK455" s="778"/>
      <c r="AL455" s="778"/>
      <c r="AM455" s="128"/>
      <c r="AN455" s="128"/>
      <c r="AO455" s="128"/>
      <c r="AP455" s="128"/>
      <c r="AQ455" s="128"/>
      <c r="AR455" s="128"/>
      <c r="AS455" s="128"/>
      <c r="AT455" s="128"/>
      <c r="AU455" s="778"/>
      <c r="AV455" s="778"/>
      <c r="AW455" s="128"/>
      <c r="AX455" s="128"/>
      <c r="AY455" s="128"/>
      <c r="AZ455" s="128"/>
      <c r="BA455" s="128"/>
      <c r="BB455" s="128"/>
      <c r="BC455" s="128"/>
      <c r="BD455" s="542"/>
      <c r="BE455" s="542"/>
      <c r="BF455" s="542"/>
      <c r="BG455" s="542"/>
      <c r="BH455" s="542"/>
      <c r="BI455" s="542"/>
      <c r="BJ455" s="542"/>
      <c r="BK455" s="542"/>
      <c r="BL455" s="542"/>
      <c r="BM455" s="542"/>
      <c r="BN455" s="196"/>
      <c r="BO455" s="196"/>
      <c r="BP455" s="196"/>
      <c r="BS455" s="694" t="s">
        <v>1937</v>
      </c>
    </row>
    <row r="456" spans="1:75" s="376" customFormat="1" ht="20.25" customHeight="1" x14ac:dyDescent="0.25">
      <c r="B456" s="537"/>
      <c r="C456" s="25"/>
      <c r="D456" s="25" cm="1">
        <f t="array" ref="D456">D455</f>
        <v>14</v>
      </c>
      <c r="E456" s="451">
        <v>21</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1022"/>
      <c r="Z456" s="967"/>
      <c r="AB456" s="7" t="str">
        <f>D456&amp;".1"</f>
        <v>14.1</v>
      </c>
      <c r="AC456" s="127" t="s">
        <v>1939</v>
      </c>
      <c r="AD456" s="7" t="s">
        <v>828</v>
      </c>
      <c r="AE456" s="128"/>
      <c r="AF456" s="128"/>
      <c r="AG456" s="128"/>
      <c r="AH456" s="171">
        <f t="shared" si="140"/>
        <v>0</v>
      </c>
      <c r="AI456" s="128"/>
      <c r="AJ456" s="128"/>
      <c r="AK456" s="778"/>
      <c r="AL456" s="778"/>
      <c r="AM456" s="128"/>
      <c r="AN456" s="128"/>
      <c r="AO456" s="128"/>
      <c r="AP456" s="128"/>
      <c r="AQ456" s="128"/>
      <c r="AR456" s="128"/>
      <c r="AS456" s="128"/>
      <c r="AT456" s="128"/>
      <c r="AU456" s="778"/>
      <c r="AV456" s="778"/>
      <c r="AW456" s="128"/>
      <c r="AX456" s="128"/>
      <c r="AY456" s="128"/>
      <c r="AZ456" s="128"/>
      <c r="BA456" s="128"/>
      <c r="BB456" s="128"/>
      <c r="BC456" s="128"/>
      <c r="BD456" s="542"/>
      <c r="BE456" s="542"/>
      <c r="BF456" s="542"/>
      <c r="BG456" s="542"/>
      <c r="BH456" s="542"/>
      <c r="BI456" s="542"/>
      <c r="BJ456" s="542"/>
      <c r="BK456" s="542"/>
      <c r="BL456" s="542"/>
      <c r="BM456" s="542"/>
      <c r="BN456" s="196"/>
      <c r="BO456" s="196"/>
      <c r="BP456" s="196"/>
      <c r="BS456" s="694" t="s">
        <v>1940</v>
      </c>
      <c r="BT456" s="703"/>
      <c r="BU456" s="703"/>
      <c r="BV456" s="704"/>
      <c r="BW456" s="704"/>
    </row>
    <row r="457" spans="1:75" s="376" customFormat="1" ht="64.5" customHeight="1" x14ac:dyDescent="0.25">
      <c r="B457" s="537"/>
      <c r="C457" s="25"/>
      <c r="D457" s="25" cm="1">
        <f t="array" ref="D457">D456</f>
        <v>14</v>
      </c>
      <c r="E457" s="451">
        <v>66.599999999999994</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1022"/>
      <c r="Z457" s="967"/>
      <c r="AB457" s="7" t="str">
        <f>D457&amp;".2"</f>
        <v>14.2</v>
      </c>
      <c r="AC457" s="127" t="s">
        <v>1942</v>
      </c>
      <c r="AD457" s="7" t="s">
        <v>828</v>
      </c>
      <c r="AE457" s="128"/>
      <c r="AF457" s="128"/>
      <c r="AG457" s="128"/>
      <c r="AH457" s="171">
        <f t="shared" si="140"/>
        <v>0</v>
      </c>
      <c r="AI457" s="128"/>
      <c r="AJ457" s="128"/>
      <c r="AK457" s="778"/>
      <c r="AL457" s="778"/>
      <c r="AM457" s="128"/>
      <c r="AN457" s="128"/>
      <c r="AO457" s="128"/>
      <c r="AP457" s="128"/>
      <c r="AQ457" s="128"/>
      <c r="AR457" s="128"/>
      <c r="AS457" s="128"/>
      <c r="AT457" s="128"/>
      <c r="AU457" s="778"/>
      <c r="AV457" s="778"/>
      <c r="AW457" s="128"/>
      <c r="AX457" s="128"/>
      <c r="AY457" s="128"/>
      <c r="AZ457" s="128"/>
      <c r="BA457" s="128"/>
      <c r="BB457" s="128"/>
      <c r="BC457" s="128"/>
      <c r="BD457" s="542"/>
      <c r="BE457" s="542"/>
      <c r="BF457" s="542"/>
      <c r="BG457" s="542"/>
      <c r="BH457" s="542"/>
      <c r="BI457" s="542"/>
      <c r="BJ457" s="542"/>
      <c r="BK457" s="542"/>
      <c r="BL457" s="542"/>
      <c r="BM457" s="542"/>
      <c r="BN457" s="196"/>
      <c r="BO457" s="196"/>
      <c r="BP457" s="196"/>
      <c r="BS457" s="694" t="s">
        <v>1943</v>
      </c>
      <c r="BT457" s="703"/>
      <c r="BU457" s="703"/>
      <c r="BV457" s="704"/>
      <c r="BW457" s="704"/>
    </row>
    <row r="458" spans="1:75" s="376" customFormat="1" ht="44.25" customHeight="1" x14ac:dyDescent="0.15">
      <c r="B458" s="537"/>
      <c r="C458" s="25"/>
      <c r="D458" s="25" cm="1">
        <f t="array" ref="D458">D457</f>
        <v>14</v>
      </c>
      <c r="E458" s="451">
        <v>45.6</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1022"/>
      <c r="Z458" s="967"/>
      <c r="AB458" s="7" t="str">
        <f>D458&amp;".3"</f>
        <v>14.3</v>
      </c>
      <c r="AC458" s="127" t="s">
        <v>2225</v>
      </c>
      <c r="AD458" s="7" t="s">
        <v>828</v>
      </c>
      <c r="AE458" s="542"/>
      <c r="AF458" s="128"/>
      <c r="AG458" s="128"/>
      <c r="AH458" s="171">
        <f t="shared" si="140"/>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6"/>
      <c r="BO458" s="196"/>
      <c r="BP458" s="196"/>
      <c r="BS458" s="703" t="s">
        <v>2226</v>
      </c>
      <c r="BT458" s="703"/>
      <c r="BU458" s="703"/>
      <c r="BV458" s="704"/>
      <c r="BW458" s="704"/>
    </row>
    <row r="459" spans="1:75" s="396" customFormat="1" ht="14.25" customHeight="1" x14ac:dyDescent="0.15">
      <c r="A459" s="38"/>
      <c r="B459" s="43"/>
      <c r="C459" s="22"/>
      <c r="D459" s="22"/>
      <c r="E459" s="449">
        <v>15</v>
      </c>
      <c r="F459" s="59" t="str" cm="1">
        <f t="array" ref="F459">X459</f>
        <v>3</v>
      </c>
      <c r="G459" s="59" t="str" cm="1">
        <f t="array" ref="G459">INDEX('Общие сведения'!$AK$179:$AK$236,MATCH($X459,'Общие сведения'!$Z$179:$Z$236,0))</f>
        <v>одноставочный</v>
      </c>
      <c r="H459" s="22"/>
      <c r="I459" s="59"/>
      <c r="J459" s="22"/>
      <c r="K459" s="22"/>
      <c r="L459" s="22"/>
      <c r="M459" s="22"/>
      <c r="N459" s="22"/>
      <c r="O459" s="22"/>
      <c r="P459" s="22"/>
      <c r="Q459" s="22"/>
      <c r="R459" s="22"/>
      <c r="S459" s="22" t="str" cm="1">
        <f t="array" ref="S459">INDEX('Общие сведения'!$AE$179:$AE$236,MATCH($X459,'Общие сведения'!$Z$179:$Z$236,0))</f>
        <v>Водоотведение</v>
      </c>
      <c r="T459" s="353" t="b">
        <f>X459&gt;0</f>
        <v>1</v>
      </c>
      <c r="U459" s="22"/>
      <c r="V459" s="22" t="str" cm="1">
        <f t="array" ref="V459">'Калькуляция (МЭОР)'!$AB$282</f>
        <v>Тариф 3 (Водоотведение) - тариф на транспортировку сточных вод</v>
      </c>
      <c r="W459" s="22"/>
      <c r="X459" s="1022" t="s">
        <v>291</v>
      </c>
      <c r="Y459" s="38"/>
      <c r="Z459" s="967"/>
      <c r="AA459" s="38"/>
      <c r="AB459" s="280" t="str" cm="1">
        <f t="array" ref="AB459">'Калькуляция (МЭОР)'!$AB$282</f>
        <v>Тариф 3 (Водоотведение) - тариф на транспортировку сточных вод</v>
      </c>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38"/>
      <c r="BR459" s="38"/>
      <c r="BS459" s="656"/>
      <c r="BT459" s="656"/>
      <c r="BU459" s="656"/>
      <c r="BV459" s="448"/>
      <c r="BW459" s="448"/>
    </row>
    <row r="460" spans="1:75" s="869" customFormat="1" ht="233.25" customHeight="1" x14ac:dyDescent="0.15">
      <c r="A460" s="75"/>
      <c r="B460" s="331"/>
      <c r="C460" s="575"/>
      <c r="D460" s="575"/>
      <c r="E460" s="576">
        <v>21</v>
      </c>
      <c r="F460" s="3" t="str" cm="1">
        <f t="array" aca="1" ref="F460" ca="1">OFFSET(E460,-1,1)</f>
        <v>3</v>
      </c>
      <c r="G460" s="575"/>
      <c r="H460" s="30"/>
      <c r="I460" s="30" t="s">
        <v>331</v>
      </c>
      <c r="J460" s="575"/>
      <c r="K460" s="276" t="s">
        <v>331</v>
      </c>
      <c r="L460" s="575"/>
      <c r="M460" s="575"/>
      <c r="N460" s="575"/>
      <c r="O460" s="575"/>
      <c r="P460" s="575"/>
      <c r="Q460" s="575"/>
      <c r="R460" s="575"/>
      <c r="S460" s="575"/>
      <c r="T460" s="353" t="b" cm="1">
        <f t="array" ref="T460">T459</f>
        <v>1</v>
      </c>
      <c r="U460" s="575"/>
      <c r="V460" s="575"/>
      <c r="W460" s="575"/>
      <c r="X460" s="1022"/>
      <c r="Y460" s="75"/>
      <c r="Z460" s="967"/>
      <c r="AA460" s="75"/>
      <c r="AB460" s="147" t="s">
        <v>275</v>
      </c>
      <c r="AC460" s="125" t="s">
        <v>1950</v>
      </c>
      <c r="AD460" s="147" t="s">
        <v>828</v>
      </c>
      <c r="AE460" s="126">
        <f ca="1">SUM(AE462,AE479,AE485,AE505,AE506,AE507)</f>
        <v>11408.8433812443</v>
      </c>
      <c r="AF460" s="126">
        <f ca="1">SUM(AF462,AF479,AF485,AF505,AF506,AF507)</f>
        <v>23544.990454339</v>
      </c>
      <c r="AG460" s="126">
        <f ca="1">SUM(AG462,AG479,AG485,AG505,AG506,AG507)</f>
        <v>11408.8433812443</v>
      </c>
      <c r="AH460" s="126">
        <f t="shared" ref="AH460:AH491" ca="1" si="144">AG460-AF460</f>
        <v>-12136.1470730947</v>
      </c>
      <c r="AI460" s="126">
        <f ca="1">SUM(AI462,AI479,AI485,AI505,AI506,AI507)</f>
        <v>0</v>
      </c>
      <c r="AJ460" s="126">
        <f ca="1">SUM(AJ462,AJ479,AJ485,AJ505,AJ506,AJ507)</f>
        <v>0</v>
      </c>
      <c r="AK460" s="774">
        <f t="shared" ref="AK460:AS460" ca="1" si="145">AJ460*AK461</f>
        <v>0</v>
      </c>
      <c r="AL460" s="774">
        <f t="shared" ca="1" si="145"/>
        <v>0</v>
      </c>
      <c r="AM460" s="138">
        <f t="shared" ca="1" si="145"/>
        <v>0</v>
      </c>
      <c r="AN460" s="138">
        <f t="shared" ca="1" si="145"/>
        <v>0</v>
      </c>
      <c r="AO460" s="138">
        <f t="shared" ca="1" si="145"/>
        <v>0</v>
      </c>
      <c r="AP460" s="138">
        <f t="shared" ca="1" si="145"/>
        <v>0</v>
      </c>
      <c r="AQ460" s="138">
        <f t="shared" ca="1" si="145"/>
        <v>0</v>
      </c>
      <c r="AR460" s="138">
        <f t="shared" ca="1" si="145"/>
        <v>0</v>
      </c>
      <c r="AS460" s="138">
        <f t="shared" ca="1" si="145"/>
        <v>0</v>
      </c>
      <c r="AT460" s="126">
        <f ca="1">SUM(AT462,AT479,AT485,AT505,AT506,AT507)</f>
        <v>0</v>
      </c>
      <c r="AU460" s="774">
        <f t="shared" ref="AU460:BC460" ca="1" si="146">AT460*AU461</f>
        <v>0</v>
      </c>
      <c r="AV460" s="774">
        <f t="shared" ca="1" si="146"/>
        <v>0</v>
      </c>
      <c r="AW460" s="138">
        <f t="shared" ca="1" si="146"/>
        <v>0</v>
      </c>
      <c r="AX460" s="138">
        <f t="shared" ca="1" si="146"/>
        <v>0</v>
      </c>
      <c r="AY460" s="138">
        <f t="shared" ca="1" si="146"/>
        <v>0</v>
      </c>
      <c r="AZ460" s="138">
        <f t="shared" ca="1" si="146"/>
        <v>0</v>
      </c>
      <c r="BA460" s="138">
        <f t="shared" ca="1" si="146"/>
        <v>0</v>
      </c>
      <c r="BB460" s="138">
        <f t="shared" ca="1" si="146"/>
        <v>0</v>
      </c>
      <c r="BC460" s="138">
        <f t="shared" ca="1" si="146"/>
        <v>0</v>
      </c>
      <c r="BD460" s="126">
        <f t="shared" ref="BD460:BD491" ca="1" si="147">IF(AI460=0,0,(AT460-AI460)/AI460*100)</f>
        <v>0</v>
      </c>
      <c r="BE460" s="126">
        <f t="shared" ref="BE460:BM460" ca="1" si="148">IF(AT460=0,0,(AU460-AT460)/AT460*100)</f>
        <v>0</v>
      </c>
      <c r="BF460" s="126">
        <f t="shared" ca="1" si="148"/>
        <v>0</v>
      </c>
      <c r="BG460" s="126">
        <f t="shared" ca="1" si="148"/>
        <v>0</v>
      </c>
      <c r="BH460" s="126">
        <f t="shared" ca="1" si="148"/>
        <v>0</v>
      </c>
      <c r="BI460" s="126">
        <f t="shared" ca="1" si="148"/>
        <v>0</v>
      </c>
      <c r="BJ460" s="126">
        <f t="shared" ca="1" si="148"/>
        <v>0</v>
      </c>
      <c r="BK460" s="126">
        <f t="shared" ca="1" si="148"/>
        <v>0</v>
      </c>
      <c r="BL460" s="126">
        <f t="shared" ca="1" si="148"/>
        <v>0</v>
      </c>
      <c r="BM460" s="126">
        <f t="shared" ca="1" si="148"/>
        <v>0</v>
      </c>
      <c r="BN460" s="196" t="s">
        <v>2296</v>
      </c>
      <c r="BO460" s="196" t="s">
        <v>2228</v>
      </c>
      <c r="BP460" s="196" t="s">
        <v>2229</v>
      </c>
      <c r="BQ460" s="74"/>
      <c r="BR460" s="75"/>
      <c r="BS460" s="700" t="s">
        <v>550</v>
      </c>
      <c r="BT460" s="700"/>
      <c r="BU460" s="700"/>
      <c r="BV460" s="509"/>
      <c r="BW460" s="509"/>
    </row>
    <row r="461" spans="1:75" ht="14.65" customHeight="1" x14ac:dyDescent="0.15">
      <c r="C461" s="25"/>
      <c r="D461" s="25"/>
      <c r="E461" s="451">
        <v>15</v>
      </c>
      <c r="F461" s="3" t="str" cm="1">
        <f t="array" aca="1" ref="F461" ca="1">OFFSET(E461,-1,1)</f>
        <v>3</v>
      </c>
      <c r="G461" s="25"/>
      <c r="H461" s="577"/>
      <c r="I461" s="577" t="s">
        <v>482</v>
      </c>
      <c r="J461" s="25"/>
      <c r="K461" s="277" t="s">
        <v>482</v>
      </c>
      <c r="L461" s="25"/>
      <c r="M461" s="25"/>
      <c r="N461" s="25"/>
      <c r="O461" s="25"/>
      <c r="P461" s="25"/>
      <c r="Q461" s="25"/>
      <c r="R461" s="25"/>
      <c r="S461" s="25"/>
      <c r="T461" s="353" t="b" cm="1">
        <f t="array" ref="T461">T460</f>
        <v>1</v>
      </c>
      <c r="U461" s="25"/>
      <c r="V461" s="25"/>
      <c r="W461" s="25"/>
      <c r="X461" s="1022"/>
      <c r="Z461" s="967"/>
      <c r="AB461" s="7" t="s">
        <v>939</v>
      </c>
      <c r="AC461" s="127" t="s">
        <v>1951</v>
      </c>
      <c r="AD461" s="7"/>
      <c r="AE461" s="444"/>
      <c r="AF461" s="444"/>
      <c r="AG461" s="444"/>
      <c r="AH461" s="558">
        <f t="shared" si="144"/>
        <v>0</v>
      </c>
      <c r="AI461" s="444">
        <v>1.0315800664000001</v>
      </c>
      <c r="AJ461" s="444">
        <v>1.8206088029</v>
      </c>
      <c r="AK461" s="776">
        <f ca="1">SUMIFS(INDEX(Сценарии!$AE$25:$BF$136,,MATCH(AK$8,Сценарии!$AE$8:$BF$8,0)),Сценарии!$F$25:$F$136,$F461,Сценарии!$G$25:$G$136,"ИОР")</f>
        <v>1</v>
      </c>
      <c r="AL461" s="776">
        <f ca="1">SUMIFS(INDEX(Сценарии!$AE$25:$BF$136,,MATCH(AL$8,Сценарии!$AE$8:$BF$8,0)),Сценарии!$F$25:$F$136,$F461,Сценарии!$G$25:$G$136,"ИОР")</f>
        <v>1</v>
      </c>
      <c r="AM461" s="444">
        <f ca="1">SUMIFS(INDEX(Сценарии!$AE$25:$BF$136,,MATCH(AM$8,Сценарии!$AE$8:$BF$8,0)),Сценарии!$F$25:$F$136,$F461,Сценарии!$G$25:$G$136,"ИОР")</f>
        <v>1</v>
      </c>
      <c r="AN461" s="444">
        <f ca="1">SUMIFS(INDEX(Сценарии!$AE$25:$BF$136,,MATCH(AN$8,Сценарии!$AE$8:$BF$8,0)),Сценарии!$F$25:$F$136,$F461,Сценарии!$G$25:$G$136,"ИОР")</f>
        <v>1</v>
      </c>
      <c r="AO461" s="444">
        <f ca="1">SUMIFS(INDEX(Сценарии!$AE$25:$BF$136,,MATCH(AO$8,Сценарии!$AE$8:$BF$8,0)),Сценарии!$F$25:$F$136,$F461,Сценарии!$G$25:$G$136,"ИОР")</f>
        <v>1</v>
      </c>
      <c r="AP461" s="444">
        <f ca="1">SUMIFS(INDEX(Сценарии!$AE$25:$BF$136,,MATCH(AP$8,Сценарии!$AE$8:$BF$8,0)),Сценарии!$F$25:$F$136,$F461,Сценарии!$G$25:$G$136,"ИОР")</f>
        <v>1</v>
      </c>
      <c r="AQ461" s="444">
        <f ca="1">SUMIFS(INDEX(Сценарии!$AE$25:$BF$136,,MATCH(AQ$8,Сценарии!$AE$8:$BF$8,0)),Сценарии!$F$25:$F$136,$F461,Сценарии!$G$25:$G$136,"ИОР")</f>
        <v>1</v>
      </c>
      <c r="AR461" s="444">
        <f ca="1">SUMIFS(INDEX(Сценарии!$AE$25:$BF$136,,MATCH(AR$8,Сценарии!$AE$8:$BF$8,0)),Сценарии!$F$25:$F$136,$F461,Сценарии!$G$25:$G$136,"ИОР")</f>
        <v>1</v>
      </c>
      <c r="AS461" s="444">
        <f ca="1">SUMIFS(INDEX(Сценарии!$AE$25:$BF$136,,MATCH(AS$8,Сценарии!$AE$8:$BF$8,0)),Сценарии!$F$25:$F$136,$F461,Сценарии!$G$25:$G$136,"ИОР")</f>
        <v>1</v>
      </c>
      <c r="AT461" s="444">
        <v>1.0815348858</v>
      </c>
      <c r="AU461" s="776">
        <f ca="1">SUMIFS(INDEX(Сценарии!$AE$25:$BF$136,,MATCH(AU$8,Сценарии!$AE$8:$BF$8,0)),Сценарии!$F$25:$F$136,$F461,Сценарии!$G$25:$G$136,"ИОР")</f>
        <v>1</v>
      </c>
      <c r="AV461" s="776">
        <f ca="1">SUMIFS(INDEX(Сценарии!$AE$25:$BF$136,,MATCH(AV$8,Сценарии!$AE$8:$BF$8,0)),Сценарии!$F$25:$F$136,$F461,Сценарии!$G$25:$G$136,"ИОР")</f>
        <v>1</v>
      </c>
      <c r="AW461" s="444">
        <f ca="1">SUMIFS(INDEX(Сценарии!$AE$25:$BF$136,,MATCH(AW$8,Сценарии!$AE$8:$BF$8,0)),Сценарии!$F$25:$F$136,$F461,Сценарии!$G$25:$G$136,"ИОР")</f>
        <v>1</v>
      </c>
      <c r="AX461" s="444">
        <f ca="1">SUMIFS(INDEX(Сценарии!$AE$25:$BF$136,,MATCH(AX$8,Сценарии!$AE$8:$BF$8,0)),Сценарии!$F$25:$F$136,$F461,Сценарии!$G$25:$G$136,"ИОР")</f>
        <v>1</v>
      </c>
      <c r="AY461" s="444">
        <f ca="1">SUMIFS(INDEX(Сценарии!$AE$25:$BF$136,,MATCH(AY$8,Сценарии!$AE$8:$BF$8,0)),Сценарии!$F$25:$F$136,$F461,Сценарии!$G$25:$G$136,"ИОР")</f>
        <v>1</v>
      </c>
      <c r="AZ461" s="444">
        <f ca="1">SUMIFS(INDEX(Сценарии!$AE$25:$BF$136,,MATCH(AZ$8,Сценарии!$AE$8:$BF$8,0)),Сценарии!$F$25:$F$136,$F461,Сценарии!$G$25:$G$136,"ИОР")</f>
        <v>1</v>
      </c>
      <c r="BA461" s="444">
        <f ca="1">SUMIFS(INDEX(Сценарии!$AE$25:$BF$136,,MATCH(BA$8,Сценарии!$AE$8:$BF$8,0)),Сценарии!$F$25:$F$136,$F461,Сценарии!$G$25:$G$136,"ИОР")</f>
        <v>1</v>
      </c>
      <c r="BB461" s="444">
        <f ca="1">SUMIFS(INDEX(Сценарии!$AE$25:$BF$136,,MATCH(BB$8,Сценарии!$AE$8:$BF$8,0)),Сценарии!$F$25:$F$136,$F461,Сценарии!$G$25:$G$136,"ИОР")</f>
        <v>1</v>
      </c>
      <c r="BC461" s="444">
        <f ca="1">SUMIFS(INDEX(Сценарии!$AE$25:$BF$136,,MATCH(BC$8,Сценарии!$AE$8:$BF$8,0)),Сценарии!$F$25:$F$136,$F461,Сценарии!$G$25:$G$136,"ИОР")</f>
        <v>1</v>
      </c>
      <c r="BD461" s="171">
        <f t="shared" si="147"/>
        <v>4.8425537703856412</v>
      </c>
      <c r="BE461" s="542"/>
      <c r="BF461" s="542"/>
      <c r="BG461" s="542"/>
      <c r="BH461" s="542"/>
      <c r="BI461" s="542"/>
      <c r="BJ461" s="542"/>
      <c r="BK461" s="542"/>
      <c r="BL461" s="542"/>
      <c r="BM461" s="542"/>
      <c r="BN461" s="196"/>
      <c r="BO461" s="196"/>
      <c r="BP461" s="196"/>
      <c r="BS461" s="696" t="s">
        <v>1952</v>
      </c>
    </row>
    <row r="462" spans="1:75" s="331" customFormat="1" ht="20.25" customHeight="1" x14ac:dyDescent="0.25">
      <c r="A462" s="74"/>
      <c r="C462" s="578"/>
      <c r="D462" s="578"/>
      <c r="E462" s="579">
        <v>21</v>
      </c>
      <c r="F462" s="3" t="str" cm="1">
        <f t="array" aca="1" ref="F462" ca="1">OFFSET(E462,-1,1)</f>
        <v>3</v>
      </c>
      <c r="G462" s="578"/>
      <c r="H462" s="30"/>
      <c r="I462" s="30" t="s">
        <v>486</v>
      </c>
      <c r="J462" s="578"/>
      <c r="K462" s="276" t="s">
        <v>486</v>
      </c>
      <c r="L462" s="578" t="s">
        <v>331</v>
      </c>
      <c r="M462" s="578"/>
      <c r="N462" s="578"/>
      <c r="O462" s="578"/>
      <c r="P462" s="578"/>
      <c r="Q462" s="578"/>
      <c r="R462" s="578"/>
      <c r="S462" s="578"/>
      <c r="T462" s="353" t="b" cm="1">
        <f t="array" ref="T462">T461</f>
        <v>1</v>
      </c>
      <c r="U462" s="578"/>
      <c r="V462" s="578"/>
      <c r="W462" s="578"/>
      <c r="X462" s="1022"/>
      <c r="Y462" s="74"/>
      <c r="Z462" s="967"/>
      <c r="AA462" s="74"/>
      <c r="AB462" s="147" t="s">
        <v>942</v>
      </c>
      <c r="AC462" s="263" t="s">
        <v>1738</v>
      </c>
      <c r="AD462" s="147" t="s">
        <v>828</v>
      </c>
      <c r="AE462" s="126">
        <f ca="1">SUM(AE463,AE466,AE467,AE470,AE471)</f>
        <v>7967.4167435841</v>
      </c>
      <c r="AF462" s="126">
        <f ca="1">SUM(AF463,AF466,AF467,AF470,AF471)</f>
        <v>18497.294833149102</v>
      </c>
      <c r="AG462" s="126">
        <f ca="1">SUM(AG463,AG466,AG467,AG470,AG471)</f>
        <v>7967.4167435841</v>
      </c>
      <c r="AH462" s="126">
        <f t="shared" ca="1" si="144"/>
        <v>-10529.878089565002</v>
      </c>
      <c r="AI462" s="126">
        <f ca="1">SUM(AI463,AI466,AI467,AI470,AI471)</f>
        <v>0</v>
      </c>
      <c r="AJ462" s="126">
        <f ca="1">SUM(AJ463,AJ466,AJ467,AJ470,AJ471)</f>
        <v>0</v>
      </c>
      <c r="AK462" s="129"/>
      <c r="AL462" s="129"/>
      <c r="AM462" s="129"/>
      <c r="AN462" s="129"/>
      <c r="AO462" s="129"/>
      <c r="AP462" s="129"/>
      <c r="AQ462" s="129"/>
      <c r="AR462" s="129"/>
      <c r="AS462" s="129"/>
      <c r="AT462" s="126">
        <f ca="1">SUM(AT463,AT466,AT467,AT470,AT471)</f>
        <v>0</v>
      </c>
      <c r="AU462" s="129"/>
      <c r="AV462" s="129"/>
      <c r="AW462" s="129"/>
      <c r="AX462" s="129"/>
      <c r="AY462" s="129"/>
      <c r="AZ462" s="129"/>
      <c r="BA462" s="129"/>
      <c r="BB462" s="129"/>
      <c r="BC462" s="129"/>
      <c r="BD462" s="126">
        <f t="shared" ca="1" si="147"/>
        <v>0</v>
      </c>
      <c r="BE462" s="129"/>
      <c r="BF462" s="129"/>
      <c r="BG462" s="129"/>
      <c r="BH462" s="129"/>
      <c r="BI462" s="129"/>
      <c r="BJ462" s="129"/>
      <c r="BK462" s="129"/>
      <c r="BL462" s="129"/>
      <c r="BM462" s="129"/>
      <c r="BN462" s="556"/>
      <c r="BO462" s="556"/>
      <c r="BP462" s="556"/>
      <c r="BQ462" s="74"/>
      <c r="BR462" s="74"/>
      <c r="BS462" s="694" t="s">
        <v>538</v>
      </c>
      <c r="BT462" s="701"/>
      <c r="BU462" s="701"/>
      <c r="BV462" s="510"/>
      <c r="BW462" s="510"/>
    </row>
    <row r="463" spans="1:75" ht="212.25" customHeight="1" x14ac:dyDescent="0.25">
      <c r="C463" s="25"/>
      <c r="D463" s="25"/>
      <c r="E463" s="451">
        <v>15</v>
      </c>
      <c r="F463" s="3" t="str" cm="1">
        <f t="array" aca="1" ref="F463" ca="1">OFFSET(E463,-1,1)</f>
        <v>3</v>
      </c>
      <c r="G463" s="25"/>
      <c r="H463" s="577"/>
      <c r="I463" s="577" t="s">
        <v>1344</v>
      </c>
      <c r="J463" s="25"/>
      <c r="K463" s="277" t="s">
        <v>1344</v>
      </c>
      <c r="L463" s="25" t="s">
        <v>482</v>
      </c>
      <c r="M463" s="25"/>
      <c r="N463" s="25"/>
      <c r="O463" s="25"/>
      <c r="P463" s="25"/>
      <c r="Q463" s="25"/>
      <c r="R463" s="25"/>
      <c r="S463" s="25"/>
      <c r="T463" s="353" t="b" cm="1">
        <f t="array" ref="T463">T462</f>
        <v>1</v>
      </c>
      <c r="U463" s="25"/>
      <c r="V463" s="25"/>
      <c r="W463" s="25"/>
      <c r="X463" s="1022"/>
      <c r="Z463" s="967"/>
      <c r="AB463" s="7" t="s">
        <v>1345</v>
      </c>
      <c r="AC463" s="134" t="s">
        <v>1953</v>
      </c>
      <c r="AD463" s="9" t="s">
        <v>828</v>
      </c>
      <c r="AE463" s="171">
        <f>SUM(AE464,AE465)</f>
        <v>233.46700358410001</v>
      </c>
      <c r="AF463" s="171">
        <f>SUM(AF464,AF465)</f>
        <v>70.923140783299999</v>
      </c>
      <c r="AG463" s="171">
        <f>SUM(AG464,AG465)</f>
        <v>233.46700358410001</v>
      </c>
      <c r="AH463" s="171">
        <f t="shared" si="144"/>
        <v>162.54386280080001</v>
      </c>
      <c r="AI463" s="171">
        <f>SUM(AI464,AI465)</f>
        <v>0</v>
      </c>
      <c r="AJ463" s="171">
        <f>SUM(AJ464,AJ465)</f>
        <v>0</v>
      </c>
      <c r="AK463" s="542"/>
      <c r="AL463" s="542"/>
      <c r="AM463" s="542"/>
      <c r="AN463" s="542"/>
      <c r="AO463" s="542"/>
      <c r="AP463" s="542"/>
      <c r="AQ463" s="542"/>
      <c r="AR463" s="542"/>
      <c r="AS463" s="542"/>
      <c r="AT463" s="171">
        <f>SUM(AT464,AT465)</f>
        <v>0</v>
      </c>
      <c r="AU463" s="542"/>
      <c r="AV463" s="542"/>
      <c r="AW463" s="542"/>
      <c r="AX463" s="542"/>
      <c r="AY463" s="542"/>
      <c r="AZ463" s="542"/>
      <c r="BA463" s="542"/>
      <c r="BB463" s="542"/>
      <c r="BC463" s="542"/>
      <c r="BD463" s="171">
        <f t="shared" si="147"/>
        <v>0</v>
      </c>
      <c r="BE463" s="542"/>
      <c r="BF463" s="542"/>
      <c r="BG463" s="542"/>
      <c r="BH463" s="542"/>
      <c r="BI463" s="542"/>
      <c r="BJ463" s="542"/>
      <c r="BK463" s="542"/>
      <c r="BL463" s="542"/>
      <c r="BM463" s="542"/>
      <c r="BN463" s="196" t="s">
        <v>2297</v>
      </c>
      <c r="BO463" s="196"/>
      <c r="BP463" s="196"/>
      <c r="BQ463" s="28"/>
      <c r="BS463" s="695" t="s">
        <v>1740</v>
      </c>
    </row>
    <row r="464" spans="1:75" ht="14.25" customHeight="1" x14ac:dyDescent="0.25">
      <c r="C464" s="25"/>
      <c r="D464" s="25"/>
      <c r="E464" s="451">
        <v>15</v>
      </c>
      <c r="F464" s="3" t="str" cm="1">
        <f t="array" aca="1" ref="F464" ca="1">OFFSET(E464,-1,1)</f>
        <v>3</v>
      </c>
      <c r="G464" s="25"/>
      <c r="H464" s="577"/>
      <c r="I464" s="577" t="s">
        <v>1954</v>
      </c>
      <c r="J464" s="25"/>
      <c r="K464" s="277" t="s">
        <v>1954</v>
      </c>
      <c r="L464" s="25" t="s">
        <v>1074</v>
      </c>
      <c r="M464" s="25"/>
      <c r="N464" s="25"/>
      <c r="O464" s="25"/>
      <c r="P464" s="25"/>
      <c r="Q464" s="25"/>
      <c r="R464" s="25"/>
      <c r="S464" s="25"/>
      <c r="T464" s="353" t="b" cm="1">
        <f t="array" ref="T464">T463</f>
        <v>1</v>
      </c>
      <c r="U464" s="25"/>
      <c r="V464" s="25"/>
      <c r="W464" s="25"/>
      <c r="X464" s="1022"/>
      <c r="Z464" s="967"/>
      <c r="AB464" s="7" t="s">
        <v>1955</v>
      </c>
      <c r="AC464" s="543" t="s">
        <v>1743</v>
      </c>
      <c r="AD464" s="9" t="s">
        <v>828</v>
      </c>
      <c r="AE464" s="128"/>
      <c r="AF464" s="128"/>
      <c r="AG464" s="128"/>
      <c r="AH464" s="171">
        <f t="shared" si="144"/>
        <v>0</v>
      </c>
      <c r="AI464" s="128"/>
      <c r="AJ464" s="128"/>
      <c r="AK464" s="542"/>
      <c r="AL464" s="542"/>
      <c r="AM464" s="542"/>
      <c r="AN464" s="542"/>
      <c r="AO464" s="542"/>
      <c r="AP464" s="542"/>
      <c r="AQ464" s="542"/>
      <c r="AR464" s="542"/>
      <c r="AS464" s="542"/>
      <c r="AT464" s="128"/>
      <c r="AU464" s="542"/>
      <c r="AV464" s="542"/>
      <c r="AW464" s="542"/>
      <c r="AX464" s="542"/>
      <c r="AY464" s="542"/>
      <c r="AZ464" s="542"/>
      <c r="BA464" s="542"/>
      <c r="BB464" s="542"/>
      <c r="BC464" s="542"/>
      <c r="BD464" s="171">
        <f t="shared" si="147"/>
        <v>0</v>
      </c>
      <c r="BE464" s="542"/>
      <c r="BF464" s="542"/>
      <c r="BG464" s="542"/>
      <c r="BH464" s="542"/>
      <c r="BI464" s="542"/>
      <c r="BJ464" s="542"/>
      <c r="BK464" s="542"/>
      <c r="BL464" s="542"/>
      <c r="BM464" s="542"/>
      <c r="BN464" s="196"/>
      <c r="BO464" s="196"/>
      <c r="BP464" s="196"/>
      <c r="BS464" s="694" t="s">
        <v>1744</v>
      </c>
    </row>
    <row r="465" spans="1:75" ht="409.6" customHeight="1" x14ac:dyDescent="0.25">
      <c r="C465" s="25"/>
      <c r="D465" s="25"/>
      <c r="E465" s="451">
        <v>15</v>
      </c>
      <c r="F465" s="3" t="str" cm="1">
        <f t="array" aca="1" ref="F465" ca="1">OFFSET(E465,-1,1)</f>
        <v>3</v>
      </c>
      <c r="G465" s="25"/>
      <c r="H465" s="577"/>
      <c r="I465" s="577" t="s">
        <v>1956</v>
      </c>
      <c r="J465" s="25"/>
      <c r="K465" s="277" t="s">
        <v>1956</v>
      </c>
      <c r="L465" s="25" t="s">
        <v>1319</v>
      </c>
      <c r="M465" s="25"/>
      <c r="N465" s="25"/>
      <c r="O465" s="25"/>
      <c r="P465" s="25"/>
      <c r="Q465" s="25"/>
      <c r="R465" s="25"/>
      <c r="S465" s="25"/>
      <c r="T465" s="353" t="b" cm="1">
        <f t="array" ref="T465">T464</f>
        <v>1</v>
      </c>
      <c r="U465" s="25"/>
      <c r="V465" s="25"/>
      <c r="W465" s="25"/>
      <c r="X465" s="1022"/>
      <c r="Z465" s="967"/>
      <c r="AB465" s="7" t="s">
        <v>1957</v>
      </c>
      <c r="AC465" s="543" t="s">
        <v>1745</v>
      </c>
      <c r="AD465" s="9" t="s">
        <v>828</v>
      </c>
      <c r="AE465" s="128">
        <v>233.46700358410001</v>
      </c>
      <c r="AF465" s="128">
        <v>70.923140783299999</v>
      </c>
      <c r="AG465" s="128">
        <v>233.46700358410001</v>
      </c>
      <c r="AH465" s="171">
        <f t="shared" si="144"/>
        <v>162.54386280080001</v>
      </c>
      <c r="AI465" s="128"/>
      <c r="AJ465" s="128"/>
      <c r="AK465" s="542"/>
      <c r="AL465" s="542"/>
      <c r="AM465" s="542"/>
      <c r="AN465" s="542"/>
      <c r="AO465" s="542"/>
      <c r="AP465" s="542"/>
      <c r="AQ465" s="542"/>
      <c r="AR465" s="542"/>
      <c r="AS465" s="542"/>
      <c r="AT465" s="128"/>
      <c r="AU465" s="542"/>
      <c r="AV465" s="542"/>
      <c r="AW465" s="542"/>
      <c r="AX465" s="542"/>
      <c r="AY465" s="542"/>
      <c r="AZ465" s="542"/>
      <c r="BA465" s="542"/>
      <c r="BB465" s="542"/>
      <c r="BC465" s="542"/>
      <c r="BD465" s="171">
        <f t="shared" si="147"/>
        <v>0</v>
      </c>
      <c r="BE465" s="542"/>
      <c r="BF465" s="542"/>
      <c r="BG465" s="542"/>
      <c r="BH465" s="542"/>
      <c r="BI465" s="542"/>
      <c r="BJ465" s="542"/>
      <c r="BK465" s="542"/>
      <c r="BL465" s="542"/>
      <c r="BM465" s="542"/>
      <c r="BN465" s="196" t="s">
        <v>2298</v>
      </c>
      <c r="BO465" s="196"/>
      <c r="BP465" s="196"/>
      <c r="BS465" s="694" t="s">
        <v>1746</v>
      </c>
    </row>
    <row r="466" spans="1:75" ht="409.6" customHeight="1" x14ac:dyDescent="0.25">
      <c r="C466" s="25"/>
      <c r="D466" s="25"/>
      <c r="E466" s="451">
        <v>22.5</v>
      </c>
      <c r="F466" s="3" t="str" cm="1">
        <f t="array" aca="1" ref="F466" ca="1">OFFSET(E466,-1,1)</f>
        <v>3</v>
      </c>
      <c r="G466" s="25"/>
      <c r="H466" s="577"/>
      <c r="I466" s="577" t="s">
        <v>1347</v>
      </c>
      <c r="J466" s="25"/>
      <c r="K466" s="277" t="s">
        <v>1347</v>
      </c>
      <c r="L466" s="25" t="s">
        <v>489</v>
      </c>
      <c r="M466" s="25"/>
      <c r="N466" s="25"/>
      <c r="O466" s="25"/>
      <c r="P466" s="25"/>
      <c r="Q466" s="25"/>
      <c r="R466" s="25"/>
      <c r="S466" s="25"/>
      <c r="T466" s="353" t="b" cm="1">
        <f t="array" ref="T466">T465</f>
        <v>1</v>
      </c>
      <c r="U466" s="25"/>
      <c r="V466" s="25"/>
      <c r="W466" s="25"/>
      <c r="X466" s="1022"/>
      <c r="Z466" s="967"/>
      <c r="AB466" s="7" t="s">
        <v>1348</v>
      </c>
      <c r="AC466" s="134" t="s">
        <v>1958</v>
      </c>
      <c r="AD466" s="9" t="s">
        <v>828</v>
      </c>
      <c r="AE466" s="128">
        <v>2095.4195239999999</v>
      </c>
      <c r="AF466" s="128">
        <v>839.36703736710001</v>
      </c>
      <c r="AG466" s="128">
        <v>2095.4195239999999</v>
      </c>
      <c r="AH466" s="171">
        <f t="shared" si="144"/>
        <v>1256.0524866328999</v>
      </c>
      <c r="AI466" s="128"/>
      <c r="AJ466" s="128"/>
      <c r="AK466" s="542"/>
      <c r="AL466" s="542"/>
      <c r="AM466" s="542"/>
      <c r="AN466" s="542"/>
      <c r="AO466" s="542"/>
      <c r="AP466" s="542"/>
      <c r="AQ466" s="542"/>
      <c r="AR466" s="542"/>
      <c r="AS466" s="542"/>
      <c r="AT466" s="128"/>
      <c r="AU466" s="542"/>
      <c r="AV466" s="542"/>
      <c r="AW466" s="542"/>
      <c r="AX466" s="542"/>
      <c r="AY466" s="542"/>
      <c r="AZ466" s="542"/>
      <c r="BA466" s="542"/>
      <c r="BB466" s="542"/>
      <c r="BC466" s="542"/>
      <c r="BD466" s="171">
        <f t="shared" si="147"/>
        <v>0</v>
      </c>
      <c r="BE466" s="542"/>
      <c r="BF466" s="542"/>
      <c r="BG466" s="542"/>
      <c r="BH466" s="542"/>
      <c r="BI466" s="542"/>
      <c r="BJ466" s="542"/>
      <c r="BK466" s="542"/>
      <c r="BL466" s="542"/>
      <c r="BM466" s="542"/>
      <c r="BN466" s="196" t="s">
        <v>2299</v>
      </c>
      <c r="BO466" s="196"/>
      <c r="BP466" s="196"/>
      <c r="BS466" s="695" t="s">
        <v>1771</v>
      </c>
    </row>
    <row r="467" spans="1:75" ht="212.25" customHeight="1" x14ac:dyDescent="0.25">
      <c r="C467" s="25"/>
      <c r="D467" s="25"/>
      <c r="E467" s="451">
        <v>22.5</v>
      </c>
      <c r="F467" s="3" t="str" cm="1">
        <f t="array" aca="1" ref="F467" ca="1">OFFSET(E467,-1,1)</f>
        <v>3</v>
      </c>
      <c r="G467" s="25"/>
      <c r="H467" s="577"/>
      <c r="I467" s="577" t="s">
        <v>1351</v>
      </c>
      <c r="J467" s="25"/>
      <c r="K467" s="277" t="s">
        <v>1351</v>
      </c>
      <c r="L467" s="25" t="s">
        <v>493</v>
      </c>
      <c r="M467" s="25"/>
      <c r="N467" s="25"/>
      <c r="O467" s="25"/>
      <c r="P467" s="25"/>
      <c r="Q467" s="25"/>
      <c r="R467" s="25"/>
      <c r="S467" s="25"/>
      <c r="T467" s="353" t="b" cm="1">
        <f t="array" ref="T467">T466</f>
        <v>1</v>
      </c>
      <c r="U467" s="25"/>
      <c r="V467" s="25"/>
      <c r="W467" s="25"/>
      <c r="X467" s="1022"/>
      <c r="Z467" s="967"/>
      <c r="AB467" s="7" t="s">
        <v>1352</v>
      </c>
      <c r="AC467" s="134" t="s">
        <v>1959</v>
      </c>
      <c r="AD467" s="9" t="s">
        <v>828</v>
      </c>
      <c r="AE467" s="171">
        <f ca="1">AE468+AE469</f>
        <v>0</v>
      </c>
      <c r="AF467" s="171">
        <f ca="1">AF468+AF469</f>
        <v>0</v>
      </c>
      <c r="AG467" s="171">
        <f ca="1">AG468+AG469</f>
        <v>0</v>
      </c>
      <c r="AH467" s="171">
        <f t="shared" ca="1" si="144"/>
        <v>0</v>
      </c>
      <c r="AI467" s="171">
        <f ca="1">AI468+AI469</f>
        <v>0</v>
      </c>
      <c r="AJ467" s="171">
        <f ca="1">AJ468+AJ469</f>
        <v>0</v>
      </c>
      <c r="AK467" s="542"/>
      <c r="AL467" s="542"/>
      <c r="AM467" s="542"/>
      <c r="AN467" s="542"/>
      <c r="AO467" s="542"/>
      <c r="AP467" s="542"/>
      <c r="AQ467" s="542"/>
      <c r="AR467" s="542"/>
      <c r="AS467" s="542"/>
      <c r="AT467" s="171">
        <f ca="1">AT468+AT469</f>
        <v>0</v>
      </c>
      <c r="AU467" s="542"/>
      <c r="AV467" s="542"/>
      <c r="AW467" s="542"/>
      <c r="AX467" s="542"/>
      <c r="AY467" s="542"/>
      <c r="AZ467" s="542"/>
      <c r="BA467" s="542"/>
      <c r="BB467" s="542"/>
      <c r="BC467" s="542"/>
      <c r="BD467" s="171">
        <f t="shared" ca="1" si="147"/>
        <v>0</v>
      </c>
      <c r="BE467" s="542"/>
      <c r="BF467" s="542"/>
      <c r="BG467" s="542"/>
      <c r="BH467" s="542"/>
      <c r="BI467" s="542"/>
      <c r="BJ467" s="542"/>
      <c r="BK467" s="542"/>
      <c r="BL467" s="542"/>
      <c r="BM467" s="542"/>
      <c r="BN467" s="196" t="s">
        <v>2300</v>
      </c>
      <c r="BO467" s="196"/>
      <c r="BP467" s="196"/>
      <c r="BS467" s="695" t="s">
        <v>1960</v>
      </c>
    </row>
    <row r="468" spans="1:75" ht="159.75" customHeight="1" x14ac:dyDescent="0.25">
      <c r="C468" s="25"/>
      <c r="D468" s="25"/>
      <c r="E468" s="451">
        <v>15</v>
      </c>
      <c r="F468" s="3" t="str" cm="1">
        <f t="array" aca="1" ref="F468" ca="1">OFFSET(E468,-1,1)</f>
        <v>3</v>
      </c>
      <c r="G468" s="267" t="s">
        <v>1162</v>
      </c>
      <c r="H468" s="577"/>
      <c r="I468" s="577" t="s">
        <v>1495</v>
      </c>
      <c r="J468" s="25"/>
      <c r="K468" s="277" t="s">
        <v>1495</v>
      </c>
      <c r="L468" s="25" t="s">
        <v>1371</v>
      </c>
      <c r="M468" s="25"/>
      <c r="N468" s="25"/>
      <c r="O468" s="25"/>
      <c r="P468" s="25"/>
      <c r="Q468" s="25"/>
      <c r="R468" s="25"/>
      <c r="S468" s="25"/>
      <c r="T468" s="353" t="b" cm="1">
        <f t="array" ref="T468">T467</f>
        <v>1</v>
      </c>
      <c r="U468" s="25"/>
      <c r="V468" s="25"/>
      <c r="W468" s="25"/>
      <c r="X468" s="1022"/>
      <c r="Z468" s="967"/>
      <c r="AB468" s="7" t="s">
        <v>1961</v>
      </c>
      <c r="AC468" s="543" t="s">
        <v>1774</v>
      </c>
      <c r="AD468" s="9" t="s">
        <v>828</v>
      </c>
      <c r="AE468" s="171">
        <f ca="1">SUMIFS(ФОТ!AE$25:AE$127,ФОТ!$F$25:$F$127,$F468,ФОТ!$G$25:$G$127,$G468)</f>
        <v>0</v>
      </c>
      <c r="AF468" s="171">
        <f ca="1">SUMIFS(ФОТ!AF$25:AF$127,ФОТ!$F$25:$F$127,$F468,ФОТ!$G$25:$G$127,$G468)</f>
        <v>0</v>
      </c>
      <c r="AG468" s="171">
        <f ca="1">SUMIFS(ФОТ!AG$25:AG$127,ФОТ!$F$25:$F$127,$F468,ФОТ!$G$25:$G$127,$G468)</f>
        <v>0</v>
      </c>
      <c r="AH468" s="171">
        <f t="shared" ca="1" si="144"/>
        <v>0</v>
      </c>
      <c r="AI468" s="171">
        <f ca="1">SUMIFS(ФОТ!AH$25:AH$127,ФОТ!$F$25:$F$127,$F468,ФОТ!$G$25:$G$127,$G468)</f>
        <v>0</v>
      </c>
      <c r="AJ468" s="171">
        <f ca="1">SUMIFS(ФОТ!AI$25:AI$127,ФОТ!$F$25:$F$127,$F468,ФОТ!$G$25:$G$127,$G468)</f>
        <v>0</v>
      </c>
      <c r="AK468" s="542"/>
      <c r="AL468" s="542"/>
      <c r="AM468" s="542"/>
      <c r="AN468" s="542"/>
      <c r="AO468" s="542"/>
      <c r="AP468" s="542"/>
      <c r="AQ468" s="542"/>
      <c r="AR468" s="542"/>
      <c r="AS468" s="542"/>
      <c r="AT468" s="171">
        <f ca="1">SUMIFS(ФОТ!AJ$25:AJ$127,ФОТ!$F$25:$F$127,$F468,ФОТ!$G$25:$G$127,$G468)</f>
        <v>0</v>
      </c>
      <c r="AU468" s="542"/>
      <c r="AV468" s="542"/>
      <c r="AW468" s="542"/>
      <c r="AX468" s="542"/>
      <c r="AY468" s="542"/>
      <c r="AZ468" s="542"/>
      <c r="BA468" s="542"/>
      <c r="BB468" s="542"/>
      <c r="BC468" s="542"/>
      <c r="BD468" s="171">
        <f t="shared" ca="1" si="147"/>
        <v>0</v>
      </c>
      <c r="BE468" s="542"/>
      <c r="BF468" s="542"/>
      <c r="BG468" s="542"/>
      <c r="BH468" s="542"/>
      <c r="BI468" s="542"/>
      <c r="BJ468" s="542"/>
      <c r="BK468" s="542"/>
      <c r="BL468" s="542"/>
      <c r="BM468" s="542"/>
      <c r="BN468" s="196" t="s">
        <v>2301</v>
      </c>
      <c r="BO468" s="601" t="str">
        <f ca="1">IF(IFERROR(INDEX(ФОТ!$K$26:$L$127,MATCH($F468&amp;"1komm",ФОТ!$K$26:$K$127,0),2),"")=0,"",IFERROR(INDEX(ФОТ!$K$26:$L$127,MATCH($F468&amp;"1komm",ФОТ!$K$26:$K$127,0),2),""))</f>
        <v/>
      </c>
      <c r="BP468" s="196"/>
      <c r="BS468" s="694" t="s">
        <v>1775</v>
      </c>
    </row>
    <row r="469" spans="1:75" ht="107.25" customHeight="1" x14ac:dyDescent="0.25">
      <c r="C469" s="25"/>
      <c r="D469" s="25"/>
      <c r="E469" s="451">
        <v>22.5</v>
      </c>
      <c r="F469" s="3" t="str" cm="1">
        <f t="array" aca="1" ref="F469" ca="1">OFFSET(E469,-1,1)</f>
        <v>3</v>
      </c>
      <c r="G469" s="267" t="s">
        <v>1174</v>
      </c>
      <c r="H469" s="577"/>
      <c r="I469" s="577" t="s">
        <v>1499</v>
      </c>
      <c r="J469" s="25"/>
      <c r="K469" s="277" t="s">
        <v>1499</v>
      </c>
      <c r="L469" s="25" t="s">
        <v>1372</v>
      </c>
      <c r="M469" s="25"/>
      <c r="N469" s="25"/>
      <c r="O469" s="25"/>
      <c r="P469" s="25"/>
      <c r="Q469" s="25"/>
      <c r="R469" s="25"/>
      <c r="S469" s="25"/>
      <c r="T469" s="353" t="b" cm="1">
        <f t="array" ref="T469">T468</f>
        <v>1</v>
      </c>
      <c r="U469" s="25"/>
      <c r="V469" s="25"/>
      <c r="W469" s="25"/>
      <c r="X469" s="1022"/>
      <c r="Z469" s="967"/>
      <c r="AB469" s="7" t="s">
        <v>1962</v>
      </c>
      <c r="AC469" s="543" t="s">
        <v>1963</v>
      </c>
      <c r="AD469" s="9" t="s">
        <v>828</v>
      </c>
      <c r="AE469" s="171">
        <f ca="1">SUMIFS(ФОТ!AE$25:AE$127,ФОТ!$F$25:$F$127,$F469,ФОТ!$G$25:$G$127,$G469)</f>
        <v>0</v>
      </c>
      <c r="AF469" s="171">
        <f ca="1">SUMIFS(ФОТ!AF$25:AF$127,ФОТ!$F$25:$F$127,$F469,ФОТ!$G$25:$G$127,$G469)</f>
        <v>0</v>
      </c>
      <c r="AG469" s="171">
        <f ca="1">SUMIFS(ФОТ!AG$25:AG$127,ФОТ!$F$25:$F$127,$F469,ФОТ!$G$25:$G$127,$G469)</f>
        <v>0</v>
      </c>
      <c r="AH469" s="171">
        <f t="shared" ca="1" si="144"/>
        <v>0</v>
      </c>
      <c r="AI469" s="171">
        <f ca="1">SUMIFS(ФОТ!AH$25:AH$127,ФОТ!$F$25:$F$127,$F469,ФОТ!$G$25:$G$127,$G469)</f>
        <v>0</v>
      </c>
      <c r="AJ469" s="171">
        <f ca="1">SUMIFS(ФОТ!AI$25:AI$127,ФОТ!$F$25:$F$127,$F469,ФОТ!$G$25:$G$127,$G469)</f>
        <v>0</v>
      </c>
      <c r="AK469" s="542"/>
      <c r="AL469" s="542"/>
      <c r="AM469" s="542"/>
      <c r="AN469" s="542"/>
      <c r="AO469" s="542"/>
      <c r="AP469" s="542"/>
      <c r="AQ469" s="542"/>
      <c r="AR469" s="542"/>
      <c r="AS469" s="542"/>
      <c r="AT469" s="171">
        <f ca="1">SUMIFS(ФОТ!AJ$25:AJ$127,ФОТ!$F$25:$F$127,$F469,ФОТ!$G$25:$G$127,$G469)</f>
        <v>0</v>
      </c>
      <c r="AU469" s="542"/>
      <c r="AV469" s="542"/>
      <c r="AW469" s="542"/>
      <c r="AX469" s="542"/>
      <c r="AY469" s="542"/>
      <c r="AZ469" s="542"/>
      <c r="BA469" s="542"/>
      <c r="BB469" s="542"/>
      <c r="BC469" s="542"/>
      <c r="BD469" s="171">
        <f t="shared" ca="1" si="147"/>
        <v>0</v>
      </c>
      <c r="BE469" s="542"/>
      <c r="BF469" s="542"/>
      <c r="BG469" s="542"/>
      <c r="BH469" s="542"/>
      <c r="BI469" s="542"/>
      <c r="BJ469" s="542"/>
      <c r="BK469" s="542"/>
      <c r="BL469" s="542"/>
      <c r="BM469" s="542"/>
      <c r="BN469" s="196" t="s">
        <v>2302</v>
      </c>
      <c r="BO469" s="601" t="str">
        <f ca="1">IF(IFERROR(INDEX(ФОТ!$K$26:$L$127,MATCH($F469&amp;"2komm",ФОТ!$K$26:$K$127,0),2),"")=0,"",IFERROR(INDEX(ФОТ!$K$26:$L$127,MATCH($F469&amp;"2komm",ФОТ!$K$26:$K$127,0),2),""))</f>
        <v/>
      </c>
      <c r="BP469" s="196"/>
      <c r="BS469" s="694" t="s">
        <v>1777</v>
      </c>
    </row>
    <row r="470" spans="1:75" ht="159.75" customHeight="1" x14ac:dyDescent="0.25">
      <c r="C470" s="25"/>
      <c r="D470" s="25"/>
      <c r="E470" s="451">
        <v>15</v>
      </c>
      <c r="F470" s="3" t="str" cm="1">
        <f t="array" aca="1" ref="F470" ca="1">OFFSET(E470,-1,1)</f>
        <v>3</v>
      </c>
      <c r="G470" s="25"/>
      <c r="H470" s="577"/>
      <c r="I470" s="577" t="s">
        <v>1510</v>
      </c>
      <c r="J470" s="25"/>
      <c r="K470" s="277" t="s">
        <v>1510</v>
      </c>
      <c r="L470" s="25" t="s">
        <v>1779</v>
      </c>
      <c r="M470" s="25"/>
      <c r="N470" s="25"/>
      <c r="O470" s="25"/>
      <c r="P470" s="25"/>
      <c r="Q470" s="25"/>
      <c r="R470" s="25"/>
      <c r="S470" s="25"/>
      <c r="T470" s="353" t="b" cm="1">
        <f t="array" ref="T470">T469</f>
        <v>1</v>
      </c>
      <c r="U470" s="25"/>
      <c r="V470" s="25"/>
      <c r="W470" s="25"/>
      <c r="X470" s="1022"/>
      <c r="Z470" s="967"/>
      <c r="AB470" s="7" t="s">
        <v>1753</v>
      </c>
      <c r="AC470" s="134" t="s">
        <v>1964</v>
      </c>
      <c r="AD470" s="9" t="s">
        <v>828</v>
      </c>
      <c r="AE470" s="128">
        <v>208.88049599999999</v>
      </c>
      <c r="AF470" s="128"/>
      <c r="AG470" s="128">
        <v>208.88049599999999</v>
      </c>
      <c r="AH470" s="171">
        <f t="shared" si="144"/>
        <v>208.88049599999999</v>
      </c>
      <c r="AI470" s="128"/>
      <c r="AJ470" s="128"/>
      <c r="AK470" s="542"/>
      <c r="AL470" s="542"/>
      <c r="AM470" s="542"/>
      <c r="AN470" s="542"/>
      <c r="AO470" s="542"/>
      <c r="AP470" s="542"/>
      <c r="AQ470" s="542"/>
      <c r="AR470" s="542"/>
      <c r="AS470" s="542"/>
      <c r="AT470" s="128"/>
      <c r="AU470" s="542"/>
      <c r="AV470" s="542"/>
      <c r="AW470" s="542"/>
      <c r="AX470" s="542"/>
      <c r="AY470" s="542"/>
      <c r="AZ470" s="542"/>
      <c r="BA470" s="542"/>
      <c r="BB470" s="542"/>
      <c r="BC470" s="542"/>
      <c r="BD470" s="171">
        <f t="shared" si="147"/>
        <v>0</v>
      </c>
      <c r="BE470" s="542"/>
      <c r="BF470" s="542"/>
      <c r="BG470" s="542"/>
      <c r="BH470" s="542"/>
      <c r="BI470" s="542"/>
      <c r="BJ470" s="542"/>
      <c r="BK470" s="542"/>
      <c r="BL470" s="542"/>
      <c r="BM470" s="542"/>
      <c r="BN470" s="196" t="s">
        <v>2303</v>
      </c>
      <c r="BO470" s="196"/>
      <c r="BP470" s="196"/>
      <c r="BS470" s="695" t="s">
        <v>1782</v>
      </c>
    </row>
    <row r="471" spans="1:75" ht="14.25" customHeight="1" x14ac:dyDescent="0.25">
      <c r="C471" s="25"/>
      <c r="D471" s="25"/>
      <c r="E471" s="451">
        <v>15</v>
      </c>
      <c r="F471" s="3" t="str" cm="1">
        <f t="array" aca="1" ref="F471" ca="1">OFFSET(E471,-1,1)</f>
        <v>3</v>
      </c>
      <c r="G471" s="25"/>
      <c r="H471" s="577"/>
      <c r="I471" s="577" t="s">
        <v>1514</v>
      </c>
      <c r="J471" s="25"/>
      <c r="K471" s="277" t="s">
        <v>1514</v>
      </c>
      <c r="L471" s="25" t="s">
        <v>1783</v>
      </c>
      <c r="N471" s="25"/>
      <c r="O471" s="25"/>
      <c r="P471" s="25"/>
      <c r="Q471" s="25"/>
      <c r="R471" s="25"/>
      <c r="S471" s="25"/>
      <c r="T471" s="353" t="b" cm="1">
        <f t="array" ref="T471">T470</f>
        <v>1</v>
      </c>
      <c r="U471" s="25"/>
      <c r="V471" s="25"/>
      <c r="W471" s="25"/>
      <c r="X471" s="1022"/>
      <c r="Z471" s="967"/>
      <c r="AB471" s="7" t="s">
        <v>1755</v>
      </c>
      <c r="AC471" s="134" t="s">
        <v>1965</v>
      </c>
      <c r="AD471" s="7" t="s">
        <v>828</v>
      </c>
      <c r="AE471" s="171">
        <f>SUM(AE472:AE478)</f>
        <v>5429.6497200000003</v>
      </c>
      <c r="AF471" s="171">
        <f>SUM(AF472:AF478)</f>
        <v>17587.004654998702</v>
      </c>
      <c r="AG471" s="171">
        <f>SUM(AG472:AG478)</f>
        <v>5429.6497200000003</v>
      </c>
      <c r="AH471" s="171">
        <f t="shared" si="144"/>
        <v>-12157.354934998701</v>
      </c>
      <c r="AI471" s="171">
        <f>SUM(AI472:AI478)</f>
        <v>0</v>
      </c>
      <c r="AJ471" s="171">
        <f>SUM(AJ472:AJ478)</f>
        <v>0</v>
      </c>
      <c r="AK471" s="542"/>
      <c r="AL471" s="542"/>
      <c r="AM471" s="542"/>
      <c r="AN471" s="542"/>
      <c r="AO471" s="542"/>
      <c r="AP471" s="542"/>
      <c r="AQ471" s="542"/>
      <c r="AR471" s="542"/>
      <c r="AS471" s="542"/>
      <c r="AT471" s="171">
        <f>SUM(AT472:AT478)</f>
        <v>0</v>
      </c>
      <c r="AU471" s="542"/>
      <c r="AV471" s="542"/>
      <c r="AW471" s="542"/>
      <c r="AX471" s="542"/>
      <c r="AY471" s="542"/>
      <c r="AZ471" s="542"/>
      <c r="BA471" s="542"/>
      <c r="BB471" s="542"/>
      <c r="BC471" s="542"/>
      <c r="BD471" s="171">
        <f t="shared" si="147"/>
        <v>0</v>
      </c>
      <c r="BE471" s="542"/>
      <c r="BF471" s="542"/>
      <c r="BG471" s="542"/>
      <c r="BH471" s="542"/>
      <c r="BI471" s="542"/>
      <c r="BJ471" s="542"/>
      <c r="BK471" s="542"/>
      <c r="BL471" s="542"/>
      <c r="BM471" s="542"/>
      <c r="BN471" s="196"/>
      <c r="BO471" s="196"/>
      <c r="BP471" s="196"/>
      <c r="BS471" s="695" t="s">
        <v>1966</v>
      </c>
    </row>
    <row r="472" spans="1:75" ht="14.25" customHeight="1" x14ac:dyDescent="0.25">
      <c r="C472" s="25"/>
      <c r="D472" s="25"/>
      <c r="E472" s="451">
        <v>15</v>
      </c>
      <c r="F472" s="3" t="str" cm="1">
        <f t="array" aca="1" ref="F472" ca="1">OFFSET(E472,-1,1)</f>
        <v>3</v>
      </c>
      <c r="G472" s="25"/>
      <c r="H472" s="577"/>
      <c r="I472" s="577" t="s">
        <v>1967</v>
      </c>
      <c r="J472" s="25"/>
      <c r="K472" s="277" t="s">
        <v>1967</v>
      </c>
      <c r="L472" s="25" t="s">
        <v>1783</v>
      </c>
      <c r="M472" s="25" t="s">
        <v>1791</v>
      </c>
      <c r="N472" s="25"/>
      <c r="O472" s="25"/>
      <c r="P472" s="25"/>
      <c r="Q472" s="25"/>
      <c r="R472" s="25"/>
      <c r="S472" s="25"/>
      <c r="T472" s="353" t="b" cm="1">
        <f t="array" ref="T472">T471</f>
        <v>1</v>
      </c>
      <c r="U472" s="25"/>
      <c r="V472" s="25"/>
      <c r="W472" s="25"/>
      <c r="X472" s="1022"/>
      <c r="Z472" s="967"/>
      <c r="AB472" s="7" t="s">
        <v>1968</v>
      </c>
      <c r="AC472" s="543" t="s">
        <v>1969</v>
      </c>
      <c r="AD472" s="7" t="s">
        <v>828</v>
      </c>
      <c r="AE472" s="128"/>
      <c r="AF472" s="128"/>
      <c r="AG472" s="128"/>
      <c r="AH472" s="171">
        <f t="shared" si="144"/>
        <v>0</v>
      </c>
      <c r="AI472" s="128"/>
      <c r="AJ472" s="128"/>
      <c r="AK472" s="542"/>
      <c r="AL472" s="542"/>
      <c r="AM472" s="542"/>
      <c r="AN472" s="542"/>
      <c r="AO472" s="542"/>
      <c r="AP472" s="542"/>
      <c r="AQ472" s="542"/>
      <c r="AR472" s="542"/>
      <c r="AS472" s="542"/>
      <c r="AT472" s="128"/>
      <c r="AU472" s="542"/>
      <c r="AV472" s="542"/>
      <c r="AW472" s="542"/>
      <c r="AX472" s="542"/>
      <c r="AY472" s="542"/>
      <c r="AZ472" s="542"/>
      <c r="BA472" s="542"/>
      <c r="BB472" s="542"/>
      <c r="BC472" s="542"/>
      <c r="BD472" s="171">
        <f t="shared" si="147"/>
        <v>0</v>
      </c>
      <c r="BE472" s="542"/>
      <c r="BF472" s="542"/>
      <c r="BG472" s="542"/>
      <c r="BH472" s="542"/>
      <c r="BI472" s="542"/>
      <c r="BJ472" s="542"/>
      <c r="BK472" s="542"/>
      <c r="BL472" s="542"/>
      <c r="BM472" s="542"/>
      <c r="BN472" s="196"/>
      <c r="BO472" s="196"/>
      <c r="BP472" s="196"/>
      <c r="BS472" s="694" t="s">
        <v>1794</v>
      </c>
    </row>
    <row r="473" spans="1:75" ht="21.75" customHeight="1" x14ac:dyDescent="0.15">
      <c r="C473" s="25"/>
      <c r="D473" s="25"/>
      <c r="E473" s="451">
        <v>22.5</v>
      </c>
      <c r="F473" s="3" t="str" cm="1">
        <f t="array" aca="1" ref="F473" ca="1">OFFSET(E473,-1,1)</f>
        <v>3</v>
      </c>
      <c r="G473" s="25"/>
      <c r="H473" s="577"/>
      <c r="I473" s="577" t="s">
        <v>1970</v>
      </c>
      <c r="J473" s="25"/>
      <c r="K473" s="277" t="s">
        <v>1970</v>
      </c>
      <c r="L473" s="25" t="s">
        <v>1783</v>
      </c>
      <c r="M473" s="25" t="s">
        <v>1787</v>
      </c>
      <c r="N473" s="25"/>
      <c r="O473" s="25"/>
      <c r="P473" s="25"/>
      <c r="Q473" s="25"/>
      <c r="R473" s="25"/>
      <c r="S473" s="25"/>
      <c r="T473" s="353" t="b" cm="1">
        <f t="array" ref="T473">T472</f>
        <v>1</v>
      </c>
      <c r="U473" s="25"/>
      <c r="V473" s="25"/>
      <c r="W473" s="25"/>
      <c r="X473" s="1022"/>
      <c r="Z473" s="967"/>
      <c r="AB473" s="7" t="s">
        <v>1971</v>
      </c>
      <c r="AC473" s="543" t="s">
        <v>1972</v>
      </c>
      <c r="AD473" s="7" t="s">
        <v>828</v>
      </c>
      <c r="AE473" s="128"/>
      <c r="AF473" s="128"/>
      <c r="AG473" s="128"/>
      <c r="AH473" s="171">
        <f t="shared" si="144"/>
        <v>0</v>
      </c>
      <c r="AI473" s="128"/>
      <c r="AJ473" s="128"/>
      <c r="AK473" s="542"/>
      <c r="AL473" s="542"/>
      <c r="AM473" s="542"/>
      <c r="AN473" s="542"/>
      <c r="AO473" s="542"/>
      <c r="AP473" s="542"/>
      <c r="AQ473" s="542"/>
      <c r="AR473" s="542"/>
      <c r="AS473" s="542"/>
      <c r="AT473" s="128"/>
      <c r="AU473" s="542"/>
      <c r="AV473" s="542"/>
      <c r="AW473" s="542"/>
      <c r="AX473" s="542"/>
      <c r="AY473" s="542"/>
      <c r="AZ473" s="542"/>
      <c r="BA473" s="542"/>
      <c r="BB473" s="542"/>
      <c r="BC473" s="542"/>
      <c r="BD473" s="171">
        <f t="shared" si="147"/>
        <v>0</v>
      </c>
      <c r="BE473" s="542"/>
      <c r="BF473" s="542"/>
      <c r="BG473" s="542"/>
      <c r="BH473" s="542"/>
      <c r="BI473" s="542"/>
      <c r="BJ473" s="542"/>
      <c r="BK473" s="542"/>
      <c r="BL473" s="542"/>
      <c r="BM473" s="542"/>
      <c r="BN473" s="196"/>
      <c r="BO473" s="196"/>
      <c r="BP473" s="196"/>
      <c r="BS473" s="696" t="s">
        <v>1973</v>
      </c>
    </row>
    <row r="474" spans="1:75" ht="409.6" customHeight="1" x14ac:dyDescent="0.15">
      <c r="C474" s="25"/>
      <c r="D474" s="25"/>
      <c r="E474" s="451">
        <v>22.5</v>
      </c>
      <c r="F474" s="3" t="str" cm="1">
        <f t="array" aca="1" ref="F474" ca="1">OFFSET(E474,-1,1)</f>
        <v>3</v>
      </c>
      <c r="G474" s="25"/>
      <c r="H474" s="577"/>
      <c r="I474" s="577" t="s">
        <v>1974</v>
      </c>
      <c r="J474" s="25"/>
      <c r="K474" s="277" t="s">
        <v>1974</v>
      </c>
      <c r="N474" s="25"/>
      <c r="O474" s="25"/>
      <c r="P474" s="25"/>
      <c r="Q474" s="25"/>
      <c r="R474" s="25"/>
      <c r="S474" s="25"/>
      <c r="T474" s="353" t="b" cm="1">
        <f t="array" ref="T474">T473</f>
        <v>1</v>
      </c>
      <c r="U474" s="25"/>
      <c r="V474" s="25"/>
      <c r="W474" s="25"/>
      <c r="X474" s="1022"/>
      <c r="Z474" s="967"/>
      <c r="AB474" s="7" t="s">
        <v>1975</v>
      </c>
      <c r="AC474" s="544" t="s">
        <v>1976</v>
      </c>
      <c r="AD474" s="7" t="s">
        <v>828</v>
      </c>
      <c r="AE474" s="128">
        <v>4515.6685200000002</v>
      </c>
      <c r="AF474" s="128">
        <v>9140.8470963236996</v>
      </c>
      <c r="AG474" s="128">
        <v>4515.6685200000002</v>
      </c>
      <c r="AH474" s="171">
        <f t="shared" si="144"/>
        <v>-4625.1785763236994</v>
      </c>
      <c r="AI474" s="128"/>
      <c r="AJ474" s="128"/>
      <c r="AK474" s="542"/>
      <c r="AL474" s="542"/>
      <c r="AM474" s="542"/>
      <c r="AN474" s="542"/>
      <c r="AO474" s="542"/>
      <c r="AP474" s="542"/>
      <c r="AQ474" s="542"/>
      <c r="AR474" s="542"/>
      <c r="AS474" s="542"/>
      <c r="AT474" s="128"/>
      <c r="AU474" s="542"/>
      <c r="AV474" s="542"/>
      <c r="AW474" s="542"/>
      <c r="AX474" s="542"/>
      <c r="AY474" s="542"/>
      <c r="AZ474" s="542"/>
      <c r="BA474" s="542"/>
      <c r="BB474" s="542"/>
      <c r="BC474" s="542"/>
      <c r="BD474" s="171">
        <f t="shared" si="147"/>
        <v>0</v>
      </c>
      <c r="BE474" s="542"/>
      <c r="BF474" s="542"/>
      <c r="BG474" s="542"/>
      <c r="BH474" s="542"/>
      <c r="BI474" s="542"/>
      <c r="BJ474" s="542"/>
      <c r="BK474" s="542"/>
      <c r="BL474" s="542"/>
      <c r="BM474" s="542"/>
      <c r="BN474" s="196" t="s">
        <v>2304</v>
      </c>
      <c r="BO474" s="196"/>
      <c r="BP474" s="196"/>
      <c r="BS474" s="696" t="s">
        <v>1977</v>
      </c>
    </row>
    <row r="475" spans="1:75" ht="21.75" customHeight="1" x14ac:dyDescent="0.15">
      <c r="C475" s="25"/>
      <c r="D475" s="25"/>
      <c r="E475" s="451">
        <v>22.5</v>
      </c>
      <c r="F475" s="3" t="str" cm="1">
        <f t="array" aca="1" ref="F475" ca="1">OFFSET(E475,-1,1)</f>
        <v>3</v>
      </c>
      <c r="G475" s="25"/>
      <c r="H475" s="577"/>
      <c r="I475" s="577" t="s">
        <v>1978</v>
      </c>
      <c r="J475" s="25"/>
      <c r="K475" s="277" t="s">
        <v>1978</v>
      </c>
      <c r="L475" s="25"/>
      <c r="N475" s="25"/>
      <c r="O475" s="25"/>
      <c r="P475" s="25"/>
      <c r="Q475" s="25"/>
      <c r="R475" s="25"/>
      <c r="S475" s="25"/>
      <c r="T475" s="353" t="b" cm="1">
        <f t="array" ref="T475">T474</f>
        <v>1</v>
      </c>
      <c r="U475" s="25"/>
      <c r="V475" s="25"/>
      <c r="W475" s="25"/>
      <c r="X475" s="1022"/>
      <c r="Z475" s="967"/>
      <c r="AB475" s="7" t="s">
        <v>1979</v>
      </c>
      <c r="AC475" s="544" t="s">
        <v>1980</v>
      </c>
      <c r="AD475" s="7" t="s">
        <v>828</v>
      </c>
      <c r="AE475" s="128"/>
      <c r="AF475" s="128"/>
      <c r="AG475" s="128"/>
      <c r="AH475" s="171">
        <f t="shared" si="144"/>
        <v>0</v>
      </c>
      <c r="AI475" s="128"/>
      <c r="AJ475" s="128"/>
      <c r="AK475" s="542"/>
      <c r="AL475" s="542"/>
      <c r="AM475" s="542"/>
      <c r="AN475" s="542"/>
      <c r="AO475" s="542"/>
      <c r="AP475" s="542"/>
      <c r="AQ475" s="542"/>
      <c r="AR475" s="542"/>
      <c r="AS475" s="542"/>
      <c r="AT475" s="128"/>
      <c r="AU475" s="542"/>
      <c r="AV475" s="542"/>
      <c r="AW475" s="542"/>
      <c r="AX475" s="542"/>
      <c r="AY475" s="542"/>
      <c r="AZ475" s="542"/>
      <c r="BA475" s="542"/>
      <c r="BB475" s="542"/>
      <c r="BC475" s="542"/>
      <c r="BD475" s="171">
        <f t="shared" si="147"/>
        <v>0</v>
      </c>
      <c r="BE475" s="542"/>
      <c r="BF475" s="542"/>
      <c r="BG475" s="542"/>
      <c r="BH475" s="542"/>
      <c r="BI475" s="542"/>
      <c r="BJ475" s="542"/>
      <c r="BK475" s="542"/>
      <c r="BL475" s="542"/>
      <c r="BM475" s="542"/>
      <c r="BN475" s="196"/>
      <c r="BO475" s="196"/>
      <c r="BP475" s="196"/>
      <c r="BS475" s="696" t="s">
        <v>1981</v>
      </c>
    </row>
    <row r="476" spans="1:75" ht="43.5" customHeight="1" x14ac:dyDescent="0.15">
      <c r="C476" s="25"/>
      <c r="D476" s="25"/>
      <c r="E476" s="451">
        <v>45</v>
      </c>
      <c r="F476" s="3" t="str" cm="1">
        <f t="array" aca="1" ref="F476" ca="1">OFFSET(E476,-1,1)</f>
        <v>3</v>
      </c>
      <c r="G476" s="25"/>
      <c r="H476" s="577"/>
      <c r="I476" s="577" t="s">
        <v>1982</v>
      </c>
      <c r="J476" s="25"/>
      <c r="K476" s="277" t="s">
        <v>1982</v>
      </c>
      <c r="L476" s="25" t="s">
        <v>1783</v>
      </c>
      <c r="M476" s="25" t="s">
        <v>1795</v>
      </c>
      <c r="N476" s="25"/>
      <c r="O476" s="25"/>
      <c r="P476" s="25"/>
      <c r="Q476" s="25"/>
      <c r="R476" s="25"/>
      <c r="S476" s="25"/>
      <c r="T476" s="353" t="b" cm="1">
        <f t="array" ref="T476">T475</f>
        <v>1</v>
      </c>
      <c r="U476" s="25"/>
      <c r="V476" s="25"/>
      <c r="W476" s="25"/>
      <c r="X476" s="1022"/>
      <c r="Z476" s="967"/>
      <c r="AB476" s="7" t="s">
        <v>1983</v>
      </c>
      <c r="AC476" s="543" t="s">
        <v>1984</v>
      </c>
      <c r="AD476" s="7" t="s">
        <v>828</v>
      </c>
      <c r="AE476" s="128"/>
      <c r="AF476" s="128"/>
      <c r="AG476" s="128"/>
      <c r="AH476" s="171">
        <f t="shared" si="144"/>
        <v>0</v>
      </c>
      <c r="AI476" s="128"/>
      <c r="AJ476" s="128"/>
      <c r="AK476" s="542"/>
      <c r="AL476" s="542"/>
      <c r="AM476" s="542"/>
      <c r="AN476" s="542"/>
      <c r="AO476" s="542"/>
      <c r="AP476" s="542"/>
      <c r="AQ476" s="542"/>
      <c r="AR476" s="542"/>
      <c r="AS476" s="542"/>
      <c r="AT476" s="128"/>
      <c r="AU476" s="542"/>
      <c r="AV476" s="542"/>
      <c r="AW476" s="542"/>
      <c r="AX476" s="542"/>
      <c r="AY476" s="542"/>
      <c r="AZ476" s="542"/>
      <c r="BA476" s="542"/>
      <c r="BB476" s="542"/>
      <c r="BC476" s="542"/>
      <c r="BD476" s="171">
        <f t="shared" si="147"/>
        <v>0</v>
      </c>
      <c r="BE476" s="542"/>
      <c r="BF476" s="542"/>
      <c r="BG476" s="542"/>
      <c r="BH476" s="542"/>
      <c r="BI476" s="542"/>
      <c r="BJ476" s="542"/>
      <c r="BK476" s="542"/>
      <c r="BL476" s="542"/>
      <c r="BM476" s="542"/>
      <c r="BN476" s="196"/>
      <c r="BO476" s="196"/>
      <c r="BP476" s="196"/>
      <c r="BS476" s="696" t="s">
        <v>1798</v>
      </c>
    </row>
    <row r="477" spans="1:75" ht="14.25" customHeight="1" x14ac:dyDescent="0.15">
      <c r="C477" s="25"/>
      <c r="D477" s="25"/>
      <c r="E477" s="451">
        <v>15</v>
      </c>
      <c r="F477" s="3" t="str" cm="1">
        <f t="array" aca="1" ref="F477" ca="1">OFFSET(E477,-1,1)</f>
        <v>3</v>
      </c>
      <c r="G477" s="25"/>
      <c r="H477" s="577"/>
      <c r="I477" s="577" t="s">
        <v>1985</v>
      </c>
      <c r="J477" s="25"/>
      <c r="K477" s="277" t="s">
        <v>1985</v>
      </c>
      <c r="L477" s="25" t="s">
        <v>1783</v>
      </c>
      <c r="M477" s="25" t="s">
        <v>1799</v>
      </c>
      <c r="N477" s="25"/>
      <c r="O477" s="25"/>
      <c r="P477" s="25"/>
      <c r="Q477" s="25"/>
      <c r="R477" s="25"/>
      <c r="S477" s="25"/>
      <c r="T477" s="353" t="b" cm="1">
        <f t="array" ref="T477">T476</f>
        <v>1</v>
      </c>
      <c r="U477" s="25"/>
      <c r="V477" s="25"/>
      <c r="W477" s="25"/>
      <c r="X477" s="1022"/>
      <c r="Z477" s="967"/>
      <c r="AB477" s="7" t="s">
        <v>1986</v>
      </c>
      <c r="AC477" s="543" t="s">
        <v>1801</v>
      </c>
      <c r="AD477" s="7" t="s">
        <v>828</v>
      </c>
      <c r="AE477" s="128"/>
      <c r="AF477" s="128"/>
      <c r="AG477" s="128"/>
      <c r="AH477" s="171">
        <f t="shared" si="144"/>
        <v>0</v>
      </c>
      <c r="AI477" s="128"/>
      <c r="AJ477" s="128"/>
      <c r="AK477" s="542"/>
      <c r="AL477" s="542"/>
      <c r="AM477" s="542"/>
      <c r="AN477" s="542"/>
      <c r="AO477" s="542"/>
      <c r="AP477" s="542"/>
      <c r="AQ477" s="542"/>
      <c r="AR477" s="542"/>
      <c r="AS477" s="542"/>
      <c r="AT477" s="128"/>
      <c r="AU477" s="542"/>
      <c r="AV477" s="542"/>
      <c r="AW477" s="542"/>
      <c r="AX477" s="542"/>
      <c r="AY477" s="542"/>
      <c r="AZ477" s="542"/>
      <c r="BA477" s="542"/>
      <c r="BB477" s="542"/>
      <c r="BC477" s="542"/>
      <c r="BD477" s="171">
        <f t="shared" si="147"/>
        <v>0</v>
      </c>
      <c r="BE477" s="542"/>
      <c r="BF477" s="542"/>
      <c r="BG477" s="542"/>
      <c r="BH477" s="542"/>
      <c r="BI477" s="542"/>
      <c r="BJ477" s="542"/>
      <c r="BK477" s="542"/>
      <c r="BL477" s="542"/>
      <c r="BM477" s="542"/>
      <c r="BN477" s="196"/>
      <c r="BO477" s="196"/>
      <c r="BP477" s="196"/>
      <c r="BS477" s="696" t="s">
        <v>1802</v>
      </c>
    </row>
    <row r="478" spans="1:75" ht="159.75" customHeight="1" x14ac:dyDescent="0.15">
      <c r="C478" s="25"/>
      <c r="D478" s="25"/>
      <c r="E478" s="451">
        <v>15</v>
      </c>
      <c r="F478" s="3" t="str" cm="1">
        <f t="array" aca="1" ref="F478" ca="1">OFFSET(E478,-1,1)</f>
        <v>3</v>
      </c>
      <c r="G478" s="25"/>
      <c r="H478" s="577"/>
      <c r="I478" s="577" t="s">
        <v>1987</v>
      </c>
      <c r="J478" s="25"/>
      <c r="K478" s="277" t="s">
        <v>1987</v>
      </c>
      <c r="L478" s="25"/>
      <c r="M478" s="25"/>
      <c r="N478" s="25"/>
      <c r="O478" s="25"/>
      <c r="P478" s="25"/>
      <c r="Q478" s="25"/>
      <c r="R478" s="25"/>
      <c r="S478" s="25"/>
      <c r="T478" s="353" t="b" cm="1">
        <f t="array" ref="T478">T477</f>
        <v>1</v>
      </c>
      <c r="U478" s="25"/>
      <c r="V478" s="25"/>
      <c r="W478" s="25"/>
      <c r="X478" s="1022"/>
      <c r="Z478" s="967"/>
      <c r="AB478" s="7" t="s">
        <v>1988</v>
      </c>
      <c r="AC478" s="543" t="s">
        <v>1989</v>
      </c>
      <c r="AD478" s="7" t="s">
        <v>828</v>
      </c>
      <c r="AE478" s="128">
        <v>913.98119999999994</v>
      </c>
      <c r="AF478" s="128">
        <v>8446.1575586750005</v>
      </c>
      <c r="AG478" s="128">
        <v>913.98119999999994</v>
      </c>
      <c r="AH478" s="171">
        <f t="shared" si="144"/>
        <v>-7532.1763586750003</v>
      </c>
      <c r="AI478" s="128"/>
      <c r="AJ478" s="128"/>
      <c r="AK478" s="542"/>
      <c r="AL478" s="542"/>
      <c r="AM478" s="542"/>
      <c r="AN478" s="542"/>
      <c r="AO478" s="542"/>
      <c r="AP478" s="542"/>
      <c r="AQ478" s="542"/>
      <c r="AR478" s="542"/>
      <c r="AS478" s="542"/>
      <c r="AT478" s="128"/>
      <c r="AU478" s="542"/>
      <c r="AV478" s="542"/>
      <c r="AW478" s="542"/>
      <c r="AX478" s="542"/>
      <c r="AY478" s="542"/>
      <c r="AZ478" s="542"/>
      <c r="BA478" s="542"/>
      <c r="BB478" s="542"/>
      <c r="BC478" s="542"/>
      <c r="BD478" s="171">
        <f t="shared" si="147"/>
        <v>0</v>
      </c>
      <c r="BE478" s="542"/>
      <c r="BF478" s="542"/>
      <c r="BG478" s="542"/>
      <c r="BH478" s="542"/>
      <c r="BI478" s="542"/>
      <c r="BJ478" s="542"/>
      <c r="BK478" s="542"/>
      <c r="BL478" s="542"/>
      <c r="BM478" s="542"/>
      <c r="BN478" s="196" t="s">
        <v>2305</v>
      </c>
      <c r="BO478" s="196"/>
      <c r="BP478" s="196"/>
      <c r="BS478" s="696" t="s">
        <v>1786</v>
      </c>
    </row>
    <row r="479" spans="1:75" s="870" customFormat="1" ht="54.75" customHeight="1" x14ac:dyDescent="0.25">
      <c r="A479" s="76"/>
      <c r="B479" s="332"/>
      <c r="C479" s="27"/>
      <c r="D479" s="27"/>
      <c r="E479" s="559">
        <v>21</v>
      </c>
      <c r="F479" s="3" t="str" cm="1">
        <f t="array" aca="1" ref="F479" ca="1">OFFSET(E479,-1,1)</f>
        <v>3</v>
      </c>
      <c r="G479" s="27"/>
      <c r="H479" s="577"/>
      <c r="I479" s="577" t="s">
        <v>489</v>
      </c>
      <c r="J479" s="27"/>
      <c r="K479" s="277" t="s">
        <v>489</v>
      </c>
      <c r="L479" s="27"/>
      <c r="M479" s="27"/>
      <c r="N479" s="27"/>
      <c r="O479" s="27"/>
      <c r="P479" s="27"/>
      <c r="Q479" s="27"/>
      <c r="R479" s="27"/>
      <c r="S479" s="27"/>
      <c r="T479" s="353" t="b" cm="1">
        <f t="array" ref="T479">T478</f>
        <v>1</v>
      </c>
      <c r="U479" s="27"/>
      <c r="V479" s="27"/>
      <c r="W479" s="27"/>
      <c r="X479" s="1022"/>
      <c r="Y479" s="76"/>
      <c r="Z479" s="967"/>
      <c r="AA479" s="76"/>
      <c r="AB479" s="124" t="s">
        <v>945</v>
      </c>
      <c r="AC479" s="263" t="s">
        <v>1806</v>
      </c>
      <c r="AD479" s="124" t="s">
        <v>828</v>
      </c>
      <c r="AE479" s="126">
        <f ca="1">AE480+AE481+AE482</f>
        <v>3441.4266376602</v>
      </c>
      <c r="AF479" s="126">
        <f ca="1">AF480+AF481+AF482</f>
        <v>5047.6956211898996</v>
      </c>
      <c r="AG479" s="126">
        <f ca="1">AG480+AG481+AG482</f>
        <v>3441.4266376602</v>
      </c>
      <c r="AH479" s="126">
        <f t="shared" ca="1" si="144"/>
        <v>-1606.2689835296997</v>
      </c>
      <c r="AI479" s="126">
        <f ca="1">AI480+AI481+AI482</f>
        <v>0</v>
      </c>
      <c r="AJ479" s="126">
        <f ca="1">AJ480+AJ481+AJ482</f>
        <v>0</v>
      </c>
      <c r="AK479" s="129"/>
      <c r="AL479" s="129"/>
      <c r="AM479" s="129"/>
      <c r="AN479" s="129"/>
      <c r="AO479" s="129"/>
      <c r="AP479" s="129"/>
      <c r="AQ479" s="129"/>
      <c r="AR479" s="129"/>
      <c r="AS479" s="129"/>
      <c r="AT479" s="126">
        <f ca="1">AT480+AT481+AT482</f>
        <v>0</v>
      </c>
      <c r="AU479" s="129"/>
      <c r="AV479" s="129"/>
      <c r="AW479" s="129"/>
      <c r="AX479" s="129"/>
      <c r="AY479" s="129"/>
      <c r="AZ479" s="129"/>
      <c r="BA479" s="129"/>
      <c r="BB479" s="129"/>
      <c r="BC479" s="129"/>
      <c r="BD479" s="126">
        <f t="shared" ca="1" si="147"/>
        <v>0</v>
      </c>
      <c r="BE479" s="129"/>
      <c r="BF479" s="129"/>
      <c r="BG479" s="129"/>
      <c r="BH479" s="129"/>
      <c r="BI479" s="129"/>
      <c r="BJ479" s="129"/>
      <c r="BK479" s="129"/>
      <c r="BL479" s="129"/>
      <c r="BM479" s="129"/>
      <c r="BN479" s="556" t="s">
        <v>2238</v>
      </c>
      <c r="BO479" s="556"/>
      <c r="BP479" s="556"/>
      <c r="BQ479" s="76"/>
      <c r="BR479" s="76"/>
      <c r="BS479" s="695" t="s">
        <v>1807</v>
      </c>
      <c r="BT479" s="702"/>
      <c r="BU479" s="702"/>
      <c r="BV479" s="511"/>
      <c r="BW479" s="511"/>
    </row>
    <row r="480" spans="1:75" ht="212.25" customHeight="1" x14ac:dyDescent="0.25">
      <c r="C480" s="25"/>
      <c r="D480" s="25"/>
      <c r="E480" s="451">
        <v>22.5</v>
      </c>
      <c r="F480" s="3" t="str" cm="1">
        <f t="array" aca="1" ref="F480" ca="1">OFFSET(E480,-1,1)</f>
        <v>3</v>
      </c>
      <c r="G480" s="25"/>
      <c r="H480" s="577"/>
      <c r="I480" s="577" t="s">
        <v>1357</v>
      </c>
      <c r="J480" s="25"/>
      <c r="K480" s="277" t="s">
        <v>1357</v>
      </c>
      <c r="L480" s="25"/>
      <c r="M480" s="25"/>
      <c r="N480" s="25"/>
      <c r="O480" s="25"/>
      <c r="P480" s="25"/>
      <c r="Q480" s="25"/>
      <c r="R480" s="25"/>
      <c r="S480" s="25"/>
      <c r="T480" s="353" t="b" cm="1">
        <f t="array" ref="T480">T479</f>
        <v>1</v>
      </c>
      <c r="U480" s="25"/>
      <c r="V480" s="25"/>
      <c r="W480" s="25"/>
      <c r="X480" s="1022"/>
      <c r="Z480" s="967"/>
      <c r="AB480" s="7" t="s">
        <v>1358</v>
      </c>
      <c r="AC480" s="134" t="s">
        <v>1990</v>
      </c>
      <c r="AD480" s="7" t="s">
        <v>828</v>
      </c>
      <c r="AE480" s="128">
        <v>1169.1444333598999</v>
      </c>
      <c r="AF480" s="128">
        <v>1225.2239774124</v>
      </c>
      <c r="AG480" s="128">
        <v>1169.1444333598999</v>
      </c>
      <c r="AH480" s="171">
        <f t="shared" si="144"/>
        <v>-56.079544052500069</v>
      </c>
      <c r="AI480" s="128"/>
      <c r="AJ480" s="128"/>
      <c r="AK480" s="542"/>
      <c r="AL480" s="542"/>
      <c r="AM480" s="542"/>
      <c r="AN480" s="542"/>
      <c r="AO480" s="542"/>
      <c r="AP480" s="542"/>
      <c r="AQ480" s="542"/>
      <c r="AR480" s="542"/>
      <c r="AS480" s="542"/>
      <c r="AT480" s="128"/>
      <c r="AU480" s="542"/>
      <c r="AV480" s="542"/>
      <c r="AW480" s="542"/>
      <c r="AX480" s="542"/>
      <c r="AY480" s="542"/>
      <c r="AZ480" s="542"/>
      <c r="BA480" s="542"/>
      <c r="BB480" s="542"/>
      <c r="BC480" s="542"/>
      <c r="BD480" s="171">
        <f t="shared" si="147"/>
        <v>0</v>
      </c>
      <c r="BE480" s="542"/>
      <c r="BF480" s="542"/>
      <c r="BG480" s="542"/>
      <c r="BH480" s="542"/>
      <c r="BI480" s="542"/>
      <c r="BJ480" s="542"/>
      <c r="BK480" s="542"/>
      <c r="BL480" s="542"/>
      <c r="BM480" s="542"/>
      <c r="BN480" s="196" t="s">
        <v>2306</v>
      </c>
      <c r="BO480" s="196"/>
      <c r="BP480" s="196"/>
      <c r="BS480" s="694" t="s">
        <v>1809</v>
      </c>
    </row>
    <row r="481" spans="1:75" ht="212.25" customHeight="1" x14ac:dyDescent="0.15">
      <c r="C481" s="25"/>
      <c r="D481" s="25"/>
      <c r="E481" s="451">
        <v>22.5</v>
      </c>
      <c r="F481" s="3" t="str" cm="1">
        <f t="array" aca="1" ref="F481" ca="1">OFFSET(E481,-1,1)</f>
        <v>3</v>
      </c>
      <c r="G481" s="25"/>
      <c r="H481" s="577"/>
      <c r="I481" s="577" t="s">
        <v>1361</v>
      </c>
      <c r="J481" s="25"/>
      <c r="K481" s="277" t="s">
        <v>1361</v>
      </c>
      <c r="L481" s="25"/>
      <c r="M481" s="25"/>
      <c r="N481" s="25"/>
      <c r="O481" s="25"/>
      <c r="P481" s="25"/>
      <c r="Q481" s="25"/>
      <c r="R481" s="25"/>
      <c r="S481" s="25"/>
      <c r="T481" s="353" t="b" cm="1">
        <f t="array" ref="T481">T480</f>
        <v>1</v>
      </c>
      <c r="U481" s="25"/>
      <c r="V481" s="25"/>
      <c r="W481" s="25"/>
      <c r="X481" s="1022"/>
      <c r="Z481" s="967"/>
      <c r="AB481" s="7" t="s">
        <v>1362</v>
      </c>
      <c r="AC481" s="134" t="s">
        <v>1991</v>
      </c>
      <c r="AD481" s="7" t="s">
        <v>828</v>
      </c>
      <c r="AE481" s="128">
        <v>2272.2822043002998</v>
      </c>
      <c r="AF481" s="128">
        <v>3822.4716437775</v>
      </c>
      <c r="AG481" s="128">
        <v>2272.2822043002998</v>
      </c>
      <c r="AH481" s="171">
        <f t="shared" si="144"/>
        <v>-1550.1894394772003</v>
      </c>
      <c r="AI481" s="128"/>
      <c r="AJ481" s="128"/>
      <c r="AK481" s="542"/>
      <c r="AL481" s="542"/>
      <c r="AM481" s="542"/>
      <c r="AN481" s="542"/>
      <c r="AO481" s="542"/>
      <c r="AP481" s="542"/>
      <c r="AQ481" s="542"/>
      <c r="AR481" s="542"/>
      <c r="AS481" s="542"/>
      <c r="AT481" s="128"/>
      <c r="AU481" s="542"/>
      <c r="AV481" s="542"/>
      <c r="AW481" s="542"/>
      <c r="AX481" s="542"/>
      <c r="AY481" s="542"/>
      <c r="AZ481" s="542"/>
      <c r="BA481" s="542"/>
      <c r="BB481" s="542"/>
      <c r="BC481" s="542"/>
      <c r="BD481" s="171">
        <f t="shared" si="147"/>
        <v>0</v>
      </c>
      <c r="BE481" s="542"/>
      <c r="BF481" s="542"/>
      <c r="BG481" s="542"/>
      <c r="BH481" s="542"/>
      <c r="BI481" s="542"/>
      <c r="BJ481" s="542"/>
      <c r="BK481" s="542"/>
      <c r="BL481" s="542"/>
      <c r="BM481" s="542"/>
      <c r="BN481" s="196" t="s">
        <v>2307</v>
      </c>
      <c r="BO481" s="196"/>
      <c r="BP481" s="196"/>
      <c r="BS481" s="696" t="s">
        <v>1992</v>
      </c>
    </row>
    <row r="482" spans="1:75" ht="21.75" customHeight="1" x14ac:dyDescent="0.25">
      <c r="C482" s="25"/>
      <c r="D482" s="25"/>
      <c r="E482" s="451">
        <v>22.5</v>
      </c>
      <c r="F482" s="3" t="str" cm="1">
        <f t="array" aca="1" ref="F482" ca="1">OFFSET(E482,-1,1)</f>
        <v>3</v>
      </c>
      <c r="G482" s="25"/>
      <c r="H482" s="577"/>
      <c r="I482" s="577" t="s">
        <v>1365</v>
      </c>
      <c r="J482" s="25"/>
      <c r="K482" s="277" t="s">
        <v>1365</v>
      </c>
      <c r="L482" s="25" t="s">
        <v>503</v>
      </c>
      <c r="M482" s="25"/>
      <c r="N482" s="25"/>
      <c r="O482" s="25"/>
      <c r="P482" s="25"/>
      <c r="Q482" s="25"/>
      <c r="R482" s="25"/>
      <c r="S482" s="25"/>
      <c r="T482" s="353" t="b" cm="1">
        <f t="array" ref="T482">T481</f>
        <v>1</v>
      </c>
      <c r="U482" s="25"/>
      <c r="V482" s="25"/>
      <c r="W482" s="25"/>
      <c r="X482" s="1022"/>
      <c r="Z482" s="967"/>
      <c r="AB482" s="7" t="s">
        <v>1366</v>
      </c>
      <c r="AC482" s="134" t="s">
        <v>1993</v>
      </c>
      <c r="AD482" s="7" t="s">
        <v>828</v>
      </c>
      <c r="AE482" s="171">
        <f ca="1">AE483+AE484</f>
        <v>0</v>
      </c>
      <c r="AF482" s="171">
        <f ca="1">AF483+AF484</f>
        <v>0</v>
      </c>
      <c r="AG482" s="171">
        <f ca="1">AG483+AG484</f>
        <v>0</v>
      </c>
      <c r="AH482" s="171">
        <f t="shared" ca="1" si="144"/>
        <v>0</v>
      </c>
      <c r="AI482" s="171">
        <f ca="1">AI483+AI484</f>
        <v>0</v>
      </c>
      <c r="AJ482" s="171">
        <f ca="1">AJ483+AJ484</f>
        <v>0</v>
      </c>
      <c r="AK482" s="542"/>
      <c r="AL482" s="542"/>
      <c r="AM482" s="542"/>
      <c r="AN482" s="542"/>
      <c r="AO482" s="542"/>
      <c r="AP482" s="542"/>
      <c r="AQ482" s="542"/>
      <c r="AR482" s="542"/>
      <c r="AS482" s="542"/>
      <c r="AT482" s="171">
        <f ca="1">AT483+AT484</f>
        <v>0</v>
      </c>
      <c r="AU482" s="542"/>
      <c r="AV482" s="542"/>
      <c r="AW482" s="542"/>
      <c r="AX482" s="542"/>
      <c r="AY482" s="542"/>
      <c r="AZ482" s="542"/>
      <c r="BA482" s="542"/>
      <c r="BB482" s="542"/>
      <c r="BC482" s="542"/>
      <c r="BD482" s="171">
        <f t="shared" ca="1" si="147"/>
        <v>0</v>
      </c>
      <c r="BE482" s="542"/>
      <c r="BF482" s="542"/>
      <c r="BG482" s="542"/>
      <c r="BH482" s="542"/>
      <c r="BI482" s="542"/>
      <c r="BJ482" s="542"/>
      <c r="BK482" s="542"/>
      <c r="BL482" s="542"/>
      <c r="BM482" s="542"/>
      <c r="BN482" s="196"/>
      <c r="BO482" s="196"/>
      <c r="BP482" s="196"/>
      <c r="BS482" s="694" t="s">
        <v>1811</v>
      </c>
    </row>
    <row r="483" spans="1:75" ht="14.25" customHeight="1" x14ac:dyDescent="0.25">
      <c r="C483" s="25"/>
      <c r="D483" s="25"/>
      <c r="E483" s="451">
        <v>15</v>
      </c>
      <c r="F483" s="3" t="str" cm="1">
        <f t="array" aca="1" ref="F483" ca="1">OFFSET(E483,-1,1)</f>
        <v>3</v>
      </c>
      <c r="G483" s="571" t="s">
        <v>1177</v>
      </c>
      <c r="H483" s="577"/>
      <c r="I483" s="577" t="s">
        <v>1994</v>
      </c>
      <c r="J483" s="25"/>
      <c r="K483" s="277" t="s">
        <v>1994</v>
      </c>
      <c r="L483" s="25" t="s">
        <v>1812</v>
      </c>
      <c r="M483" s="25"/>
      <c r="N483" s="25"/>
      <c r="O483" s="25"/>
      <c r="P483" s="25"/>
      <c r="Q483" s="25"/>
      <c r="R483" s="25"/>
      <c r="S483" s="25"/>
      <c r="T483" s="353" t="b" cm="1">
        <f t="array" ref="T483">T482</f>
        <v>1</v>
      </c>
      <c r="U483" s="25"/>
      <c r="V483" s="25"/>
      <c r="W483" s="25"/>
      <c r="X483" s="1022"/>
      <c r="Z483" s="967"/>
      <c r="AB483" s="7" t="s">
        <v>1995</v>
      </c>
      <c r="AC483" s="543" t="s">
        <v>1813</v>
      </c>
      <c r="AD483" s="7" t="s">
        <v>828</v>
      </c>
      <c r="AE483" s="171">
        <f ca="1">SUMIFS(ФОТ!AE$25:AE$127,ФОТ!$F$25:$F$127,$F483,ФОТ!$G$25:$G$127,$G483)</f>
        <v>0</v>
      </c>
      <c r="AF483" s="171">
        <f ca="1">SUMIFS(ФОТ!AF$25:AF$127,ФОТ!$F$25:$F$127,$F483,ФОТ!$G$25:$G$127,$G483)</f>
        <v>0</v>
      </c>
      <c r="AG483" s="171">
        <f ca="1">SUMIFS(ФОТ!AG$25:AG$127,ФОТ!$F$25:$F$127,$F483,ФОТ!$G$25:$G$127,$G483)</f>
        <v>0</v>
      </c>
      <c r="AH483" s="171">
        <f t="shared" ca="1" si="144"/>
        <v>0</v>
      </c>
      <c r="AI483" s="171">
        <f ca="1">SUMIFS(ФОТ!AH$25:AH$127,ФОТ!$F$25:$F$127,$F483,ФОТ!$G$25:$G$127,$G483)</f>
        <v>0</v>
      </c>
      <c r="AJ483" s="171">
        <f ca="1">SUMIFS(ФОТ!AI$25:AI$127,ФОТ!$F$25:$F$127,$F483,ФОТ!$G$25:$G$127,$G483)</f>
        <v>0</v>
      </c>
      <c r="AK483" s="542"/>
      <c r="AL483" s="542"/>
      <c r="AM483" s="542"/>
      <c r="AN483" s="542"/>
      <c r="AO483" s="542"/>
      <c r="AP483" s="542"/>
      <c r="AQ483" s="542"/>
      <c r="AR483" s="542"/>
      <c r="AS483" s="542"/>
      <c r="AT483" s="171">
        <f ca="1">SUMIFS(ФОТ!AJ$25:AJ$127,ФОТ!$F$25:$F$127,$F483,ФОТ!$G$25:$G$127,$G483)</f>
        <v>0</v>
      </c>
      <c r="AU483" s="542"/>
      <c r="AV483" s="542"/>
      <c r="AW483" s="542"/>
      <c r="AX483" s="542"/>
      <c r="AY483" s="542"/>
      <c r="AZ483" s="542"/>
      <c r="BA483" s="542"/>
      <c r="BB483" s="542"/>
      <c r="BC483" s="542"/>
      <c r="BD483" s="171">
        <f t="shared" ca="1" si="147"/>
        <v>0</v>
      </c>
      <c r="BE483" s="542"/>
      <c r="BF483" s="542"/>
      <c r="BG483" s="542"/>
      <c r="BH483" s="542"/>
      <c r="BI483" s="542"/>
      <c r="BJ483" s="542"/>
      <c r="BK483" s="542"/>
      <c r="BL483" s="542"/>
      <c r="BM483" s="542"/>
      <c r="BN483" s="196"/>
      <c r="BO483" s="601" t="str">
        <f ca="1">IF(IFERROR(INDEX(ФОТ!$K$26:$L$127,MATCH($F483&amp;"3komm",ФОТ!$K$26:$K$127,0),2),"")=0,"",IFERROR(INDEX(ФОТ!$K$26:$L$127,MATCH($F483&amp;"3komm",ФОТ!$K$26:$K$127,0),2),""))</f>
        <v/>
      </c>
      <c r="BP483" s="196"/>
      <c r="BS483" s="694" t="s">
        <v>1814</v>
      </c>
    </row>
    <row r="484" spans="1:75" ht="21.75" customHeight="1" x14ac:dyDescent="0.25">
      <c r="C484" s="25"/>
      <c r="D484" s="25"/>
      <c r="E484" s="451">
        <v>22.5</v>
      </c>
      <c r="F484" s="3" t="str" cm="1">
        <f t="array" aca="1" ref="F484" ca="1">OFFSET(E484,-1,1)</f>
        <v>3</v>
      </c>
      <c r="G484" s="571" t="s">
        <v>1182</v>
      </c>
      <c r="H484" s="577"/>
      <c r="I484" s="577" t="s">
        <v>1996</v>
      </c>
      <c r="J484" s="25"/>
      <c r="K484" s="277" t="s">
        <v>1996</v>
      </c>
      <c r="L484" s="25" t="s">
        <v>1815</v>
      </c>
      <c r="M484" s="25"/>
      <c r="N484" s="25"/>
      <c r="O484" s="25"/>
      <c r="P484" s="25"/>
      <c r="Q484" s="25"/>
      <c r="R484" s="25"/>
      <c r="S484" s="25"/>
      <c r="T484" s="353" t="b" cm="1">
        <f t="array" ref="T484">T483</f>
        <v>1</v>
      </c>
      <c r="U484" s="25"/>
      <c r="V484" s="25"/>
      <c r="W484" s="25"/>
      <c r="X484" s="1022"/>
      <c r="Z484" s="967"/>
      <c r="AB484" s="7" t="s">
        <v>1997</v>
      </c>
      <c r="AC484" s="543" t="s">
        <v>1998</v>
      </c>
      <c r="AD484" s="7" t="s">
        <v>828</v>
      </c>
      <c r="AE484" s="171">
        <f ca="1">SUMIFS(ФОТ!AE$25:AE$127,ФОТ!$F$25:$F$127,$F484,ФОТ!$G$25:$G$127,$G484)</f>
        <v>0</v>
      </c>
      <c r="AF484" s="171">
        <f ca="1">SUMIFS(ФОТ!AF$25:AF$127,ФОТ!$F$25:$F$127,$F484,ФОТ!$G$25:$G$127,$G484)</f>
        <v>0</v>
      </c>
      <c r="AG484" s="171">
        <f ca="1">SUMIFS(ФОТ!AG$25:AG$127,ФОТ!$F$25:$F$127,$F484,ФОТ!$G$25:$G$127,$G484)</f>
        <v>0</v>
      </c>
      <c r="AH484" s="171">
        <f t="shared" ca="1" si="144"/>
        <v>0</v>
      </c>
      <c r="AI484" s="171">
        <f ca="1">SUMIFS(ФОТ!AH$25:AH$127,ФОТ!$F$25:$F$127,$F484,ФОТ!$G$25:$G$127,$G484)</f>
        <v>0</v>
      </c>
      <c r="AJ484" s="171">
        <f ca="1">SUMIFS(ФОТ!AI$25:AI$127,ФОТ!$F$25:$F$127,$F484,ФОТ!$G$25:$G$127,$G484)</f>
        <v>0</v>
      </c>
      <c r="AK484" s="542"/>
      <c r="AL484" s="542"/>
      <c r="AM484" s="542"/>
      <c r="AN484" s="542"/>
      <c r="AO484" s="542"/>
      <c r="AP484" s="542"/>
      <c r="AQ484" s="542"/>
      <c r="AR484" s="542"/>
      <c r="AS484" s="542"/>
      <c r="AT484" s="171">
        <f ca="1">SUMIFS(ФОТ!AJ$25:AJ$127,ФОТ!$F$25:$F$127,$F484,ФОТ!$G$25:$G$127,$G484)</f>
        <v>0</v>
      </c>
      <c r="AU484" s="542"/>
      <c r="AV484" s="542"/>
      <c r="AW484" s="542"/>
      <c r="AX484" s="542"/>
      <c r="AY484" s="542"/>
      <c r="AZ484" s="542"/>
      <c r="BA484" s="542"/>
      <c r="BB484" s="542"/>
      <c r="BC484" s="542"/>
      <c r="BD484" s="171">
        <f t="shared" ca="1" si="147"/>
        <v>0</v>
      </c>
      <c r="BE484" s="542"/>
      <c r="BF484" s="542"/>
      <c r="BG484" s="542"/>
      <c r="BH484" s="542"/>
      <c r="BI484" s="542"/>
      <c r="BJ484" s="542"/>
      <c r="BK484" s="542"/>
      <c r="BL484" s="542"/>
      <c r="BM484" s="542"/>
      <c r="BN484" s="196"/>
      <c r="BO484" s="601" t="str">
        <f ca="1">IF(IFERROR(INDEX(ФОТ!$K$26:$L$127,MATCH($F484&amp;"4komm",ФОТ!$K$26:$K$127,0),2),"")=0,"",IFERROR(INDEX(ФОТ!$K$26:$L$127,MATCH($F484&amp;"4komm",ФОТ!$K$26:$K$127,0),2),""))</f>
        <v/>
      </c>
      <c r="BP484" s="196"/>
      <c r="BS484" s="694" t="s">
        <v>1817</v>
      </c>
    </row>
    <row r="485" spans="1:75" s="870" customFormat="1" ht="20.25" customHeight="1" x14ac:dyDescent="0.25">
      <c r="A485" s="76"/>
      <c r="B485" s="332"/>
      <c r="C485" s="27"/>
      <c r="D485" s="27"/>
      <c r="E485" s="559">
        <v>21</v>
      </c>
      <c r="F485" s="3" t="str" cm="1">
        <f t="array" aca="1" ref="F485" ca="1">OFFSET(E485,-1,1)</f>
        <v>3</v>
      </c>
      <c r="G485" s="27"/>
      <c r="H485" s="577"/>
      <c r="I485" s="577" t="s">
        <v>493</v>
      </c>
      <c r="J485" s="27"/>
      <c r="K485" s="277" t="s">
        <v>493</v>
      </c>
      <c r="L485" s="27" t="s">
        <v>333</v>
      </c>
      <c r="M485" s="27"/>
      <c r="N485" s="27"/>
      <c r="O485" s="27"/>
      <c r="P485" s="27"/>
      <c r="Q485" s="27"/>
      <c r="R485" s="27"/>
      <c r="S485" s="27"/>
      <c r="T485" s="353" t="b" cm="1">
        <f t="array" ref="T485">T484</f>
        <v>1</v>
      </c>
      <c r="U485" s="27"/>
      <c r="V485" s="27"/>
      <c r="W485" s="27"/>
      <c r="X485" s="1022"/>
      <c r="Y485" s="76"/>
      <c r="Z485" s="967"/>
      <c r="AA485" s="76"/>
      <c r="AB485" s="124" t="s">
        <v>948</v>
      </c>
      <c r="AC485" s="263" t="s">
        <v>1999</v>
      </c>
      <c r="AD485" s="124" t="s">
        <v>828</v>
      </c>
      <c r="AE485" s="126">
        <f ca="1">AE486+AE494+AE497+AE498+AE499+AE500+AE501</f>
        <v>0</v>
      </c>
      <c r="AF485" s="126">
        <f ca="1">AF486+AF494+AF497+AF498+AF499+AF500+AF501</f>
        <v>0</v>
      </c>
      <c r="AG485" s="126">
        <f ca="1">AG486+AG494+AG497+AG498+AG499+AG500+AG501</f>
        <v>0</v>
      </c>
      <c r="AH485" s="126">
        <f t="shared" ca="1" si="144"/>
        <v>0</v>
      </c>
      <c r="AI485" s="126">
        <f ca="1">AI486+AI494+AI497+AI498+AI499+AI500+AI501</f>
        <v>0</v>
      </c>
      <c r="AJ485" s="126">
        <f ca="1">AJ486+AJ494+AJ497+AJ498+AJ499+AJ500+AJ501</f>
        <v>0</v>
      </c>
      <c r="AK485" s="129"/>
      <c r="AL485" s="129"/>
      <c r="AM485" s="129"/>
      <c r="AN485" s="129"/>
      <c r="AO485" s="129"/>
      <c r="AP485" s="129"/>
      <c r="AQ485" s="129"/>
      <c r="AR485" s="129"/>
      <c r="AS485" s="129"/>
      <c r="AT485" s="126">
        <f ca="1">AT486+AT494+AT497+AT498+AT499+AT500+AT501</f>
        <v>0</v>
      </c>
      <c r="AU485" s="129"/>
      <c r="AV485" s="129"/>
      <c r="AW485" s="129"/>
      <c r="AX485" s="129"/>
      <c r="AY485" s="129"/>
      <c r="AZ485" s="129"/>
      <c r="BA485" s="129"/>
      <c r="BB485" s="129"/>
      <c r="BC485" s="129"/>
      <c r="BD485" s="126">
        <f t="shared" ca="1" si="147"/>
        <v>0</v>
      </c>
      <c r="BE485" s="129"/>
      <c r="BF485" s="129"/>
      <c r="BG485" s="129"/>
      <c r="BH485" s="129"/>
      <c r="BI485" s="129"/>
      <c r="BJ485" s="129"/>
      <c r="BK485" s="129"/>
      <c r="BL485" s="129"/>
      <c r="BM485" s="129"/>
      <c r="BN485" s="556"/>
      <c r="BO485" s="556"/>
      <c r="BP485" s="556"/>
      <c r="BQ485" s="76"/>
      <c r="BR485" s="76"/>
      <c r="BS485" s="695" t="s">
        <v>1819</v>
      </c>
      <c r="BT485" s="702"/>
      <c r="BU485" s="702"/>
      <c r="BV485" s="511"/>
      <c r="BW485" s="511"/>
    </row>
    <row r="486" spans="1:75" ht="21.75" customHeight="1" x14ac:dyDescent="0.25">
      <c r="C486" s="25"/>
      <c r="D486" s="25"/>
      <c r="E486" s="451">
        <v>22.5</v>
      </c>
      <c r="F486" s="3" t="str" cm="1">
        <f t="array" aca="1" ref="F486" ca="1">OFFSET(E486,-1,1)</f>
        <v>3</v>
      </c>
      <c r="G486" s="25" t="s">
        <v>1203</v>
      </c>
      <c r="H486" s="577"/>
      <c r="I486" s="577" t="s">
        <v>1371</v>
      </c>
      <c r="J486" s="25"/>
      <c r="K486" s="277" t="s">
        <v>1371</v>
      </c>
      <c r="L486" s="25" t="s">
        <v>969</v>
      </c>
      <c r="M486" s="25"/>
      <c r="N486" s="25"/>
      <c r="O486" s="25"/>
      <c r="P486" s="25"/>
      <c r="Q486" s="25"/>
      <c r="R486" s="25"/>
      <c r="S486" s="25"/>
      <c r="T486" s="353" t="b" cm="1">
        <f t="array" ref="T486">T485</f>
        <v>1</v>
      </c>
      <c r="U486" s="25"/>
      <c r="V486" s="25"/>
      <c r="W486" s="25"/>
      <c r="X486" s="1022"/>
      <c r="Z486" s="967"/>
      <c r="AB486" s="7" t="s">
        <v>1087</v>
      </c>
      <c r="AC486" s="134" t="s">
        <v>2000</v>
      </c>
      <c r="AD486" s="7" t="s">
        <v>828</v>
      </c>
      <c r="AE486" s="171">
        <f ca="1">SUMIFS(Административные!AE$25:AE$103,Административные!$F$25:$F$103,$F486,Административные!$G$25:$G$103,$G486)</f>
        <v>0</v>
      </c>
      <c r="AF486" s="171">
        <f ca="1">SUMIFS(Административные!AF$25:AF$103,Административные!$F$25:$F$103,$F486,Административные!$G$25:$G$103,$G486)</f>
        <v>0</v>
      </c>
      <c r="AG486" s="171">
        <f ca="1">SUMIFS(Административные!AG$25:AG$103,Административные!$F$25:$F$103,$F486,Административные!$G$25:$G$103,$G486)</f>
        <v>0</v>
      </c>
      <c r="AH486" s="171">
        <f t="shared" ca="1" si="144"/>
        <v>0</v>
      </c>
      <c r="AI486" s="171">
        <f ca="1">SUMIFS(Административные!AH$25:AH$103,Административные!$F$25:$F$103,$F486,Административные!$G$25:$G$103,$G486)</f>
        <v>0</v>
      </c>
      <c r="AJ486" s="171">
        <f ca="1">SUMIFS(Административные!AI$25:AI$103,Административные!$F$25:$F$103,$F486,Административные!$G$25:$G$103,$G486)</f>
        <v>0</v>
      </c>
      <c r="AK486" s="542"/>
      <c r="AL486" s="542"/>
      <c r="AM486" s="542"/>
      <c r="AN486" s="542"/>
      <c r="AO486" s="542"/>
      <c r="AP486" s="542"/>
      <c r="AQ486" s="542"/>
      <c r="AR486" s="542"/>
      <c r="AS486" s="542"/>
      <c r="AT486" s="171">
        <f ca="1">SUMIFS(Административные!AJ$25:AJ$103,Административные!$F$25:$F$103,$F486,Административные!$G$25:$G$103,$G486)</f>
        <v>0</v>
      </c>
      <c r="AU486" s="542"/>
      <c r="AV486" s="542"/>
      <c r="AW486" s="542"/>
      <c r="AX486" s="542"/>
      <c r="AY486" s="542"/>
      <c r="AZ486" s="542"/>
      <c r="BA486" s="542"/>
      <c r="BB486" s="542"/>
      <c r="BC486" s="542"/>
      <c r="BD486" s="171">
        <f t="shared" ca="1" si="147"/>
        <v>0</v>
      </c>
      <c r="BE486" s="542"/>
      <c r="BF486" s="542"/>
      <c r="BG486" s="542"/>
      <c r="BH486" s="542"/>
      <c r="BI486" s="542"/>
      <c r="BJ486" s="542"/>
      <c r="BK486" s="542"/>
      <c r="BL486" s="542"/>
      <c r="BM486" s="542"/>
      <c r="BN486" s="196"/>
      <c r="BO486" s="601" t="str">
        <f ca="1">IF(IFERROR(INDEX(Административные!$K$26:$L$103,MATCH($F486&amp;"17komm",Административные!$K$26:$K$103,0),2),"")=0,"",IFERROR(INDEX(Административные!$K$26:$L$103,MATCH($F486&amp;"17komm",Административные!$K$26:$K$103,0),2),""))</f>
        <v/>
      </c>
      <c r="BP486" s="196"/>
      <c r="BS486" s="694" t="s">
        <v>1205</v>
      </c>
    </row>
    <row r="487" spans="1:75" ht="14.25" customHeight="1" x14ac:dyDescent="0.15">
      <c r="C487" s="25"/>
      <c r="D487" s="25"/>
      <c r="E487" s="451">
        <v>15</v>
      </c>
      <c r="F487" s="3" t="str" cm="1">
        <f t="array" aca="1" ref="F487" ca="1">OFFSET(E487,-1,1)</f>
        <v>3</v>
      </c>
      <c r="G487" s="25" t="s">
        <v>1206</v>
      </c>
      <c r="H487" s="577"/>
      <c r="I487" s="577" t="s">
        <v>2001</v>
      </c>
      <c r="J487" s="25"/>
      <c r="K487" s="277" t="s">
        <v>2001</v>
      </c>
      <c r="L487" s="25"/>
      <c r="M487" s="25"/>
      <c r="N487" s="25"/>
      <c r="O487" s="25"/>
      <c r="P487" s="25"/>
      <c r="Q487" s="25"/>
      <c r="R487" s="25"/>
      <c r="S487" s="25"/>
      <c r="T487" s="353" t="b" cm="1">
        <f t="array" ref="T487">T486</f>
        <v>1</v>
      </c>
      <c r="U487" s="25"/>
      <c r="V487" s="25"/>
      <c r="W487" s="25"/>
      <c r="X487" s="1022"/>
      <c r="Z487" s="967"/>
      <c r="AB487" s="7" t="s">
        <v>2002</v>
      </c>
      <c r="AC487" s="543" t="s">
        <v>1207</v>
      </c>
      <c r="AD487" s="7" t="s">
        <v>828</v>
      </c>
      <c r="AE487" s="171">
        <f ca="1">SUMIFS(Административные!AE$25:AE$103,Административные!$F$25:$F$103,$F487,Административные!$G$25:$G$103,$G487)</f>
        <v>0</v>
      </c>
      <c r="AF487" s="171">
        <f ca="1">SUMIFS(Административные!AF$25:AF$103,Административные!$F$25:$F$103,$F487,Административные!$G$25:$G$103,$G487)</f>
        <v>0</v>
      </c>
      <c r="AG487" s="171">
        <f ca="1">SUMIFS(Административные!AG$25:AG$103,Административные!$F$25:$F$103,$F487,Административные!$G$25:$G$103,$G487)</f>
        <v>0</v>
      </c>
      <c r="AH487" s="171">
        <f t="shared" ca="1" si="144"/>
        <v>0</v>
      </c>
      <c r="AI487" s="171">
        <f ca="1">SUMIFS(Административные!AH$25:AH$103,Административные!$F$25:$F$103,$F487,Административные!$G$25:$G$103,$G487)</f>
        <v>0</v>
      </c>
      <c r="AJ487" s="171">
        <f ca="1">SUMIFS(Административные!AI$25:AI$103,Административные!$F$25:$F$103,$F487,Административные!$G$25:$G$103,$G487)</f>
        <v>0</v>
      </c>
      <c r="AK487" s="542"/>
      <c r="AL487" s="542"/>
      <c r="AM487" s="542"/>
      <c r="AN487" s="542"/>
      <c r="AO487" s="542"/>
      <c r="AP487" s="542"/>
      <c r="AQ487" s="542"/>
      <c r="AR487" s="542"/>
      <c r="AS487" s="542"/>
      <c r="AT487" s="171">
        <f ca="1">SUMIFS(Административные!AJ$25:AJ$103,Административные!$F$25:$F$103,$F487,Административные!$G$25:$G$103,$G487)</f>
        <v>0</v>
      </c>
      <c r="AU487" s="542"/>
      <c r="AV487" s="542"/>
      <c r="AW487" s="542"/>
      <c r="AX487" s="542"/>
      <c r="AY487" s="542"/>
      <c r="AZ487" s="542"/>
      <c r="BA487" s="542"/>
      <c r="BB487" s="542"/>
      <c r="BC487" s="542"/>
      <c r="BD487" s="171">
        <f t="shared" ca="1" si="147"/>
        <v>0</v>
      </c>
      <c r="BE487" s="542"/>
      <c r="BF487" s="542"/>
      <c r="BG487" s="542"/>
      <c r="BH487" s="542"/>
      <c r="BI487" s="542"/>
      <c r="BJ487" s="542"/>
      <c r="BK487" s="542"/>
      <c r="BL487" s="542"/>
      <c r="BM487" s="542"/>
      <c r="BN487" s="196"/>
      <c r="BO487" s="601" t="str">
        <f ca="1">IF(IFERROR(INDEX(Административные!$K$26:$L$103,MATCH($F487&amp;"18komm",Административные!$K$26:$K$103,0),2),"")=0,"",IFERROR(INDEX(Административные!$K$26:$L$103,MATCH($F487&amp;"18komm",Административные!$K$26:$K$103,0),2),""))</f>
        <v/>
      </c>
      <c r="BP487" s="196"/>
      <c r="BS487" s="696" t="s">
        <v>1208</v>
      </c>
    </row>
    <row r="488" spans="1:75" ht="14.25" customHeight="1" x14ac:dyDescent="0.15">
      <c r="C488" s="25"/>
      <c r="D488" s="25"/>
      <c r="E488" s="451">
        <v>15</v>
      </c>
      <c r="F488" s="3" t="str" cm="1">
        <f t="array" aca="1" ref="F488" ca="1">OFFSET(E488,-1,1)</f>
        <v>3</v>
      </c>
      <c r="G488" s="25" t="s">
        <v>1209</v>
      </c>
      <c r="H488" s="577"/>
      <c r="I488" s="577" t="s">
        <v>2003</v>
      </c>
      <c r="J488" s="25"/>
      <c r="K488" s="277" t="s">
        <v>2003</v>
      </c>
      <c r="L488" s="25"/>
      <c r="M488" s="25"/>
      <c r="N488" s="25"/>
      <c r="O488" s="25"/>
      <c r="P488" s="25"/>
      <c r="Q488" s="25"/>
      <c r="R488" s="25"/>
      <c r="S488" s="25"/>
      <c r="T488" s="353" t="b" cm="1">
        <f t="array" ref="T488">T487</f>
        <v>1</v>
      </c>
      <c r="U488" s="25"/>
      <c r="V488" s="25"/>
      <c r="W488" s="25"/>
      <c r="X488" s="1022"/>
      <c r="Z488" s="967"/>
      <c r="AB488" s="7" t="s">
        <v>2004</v>
      </c>
      <c r="AC488" s="543" t="s">
        <v>1210</v>
      </c>
      <c r="AD488" s="7" t="s">
        <v>828</v>
      </c>
      <c r="AE488" s="171">
        <f ca="1">SUMIFS(Административные!AE$25:AE$103,Административные!$F$25:$F$103,$F488,Административные!$G$25:$G$103,$G488)</f>
        <v>0</v>
      </c>
      <c r="AF488" s="171">
        <f ca="1">SUMIFS(Административные!AF$25:AF$103,Административные!$F$25:$F$103,$F488,Административные!$G$25:$G$103,$G488)</f>
        <v>0</v>
      </c>
      <c r="AG488" s="171">
        <f ca="1">SUMIFS(Административные!AG$25:AG$103,Административные!$F$25:$F$103,$F488,Административные!$G$25:$G$103,$G488)</f>
        <v>0</v>
      </c>
      <c r="AH488" s="171">
        <f t="shared" ca="1" si="144"/>
        <v>0</v>
      </c>
      <c r="AI488" s="171">
        <f ca="1">SUMIFS(Административные!AH$25:AH$103,Административные!$F$25:$F$103,$F488,Административные!$G$25:$G$103,$G488)</f>
        <v>0</v>
      </c>
      <c r="AJ488" s="171">
        <f ca="1">SUMIFS(Административные!AI$25:AI$103,Административные!$F$25:$F$103,$F488,Административные!$G$25:$G$103,$G488)</f>
        <v>0</v>
      </c>
      <c r="AK488" s="542"/>
      <c r="AL488" s="542"/>
      <c r="AM488" s="542"/>
      <c r="AN488" s="542"/>
      <c r="AO488" s="542"/>
      <c r="AP488" s="542"/>
      <c r="AQ488" s="542"/>
      <c r="AR488" s="542"/>
      <c r="AS488" s="542"/>
      <c r="AT488" s="171">
        <f ca="1">SUMIFS(Административные!AJ$25:AJ$103,Административные!$F$25:$F$103,$F488,Административные!$G$25:$G$103,$G488)</f>
        <v>0</v>
      </c>
      <c r="AU488" s="542"/>
      <c r="AV488" s="542"/>
      <c r="AW488" s="542"/>
      <c r="AX488" s="542"/>
      <c r="AY488" s="542"/>
      <c r="AZ488" s="542"/>
      <c r="BA488" s="542"/>
      <c r="BB488" s="542"/>
      <c r="BC488" s="542"/>
      <c r="BD488" s="171">
        <f t="shared" ca="1" si="147"/>
        <v>0</v>
      </c>
      <c r="BE488" s="542"/>
      <c r="BF488" s="542"/>
      <c r="BG488" s="542"/>
      <c r="BH488" s="542"/>
      <c r="BI488" s="542"/>
      <c r="BJ488" s="542"/>
      <c r="BK488" s="542"/>
      <c r="BL488" s="542"/>
      <c r="BM488" s="542"/>
      <c r="BN488" s="196"/>
      <c r="BO488" s="601" t="str">
        <f ca="1">IF(IFERROR(INDEX(Административные!$K$26:$L$103,MATCH($F488&amp;"11komm",Административные!$K$26:$K$103,0),2),"")=0,"",IFERROR(INDEX(Административные!$K$26:$L$103,MATCH($F488&amp;"11komm",Административные!$K$26:$K$103,0),2),""))</f>
        <v/>
      </c>
      <c r="BP488" s="196"/>
      <c r="BS488" s="696" t="s">
        <v>1211</v>
      </c>
    </row>
    <row r="489" spans="1:75" ht="14.25" customHeight="1" x14ac:dyDescent="0.15">
      <c r="C489" s="25"/>
      <c r="D489" s="25"/>
      <c r="E489" s="451">
        <v>15</v>
      </c>
      <c r="F489" s="3" t="str" cm="1">
        <f t="array" aca="1" ref="F489" ca="1">OFFSET(E489,-1,1)</f>
        <v>3</v>
      </c>
      <c r="G489" s="25" t="s">
        <v>1212</v>
      </c>
      <c r="H489" s="577"/>
      <c r="I489" s="577" t="s">
        <v>2005</v>
      </c>
      <c r="J489" s="25"/>
      <c r="K489" s="277" t="s">
        <v>2005</v>
      </c>
      <c r="L489" s="25"/>
      <c r="M489" s="25"/>
      <c r="N489" s="25"/>
      <c r="O489" s="25"/>
      <c r="P489" s="25"/>
      <c r="Q489" s="25"/>
      <c r="R489" s="25"/>
      <c r="S489" s="25"/>
      <c r="T489" s="353" t="b" cm="1">
        <f t="array" ref="T489">T488</f>
        <v>1</v>
      </c>
      <c r="U489" s="25"/>
      <c r="V489" s="25"/>
      <c r="W489" s="25"/>
      <c r="X489" s="1022"/>
      <c r="Z489" s="967"/>
      <c r="AB489" s="7" t="s">
        <v>2006</v>
      </c>
      <c r="AC489" s="543" t="s">
        <v>1213</v>
      </c>
      <c r="AD489" s="7" t="s">
        <v>828</v>
      </c>
      <c r="AE489" s="171">
        <f ca="1">SUMIFS(Административные!AE$25:AE$103,Административные!$F$25:$F$103,$F489,Административные!$G$25:$G$103,$G489)</f>
        <v>0</v>
      </c>
      <c r="AF489" s="171">
        <f ca="1">SUMIFS(Административные!AF$25:AF$103,Административные!$F$25:$F$103,$F489,Административные!$G$25:$G$103,$G489)</f>
        <v>0</v>
      </c>
      <c r="AG489" s="171">
        <f ca="1">SUMIFS(Административные!AG$25:AG$103,Административные!$F$25:$F$103,$F489,Административные!$G$25:$G$103,$G489)</f>
        <v>0</v>
      </c>
      <c r="AH489" s="171">
        <f t="shared" ca="1" si="144"/>
        <v>0</v>
      </c>
      <c r="AI489" s="171">
        <f ca="1">SUMIFS(Административные!AH$25:AH$103,Административные!$F$25:$F$103,$F489,Административные!$G$25:$G$103,$G489)</f>
        <v>0</v>
      </c>
      <c r="AJ489" s="171">
        <f ca="1">SUMIFS(Административные!AI$25:AI$103,Административные!$F$25:$F$103,$F489,Административные!$G$25:$G$103,$G489)</f>
        <v>0</v>
      </c>
      <c r="AK489" s="542"/>
      <c r="AL489" s="542"/>
      <c r="AM489" s="542"/>
      <c r="AN489" s="542"/>
      <c r="AO489" s="542"/>
      <c r="AP489" s="542"/>
      <c r="AQ489" s="542"/>
      <c r="AR489" s="542"/>
      <c r="AS489" s="542"/>
      <c r="AT489" s="171">
        <f ca="1">SUMIFS(Административные!AJ$25:AJ$103,Административные!$F$25:$F$103,$F489,Административные!$G$25:$G$103,$G489)</f>
        <v>0</v>
      </c>
      <c r="AU489" s="542"/>
      <c r="AV489" s="542"/>
      <c r="AW489" s="542"/>
      <c r="AX489" s="542"/>
      <c r="AY489" s="542"/>
      <c r="AZ489" s="542"/>
      <c r="BA489" s="542"/>
      <c r="BB489" s="542"/>
      <c r="BC489" s="542"/>
      <c r="BD489" s="171">
        <f t="shared" ca="1" si="147"/>
        <v>0</v>
      </c>
      <c r="BE489" s="542"/>
      <c r="BF489" s="542"/>
      <c r="BG489" s="542"/>
      <c r="BH489" s="542"/>
      <c r="BI489" s="542"/>
      <c r="BJ489" s="542"/>
      <c r="BK489" s="542"/>
      <c r="BL489" s="542"/>
      <c r="BM489" s="542"/>
      <c r="BN489" s="196"/>
      <c r="BO489" s="601" t="str">
        <f ca="1">IF(IFERROR(INDEX(Административные!$K$26:$L$103,MATCH($F489&amp;"12komm",Административные!$K$26:$K$103,0),2),"")=0,"",IFERROR(INDEX(Административные!$K$26:$L$103,MATCH($F489&amp;"12komm",Административные!$K$26:$K$103,0),2),""))</f>
        <v/>
      </c>
      <c r="BP489" s="196"/>
      <c r="BS489" s="696" t="s">
        <v>1214</v>
      </c>
    </row>
    <row r="490" spans="1:75" ht="14.25" customHeight="1" x14ac:dyDescent="0.15">
      <c r="C490" s="25"/>
      <c r="D490" s="25"/>
      <c r="E490" s="451">
        <v>15</v>
      </c>
      <c r="F490" s="3" t="str" cm="1">
        <f t="array" aca="1" ref="F490" ca="1">OFFSET(E490,-1,1)</f>
        <v>3</v>
      </c>
      <c r="G490" s="25" t="s">
        <v>1215</v>
      </c>
      <c r="H490" s="577"/>
      <c r="I490" s="577" t="s">
        <v>2007</v>
      </c>
      <c r="J490" s="25"/>
      <c r="K490" s="277" t="s">
        <v>2007</v>
      </c>
      <c r="L490" s="25"/>
      <c r="M490" s="25"/>
      <c r="N490" s="25"/>
      <c r="O490" s="25"/>
      <c r="P490" s="25"/>
      <c r="Q490" s="25"/>
      <c r="R490" s="25"/>
      <c r="S490" s="25"/>
      <c r="T490" s="353" t="b" cm="1">
        <f t="array" ref="T490">T489</f>
        <v>1</v>
      </c>
      <c r="U490" s="25"/>
      <c r="V490" s="25"/>
      <c r="W490" s="25"/>
      <c r="X490" s="1022"/>
      <c r="Z490" s="967"/>
      <c r="AB490" s="7" t="s">
        <v>2008</v>
      </c>
      <c r="AC490" s="543" t="s">
        <v>1216</v>
      </c>
      <c r="AD490" s="7" t="s">
        <v>828</v>
      </c>
      <c r="AE490" s="171">
        <f ca="1">SUMIFS(Административные!AE$25:AE$103,Административные!$F$25:$F$103,$F490,Административные!$G$25:$G$103,$G490)</f>
        <v>0</v>
      </c>
      <c r="AF490" s="171">
        <f ca="1">SUMIFS(Административные!AF$25:AF$103,Административные!$F$25:$F$103,$F490,Административные!$G$25:$G$103,$G490)</f>
        <v>0</v>
      </c>
      <c r="AG490" s="171">
        <f ca="1">SUMIFS(Административные!AG$25:AG$103,Административные!$F$25:$F$103,$F490,Административные!$G$25:$G$103,$G490)</f>
        <v>0</v>
      </c>
      <c r="AH490" s="171">
        <f t="shared" ca="1" si="144"/>
        <v>0</v>
      </c>
      <c r="AI490" s="171">
        <f ca="1">SUMIFS(Административные!AH$25:AH$103,Административные!$F$25:$F$103,$F490,Административные!$G$25:$G$103,$G490)</f>
        <v>0</v>
      </c>
      <c r="AJ490" s="171">
        <f ca="1">SUMIFS(Административные!AI$25:AI$103,Административные!$F$25:$F$103,$F490,Административные!$G$25:$G$103,$G490)</f>
        <v>0</v>
      </c>
      <c r="AK490" s="542"/>
      <c r="AL490" s="542"/>
      <c r="AM490" s="542"/>
      <c r="AN490" s="542"/>
      <c r="AO490" s="542"/>
      <c r="AP490" s="542"/>
      <c r="AQ490" s="542"/>
      <c r="AR490" s="542"/>
      <c r="AS490" s="542"/>
      <c r="AT490" s="171">
        <f ca="1">SUMIFS(Административные!AJ$25:AJ$103,Административные!$F$25:$F$103,$F490,Административные!$G$25:$G$103,$G490)</f>
        <v>0</v>
      </c>
      <c r="AU490" s="542"/>
      <c r="AV490" s="542"/>
      <c r="AW490" s="542"/>
      <c r="AX490" s="542"/>
      <c r="AY490" s="542"/>
      <c r="AZ490" s="542"/>
      <c r="BA490" s="542"/>
      <c r="BB490" s="542"/>
      <c r="BC490" s="542"/>
      <c r="BD490" s="171">
        <f t="shared" ca="1" si="147"/>
        <v>0</v>
      </c>
      <c r="BE490" s="542"/>
      <c r="BF490" s="542"/>
      <c r="BG490" s="542"/>
      <c r="BH490" s="542"/>
      <c r="BI490" s="542"/>
      <c r="BJ490" s="542"/>
      <c r="BK490" s="542"/>
      <c r="BL490" s="542"/>
      <c r="BM490" s="542"/>
      <c r="BN490" s="196"/>
      <c r="BO490" s="601" t="str">
        <f ca="1">IF(IFERROR(INDEX(Административные!$K$26:$L$103,MATCH($F490&amp;"13komm",Административные!$K$26:$K$103,0),2),"")=0,"",IFERROR(INDEX(Административные!$K$26:$L$103,MATCH($F490&amp;"13komm",Административные!$K$26:$K$103,0),2),""))</f>
        <v/>
      </c>
      <c r="BP490" s="196"/>
      <c r="BS490" s="696" t="s">
        <v>1217</v>
      </c>
    </row>
    <row r="491" spans="1:75" ht="14.25" customHeight="1" x14ac:dyDescent="0.15">
      <c r="C491" s="25"/>
      <c r="D491" s="25"/>
      <c r="E491" s="451">
        <v>15</v>
      </c>
      <c r="F491" s="3" t="str" cm="1">
        <f t="array" aca="1" ref="F491" ca="1">OFFSET(E491,-1,1)</f>
        <v>3</v>
      </c>
      <c r="G491" s="25" t="s">
        <v>1218</v>
      </c>
      <c r="H491" s="577"/>
      <c r="I491" s="577" t="s">
        <v>2009</v>
      </c>
      <c r="J491" s="25"/>
      <c r="K491" s="277" t="s">
        <v>2009</v>
      </c>
      <c r="L491" s="25"/>
      <c r="M491" s="25"/>
      <c r="N491" s="25"/>
      <c r="O491" s="25"/>
      <c r="P491" s="25"/>
      <c r="Q491" s="25"/>
      <c r="R491" s="25"/>
      <c r="S491" s="25"/>
      <c r="T491" s="353" t="b" cm="1">
        <f t="array" ref="T491">T490</f>
        <v>1</v>
      </c>
      <c r="U491" s="25"/>
      <c r="V491" s="25"/>
      <c r="W491" s="25"/>
      <c r="X491" s="1022"/>
      <c r="Z491" s="967"/>
      <c r="AB491" s="7" t="s">
        <v>2010</v>
      </c>
      <c r="AC491" s="543" t="s">
        <v>1219</v>
      </c>
      <c r="AD491" s="7" t="s">
        <v>828</v>
      </c>
      <c r="AE491" s="171">
        <f ca="1">SUMIFS(Административные!AE$25:AE$103,Административные!$F$25:$F$103,$F491,Административные!$G$25:$G$103,$G491)</f>
        <v>0</v>
      </c>
      <c r="AF491" s="171">
        <f ca="1">SUMIFS(Административные!AF$25:AF$103,Административные!$F$25:$F$103,$F491,Административные!$G$25:$G$103,$G491)</f>
        <v>0</v>
      </c>
      <c r="AG491" s="171">
        <f ca="1">SUMIFS(Административные!AG$25:AG$103,Административные!$F$25:$F$103,$F491,Административные!$G$25:$G$103,$G491)</f>
        <v>0</v>
      </c>
      <c r="AH491" s="171">
        <f t="shared" ca="1" si="144"/>
        <v>0</v>
      </c>
      <c r="AI491" s="171">
        <f ca="1">SUMIFS(Административные!AH$25:AH$103,Административные!$F$25:$F$103,$F491,Административные!$G$25:$G$103,$G491)</f>
        <v>0</v>
      </c>
      <c r="AJ491" s="171">
        <f ca="1">SUMIFS(Административные!AI$25:AI$103,Административные!$F$25:$F$103,$F491,Административные!$G$25:$G$103,$G491)</f>
        <v>0</v>
      </c>
      <c r="AK491" s="542"/>
      <c r="AL491" s="542"/>
      <c r="AM491" s="542"/>
      <c r="AN491" s="542"/>
      <c r="AO491" s="542"/>
      <c r="AP491" s="542"/>
      <c r="AQ491" s="542"/>
      <c r="AR491" s="542"/>
      <c r="AS491" s="542"/>
      <c r="AT491" s="171">
        <f ca="1">SUMIFS(Административные!AJ$25:AJ$103,Административные!$F$25:$F$103,$F491,Административные!$G$25:$G$103,$G491)</f>
        <v>0</v>
      </c>
      <c r="AU491" s="542"/>
      <c r="AV491" s="542"/>
      <c r="AW491" s="542"/>
      <c r="AX491" s="542"/>
      <c r="AY491" s="542"/>
      <c r="AZ491" s="542"/>
      <c r="BA491" s="542"/>
      <c r="BB491" s="542"/>
      <c r="BC491" s="542"/>
      <c r="BD491" s="171">
        <f t="shared" ca="1" si="147"/>
        <v>0</v>
      </c>
      <c r="BE491" s="542"/>
      <c r="BF491" s="542"/>
      <c r="BG491" s="542"/>
      <c r="BH491" s="542"/>
      <c r="BI491" s="542"/>
      <c r="BJ491" s="542"/>
      <c r="BK491" s="542"/>
      <c r="BL491" s="542"/>
      <c r="BM491" s="542"/>
      <c r="BN491" s="196"/>
      <c r="BO491" s="601" t="str">
        <f ca="1">IF(IFERROR(INDEX(Административные!$K$26:$L$103,MATCH($F491&amp;"14komm",Административные!$K$26:$K$103,0),2),"")=0,"",IFERROR(INDEX(Административные!$K$26:$L$103,MATCH($F491&amp;"14komm",Административные!$K$26:$K$103,0),2),""))</f>
        <v/>
      </c>
      <c r="BP491" s="196"/>
      <c r="BS491" s="696" t="s">
        <v>2011</v>
      </c>
    </row>
    <row r="492" spans="1:75" ht="14.25" customHeight="1" x14ac:dyDescent="0.15">
      <c r="C492" s="25"/>
      <c r="D492" s="25"/>
      <c r="E492" s="451">
        <v>15</v>
      </c>
      <c r="F492" s="3" t="str" cm="1">
        <f t="array" aca="1" ref="F492" ca="1">OFFSET(E492,-1,1)</f>
        <v>3</v>
      </c>
      <c r="G492" s="25" t="s">
        <v>1221</v>
      </c>
      <c r="H492" s="577"/>
      <c r="I492" s="577" t="s">
        <v>2012</v>
      </c>
      <c r="J492" s="25"/>
      <c r="K492" s="277" t="s">
        <v>2012</v>
      </c>
      <c r="L492" s="25"/>
      <c r="M492" s="25"/>
      <c r="N492" s="25"/>
      <c r="O492" s="25"/>
      <c r="P492" s="25"/>
      <c r="Q492" s="25"/>
      <c r="R492" s="25"/>
      <c r="S492" s="25"/>
      <c r="T492" s="353" t="b" cm="1">
        <f t="array" ref="T492">T491</f>
        <v>1</v>
      </c>
      <c r="U492" s="25"/>
      <c r="V492" s="25"/>
      <c r="W492" s="25"/>
      <c r="X492" s="1022"/>
      <c r="Z492" s="967"/>
      <c r="AB492" s="7" t="s">
        <v>2013</v>
      </c>
      <c r="AC492" s="543" t="s">
        <v>1224</v>
      </c>
      <c r="AD492" s="7" t="s">
        <v>828</v>
      </c>
      <c r="AE492" s="171">
        <f ca="1">SUMIFS(Административные!AE$25:AE$103,Административные!$F$25:$F$103,$F492,Административные!$G$25:$G$103,$G492)</f>
        <v>0</v>
      </c>
      <c r="AF492" s="171">
        <f ca="1">SUMIFS(Административные!AF$25:AF$103,Административные!$F$25:$F$103,$F492,Административные!$G$25:$G$103,$G492)</f>
        <v>0</v>
      </c>
      <c r="AG492" s="171">
        <f ca="1">SUMIFS(Административные!AG$25:AG$103,Административные!$F$25:$F$103,$F492,Административные!$G$25:$G$103,$G492)</f>
        <v>0</v>
      </c>
      <c r="AH492" s="171">
        <f t="shared" ref="AH492:AH523" ca="1" si="149">AG492-AF492</f>
        <v>0</v>
      </c>
      <c r="AI492" s="171">
        <f ca="1">SUMIFS(Административные!AH$25:AH$103,Административные!$F$25:$F$103,$F492,Административные!$G$25:$G$103,$G492)</f>
        <v>0</v>
      </c>
      <c r="AJ492" s="171">
        <f ca="1">SUMIFS(Административные!AI$25:AI$103,Административные!$F$25:$F$103,$F492,Административные!$G$25:$G$103,$G492)</f>
        <v>0</v>
      </c>
      <c r="AK492" s="542"/>
      <c r="AL492" s="542"/>
      <c r="AM492" s="542"/>
      <c r="AN492" s="542"/>
      <c r="AO492" s="542"/>
      <c r="AP492" s="542"/>
      <c r="AQ492" s="542"/>
      <c r="AR492" s="542"/>
      <c r="AS492" s="542"/>
      <c r="AT492" s="171">
        <f ca="1">SUMIFS(Административные!AJ$25:AJ$103,Административные!$F$25:$F$103,$F492,Административные!$G$25:$G$103,$G492)</f>
        <v>0</v>
      </c>
      <c r="AU492" s="542"/>
      <c r="AV492" s="542"/>
      <c r="AW492" s="542"/>
      <c r="AX492" s="542"/>
      <c r="AY492" s="542"/>
      <c r="AZ492" s="542"/>
      <c r="BA492" s="542"/>
      <c r="BB492" s="542"/>
      <c r="BC492" s="542"/>
      <c r="BD492" s="171">
        <f t="shared" ref="BD492:BD508" ca="1" si="150">IF(AI492=0,0,(AT492-AI492)/AI492*100)</f>
        <v>0</v>
      </c>
      <c r="BE492" s="542"/>
      <c r="BF492" s="542"/>
      <c r="BG492" s="542"/>
      <c r="BH492" s="542"/>
      <c r="BI492" s="542"/>
      <c r="BJ492" s="542"/>
      <c r="BK492" s="542"/>
      <c r="BL492" s="542"/>
      <c r="BM492" s="542"/>
      <c r="BN492" s="196"/>
      <c r="BO492" s="601" t="str">
        <f ca="1">IF(IFERROR(INDEX(Административные!$K$26:$L$103,MATCH($F492&amp;"15komm",Административные!$K$26:$K$103,0),2),"")=0,"",IFERROR(INDEX(Административные!$K$26:$L$103,MATCH($F492&amp;"15komm",Административные!$K$26:$K$103,0),2),""))</f>
        <v/>
      </c>
      <c r="BP492" s="196"/>
      <c r="BS492" s="696" t="s">
        <v>1225</v>
      </c>
    </row>
    <row r="493" spans="1:75" ht="14.25" customHeight="1" x14ac:dyDescent="0.15">
      <c r="C493" s="25"/>
      <c r="D493" s="25"/>
      <c r="E493" s="451">
        <v>15</v>
      </c>
      <c r="F493" s="3" t="str" cm="1">
        <f t="array" aca="1" ref="F493" ca="1">OFFSET(E493,-1,1)</f>
        <v>3</v>
      </c>
      <c r="G493" s="25" t="s">
        <v>1226</v>
      </c>
      <c r="H493" s="577"/>
      <c r="I493" s="577" t="s">
        <v>2014</v>
      </c>
      <c r="J493" s="25"/>
      <c r="K493" s="277" t="s">
        <v>2014</v>
      </c>
      <c r="L493" s="25"/>
      <c r="M493" s="25"/>
      <c r="N493" s="25"/>
      <c r="O493" s="25"/>
      <c r="P493" s="25"/>
      <c r="Q493" s="25"/>
      <c r="R493" s="25"/>
      <c r="S493" s="25"/>
      <c r="T493" s="353" t="b" cm="1">
        <f t="array" ref="T493">T492</f>
        <v>1</v>
      </c>
      <c r="U493" s="25"/>
      <c r="V493" s="25"/>
      <c r="W493" s="25"/>
      <c r="X493" s="1022"/>
      <c r="Z493" s="967"/>
      <c r="AB493" s="7" t="s">
        <v>2015</v>
      </c>
      <c r="AC493" s="543" t="s">
        <v>1229</v>
      </c>
      <c r="AD493" s="7" t="s">
        <v>828</v>
      </c>
      <c r="AE493" s="171">
        <f ca="1">SUMIFS(Административные!AE$25:AE$103,Административные!$F$25:$F$103,$F493,Административные!$G$25:$G$103,$G493)</f>
        <v>0</v>
      </c>
      <c r="AF493" s="171">
        <f ca="1">SUMIFS(Административные!AF$25:AF$103,Административные!$F$25:$F$103,$F493,Административные!$G$25:$G$103,$G493)</f>
        <v>0</v>
      </c>
      <c r="AG493" s="171">
        <f ca="1">SUMIFS(Административные!AG$25:AG$103,Административные!$F$25:$F$103,$F493,Административные!$G$25:$G$103,$G493)</f>
        <v>0</v>
      </c>
      <c r="AH493" s="171">
        <f t="shared" ca="1" si="149"/>
        <v>0</v>
      </c>
      <c r="AI493" s="171">
        <f ca="1">SUMIFS(Административные!AH$25:AH$103,Административные!$F$25:$F$103,$F493,Административные!$G$25:$G$103,$G493)</f>
        <v>0</v>
      </c>
      <c r="AJ493" s="171">
        <f ca="1">SUMIFS(Административные!AI$25:AI$103,Административные!$F$25:$F$103,$F493,Административные!$G$25:$G$103,$G493)</f>
        <v>0</v>
      </c>
      <c r="AK493" s="542"/>
      <c r="AL493" s="542"/>
      <c r="AM493" s="542"/>
      <c r="AN493" s="542"/>
      <c r="AO493" s="542"/>
      <c r="AP493" s="542"/>
      <c r="AQ493" s="542"/>
      <c r="AR493" s="542"/>
      <c r="AS493" s="542"/>
      <c r="AT493" s="171">
        <f ca="1">SUMIFS(Административные!AJ$25:AJ$103,Административные!$F$25:$F$103,$F493,Административные!$G$25:$G$103,$G493)</f>
        <v>0</v>
      </c>
      <c r="AU493" s="542"/>
      <c r="AV493" s="542"/>
      <c r="AW493" s="542"/>
      <c r="AX493" s="542"/>
      <c r="AY493" s="542"/>
      <c r="AZ493" s="542"/>
      <c r="BA493" s="542"/>
      <c r="BB493" s="542"/>
      <c r="BC493" s="542"/>
      <c r="BD493" s="171">
        <f t="shared" ca="1" si="150"/>
        <v>0</v>
      </c>
      <c r="BE493" s="542"/>
      <c r="BF493" s="542"/>
      <c r="BG493" s="542"/>
      <c r="BH493" s="542"/>
      <c r="BI493" s="542"/>
      <c r="BJ493" s="542"/>
      <c r="BK493" s="542"/>
      <c r="BL493" s="542"/>
      <c r="BM493" s="542"/>
      <c r="BN493" s="196"/>
      <c r="BO493" s="601" t="str">
        <f ca="1">IF(IFERROR(INDEX(Административные!$K$26:$L$103,MATCH($F493&amp;"16komm",Административные!$K$26:$K$103,0),2),"")=0,"",IFERROR(INDEX(Административные!$K$26:$L$103,MATCH($F493&amp;"16komm",Административные!$K$26:$K$103,0),2),""))</f>
        <v/>
      </c>
      <c r="BP493" s="196"/>
      <c r="BS493" s="696" t="s">
        <v>2016</v>
      </c>
    </row>
    <row r="494" spans="1:75" ht="21.75" customHeight="1" x14ac:dyDescent="0.25">
      <c r="C494" s="25"/>
      <c r="D494" s="25"/>
      <c r="E494" s="451">
        <v>22.5</v>
      </c>
      <c r="F494" s="3" t="str" cm="1">
        <f t="array" aca="1" ref="F494" ca="1">OFFSET(E494,-1,1)</f>
        <v>3</v>
      </c>
      <c r="G494" s="25"/>
      <c r="H494" s="577"/>
      <c r="I494" s="577" t="s">
        <v>1372</v>
      </c>
      <c r="J494" s="25"/>
      <c r="K494" s="277" t="s">
        <v>1372</v>
      </c>
      <c r="L494" s="25" t="s">
        <v>971</v>
      </c>
      <c r="M494" s="25"/>
      <c r="N494" s="25"/>
      <c r="O494" s="25"/>
      <c r="P494" s="25"/>
      <c r="Q494" s="25"/>
      <c r="R494" s="25"/>
      <c r="S494" s="25"/>
      <c r="T494" s="353" t="b" cm="1">
        <f t="array" ref="T494">T493</f>
        <v>1</v>
      </c>
      <c r="U494" s="25"/>
      <c r="V494" s="25"/>
      <c r="W494" s="25"/>
      <c r="X494" s="1022"/>
      <c r="Z494" s="967"/>
      <c r="AB494" s="7" t="s">
        <v>1090</v>
      </c>
      <c r="AC494" s="134" t="s">
        <v>2017</v>
      </c>
      <c r="AD494" s="7" t="s">
        <v>828</v>
      </c>
      <c r="AE494" s="171">
        <f ca="1">AE495+AE496</f>
        <v>0</v>
      </c>
      <c r="AF494" s="171">
        <f ca="1">AF495+AF496</f>
        <v>0</v>
      </c>
      <c r="AG494" s="171">
        <f ca="1">AG495+AG496</f>
        <v>0</v>
      </c>
      <c r="AH494" s="171">
        <f t="shared" ca="1" si="149"/>
        <v>0</v>
      </c>
      <c r="AI494" s="171">
        <f ca="1">AI495+AI496</f>
        <v>0</v>
      </c>
      <c r="AJ494" s="171">
        <f ca="1">AJ495+AJ496</f>
        <v>0</v>
      </c>
      <c r="AK494" s="542"/>
      <c r="AL494" s="542"/>
      <c r="AM494" s="542"/>
      <c r="AN494" s="542"/>
      <c r="AO494" s="542"/>
      <c r="AP494" s="542"/>
      <c r="AQ494" s="542"/>
      <c r="AR494" s="542"/>
      <c r="AS494" s="542"/>
      <c r="AT494" s="171">
        <f ca="1">AT495+AT496</f>
        <v>0</v>
      </c>
      <c r="AU494" s="542"/>
      <c r="AV494" s="542"/>
      <c r="AW494" s="542"/>
      <c r="AX494" s="542"/>
      <c r="AY494" s="542"/>
      <c r="AZ494" s="542"/>
      <c r="BA494" s="542"/>
      <c r="BB494" s="542"/>
      <c r="BC494" s="542"/>
      <c r="BD494" s="171">
        <f t="shared" ca="1" si="150"/>
        <v>0</v>
      </c>
      <c r="BE494" s="542"/>
      <c r="BF494" s="542"/>
      <c r="BG494" s="542"/>
      <c r="BH494" s="542"/>
      <c r="BI494" s="542"/>
      <c r="BJ494" s="542"/>
      <c r="BK494" s="542"/>
      <c r="BL494" s="542"/>
      <c r="BM494" s="542"/>
      <c r="BN494" s="196"/>
      <c r="BO494" s="196"/>
      <c r="BP494" s="196"/>
      <c r="BS494" s="694" t="s">
        <v>1822</v>
      </c>
    </row>
    <row r="495" spans="1:75" ht="14.25" customHeight="1" x14ac:dyDescent="0.25">
      <c r="C495" s="25"/>
      <c r="D495" s="25"/>
      <c r="E495" s="451">
        <v>15</v>
      </c>
      <c r="F495" s="3" t="str" cm="1">
        <f t="array" aca="1" ref="F495" ca="1">OFFSET(E495,-1,1)</f>
        <v>3</v>
      </c>
      <c r="G495" s="25" t="s">
        <v>1185</v>
      </c>
      <c r="H495" s="577"/>
      <c r="I495" s="577" t="s">
        <v>2018</v>
      </c>
      <c r="J495" s="25"/>
      <c r="K495" s="277" t="s">
        <v>2018</v>
      </c>
      <c r="L495" s="25" t="s">
        <v>518</v>
      </c>
      <c r="M495" s="25"/>
      <c r="N495" s="25"/>
      <c r="O495" s="25"/>
      <c r="P495" s="25"/>
      <c r="Q495" s="25"/>
      <c r="R495" s="25"/>
      <c r="S495" s="25"/>
      <c r="T495" s="353" t="b" cm="1">
        <f t="array" ref="T495">T494</f>
        <v>1</v>
      </c>
      <c r="U495" s="25"/>
      <c r="V495" s="25"/>
      <c r="W495" s="25"/>
      <c r="X495" s="1022"/>
      <c r="Z495" s="967"/>
      <c r="AB495" s="7" t="s">
        <v>2019</v>
      </c>
      <c r="AC495" s="543" t="s">
        <v>1823</v>
      </c>
      <c r="AD495" s="545" t="s">
        <v>828</v>
      </c>
      <c r="AE495" s="171">
        <f ca="1">SUMIFS(ФОТ!AE$25:AE$127,ФОТ!$F$25:$F$127,$F495,ФОТ!$G$25:$G$127,$G495)</f>
        <v>0</v>
      </c>
      <c r="AF495" s="171">
        <f ca="1">SUMIFS(ФОТ!AF$25:AF$127,ФОТ!$F$25:$F$127,$F495,ФОТ!$G$25:$G$127,$G495)</f>
        <v>0</v>
      </c>
      <c r="AG495" s="171">
        <f ca="1">SUMIFS(ФОТ!AG$25:AG$127,ФОТ!$F$25:$F$127,$F495,ФОТ!$G$25:$G$127,$G495)</f>
        <v>0</v>
      </c>
      <c r="AH495" s="171">
        <f t="shared" ca="1" si="149"/>
        <v>0</v>
      </c>
      <c r="AI495" s="171">
        <f ca="1">SUMIFS(ФОТ!AH$25:AH$127,ФОТ!$F$25:$F$127,$F495,ФОТ!$G$25:$G$127,$G495)</f>
        <v>0</v>
      </c>
      <c r="AJ495" s="171">
        <f ca="1">SUMIFS(ФОТ!AI$25:AI$127,ФОТ!$F$25:$F$127,$F495,ФОТ!$G$25:$G$127,$G495)</f>
        <v>0</v>
      </c>
      <c r="AK495" s="542"/>
      <c r="AL495" s="542"/>
      <c r="AM495" s="542"/>
      <c r="AN495" s="542"/>
      <c r="AO495" s="542"/>
      <c r="AP495" s="542"/>
      <c r="AQ495" s="542"/>
      <c r="AR495" s="542"/>
      <c r="AS495" s="542"/>
      <c r="AT495" s="171">
        <f ca="1">SUMIFS(ФОТ!AJ$25:AJ$127,ФОТ!$F$25:$F$127,$F495,ФОТ!$G$25:$G$127,$G495)</f>
        <v>0</v>
      </c>
      <c r="AU495" s="542"/>
      <c r="AV495" s="542"/>
      <c r="AW495" s="542"/>
      <c r="AX495" s="542"/>
      <c r="AY495" s="542"/>
      <c r="AZ495" s="542"/>
      <c r="BA495" s="542"/>
      <c r="BB495" s="542"/>
      <c r="BC495" s="542"/>
      <c r="BD495" s="171">
        <f t="shared" ca="1" si="150"/>
        <v>0</v>
      </c>
      <c r="BE495" s="542"/>
      <c r="BF495" s="542"/>
      <c r="BG495" s="542"/>
      <c r="BH495" s="542"/>
      <c r="BI495" s="542"/>
      <c r="BJ495" s="542"/>
      <c r="BK495" s="542"/>
      <c r="BL495" s="542"/>
      <c r="BM495" s="542"/>
      <c r="BN495" s="196"/>
      <c r="BO495" s="601" t="str">
        <f ca="1">IF(IFERROR(INDEX(ФОТ!$K$26:$L$127,MATCH($F495&amp;"5komm",ФОТ!$K$26:$K$127,0),2),"")=0,"",IFERROR(INDEX(ФОТ!$K$26:$L$127,MATCH($F495&amp;"5komm",ФОТ!$K$26:$K$127,0),2),""))</f>
        <v/>
      </c>
      <c r="BP495" s="196"/>
      <c r="BS495" s="694" t="s">
        <v>1202</v>
      </c>
    </row>
    <row r="496" spans="1:75" ht="21.75" customHeight="1" x14ac:dyDescent="0.25">
      <c r="C496" s="25"/>
      <c r="D496" s="25"/>
      <c r="E496" s="451">
        <v>22.5</v>
      </c>
      <c r="F496" s="3" t="str" cm="1">
        <f t="array" aca="1" ref="F496" ca="1">OFFSET(E496,-1,1)</f>
        <v>3</v>
      </c>
      <c r="G496" s="25" t="s">
        <v>1190</v>
      </c>
      <c r="H496" s="577"/>
      <c r="I496" s="577" t="s">
        <v>2020</v>
      </c>
      <c r="J496" s="25"/>
      <c r="K496" s="277" t="s">
        <v>2020</v>
      </c>
      <c r="L496" s="25" t="s">
        <v>523</v>
      </c>
      <c r="M496" s="25"/>
      <c r="N496" s="25"/>
      <c r="O496" s="25"/>
      <c r="P496" s="25"/>
      <c r="Q496" s="25"/>
      <c r="R496" s="25"/>
      <c r="S496" s="25"/>
      <c r="T496" s="353" t="b" cm="1">
        <f t="array" ref="T496">T495</f>
        <v>1</v>
      </c>
      <c r="U496" s="25"/>
      <c r="V496" s="25"/>
      <c r="W496" s="25"/>
      <c r="X496" s="1022"/>
      <c r="Z496" s="967"/>
      <c r="AB496" s="7" t="s">
        <v>2021</v>
      </c>
      <c r="AC496" s="543" t="s">
        <v>2022</v>
      </c>
      <c r="AD496" s="7" t="s">
        <v>828</v>
      </c>
      <c r="AE496" s="171">
        <f ca="1">SUMIFS(ФОТ!AE$25:AE$127,ФОТ!$F$25:$F$127,$F496,ФОТ!$G$25:$G$127,$G496)</f>
        <v>0</v>
      </c>
      <c r="AF496" s="171">
        <f ca="1">SUMIFS(ФОТ!AF$25:AF$127,ФОТ!$F$25:$F$127,$F496,ФОТ!$G$25:$G$127,$G496)</f>
        <v>0</v>
      </c>
      <c r="AG496" s="171">
        <f ca="1">SUMIFS(ФОТ!AG$25:AG$127,ФОТ!$F$25:$F$127,$F496,ФОТ!$G$25:$G$127,$G496)</f>
        <v>0</v>
      </c>
      <c r="AH496" s="171">
        <f t="shared" ca="1" si="149"/>
        <v>0</v>
      </c>
      <c r="AI496" s="171">
        <f ca="1">SUMIFS(ФОТ!AH$25:AH$127,ФОТ!$F$25:$F$127,$F496,ФОТ!$G$25:$G$127,$G496)</f>
        <v>0</v>
      </c>
      <c r="AJ496" s="171">
        <f ca="1">SUMIFS(ФОТ!AI$25:AI$127,ФОТ!$F$25:$F$127,$F496,ФОТ!$G$25:$G$127,$G496)</f>
        <v>0</v>
      </c>
      <c r="AK496" s="542"/>
      <c r="AL496" s="542"/>
      <c r="AM496" s="542"/>
      <c r="AN496" s="542"/>
      <c r="AO496" s="542"/>
      <c r="AP496" s="542"/>
      <c r="AQ496" s="542"/>
      <c r="AR496" s="542"/>
      <c r="AS496" s="542"/>
      <c r="AT496" s="171">
        <f ca="1">SUMIFS(ФОТ!AJ$25:AJ$127,ФОТ!$F$25:$F$127,$F496,ФОТ!$G$25:$G$127,$G496)</f>
        <v>0</v>
      </c>
      <c r="AU496" s="542"/>
      <c r="AV496" s="542"/>
      <c r="AW496" s="542"/>
      <c r="AX496" s="542"/>
      <c r="AY496" s="542"/>
      <c r="AZ496" s="542"/>
      <c r="BA496" s="542"/>
      <c r="BB496" s="542"/>
      <c r="BC496" s="542"/>
      <c r="BD496" s="171">
        <f t="shared" ca="1" si="150"/>
        <v>0</v>
      </c>
      <c r="BE496" s="542"/>
      <c r="BF496" s="542"/>
      <c r="BG496" s="542"/>
      <c r="BH496" s="542"/>
      <c r="BI496" s="542"/>
      <c r="BJ496" s="542"/>
      <c r="BK496" s="542"/>
      <c r="BL496" s="542"/>
      <c r="BM496" s="542"/>
      <c r="BN496" s="196"/>
      <c r="BO496" s="601" t="str">
        <f ca="1">IF(IFERROR(INDEX(ФОТ!$K$26:$L$127,MATCH($F496&amp;"6komm",ФОТ!$K$26:$K$127,0),2),"")=0,"",IFERROR(INDEX(ФОТ!$K$26:$L$127,MATCH($F496&amp;"6komm",ФОТ!$K$26:$K$127,0),2),""))</f>
        <v/>
      </c>
      <c r="BP496" s="196"/>
      <c r="BS496" s="694" t="s">
        <v>1825</v>
      </c>
    </row>
    <row r="497" spans="1:75" ht="32.25" customHeight="1" x14ac:dyDescent="0.25">
      <c r="C497" s="25"/>
      <c r="D497" s="25"/>
      <c r="E497" s="451">
        <v>33.75</v>
      </c>
      <c r="F497" s="3" t="str" cm="1">
        <f t="array" aca="1" ref="F497" ca="1">OFFSET(E497,-1,1)</f>
        <v>3</v>
      </c>
      <c r="G497" s="571" t="s">
        <v>1231</v>
      </c>
      <c r="H497" s="577"/>
      <c r="I497" s="577" t="s">
        <v>1375</v>
      </c>
      <c r="J497" s="25"/>
      <c r="K497" s="277" t="s">
        <v>1375</v>
      </c>
      <c r="L497" s="25" t="s">
        <v>973</v>
      </c>
      <c r="M497" s="25"/>
      <c r="N497" s="25"/>
      <c r="O497" s="25"/>
      <c r="P497" s="25"/>
      <c r="Q497" s="25"/>
      <c r="R497" s="25"/>
      <c r="S497" s="25"/>
      <c r="T497" s="353" t="b" cm="1">
        <f t="array" ref="T497">T496</f>
        <v>1</v>
      </c>
      <c r="U497" s="25"/>
      <c r="V497" s="25"/>
      <c r="W497" s="25"/>
      <c r="X497" s="1022"/>
      <c r="Z497" s="967"/>
      <c r="AB497" s="7" t="s">
        <v>1376</v>
      </c>
      <c r="AC497" s="134" t="s">
        <v>2023</v>
      </c>
      <c r="AD497" s="7" t="s">
        <v>828</v>
      </c>
      <c r="AE497" s="171">
        <f ca="1">SUMIFS(Административные!AE$25:AE$103,Административные!$F$25:$F$103,$F497,Административные!$G$25:$G$103,$G497)</f>
        <v>0</v>
      </c>
      <c r="AF497" s="171">
        <f ca="1">SUMIFS(Административные!AF$25:AF$103,Административные!$F$25:$F$103,$F497,Административные!$G$25:$G$103,$G497)</f>
        <v>0</v>
      </c>
      <c r="AG497" s="171">
        <f ca="1">SUMIFS(Административные!AG$25:AG$103,Административные!$F$25:$F$103,$F497,Административные!$G$25:$G$103,$G497)</f>
        <v>0</v>
      </c>
      <c r="AH497" s="171">
        <f t="shared" ca="1" si="149"/>
        <v>0</v>
      </c>
      <c r="AI497" s="171">
        <f ca="1">SUMIFS(Административные!AH$25:AH$103,Административные!$F$25:$F$103,$F497,Административные!$G$25:$G$103,$G497)</f>
        <v>0</v>
      </c>
      <c r="AJ497" s="171">
        <f ca="1">SUMIFS(Административные!AI$25:AI$103,Административные!$F$25:$F$103,$F497,Административные!$G$25:$G$103,$G497)</f>
        <v>0</v>
      </c>
      <c r="AK497" s="542"/>
      <c r="AL497" s="542"/>
      <c r="AM497" s="542"/>
      <c r="AN497" s="542"/>
      <c r="AO497" s="542"/>
      <c r="AP497" s="542"/>
      <c r="AQ497" s="542"/>
      <c r="AR497" s="542"/>
      <c r="AS497" s="542"/>
      <c r="AT497" s="171">
        <f ca="1">SUMIFS(Административные!AJ$25:AJ$103,Административные!$F$25:$F$103,$F497,Административные!$G$25:$G$103,$G497)</f>
        <v>0</v>
      </c>
      <c r="AU497" s="542"/>
      <c r="AV497" s="542"/>
      <c r="AW497" s="542"/>
      <c r="AX497" s="542"/>
      <c r="AY497" s="542"/>
      <c r="AZ497" s="542"/>
      <c r="BA497" s="542"/>
      <c r="BB497" s="542"/>
      <c r="BC497" s="542"/>
      <c r="BD497" s="171">
        <f t="shared" ca="1" si="150"/>
        <v>0</v>
      </c>
      <c r="BE497" s="542"/>
      <c r="BF497" s="542"/>
      <c r="BG497" s="542"/>
      <c r="BH497" s="542"/>
      <c r="BI497" s="542"/>
      <c r="BJ497" s="542"/>
      <c r="BK497" s="542"/>
      <c r="BL497" s="542"/>
      <c r="BM497" s="542"/>
      <c r="BN497" s="196"/>
      <c r="BO497" s="601" t="str">
        <f ca="1">IF(IFERROR(INDEX(Административные!$K$26:$L$103,MATCH($F497&amp;"2komm",Административные!$K$26:$K$103,0),2),"")=0,"",IFERROR(INDEX(Административные!$K$26:$L$103,MATCH($F497&amp;"2komm",Административные!$K$26:$K$103,0),2),""))</f>
        <v/>
      </c>
      <c r="BP497" s="196"/>
      <c r="BS497" s="694" t="s">
        <v>1233</v>
      </c>
    </row>
    <row r="498" spans="1:75" ht="14.25" customHeight="1" x14ac:dyDescent="0.25">
      <c r="C498" s="25"/>
      <c r="D498" s="25"/>
      <c r="E498" s="451">
        <v>15</v>
      </c>
      <c r="F498" s="3" t="str" cm="1">
        <f t="array" aca="1" ref="F498" ca="1">OFFSET(E498,-1,1)</f>
        <v>3</v>
      </c>
      <c r="G498" s="571" t="s">
        <v>1234</v>
      </c>
      <c r="H498" s="577"/>
      <c r="I498" s="577" t="s">
        <v>1379</v>
      </c>
      <c r="J498" s="25"/>
      <c r="K498" s="277" t="s">
        <v>1379</v>
      </c>
      <c r="L498" s="25" t="s">
        <v>975</v>
      </c>
      <c r="M498" s="25"/>
      <c r="N498" s="25"/>
      <c r="O498" s="25"/>
      <c r="P498" s="25"/>
      <c r="Q498" s="25"/>
      <c r="R498" s="25"/>
      <c r="S498" s="25"/>
      <c r="T498" s="353" t="b" cm="1">
        <f t="array" ref="T498">T497</f>
        <v>1</v>
      </c>
      <c r="U498" s="25"/>
      <c r="V498" s="25"/>
      <c r="W498" s="25"/>
      <c r="X498" s="1022"/>
      <c r="Z498" s="967"/>
      <c r="AB498" s="7" t="s">
        <v>1380</v>
      </c>
      <c r="AC498" s="134" t="s">
        <v>2024</v>
      </c>
      <c r="AD498" s="7" t="s">
        <v>828</v>
      </c>
      <c r="AE498" s="171">
        <f ca="1">SUMIFS(Административные!AE$25:AE$103,Административные!$F$25:$F$103,$F498,Административные!$G$25:$G$103,$G498)</f>
        <v>0</v>
      </c>
      <c r="AF498" s="171">
        <f ca="1">SUMIFS(Административные!AF$25:AF$103,Административные!$F$25:$F$103,$F498,Административные!$G$25:$G$103,$G498)</f>
        <v>0</v>
      </c>
      <c r="AG498" s="171">
        <f ca="1">SUMIFS(Административные!AG$25:AG$103,Административные!$F$25:$F$103,$F498,Административные!$G$25:$G$103,$G498)</f>
        <v>0</v>
      </c>
      <c r="AH498" s="171">
        <f t="shared" ca="1" si="149"/>
        <v>0</v>
      </c>
      <c r="AI498" s="171">
        <f ca="1">SUMIFS(Административные!AH$25:AH$103,Административные!$F$25:$F$103,$F498,Административные!$G$25:$G$103,$G498)</f>
        <v>0</v>
      </c>
      <c r="AJ498" s="171">
        <f ca="1">SUMIFS(Административные!AI$25:AI$103,Административные!$F$25:$F$103,$F498,Административные!$G$25:$G$103,$G498)</f>
        <v>0</v>
      </c>
      <c r="AK498" s="542"/>
      <c r="AL498" s="542"/>
      <c r="AM498" s="542"/>
      <c r="AN498" s="542"/>
      <c r="AO498" s="542"/>
      <c r="AP498" s="542"/>
      <c r="AQ498" s="542"/>
      <c r="AR498" s="542"/>
      <c r="AS498" s="542"/>
      <c r="AT498" s="171">
        <f ca="1">SUMIFS(Административные!AJ$25:AJ$103,Административные!$F$25:$F$103,$F498,Административные!$G$25:$G$103,$G498)</f>
        <v>0</v>
      </c>
      <c r="AU498" s="542"/>
      <c r="AV498" s="542"/>
      <c r="AW498" s="542"/>
      <c r="AX498" s="542"/>
      <c r="AY498" s="542"/>
      <c r="AZ498" s="542"/>
      <c r="BA498" s="542"/>
      <c r="BB498" s="542"/>
      <c r="BC498" s="542"/>
      <c r="BD498" s="171">
        <f t="shared" ca="1" si="150"/>
        <v>0</v>
      </c>
      <c r="BE498" s="542"/>
      <c r="BF498" s="542"/>
      <c r="BG498" s="542"/>
      <c r="BH498" s="542"/>
      <c r="BI498" s="542"/>
      <c r="BJ498" s="542"/>
      <c r="BK498" s="542"/>
      <c r="BL498" s="542"/>
      <c r="BM498" s="542"/>
      <c r="BN498" s="196"/>
      <c r="BO498" s="601" t="str">
        <f ca="1">IF(IFERROR(INDEX(Административные!$K$26:$L$103,MATCH($F498&amp;"3komm",Административные!$K$26:$K$103,0),2),"")=0,"",IFERROR(INDEX(Административные!$K$26:$L$103,MATCH($F498&amp;"3komm",Административные!$K$26:$K$103,0),2),""))</f>
        <v/>
      </c>
      <c r="BP498" s="196"/>
      <c r="BS498" s="694" t="s">
        <v>1236</v>
      </c>
    </row>
    <row r="499" spans="1:75" ht="14.25" customHeight="1" x14ac:dyDescent="0.25">
      <c r="C499" s="25"/>
      <c r="D499" s="25"/>
      <c r="E499" s="451">
        <v>15</v>
      </c>
      <c r="F499" s="3" t="str" cm="1">
        <f t="array" aca="1" ref="F499" ca="1">OFFSET(E499,-1,1)</f>
        <v>3</v>
      </c>
      <c r="G499" s="571" t="s">
        <v>1237</v>
      </c>
      <c r="H499" s="577"/>
      <c r="I499" s="577" t="s">
        <v>2025</v>
      </c>
      <c r="J499" s="25"/>
      <c r="K499" s="277" t="s">
        <v>2025</v>
      </c>
      <c r="L499" s="25" t="s">
        <v>978</v>
      </c>
      <c r="M499" s="25"/>
      <c r="N499" s="25"/>
      <c r="O499" s="25"/>
      <c r="P499" s="25"/>
      <c r="Q499" s="25"/>
      <c r="R499" s="25"/>
      <c r="S499" s="25"/>
      <c r="T499" s="353" t="b" cm="1">
        <f t="array" ref="T499">T498</f>
        <v>1</v>
      </c>
      <c r="U499" s="25"/>
      <c r="V499" s="25"/>
      <c r="W499" s="25"/>
      <c r="X499" s="1022"/>
      <c r="Z499" s="967"/>
      <c r="AB499" s="7" t="s">
        <v>2026</v>
      </c>
      <c r="AC499" s="134" t="s">
        <v>2027</v>
      </c>
      <c r="AD499" s="7" t="s">
        <v>828</v>
      </c>
      <c r="AE499" s="171">
        <f ca="1">SUMIFS(Административные!AE$25:AE$103,Административные!$F$25:$F$103,$F499,Административные!$G$25:$G$103,$G499)</f>
        <v>0</v>
      </c>
      <c r="AF499" s="171">
        <f ca="1">SUMIFS(Административные!AF$25:AF$103,Административные!$F$25:$F$103,$F499,Административные!$G$25:$G$103,$G499)</f>
        <v>0</v>
      </c>
      <c r="AG499" s="171">
        <f ca="1">SUMIFS(Административные!AG$25:AG$103,Административные!$F$25:$F$103,$F499,Административные!$G$25:$G$103,$G499)</f>
        <v>0</v>
      </c>
      <c r="AH499" s="171">
        <f t="shared" ca="1" si="149"/>
        <v>0</v>
      </c>
      <c r="AI499" s="171">
        <f ca="1">SUMIFS(Административные!AH$25:AH$103,Административные!$F$25:$F$103,$F499,Административные!$G$25:$G$103,$G499)</f>
        <v>0</v>
      </c>
      <c r="AJ499" s="171">
        <f ca="1">SUMIFS(Административные!AI$25:AI$103,Административные!$F$25:$F$103,$F499,Административные!$G$25:$G$103,$G499)</f>
        <v>0</v>
      </c>
      <c r="AK499" s="542"/>
      <c r="AL499" s="542"/>
      <c r="AM499" s="542"/>
      <c r="AN499" s="542"/>
      <c r="AO499" s="542"/>
      <c r="AP499" s="542"/>
      <c r="AQ499" s="542"/>
      <c r="AR499" s="542"/>
      <c r="AS499" s="542"/>
      <c r="AT499" s="171">
        <f ca="1">SUMIFS(Административные!AJ$25:AJ$103,Административные!$F$25:$F$103,$F499,Административные!$G$25:$G$103,$G499)</f>
        <v>0</v>
      </c>
      <c r="AU499" s="542"/>
      <c r="AV499" s="542"/>
      <c r="AW499" s="542"/>
      <c r="AX499" s="542"/>
      <c r="AY499" s="542"/>
      <c r="AZ499" s="542"/>
      <c r="BA499" s="542"/>
      <c r="BB499" s="542"/>
      <c r="BC499" s="542"/>
      <c r="BD499" s="171">
        <f t="shared" ca="1" si="150"/>
        <v>0</v>
      </c>
      <c r="BE499" s="542"/>
      <c r="BF499" s="542"/>
      <c r="BG499" s="542"/>
      <c r="BH499" s="542"/>
      <c r="BI499" s="542"/>
      <c r="BJ499" s="542"/>
      <c r="BK499" s="542"/>
      <c r="BL499" s="542"/>
      <c r="BM499" s="542"/>
      <c r="BN499" s="196"/>
      <c r="BO499" s="601" t="str">
        <f ca="1">IF(IFERROR(INDEX(Административные!$K$26:$L$103,MATCH($F499&amp;"4komm",Административные!$K$26:$K$103,0),2),"")=0,"",IFERROR(INDEX(Административные!$K$26:$L$103,MATCH($F499&amp;"4komm",Административные!$K$26:$K$103,0),2),""))</f>
        <v/>
      </c>
      <c r="BP499" s="196"/>
      <c r="BS499" s="694" t="s">
        <v>1239</v>
      </c>
    </row>
    <row r="500" spans="1:75" ht="14.25" customHeight="1" x14ac:dyDescent="0.25">
      <c r="C500" s="25"/>
      <c r="D500" s="25"/>
      <c r="E500" s="451">
        <v>15</v>
      </c>
      <c r="F500" s="3" t="str" cm="1">
        <f t="array" aca="1" ref="F500" ca="1">OFFSET(E500,-1,1)</f>
        <v>3</v>
      </c>
      <c r="G500" s="571" t="s">
        <v>1240</v>
      </c>
      <c r="H500" s="577"/>
      <c r="I500" s="577" t="s">
        <v>2028</v>
      </c>
      <c r="J500" s="25"/>
      <c r="K500" s="277" t="s">
        <v>2028</v>
      </c>
      <c r="L500" s="25" t="s">
        <v>1222</v>
      </c>
      <c r="M500" s="25"/>
      <c r="N500" s="25"/>
      <c r="O500" s="25"/>
      <c r="P500" s="25"/>
      <c r="Q500" s="25"/>
      <c r="R500" s="25"/>
      <c r="S500" s="25"/>
      <c r="T500" s="353" t="b" cm="1">
        <f t="array" ref="T500">T499</f>
        <v>1</v>
      </c>
      <c r="U500" s="25"/>
      <c r="V500" s="25"/>
      <c r="W500" s="25"/>
      <c r="X500" s="1022"/>
      <c r="Z500" s="967"/>
      <c r="AB500" s="7" t="s">
        <v>2029</v>
      </c>
      <c r="AC500" s="134" t="s">
        <v>2030</v>
      </c>
      <c r="AD500" s="7" t="s">
        <v>828</v>
      </c>
      <c r="AE500" s="171">
        <f ca="1">SUMIFS(Административные!AE$25:AE$103,Административные!$F$25:$F$103,$F500,Административные!$G$25:$G$103,$G500)</f>
        <v>0</v>
      </c>
      <c r="AF500" s="171">
        <f ca="1">SUMIFS(Административные!AF$25:AF$103,Административные!$F$25:$F$103,$F500,Административные!$G$25:$G$103,$G500)</f>
        <v>0</v>
      </c>
      <c r="AG500" s="171">
        <f ca="1">SUMIFS(Административные!AG$25:AG$103,Административные!$F$25:$F$103,$F500,Административные!$G$25:$G$103,$G500)</f>
        <v>0</v>
      </c>
      <c r="AH500" s="171">
        <f t="shared" ca="1" si="149"/>
        <v>0</v>
      </c>
      <c r="AI500" s="171">
        <f ca="1">SUMIFS(Административные!AH$25:AH$103,Административные!$F$25:$F$103,$F500,Административные!$G$25:$G$103,$G500)</f>
        <v>0</v>
      </c>
      <c r="AJ500" s="171">
        <f ca="1">SUMIFS(Административные!AI$25:AI$103,Административные!$F$25:$F$103,$F500,Административные!$G$25:$G$103,$G500)</f>
        <v>0</v>
      </c>
      <c r="AK500" s="542"/>
      <c r="AL500" s="542"/>
      <c r="AM500" s="542"/>
      <c r="AN500" s="542"/>
      <c r="AO500" s="542"/>
      <c r="AP500" s="542"/>
      <c r="AQ500" s="542"/>
      <c r="AR500" s="542"/>
      <c r="AS500" s="542"/>
      <c r="AT500" s="171">
        <f ca="1">SUMIFS(Административные!AJ$25:AJ$103,Административные!$F$25:$F$103,$F500,Административные!$G$25:$G$103,$G500)</f>
        <v>0</v>
      </c>
      <c r="AU500" s="542"/>
      <c r="AV500" s="542"/>
      <c r="AW500" s="542"/>
      <c r="AX500" s="542"/>
      <c r="AY500" s="542"/>
      <c r="AZ500" s="542"/>
      <c r="BA500" s="542"/>
      <c r="BB500" s="542"/>
      <c r="BC500" s="542"/>
      <c r="BD500" s="171">
        <f t="shared" ca="1" si="150"/>
        <v>0</v>
      </c>
      <c r="BE500" s="542"/>
      <c r="BF500" s="542"/>
      <c r="BG500" s="542"/>
      <c r="BH500" s="542"/>
      <c r="BI500" s="542"/>
      <c r="BJ500" s="542"/>
      <c r="BK500" s="542"/>
      <c r="BL500" s="542"/>
      <c r="BM500" s="542"/>
      <c r="BN500" s="196"/>
      <c r="BO500" s="601" t="str">
        <f ca="1">IF(IFERROR(INDEX(Административные!$K$26:$L$103,MATCH($F500&amp;"5komm",Административные!$K$26:$K$103,0),2),"")=0,"",IFERROR(INDEX(Административные!$K$26:$L$103,MATCH($F500&amp;"5komm",Административные!$K$26:$K$103,0),2),""))</f>
        <v/>
      </c>
      <c r="BP500" s="196"/>
      <c r="BS500" s="694" t="s">
        <v>1827</v>
      </c>
    </row>
    <row r="501" spans="1:75" ht="14.25" customHeight="1" x14ac:dyDescent="0.25">
      <c r="C501" s="25"/>
      <c r="D501" s="25"/>
      <c r="E501" s="451">
        <v>15</v>
      </c>
      <c r="F501" s="3" t="str" cm="1">
        <f t="array" aca="1" ref="F501" ca="1">OFFSET(E501,-1,1)</f>
        <v>3</v>
      </c>
      <c r="G501" s="571" t="s">
        <v>1243</v>
      </c>
      <c r="H501" s="577"/>
      <c r="I501" s="577" t="s">
        <v>2031</v>
      </c>
      <c r="J501" s="25"/>
      <c r="K501" s="277" t="s">
        <v>2031</v>
      </c>
      <c r="L501" s="25" t="s">
        <v>1227</v>
      </c>
      <c r="M501" s="25"/>
      <c r="N501" s="25"/>
      <c r="O501" s="25"/>
      <c r="P501" s="25"/>
      <c r="Q501" s="25"/>
      <c r="R501" s="25"/>
      <c r="S501" s="25"/>
      <c r="T501" s="353" t="b" cm="1">
        <f t="array" ref="T501">T500</f>
        <v>1</v>
      </c>
      <c r="U501" s="25"/>
      <c r="V501" s="25"/>
      <c r="W501" s="25"/>
      <c r="X501" s="1022"/>
      <c r="Z501" s="967"/>
      <c r="AB501" s="7" t="s">
        <v>2032</v>
      </c>
      <c r="AC501" s="134" t="s">
        <v>2033</v>
      </c>
      <c r="AD501" s="7" t="s">
        <v>828</v>
      </c>
      <c r="AE501" s="171">
        <f ca="1">SUMIFS(Административные!AE$25:AE$103,Административные!$F$25:$F$103,$F501,Административные!$G$25:$G$103,$G501)</f>
        <v>0</v>
      </c>
      <c r="AF501" s="171">
        <f ca="1">SUMIFS(Административные!AF$25:AF$103,Административные!$F$25:$F$103,$F501,Административные!$G$25:$G$103,$G501)</f>
        <v>0</v>
      </c>
      <c r="AG501" s="171">
        <f ca="1">SUMIFS(Административные!AG$25:AG$103,Административные!$F$25:$F$103,$F501,Административные!$G$25:$G$103,$G501)</f>
        <v>0</v>
      </c>
      <c r="AH501" s="171">
        <f t="shared" ca="1" si="149"/>
        <v>0</v>
      </c>
      <c r="AI501" s="171">
        <f ca="1">SUMIFS(Административные!AH$25:AH$103,Административные!$F$25:$F$103,$F501,Административные!$G$25:$G$103,$G501)</f>
        <v>0</v>
      </c>
      <c r="AJ501" s="171">
        <f ca="1">SUMIFS(Административные!AI$25:AI$103,Административные!$F$25:$F$103,$F501,Административные!$G$25:$G$103,$G501)</f>
        <v>0</v>
      </c>
      <c r="AK501" s="542"/>
      <c r="AL501" s="542"/>
      <c r="AM501" s="542"/>
      <c r="AN501" s="542"/>
      <c r="AO501" s="542"/>
      <c r="AP501" s="542"/>
      <c r="AQ501" s="542"/>
      <c r="AR501" s="542"/>
      <c r="AS501" s="542"/>
      <c r="AT501" s="171">
        <f ca="1">SUMIFS(Административные!AJ$25:AJ$103,Административные!$F$25:$F$103,$F501,Административные!$G$25:$G$103,$G501)</f>
        <v>0</v>
      </c>
      <c r="AU501" s="542"/>
      <c r="AV501" s="542"/>
      <c r="AW501" s="542"/>
      <c r="AX501" s="542"/>
      <c r="AY501" s="542"/>
      <c r="AZ501" s="542"/>
      <c r="BA501" s="542"/>
      <c r="BB501" s="542"/>
      <c r="BC501" s="542"/>
      <c r="BD501" s="171">
        <f t="shared" ca="1" si="150"/>
        <v>0</v>
      </c>
      <c r="BE501" s="542"/>
      <c r="BF501" s="542"/>
      <c r="BG501" s="542"/>
      <c r="BH501" s="542"/>
      <c r="BI501" s="542"/>
      <c r="BJ501" s="542"/>
      <c r="BK501" s="542"/>
      <c r="BL501" s="542"/>
      <c r="BM501" s="542"/>
      <c r="BN501" s="196"/>
      <c r="BO501" s="601" t="str">
        <f ca="1">IF(IFERROR(INDEX(Административные!$K$26:$L$103,MATCH($F501&amp;"6komm",Административные!$K$26:$K$103,0),2),"")=0,"",IFERROR(INDEX(Административные!$K$26:$L$103,MATCH($F501&amp;"6komm",Административные!$K$26:$K$103,0),2),""))</f>
        <v/>
      </c>
      <c r="BP501" s="196"/>
      <c r="BS501" s="694" t="s">
        <v>1829</v>
      </c>
    </row>
    <row r="502" spans="1:75" ht="14.25" customHeight="1" x14ac:dyDescent="0.25">
      <c r="C502" s="25"/>
      <c r="D502" s="25"/>
      <c r="E502" s="451">
        <v>15</v>
      </c>
      <c r="F502" s="3" t="str" cm="1">
        <f t="array" aca="1" ref="F502" ca="1">OFFSET(E502,-1,1)</f>
        <v>3</v>
      </c>
      <c r="G502" s="571" t="s">
        <v>1245</v>
      </c>
      <c r="H502" s="577"/>
      <c r="I502" s="577" t="s">
        <v>2034</v>
      </c>
      <c r="J502" s="25"/>
      <c r="K502" s="277" t="s">
        <v>2034</v>
      </c>
      <c r="L502" s="25" t="s">
        <v>1830</v>
      </c>
      <c r="M502" s="25"/>
      <c r="N502" s="25"/>
      <c r="O502" s="25"/>
      <c r="P502" s="25"/>
      <c r="Q502" s="25"/>
      <c r="R502" s="25"/>
      <c r="S502" s="25"/>
      <c r="T502" s="353" t="b" cm="1">
        <f t="array" ref="T502">T501</f>
        <v>1</v>
      </c>
      <c r="U502" s="25"/>
      <c r="V502" s="25"/>
      <c r="W502" s="25"/>
      <c r="X502" s="1022"/>
      <c r="Z502" s="967"/>
      <c r="AB502" s="7" t="s">
        <v>2035</v>
      </c>
      <c r="AC502" s="543" t="s">
        <v>1832</v>
      </c>
      <c r="AD502" s="7" t="s">
        <v>828</v>
      </c>
      <c r="AE502" s="171">
        <f ca="1">SUMIFS(Административные!AE$25:AE$103,Административные!$F$25:$F$103,$F502,Административные!$G$25:$G$103,$G502)</f>
        <v>0</v>
      </c>
      <c r="AF502" s="171">
        <f ca="1">SUMIFS(Административные!AF$25:AF$103,Административные!$F$25:$F$103,$F502,Административные!$G$25:$G$103,$G502)</f>
        <v>0</v>
      </c>
      <c r="AG502" s="171">
        <f ca="1">SUMIFS(Административные!AG$25:AG$103,Административные!$F$25:$F$103,$F502,Административные!$G$25:$G$103,$G502)</f>
        <v>0</v>
      </c>
      <c r="AH502" s="171">
        <f t="shared" ca="1" si="149"/>
        <v>0</v>
      </c>
      <c r="AI502" s="171">
        <f ca="1">SUMIFS(Административные!AH$25:AH$103,Административные!$F$25:$F$103,$F502,Административные!$G$25:$G$103,$G502)</f>
        <v>0</v>
      </c>
      <c r="AJ502" s="171">
        <f ca="1">SUMIFS(Административные!AI$25:AI$103,Административные!$F$25:$F$103,$F502,Административные!$G$25:$G$103,$G502)</f>
        <v>0</v>
      </c>
      <c r="AK502" s="542"/>
      <c r="AL502" s="542"/>
      <c r="AM502" s="542"/>
      <c r="AN502" s="542"/>
      <c r="AO502" s="542"/>
      <c r="AP502" s="542"/>
      <c r="AQ502" s="542"/>
      <c r="AR502" s="542"/>
      <c r="AS502" s="542"/>
      <c r="AT502" s="171">
        <f ca="1">SUMIFS(Административные!AJ$25:AJ$103,Административные!$F$25:$F$103,$F502,Административные!$G$25:$G$103,$G502)</f>
        <v>0</v>
      </c>
      <c r="AU502" s="542"/>
      <c r="AV502" s="542"/>
      <c r="AW502" s="542"/>
      <c r="AX502" s="542"/>
      <c r="AY502" s="542"/>
      <c r="AZ502" s="542"/>
      <c r="BA502" s="542"/>
      <c r="BB502" s="542"/>
      <c r="BC502" s="542"/>
      <c r="BD502" s="171">
        <f t="shared" ca="1" si="150"/>
        <v>0</v>
      </c>
      <c r="BE502" s="542"/>
      <c r="BF502" s="542"/>
      <c r="BG502" s="542"/>
      <c r="BH502" s="542"/>
      <c r="BI502" s="542"/>
      <c r="BJ502" s="542"/>
      <c r="BK502" s="542"/>
      <c r="BL502" s="542"/>
      <c r="BM502" s="542"/>
      <c r="BN502" s="196"/>
      <c r="BO502" s="601" t="str">
        <f ca="1">IF(IFERROR(INDEX(Административные!$K$26:$L$103,MATCH($F502&amp;"7komm",Административные!$K$26:$K$103,0),2),"")=0,"",IFERROR(INDEX(Административные!$K$26:$L$103,MATCH($F502&amp;"7komm",Административные!$K$26:$K$103,0),2),""))</f>
        <v/>
      </c>
      <c r="BP502" s="196"/>
      <c r="BS502" s="694" t="s">
        <v>1833</v>
      </c>
    </row>
    <row r="503" spans="1:75" ht="14.25" customHeight="1" x14ac:dyDescent="0.25">
      <c r="C503" s="25"/>
      <c r="D503" s="25"/>
      <c r="E503" s="451">
        <v>15</v>
      </c>
      <c r="F503" s="3" t="str" cm="1">
        <f t="array" aca="1" ref="F503" ca="1">OFFSET(E503,-1,1)</f>
        <v>3</v>
      </c>
      <c r="G503" s="571" t="s">
        <v>1248</v>
      </c>
      <c r="H503" s="577"/>
      <c r="I503" s="577" t="s">
        <v>2036</v>
      </c>
      <c r="J503" s="25"/>
      <c r="K503" s="277" t="s">
        <v>2036</v>
      </c>
      <c r="L503" s="25" t="s">
        <v>1834</v>
      </c>
      <c r="M503" s="25"/>
      <c r="N503" s="25"/>
      <c r="O503" s="25"/>
      <c r="P503" s="25"/>
      <c r="Q503" s="25"/>
      <c r="R503" s="25"/>
      <c r="S503" s="25"/>
      <c r="T503" s="353" t="b" cm="1">
        <f t="array" ref="T503">T502</f>
        <v>1</v>
      </c>
      <c r="U503" s="25"/>
      <c r="V503" s="25"/>
      <c r="W503" s="25"/>
      <c r="X503" s="1022"/>
      <c r="Z503" s="967"/>
      <c r="AB503" s="7" t="s">
        <v>2037</v>
      </c>
      <c r="AC503" s="543" t="s">
        <v>1249</v>
      </c>
      <c r="AD503" s="7" t="s">
        <v>828</v>
      </c>
      <c r="AE503" s="171">
        <f ca="1">SUMIFS(Административные!AE$25:AE$103,Административные!$F$25:$F$103,$F503,Административные!$G$25:$G$103,$G503)</f>
        <v>0</v>
      </c>
      <c r="AF503" s="171">
        <f ca="1">SUMIFS(Административные!AF$25:AF$103,Административные!$F$25:$F$103,$F503,Административные!$G$25:$G$103,$G503)</f>
        <v>0</v>
      </c>
      <c r="AG503" s="171">
        <f ca="1">SUMIFS(Административные!AG$25:AG$103,Административные!$F$25:$F$103,$F503,Административные!$G$25:$G$103,$G503)</f>
        <v>0</v>
      </c>
      <c r="AH503" s="171">
        <f t="shared" ca="1" si="149"/>
        <v>0</v>
      </c>
      <c r="AI503" s="171">
        <f ca="1">SUMIFS(Административные!AH$25:AH$103,Административные!$F$25:$F$103,$F503,Административные!$G$25:$G$103,$G503)</f>
        <v>0</v>
      </c>
      <c r="AJ503" s="171">
        <f ca="1">SUMIFS(Административные!AI$25:AI$103,Административные!$F$25:$F$103,$F503,Административные!$G$25:$G$103,$G503)</f>
        <v>0</v>
      </c>
      <c r="AK503" s="542"/>
      <c r="AL503" s="542"/>
      <c r="AM503" s="542"/>
      <c r="AN503" s="542"/>
      <c r="AO503" s="542"/>
      <c r="AP503" s="542"/>
      <c r="AQ503" s="542"/>
      <c r="AR503" s="542"/>
      <c r="AS503" s="542"/>
      <c r="AT503" s="171">
        <f ca="1">SUMIFS(Административные!AJ$25:AJ$103,Административные!$F$25:$F$103,$F503,Административные!$G$25:$G$103,$G503)</f>
        <v>0</v>
      </c>
      <c r="AU503" s="542"/>
      <c r="AV503" s="542"/>
      <c r="AW503" s="542"/>
      <c r="AX503" s="542"/>
      <c r="AY503" s="542"/>
      <c r="AZ503" s="542"/>
      <c r="BA503" s="542"/>
      <c r="BB503" s="542"/>
      <c r="BC503" s="542"/>
      <c r="BD503" s="171">
        <f t="shared" ca="1" si="150"/>
        <v>0</v>
      </c>
      <c r="BE503" s="542"/>
      <c r="BF503" s="542"/>
      <c r="BG503" s="542"/>
      <c r="BH503" s="542"/>
      <c r="BI503" s="542"/>
      <c r="BJ503" s="542"/>
      <c r="BK503" s="542"/>
      <c r="BL503" s="542"/>
      <c r="BM503" s="542"/>
      <c r="BN503" s="196"/>
      <c r="BO503" s="601" t="str">
        <f ca="1">IF(IFERROR(INDEX(Административные!$K$26:$L$103,MATCH($F503&amp;"8komm",Административные!$K$26:$K$103,0),2),"")=0,"",IFERROR(INDEX(Административные!$K$26:$L$103,MATCH($F503&amp;"8komm",Административные!$K$26:$K$103,0),2),""))</f>
        <v/>
      </c>
      <c r="BP503" s="196"/>
      <c r="BS503" s="694" t="s">
        <v>1836</v>
      </c>
    </row>
    <row r="504" spans="1:75" ht="14.25" customHeight="1" x14ac:dyDescent="0.25">
      <c r="C504" s="25"/>
      <c r="D504" s="25"/>
      <c r="E504" s="451">
        <v>15</v>
      </c>
      <c r="F504" s="3" t="str" cm="1">
        <f t="array" aca="1" ref="F504" ca="1">OFFSET(E504,-1,1)</f>
        <v>3</v>
      </c>
      <c r="G504" s="25" t="s">
        <v>1251</v>
      </c>
      <c r="H504" s="577"/>
      <c r="I504" s="577" t="s">
        <v>2038</v>
      </c>
      <c r="J504" s="25"/>
      <c r="K504" s="277" t="s">
        <v>2038</v>
      </c>
      <c r="L504" s="25" t="s">
        <v>1837</v>
      </c>
      <c r="M504" s="25"/>
      <c r="N504" s="25"/>
      <c r="O504" s="25"/>
      <c r="P504" s="25"/>
      <c r="Q504" s="25"/>
      <c r="R504" s="25"/>
      <c r="S504" s="25"/>
      <c r="T504" s="353" t="b" cm="1">
        <f t="array" ref="T504">T503</f>
        <v>1</v>
      </c>
      <c r="U504" s="25"/>
      <c r="V504" s="25"/>
      <c r="W504" s="25"/>
      <c r="X504" s="1022"/>
      <c r="Z504" s="967"/>
      <c r="AB504" s="7" t="s">
        <v>2039</v>
      </c>
      <c r="AC504" s="543" t="s">
        <v>1252</v>
      </c>
      <c r="AD504" s="7" t="s">
        <v>828</v>
      </c>
      <c r="AE504" s="171">
        <f ca="1">SUMIFS(Административные!AE$25:AE$103,Административные!$F$25:$F$103,$F504,Административные!$G$25:$G$103,$G504)</f>
        <v>0</v>
      </c>
      <c r="AF504" s="171">
        <f ca="1">SUMIFS(Административные!AF$25:AF$103,Административные!$F$25:$F$103,$F504,Административные!$G$25:$G$103,$G504)</f>
        <v>0</v>
      </c>
      <c r="AG504" s="171">
        <f ca="1">SUMIFS(Административные!AG$25:AG$103,Административные!$F$25:$F$103,$F504,Административные!$G$25:$G$103,$G504)</f>
        <v>0</v>
      </c>
      <c r="AH504" s="171">
        <f t="shared" ca="1" si="149"/>
        <v>0</v>
      </c>
      <c r="AI504" s="171">
        <f ca="1">SUMIFS(Административные!AH$25:AH$103,Административные!$F$25:$F$103,$F504,Административные!$G$25:$G$103,$G504)</f>
        <v>0</v>
      </c>
      <c r="AJ504" s="171">
        <f ca="1">SUMIFS(Административные!AI$25:AI$103,Административные!$F$25:$F$103,$F504,Административные!$G$25:$G$103,$G504)</f>
        <v>0</v>
      </c>
      <c r="AK504" s="542"/>
      <c r="AL504" s="542"/>
      <c r="AM504" s="542"/>
      <c r="AN504" s="542"/>
      <c r="AO504" s="542"/>
      <c r="AP504" s="542"/>
      <c r="AQ504" s="542"/>
      <c r="AR504" s="542"/>
      <c r="AS504" s="542"/>
      <c r="AT504" s="171">
        <f ca="1">SUMIFS(Административные!AJ$25:AJ$103,Административные!$F$25:$F$103,$F504,Административные!$G$25:$G$103,$G504)</f>
        <v>0</v>
      </c>
      <c r="AU504" s="542"/>
      <c r="AV504" s="542"/>
      <c r="AW504" s="542"/>
      <c r="AX504" s="542"/>
      <c r="AY504" s="542"/>
      <c r="AZ504" s="542"/>
      <c r="BA504" s="542"/>
      <c r="BB504" s="542"/>
      <c r="BC504" s="542"/>
      <c r="BD504" s="171">
        <f t="shared" ca="1" si="150"/>
        <v>0</v>
      </c>
      <c r="BE504" s="542"/>
      <c r="BF504" s="542"/>
      <c r="BG504" s="542"/>
      <c r="BH504" s="542"/>
      <c r="BI504" s="542"/>
      <c r="BJ504" s="542"/>
      <c r="BK504" s="542"/>
      <c r="BL504" s="542"/>
      <c r="BM504" s="542"/>
      <c r="BN504" s="196"/>
      <c r="BO504" s="601" t="str">
        <f ca="1">IF(IFERROR(INDEX(Административные!$K$26:$L$103,MATCH($F504&amp;"9komm",Административные!$K$26:$K$103,0),2),"")=0,"",IFERROR(INDEX(Административные!$K$26:$L$103,MATCH($F504&amp;"9komm",Административные!$K$26:$K$103,0),2),""))</f>
        <v/>
      </c>
      <c r="BP504" s="196"/>
      <c r="BS504" s="694" t="s">
        <v>1839</v>
      </c>
    </row>
    <row r="505" spans="1:75" ht="21.75" hidden="1" customHeight="1" x14ac:dyDescent="0.25">
      <c r="B505" s="329" t="b">
        <f>STATUS_GO="да"</f>
        <v>0</v>
      </c>
      <c r="C505" s="25"/>
      <c r="D505" s="25"/>
      <c r="E505" s="451">
        <v>22.5</v>
      </c>
      <c r="F505" s="3" t="str" cm="1">
        <f t="array" aca="1" ref="F505" ca="1">OFFSET(E505,-1,1)</f>
        <v>3</v>
      </c>
      <c r="G505" s="25"/>
      <c r="H505" s="577"/>
      <c r="I505" s="577" t="s">
        <v>951</v>
      </c>
      <c r="J505" s="25"/>
      <c r="K505" s="277" t="s">
        <v>951</v>
      </c>
      <c r="L505" s="25" t="s">
        <v>335</v>
      </c>
      <c r="M505" s="25"/>
      <c r="N505" s="25"/>
      <c r="O505" s="25"/>
      <c r="P505" s="25"/>
      <c r="Q505" s="25"/>
      <c r="R505" s="25"/>
      <c r="S505" s="25"/>
      <c r="T505" s="353" t="b" cm="1">
        <f t="array" ref="T505">T504</f>
        <v>1</v>
      </c>
      <c r="U505" s="25"/>
      <c r="V505" s="25"/>
      <c r="W505" s="25"/>
      <c r="X505" s="1022"/>
      <c r="Z505" s="967"/>
      <c r="AB505" s="7" t="s">
        <v>952</v>
      </c>
      <c r="AC505" s="127" t="s">
        <v>2040</v>
      </c>
      <c r="AD505" s="7" t="s">
        <v>828</v>
      </c>
      <c r="AE505" s="171">
        <f ca="1">SUMIFS('Сбытовые расходы ГО'!AE$25:AE$75,'Сбытовые расходы ГО'!$F$25:$F$75,$F505,'Сбытовые расходы ГО'!$G$25:$G$75,"L0")-SUMIFS('Сбытовые расходы ГО'!AE$25:AE$75,'Сбытовые расходы ГО'!$F$25:$F$75,$F505,'Сбытовые расходы ГО'!$G$25:$G$75,"L1")</f>
        <v>0</v>
      </c>
      <c r="AF505" s="171">
        <f ca="1">SUMIFS('Сбытовые расходы ГО'!AF$25:AF$75,'Сбытовые расходы ГО'!$F$25:$F$75,$F505,'Сбытовые расходы ГО'!$G$25:$G$75,"L0")-SUMIFS('Сбытовые расходы ГО'!AF$25:AF$75,'Сбытовые расходы ГО'!$F$25:$F$75,$F505,'Сбытовые расходы ГО'!$G$25:$G$75,"L1")</f>
        <v>0</v>
      </c>
      <c r="AG505" s="171">
        <f ca="1">SUMIFS('Сбытовые расходы ГО'!AG$25:AG$75,'Сбытовые расходы ГО'!$F$25:$F$75,$F505,'Сбытовые расходы ГО'!$G$25:$G$75,"L0")-SUMIFS('Сбытовые расходы ГО'!AG$25:AG$75,'Сбытовые расходы ГО'!$F$25:$F$75,$F505,'Сбытовые расходы ГО'!$G$25:$G$75,"L1")</f>
        <v>0</v>
      </c>
      <c r="AH505" s="171">
        <f t="shared" ca="1" si="149"/>
        <v>0</v>
      </c>
      <c r="AI505" s="171">
        <f ca="1">SUMIFS('Сбытовые расходы ГО'!AH$25:AH$75,'Сбытовые расходы ГО'!$F$25:$F$75,$F505,'Сбытовые расходы ГО'!$G$25:$G$75,"L0")-SUMIFS('Сбытовые расходы ГО'!AH$25:AH$75,'Сбытовые расходы ГО'!$F$25:$F$75,$F505,'Сбытовые расходы ГО'!$G$25:$G$75,"L1")</f>
        <v>0</v>
      </c>
      <c r="AJ505" s="171">
        <f ca="1">SUMIFS('Сбытовые расходы ГО'!AI$25:AI$75,'Сбытовые расходы ГО'!$F$25:$F$75,$F505,'Сбытовые расходы ГО'!$G$25:$G$75,"L0")-SUMIFS('Сбытовые расходы ГО'!AI$25:AI$75,'Сбытовые расходы ГО'!$F$25:$F$75,$F505,'Сбытовые расходы ГО'!$G$25:$G$75,"L1")</f>
        <v>0</v>
      </c>
      <c r="AK505" s="542"/>
      <c r="AL505" s="542"/>
      <c r="AM505" s="542"/>
      <c r="AN505" s="542"/>
      <c r="AO505" s="542"/>
      <c r="AP505" s="542"/>
      <c r="AQ505" s="542"/>
      <c r="AR505" s="542"/>
      <c r="AS505" s="542"/>
      <c r="AT505" s="171">
        <f ca="1">SUMIFS('Сбытовые расходы ГО'!AJ$25:AJ$75,'Сбытовые расходы ГО'!$F$25:$F$75,$F505,'Сбытовые расходы ГО'!$G$25:$G$75,"L0")-SUMIFS('Сбытовые расходы ГО'!AJ$25:AJ$75,'Сбытовые расходы ГО'!$F$25:$F$75,$F505,'Сбытовые расходы ГО'!$G$25:$G$75,"L1")</f>
        <v>0</v>
      </c>
      <c r="AU505" s="542"/>
      <c r="AV505" s="542"/>
      <c r="AW505" s="542"/>
      <c r="AX505" s="542"/>
      <c r="AY505" s="542"/>
      <c r="AZ505" s="542"/>
      <c r="BA505" s="542"/>
      <c r="BB505" s="542"/>
      <c r="BC505" s="542"/>
      <c r="BD505" s="171">
        <f t="shared" ca="1" si="150"/>
        <v>0</v>
      </c>
      <c r="BE505" s="542"/>
      <c r="BF505" s="542"/>
      <c r="BG505" s="542"/>
      <c r="BH505" s="542"/>
      <c r="BI505" s="542"/>
      <c r="BJ505" s="542"/>
      <c r="BK505" s="542"/>
      <c r="BL505" s="542"/>
      <c r="BM505" s="542"/>
      <c r="BN505" s="775"/>
      <c r="BO505" s="775"/>
      <c r="BP505" s="775"/>
      <c r="BS505" s="695" t="s">
        <v>1841</v>
      </c>
    </row>
    <row r="506" spans="1:75" ht="14.25" customHeight="1" x14ac:dyDescent="0.15">
      <c r="C506" s="25"/>
      <c r="D506" s="25"/>
      <c r="E506" s="451">
        <v>15</v>
      </c>
      <c r="F506" s="3" t="str" cm="1">
        <f t="array" aca="1" ref="F506" ca="1">OFFSET(E506,-1,1)</f>
        <v>3</v>
      </c>
      <c r="G506" s="25"/>
      <c r="H506" s="577"/>
      <c r="I506" s="577" t="s">
        <v>1779</v>
      </c>
      <c r="J506" s="25"/>
      <c r="K506" s="277" t="s">
        <v>1779</v>
      </c>
      <c r="L506" s="25"/>
      <c r="M506" s="25"/>
      <c r="N506" s="25"/>
      <c r="O506" s="25"/>
      <c r="P506" s="25"/>
      <c r="Q506" s="25"/>
      <c r="R506" s="25"/>
      <c r="S506" s="25"/>
      <c r="T506" s="353" t="b" cm="1">
        <f t="array" ref="T506">T505</f>
        <v>1</v>
      </c>
      <c r="U506" s="25"/>
      <c r="V506" s="25"/>
      <c r="W506" s="25"/>
      <c r="X506" s="1022"/>
      <c r="Z506" s="967"/>
      <c r="AB506" s="7" t="s">
        <v>1780</v>
      </c>
      <c r="AC506" s="127" t="s">
        <v>2041</v>
      </c>
      <c r="AD506" s="7" t="s">
        <v>828</v>
      </c>
      <c r="AE506" s="128"/>
      <c r="AF506" s="128"/>
      <c r="AG506" s="128"/>
      <c r="AH506" s="171">
        <f t="shared" si="149"/>
        <v>0</v>
      </c>
      <c r="AI506" s="128"/>
      <c r="AJ506" s="128"/>
      <c r="AK506" s="542"/>
      <c r="AL506" s="542"/>
      <c r="AM506" s="542"/>
      <c r="AN506" s="542"/>
      <c r="AO506" s="542"/>
      <c r="AP506" s="542"/>
      <c r="AQ506" s="542"/>
      <c r="AR506" s="542"/>
      <c r="AS506" s="542"/>
      <c r="AT506" s="128"/>
      <c r="AU506" s="542"/>
      <c r="AV506" s="542"/>
      <c r="AW506" s="542"/>
      <c r="AX506" s="542"/>
      <c r="AY506" s="542"/>
      <c r="AZ506" s="542"/>
      <c r="BA506" s="542"/>
      <c r="BB506" s="542"/>
      <c r="BC506" s="542"/>
      <c r="BD506" s="171">
        <f t="shared" si="150"/>
        <v>0</v>
      </c>
      <c r="BE506" s="542"/>
      <c r="BF506" s="542"/>
      <c r="BG506" s="542"/>
      <c r="BH506" s="542"/>
      <c r="BI506" s="542"/>
      <c r="BJ506" s="542"/>
      <c r="BK506" s="542"/>
      <c r="BL506" s="542"/>
      <c r="BM506" s="542"/>
      <c r="BN506" s="196"/>
      <c r="BO506" s="196"/>
      <c r="BP506" s="196"/>
      <c r="BS506" s="696" t="s">
        <v>2042</v>
      </c>
    </row>
    <row r="507" spans="1:75" s="870" customFormat="1" ht="20.25" customHeight="1" x14ac:dyDescent="0.15">
      <c r="A507" s="76"/>
      <c r="B507" s="332"/>
      <c r="C507" s="27"/>
      <c r="D507" s="27"/>
      <c r="E507" s="559">
        <v>21</v>
      </c>
      <c r="F507" s="3" t="str" cm="1">
        <f t="array" aca="1" ref="F507" ca="1">OFFSET(E507,-1,1)</f>
        <v>3</v>
      </c>
      <c r="G507" s="27"/>
      <c r="H507" s="577"/>
      <c r="I507" s="577" t="s">
        <v>1783</v>
      </c>
      <c r="J507" s="27"/>
      <c r="K507" s="277" t="s">
        <v>1783</v>
      </c>
      <c r="L507" s="27"/>
      <c r="M507" s="27"/>
      <c r="N507" s="27"/>
      <c r="O507" s="27"/>
      <c r="P507" s="27"/>
      <c r="Q507" s="27"/>
      <c r="R507" s="27"/>
      <c r="S507" s="27"/>
      <c r="T507" s="353" t="b">
        <f ca="1">AND(F507&gt;0,method_reg="Метод индексации")</f>
        <v>1</v>
      </c>
      <c r="U507" s="27"/>
      <c r="V507" s="27"/>
      <c r="W507" s="27"/>
      <c r="X507" s="1022"/>
      <c r="Y507" s="76"/>
      <c r="Z507" s="967"/>
      <c r="AA507" s="76"/>
      <c r="AB507" s="124" t="s">
        <v>1784</v>
      </c>
      <c r="AC507" s="263" t="s">
        <v>2043</v>
      </c>
      <c r="AD507" s="124" t="s">
        <v>828</v>
      </c>
      <c r="AE507" s="126">
        <f>SUM(AE508:AE509)</f>
        <v>0</v>
      </c>
      <c r="AF507" s="126">
        <f>SUM(AF508:AF509)</f>
        <v>0</v>
      </c>
      <c r="AG507" s="126">
        <f>SUM(AG508:AG509)</f>
        <v>0</v>
      </c>
      <c r="AH507" s="126">
        <f t="shared" si="149"/>
        <v>0</v>
      </c>
      <c r="AI507" s="126">
        <f>SUM(AI508:AI509)</f>
        <v>0</v>
      </c>
      <c r="AJ507" s="126">
        <f>SUM(AJ508:AJ509)</f>
        <v>0</v>
      </c>
      <c r="AK507" s="129"/>
      <c r="AL507" s="129"/>
      <c r="AM507" s="129"/>
      <c r="AN507" s="129"/>
      <c r="AO507" s="129"/>
      <c r="AP507" s="129"/>
      <c r="AQ507" s="129"/>
      <c r="AR507" s="129"/>
      <c r="AS507" s="129"/>
      <c r="AT507" s="126">
        <f>SUM(AT508:AT509)</f>
        <v>0</v>
      </c>
      <c r="AU507" s="129"/>
      <c r="AV507" s="129"/>
      <c r="AW507" s="129"/>
      <c r="AX507" s="129"/>
      <c r="AY507" s="129"/>
      <c r="AZ507" s="129"/>
      <c r="BA507" s="129"/>
      <c r="BB507" s="129"/>
      <c r="BC507" s="129"/>
      <c r="BD507" s="126">
        <f t="shared" si="150"/>
        <v>0</v>
      </c>
      <c r="BE507" s="129"/>
      <c r="BF507" s="129"/>
      <c r="BG507" s="129"/>
      <c r="BH507" s="129"/>
      <c r="BI507" s="129"/>
      <c r="BJ507" s="129"/>
      <c r="BK507" s="129"/>
      <c r="BL507" s="129"/>
      <c r="BM507" s="129"/>
      <c r="BN507" s="556"/>
      <c r="BO507" s="556"/>
      <c r="BP507" s="556"/>
      <c r="BQ507" s="76"/>
      <c r="BR507" s="76"/>
      <c r="BS507" s="702" t="s">
        <v>2044</v>
      </c>
      <c r="BT507" s="702"/>
      <c r="BU507" s="702"/>
      <c r="BV507" s="511"/>
      <c r="BW507" s="511"/>
    </row>
    <row r="508" spans="1:75" ht="14.25" hidden="1" customHeight="1" x14ac:dyDescent="0.15">
      <c r="B508" s="329" t="b">
        <f>method_reg="Метод индексации"</f>
        <v>1</v>
      </c>
      <c r="C508" s="25"/>
      <c r="D508" s="25"/>
      <c r="E508" s="451">
        <v>15</v>
      </c>
      <c r="F508" s="3" t="str" cm="1">
        <f t="array" aca="1" ref="F508" ca="1">OFFSET(E508,-1,1)</f>
        <v>3</v>
      </c>
      <c r="G508" s="25"/>
      <c r="H508" s="25"/>
      <c r="I508" s="577" t="s">
        <v>1783</v>
      </c>
      <c r="J508" s="25" cm="1">
        <f t="array" ref="J508">AC508</f>
        <v>0</v>
      </c>
      <c r="K508" s="277" t="s">
        <v>1783</v>
      </c>
      <c r="L508" s="25"/>
      <c r="M508" s="25"/>
      <c r="N508" s="25"/>
      <c r="O508" s="25"/>
      <c r="P508" s="25"/>
      <c r="Q508" s="25"/>
      <c r="R508" s="25"/>
      <c r="S508" s="25"/>
      <c r="T508" s="353" t="b">
        <f ca="1">AND(F508&gt;0,Y508&gt;0)</f>
        <v>0</v>
      </c>
      <c r="U508" s="25"/>
      <c r="V508" s="25"/>
      <c r="W508" s="25" t="s">
        <v>172</v>
      </c>
      <c r="X508" s="1022"/>
      <c r="Y508" s="72">
        <v>0</v>
      </c>
      <c r="Z508" s="967"/>
      <c r="AA508" s="320" t="s">
        <v>173</v>
      </c>
      <c r="AB508" s="7" t="str">
        <f>"1.7."&amp;Y508</f>
        <v>1.7.0</v>
      </c>
      <c r="AC508" s="780"/>
      <c r="AD508" s="7" t="s">
        <v>828</v>
      </c>
      <c r="AE508" s="778"/>
      <c r="AF508" s="778"/>
      <c r="AG508" s="778"/>
      <c r="AH508" s="171">
        <f t="shared" si="149"/>
        <v>0</v>
      </c>
      <c r="AI508" s="778"/>
      <c r="AJ508" s="128"/>
      <c r="AK508" s="542"/>
      <c r="AL508" s="542"/>
      <c r="AM508" s="542"/>
      <c r="AN508" s="542"/>
      <c r="AO508" s="542"/>
      <c r="AP508" s="542"/>
      <c r="AQ508" s="542"/>
      <c r="AR508" s="542"/>
      <c r="AS508" s="542"/>
      <c r="AT508" s="128"/>
      <c r="AU508" s="542"/>
      <c r="AV508" s="542"/>
      <c r="AW508" s="542"/>
      <c r="AX508" s="542"/>
      <c r="AY508" s="542"/>
      <c r="AZ508" s="542"/>
      <c r="BA508" s="542"/>
      <c r="BB508" s="542"/>
      <c r="BC508" s="542"/>
      <c r="BD508" s="171">
        <f t="shared" si="150"/>
        <v>0</v>
      </c>
      <c r="BE508" s="542"/>
      <c r="BF508" s="542"/>
      <c r="BG508" s="542"/>
      <c r="BH508" s="542"/>
      <c r="BI508" s="542"/>
      <c r="BJ508" s="542"/>
      <c r="BK508" s="542"/>
      <c r="BL508" s="542"/>
      <c r="BM508" s="542"/>
      <c r="BN508" s="775"/>
      <c r="BO508" s="775"/>
      <c r="BP508" s="775"/>
      <c r="BS508" s="696" t="s">
        <v>2044</v>
      </c>
      <c r="BT508" s="696" t="s">
        <v>2045</v>
      </c>
      <c r="BU508" s="696" cm="1">
        <f t="array" ref="BU508">AC508</f>
        <v>0</v>
      </c>
      <c r="BW508" s="507" t="b">
        <v>1</v>
      </c>
    </row>
    <row r="509" spans="1:75" ht="14.25" customHeight="1" x14ac:dyDescent="0.15">
      <c r="B509" s="329" t="b" cm="1">
        <f t="array" ref="B509">B508</f>
        <v>1</v>
      </c>
      <c r="C509" s="25"/>
      <c r="D509" s="25"/>
      <c r="E509" s="451">
        <v>15</v>
      </c>
      <c r="F509" s="3" t="str" cm="1">
        <f t="array" aca="1" ref="F509" ca="1">OFFSET(E509,-1,1)</f>
        <v>3</v>
      </c>
      <c r="G509" s="362"/>
      <c r="H509" s="25"/>
      <c r="I509" s="25"/>
      <c r="J509" s="25" t="s">
        <v>2046</v>
      </c>
      <c r="L509" s="25"/>
      <c r="M509" s="25"/>
      <c r="N509" s="25"/>
      <c r="O509" s="25"/>
      <c r="P509" s="25"/>
      <c r="Q509" s="25"/>
      <c r="R509" s="25"/>
      <c r="S509" s="25"/>
      <c r="T509" s="353" t="b">
        <f ca="1">F509&gt;0</f>
        <v>1</v>
      </c>
      <c r="U509" s="25"/>
      <c r="V509" s="25"/>
      <c r="W509" s="506" t="s">
        <v>397</v>
      </c>
      <c r="X509" s="1022"/>
      <c r="Z509" s="967"/>
      <c r="AB509" s="589"/>
      <c r="AC509" s="172" t="s">
        <v>176</v>
      </c>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8"/>
      <c r="BV509" s="507" t="s">
        <v>2045</v>
      </c>
    </row>
    <row r="510" spans="1:75" s="870" customFormat="1" ht="33.75" customHeight="1" x14ac:dyDescent="0.15">
      <c r="A510" s="76"/>
      <c r="B510" s="332"/>
      <c r="C510" s="27"/>
      <c r="D510" s="27"/>
      <c r="E510" s="559">
        <v>21</v>
      </c>
      <c r="F510" s="3" t="str" cm="1">
        <f t="array" aca="1" ref="F510" ca="1">OFFSET(E510,-1,1)</f>
        <v>3</v>
      </c>
      <c r="G510" s="27"/>
      <c r="H510" s="25"/>
      <c r="I510" s="25" t="s">
        <v>332</v>
      </c>
      <c r="J510" s="27"/>
      <c r="K510" s="72" t="s">
        <v>332</v>
      </c>
      <c r="L510" s="27"/>
      <c r="M510" s="27"/>
      <c r="N510" s="27"/>
      <c r="O510" s="27"/>
      <c r="P510" s="27"/>
      <c r="Q510" s="27"/>
      <c r="R510" s="27"/>
      <c r="S510" s="27"/>
      <c r="T510" s="353" t="b">
        <f ca="1">F510&gt;0</f>
        <v>1</v>
      </c>
      <c r="U510" s="27"/>
      <c r="V510" s="27"/>
      <c r="W510" s="27"/>
      <c r="X510" s="1022"/>
      <c r="Y510" s="76"/>
      <c r="Z510" s="967"/>
      <c r="AA510" s="76"/>
      <c r="AB510" s="147" t="s">
        <v>285</v>
      </c>
      <c r="AC510" s="125" t="s">
        <v>2047</v>
      </c>
      <c r="AD510" s="147" t="s">
        <v>828</v>
      </c>
      <c r="AE510" s="126">
        <f ca="1">AE511+AE523+AE524++AE535+AE536+AE537+AE539+AE540+AE541+AE542+AE545</f>
        <v>8366.505524872</v>
      </c>
      <c r="AF510" s="126">
        <f ca="1">AF511+AF523+AF524++AF535+AF536+AF537+AF539+AF540+AF541+AF542+AF545</f>
        <v>9903.7782006891994</v>
      </c>
      <c r="AG510" s="126">
        <f ca="1">AG511+AG523+AG524++AG535+AG536+AG537+AG539+AG540+AG541+AG542+AG545</f>
        <v>6053.9390089628005</v>
      </c>
      <c r="AH510" s="126">
        <f t="shared" ref="AH510:AH555" ca="1" si="151">AG510-AF510</f>
        <v>-3849.8391917263989</v>
      </c>
      <c r="AI510" s="126">
        <f t="shared" ref="AI510:BC510" ca="1" si="152">AI511+AI523+AI524++AI535+AI536+AI537+AI539+AI540+AI541+AI542+AI545</f>
        <v>6202.5640455283001</v>
      </c>
      <c r="AJ510" s="126">
        <f t="shared" ca="1" si="152"/>
        <v>18453.778100442902</v>
      </c>
      <c r="AK510" s="126">
        <f t="shared" ca="1" si="152"/>
        <v>0</v>
      </c>
      <c r="AL510" s="126">
        <f t="shared" ca="1" si="152"/>
        <v>0</v>
      </c>
      <c r="AM510" s="126">
        <f t="shared" ca="1" si="152"/>
        <v>0</v>
      </c>
      <c r="AN510" s="126">
        <f t="shared" ca="1" si="152"/>
        <v>0</v>
      </c>
      <c r="AO510" s="126">
        <f t="shared" ca="1" si="152"/>
        <v>0</v>
      </c>
      <c r="AP510" s="126">
        <f t="shared" ca="1" si="152"/>
        <v>0</v>
      </c>
      <c r="AQ510" s="126">
        <f t="shared" ca="1" si="152"/>
        <v>0</v>
      </c>
      <c r="AR510" s="126">
        <f t="shared" ca="1" si="152"/>
        <v>0</v>
      </c>
      <c r="AS510" s="126">
        <f t="shared" ca="1" si="152"/>
        <v>0</v>
      </c>
      <c r="AT510" s="126">
        <f t="shared" ca="1" si="152"/>
        <v>5939.2180786582003</v>
      </c>
      <c r="AU510" s="126">
        <f t="shared" ca="1" si="152"/>
        <v>0</v>
      </c>
      <c r="AV510" s="126">
        <f t="shared" ca="1" si="152"/>
        <v>0</v>
      </c>
      <c r="AW510" s="126">
        <f t="shared" ca="1" si="152"/>
        <v>0</v>
      </c>
      <c r="AX510" s="126">
        <f t="shared" ca="1" si="152"/>
        <v>0</v>
      </c>
      <c r="AY510" s="126">
        <f t="shared" ca="1" si="152"/>
        <v>0</v>
      </c>
      <c r="AZ510" s="126">
        <f t="shared" ca="1" si="152"/>
        <v>0</v>
      </c>
      <c r="BA510" s="126">
        <f t="shared" ca="1" si="152"/>
        <v>0</v>
      </c>
      <c r="BB510" s="126">
        <f t="shared" ca="1" si="152"/>
        <v>0</v>
      </c>
      <c r="BC510" s="126">
        <f t="shared" ca="1" si="152"/>
        <v>0</v>
      </c>
      <c r="BD510" s="126">
        <f t="shared" ref="BD510:BD555" ca="1" si="153">IF(AI510=0,0,(AT510-AI510)/AI510*100)</f>
        <v>-4.2457597364102577</v>
      </c>
      <c r="BE510" s="126">
        <f t="shared" ref="BE510:BE555" ca="1" si="154">IF(AT510=0,0,(AU510-AT510)/AT510*100)</f>
        <v>-100</v>
      </c>
      <c r="BF510" s="126">
        <f t="shared" ref="BF510:BF555" ca="1" si="155">IF(AU510=0,0,(AV510-AU510)/AU510*100)</f>
        <v>0</v>
      </c>
      <c r="BG510" s="126">
        <f t="shared" ref="BG510:BG555" ca="1" si="156">IF(AV510=0,0,(AW510-AV510)/AV510*100)</f>
        <v>0</v>
      </c>
      <c r="BH510" s="126">
        <f t="shared" ref="BH510:BH555" ca="1" si="157">IF(AW510=0,0,(AX510-AW510)/AW510*100)</f>
        <v>0</v>
      </c>
      <c r="BI510" s="126">
        <f t="shared" ref="BI510:BI555" ca="1" si="158">IF(AX510=0,0,(AY510-AX510)/AX510*100)</f>
        <v>0</v>
      </c>
      <c r="BJ510" s="126">
        <f t="shared" ref="BJ510:BJ555" ca="1" si="159">IF(AY510=0,0,(AZ510-AY510)/AY510*100)</f>
        <v>0</v>
      </c>
      <c r="BK510" s="126">
        <f t="shared" ref="BK510:BK555" ca="1" si="160">IF(AZ510=0,0,(BA510-AZ510)/AZ510*100)</f>
        <v>0</v>
      </c>
      <c r="BL510" s="126">
        <f t="shared" ref="BL510:BL555" ca="1" si="161">IF(BA510=0,0,(BB510-BA510)/BA510*100)</f>
        <v>0</v>
      </c>
      <c r="BM510" s="126">
        <f t="shared" ref="BM510:BM555" ca="1" si="162">IF(BB510=0,0,(BC510-BB510)/BB510*100)</f>
        <v>0</v>
      </c>
      <c r="BN510" s="196"/>
      <c r="BO510" s="196" t="s">
        <v>2242</v>
      </c>
      <c r="BP510" s="196"/>
      <c r="BQ510" s="74"/>
      <c r="BR510" s="76"/>
      <c r="BS510" s="702" t="s">
        <v>2048</v>
      </c>
      <c r="BT510" s="702"/>
      <c r="BU510" s="702"/>
      <c r="BV510" s="511"/>
      <c r="BW510" s="511"/>
    </row>
    <row r="511" spans="1:75" s="870" customFormat="1" ht="21.75" customHeight="1" x14ac:dyDescent="0.15">
      <c r="A511" s="76"/>
      <c r="B511" s="332"/>
      <c r="C511" s="27"/>
      <c r="D511" s="27"/>
      <c r="E511" s="559">
        <v>22.5</v>
      </c>
      <c r="F511" s="3" t="str" cm="1">
        <f t="array" aca="1" ref="F511" ca="1">OFFSET(E511,-1,1)</f>
        <v>3</v>
      </c>
      <c r="G511" s="267" t="str" cm="1">
        <f t="array" aca="1" ref="G511" ca="1">F510</f>
        <v>3</v>
      </c>
      <c r="H511" s="25"/>
      <c r="I511" s="25" t="s">
        <v>500</v>
      </c>
      <c r="J511" s="27"/>
      <c r="K511" s="72" t="s">
        <v>500</v>
      </c>
      <c r="L511" s="27" t="s">
        <v>486</v>
      </c>
      <c r="M511" s="27"/>
      <c r="N511" s="27"/>
      <c r="O511" s="27"/>
      <c r="P511" s="27"/>
      <c r="Q511" s="27"/>
      <c r="R511" s="27"/>
      <c r="S511" s="27"/>
      <c r="T511" s="353" t="b" cm="1">
        <f t="array" aca="1" ref="T511" ca="1">T510</f>
        <v>1</v>
      </c>
      <c r="U511" s="27"/>
      <c r="V511" s="27"/>
      <c r="W511" s="27"/>
      <c r="X511" s="1022"/>
      <c r="Y511" s="76"/>
      <c r="Z511" s="967"/>
      <c r="AA511" s="76"/>
      <c r="AB511" s="124" t="s">
        <v>561</v>
      </c>
      <c r="AC511" s="263" t="s">
        <v>2049</v>
      </c>
      <c r="AD511" s="124" t="s">
        <v>828</v>
      </c>
      <c r="AE511" s="126">
        <f ca="1">SUM(AE512:AE522)</f>
        <v>0</v>
      </c>
      <c r="AF511" s="126">
        <f ca="1">SUM(AF512:AF522)</f>
        <v>0</v>
      </c>
      <c r="AG511" s="126">
        <f ca="1">SUM(AG512:AG522)</f>
        <v>0</v>
      </c>
      <c r="AH511" s="126">
        <f t="shared" ca="1" si="151"/>
        <v>0</v>
      </c>
      <c r="AI511" s="126">
        <f t="shared" ref="AI511:BC511" ca="1" si="163">SUM(AI512:AI522)</f>
        <v>0</v>
      </c>
      <c r="AJ511" s="126">
        <f t="shared" ca="1" si="163"/>
        <v>0</v>
      </c>
      <c r="AK511" s="126">
        <f t="shared" ca="1" si="163"/>
        <v>0</v>
      </c>
      <c r="AL511" s="126">
        <f t="shared" ca="1" si="163"/>
        <v>0</v>
      </c>
      <c r="AM511" s="126">
        <f t="shared" ca="1" si="163"/>
        <v>0</v>
      </c>
      <c r="AN511" s="126">
        <f t="shared" ca="1" si="163"/>
        <v>0</v>
      </c>
      <c r="AO511" s="126">
        <f t="shared" ca="1" si="163"/>
        <v>0</v>
      </c>
      <c r="AP511" s="126">
        <f t="shared" ca="1" si="163"/>
        <v>0</v>
      </c>
      <c r="AQ511" s="126">
        <f t="shared" ca="1" si="163"/>
        <v>0</v>
      </c>
      <c r="AR511" s="126">
        <f t="shared" ca="1" si="163"/>
        <v>0</v>
      </c>
      <c r="AS511" s="126">
        <f t="shared" ca="1" si="163"/>
        <v>0</v>
      </c>
      <c r="AT511" s="126">
        <f t="shared" ca="1" si="163"/>
        <v>0</v>
      </c>
      <c r="AU511" s="126">
        <f t="shared" ca="1" si="163"/>
        <v>0</v>
      </c>
      <c r="AV511" s="126">
        <f t="shared" ca="1" si="163"/>
        <v>0</v>
      </c>
      <c r="AW511" s="126">
        <f t="shared" ca="1" si="163"/>
        <v>0</v>
      </c>
      <c r="AX511" s="126">
        <f t="shared" ca="1" si="163"/>
        <v>0</v>
      </c>
      <c r="AY511" s="126">
        <f t="shared" ca="1" si="163"/>
        <v>0</v>
      </c>
      <c r="AZ511" s="126">
        <f t="shared" ca="1" si="163"/>
        <v>0</v>
      </c>
      <c r="BA511" s="126">
        <f t="shared" ca="1" si="163"/>
        <v>0</v>
      </c>
      <c r="BB511" s="126">
        <f t="shared" ca="1" si="163"/>
        <v>0</v>
      </c>
      <c r="BC511" s="126">
        <f t="shared" ca="1" si="163"/>
        <v>0</v>
      </c>
      <c r="BD511" s="126">
        <f t="shared" ca="1" si="153"/>
        <v>0</v>
      </c>
      <c r="BE511" s="126">
        <f t="shared" ca="1" si="154"/>
        <v>0</v>
      </c>
      <c r="BF511" s="126">
        <f t="shared" ca="1" si="155"/>
        <v>0</v>
      </c>
      <c r="BG511" s="126">
        <f t="shared" ca="1" si="156"/>
        <v>0</v>
      </c>
      <c r="BH511" s="126">
        <f t="shared" ca="1" si="157"/>
        <v>0</v>
      </c>
      <c r="BI511" s="126">
        <f t="shared" ca="1" si="158"/>
        <v>0</v>
      </c>
      <c r="BJ511" s="126">
        <f t="shared" ca="1" si="159"/>
        <v>0</v>
      </c>
      <c r="BK511" s="126">
        <f t="shared" ca="1" si="160"/>
        <v>0</v>
      </c>
      <c r="BL511" s="126">
        <f t="shared" ca="1" si="161"/>
        <v>0</v>
      </c>
      <c r="BM511" s="126">
        <f t="shared" ca="1" si="162"/>
        <v>0</v>
      </c>
      <c r="BN511" s="556"/>
      <c r="BO511" s="556"/>
      <c r="BP511" s="556"/>
      <c r="BQ511" s="76"/>
      <c r="BR511" s="76"/>
      <c r="BS511" s="702" t="s">
        <v>2050</v>
      </c>
      <c r="BT511" s="702"/>
      <c r="BU511" s="702"/>
      <c r="BV511" s="511"/>
      <c r="BW511" s="511"/>
    </row>
    <row r="512" spans="1:75" ht="14.25" customHeight="1" x14ac:dyDescent="0.15">
      <c r="C512" s="25"/>
      <c r="D512" s="25"/>
      <c r="E512" s="451">
        <v>15</v>
      </c>
      <c r="F512" s="3" t="str" cm="1">
        <f t="array" aca="1" ref="F512" ca="1">OFFSET(E512,-1,1)</f>
        <v>3</v>
      </c>
      <c r="G512" s="25" t="s">
        <v>1148</v>
      </c>
      <c r="H512" s="25"/>
      <c r="I512" s="25" t="s">
        <v>1570</v>
      </c>
      <c r="J512" s="25"/>
      <c r="K512" s="72" t="s">
        <v>1570</v>
      </c>
      <c r="L512" s="25" t="s">
        <v>1347</v>
      </c>
      <c r="M512" s="25"/>
      <c r="N512" s="25"/>
      <c r="O512" s="25"/>
      <c r="P512" s="25"/>
      <c r="Q512" s="25"/>
      <c r="R512" s="25"/>
      <c r="S512" s="25"/>
      <c r="T512" s="353" t="b" cm="1">
        <f t="array" aca="1" ref="T512" ca="1">T511</f>
        <v>1</v>
      </c>
      <c r="U512" s="25"/>
      <c r="V512" s="25"/>
      <c r="W512" s="25"/>
      <c r="X512" s="1022"/>
      <c r="Z512" s="967"/>
      <c r="AB512" s="7" t="s">
        <v>508</v>
      </c>
      <c r="AC512" s="134" t="s">
        <v>2051</v>
      </c>
      <c r="AD512" s="7" t="s">
        <v>828</v>
      </c>
      <c r="AE512" s="171">
        <f ca="1">SUMIFS(Покупка!AE$25:AE$150,Покупка!$F$25:$F$150,$F512,Покупка!$AC$25:$AC$150,$G512)</f>
        <v>0</v>
      </c>
      <c r="AF512" s="171">
        <f ca="1">SUMIFS(Покупка!AF$25:AF$150,Покупка!$F$25:$F$150,$F512,Покупка!$AC$25:$AC$150,$G512)</f>
        <v>0</v>
      </c>
      <c r="AG512" s="171">
        <f ca="1">SUMIFS(Покупка!AG$25:AG$150,Покупка!$F$25:$F$150,$F512,Покупка!$AC$25:$AC$150,$G512)</f>
        <v>0</v>
      </c>
      <c r="AH512" s="171">
        <f t="shared" ca="1" si="151"/>
        <v>0</v>
      </c>
      <c r="AI512" s="171">
        <f ca="1">SUMIFS(Покупка!AH$25:AH$150,Покупка!$F$25:$F$150,$F512,Покупка!$AC$25:$AC$150,$G512)</f>
        <v>0</v>
      </c>
      <c r="AJ512" s="171">
        <f ca="1">SUMIFS(Покупка!AI$25:AI$150,Покупка!$F$25:$F$150,$F512,Покупка!$AC$25:$AC$150,$G512)</f>
        <v>0</v>
      </c>
      <c r="AK512" s="171">
        <f ca="1">SUMIFS(Покупка!AJ$25:AJ$150,Покупка!$F$25:$F$150,$F512,Покупка!$AC$25:$AC$150,$G512)</f>
        <v>0</v>
      </c>
      <c r="AL512" s="171">
        <f ca="1">SUMIFS(Покупка!AK$25:AK$150,Покупка!$F$25:$F$150,$F512,Покупка!$AC$25:$AC$150,$G512)</f>
        <v>0</v>
      </c>
      <c r="AM512" s="171">
        <f ca="1">SUMIFS(Покупка!AL$25:AL$150,Покупка!$F$25:$F$150,$F512,Покупка!$AC$25:$AC$150,$G512)</f>
        <v>0</v>
      </c>
      <c r="AN512" s="171">
        <f ca="1">SUMIFS(Покупка!AM$25:AM$150,Покупка!$F$25:$F$150,$F512,Покупка!$AC$25:$AC$150,$G512)</f>
        <v>0</v>
      </c>
      <c r="AO512" s="171">
        <f ca="1">SUMIFS(Покупка!AN$25:AN$150,Покупка!$F$25:$F$150,$F512,Покупка!$AC$25:$AC$150,$G512)</f>
        <v>0</v>
      </c>
      <c r="AP512" s="171">
        <f ca="1">SUMIFS(Покупка!AO$25:AO$150,Покупка!$F$25:$F$150,$F512,Покупка!$AC$25:$AC$150,$G512)</f>
        <v>0</v>
      </c>
      <c r="AQ512" s="171">
        <f ca="1">SUMIFS(Покупка!AP$25:AP$150,Покупка!$F$25:$F$150,$F512,Покупка!$AC$25:$AC$150,$G512)</f>
        <v>0</v>
      </c>
      <c r="AR512" s="171">
        <f ca="1">SUMIFS(Покупка!AQ$25:AQ$150,Покупка!$F$25:$F$150,$F512,Покупка!$AC$25:$AC$150,$G512)</f>
        <v>0</v>
      </c>
      <c r="AS512" s="171">
        <f ca="1">SUMIFS(Покупка!AR$25:AR$150,Покупка!$F$25:$F$150,$F512,Покупка!$AC$25:$AC$150,$G512)</f>
        <v>0</v>
      </c>
      <c r="AT512" s="171">
        <f ca="1">SUMIFS(Покупка!AS$25:AS$150,Покупка!$F$25:$F$150,$F512,Покупка!$AC$25:$AC$150,$G512)</f>
        <v>0</v>
      </c>
      <c r="AU512" s="171">
        <f ca="1">SUMIFS(Покупка!AT$25:AT$150,Покупка!$F$25:$F$150,$F512,Покупка!$AC$25:$AC$150,$G512)</f>
        <v>0</v>
      </c>
      <c r="AV512" s="171">
        <f ca="1">SUMIFS(Покупка!AU$25:AU$150,Покупка!$F$25:$F$150,$F512,Покупка!$AC$25:$AC$150,$G512)</f>
        <v>0</v>
      </c>
      <c r="AW512" s="171">
        <f ca="1">SUMIFS(Покупка!AV$25:AV$150,Покупка!$F$25:$F$150,$F512,Покупка!$AC$25:$AC$150,$G512)</f>
        <v>0</v>
      </c>
      <c r="AX512" s="171">
        <f ca="1">SUMIFS(Покупка!AW$25:AW$150,Покупка!$F$25:$F$150,$F512,Покупка!$AC$25:$AC$150,$G512)</f>
        <v>0</v>
      </c>
      <c r="AY512" s="171">
        <f ca="1">SUMIFS(Покупка!AX$25:AX$150,Покупка!$F$25:$F$150,$F512,Покупка!$AC$25:$AC$150,$G512)</f>
        <v>0</v>
      </c>
      <c r="AZ512" s="171">
        <f ca="1">SUMIFS(Покупка!AY$25:AY$150,Покупка!$F$25:$F$150,$F512,Покупка!$AC$25:$AC$150,$G512)</f>
        <v>0</v>
      </c>
      <c r="BA512" s="171">
        <f ca="1">SUMIFS(Покупка!AZ$25:AZ$150,Покупка!$F$25:$F$150,$F512,Покупка!$AC$25:$AC$150,$G512)</f>
        <v>0</v>
      </c>
      <c r="BB512" s="171">
        <f ca="1">SUMIFS(Покупка!BA$25:BA$150,Покупка!$F$25:$F$150,$F512,Покупка!$AC$25:$AC$150,$G512)</f>
        <v>0</v>
      </c>
      <c r="BC512" s="171">
        <f ca="1">SUMIFS(Покупка!BB$25:BB$150,Покупка!$F$25:$F$150,$F512,Покупка!$AC$25:$AC$150,$G512)</f>
        <v>0</v>
      </c>
      <c r="BD512" s="171">
        <f t="shared" ca="1" si="153"/>
        <v>0</v>
      </c>
      <c r="BE512" s="171">
        <f t="shared" ca="1" si="154"/>
        <v>0</v>
      </c>
      <c r="BF512" s="171">
        <f t="shared" ca="1" si="155"/>
        <v>0</v>
      </c>
      <c r="BG512" s="171">
        <f t="shared" ca="1" si="156"/>
        <v>0</v>
      </c>
      <c r="BH512" s="171">
        <f t="shared" ca="1" si="157"/>
        <v>0</v>
      </c>
      <c r="BI512" s="171">
        <f t="shared" ca="1" si="158"/>
        <v>0</v>
      </c>
      <c r="BJ512" s="171">
        <f t="shared" ca="1" si="159"/>
        <v>0</v>
      </c>
      <c r="BK512" s="171">
        <f t="shared" ca="1" si="160"/>
        <v>0</v>
      </c>
      <c r="BL512" s="171">
        <f t="shared" ca="1" si="161"/>
        <v>0</v>
      </c>
      <c r="BM512" s="171">
        <f t="shared" ca="1" si="162"/>
        <v>0</v>
      </c>
      <c r="BN512" s="196"/>
      <c r="BO512" s="601" t="str">
        <f ca="1">IF(IFERROR(INDEX(Покупка!$K$26:$L$150,MATCH($F512&amp;"6komm",Покупка!$K$26:$K$150,0),2),"")=0,"",IFERROR(INDEX(Покупка!$K$26:$L$150,MATCH($F512&amp;"6komm",Покупка!$K$26:$K$150,0),2),""))</f>
        <v/>
      </c>
      <c r="BP512" s="196"/>
      <c r="BS512" s="696" t="s">
        <v>1149</v>
      </c>
    </row>
    <row r="513" spans="1:75" ht="14.25" customHeight="1" x14ac:dyDescent="0.15">
      <c r="C513" s="25"/>
      <c r="D513" s="25"/>
      <c r="E513" s="451">
        <v>15</v>
      </c>
      <c r="F513" s="3" t="str" cm="1">
        <f t="array" aca="1" ref="F513" ca="1">OFFSET(E513,-1,1)</f>
        <v>3</v>
      </c>
      <c r="G513" s="25" t="s">
        <v>1150</v>
      </c>
      <c r="H513" s="25"/>
      <c r="I513" s="25" t="s">
        <v>1574</v>
      </c>
      <c r="J513" s="25"/>
      <c r="K513" s="25" t="s">
        <v>1574</v>
      </c>
      <c r="L513" s="25" t="s">
        <v>1351</v>
      </c>
      <c r="M513" s="25"/>
      <c r="N513" s="25"/>
      <c r="O513" s="25"/>
      <c r="P513" s="25"/>
      <c r="Q513" s="25"/>
      <c r="R513" s="25"/>
      <c r="S513" s="25"/>
      <c r="T513" s="353" t="b" cm="1">
        <f t="array" aca="1" ref="T513" ca="1">T512</f>
        <v>1</v>
      </c>
      <c r="U513" s="25"/>
      <c r="V513" s="25"/>
      <c r="W513" s="25"/>
      <c r="X513" s="1022"/>
      <c r="Z513" s="967"/>
      <c r="AB513" s="7" t="s">
        <v>2052</v>
      </c>
      <c r="AC513" s="134" t="s">
        <v>2053</v>
      </c>
      <c r="AD513" s="7" t="s">
        <v>828</v>
      </c>
      <c r="AE513" s="171">
        <f ca="1">SUMIFS(Покупка!AE$25:AE$150,Покупка!$F$25:$F$150,$F513,Покупка!$AC$25:$AC$150,$G513)</f>
        <v>0</v>
      </c>
      <c r="AF513" s="171">
        <f ca="1">SUMIFS(Покупка!AF$25:AF$150,Покупка!$F$25:$F$150,$F513,Покупка!$AC$25:$AC$150,$G513)</f>
        <v>0</v>
      </c>
      <c r="AG513" s="171">
        <f ca="1">SUMIFS(Покупка!AG$25:AG$150,Покупка!$F$25:$F$150,$F513,Покупка!$AC$25:$AC$150,$G513)</f>
        <v>0</v>
      </c>
      <c r="AH513" s="171">
        <f t="shared" ca="1" si="151"/>
        <v>0</v>
      </c>
      <c r="AI513" s="171">
        <f ca="1">SUMIFS(Покупка!AH$25:AH$150,Покупка!$F$25:$F$150,$F513,Покупка!$AC$25:$AC$150,$G513)</f>
        <v>0</v>
      </c>
      <c r="AJ513" s="171">
        <f ca="1">SUMIFS(Покупка!AI$25:AI$150,Покупка!$F$25:$F$150,$F513,Покупка!$AC$25:$AC$150,$G513)</f>
        <v>0</v>
      </c>
      <c r="AK513" s="171">
        <f ca="1">SUMIFS(Покупка!AJ$25:AJ$150,Покупка!$F$25:$F$150,$F513,Покупка!$AC$25:$AC$150,$G513)</f>
        <v>0</v>
      </c>
      <c r="AL513" s="171">
        <f ca="1">SUMIFS(Покупка!AK$25:AK$150,Покупка!$F$25:$F$150,$F513,Покупка!$AC$25:$AC$150,$G513)</f>
        <v>0</v>
      </c>
      <c r="AM513" s="171">
        <f ca="1">SUMIFS(Покупка!AL$25:AL$150,Покупка!$F$25:$F$150,$F513,Покупка!$AC$25:$AC$150,$G513)</f>
        <v>0</v>
      </c>
      <c r="AN513" s="171">
        <f ca="1">SUMIFS(Покупка!AM$25:AM$150,Покупка!$F$25:$F$150,$F513,Покупка!$AC$25:$AC$150,$G513)</f>
        <v>0</v>
      </c>
      <c r="AO513" s="171">
        <f ca="1">SUMIFS(Покупка!AN$25:AN$150,Покупка!$F$25:$F$150,$F513,Покупка!$AC$25:$AC$150,$G513)</f>
        <v>0</v>
      </c>
      <c r="AP513" s="171">
        <f ca="1">SUMIFS(Покупка!AO$25:AO$150,Покупка!$F$25:$F$150,$F513,Покупка!$AC$25:$AC$150,$G513)</f>
        <v>0</v>
      </c>
      <c r="AQ513" s="171">
        <f ca="1">SUMIFS(Покупка!AP$25:AP$150,Покупка!$F$25:$F$150,$F513,Покупка!$AC$25:$AC$150,$G513)</f>
        <v>0</v>
      </c>
      <c r="AR513" s="171">
        <f ca="1">SUMIFS(Покупка!AQ$25:AQ$150,Покупка!$F$25:$F$150,$F513,Покупка!$AC$25:$AC$150,$G513)</f>
        <v>0</v>
      </c>
      <c r="AS513" s="171">
        <f ca="1">SUMIFS(Покупка!AR$25:AR$150,Покупка!$F$25:$F$150,$F513,Покупка!$AC$25:$AC$150,$G513)</f>
        <v>0</v>
      </c>
      <c r="AT513" s="171">
        <f ca="1">SUMIFS(Покупка!AS$25:AS$150,Покупка!$F$25:$F$150,$F513,Покупка!$AC$25:$AC$150,$G513)</f>
        <v>0</v>
      </c>
      <c r="AU513" s="171">
        <f ca="1">SUMIFS(Покупка!AT$25:AT$150,Покупка!$F$25:$F$150,$F513,Покупка!$AC$25:$AC$150,$G513)</f>
        <v>0</v>
      </c>
      <c r="AV513" s="171">
        <f ca="1">SUMIFS(Покупка!AU$25:AU$150,Покупка!$F$25:$F$150,$F513,Покупка!$AC$25:$AC$150,$G513)</f>
        <v>0</v>
      </c>
      <c r="AW513" s="171">
        <f ca="1">SUMIFS(Покупка!AV$25:AV$150,Покупка!$F$25:$F$150,$F513,Покупка!$AC$25:$AC$150,$G513)</f>
        <v>0</v>
      </c>
      <c r="AX513" s="171">
        <f ca="1">SUMIFS(Покупка!AW$25:AW$150,Покупка!$F$25:$F$150,$F513,Покупка!$AC$25:$AC$150,$G513)</f>
        <v>0</v>
      </c>
      <c r="AY513" s="171">
        <f ca="1">SUMIFS(Покупка!AX$25:AX$150,Покупка!$F$25:$F$150,$F513,Покупка!$AC$25:$AC$150,$G513)</f>
        <v>0</v>
      </c>
      <c r="AZ513" s="171">
        <f ca="1">SUMIFS(Покупка!AY$25:AY$150,Покупка!$F$25:$F$150,$F513,Покупка!$AC$25:$AC$150,$G513)</f>
        <v>0</v>
      </c>
      <c r="BA513" s="171">
        <f ca="1">SUMIFS(Покупка!AZ$25:AZ$150,Покупка!$F$25:$F$150,$F513,Покупка!$AC$25:$AC$150,$G513)</f>
        <v>0</v>
      </c>
      <c r="BB513" s="171">
        <f ca="1">SUMIFS(Покупка!BA$25:BA$150,Покупка!$F$25:$F$150,$F513,Покупка!$AC$25:$AC$150,$G513)</f>
        <v>0</v>
      </c>
      <c r="BC513" s="171">
        <f ca="1">SUMIFS(Покупка!BB$25:BB$150,Покупка!$F$25:$F$150,$F513,Покупка!$AC$25:$AC$150,$G513)</f>
        <v>0</v>
      </c>
      <c r="BD513" s="171">
        <f t="shared" ca="1" si="153"/>
        <v>0</v>
      </c>
      <c r="BE513" s="171">
        <f t="shared" ca="1" si="154"/>
        <v>0</v>
      </c>
      <c r="BF513" s="171">
        <f t="shared" ca="1" si="155"/>
        <v>0</v>
      </c>
      <c r="BG513" s="171">
        <f t="shared" ca="1" si="156"/>
        <v>0</v>
      </c>
      <c r="BH513" s="171">
        <f t="shared" ca="1" si="157"/>
        <v>0</v>
      </c>
      <c r="BI513" s="171">
        <f t="shared" ca="1" si="158"/>
        <v>0</v>
      </c>
      <c r="BJ513" s="171">
        <f t="shared" ca="1" si="159"/>
        <v>0</v>
      </c>
      <c r="BK513" s="171">
        <f t="shared" ca="1" si="160"/>
        <v>0</v>
      </c>
      <c r="BL513" s="171">
        <f t="shared" ca="1" si="161"/>
        <v>0</v>
      </c>
      <c r="BM513" s="171">
        <f t="shared" ca="1" si="162"/>
        <v>0</v>
      </c>
      <c r="BN513" s="196"/>
      <c r="BO513" s="601" t="str">
        <f ca="1">IF(IFERROR(INDEX(Покупка!$K$26:$L$150,MATCH($F513&amp;"7komm",Покупка!$K$26:$K$150,0),2),"")=0,"",IFERROR(INDEX(Покупка!$K$26:$L$150,MATCH($F513&amp;"7komm",Покупка!$K$26:$K$150,0),2),""))</f>
        <v/>
      </c>
      <c r="BP513" s="196"/>
      <c r="BS513" s="696" t="s">
        <v>1151</v>
      </c>
    </row>
    <row r="514" spans="1:75" ht="14.25" customHeight="1" x14ac:dyDescent="0.15">
      <c r="C514" s="25"/>
      <c r="D514" s="25"/>
      <c r="E514" s="451">
        <v>15</v>
      </c>
      <c r="F514" s="3" t="str" cm="1">
        <f t="array" aca="1" ref="F514" ca="1">OFFSET(E514,-1,1)</f>
        <v>3</v>
      </c>
      <c r="G514" s="25" t="s">
        <v>1125</v>
      </c>
      <c r="H514" s="25"/>
      <c r="I514" s="25" t="s">
        <v>1681</v>
      </c>
      <c r="J514" s="25"/>
      <c r="K514" s="25" t="s">
        <v>1681</v>
      </c>
      <c r="L514" s="25" t="s">
        <v>1519</v>
      </c>
      <c r="M514" s="25"/>
      <c r="N514" s="25"/>
      <c r="O514" s="25"/>
      <c r="P514" s="25"/>
      <c r="Q514" s="25"/>
      <c r="R514" s="25"/>
      <c r="S514" s="25"/>
      <c r="T514" s="353" t="b" cm="1">
        <f t="array" aca="1" ref="T514" ca="1">T513</f>
        <v>1</v>
      </c>
      <c r="U514" s="25"/>
      <c r="V514" s="25"/>
      <c r="W514" s="25"/>
      <c r="X514" s="1022"/>
      <c r="Z514" s="967"/>
      <c r="AB514" s="7" t="s">
        <v>2054</v>
      </c>
      <c r="AC514" s="134" t="s">
        <v>2055</v>
      </c>
      <c r="AD514" s="7" t="s">
        <v>828</v>
      </c>
      <c r="AE514" s="171">
        <f ca="1">SUMIFS(Покупка!AE$25:AE$150,Покупка!$F$25:$F$150,$F514,Покупка!$AC$25:$AC$150,$G514)</f>
        <v>0</v>
      </c>
      <c r="AF514" s="171">
        <f ca="1">SUMIFS(Покупка!AF$25:AF$150,Покупка!$F$25:$F$150,$F514,Покупка!$AC$25:$AC$150,$G514)</f>
        <v>0</v>
      </c>
      <c r="AG514" s="171">
        <f ca="1">SUMIFS(Покупка!AG$25:AG$150,Покупка!$F$25:$F$150,$F514,Покупка!$AC$25:$AC$150,$G514)</f>
        <v>0</v>
      </c>
      <c r="AH514" s="171">
        <f t="shared" ca="1" si="151"/>
        <v>0</v>
      </c>
      <c r="AI514" s="171">
        <f ca="1">SUMIFS(Покупка!AH$25:AH$150,Покупка!$F$25:$F$150,$F514,Покупка!$AC$25:$AC$150,$G514)</f>
        <v>0</v>
      </c>
      <c r="AJ514" s="171">
        <f ca="1">SUMIFS(Покупка!AI$25:AI$150,Покупка!$F$25:$F$150,$F514,Покупка!$AC$25:$AC$150,$G514)</f>
        <v>0</v>
      </c>
      <c r="AK514" s="171">
        <f ca="1">SUMIFS(Покупка!AJ$25:AJ$150,Покупка!$F$25:$F$150,$F514,Покупка!$AC$25:$AC$150,$G514)</f>
        <v>0</v>
      </c>
      <c r="AL514" s="171">
        <f ca="1">SUMIFS(Покупка!AK$25:AK$150,Покупка!$F$25:$F$150,$F514,Покупка!$AC$25:$AC$150,$G514)</f>
        <v>0</v>
      </c>
      <c r="AM514" s="171">
        <f ca="1">SUMIFS(Покупка!AL$25:AL$150,Покупка!$F$25:$F$150,$F514,Покупка!$AC$25:$AC$150,$G514)</f>
        <v>0</v>
      </c>
      <c r="AN514" s="171">
        <f ca="1">SUMIFS(Покупка!AM$25:AM$150,Покупка!$F$25:$F$150,$F514,Покупка!$AC$25:$AC$150,$G514)</f>
        <v>0</v>
      </c>
      <c r="AO514" s="171">
        <f ca="1">SUMIFS(Покупка!AN$25:AN$150,Покупка!$F$25:$F$150,$F514,Покупка!$AC$25:$AC$150,$G514)</f>
        <v>0</v>
      </c>
      <c r="AP514" s="171">
        <f ca="1">SUMIFS(Покупка!AO$25:AO$150,Покупка!$F$25:$F$150,$F514,Покупка!$AC$25:$AC$150,$G514)</f>
        <v>0</v>
      </c>
      <c r="AQ514" s="171">
        <f ca="1">SUMIFS(Покупка!AP$25:AP$150,Покупка!$F$25:$F$150,$F514,Покупка!$AC$25:$AC$150,$G514)</f>
        <v>0</v>
      </c>
      <c r="AR514" s="171">
        <f ca="1">SUMIFS(Покупка!AQ$25:AQ$150,Покупка!$F$25:$F$150,$F514,Покупка!$AC$25:$AC$150,$G514)</f>
        <v>0</v>
      </c>
      <c r="AS514" s="171">
        <f ca="1">SUMIFS(Покупка!AR$25:AR$150,Покупка!$F$25:$F$150,$F514,Покупка!$AC$25:$AC$150,$G514)</f>
        <v>0</v>
      </c>
      <c r="AT514" s="171">
        <f ca="1">SUMIFS(Покупка!AS$25:AS$150,Покупка!$F$25:$F$150,$F514,Покупка!$AC$25:$AC$150,$G514)</f>
        <v>0</v>
      </c>
      <c r="AU514" s="171">
        <f ca="1">SUMIFS(Покупка!AT$25:AT$150,Покупка!$F$25:$F$150,$F514,Покупка!$AC$25:$AC$150,$G514)</f>
        <v>0</v>
      </c>
      <c r="AV514" s="171">
        <f ca="1">SUMIFS(Покупка!AU$25:AU$150,Покупка!$F$25:$F$150,$F514,Покупка!$AC$25:$AC$150,$G514)</f>
        <v>0</v>
      </c>
      <c r="AW514" s="171">
        <f ca="1">SUMIFS(Покупка!AV$25:AV$150,Покупка!$F$25:$F$150,$F514,Покупка!$AC$25:$AC$150,$G514)</f>
        <v>0</v>
      </c>
      <c r="AX514" s="171">
        <f ca="1">SUMIFS(Покупка!AW$25:AW$150,Покупка!$F$25:$F$150,$F514,Покупка!$AC$25:$AC$150,$G514)</f>
        <v>0</v>
      </c>
      <c r="AY514" s="171">
        <f ca="1">SUMIFS(Покупка!AX$25:AX$150,Покупка!$F$25:$F$150,$F514,Покупка!$AC$25:$AC$150,$G514)</f>
        <v>0</v>
      </c>
      <c r="AZ514" s="171">
        <f ca="1">SUMIFS(Покупка!AY$25:AY$150,Покупка!$F$25:$F$150,$F514,Покупка!$AC$25:$AC$150,$G514)</f>
        <v>0</v>
      </c>
      <c r="BA514" s="171">
        <f ca="1">SUMIFS(Покупка!AZ$25:AZ$150,Покупка!$F$25:$F$150,$F514,Покупка!$AC$25:$AC$150,$G514)</f>
        <v>0</v>
      </c>
      <c r="BB514" s="171">
        <f ca="1">SUMIFS(Покупка!BA$25:BA$150,Покупка!$F$25:$F$150,$F514,Покупка!$AC$25:$AC$150,$G514)</f>
        <v>0</v>
      </c>
      <c r="BC514" s="171">
        <f ca="1">SUMIFS(Покупка!BB$25:BB$150,Покупка!$F$25:$F$150,$F514,Покупка!$AC$25:$AC$150,$G514)</f>
        <v>0</v>
      </c>
      <c r="BD514" s="171">
        <f t="shared" ca="1" si="153"/>
        <v>0</v>
      </c>
      <c r="BE514" s="171">
        <f t="shared" ca="1" si="154"/>
        <v>0</v>
      </c>
      <c r="BF514" s="171">
        <f t="shared" ca="1" si="155"/>
        <v>0</v>
      </c>
      <c r="BG514" s="171">
        <f t="shared" ca="1" si="156"/>
        <v>0</v>
      </c>
      <c r="BH514" s="171">
        <f t="shared" ca="1" si="157"/>
        <v>0</v>
      </c>
      <c r="BI514" s="171">
        <f t="shared" ca="1" si="158"/>
        <v>0</v>
      </c>
      <c r="BJ514" s="171">
        <f t="shared" ca="1" si="159"/>
        <v>0</v>
      </c>
      <c r="BK514" s="171">
        <f t="shared" ca="1" si="160"/>
        <v>0</v>
      </c>
      <c r="BL514" s="171">
        <f t="shared" ca="1" si="161"/>
        <v>0</v>
      </c>
      <c r="BM514" s="171">
        <f t="shared" ca="1" si="162"/>
        <v>0</v>
      </c>
      <c r="BN514" s="196"/>
      <c r="BO514" s="601" t="str">
        <f ca="1">IF(IFERROR(INDEX(Покупка!$K$26:$L$150,MATCH($F514&amp;"2komm",Покупка!$K$26:$K$150,0),2),"")=0,"",IFERROR(INDEX(Покупка!$K$26:$L$150,MATCH($F514&amp;"2komm",Покупка!$K$26:$K$150,0),2),""))</f>
        <v/>
      </c>
      <c r="BP514" s="196"/>
      <c r="BS514" s="696" t="s">
        <v>2056</v>
      </c>
    </row>
    <row r="515" spans="1:75" ht="14.25" customHeight="1" x14ac:dyDescent="0.15">
      <c r="C515" s="25"/>
      <c r="D515" s="25"/>
      <c r="E515" s="451">
        <v>15</v>
      </c>
      <c r="F515" s="3" t="str" cm="1">
        <f t="array" aca="1" ref="F515" ca="1">OFFSET(E515,-1,1)</f>
        <v>3</v>
      </c>
      <c r="G515" s="25" t="s">
        <v>1116</v>
      </c>
      <c r="H515" s="25"/>
      <c r="I515" s="25" t="s">
        <v>1683</v>
      </c>
      <c r="J515" s="25"/>
      <c r="K515" s="25" t="s">
        <v>1683</v>
      </c>
      <c r="L515" s="25" t="s">
        <v>1514</v>
      </c>
      <c r="M515" s="25"/>
      <c r="N515" s="25"/>
      <c r="O515" s="25"/>
      <c r="P515" s="25"/>
      <c r="Q515" s="25"/>
      <c r="R515" s="25"/>
      <c r="S515" s="25"/>
      <c r="T515" s="353" t="b" cm="1">
        <f t="array" aca="1" ref="T515" ca="1">T514</f>
        <v>1</v>
      </c>
      <c r="U515" s="25"/>
      <c r="V515" s="25"/>
      <c r="W515" s="25"/>
      <c r="X515" s="1022"/>
      <c r="Z515" s="967"/>
      <c r="AB515" s="7" t="s">
        <v>2057</v>
      </c>
      <c r="AC515" s="134" t="s">
        <v>2058</v>
      </c>
      <c r="AD515" s="7" t="s">
        <v>828</v>
      </c>
      <c r="AE515" s="171">
        <f ca="1">SUMIFS(Покупка!AE$25:AE$150,Покупка!$F$25:$F$150,$F515,Покупка!$AC$25:$AC$150,$G515)</f>
        <v>0</v>
      </c>
      <c r="AF515" s="171">
        <f ca="1">SUMIFS(Покупка!AF$25:AF$150,Покупка!$F$25:$F$150,$F515,Покупка!$AC$25:$AC$150,$G515)</f>
        <v>0</v>
      </c>
      <c r="AG515" s="171">
        <f ca="1">SUMIFS(Покупка!AG$25:AG$150,Покупка!$F$25:$F$150,$F515,Покупка!$AC$25:$AC$150,$G515)</f>
        <v>0</v>
      </c>
      <c r="AH515" s="171">
        <f t="shared" ca="1" si="151"/>
        <v>0</v>
      </c>
      <c r="AI515" s="171">
        <f ca="1">SUMIFS(Покупка!AH$25:AH$150,Покупка!$F$25:$F$150,$F515,Покупка!$AC$25:$AC$150,$G515)</f>
        <v>0</v>
      </c>
      <c r="AJ515" s="171">
        <f ca="1">SUMIFS(Покупка!AI$25:AI$150,Покупка!$F$25:$F$150,$F515,Покупка!$AC$25:$AC$150,$G515)</f>
        <v>0</v>
      </c>
      <c r="AK515" s="171">
        <f ca="1">SUMIFS(Покупка!AJ$25:AJ$150,Покупка!$F$25:$F$150,$F515,Покупка!$AC$25:$AC$150,$G515)</f>
        <v>0</v>
      </c>
      <c r="AL515" s="171">
        <f ca="1">SUMIFS(Покупка!AK$25:AK$150,Покупка!$F$25:$F$150,$F515,Покупка!$AC$25:$AC$150,$G515)</f>
        <v>0</v>
      </c>
      <c r="AM515" s="171">
        <f ca="1">SUMIFS(Покупка!AL$25:AL$150,Покупка!$F$25:$F$150,$F515,Покупка!$AC$25:$AC$150,$G515)</f>
        <v>0</v>
      </c>
      <c r="AN515" s="171">
        <f ca="1">SUMIFS(Покупка!AM$25:AM$150,Покупка!$F$25:$F$150,$F515,Покупка!$AC$25:$AC$150,$G515)</f>
        <v>0</v>
      </c>
      <c r="AO515" s="171">
        <f ca="1">SUMIFS(Покупка!AN$25:AN$150,Покупка!$F$25:$F$150,$F515,Покупка!$AC$25:$AC$150,$G515)</f>
        <v>0</v>
      </c>
      <c r="AP515" s="171">
        <f ca="1">SUMIFS(Покупка!AO$25:AO$150,Покупка!$F$25:$F$150,$F515,Покупка!$AC$25:$AC$150,$G515)</f>
        <v>0</v>
      </c>
      <c r="AQ515" s="171">
        <f ca="1">SUMIFS(Покупка!AP$25:AP$150,Покупка!$F$25:$F$150,$F515,Покупка!$AC$25:$AC$150,$G515)</f>
        <v>0</v>
      </c>
      <c r="AR515" s="171">
        <f ca="1">SUMIFS(Покупка!AQ$25:AQ$150,Покупка!$F$25:$F$150,$F515,Покупка!$AC$25:$AC$150,$G515)</f>
        <v>0</v>
      </c>
      <c r="AS515" s="171">
        <f ca="1">SUMIFS(Покупка!AR$25:AR$150,Покупка!$F$25:$F$150,$F515,Покупка!$AC$25:$AC$150,$G515)</f>
        <v>0</v>
      </c>
      <c r="AT515" s="171">
        <f ca="1">SUMIFS(Покупка!AS$25:AS$150,Покупка!$F$25:$F$150,$F515,Покупка!$AC$25:$AC$150,$G515)</f>
        <v>0</v>
      </c>
      <c r="AU515" s="171">
        <f ca="1">SUMIFS(Покупка!AT$25:AT$150,Покупка!$F$25:$F$150,$F515,Покупка!$AC$25:$AC$150,$G515)</f>
        <v>0</v>
      </c>
      <c r="AV515" s="171">
        <f ca="1">SUMIFS(Покупка!AU$25:AU$150,Покупка!$F$25:$F$150,$F515,Покупка!$AC$25:$AC$150,$G515)</f>
        <v>0</v>
      </c>
      <c r="AW515" s="171">
        <f ca="1">SUMIFS(Покупка!AV$25:AV$150,Покупка!$F$25:$F$150,$F515,Покупка!$AC$25:$AC$150,$G515)</f>
        <v>0</v>
      </c>
      <c r="AX515" s="171">
        <f ca="1">SUMIFS(Покупка!AW$25:AW$150,Покупка!$F$25:$F$150,$F515,Покупка!$AC$25:$AC$150,$G515)</f>
        <v>0</v>
      </c>
      <c r="AY515" s="171">
        <f ca="1">SUMIFS(Покупка!AX$25:AX$150,Покупка!$F$25:$F$150,$F515,Покупка!$AC$25:$AC$150,$G515)</f>
        <v>0</v>
      </c>
      <c r="AZ515" s="171">
        <f ca="1">SUMIFS(Покупка!AY$25:AY$150,Покупка!$F$25:$F$150,$F515,Покупка!$AC$25:$AC$150,$G515)</f>
        <v>0</v>
      </c>
      <c r="BA515" s="171">
        <f ca="1">SUMIFS(Покупка!AZ$25:AZ$150,Покупка!$F$25:$F$150,$F515,Покупка!$AC$25:$AC$150,$G515)</f>
        <v>0</v>
      </c>
      <c r="BB515" s="171">
        <f ca="1">SUMIFS(Покупка!BA$25:BA$150,Покупка!$F$25:$F$150,$F515,Покупка!$AC$25:$AC$150,$G515)</f>
        <v>0</v>
      </c>
      <c r="BC515" s="171">
        <f ca="1">SUMIFS(Покупка!BB$25:BB$150,Покупка!$F$25:$F$150,$F515,Покупка!$AC$25:$AC$150,$G515)</f>
        <v>0</v>
      </c>
      <c r="BD515" s="171">
        <f t="shared" ca="1" si="153"/>
        <v>0</v>
      </c>
      <c r="BE515" s="171">
        <f t="shared" ca="1" si="154"/>
        <v>0</v>
      </c>
      <c r="BF515" s="171">
        <f t="shared" ca="1" si="155"/>
        <v>0</v>
      </c>
      <c r="BG515" s="171">
        <f t="shared" ca="1" si="156"/>
        <v>0</v>
      </c>
      <c r="BH515" s="171">
        <f t="shared" ca="1" si="157"/>
        <v>0</v>
      </c>
      <c r="BI515" s="171">
        <f t="shared" ca="1" si="158"/>
        <v>0</v>
      </c>
      <c r="BJ515" s="171">
        <f t="shared" ca="1" si="159"/>
        <v>0</v>
      </c>
      <c r="BK515" s="171">
        <f t="shared" ca="1" si="160"/>
        <v>0</v>
      </c>
      <c r="BL515" s="171">
        <f t="shared" ca="1" si="161"/>
        <v>0</v>
      </c>
      <c r="BM515" s="171">
        <f t="shared" ca="1" si="162"/>
        <v>0</v>
      </c>
      <c r="BN515" s="196"/>
      <c r="BO515" s="601" t="str">
        <f ca="1">IF(IFERROR(INDEX(Покупка!$K$26:$L$150,MATCH($F515&amp;"1komm",Покупка!$K$26:$K$150,0),2),"")=0,"",IFERROR(INDEX(Покупка!$K$26:$L$150,MATCH($F515&amp;"1komm",Покупка!$K$26:$K$150,0),2),""))</f>
        <v/>
      </c>
      <c r="BP515" s="196"/>
      <c r="BS515" s="696" t="s">
        <v>2059</v>
      </c>
    </row>
    <row r="516" spans="1:75" ht="14.25" customHeight="1" x14ac:dyDescent="0.15">
      <c r="C516" s="25"/>
      <c r="D516" s="25"/>
      <c r="E516" s="451">
        <v>15</v>
      </c>
      <c r="F516" s="3" t="str" cm="1">
        <f t="array" aca="1" ref="F516" ca="1">OFFSET(E516,-1,1)</f>
        <v>3</v>
      </c>
      <c r="G516" s="25" t="s">
        <v>1152</v>
      </c>
      <c r="H516" s="25"/>
      <c r="I516" s="25" t="s">
        <v>1686</v>
      </c>
      <c r="J516" s="25"/>
      <c r="K516" s="25" t="s">
        <v>1686</v>
      </c>
      <c r="L516" s="25"/>
      <c r="M516" s="25"/>
      <c r="N516" s="25"/>
      <c r="O516" s="25"/>
      <c r="P516" s="25"/>
      <c r="Q516" s="25"/>
      <c r="R516" s="25"/>
      <c r="S516" s="25"/>
      <c r="T516" s="353" t="b" cm="1">
        <f t="array" aca="1" ref="T516" ca="1">T515</f>
        <v>1</v>
      </c>
      <c r="U516" s="25"/>
      <c r="V516" s="25"/>
      <c r="W516" s="25"/>
      <c r="X516" s="1022"/>
      <c r="Z516" s="967"/>
      <c r="AB516" s="7" t="s">
        <v>2060</v>
      </c>
      <c r="AC516" s="134" t="s">
        <v>2061</v>
      </c>
      <c r="AD516" s="7" t="s">
        <v>828</v>
      </c>
      <c r="AE516" s="171">
        <f ca="1">SUMIFS(Покупка!AE$25:AE$150,Покупка!$F$25:$F$150,$F516,Покупка!$AC$25:$AC$150,$G516)</f>
        <v>0</v>
      </c>
      <c r="AF516" s="171">
        <f ca="1">SUMIFS(Покупка!AF$25:AF$150,Покупка!$F$25:$F$150,$F516,Покупка!$AC$25:$AC$150,$G516)</f>
        <v>0</v>
      </c>
      <c r="AG516" s="171">
        <f ca="1">SUMIFS(Покупка!AG$25:AG$150,Покупка!$F$25:$F$150,$F516,Покупка!$AC$25:$AC$150,$G516)</f>
        <v>0</v>
      </c>
      <c r="AH516" s="171">
        <f t="shared" ca="1" si="151"/>
        <v>0</v>
      </c>
      <c r="AI516" s="171">
        <f ca="1">SUMIFS(Покупка!AH$25:AH$150,Покупка!$F$25:$F$150,$F516,Покупка!$AC$25:$AC$150,$G516)</f>
        <v>0</v>
      </c>
      <c r="AJ516" s="171">
        <f ca="1">SUMIFS(Покупка!AI$25:AI$150,Покупка!$F$25:$F$150,$F516,Покупка!$AC$25:$AC$150,$G516)</f>
        <v>0</v>
      </c>
      <c r="AK516" s="171">
        <f ca="1">SUMIFS(Покупка!AJ$25:AJ$150,Покупка!$F$25:$F$150,$F516,Покупка!$AC$25:$AC$150,$G516)</f>
        <v>0</v>
      </c>
      <c r="AL516" s="171">
        <f ca="1">SUMIFS(Покупка!AK$25:AK$150,Покупка!$F$25:$F$150,$F516,Покупка!$AC$25:$AC$150,$G516)</f>
        <v>0</v>
      </c>
      <c r="AM516" s="171">
        <f ca="1">SUMIFS(Покупка!AL$25:AL$150,Покупка!$F$25:$F$150,$F516,Покупка!$AC$25:$AC$150,$G516)</f>
        <v>0</v>
      </c>
      <c r="AN516" s="171">
        <f ca="1">SUMIFS(Покупка!AM$25:AM$150,Покупка!$F$25:$F$150,$F516,Покупка!$AC$25:$AC$150,$G516)</f>
        <v>0</v>
      </c>
      <c r="AO516" s="171">
        <f ca="1">SUMIFS(Покупка!AN$25:AN$150,Покупка!$F$25:$F$150,$F516,Покупка!$AC$25:$AC$150,$G516)</f>
        <v>0</v>
      </c>
      <c r="AP516" s="171">
        <f ca="1">SUMIFS(Покупка!AO$25:AO$150,Покупка!$F$25:$F$150,$F516,Покупка!$AC$25:$AC$150,$G516)</f>
        <v>0</v>
      </c>
      <c r="AQ516" s="171">
        <f ca="1">SUMIFS(Покупка!AP$25:AP$150,Покупка!$F$25:$F$150,$F516,Покупка!$AC$25:$AC$150,$G516)</f>
        <v>0</v>
      </c>
      <c r="AR516" s="171">
        <f ca="1">SUMIFS(Покупка!AQ$25:AQ$150,Покупка!$F$25:$F$150,$F516,Покупка!$AC$25:$AC$150,$G516)</f>
        <v>0</v>
      </c>
      <c r="AS516" s="171">
        <f ca="1">SUMIFS(Покупка!AR$25:AR$150,Покупка!$F$25:$F$150,$F516,Покупка!$AC$25:$AC$150,$G516)</f>
        <v>0</v>
      </c>
      <c r="AT516" s="171">
        <f ca="1">SUMIFS(Покупка!AS$25:AS$150,Покупка!$F$25:$F$150,$F516,Покупка!$AC$25:$AC$150,$G516)</f>
        <v>0</v>
      </c>
      <c r="AU516" s="171">
        <f ca="1">SUMIFS(Покупка!AT$25:AT$150,Покупка!$F$25:$F$150,$F516,Покупка!$AC$25:$AC$150,$G516)</f>
        <v>0</v>
      </c>
      <c r="AV516" s="171">
        <f ca="1">SUMIFS(Покупка!AU$25:AU$150,Покупка!$F$25:$F$150,$F516,Покупка!$AC$25:$AC$150,$G516)</f>
        <v>0</v>
      </c>
      <c r="AW516" s="171">
        <f ca="1">SUMIFS(Покупка!AV$25:AV$150,Покупка!$F$25:$F$150,$F516,Покупка!$AC$25:$AC$150,$G516)</f>
        <v>0</v>
      </c>
      <c r="AX516" s="171">
        <f ca="1">SUMIFS(Покупка!AW$25:AW$150,Покупка!$F$25:$F$150,$F516,Покупка!$AC$25:$AC$150,$G516)</f>
        <v>0</v>
      </c>
      <c r="AY516" s="171">
        <f ca="1">SUMIFS(Покупка!AX$25:AX$150,Покупка!$F$25:$F$150,$F516,Покупка!$AC$25:$AC$150,$G516)</f>
        <v>0</v>
      </c>
      <c r="AZ516" s="171">
        <f ca="1">SUMIFS(Покупка!AY$25:AY$150,Покупка!$F$25:$F$150,$F516,Покупка!$AC$25:$AC$150,$G516)</f>
        <v>0</v>
      </c>
      <c r="BA516" s="171">
        <f ca="1">SUMIFS(Покупка!AZ$25:AZ$150,Покупка!$F$25:$F$150,$F516,Покупка!$AC$25:$AC$150,$G516)</f>
        <v>0</v>
      </c>
      <c r="BB516" s="171">
        <f ca="1">SUMIFS(Покупка!BA$25:BA$150,Покупка!$F$25:$F$150,$F516,Покупка!$AC$25:$AC$150,$G516)</f>
        <v>0</v>
      </c>
      <c r="BC516" s="171">
        <f ca="1">SUMIFS(Покупка!BB$25:BB$150,Покупка!$F$25:$F$150,$F516,Покупка!$AC$25:$AC$150,$G516)</f>
        <v>0</v>
      </c>
      <c r="BD516" s="171">
        <f t="shared" ca="1" si="153"/>
        <v>0</v>
      </c>
      <c r="BE516" s="171">
        <f t="shared" ca="1" si="154"/>
        <v>0</v>
      </c>
      <c r="BF516" s="171">
        <f t="shared" ca="1" si="155"/>
        <v>0</v>
      </c>
      <c r="BG516" s="171">
        <f t="shared" ca="1" si="156"/>
        <v>0</v>
      </c>
      <c r="BH516" s="171">
        <f t="shared" ca="1" si="157"/>
        <v>0</v>
      </c>
      <c r="BI516" s="171">
        <f t="shared" ca="1" si="158"/>
        <v>0</v>
      </c>
      <c r="BJ516" s="171">
        <f t="shared" ca="1" si="159"/>
        <v>0</v>
      </c>
      <c r="BK516" s="171">
        <f t="shared" ca="1" si="160"/>
        <v>0</v>
      </c>
      <c r="BL516" s="171">
        <f t="shared" ca="1" si="161"/>
        <v>0</v>
      </c>
      <c r="BM516" s="171">
        <f t="shared" ca="1" si="162"/>
        <v>0</v>
      </c>
      <c r="BN516" s="196"/>
      <c r="BO516" s="601" t="str">
        <f ca="1">IF(IFERROR(INDEX(Покупка!$K$26:$L$150,MATCH($F516&amp;"8komm",Покупка!$K$26:$K$150,0),2),"")=0,"",IFERROR(INDEX(Покупка!$K$26:$L$150,MATCH($F516&amp;"8komm",Покупка!$K$26:$K$150,0),2),""))</f>
        <v/>
      </c>
      <c r="BP516" s="196"/>
      <c r="BS516" s="696" t="s">
        <v>1153</v>
      </c>
    </row>
    <row r="517" spans="1:75" ht="14.25" customHeight="1" x14ac:dyDescent="0.15">
      <c r="C517" s="25"/>
      <c r="D517" s="25"/>
      <c r="E517" s="451">
        <v>15</v>
      </c>
      <c r="F517" s="3" t="str" cm="1">
        <f t="array" aca="1" ref="F517" ca="1">OFFSET(E517,-1,1)</f>
        <v>3</v>
      </c>
      <c r="G517" s="25"/>
      <c r="H517" s="25"/>
      <c r="I517" s="25" t="s">
        <v>2062</v>
      </c>
      <c r="J517" s="25"/>
      <c r="K517" s="25" t="s">
        <v>2062</v>
      </c>
      <c r="L517" s="25"/>
      <c r="M517" s="25"/>
      <c r="N517" s="25"/>
      <c r="O517" s="25"/>
      <c r="P517" s="25"/>
      <c r="Q517" s="25"/>
      <c r="R517" s="25"/>
      <c r="S517" s="25"/>
      <c r="T517" s="353" t="b" cm="1">
        <f t="array" aca="1" ref="T517" ca="1">T516</f>
        <v>1</v>
      </c>
      <c r="U517" s="25"/>
      <c r="V517" s="25"/>
      <c r="W517" s="25"/>
      <c r="X517" s="1022"/>
      <c r="Z517" s="967"/>
      <c r="AB517" s="7" t="s">
        <v>2063</v>
      </c>
      <c r="AC517" s="134" t="s">
        <v>2064</v>
      </c>
      <c r="AD517" s="7" t="s">
        <v>828</v>
      </c>
      <c r="AE517" s="128"/>
      <c r="AF517" s="128"/>
      <c r="AG517" s="128"/>
      <c r="AH517" s="171">
        <f t="shared" si="151"/>
        <v>0</v>
      </c>
      <c r="AI517" s="128"/>
      <c r="AJ517" s="128"/>
      <c r="AK517" s="778"/>
      <c r="AL517" s="778"/>
      <c r="AM517" s="128"/>
      <c r="AN517" s="128"/>
      <c r="AO517" s="128"/>
      <c r="AP517" s="128"/>
      <c r="AQ517" s="128"/>
      <c r="AR517" s="128"/>
      <c r="AS517" s="128"/>
      <c r="AT517" s="128"/>
      <c r="AU517" s="778"/>
      <c r="AV517" s="778"/>
      <c r="AW517" s="128"/>
      <c r="AX517" s="128"/>
      <c r="AY517" s="128"/>
      <c r="AZ517" s="128"/>
      <c r="BA517" s="128"/>
      <c r="BB517" s="128"/>
      <c r="BC517" s="128"/>
      <c r="BD517" s="171">
        <f t="shared" si="153"/>
        <v>0</v>
      </c>
      <c r="BE517" s="171">
        <f t="shared" si="154"/>
        <v>0</v>
      </c>
      <c r="BF517" s="171">
        <f t="shared" si="155"/>
        <v>0</v>
      </c>
      <c r="BG517" s="171">
        <f t="shared" si="156"/>
        <v>0</v>
      </c>
      <c r="BH517" s="171">
        <f t="shared" si="157"/>
        <v>0</v>
      </c>
      <c r="BI517" s="171">
        <f t="shared" si="158"/>
        <v>0</v>
      </c>
      <c r="BJ517" s="171">
        <f t="shared" si="159"/>
        <v>0</v>
      </c>
      <c r="BK517" s="171">
        <f t="shared" si="160"/>
        <v>0</v>
      </c>
      <c r="BL517" s="171">
        <f t="shared" si="161"/>
        <v>0</v>
      </c>
      <c r="BM517" s="171">
        <f t="shared" si="162"/>
        <v>0</v>
      </c>
      <c r="BN517" s="196"/>
      <c r="BO517" s="196"/>
      <c r="BP517" s="196"/>
      <c r="BS517" s="696" t="s">
        <v>2065</v>
      </c>
    </row>
    <row r="518" spans="1:75" ht="14.25" customHeight="1" x14ac:dyDescent="0.15">
      <c r="C518" s="25"/>
      <c r="D518" s="25"/>
      <c r="E518" s="451">
        <v>15</v>
      </c>
      <c r="F518" s="3" t="str" cm="1">
        <f t="array" aca="1" ref="F518" ca="1">OFFSET(E518,-1,1)</f>
        <v>3</v>
      </c>
      <c r="G518" s="25"/>
      <c r="H518" s="25"/>
      <c r="I518" s="25" t="s">
        <v>2066</v>
      </c>
      <c r="J518" s="25"/>
      <c r="K518" s="25" t="s">
        <v>2066</v>
      </c>
      <c r="L518" s="25"/>
      <c r="M518" s="25"/>
      <c r="N518" s="25"/>
      <c r="O518" s="25"/>
      <c r="P518" s="25"/>
      <c r="Q518" s="25"/>
      <c r="R518" s="25"/>
      <c r="S518" s="25"/>
      <c r="T518" s="353" t="b" cm="1">
        <f t="array" aca="1" ref="T518" ca="1">T517</f>
        <v>1</v>
      </c>
      <c r="U518" s="25"/>
      <c r="V518" s="25"/>
      <c r="W518" s="25"/>
      <c r="X518" s="1022"/>
      <c r="Z518" s="967"/>
      <c r="AB518" s="7" t="s">
        <v>2067</v>
      </c>
      <c r="AC518" s="134" t="s">
        <v>2068</v>
      </c>
      <c r="AD518" s="7" t="s">
        <v>828</v>
      </c>
      <c r="AE518" s="128"/>
      <c r="AF518" s="128"/>
      <c r="AG518" s="128"/>
      <c r="AH518" s="171">
        <f t="shared" si="151"/>
        <v>0</v>
      </c>
      <c r="AI518" s="128"/>
      <c r="AJ518" s="128"/>
      <c r="AK518" s="778"/>
      <c r="AL518" s="778"/>
      <c r="AM518" s="128"/>
      <c r="AN518" s="128"/>
      <c r="AO518" s="128"/>
      <c r="AP518" s="128"/>
      <c r="AQ518" s="128"/>
      <c r="AR518" s="128"/>
      <c r="AS518" s="128"/>
      <c r="AT518" s="128"/>
      <c r="AU518" s="778"/>
      <c r="AV518" s="778"/>
      <c r="AW518" s="128"/>
      <c r="AX518" s="128"/>
      <c r="AY518" s="128"/>
      <c r="AZ518" s="128"/>
      <c r="BA518" s="128"/>
      <c r="BB518" s="128"/>
      <c r="BC518" s="128"/>
      <c r="BD518" s="171">
        <f t="shared" si="153"/>
        <v>0</v>
      </c>
      <c r="BE518" s="171">
        <f t="shared" si="154"/>
        <v>0</v>
      </c>
      <c r="BF518" s="171">
        <f t="shared" si="155"/>
        <v>0</v>
      </c>
      <c r="BG518" s="171">
        <f t="shared" si="156"/>
        <v>0</v>
      </c>
      <c r="BH518" s="171">
        <f t="shared" si="157"/>
        <v>0</v>
      </c>
      <c r="BI518" s="171">
        <f t="shared" si="158"/>
        <v>0</v>
      </c>
      <c r="BJ518" s="171">
        <f t="shared" si="159"/>
        <v>0</v>
      </c>
      <c r="BK518" s="171">
        <f t="shared" si="160"/>
        <v>0</v>
      </c>
      <c r="BL518" s="171">
        <f t="shared" si="161"/>
        <v>0</v>
      </c>
      <c r="BM518" s="171">
        <f t="shared" si="162"/>
        <v>0</v>
      </c>
      <c r="BN518" s="196"/>
      <c r="BO518" s="196"/>
      <c r="BP518" s="196"/>
      <c r="BS518" s="696" t="s">
        <v>2069</v>
      </c>
    </row>
    <row r="519" spans="1:75" ht="14.25" customHeight="1" x14ac:dyDescent="0.15">
      <c r="C519" s="25"/>
      <c r="D519" s="25"/>
      <c r="E519" s="451">
        <v>15</v>
      </c>
      <c r="F519" s="3" t="str" cm="1">
        <f t="array" aca="1" ref="F519" ca="1">OFFSET(E519,-1,1)</f>
        <v>3</v>
      </c>
      <c r="G519" s="25" t="s">
        <v>1130</v>
      </c>
      <c r="H519" s="25"/>
      <c r="I519" s="25" t="s">
        <v>2070</v>
      </c>
      <c r="J519" s="25"/>
      <c r="K519" s="25" t="s">
        <v>2070</v>
      </c>
      <c r="L519" s="25" t="s">
        <v>1528</v>
      </c>
      <c r="M519" s="25"/>
      <c r="N519" s="25"/>
      <c r="O519" s="25"/>
      <c r="P519" s="25"/>
      <c r="Q519" s="25"/>
      <c r="R519" s="25"/>
      <c r="S519" s="25"/>
      <c r="T519" s="353" t="b" cm="1">
        <f t="array" aca="1" ref="T519" ca="1">T518</f>
        <v>1</v>
      </c>
      <c r="U519" s="25"/>
      <c r="V519" s="25"/>
      <c r="W519" s="25"/>
      <c r="X519" s="1022"/>
      <c r="Z519" s="967"/>
      <c r="AB519" s="7" t="s">
        <v>2071</v>
      </c>
      <c r="AC519" s="134" t="s">
        <v>2072</v>
      </c>
      <c r="AD519" s="7" t="s">
        <v>828</v>
      </c>
      <c r="AE519" s="171">
        <f ca="1">SUMIFS(Покупка!AE$25:AE$150,Покупка!$F$25:$F$150,$F519,Покупка!$AC$25:$AC$150,$G519)</f>
        <v>0</v>
      </c>
      <c r="AF519" s="171">
        <f ca="1">SUMIFS(Покупка!AF$25:AF$150,Покупка!$F$25:$F$150,$F519,Покупка!$AC$25:$AC$150,$G519)</f>
        <v>0</v>
      </c>
      <c r="AG519" s="171">
        <f ca="1">SUMIFS(Покупка!AG$25:AG$150,Покупка!$F$25:$F$150,$F519,Покупка!$AC$25:$AC$150,$G519)</f>
        <v>0</v>
      </c>
      <c r="AH519" s="171">
        <f t="shared" ca="1" si="151"/>
        <v>0</v>
      </c>
      <c r="AI519" s="171">
        <f ca="1">SUMIFS(Покупка!AH$25:AH$150,Покупка!$F$25:$F$150,$F519,Покупка!$AC$25:$AC$150,$G519)</f>
        <v>0</v>
      </c>
      <c r="AJ519" s="171">
        <f ca="1">SUMIFS(Покупка!AI$25:AI$150,Покупка!$F$25:$F$150,$F519,Покупка!$AC$25:$AC$150,$G519)</f>
        <v>0</v>
      </c>
      <c r="AK519" s="171">
        <f ca="1">SUMIFS(Покупка!AJ$25:AJ$150,Покупка!$F$25:$F$150,$F519,Покупка!$AC$25:$AC$150,$G519)</f>
        <v>0</v>
      </c>
      <c r="AL519" s="171">
        <f ca="1">SUMIFS(Покупка!AK$25:AK$150,Покупка!$F$25:$F$150,$F519,Покупка!$AC$25:$AC$150,$G519)</f>
        <v>0</v>
      </c>
      <c r="AM519" s="171">
        <f ca="1">SUMIFS(Покупка!AL$25:AL$150,Покупка!$F$25:$F$150,$F519,Покупка!$AC$25:$AC$150,$G519)</f>
        <v>0</v>
      </c>
      <c r="AN519" s="171">
        <f ca="1">SUMIFS(Покупка!AM$25:AM$150,Покупка!$F$25:$F$150,$F519,Покупка!$AC$25:$AC$150,$G519)</f>
        <v>0</v>
      </c>
      <c r="AO519" s="171">
        <f ca="1">SUMIFS(Покупка!AN$25:AN$150,Покупка!$F$25:$F$150,$F519,Покупка!$AC$25:$AC$150,$G519)</f>
        <v>0</v>
      </c>
      <c r="AP519" s="171">
        <f ca="1">SUMIFS(Покупка!AO$25:AO$150,Покупка!$F$25:$F$150,$F519,Покупка!$AC$25:$AC$150,$G519)</f>
        <v>0</v>
      </c>
      <c r="AQ519" s="171">
        <f ca="1">SUMIFS(Покупка!AP$25:AP$150,Покупка!$F$25:$F$150,$F519,Покупка!$AC$25:$AC$150,$G519)</f>
        <v>0</v>
      </c>
      <c r="AR519" s="171">
        <f ca="1">SUMIFS(Покупка!AQ$25:AQ$150,Покупка!$F$25:$F$150,$F519,Покупка!$AC$25:$AC$150,$G519)</f>
        <v>0</v>
      </c>
      <c r="AS519" s="171">
        <f ca="1">SUMIFS(Покупка!AR$25:AR$150,Покупка!$F$25:$F$150,$F519,Покупка!$AC$25:$AC$150,$G519)</f>
        <v>0</v>
      </c>
      <c r="AT519" s="171">
        <f ca="1">SUMIFS(Покупка!AS$25:AS$150,Покупка!$F$25:$F$150,$F519,Покупка!$AC$25:$AC$150,$G519)</f>
        <v>0</v>
      </c>
      <c r="AU519" s="171">
        <f ca="1">SUMIFS(Покупка!AT$25:AT$150,Покупка!$F$25:$F$150,$F519,Покупка!$AC$25:$AC$150,$G519)</f>
        <v>0</v>
      </c>
      <c r="AV519" s="171">
        <f ca="1">SUMIFS(Покупка!AU$25:AU$150,Покупка!$F$25:$F$150,$F519,Покупка!$AC$25:$AC$150,$G519)</f>
        <v>0</v>
      </c>
      <c r="AW519" s="171">
        <f ca="1">SUMIFS(Покупка!AV$25:AV$150,Покупка!$F$25:$F$150,$F519,Покупка!$AC$25:$AC$150,$G519)</f>
        <v>0</v>
      </c>
      <c r="AX519" s="171">
        <f ca="1">SUMIFS(Покупка!AW$25:AW$150,Покупка!$F$25:$F$150,$F519,Покупка!$AC$25:$AC$150,$G519)</f>
        <v>0</v>
      </c>
      <c r="AY519" s="171">
        <f ca="1">SUMIFS(Покупка!AX$25:AX$150,Покупка!$F$25:$F$150,$F519,Покупка!$AC$25:$AC$150,$G519)</f>
        <v>0</v>
      </c>
      <c r="AZ519" s="171">
        <f ca="1">SUMIFS(Покупка!AY$25:AY$150,Покупка!$F$25:$F$150,$F519,Покупка!$AC$25:$AC$150,$G519)</f>
        <v>0</v>
      </c>
      <c r="BA519" s="171">
        <f ca="1">SUMIFS(Покупка!AZ$25:AZ$150,Покупка!$F$25:$F$150,$F519,Покупка!$AC$25:$AC$150,$G519)</f>
        <v>0</v>
      </c>
      <c r="BB519" s="171">
        <f ca="1">SUMIFS(Покупка!BA$25:BA$150,Покупка!$F$25:$F$150,$F519,Покупка!$AC$25:$AC$150,$G519)</f>
        <v>0</v>
      </c>
      <c r="BC519" s="171">
        <f ca="1">SUMIFS(Покупка!BB$25:BB$150,Покупка!$F$25:$F$150,$F519,Покупка!$AC$25:$AC$150,$G519)</f>
        <v>0</v>
      </c>
      <c r="BD519" s="171">
        <f t="shared" ca="1" si="153"/>
        <v>0</v>
      </c>
      <c r="BE519" s="171">
        <f t="shared" ca="1" si="154"/>
        <v>0</v>
      </c>
      <c r="BF519" s="171">
        <f t="shared" ca="1" si="155"/>
        <v>0</v>
      </c>
      <c r="BG519" s="171">
        <f t="shared" ca="1" si="156"/>
        <v>0</v>
      </c>
      <c r="BH519" s="171">
        <f t="shared" ca="1" si="157"/>
        <v>0</v>
      </c>
      <c r="BI519" s="171">
        <f t="shared" ca="1" si="158"/>
        <v>0</v>
      </c>
      <c r="BJ519" s="171">
        <f t="shared" ca="1" si="159"/>
        <v>0</v>
      </c>
      <c r="BK519" s="171">
        <f t="shared" ca="1" si="160"/>
        <v>0</v>
      </c>
      <c r="BL519" s="171">
        <f t="shared" ca="1" si="161"/>
        <v>0</v>
      </c>
      <c r="BM519" s="171">
        <f t="shared" ca="1" si="162"/>
        <v>0</v>
      </c>
      <c r="BN519" s="196"/>
      <c r="BO519" s="601" t="str">
        <f ca="1">IF(IFERROR(INDEX(Покупка!$K$26:$L$150,MATCH($F519&amp;"3komm",Покупка!$K$26:$K$150,0),2),"")=0,"",IFERROR(INDEX(Покупка!$K$26:$L$150,MATCH($F519&amp;"3komm",Покупка!$K$26:$K$150,0),2),""))</f>
        <v/>
      </c>
      <c r="BP519" s="196"/>
      <c r="BS519" s="696" t="s">
        <v>1763</v>
      </c>
    </row>
    <row r="520" spans="1:75" ht="14.25" customHeight="1" x14ac:dyDescent="0.15">
      <c r="C520" s="25"/>
      <c r="D520" s="25"/>
      <c r="E520" s="451">
        <v>15</v>
      </c>
      <c r="F520" s="3" t="str" cm="1">
        <f t="array" aca="1" ref="F520" ca="1">OFFSET(E520,-1,1)</f>
        <v>3</v>
      </c>
      <c r="G520" s="25" t="s">
        <v>1136</v>
      </c>
      <c r="H520" s="25"/>
      <c r="I520" s="25" t="s">
        <v>2073</v>
      </c>
      <c r="J520" s="25"/>
      <c r="K520" s="25" t="s">
        <v>2073</v>
      </c>
      <c r="L520" s="25" t="s">
        <v>1533</v>
      </c>
      <c r="M520" s="25"/>
      <c r="N520" s="25"/>
      <c r="O520" s="25"/>
      <c r="P520" s="25"/>
      <c r="Q520" s="25"/>
      <c r="R520" s="25"/>
      <c r="S520" s="25"/>
      <c r="T520" s="353" t="b" cm="1">
        <f t="array" aca="1" ref="T520" ca="1">T519</f>
        <v>1</v>
      </c>
      <c r="U520" s="25"/>
      <c r="V520" s="25"/>
      <c r="W520" s="25"/>
      <c r="X520" s="1022"/>
      <c r="Z520" s="967"/>
      <c r="AB520" s="7" t="s">
        <v>2074</v>
      </c>
      <c r="AC520" s="134" t="s">
        <v>2075</v>
      </c>
      <c r="AD520" s="7" t="s">
        <v>828</v>
      </c>
      <c r="AE520" s="171">
        <f ca="1">SUMIFS(Покупка!AE$25:AE$150,Покупка!$F$25:$F$150,$F520,Покупка!$AC$25:$AC$150,$G520)</f>
        <v>0</v>
      </c>
      <c r="AF520" s="171">
        <f ca="1">SUMIFS(Покупка!AF$25:AF$150,Покупка!$F$25:$F$150,$F520,Покупка!$AC$25:$AC$150,$G520)</f>
        <v>0</v>
      </c>
      <c r="AG520" s="171">
        <f ca="1">SUMIFS(Покупка!AG$25:AG$150,Покупка!$F$25:$F$150,$F520,Покупка!$AC$25:$AC$150,$G520)</f>
        <v>0</v>
      </c>
      <c r="AH520" s="171">
        <f t="shared" ca="1" si="151"/>
        <v>0</v>
      </c>
      <c r="AI520" s="171">
        <f ca="1">SUMIFS(Покупка!AH$25:AH$150,Покупка!$F$25:$F$150,$F520,Покупка!$AC$25:$AC$150,$G520)</f>
        <v>0</v>
      </c>
      <c r="AJ520" s="171">
        <f ca="1">SUMIFS(Покупка!AI$25:AI$150,Покупка!$F$25:$F$150,$F520,Покупка!$AC$25:$AC$150,$G520)</f>
        <v>0</v>
      </c>
      <c r="AK520" s="171">
        <f ca="1">SUMIFS(Покупка!AJ$25:AJ$150,Покупка!$F$25:$F$150,$F520,Покупка!$AC$25:$AC$150,$G520)</f>
        <v>0</v>
      </c>
      <c r="AL520" s="171">
        <f ca="1">SUMIFS(Покупка!AK$25:AK$150,Покупка!$F$25:$F$150,$F520,Покупка!$AC$25:$AC$150,$G520)</f>
        <v>0</v>
      </c>
      <c r="AM520" s="171">
        <f ca="1">SUMIFS(Покупка!AL$25:AL$150,Покупка!$F$25:$F$150,$F520,Покупка!$AC$25:$AC$150,$G520)</f>
        <v>0</v>
      </c>
      <c r="AN520" s="171">
        <f ca="1">SUMIFS(Покупка!AM$25:AM$150,Покупка!$F$25:$F$150,$F520,Покупка!$AC$25:$AC$150,$G520)</f>
        <v>0</v>
      </c>
      <c r="AO520" s="171">
        <f ca="1">SUMIFS(Покупка!AN$25:AN$150,Покупка!$F$25:$F$150,$F520,Покупка!$AC$25:$AC$150,$G520)</f>
        <v>0</v>
      </c>
      <c r="AP520" s="171">
        <f ca="1">SUMIFS(Покупка!AO$25:AO$150,Покупка!$F$25:$F$150,$F520,Покупка!$AC$25:$AC$150,$G520)</f>
        <v>0</v>
      </c>
      <c r="AQ520" s="171">
        <f ca="1">SUMIFS(Покупка!AP$25:AP$150,Покупка!$F$25:$F$150,$F520,Покупка!$AC$25:$AC$150,$G520)</f>
        <v>0</v>
      </c>
      <c r="AR520" s="171">
        <f ca="1">SUMIFS(Покупка!AQ$25:AQ$150,Покупка!$F$25:$F$150,$F520,Покупка!$AC$25:$AC$150,$G520)</f>
        <v>0</v>
      </c>
      <c r="AS520" s="171">
        <f ca="1">SUMIFS(Покупка!AR$25:AR$150,Покупка!$F$25:$F$150,$F520,Покупка!$AC$25:$AC$150,$G520)</f>
        <v>0</v>
      </c>
      <c r="AT520" s="171">
        <f ca="1">SUMIFS(Покупка!AS$25:AS$150,Покупка!$F$25:$F$150,$F520,Покупка!$AC$25:$AC$150,$G520)</f>
        <v>0</v>
      </c>
      <c r="AU520" s="171">
        <f ca="1">SUMIFS(Покупка!AT$25:AT$150,Покупка!$F$25:$F$150,$F520,Покупка!$AC$25:$AC$150,$G520)</f>
        <v>0</v>
      </c>
      <c r="AV520" s="171">
        <f ca="1">SUMIFS(Покупка!AU$25:AU$150,Покупка!$F$25:$F$150,$F520,Покупка!$AC$25:$AC$150,$G520)</f>
        <v>0</v>
      </c>
      <c r="AW520" s="171">
        <f ca="1">SUMIFS(Покупка!AV$25:AV$150,Покупка!$F$25:$F$150,$F520,Покупка!$AC$25:$AC$150,$G520)</f>
        <v>0</v>
      </c>
      <c r="AX520" s="171">
        <f ca="1">SUMIFS(Покупка!AW$25:AW$150,Покупка!$F$25:$F$150,$F520,Покупка!$AC$25:$AC$150,$G520)</f>
        <v>0</v>
      </c>
      <c r="AY520" s="171">
        <f ca="1">SUMIFS(Покупка!AX$25:AX$150,Покупка!$F$25:$F$150,$F520,Покупка!$AC$25:$AC$150,$G520)</f>
        <v>0</v>
      </c>
      <c r="AZ520" s="171">
        <f ca="1">SUMIFS(Покупка!AY$25:AY$150,Покупка!$F$25:$F$150,$F520,Покупка!$AC$25:$AC$150,$G520)</f>
        <v>0</v>
      </c>
      <c r="BA520" s="171">
        <f ca="1">SUMIFS(Покупка!AZ$25:AZ$150,Покупка!$F$25:$F$150,$F520,Покупка!$AC$25:$AC$150,$G520)</f>
        <v>0</v>
      </c>
      <c r="BB520" s="171">
        <f ca="1">SUMIFS(Покупка!BA$25:BA$150,Покупка!$F$25:$F$150,$F520,Покупка!$AC$25:$AC$150,$G520)</f>
        <v>0</v>
      </c>
      <c r="BC520" s="171">
        <f ca="1">SUMIFS(Покупка!BB$25:BB$150,Покупка!$F$25:$F$150,$F520,Покупка!$AC$25:$AC$150,$G520)</f>
        <v>0</v>
      </c>
      <c r="BD520" s="171">
        <f t="shared" ca="1" si="153"/>
        <v>0</v>
      </c>
      <c r="BE520" s="171">
        <f t="shared" ca="1" si="154"/>
        <v>0</v>
      </c>
      <c r="BF520" s="171">
        <f t="shared" ca="1" si="155"/>
        <v>0</v>
      </c>
      <c r="BG520" s="171">
        <f t="shared" ca="1" si="156"/>
        <v>0</v>
      </c>
      <c r="BH520" s="171">
        <f t="shared" ca="1" si="157"/>
        <v>0</v>
      </c>
      <c r="BI520" s="171">
        <f t="shared" ca="1" si="158"/>
        <v>0</v>
      </c>
      <c r="BJ520" s="171">
        <f t="shared" ca="1" si="159"/>
        <v>0</v>
      </c>
      <c r="BK520" s="171">
        <f t="shared" ca="1" si="160"/>
        <v>0</v>
      </c>
      <c r="BL520" s="171">
        <f t="shared" ca="1" si="161"/>
        <v>0</v>
      </c>
      <c r="BM520" s="171">
        <f t="shared" ca="1" si="162"/>
        <v>0</v>
      </c>
      <c r="BN520" s="196"/>
      <c r="BO520" s="601" t="str">
        <f ca="1">IF(IFERROR(INDEX(Покупка!$K$26:$L$150,MATCH($F520&amp;"4komm",Покупка!$K$26:$K$150,0),2),"")=0,"",IFERROR(INDEX(Покупка!$K$26:$L$150,MATCH($F519&amp;"3komm",Покупка!$K$26:$K$150,0),2),""))</f>
        <v/>
      </c>
      <c r="BP520" s="196"/>
      <c r="BS520" s="696" t="s">
        <v>1766</v>
      </c>
    </row>
    <row r="521" spans="1:75" ht="14.25" customHeight="1" x14ac:dyDescent="0.15">
      <c r="C521" s="25"/>
      <c r="D521" s="25"/>
      <c r="E521" s="451">
        <v>15</v>
      </c>
      <c r="F521" s="3" t="str" cm="1">
        <f t="array" aca="1" ref="F521" ca="1">OFFSET(E521,-1,1)</f>
        <v>3</v>
      </c>
      <c r="G521" s="25" t="s">
        <v>1142</v>
      </c>
      <c r="H521" s="25"/>
      <c r="I521" s="25" t="s">
        <v>2076</v>
      </c>
      <c r="J521" s="25"/>
      <c r="K521" s="25" t="s">
        <v>2076</v>
      </c>
      <c r="L521" s="25" t="s">
        <v>1543</v>
      </c>
      <c r="M521" s="25"/>
      <c r="N521" s="25"/>
      <c r="O521" s="25"/>
      <c r="P521" s="25"/>
      <c r="Q521" s="25"/>
      <c r="R521" s="25"/>
      <c r="S521" s="25"/>
      <c r="T521" s="353" t="b" cm="1">
        <f t="array" aca="1" ref="T521" ca="1">T520</f>
        <v>1</v>
      </c>
      <c r="U521" s="25"/>
      <c r="V521" s="25"/>
      <c r="W521" s="25"/>
      <c r="X521" s="1022"/>
      <c r="Z521" s="967"/>
      <c r="AB521" s="7" t="s">
        <v>2077</v>
      </c>
      <c r="AC521" s="134" t="s">
        <v>2078</v>
      </c>
      <c r="AD521" s="7" t="s">
        <v>828</v>
      </c>
      <c r="AE521" s="171">
        <f ca="1">SUMIFS(Покупка!AE$25:AE$150,Покупка!$F$25:$F$150,$F521,Покупка!$AC$25:$AC$150,$G521)</f>
        <v>0</v>
      </c>
      <c r="AF521" s="171">
        <f ca="1">SUMIFS(Покупка!AF$25:AF$150,Покупка!$F$25:$F$150,$F521,Покупка!$AC$25:$AC$150,$G521)</f>
        <v>0</v>
      </c>
      <c r="AG521" s="171">
        <f ca="1">SUMIFS(Покупка!AG$25:AG$150,Покупка!$F$25:$F$150,$F521,Покупка!$AC$25:$AC$150,$G521)</f>
        <v>0</v>
      </c>
      <c r="AH521" s="171">
        <f t="shared" ca="1" si="151"/>
        <v>0</v>
      </c>
      <c r="AI521" s="171">
        <f ca="1">SUMIFS(Покупка!AH$25:AH$150,Покупка!$F$25:$F$150,$F521,Покупка!$AC$25:$AC$150,$G521)</f>
        <v>0</v>
      </c>
      <c r="AJ521" s="171">
        <f ca="1">SUMIFS(Покупка!AI$25:AI$150,Покупка!$F$25:$F$150,$F521,Покупка!$AC$25:$AC$150,$G521)</f>
        <v>0</v>
      </c>
      <c r="AK521" s="171">
        <f ca="1">SUMIFS(Покупка!AJ$25:AJ$150,Покупка!$F$25:$F$150,$F521,Покупка!$AC$25:$AC$150,$G521)</f>
        <v>0</v>
      </c>
      <c r="AL521" s="171">
        <f ca="1">SUMIFS(Покупка!AK$25:AK$150,Покупка!$F$25:$F$150,$F521,Покупка!$AC$25:$AC$150,$G521)</f>
        <v>0</v>
      </c>
      <c r="AM521" s="171">
        <f ca="1">SUMIFS(Покупка!AL$25:AL$150,Покупка!$F$25:$F$150,$F521,Покупка!$AC$25:$AC$150,$G521)</f>
        <v>0</v>
      </c>
      <c r="AN521" s="171">
        <f ca="1">SUMIFS(Покупка!AM$25:AM$150,Покупка!$F$25:$F$150,$F521,Покупка!$AC$25:$AC$150,$G521)</f>
        <v>0</v>
      </c>
      <c r="AO521" s="171">
        <f ca="1">SUMIFS(Покупка!AN$25:AN$150,Покупка!$F$25:$F$150,$F521,Покупка!$AC$25:$AC$150,$G521)</f>
        <v>0</v>
      </c>
      <c r="AP521" s="171">
        <f ca="1">SUMIFS(Покупка!AO$25:AO$150,Покупка!$F$25:$F$150,$F521,Покупка!$AC$25:$AC$150,$G521)</f>
        <v>0</v>
      </c>
      <c r="AQ521" s="171">
        <f ca="1">SUMIFS(Покупка!AP$25:AP$150,Покупка!$F$25:$F$150,$F521,Покупка!$AC$25:$AC$150,$G521)</f>
        <v>0</v>
      </c>
      <c r="AR521" s="171">
        <f ca="1">SUMIFS(Покупка!AQ$25:AQ$150,Покупка!$F$25:$F$150,$F521,Покупка!$AC$25:$AC$150,$G521)</f>
        <v>0</v>
      </c>
      <c r="AS521" s="171">
        <f ca="1">SUMIFS(Покупка!AR$25:AR$150,Покупка!$F$25:$F$150,$F521,Покупка!$AC$25:$AC$150,$G521)</f>
        <v>0</v>
      </c>
      <c r="AT521" s="171">
        <f ca="1">SUMIFS(Покупка!AS$25:AS$150,Покупка!$F$25:$F$150,$F521,Покупка!$AC$25:$AC$150,$G521)</f>
        <v>0</v>
      </c>
      <c r="AU521" s="171">
        <f ca="1">SUMIFS(Покупка!AT$25:AT$150,Покупка!$F$25:$F$150,$F521,Покупка!$AC$25:$AC$150,$G521)</f>
        <v>0</v>
      </c>
      <c r="AV521" s="171">
        <f ca="1">SUMIFS(Покупка!AU$25:AU$150,Покупка!$F$25:$F$150,$F521,Покупка!$AC$25:$AC$150,$G521)</f>
        <v>0</v>
      </c>
      <c r="AW521" s="171">
        <f ca="1">SUMIFS(Покупка!AV$25:AV$150,Покупка!$F$25:$F$150,$F521,Покупка!$AC$25:$AC$150,$G521)</f>
        <v>0</v>
      </c>
      <c r="AX521" s="171">
        <f ca="1">SUMIFS(Покупка!AW$25:AW$150,Покупка!$F$25:$F$150,$F521,Покупка!$AC$25:$AC$150,$G521)</f>
        <v>0</v>
      </c>
      <c r="AY521" s="171">
        <f ca="1">SUMIFS(Покупка!AX$25:AX$150,Покупка!$F$25:$F$150,$F521,Покупка!$AC$25:$AC$150,$G521)</f>
        <v>0</v>
      </c>
      <c r="AZ521" s="171">
        <f ca="1">SUMIFS(Покупка!AY$25:AY$150,Покупка!$F$25:$F$150,$F521,Покупка!$AC$25:$AC$150,$G521)</f>
        <v>0</v>
      </c>
      <c r="BA521" s="171">
        <f ca="1">SUMIFS(Покупка!AZ$25:AZ$150,Покупка!$F$25:$F$150,$F521,Покупка!$AC$25:$AC$150,$G521)</f>
        <v>0</v>
      </c>
      <c r="BB521" s="171">
        <f ca="1">SUMIFS(Покупка!BA$25:BA$150,Покупка!$F$25:$F$150,$F521,Покупка!$AC$25:$AC$150,$G521)</f>
        <v>0</v>
      </c>
      <c r="BC521" s="171">
        <f ca="1">SUMIFS(Покупка!BB$25:BB$150,Покупка!$F$25:$F$150,$F521,Покупка!$AC$25:$AC$150,$G521)</f>
        <v>0</v>
      </c>
      <c r="BD521" s="171">
        <f t="shared" ca="1" si="153"/>
        <v>0</v>
      </c>
      <c r="BE521" s="171">
        <f t="shared" ca="1" si="154"/>
        <v>0</v>
      </c>
      <c r="BF521" s="171">
        <f t="shared" ca="1" si="155"/>
        <v>0</v>
      </c>
      <c r="BG521" s="171">
        <f t="shared" ca="1" si="156"/>
        <v>0</v>
      </c>
      <c r="BH521" s="171">
        <f t="shared" ca="1" si="157"/>
        <v>0</v>
      </c>
      <c r="BI521" s="171">
        <f t="shared" ca="1" si="158"/>
        <v>0</v>
      </c>
      <c r="BJ521" s="171">
        <f t="shared" ca="1" si="159"/>
        <v>0</v>
      </c>
      <c r="BK521" s="171">
        <f t="shared" ca="1" si="160"/>
        <v>0</v>
      </c>
      <c r="BL521" s="171">
        <f t="shared" ca="1" si="161"/>
        <v>0</v>
      </c>
      <c r="BM521" s="171">
        <f t="shared" ca="1" si="162"/>
        <v>0</v>
      </c>
      <c r="BN521" s="196"/>
      <c r="BO521" s="601" t="str">
        <f ca="1">IF(IFERROR(INDEX(Покупка!$K$26:$L$150,MATCH($F521&amp;"5komm",Покупка!$K$26:$K$150,0),2),"")=0,"",IFERROR(INDEX(Покупка!$K$26:$L$150,MATCH($F521&amp;"5komm",Покупка!$K$26:$K$150,0),2),""))</f>
        <v/>
      </c>
      <c r="BP521" s="196"/>
      <c r="BS521" s="696" t="s">
        <v>1769</v>
      </c>
    </row>
    <row r="522" spans="1:75" ht="14.25" customHeight="1" x14ac:dyDescent="0.15">
      <c r="C522" s="25"/>
      <c r="D522" s="25"/>
      <c r="E522" s="451">
        <v>15</v>
      </c>
      <c r="F522" s="3" t="str" cm="1">
        <f t="array" aca="1" ref="F522" ca="1">OFFSET(E522,-1,1)</f>
        <v>3</v>
      </c>
      <c r="G522" s="25" t="s">
        <v>1154</v>
      </c>
      <c r="H522" s="25"/>
      <c r="I522" s="25"/>
      <c r="J522" s="25"/>
      <c r="K522" s="25"/>
      <c r="L522" s="25" t="s">
        <v>1510</v>
      </c>
      <c r="M522" s="25"/>
      <c r="N522" s="25"/>
      <c r="O522" s="25"/>
      <c r="P522" s="25"/>
      <c r="Q522" s="25"/>
      <c r="R522" s="25"/>
      <c r="S522" s="25"/>
      <c r="T522" s="353" t="b" cm="1">
        <f t="array" aca="1" ref="T522" ca="1">T521</f>
        <v>1</v>
      </c>
      <c r="U522" s="25"/>
      <c r="V522" s="25"/>
      <c r="W522" s="25"/>
      <c r="X522" s="1022"/>
      <c r="Z522" s="967"/>
      <c r="AB522" s="7" t="s">
        <v>2079</v>
      </c>
      <c r="AC522" s="134" t="s">
        <v>2080</v>
      </c>
      <c r="AD522" s="7" t="s">
        <v>828</v>
      </c>
      <c r="AE522" s="171">
        <f ca="1">SUMIFS(Покупка!AE$25:AE$150,Покупка!$F$25:$F$150,$F522,Покупка!$AC$25:$AC$150,$G522)</f>
        <v>0</v>
      </c>
      <c r="AF522" s="171">
        <f ca="1">SUMIFS(Покупка!AF$25:AF$150,Покупка!$F$25:$F$150,$F522,Покупка!$AC$25:$AC$150,$G522)</f>
        <v>0</v>
      </c>
      <c r="AG522" s="171">
        <f ca="1">SUMIFS(Покупка!AG$25:AG$150,Покупка!$F$25:$F$150,$F522,Покупка!$AC$25:$AC$150,$G522)</f>
        <v>0</v>
      </c>
      <c r="AH522" s="171">
        <f t="shared" ca="1" si="151"/>
        <v>0</v>
      </c>
      <c r="AI522" s="171">
        <f ca="1">SUMIFS(Покупка!AH$25:AH$150,Покупка!$F$25:$F$150,$F522,Покупка!$AC$25:$AC$150,$G522)</f>
        <v>0</v>
      </c>
      <c r="AJ522" s="171">
        <f ca="1">SUMIFS(Покупка!AI$25:AI$150,Покупка!$F$25:$F$150,$F522,Покупка!$AC$25:$AC$150,$G522)</f>
        <v>0</v>
      </c>
      <c r="AK522" s="171">
        <f ca="1">SUMIFS(Покупка!AJ$25:AJ$150,Покупка!$F$25:$F$150,$F522,Покупка!$AC$25:$AC$150,$G522)</f>
        <v>0</v>
      </c>
      <c r="AL522" s="171">
        <f ca="1">SUMIFS(Покупка!AK$25:AK$150,Покупка!$F$25:$F$150,$F522,Покупка!$AC$25:$AC$150,$G522)</f>
        <v>0</v>
      </c>
      <c r="AM522" s="171">
        <f ca="1">SUMIFS(Покупка!AL$25:AL$150,Покупка!$F$25:$F$150,$F522,Покупка!$AC$25:$AC$150,$G522)</f>
        <v>0</v>
      </c>
      <c r="AN522" s="171">
        <f ca="1">SUMIFS(Покупка!AM$25:AM$150,Покупка!$F$25:$F$150,$F522,Покупка!$AC$25:$AC$150,$G522)</f>
        <v>0</v>
      </c>
      <c r="AO522" s="171">
        <f ca="1">SUMIFS(Покупка!AN$25:AN$150,Покупка!$F$25:$F$150,$F522,Покупка!$AC$25:$AC$150,$G522)</f>
        <v>0</v>
      </c>
      <c r="AP522" s="171">
        <f ca="1">SUMIFS(Покупка!AO$25:AO$150,Покупка!$F$25:$F$150,$F522,Покупка!$AC$25:$AC$150,$G522)</f>
        <v>0</v>
      </c>
      <c r="AQ522" s="171">
        <f ca="1">SUMIFS(Покупка!AP$25:AP$150,Покупка!$F$25:$F$150,$F522,Покупка!$AC$25:$AC$150,$G522)</f>
        <v>0</v>
      </c>
      <c r="AR522" s="171">
        <f ca="1">SUMIFS(Покупка!AQ$25:AQ$150,Покупка!$F$25:$F$150,$F522,Покупка!$AC$25:$AC$150,$G522)</f>
        <v>0</v>
      </c>
      <c r="AS522" s="171">
        <f ca="1">SUMIFS(Покупка!AR$25:AR$150,Покупка!$F$25:$F$150,$F522,Покупка!$AC$25:$AC$150,$G522)</f>
        <v>0</v>
      </c>
      <c r="AT522" s="171">
        <f ca="1">SUMIFS(Покупка!AS$25:AS$150,Покупка!$F$25:$F$150,$F522,Покупка!$AC$25:$AC$150,$G522)</f>
        <v>0</v>
      </c>
      <c r="AU522" s="171">
        <f ca="1">SUMIFS(Покупка!AT$25:AT$150,Покупка!$F$25:$F$150,$F522,Покупка!$AC$25:$AC$150,$G522)</f>
        <v>0</v>
      </c>
      <c r="AV522" s="171">
        <f ca="1">SUMIFS(Покупка!AU$25:AU$150,Покупка!$F$25:$F$150,$F522,Покупка!$AC$25:$AC$150,$G522)</f>
        <v>0</v>
      </c>
      <c r="AW522" s="171">
        <f ca="1">SUMIFS(Покупка!AV$25:AV$150,Покупка!$F$25:$F$150,$F522,Покупка!$AC$25:$AC$150,$G522)</f>
        <v>0</v>
      </c>
      <c r="AX522" s="171">
        <f ca="1">SUMIFS(Покупка!AW$25:AW$150,Покупка!$F$25:$F$150,$F522,Покупка!$AC$25:$AC$150,$G522)</f>
        <v>0</v>
      </c>
      <c r="AY522" s="171">
        <f ca="1">SUMIFS(Покупка!AX$25:AX$150,Покупка!$F$25:$F$150,$F522,Покупка!$AC$25:$AC$150,$G522)</f>
        <v>0</v>
      </c>
      <c r="AZ522" s="171">
        <f ca="1">SUMIFS(Покупка!AY$25:AY$150,Покупка!$F$25:$F$150,$F522,Покупка!$AC$25:$AC$150,$G522)</f>
        <v>0</v>
      </c>
      <c r="BA522" s="171">
        <f ca="1">SUMIFS(Покупка!AZ$25:AZ$150,Покупка!$F$25:$F$150,$F522,Покупка!$AC$25:$AC$150,$G522)</f>
        <v>0</v>
      </c>
      <c r="BB522" s="171">
        <f ca="1">SUMIFS(Покупка!BA$25:BA$150,Покупка!$F$25:$F$150,$F522,Покупка!$AC$25:$AC$150,$G522)</f>
        <v>0</v>
      </c>
      <c r="BC522" s="171">
        <f ca="1">SUMIFS(Покупка!BB$25:BB$150,Покупка!$F$25:$F$150,$F522,Покупка!$AC$25:$AC$150,$G522)</f>
        <v>0</v>
      </c>
      <c r="BD522" s="171">
        <f t="shared" ca="1" si="153"/>
        <v>0</v>
      </c>
      <c r="BE522" s="171">
        <f t="shared" ca="1" si="154"/>
        <v>0</v>
      </c>
      <c r="BF522" s="171">
        <f t="shared" ca="1" si="155"/>
        <v>0</v>
      </c>
      <c r="BG522" s="171">
        <f t="shared" ca="1" si="156"/>
        <v>0</v>
      </c>
      <c r="BH522" s="171">
        <f t="shared" ca="1" si="157"/>
        <v>0</v>
      </c>
      <c r="BI522" s="171">
        <f t="shared" ca="1" si="158"/>
        <v>0</v>
      </c>
      <c r="BJ522" s="171">
        <f t="shared" ca="1" si="159"/>
        <v>0</v>
      </c>
      <c r="BK522" s="171">
        <f t="shared" ca="1" si="160"/>
        <v>0</v>
      </c>
      <c r="BL522" s="171">
        <f t="shared" ca="1" si="161"/>
        <v>0</v>
      </c>
      <c r="BM522" s="171">
        <f t="shared" ca="1" si="162"/>
        <v>0</v>
      </c>
      <c r="BN522" s="196"/>
      <c r="BO522" s="601" t="str">
        <f ca="1">IF(IFERROR(INDEX(Покупка!$K$26:$L$150,MATCH($F522&amp;"9komm",Покупка!$K$26:$K$150,0),2),"")=0,"",IFERROR(INDEX(Покупка!$K$26:$L$150,MATCH($F522&amp;"9komm",Покупка!$K$26:$K$150,0),2),""))</f>
        <v/>
      </c>
      <c r="BP522" s="196"/>
      <c r="BS522" s="696" t="s">
        <v>1155</v>
      </c>
    </row>
    <row r="523" spans="1:75" ht="14.25" customHeight="1" x14ac:dyDescent="0.15">
      <c r="C523" s="25"/>
      <c r="D523" s="25"/>
      <c r="E523" s="451">
        <v>15</v>
      </c>
      <c r="F523" s="3" t="str" cm="1">
        <f t="array" aca="1" ref="F523" ca="1">OFFSET(E523,-1,1)</f>
        <v>3</v>
      </c>
      <c r="G523" s="25"/>
      <c r="H523" s="25"/>
      <c r="I523" s="25" t="s">
        <v>503</v>
      </c>
      <c r="J523" s="25"/>
      <c r="K523" s="25" t="s">
        <v>503</v>
      </c>
      <c r="L523" s="25"/>
      <c r="M523" s="25"/>
      <c r="N523" s="25"/>
      <c r="O523" s="25"/>
      <c r="P523" s="25"/>
      <c r="Q523" s="25"/>
      <c r="R523" s="25"/>
      <c r="S523" s="25"/>
      <c r="T523" s="353" t="b" cm="1">
        <f t="array" aca="1" ref="T523" ca="1">T522</f>
        <v>1</v>
      </c>
      <c r="U523" s="25"/>
      <c r="V523" s="25"/>
      <c r="W523" s="25"/>
      <c r="X523" s="1022"/>
      <c r="Z523" s="967"/>
      <c r="AB523" s="7" t="s">
        <v>565</v>
      </c>
      <c r="AC523" s="127" t="s">
        <v>2081</v>
      </c>
      <c r="AD523" s="99" t="s">
        <v>828</v>
      </c>
      <c r="AE523" s="171">
        <f ca="1">SUMIFS('Сырье и материалы'!AE$25:AE$48,'Сырье и материалы'!$F$25:$F$48,$F523,'Сырье и материалы'!$AC$25:$AC$48,"Всего по тарифу")</f>
        <v>0</v>
      </c>
      <c r="AF523" s="171">
        <f ca="1">SUMIFS('Сырье и материалы'!AF$25:AF$48,'Сырье и материалы'!$F$25:$F$48,$F523,'Сырье и материалы'!$AC$25:$AC$48,"Всего по тарифу")</f>
        <v>0</v>
      </c>
      <c r="AG523" s="171">
        <f ca="1">SUMIFS('Сырье и материалы'!AG$25:AG$48,'Сырье и материалы'!$F$25:$F$48,$F523,'Сырье и материалы'!$AC$25:$AC$48,"Всего по тарифу")</f>
        <v>0</v>
      </c>
      <c r="AH523" s="171">
        <f t="shared" ca="1" si="151"/>
        <v>0</v>
      </c>
      <c r="AI523" s="171">
        <f ca="1">SUMIFS('Сырье и материалы'!AH$25:AH$48,'Сырье и материалы'!$F$25:$F$48,$F523,'Сырье и материалы'!$AC$25:$AC$48,"Всего по тарифу")</f>
        <v>0</v>
      </c>
      <c r="AJ523" s="171">
        <f ca="1">SUMIFS('Сырье и материалы'!AI$25:AI$48,'Сырье и материалы'!$F$25:$F$48,$F523,'Сырье и материалы'!$AC$25:$AC$48,"Всего по тарифу")</f>
        <v>0</v>
      </c>
      <c r="AK523" s="171">
        <f ca="1">SUMIFS('Сырье и материалы'!AJ$25:AJ$48,'Сырье и материалы'!$F$25:$F$48,$F523,'Сырье и материалы'!$AC$25:$AC$48,"Всего по тарифу")</f>
        <v>0</v>
      </c>
      <c r="AL523" s="171">
        <f ca="1">SUMIFS('Сырье и материалы'!AK$25:AK$48,'Сырье и материалы'!$F$25:$F$48,$F523,'Сырье и материалы'!$AC$25:$AC$48,"Всего по тарифу")</f>
        <v>0</v>
      </c>
      <c r="AM523" s="171">
        <f ca="1">SUMIFS('Сырье и материалы'!AL$25:AL$48,'Сырье и материалы'!$F$25:$F$48,$F523,'Сырье и материалы'!$AC$25:$AC$48,"Всего по тарифу")</f>
        <v>0</v>
      </c>
      <c r="AN523" s="171">
        <f ca="1">SUMIFS('Сырье и материалы'!AM$25:AM$48,'Сырье и материалы'!$F$25:$F$48,$F523,'Сырье и материалы'!$AC$25:$AC$48,"Всего по тарифу")</f>
        <v>0</v>
      </c>
      <c r="AO523" s="171">
        <f ca="1">SUMIFS('Сырье и материалы'!AN$25:AN$48,'Сырье и материалы'!$F$25:$F$48,$F523,'Сырье и материалы'!$AC$25:$AC$48,"Всего по тарифу")</f>
        <v>0</v>
      </c>
      <c r="AP523" s="171">
        <f ca="1">SUMIFS('Сырье и материалы'!AO$25:AO$48,'Сырье и материалы'!$F$25:$F$48,$F523,'Сырье и материалы'!$AC$25:$AC$48,"Всего по тарифу")</f>
        <v>0</v>
      </c>
      <c r="AQ523" s="171">
        <f ca="1">SUMIFS('Сырье и материалы'!AP$25:AP$48,'Сырье и материалы'!$F$25:$F$48,$F523,'Сырье и материалы'!$AC$25:$AC$48,"Всего по тарифу")</f>
        <v>0</v>
      </c>
      <c r="AR523" s="171">
        <f ca="1">SUMIFS('Сырье и материалы'!AQ$25:AQ$48,'Сырье и материалы'!$F$25:$F$48,$F523,'Сырье и материалы'!$AC$25:$AC$48,"Всего по тарифу")</f>
        <v>0</v>
      </c>
      <c r="AS523" s="171">
        <f ca="1">SUMIFS('Сырье и материалы'!AR$25:AR$48,'Сырье и материалы'!$F$25:$F$48,$F523,'Сырье и материалы'!$AC$25:$AC$48,"Всего по тарифу")</f>
        <v>0</v>
      </c>
      <c r="AT523" s="171">
        <f ca="1">SUMIFS('Сырье и материалы'!AS$25:AS$48,'Сырье и материалы'!$F$25:$F$48,$F523,'Сырье и материалы'!$AC$25:$AC$48,"Всего по тарифу")</f>
        <v>0</v>
      </c>
      <c r="AU523" s="171">
        <f ca="1">SUMIFS('Сырье и материалы'!AT$25:AT$48,'Сырье и материалы'!$F$25:$F$48,$F523,'Сырье и материалы'!$AC$25:$AC$48,"Всего по тарифу")</f>
        <v>0</v>
      </c>
      <c r="AV523" s="171">
        <f ca="1">SUMIFS('Сырье и материалы'!AU$25:AU$48,'Сырье и материалы'!$F$25:$F$48,$F523,'Сырье и материалы'!$AC$25:$AC$48,"Всего по тарифу")</f>
        <v>0</v>
      </c>
      <c r="AW523" s="171">
        <f ca="1">SUMIFS('Сырье и материалы'!AV$25:AV$48,'Сырье и материалы'!$F$25:$F$48,$F523,'Сырье и материалы'!$AC$25:$AC$48,"Всего по тарифу")</f>
        <v>0</v>
      </c>
      <c r="AX523" s="171">
        <f ca="1">SUMIFS('Сырье и материалы'!AW$25:AW$48,'Сырье и материалы'!$F$25:$F$48,$F523,'Сырье и материалы'!$AC$25:$AC$48,"Всего по тарифу")</f>
        <v>0</v>
      </c>
      <c r="AY523" s="171">
        <f ca="1">SUMIFS('Сырье и материалы'!AX$25:AX$48,'Сырье и материалы'!$F$25:$F$48,$F523,'Сырье и материалы'!$AC$25:$AC$48,"Всего по тарифу")</f>
        <v>0</v>
      </c>
      <c r="AZ523" s="171">
        <f ca="1">SUMIFS('Сырье и материалы'!AY$25:AY$48,'Сырье и материалы'!$F$25:$F$48,$F523,'Сырье и материалы'!$AC$25:$AC$48,"Всего по тарифу")</f>
        <v>0</v>
      </c>
      <c r="BA523" s="171">
        <f ca="1">SUMIFS('Сырье и материалы'!AZ$25:AZ$48,'Сырье и материалы'!$F$25:$F$48,$F523,'Сырье и материалы'!$AC$25:$AC$48,"Всего по тарифу")</f>
        <v>0</v>
      </c>
      <c r="BB523" s="171">
        <f ca="1">SUMIFS('Сырье и материалы'!BA$25:BA$48,'Сырье и материалы'!$F$25:$F$48,$F523,'Сырье и материалы'!$AC$25:$AC$48,"Всего по тарифу")</f>
        <v>0</v>
      </c>
      <c r="BC523" s="171">
        <f ca="1">SUMIFS('Сырье и материалы'!BB$25:BB$48,'Сырье и материалы'!$F$25:$F$48,$F523,'Сырье и материалы'!$AC$25:$AC$48,"Всего по тарифу")</f>
        <v>0</v>
      </c>
      <c r="BD523" s="171">
        <f t="shared" ca="1" si="153"/>
        <v>0</v>
      </c>
      <c r="BE523" s="171">
        <f t="shared" ca="1" si="154"/>
        <v>0</v>
      </c>
      <c r="BF523" s="171">
        <f t="shared" ca="1" si="155"/>
        <v>0</v>
      </c>
      <c r="BG523" s="171">
        <f t="shared" ca="1" si="156"/>
        <v>0</v>
      </c>
      <c r="BH523" s="171">
        <f t="shared" ca="1" si="157"/>
        <v>0</v>
      </c>
      <c r="BI523" s="171">
        <f t="shared" ca="1" si="158"/>
        <v>0</v>
      </c>
      <c r="BJ523" s="171">
        <f t="shared" ca="1" si="159"/>
        <v>0</v>
      </c>
      <c r="BK523" s="171">
        <f t="shared" ca="1" si="160"/>
        <v>0</v>
      </c>
      <c r="BL523" s="171">
        <f t="shared" ca="1" si="161"/>
        <v>0</v>
      </c>
      <c r="BM523" s="171">
        <f t="shared" ca="1" si="162"/>
        <v>0</v>
      </c>
      <c r="BN523" s="196"/>
      <c r="BO523" s="601" t="str">
        <f ca="1">IF(IFERROR(INDEX('Сырье и материалы'!$K$26:$L$48,MATCH($F523&amp;"komm",'Сырье и материалы'!$K$26:$K$48,0),2),"")=0,"",IFERROR(INDEX('Сырье и материалы'!$K$26:$L$48,MATCH($F523&amp;"komm",'Сырье и материалы'!$K$26:$K$48,0),2),""))</f>
        <v/>
      </c>
      <c r="BP523" s="196"/>
      <c r="BS523" s="696" t="s">
        <v>1742</v>
      </c>
    </row>
    <row r="524" spans="1:75" s="870" customFormat="1" ht="33.75" customHeight="1" x14ac:dyDescent="0.15">
      <c r="A524" s="76"/>
      <c r="B524" s="332"/>
      <c r="C524" s="27"/>
      <c r="D524" s="27"/>
      <c r="E524" s="559">
        <v>21</v>
      </c>
      <c r="F524" s="3" t="str" cm="1">
        <f t="array" aca="1" ref="F524" ca="1">OFFSET(E524,-1,1)</f>
        <v>3</v>
      </c>
      <c r="G524" s="27"/>
      <c r="H524" s="25"/>
      <c r="I524" s="25" t="s">
        <v>959</v>
      </c>
      <c r="J524" s="27"/>
      <c r="K524" s="25" t="s">
        <v>959</v>
      </c>
      <c r="L524" s="27" t="s">
        <v>535</v>
      </c>
      <c r="M524" s="27"/>
      <c r="N524" s="27"/>
      <c r="O524" s="27"/>
      <c r="P524" s="27"/>
      <c r="Q524" s="27"/>
      <c r="R524" s="27"/>
      <c r="S524" s="27"/>
      <c r="T524" s="353" t="b" cm="1">
        <f t="array" aca="1" ref="T524" ca="1">T523</f>
        <v>1</v>
      </c>
      <c r="U524" s="27"/>
      <c r="V524" s="27"/>
      <c r="W524" s="27"/>
      <c r="X524" s="1022"/>
      <c r="Y524" s="76"/>
      <c r="Z524" s="967"/>
      <c r="AA524" s="76"/>
      <c r="AB524" s="124" t="s">
        <v>569</v>
      </c>
      <c r="AC524" s="263" t="s">
        <v>2082</v>
      </c>
      <c r="AD524" s="124" t="s">
        <v>828</v>
      </c>
      <c r="AE524" s="126">
        <f ca="1">SUM(AE525:AE534)</f>
        <v>2064.0943790719998</v>
      </c>
      <c r="AF524" s="126">
        <f ca="1">SUM(AF525:AF534)</f>
        <v>301.19613069579998</v>
      </c>
      <c r="AG524" s="126">
        <f ca="1">SUM(AG525:AG534)</f>
        <v>301.19613069579998</v>
      </c>
      <c r="AH524" s="126">
        <f t="shared" ca="1" si="151"/>
        <v>0</v>
      </c>
      <c r="AI524" s="126">
        <f t="shared" ref="AI524:BC524" ca="1" si="164">SUM(AI525:AI534)</f>
        <v>127.87089852</v>
      </c>
      <c r="AJ524" s="126">
        <f t="shared" ca="1" si="164"/>
        <v>280.07739749960001</v>
      </c>
      <c r="AK524" s="126">
        <f t="shared" ca="1" si="164"/>
        <v>0</v>
      </c>
      <c r="AL524" s="126">
        <f t="shared" ca="1" si="164"/>
        <v>0</v>
      </c>
      <c r="AM524" s="126">
        <f t="shared" ca="1" si="164"/>
        <v>0</v>
      </c>
      <c r="AN524" s="126">
        <f t="shared" ca="1" si="164"/>
        <v>0</v>
      </c>
      <c r="AO524" s="126">
        <f t="shared" ca="1" si="164"/>
        <v>0</v>
      </c>
      <c r="AP524" s="126">
        <f t="shared" ca="1" si="164"/>
        <v>0</v>
      </c>
      <c r="AQ524" s="126">
        <f t="shared" ca="1" si="164"/>
        <v>0</v>
      </c>
      <c r="AR524" s="126">
        <f t="shared" ca="1" si="164"/>
        <v>0</v>
      </c>
      <c r="AS524" s="126">
        <f t="shared" ca="1" si="164"/>
        <v>0</v>
      </c>
      <c r="AT524" s="126">
        <f t="shared" ca="1" si="164"/>
        <v>186.47520039119999</v>
      </c>
      <c r="AU524" s="126">
        <f t="shared" ca="1" si="164"/>
        <v>0</v>
      </c>
      <c r="AV524" s="126">
        <f t="shared" ca="1" si="164"/>
        <v>0</v>
      </c>
      <c r="AW524" s="126">
        <f t="shared" ca="1" si="164"/>
        <v>0</v>
      </c>
      <c r="AX524" s="126">
        <f t="shared" ca="1" si="164"/>
        <v>0</v>
      </c>
      <c r="AY524" s="126">
        <f t="shared" ca="1" si="164"/>
        <v>0</v>
      </c>
      <c r="AZ524" s="126">
        <f t="shared" ca="1" si="164"/>
        <v>0</v>
      </c>
      <c r="BA524" s="126">
        <f t="shared" ca="1" si="164"/>
        <v>0</v>
      </c>
      <c r="BB524" s="126">
        <f t="shared" ca="1" si="164"/>
        <v>0</v>
      </c>
      <c r="BC524" s="126">
        <f t="shared" ca="1" si="164"/>
        <v>0</v>
      </c>
      <c r="BD524" s="126">
        <f t="shared" ca="1" si="153"/>
        <v>45.830836061603044</v>
      </c>
      <c r="BE524" s="126">
        <f t="shared" ca="1" si="154"/>
        <v>-100</v>
      </c>
      <c r="BF524" s="126">
        <f t="shared" ca="1" si="155"/>
        <v>0</v>
      </c>
      <c r="BG524" s="126">
        <f t="shared" ca="1" si="156"/>
        <v>0</v>
      </c>
      <c r="BH524" s="126">
        <f t="shared" ca="1" si="157"/>
        <v>0</v>
      </c>
      <c r="BI524" s="126">
        <f t="shared" ca="1" si="158"/>
        <v>0</v>
      </c>
      <c r="BJ524" s="126">
        <f t="shared" ca="1" si="159"/>
        <v>0</v>
      </c>
      <c r="BK524" s="126">
        <f t="shared" ca="1" si="160"/>
        <v>0</v>
      </c>
      <c r="BL524" s="126">
        <f t="shared" ca="1" si="161"/>
        <v>0</v>
      </c>
      <c r="BM524" s="126">
        <f t="shared" ca="1" si="162"/>
        <v>0</v>
      </c>
      <c r="BN524" s="556"/>
      <c r="BO524" s="601" t="s">
        <v>2245</v>
      </c>
      <c r="BP524" s="556"/>
      <c r="BQ524" s="76"/>
      <c r="BR524" s="76"/>
      <c r="BS524" s="702" t="s">
        <v>1275</v>
      </c>
      <c r="BT524" s="702"/>
      <c r="BU524" s="702"/>
      <c r="BV524" s="511"/>
      <c r="BW524" s="511"/>
    </row>
    <row r="525" spans="1:75" ht="14.25" customHeight="1" x14ac:dyDescent="0.15">
      <c r="C525" s="25"/>
      <c r="D525" s="25"/>
      <c r="E525" s="451">
        <v>15</v>
      </c>
      <c r="F525" s="3" t="str" cm="1">
        <f t="array" aca="1" ref="F525" ca="1">OFFSET(E525,-1,1)</f>
        <v>3</v>
      </c>
      <c r="G525" s="611">
        <v>7</v>
      </c>
      <c r="H525" s="25"/>
      <c r="I525" s="25" t="s">
        <v>2083</v>
      </c>
      <c r="J525" s="25"/>
      <c r="K525" s="25" t="s">
        <v>2083</v>
      </c>
      <c r="L525" s="25"/>
      <c r="M525" s="25"/>
      <c r="N525" s="25"/>
      <c r="O525" s="25"/>
      <c r="P525" s="25"/>
      <c r="Q525" s="25"/>
      <c r="R525" s="25"/>
      <c r="S525" s="25"/>
      <c r="T525" s="353" t="b" cm="1">
        <f t="array" aca="1" ref="T525" ca="1">T524</f>
        <v>1</v>
      </c>
      <c r="U525" s="25"/>
      <c r="V525" s="25"/>
      <c r="W525" s="25"/>
      <c r="X525" s="1022"/>
      <c r="Z525" s="967"/>
      <c r="AB525" s="7" t="s">
        <v>519</v>
      </c>
      <c r="AC525" s="134" t="s">
        <v>1289</v>
      </c>
      <c r="AD525" s="7" t="s">
        <v>828</v>
      </c>
      <c r="AE525" s="171">
        <f ca="1">SUMIFS(Налоги!AE$25:AE$83,Налоги!$F$25:$F$83,$F525,Налоги!$AB$25:$AB$83,$G525)</f>
        <v>0</v>
      </c>
      <c r="AF525" s="171">
        <f ca="1">SUMIFS(Налоги!AF$25:AF$83,Налоги!$F$25:$F$83,$F525,Налоги!$AB$25:$AB$83,$G525)</f>
        <v>0</v>
      </c>
      <c r="AG525" s="171">
        <f ca="1">SUMIFS(Налоги!AG$25:AG$83,Налоги!$F$25:$F$83,$F525,Налоги!$AB$25:$AB$83,$G525)</f>
        <v>0</v>
      </c>
      <c r="AH525" s="171">
        <f t="shared" ca="1" si="151"/>
        <v>0</v>
      </c>
      <c r="AI525" s="171">
        <f ca="1">SUMIFS(Налоги!AH$25:AH$83,Налоги!$F$25:$F$83,$F525,Налоги!$AB$25:$AB$83,$G525)</f>
        <v>0</v>
      </c>
      <c r="AJ525" s="171">
        <f ca="1">SUMIFS(Налоги!AI$25:AI$83,Налоги!$F$25:$F$83,$F525,Налоги!$AB$25:$AB$83,$G525)</f>
        <v>0</v>
      </c>
      <c r="AK525" s="171">
        <f ca="1">SUMIFS(Налоги!AJ$25:AJ$83,Налоги!$F$25:$F$83,$F525,Налоги!$AB$25:$AB$83,$G525)</f>
        <v>0</v>
      </c>
      <c r="AL525" s="171">
        <f ca="1">SUMIFS(Налоги!AK$25:AK$83,Налоги!$F$25:$F$83,$F525,Налоги!$AB$25:$AB$83,$G525)</f>
        <v>0</v>
      </c>
      <c r="AM525" s="171">
        <f ca="1">SUMIFS(Налоги!AL$25:AL$83,Налоги!$F$25:$F$83,$F525,Налоги!$AB$25:$AB$83,$G525)</f>
        <v>0</v>
      </c>
      <c r="AN525" s="171">
        <f ca="1">SUMIFS(Налоги!AM$25:AM$83,Налоги!$F$25:$F$83,$F525,Налоги!$AB$25:$AB$83,$G525)</f>
        <v>0</v>
      </c>
      <c r="AO525" s="171">
        <f ca="1">SUMIFS(Налоги!AN$25:AN$83,Налоги!$F$25:$F$83,$F525,Налоги!$AB$25:$AB$83,$G525)</f>
        <v>0</v>
      </c>
      <c r="AP525" s="171">
        <f ca="1">SUMIFS(Налоги!AO$25:AO$83,Налоги!$F$25:$F$83,$F525,Налоги!$AB$25:$AB$83,$G525)</f>
        <v>0</v>
      </c>
      <c r="AQ525" s="171">
        <f ca="1">SUMIFS(Налоги!AP$25:AP$83,Налоги!$F$25:$F$83,$F525,Налоги!$AB$25:$AB$83,$G525)</f>
        <v>0</v>
      </c>
      <c r="AR525" s="171">
        <f ca="1">SUMIFS(Налоги!AQ$25:AQ$83,Налоги!$F$25:$F$83,$F525,Налоги!$AB$25:$AB$83,$G525)</f>
        <v>0</v>
      </c>
      <c r="AS525" s="171">
        <f ca="1">SUMIFS(Налоги!AR$25:AR$83,Налоги!$F$25:$F$83,$F525,Налоги!$AB$25:$AB$83,$G525)</f>
        <v>0</v>
      </c>
      <c r="AT525" s="171">
        <f ca="1">SUMIFS(Налоги!AS$25:AS$83,Налоги!$F$25:$F$83,$F525,Налоги!$AB$25:$AB$83,$G525)</f>
        <v>0</v>
      </c>
      <c r="AU525" s="171">
        <f ca="1">SUMIFS(Налоги!AT$25:AT$83,Налоги!$F$25:$F$83,$F525,Налоги!$AB$25:$AB$83,$G525)</f>
        <v>0</v>
      </c>
      <c r="AV525" s="171">
        <f ca="1">SUMIFS(Налоги!AU$25:AU$83,Налоги!$F$25:$F$83,$F525,Налоги!$AB$25:$AB$83,$G525)</f>
        <v>0</v>
      </c>
      <c r="AW525" s="171">
        <f ca="1">SUMIFS(Налоги!AV$25:AV$83,Налоги!$F$25:$F$83,$F525,Налоги!$AB$25:$AB$83,$G525)</f>
        <v>0</v>
      </c>
      <c r="AX525" s="171">
        <f ca="1">SUMIFS(Налоги!AW$25:AW$83,Налоги!$F$25:$F$83,$F525,Налоги!$AB$25:$AB$83,$G525)</f>
        <v>0</v>
      </c>
      <c r="AY525" s="171">
        <f ca="1">SUMIFS(Налоги!AX$25:AX$83,Налоги!$F$25:$F$83,$F525,Налоги!$AB$25:$AB$83,$G525)</f>
        <v>0</v>
      </c>
      <c r="AZ525" s="171">
        <f ca="1">SUMIFS(Налоги!AY$25:AY$83,Налоги!$F$25:$F$83,$F525,Налоги!$AB$25:$AB$83,$G525)</f>
        <v>0</v>
      </c>
      <c r="BA525" s="171">
        <f ca="1">SUMIFS(Налоги!AZ$25:AZ$83,Налоги!$F$25:$F$83,$F525,Налоги!$AB$25:$AB$83,$G525)</f>
        <v>0</v>
      </c>
      <c r="BB525" s="171">
        <f ca="1">SUMIFS(Налоги!BA$25:BA$83,Налоги!$F$25:$F$83,$F525,Налоги!$AB$25:$AB$83,$G525)</f>
        <v>0</v>
      </c>
      <c r="BC525" s="171">
        <f ca="1">SUMIFS(Налоги!BB$25:BB$83,Налоги!$F$25:$F$83,$F525,Налоги!$AB$25:$AB$83,$G525)</f>
        <v>0</v>
      </c>
      <c r="BD525" s="171">
        <f t="shared" ca="1" si="153"/>
        <v>0</v>
      </c>
      <c r="BE525" s="171">
        <f t="shared" ca="1" si="154"/>
        <v>0</v>
      </c>
      <c r="BF525" s="171">
        <f t="shared" ca="1" si="155"/>
        <v>0</v>
      </c>
      <c r="BG525" s="171">
        <f t="shared" ca="1" si="156"/>
        <v>0</v>
      </c>
      <c r="BH525" s="171">
        <f t="shared" ca="1" si="157"/>
        <v>0</v>
      </c>
      <c r="BI525" s="171">
        <f t="shared" ca="1" si="158"/>
        <v>0</v>
      </c>
      <c r="BJ525" s="171">
        <f t="shared" ca="1" si="159"/>
        <v>0</v>
      </c>
      <c r="BK525" s="171">
        <f t="shared" ca="1" si="160"/>
        <v>0</v>
      </c>
      <c r="BL525" s="171">
        <f t="shared" ca="1" si="161"/>
        <v>0</v>
      </c>
      <c r="BM525" s="171">
        <f t="shared" ca="1" si="162"/>
        <v>0</v>
      </c>
      <c r="BN525" s="196"/>
      <c r="BO525" s="601" t="str">
        <f ca="1">IF(IFERROR(INDEX(Налоги!$K$26:$L$83,MATCH($F525&amp;"7komm",Налоги!$K$26:$K$83,0),2),"")=0,"",IFERROR(INDEX(Налоги!$K$26:$L$83,MATCH($F525&amp;"7komm",Налоги!$K$26:$K$83,0),2),""))</f>
        <v/>
      </c>
      <c r="BP525" s="196"/>
      <c r="BS525" s="696" t="s">
        <v>2084</v>
      </c>
    </row>
    <row r="526" spans="1:75" ht="180.75" customHeight="1" x14ac:dyDescent="0.15">
      <c r="C526" s="25"/>
      <c r="D526" s="25"/>
      <c r="E526" s="451">
        <v>15</v>
      </c>
      <c r="F526" s="3" t="str" cm="1">
        <f t="array" aca="1" ref="F526" ca="1">OFFSET(E526,-1,1)</f>
        <v>3</v>
      </c>
      <c r="G526" s="611">
        <v>6</v>
      </c>
      <c r="H526" s="25"/>
      <c r="I526" s="25" t="s">
        <v>2085</v>
      </c>
      <c r="J526" s="25"/>
      <c r="K526" s="25" t="s">
        <v>2085</v>
      </c>
      <c r="L526" s="25"/>
      <c r="M526" s="25"/>
      <c r="N526" s="25"/>
      <c r="O526" s="25"/>
      <c r="P526" s="25"/>
      <c r="Q526" s="25"/>
      <c r="R526" s="25"/>
      <c r="S526" s="25"/>
      <c r="T526" s="353" t="b" cm="1">
        <f t="array" aca="1" ref="T526" ca="1">T525</f>
        <v>1</v>
      </c>
      <c r="U526" s="25"/>
      <c r="V526" s="25"/>
      <c r="W526" s="25"/>
      <c r="X526" s="1022"/>
      <c r="Z526" s="967"/>
      <c r="AB526" s="7" t="s">
        <v>1500</v>
      </c>
      <c r="AC526" s="134" t="s">
        <v>2086</v>
      </c>
      <c r="AD526" s="7" t="s">
        <v>828</v>
      </c>
      <c r="AE526" s="171">
        <f ca="1">SUMIFS(Налоги!AE$25:AE$83,Налоги!$F$25:$F$83,$F526,Налоги!$AB$25:$AB$83,$G526)</f>
        <v>2064.0943790719998</v>
      </c>
      <c r="AF526" s="171">
        <f ca="1">SUMIFS(Налоги!AF$25:AF$83,Налоги!$F$25:$F$83,$F526,Налоги!$AB$25:$AB$83,$G526)</f>
        <v>301.19613069579998</v>
      </c>
      <c r="AG526" s="171">
        <f ca="1">SUMIFS(Налоги!AG$25:AG$83,Налоги!$F$25:$F$83,$F526,Налоги!$AB$25:$AB$83,$G526)</f>
        <v>301.19613069579998</v>
      </c>
      <c r="AH526" s="171">
        <f t="shared" ca="1" si="151"/>
        <v>0</v>
      </c>
      <c r="AI526" s="171">
        <f ca="1">SUMIFS(Налоги!AH$25:AH$83,Налоги!$F$25:$F$83,$F526,Налоги!$AB$25:$AB$83,$G526)</f>
        <v>127.87089852</v>
      </c>
      <c r="AJ526" s="171">
        <f ca="1">SUMIFS(Налоги!AI$25:AI$83,Налоги!$F$25:$F$83,$F526,Налоги!$AB$25:$AB$83,$G526)</f>
        <v>280.07739749960001</v>
      </c>
      <c r="AK526" s="171">
        <f ca="1">SUMIFS(Налоги!AJ$25:AJ$83,Налоги!$F$25:$F$83,$F526,Налоги!$AB$25:$AB$83,$G526)</f>
        <v>0</v>
      </c>
      <c r="AL526" s="171">
        <f ca="1">SUMIFS(Налоги!AK$25:AK$83,Налоги!$F$25:$F$83,$F526,Налоги!$AB$25:$AB$83,$G526)</f>
        <v>0</v>
      </c>
      <c r="AM526" s="171">
        <f ca="1">SUMIFS(Налоги!AL$25:AL$83,Налоги!$F$25:$F$83,$F526,Налоги!$AB$25:$AB$83,$G526)</f>
        <v>0</v>
      </c>
      <c r="AN526" s="171">
        <f ca="1">SUMIFS(Налоги!AM$25:AM$83,Налоги!$F$25:$F$83,$F526,Налоги!$AB$25:$AB$83,$G526)</f>
        <v>0</v>
      </c>
      <c r="AO526" s="171">
        <f ca="1">SUMIFS(Налоги!AN$25:AN$83,Налоги!$F$25:$F$83,$F526,Налоги!$AB$25:$AB$83,$G526)</f>
        <v>0</v>
      </c>
      <c r="AP526" s="171">
        <f ca="1">SUMIFS(Налоги!AO$25:AO$83,Налоги!$F$25:$F$83,$F526,Налоги!$AB$25:$AB$83,$G526)</f>
        <v>0</v>
      </c>
      <c r="AQ526" s="171">
        <f ca="1">SUMIFS(Налоги!AP$25:AP$83,Налоги!$F$25:$F$83,$F526,Налоги!$AB$25:$AB$83,$G526)</f>
        <v>0</v>
      </c>
      <c r="AR526" s="171">
        <f ca="1">SUMIFS(Налоги!AQ$25:AQ$83,Налоги!$F$25:$F$83,$F526,Налоги!$AB$25:$AB$83,$G526)</f>
        <v>0</v>
      </c>
      <c r="AS526" s="171">
        <f ca="1">SUMIFS(Налоги!AR$25:AR$83,Налоги!$F$25:$F$83,$F526,Налоги!$AB$25:$AB$83,$G526)</f>
        <v>0</v>
      </c>
      <c r="AT526" s="171">
        <f ca="1">SUMIFS(Налоги!AS$25:AS$83,Налоги!$F$25:$F$83,$F526,Налоги!$AB$25:$AB$83,$G526)</f>
        <v>186.47520039119999</v>
      </c>
      <c r="AU526" s="171">
        <f ca="1">SUMIFS(Налоги!AT$25:AT$83,Налоги!$F$25:$F$83,$F526,Налоги!$AB$25:$AB$83,$G526)</f>
        <v>0</v>
      </c>
      <c r="AV526" s="171">
        <f ca="1">SUMIFS(Налоги!AU$25:AU$83,Налоги!$F$25:$F$83,$F526,Налоги!$AB$25:$AB$83,$G526)</f>
        <v>0</v>
      </c>
      <c r="AW526" s="171">
        <f ca="1">SUMIFS(Налоги!AV$25:AV$83,Налоги!$F$25:$F$83,$F526,Налоги!$AB$25:$AB$83,$G526)</f>
        <v>0</v>
      </c>
      <c r="AX526" s="171">
        <f ca="1">SUMIFS(Налоги!AW$25:AW$83,Налоги!$F$25:$F$83,$F526,Налоги!$AB$25:$AB$83,$G526)</f>
        <v>0</v>
      </c>
      <c r="AY526" s="171">
        <f ca="1">SUMIFS(Налоги!AX$25:AX$83,Налоги!$F$25:$F$83,$F526,Налоги!$AB$25:$AB$83,$G526)</f>
        <v>0</v>
      </c>
      <c r="AZ526" s="171">
        <f ca="1">SUMIFS(Налоги!AY$25:AY$83,Налоги!$F$25:$F$83,$F526,Налоги!$AB$25:$AB$83,$G526)</f>
        <v>0</v>
      </c>
      <c r="BA526" s="171">
        <f ca="1">SUMIFS(Налоги!AZ$25:AZ$83,Налоги!$F$25:$F$83,$F526,Налоги!$AB$25:$AB$83,$G526)</f>
        <v>0</v>
      </c>
      <c r="BB526" s="171">
        <f ca="1">SUMIFS(Налоги!BA$25:BA$83,Налоги!$F$25:$F$83,$F526,Налоги!$AB$25:$AB$83,$G526)</f>
        <v>0</v>
      </c>
      <c r="BC526" s="171">
        <f ca="1">SUMIFS(Налоги!BB$25:BB$83,Налоги!$F$25:$F$83,$F526,Налоги!$AB$25:$AB$83,$G526)</f>
        <v>0</v>
      </c>
      <c r="BD526" s="171">
        <f t="shared" ca="1" si="153"/>
        <v>45.830836061603044</v>
      </c>
      <c r="BE526" s="171">
        <f t="shared" ca="1" si="154"/>
        <v>-100</v>
      </c>
      <c r="BF526" s="171">
        <f t="shared" ca="1" si="155"/>
        <v>0</v>
      </c>
      <c r="BG526" s="171">
        <f t="shared" ca="1" si="156"/>
        <v>0</v>
      </c>
      <c r="BH526" s="171">
        <f t="shared" ca="1" si="157"/>
        <v>0</v>
      </c>
      <c r="BI526" s="171">
        <f t="shared" ca="1" si="158"/>
        <v>0</v>
      </c>
      <c r="BJ526" s="171">
        <f t="shared" ca="1" si="159"/>
        <v>0</v>
      </c>
      <c r="BK526" s="171">
        <f t="shared" ca="1" si="160"/>
        <v>0</v>
      </c>
      <c r="BL526" s="171">
        <f t="shared" ca="1" si="161"/>
        <v>0</v>
      </c>
      <c r="BM526" s="171">
        <f t="shared" ca="1" si="162"/>
        <v>0</v>
      </c>
      <c r="BN526" s="196" t="s">
        <v>2308</v>
      </c>
      <c r="BO526" s="601" t="s">
        <v>2247</v>
      </c>
      <c r="BP526" s="196" t="s">
        <v>2248</v>
      </c>
      <c r="BS526" s="696" t="s">
        <v>2087</v>
      </c>
    </row>
    <row r="527" spans="1:75" ht="14.25" customHeight="1" x14ac:dyDescent="0.15">
      <c r="C527" s="25"/>
      <c r="D527" s="25"/>
      <c r="E527" s="451">
        <v>15</v>
      </c>
      <c r="F527" s="3" t="str" cm="1">
        <f t="array" aca="1" ref="F527" ca="1">OFFSET(E527,-1,1)</f>
        <v>3</v>
      </c>
      <c r="G527" s="611">
        <v>2</v>
      </c>
      <c r="H527" s="25"/>
      <c r="I527" s="25" t="s">
        <v>2088</v>
      </c>
      <c r="J527" s="25"/>
      <c r="K527" s="25" t="s">
        <v>2088</v>
      </c>
      <c r="L527" s="25"/>
      <c r="M527" s="25"/>
      <c r="N527" s="25"/>
      <c r="O527" s="25"/>
      <c r="P527" s="25"/>
      <c r="Q527" s="25"/>
      <c r="R527" s="25"/>
      <c r="S527" s="25"/>
      <c r="T527" s="353" t="b" cm="1">
        <f t="array" aca="1" ref="T527" ca="1">T526</f>
        <v>1</v>
      </c>
      <c r="U527" s="25"/>
      <c r="V527" s="25"/>
      <c r="W527" s="25"/>
      <c r="X527" s="1022"/>
      <c r="Z527" s="967"/>
      <c r="AB527" s="7" t="s">
        <v>1505</v>
      </c>
      <c r="AC527" s="134" t="s">
        <v>2089</v>
      </c>
      <c r="AD527" s="7" t="s">
        <v>828</v>
      </c>
      <c r="AE527" s="171">
        <f ca="1">SUMIFS(Налоги!AE$25:AE$83,Налоги!$F$25:$F$83,$F527,Налоги!$AB$25:$AB$83,$G527)</f>
        <v>0</v>
      </c>
      <c r="AF527" s="171">
        <f ca="1">SUMIFS(Налоги!AF$25:AF$83,Налоги!$F$25:$F$83,$F527,Налоги!$AB$25:$AB$83,$G527)</f>
        <v>0</v>
      </c>
      <c r="AG527" s="171">
        <f ca="1">SUMIFS(Налоги!AG$25:AG$83,Налоги!$F$25:$F$83,$F527,Налоги!$AB$25:$AB$83,$G527)</f>
        <v>0</v>
      </c>
      <c r="AH527" s="171">
        <f t="shared" ca="1" si="151"/>
        <v>0</v>
      </c>
      <c r="AI527" s="171">
        <f ca="1">SUMIFS(Налоги!AH$25:AH$83,Налоги!$F$25:$F$83,$F527,Налоги!$AB$25:$AB$83,$G527)</f>
        <v>0</v>
      </c>
      <c r="AJ527" s="171">
        <f ca="1">SUMIFS(Налоги!AI$25:AI$83,Налоги!$F$25:$F$83,$F527,Налоги!$AB$25:$AB$83,$G527)</f>
        <v>0</v>
      </c>
      <c r="AK527" s="171">
        <f ca="1">SUMIFS(Налоги!AJ$25:AJ$83,Налоги!$F$25:$F$83,$F527,Налоги!$AB$25:$AB$83,$G527)</f>
        <v>0</v>
      </c>
      <c r="AL527" s="171">
        <f ca="1">SUMIFS(Налоги!AK$25:AK$83,Налоги!$F$25:$F$83,$F527,Налоги!$AB$25:$AB$83,$G527)</f>
        <v>0</v>
      </c>
      <c r="AM527" s="171">
        <f ca="1">SUMIFS(Налоги!AL$25:AL$83,Налоги!$F$25:$F$83,$F527,Налоги!$AB$25:$AB$83,$G527)</f>
        <v>0</v>
      </c>
      <c r="AN527" s="171">
        <f ca="1">SUMIFS(Налоги!AM$25:AM$83,Налоги!$F$25:$F$83,$F527,Налоги!$AB$25:$AB$83,$G527)</f>
        <v>0</v>
      </c>
      <c r="AO527" s="171">
        <f ca="1">SUMIFS(Налоги!AN$25:AN$83,Налоги!$F$25:$F$83,$F527,Налоги!$AB$25:$AB$83,$G527)</f>
        <v>0</v>
      </c>
      <c r="AP527" s="171">
        <f ca="1">SUMIFS(Налоги!AO$25:AO$83,Налоги!$F$25:$F$83,$F527,Налоги!$AB$25:$AB$83,$G527)</f>
        <v>0</v>
      </c>
      <c r="AQ527" s="171">
        <f ca="1">SUMIFS(Налоги!AP$25:AP$83,Налоги!$F$25:$F$83,$F527,Налоги!$AB$25:$AB$83,$G527)</f>
        <v>0</v>
      </c>
      <c r="AR527" s="171">
        <f ca="1">SUMIFS(Налоги!AQ$25:AQ$83,Налоги!$F$25:$F$83,$F527,Налоги!$AB$25:$AB$83,$G527)</f>
        <v>0</v>
      </c>
      <c r="AS527" s="171">
        <f ca="1">SUMIFS(Налоги!AR$25:AR$83,Налоги!$F$25:$F$83,$F527,Налоги!$AB$25:$AB$83,$G527)</f>
        <v>0</v>
      </c>
      <c r="AT527" s="171">
        <f ca="1">SUMIFS(Налоги!AS$25:AS$83,Налоги!$F$25:$F$83,$F527,Налоги!$AB$25:$AB$83,$G527)</f>
        <v>0</v>
      </c>
      <c r="AU527" s="171">
        <f ca="1">SUMIFS(Налоги!AT$25:AT$83,Налоги!$F$25:$F$83,$F527,Налоги!$AB$25:$AB$83,$G527)</f>
        <v>0</v>
      </c>
      <c r="AV527" s="171">
        <f ca="1">SUMIFS(Налоги!AU$25:AU$83,Налоги!$F$25:$F$83,$F527,Налоги!$AB$25:$AB$83,$G527)</f>
        <v>0</v>
      </c>
      <c r="AW527" s="171">
        <f ca="1">SUMIFS(Налоги!AV$25:AV$83,Налоги!$F$25:$F$83,$F527,Налоги!$AB$25:$AB$83,$G527)</f>
        <v>0</v>
      </c>
      <c r="AX527" s="171">
        <f ca="1">SUMIFS(Налоги!AW$25:AW$83,Налоги!$F$25:$F$83,$F527,Налоги!$AB$25:$AB$83,$G527)</f>
        <v>0</v>
      </c>
      <c r="AY527" s="171">
        <f ca="1">SUMIFS(Налоги!AX$25:AX$83,Налоги!$F$25:$F$83,$F527,Налоги!$AB$25:$AB$83,$G527)</f>
        <v>0</v>
      </c>
      <c r="AZ527" s="171">
        <f ca="1">SUMIFS(Налоги!AY$25:AY$83,Налоги!$F$25:$F$83,$F527,Налоги!$AB$25:$AB$83,$G527)</f>
        <v>0</v>
      </c>
      <c r="BA527" s="171">
        <f ca="1">SUMIFS(Налоги!AZ$25:AZ$83,Налоги!$F$25:$F$83,$F527,Налоги!$AB$25:$AB$83,$G527)</f>
        <v>0</v>
      </c>
      <c r="BB527" s="171">
        <f ca="1">SUMIFS(Налоги!BA$25:BA$83,Налоги!$F$25:$F$83,$F527,Налоги!$AB$25:$AB$83,$G527)</f>
        <v>0</v>
      </c>
      <c r="BC527" s="171">
        <f ca="1">SUMIFS(Налоги!BB$25:BB$83,Налоги!$F$25:$F$83,$F527,Налоги!$AB$25:$AB$83,$G527)</f>
        <v>0</v>
      </c>
      <c r="BD527" s="171">
        <f t="shared" ca="1" si="153"/>
        <v>0</v>
      </c>
      <c r="BE527" s="171">
        <f t="shared" ca="1" si="154"/>
        <v>0</v>
      </c>
      <c r="BF527" s="171">
        <f t="shared" ca="1" si="155"/>
        <v>0</v>
      </c>
      <c r="BG527" s="171">
        <f t="shared" ca="1" si="156"/>
        <v>0</v>
      </c>
      <c r="BH527" s="171">
        <f t="shared" ca="1" si="157"/>
        <v>0</v>
      </c>
      <c r="BI527" s="171">
        <f t="shared" ca="1" si="158"/>
        <v>0</v>
      </c>
      <c r="BJ527" s="171">
        <f t="shared" ca="1" si="159"/>
        <v>0</v>
      </c>
      <c r="BK527" s="171">
        <f t="shared" ca="1" si="160"/>
        <v>0</v>
      </c>
      <c r="BL527" s="171">
        <f t="shared" ca="1" si="161"/>
        <v>0</v>
      </c>
      <c r="BM527" s="171">
        <f t="shared" ca="1" si="162"/>
        <v>0</v>
      </c>
      <c r="BN527" s="196"/>
      <c r="BO527" s="601" t="str">
        <f ca="1">IF(IFERROR(INDEX(Налоги!$K$26:$L$83,MATCH($F527&amp;"2komm",Налоги!$K$26:$K$83,0),2),"")=0,"",IFERROR(INDEX(Налоги!$K$26:$L$83,MATCH($F527&amp;"2komm",Налоги!$K$26:$K$83,0),2),""))</f>
        <v/>
      </c>
      <c r="BP527" s="196"/>
      <c r="BS527" s="696" t="s">
        <v>2090</v>
      </c>
    </row>
    <row r="528" spans="1:75" ht="14.25" customHeight="1" x14ac:dyDescent="0.15">
      <c r="C528" s="25"/>
      <c r="D528" s="25"/>
      <c r="E528" s="451">
        <v>15</v>
      </c>
      <c r="F528" s="3" t="str" cm="1">
        <f t="array" aca="1" ref="F528" ca="1">OFFSET(E528,-1,1)</f>
        <v>3</v>
      </c>
      <c r="G528" s="611">
        <v>4</v>
      </c>
      <c r="H528" s="25"/>
      <c r="I528" s="25" t="s">
        <v>2091</v>
      </c>
      <c r="J528" s="25"/>
      <c r="K528" s="25" t="s">
        <v>2091</v>
      </c>
      <c r="L528" s="25"/>
      <c r="M528" s="25"/>
      <c r="N528" s="25"/>
      <c r="O528" s="25"/>
      <c r="P528" s="25"/>
      <c r="Q528" s="25"/>
      <c r="R528" s="25"/>
      <c r="S528" s="25"/>
      <c r="T528" s="353" t="b" cm="1">
        <f t="array" aca="1" ref="T528" ca="1">T527</f>
        <v>1</v>
      </c>
      <c r="U528" s="25"/>
      <c r="V528" s="25"/>
      <c r="W528" s="25"/>
      <c r="X528" s="1022"/>
      <c r="Z528" s="967"/>
      <c r="AB528" s="7" t="s">
        <v>2092</v>
      </c>
      <c r="AC528" s="134" t="s">
        <v>2093</v>
      </c>
      <c r="AD528" s="7" t="s">
        <v>828</v>
      </c>
      <c r="AE528" s="171">
        <f ca="1">SUMIFS(Налоги!AE$25:AE$83,Налоги!$F$25:$F$83,$F528,Налоги!$AB$25:$AB$83,$G528)</f>
        <v>0</v>
      </c>
      <c r="AF528" s="171">
        <f ca="1">SUMIFS(Налоги!AF$25:AF$83,Налоги!$F$25:$F$83,$F528,Налоги!$AB$25:$AB$83,$G528)</f>
        <v>0</v>
      </c>
      <c r="AG528" s="171">
        <f ca="1">SUMIFS(Налоги!AG$25:AG$83,Налоги!$F$25:$F$83,$F528,Налоги!$AB$25:$AB$83,$G528)</f>
        <v>0</v>
      </c>
      <c r="AH528" s="171">
        <f t="shared" ca="1" si="151"/>
        <v>0</v>
      </c>
      <c r="AI528" s="171">
        <f ca="1">SUMIFS(Налоги!AH$25:AH$83,Налоги!$F$25:$F$83,$F528,Налоги!$AB$25:$AB$83,$G528)</f>
        <v>0</v>
      </c>
      <c r="AJ528" s="171">
        <f ca="1">SUMIFS(Налоги!AI$25:AI$83,Налоги!$F$25:$F$83,$F528,Налоги!$AB$25:$AB$83,$G528)</f>
        <v>0</v>
      </c>
      <c r="AK528" s="171">
        <f ca="1">SUMIFS(Налоги!AJ$25:AJ$83,Налоги!$F$25:$F$83,$F528,Налоги!$AB$25:$AB$83,$G528)</f>
        <v>0</v>
      </c>
      <c r="AL528" s="171">
        <f ca="1">SUMIFS(Налоги!AK$25:AK$83,Налоги!$F$25:$F$83,$F528,Налоги!$AB$25:$AB$83,$G528)</f>
        <v>0</v>
      </c>
      <c r="AM528" s="171">
        <f ca="1">SUMIFS(Налоги!AL$25:AL$83,Налоги!$F$25:$F$83,$F528,Налоги!$AB$25:$AB$83,$G528)</f>
        <v>0</v>
      </c>
      <c r="AN528" s="171">
        <f ca="1">SUMIFS(Налоги!AM$25:AM$83,Налоги!$F$25:$F$83,$F528,Налоги!$AB$25:$AB$83,$G528)</f>
        <v>0</v>
      </c>
      <c r="AO528" s="171">
        <f ca="1">SUMIFS(Налоги!AN$25:AN$83,Налоги!$F$25:$F$83,$F528,Налоги!$AB$25:$AB$83,$G528)</f>
        <v>0</v>
      </c>
      <c r="AP528" s="171">
        <f ca="1">SUMIFS(Налоги!AO$25:AO$83,Налоги!$F$25:$F$83,$F528,Налоги!$AB$25:$AB$83,$G528)</f>
        <v>0</v>
      </c>
      <c r="AQ528" s="171">
        <f ca="1">SUMIFS(Налоги!AP$25:AP$83,Налоги!$F$25:$F$83,$F528,Налоги!$AB$25:$AB$83,$G528)</f>
        <v>0</v>
      </c>
      <c r="AR528" s="171">
        <f ca="1">SUMIFS(Налоги!AQ$25:AQ$83,Налоги!$F$25:$F$83,$F528,Налоги!$AB$25:$AB$83,$G528)</f>
        <v>0</v>
      </c>
      <c r="AS528" s="171">
        <f ca="1">SUMIFS(Налоги!AR$25:AR$83,Налоги!$F$25:$F$83,$F528,Налоги!$AB$25:$AB$83,$G528)</f>
        <v>0</v>
      </c>
      <c r="AT528" s="171">
        <f ca="1">SUMIFS(Налоги!AS$25:AS$83,Налоги!$F$25:$F$83,$F528,Налоги!$AB$25:$AB$83,$G528)</f>
        <v>0</v>
      </c>
      <c r="AU528" s="171">
        <f ca="1">SUMIFS(Налоги!AT$25:AT$83,Налоги!$F$25:$F$83,$F528,Налоги!$AB$25:$AB$83,$G528)</f>
        <v>0</v>
      </c>
      <c r="AV528" s="171">
        <f ca="1">SUMIFS(Налоги!AU$25:AU$83,Налоги!$F$25:$F$83,$F528,Налоги!$AB$25:$AB$83,$G528)</f>
        <v>0</v>
      </c>
      <c r="AW528" s="171">
        <f ca="1">SUMIFS(Налоги!AV$25:AV$83,Налоги!$F$25:$F$83,$F528,Налоги!$AB$25:$AB$83,$G528)</f>
        <v>0</v>
      </c>
      <c r="AX528" s="171">
        <f ca="1">SUMIFS(Налоги!AW$25:AW$83,Налоги!$F$25:$F$83,$F528,Налоги!$AB$25:$AB$83,$G528)</f>
        <v>0</v>
      </c>
      <c r="AY528" s="171">
        <f ca="1">SUMIFS(Налоги!AX$25:AX$83,Налоги!$F$25:$F$83,$F528,Налоги!$AB$25:$AB$83,$G528)</f>
        <v>0</v>
      </c>
      <c r="AZ528" s="171">
        <f ca="1">SUMIFS(Налоги!AY$25:AY$83,Налоги!$F$25:$F$83,$F528,Налоги!$AB$25:$AB$83,$G528)</f>
        <v>0</v>
      </c>
      <c r="BA528" s="171">
        <f ca="1">SUMIFS(Налоги!AZ$25:AZ$83,Налоги!$F$25:$F$83,$F528,Налоги!$AB$25:$AB$83,$G528)</f>
        <v>0</v>
      </c>
      <c r="BB528" s="171">
        <f ca="1">SUMIFS(Налоги!BA$25:BA$83,Налоги!$F$25:$F$83,$F528,Налоги!$AB$25:$AB$83,$G528)</f>
        <v>0</v>
      </c>
      <c r="BC528" s="171">
        <f ca="1">SUMIFS(Налоги!BB$25:BB$83,Налоги!$F$25:$F$83,$F528,Налоги!$AB$25:$AB$83,$G528)</f>
        <v>0</v>
      </c>
      <c r="BD528" s="171">
        <f t="shared" ca="1" si="153"/>
        <v>0</v>
      </c>
      <c r="BE528" s="171">
        <f t="shared" ca="1" si="154"/>
        <v>0</v>
      </c>
      <c r="BF528" s="171">
        <f t="shared" ca="1" si="155"/>
        <v>0</v>
      </c>
      <c r="BG528" s="171">
        <f t="shared" ca="1" si="156"/>
        <v>0</v>
      </c>
      <c r="BH528" s="171">
        <f t="shared" ca="1" si="157"/>
        <v>0</v>
      </c>
      <c r="BI528" s="171">
        <f t="shared" ca="1" si="158"/>
        <v>0</v>
      </c>
      <c r="BJ528" s="171">
        <f t="shared" ca="1" si="159"/>
        <v>0</v>
      </c>
      <c r="BK528" s="171">
        <f t="shared" ca="1" si="160"/>
        <v>0</v>
      </c>
      <c r="BL528" s="171">
        <f t="shared" ca="1" si="161"/>
        <v>0</v>
      </c>
      <c r="BM528" s="171">
        <f t="shared" ca="1" si="162"/>
        <v>0</v>
      </c>
      <c r="BN528" s="196"/>
      <c r="BO528" s="601" t="str">
        <f ca="1">IF(IFERROR(INDEX(Налоги!$K$26:$L$83,MATCH($F528&amp;"4komm",Налоги!$K$26:$K$83,0),2),"")=0,"",IFERROR(INDEX(Налоги!$K$26:$L$83,MATCH($F528&amp;"4komm",Налоги!$K$26:$K$83,0),2),""))</f>
        <v/>
      </c>
      <c r="BP528" s="196"/>
      <c r="BS528" s="696" t="s">
        <v>2094</v>
      </c>
    </row>
    <row r="529" spans="2:75" ht="14.25" customHeight="1" x14ac:dyDescent="0.15">
      <c r="C529" s="25"/>
      <c r="D529" s="25"/>
      <c r="E529" s="451">
        <v>15</v>
      </c>
      <c r="F529" s="3" t="str" cm="1">
        <f t="array" aca="1" ref="F529" ca="1">OFFSET(E529,-1,1)</f>
        <v>3</v>
      </c>
      <c r="G529" s="611">
        <v>5</v>
      </c>
      <c r="H529" s="25"/>
      <c r="I529" s="25" t="s">
        <v>2095</v>
      </c>
      <c r="J529" s="25"/>
      <c r="K529" s="25" t="s">
        <v>2095</v>
      </c>
      <c r="L529" s="25"/>
      <c r="M529" s="25"/>
      <c r="N529" s="25"/>
      <c r="O529" s="25"/>
      <c r="P529" s="25"/>
      <c r="Q529" s="25"/>
      <c r="R529" s="25"/>
      <c r="S529" s="25"/>
      <c r="T529" s="353" t="b" cm="1">
        <f t="array" aca="1" ref="T529" ca="1">T528</f>
        <v>1</v>
      </c>
      <c r="U529" s="25"/>
      <c r="V529" s="25"/>
      <c r="W529" s="25"/>
      <c r="X529" s="1022"/>
      <c r="Z529" s="967"/>
      <c r="AB529" s="7" t="s">
        <v>2096</v>
      </c>
      <c r="AC529" s="134" t="s">
        <v>2097</v>
      </c>
      <c r="AD529" s="7" t="s">
        <v>828</v>
      </c>
      <c r="AE529" s="171">
        <f ca="1">SUMIFS(Налоги!AE$25:AE$83,Налоги!$F$25:$F$83,$F529,Налоги!$AB$25:$AB$83,$G529)</f>
        <v>0</v>
      </c>
      <c r="AF529" s="171">
        <f ca="1">SUMIFS(Налоги!AF$25:AF$83,Налоги!$F$25:$F$83,$F529,Налоги!$AB$25:$AB$83,$G529)</f>
        <v>0</v>
      </c>
      <c r="AG529" s="171">
        <f ca="1">SUMIFS(Налоги!AG$25:AG$83,Налоги!$F$25:$F$83,$F529,Налоги!$AB$25:$AB$83,$G529)</f>
        <v>0</v>
      </c>
      <c r="AH529" s="171">
        <f t="shared" ca="1" si="151"/>
        <v>0</v>
      </c>
      <c r="AI529" s="171">
        <f ca="1">SUMIFS(Налоги!AH$25:AH$83,Налоги!$F$25:$F$83,$F529,Налоги!$AB$25:$AB$83,$G529)</f>
        <v>0</v>
      </c>
      <c r="AJ529" s="171">
        <f ca="1">SUMIFS(Налоги!AI$25:AI$83,Налоги!$F$25:$F$83,$F529,Налоги!$AB$25:$AB$83,$G529)</f>
        <v>0</v>
      </c>
      <c r="AK529" s="171">
        <f ca="1">SUMIFS(Налоги!AJ$25:AJ$83,Налоги!$F$25:$F$83,$F529,Налоги!$AB$25:$AB$83,$G529)</f>
        <v>0</v>
      </c>
      <c r="AL529" s="171">
        <f ca="1">SUMIFS(Налоги!AK$25:AK$83,Налоги!$F$25:$F$83,$F529,Налоги!$AB$25:$AB$83,$G529)</f>
        <v>0</v>
      </c>
      <c r="AM529" s="171">
        <f ca="1">SUMIFS(Налоги!AL$25:AL$83,Налоги!$F$25:$F$83,$F529,Налоги!$AB$25:$AB$83,$G529)</f>
        <v>0</v>
      </c>
      <c r="AN529" s="171">
        <f ca="1">SUMIFS(Налоги!AM$25:AM$83,Налоги!$F$25:$F$83,$F529,Налоги!$AB$25:$AB$83,$G529)</f>
        <v>0</v>
      </c>
      <c r="AO529" s="171">
        <f ca="1">SUMIFS(Налоги!AN$25:AN$83,Налоги!$F$25:$F$83,$F529,Налоги!$AB$25:$AB$83,$G529)</f>
        <v>0</v>
      </c>
      <c r="AP529" s="171">
        <f ca="1">SUMIFS(Налоги!AO$25:AO$83,Налоги!$F$25:$F$83,$F529,Налоги!$AB$25:$AB$83,$G529)</f>
        <v>0</v>
      </c>
      <c r="AQ529" s="171">
        <f ca="1">SUMIFS(Налоги!AP$25:AP$83,Налоги!$F$25:$F$83,$F529,Налоги!$AB$25:$AB$83,$G529)</f>
        <v>0</v>
      </c>
      <c r="AR529" s="171">
        <f ca="1">SUMIFS(Налоги!AQ$25:AQ$83,Налоги!$F$25:$F$83,$F529,Налоги!$AB$25:$AB$83,$G529)</f>
        <v>0</v>
      </c>
      <c r="AS529" s="171">
        <f ca="1">SUMIFS(Налоги!AR$25:AR$83,Налоги!$F$25:$F$83,$F529,Налоги!$AB$25:$AB$83,$G529)</f>
        <v>0</v>
      </c>
      <c r="AT529" s="171">
        <f ca="1">SUMIFS(Налоги!AS$25:AS$83,Налоги!$F$25:$F$83,$F529,Налоги!$AB$25:$AB$83,$G529)</f>
        <v>0</v>
      </c>
      <c r="AU529" s="171">
        <f ca="1">SUMIFS(Налоги!AT$25:AT$83,Налоги!$F$25:$F$83,$F529,Налоги!$AB$25:$AB$83,$G529)</f>
        <v>0</v>
      </c>
      <c r="AV529" s="171">
        <f ca="1">SUMIFS(Налоги!AU$25:AU$83,Налоги!$F$25:$F$83,$F529,Налоги!$AB$25:$AB$83,$G529)</f>
        <v>0</v>
      </c>
      <c r="AW529" s="171">
        <f ca="1">SUMIFS(Налоги!AV$25:AV$83,Налоги!$F$25:$F$83,$F529,Налоги!$AB$25:$AB$83,$G529)</f>
        <v>0</v>
      </c>
      <c r="AX529" s="171">
        <f ca="1">SUMIFS(Налоги!AW$25:AW$83,Налоги!$F$25:$F$83,$F529,Налоги!$AB$25:$AB$83,$G529)</f>
        <v>0</v>
      </c>
      <c r="AY529" s="171">
        <f ca="1">SUMIFS(Налоги!AX$25:AX$83,Налоги!$F$25:$F$83,$F529,Налоги!$AB$25:$AB$83,$G529)</f>
        <v>0</v>
      </c>
      <c r="AZ529" s="171">
        <f ca="1">SUMIFS(Налоги!AY$25:AY$83,Налоги!$F$25:$F$83,$F529,Налоги!$AB$25:$AB$83,$G529)</f>
        <v>0</v>
      </c>
      <c r="BA529" s="171">
        <f ca="1">SUMIFS(Налоги!AZ$25:AZ$83,Налоги!$F$25:$F$83,$F529,Налоги!$AB$25:$AB$83,$G529)</f>
        <v>0</v>
      </c>
      <c r="BB529" s="171">
        <f ca="1">SUMIFS(Налоги!BA$25:BA$83,Налоги!$F$25:$F$83,$F529,Налоги!$AB$25:$AB$83,$G529)</f>
        <v>0</v>
      </c>
      <c r="BC529" s="171">
        <f ca="1">SUMIFS(Налоги!BB$25:BB$83,Налоги!$F$25:$F$83,$F529,Налоги!$AB$25:$AB$83,$G529)</f>
        <v>0</v>
      </c>
      <c r="BD529" s="171">
        <f t="shared" ca="1" si="153"/>
        <v>0</v>
      </c>
      <c r="BE529" s="171">
        <f t="shared" ca="1" si="154"/>
        <v>0</v>
      </c>
      <c r="BF529" s="171">
        <f t="shared" ca="1" si="155"/>
        <v>0</v>
      </c>
      <c r="BG529" s="171">
        <f t="shared" ca="1" si="156"/>
        <v>0</v>
      </c>
      <c r="BH529" s="171">
        <f t="shared" ca="1" si="157"/>
        <v>0</v>
      </c>
      <c r="BI529" s="171">
        <f t="shared" ca="1" si="158"/>
        <v>0</v>
      </c>
      <c r="BJ529" s="171">
        <f t="shared" ca="1" si="159"/>
        <v>0</v>
      </c>
      <c r="BK529" s="171">
        <f t="shared" ca="1" si="160"/>
        <v>0</v>
      </c>
      <c r="BL529" s="171">
        <f t="shared" ca="1" si="161"/>
        <v>0</v>
      </c>
      <c r="BM529" s="171">
        <f t="shared" ca="1" si="162"/>
        <v>0</v>
      </c>
      <c r="BN529" s="196"/>
      <c r="BO529" s="601" t="str">
        <f ca="1">IF(IFERROR(INDEX(Налоги!$K$26:$L$83,MATCH($F529&amp;"5komm",Налоги!$K$26:$K$83,0),2),"")=0,"",IFERROR(INDEX(Налоги!$K$26:$L$83,MATCH($F529&amp;"5komm",Налоги!$K$26:$K$83,0),2),""))</f>
        <v/>
      </c>
      <c r="BP529" s="196"/>
      <c r="BS529" s="696" t="s">
        <v>2098</v>
      </c>
    </row>
    <row r="530" spans="2:75" ht="14.25" customHeight="1" x14ac:dyDescent="0.15">
      <c r="C530" s="25"/>
      <c r="D530" s="25"/>
      <c r="E530" s="451">
        <v>15</v>
      </c>
      <c r="F530" s="3" t="str" cm="1">
        <f t="array" aca="1" ref="F530" ca="1">OFFSET(E530,-1,1)</f>
        <v>3</v>
      </c>
      <c r="G530" s="611">
        <v>1</v>
      </c>
      <c r="H530" s="25"/>
      <c r="I530" s="25" t="s">
        <v>2099</v>
      </c>
      <c r="J530" s="25"/>
      <c r="K530" s="25" t="s">
        <v>2099</v>
      </c>
      <c r="L530" s="25"/>
      <c r="M530" s="25"/>
      <c r="N530" s="25"/>
      <c r="O530" s="25"/>
      <c r="P530" s="25"/>
      <c r="Q530" s="25"/>
      <c r="R530" s="25"/>
      <c r="S530" s="25"/>
      <c r="T530" s="353" t="b" cm="1">
        <f t="array" aca="1" ref="T530" ca="1">T529</f>
        <v>1</v>
      </c>
      <c r="U530" s="25"/>
      <c r="V530" s="25"/>
      <c r="W530" s="25"/>
      <c r="X530" s="1022"/>
      <c r="Z530" s="967"/>
      <c r="AB530" s="7" t="s">
        <v>2100</v>
      </c>
      <c r="AC530" s="134" t="s">
        <v>2101</v>
      </c>
      <c r="AD530" s="7" t="s">
        <v>828</v>
      </c>
      <c r="AE530" s="171">
        <f ca="1">SUMIFS(Налоги!AE$25:AE$83,Налоги!$F$25:$F$83,$F530,Налоги!$AB$25:$AB$83,$G530)</f>
        <v>0</v>
      </c>
      <c r="AF530" s="171">
        <f ca="1">SUMIFS(Налоги!AF$25:AF$83,Налоги!$F$25:$F$83,$F530,Налоги!$AB$25:$AB$83,$G530)</f>
        <v>0</v>
      </c>
      <c r="AG530" s="171">
        <f ca="1">SUMIFS(Налоги!AG$25:AG$83,Налоги!$F$25:$F$83,$F530,Налоги!$AB$25:$AB$83,$G530)</f>
        <v>0</v>
      </c>
      <c r="AH530" s="171">
        <f t="shared" ca="1" si="151"/>
        <v>0</v>
      </c>
      <c r="AI530" s="171">
        <f ca="1">SUMIFS(Налоги!AH$25:AH$83,Налоги!$F$25:$F$83,$F530,Налоги!$AB$25:$AB$83,$G530)</f>
        <v>0</v>
      </c>
      <c r="AJ530" s="171">
        <f ca="1">SUMIFS(Налоги!AI$25:AI$83,Налоги!$F$25:$F$83,$F530,Налоги!$AB$25:$AB$83,$G530)</f>
        <v>0</v>
      </c>
      <c r="AK530" s="171">
        <f ca="1">SUMIFS(Налоги!AJ$25:AJ$83,Налоги!$F$25:$F$83,$F530,Налоги!$AB$25:$AB$83,$G530)</f>
        <v>0</v>
      </c>
      <c r="AL530" s="171">
        <f ca="1">SUMIFS(Налоги!AK$25:AK$83,Налоги!$F$25:$F$83,$F530,Налоги!$AB$25:$AB$83,$G530)</f>
        <v>0</v>
      </c>
      <c r="AM530" s="171">
        <f ca="1">SUMIFS(Налоги!AL$25:AL$83,Налоги!$F$25:$F$83,$F530,Налоги!$AB$25:$AB$83,$G530)</f>
        <v>0</v>
      </c>
      <c r="AN530" s="171">
        <f ca="1">SUMIFS(Налоги!AM$25:AM$83,Налоги!$F$25:$F$83,$F530,Налоги!$AB$25:$AB$83,$G530)</f>
        <v>0</v>
      </c>
      <c r="AO530" s="171">
        <f ca="1">SUMIFS(Налоги!AN$25:AN$83,Налоги!$F$25:$F$83,$F530,Налоги!$AB$25:$AB$83,$G530)</f>
        <v>0</v>
      </c>
      <c r="AP530" s="171">
        <f ca="1">SUMIFS(Налоги!AO$25:AO$83,Налоги!$F$25:$F$83,$F530,Налоги!$AB$25:$AB$83,$G530)</f>
        <v>0</v>
      </c>
      <c r="AQ530" s="171">
        <f ca="1">SUMIFS(Налоги!AP$25:AP$83,Налоги!$F$25:$F$83,$F530,Налоги!$AB$25:$AB$83,$G530)</f>
        <v>0</v>
      </c>
      <c r="AR530" s="171">
        <f ca="1">SUMIFS(Налоги!AQ$25:AQ$83,Налоги!$F$25:$F$83,$F530,Налоги!$AB$25:$AB$83,$G530)</f>
        <v>0</v>
      </c>
      <c r="AS530" s="171">
        <f ca="1">SUMIFS(Налоги!AR$25:AR$83,Налоги!$F$25:$F$83,$F530,Налоги!$AB$25:$AB$83,$G530)</f>
        <v>0</v>
      </c>
      <c r="AT530" s="171">
        <f ca="1">SUMIFS(Налоги!AS$25:AS$83,Налоги!$F$25:$F$83,$F530,Налоги!$AB$25:$AB$83,$G530)</f>
        <v>0</v>
      </c>
      <c r="AU530" s="171">
        <f ca="1">SUMIFS(Налоги!AT$25:AT$83,Налоги!$F$25:$F$83,$F530,Налоги!$AB$25:$AB$83,$G530)</f>
        <v>0</v>
      </c>
      <c r="AV530" s="171">
        <f ca="1">SUMIFS(Налоги!AU$25:AU$83,Налоги!$F$25:$F$83,$F530,Налоги!$AB$25:$AB$83,$G530)</f>
        <v>0</v>
      </c>
      <c r="AW530" s="171">
        <f ca="1">SUMIFS(Налоги!AV$25:AV$83,Налоги!$F$25:$F$83,$F530,Налоги!$AB$25:$AB$83,$G530)</f>
        <v>0</v>
      </c>
      <c r="AX530" s="171">
        <f ca="1">SUMIFS(Налоги!AW$25:AW$83,Налоги!$F$25:$F$83,$F530,Налоги!$AB$25:$AB$83,$G530)</f>
        <v>0</v>
      </c>
      <c r="AY530" s="171">
        <f ca="1">SUMIFS(Налоги!AX$25:AX$83,Налоги!$F$25:$F$83,$F530,Налоги!$AB$25:$AB$83,$G530)</f>
        <v>0</v>
      </c>
      <c r="AZ530" s="171">
        <f ca="1">SUMIFS(Налоги!AY$25:AY$83,Налоги!$F$25:$F$83,$F530,Налоги!$AB$25:$AB$83,$G530)</f>
        <v>0</v>
      </c>
      <c r="BA530" s="171">
        <f ca="1">SUMIFS(Налоги!AZ$25:AZ$83,Налоги!$F$25:$F$83,$F530,Налоги!$AB$25:$AB$83,$G530)</f>
        <v>0</v>
      </c>
      <c r="BB530" s="171">
        <f ca="1">SUMIFS(Налоги!BA$25:BA$83,Налоги!$F$25:$F$83,$F530,Налоги!$AB$25:$AB$83,$G530)</f>
        <v>0</v>
      </c>
      <c r="BC530" s="171">
        <f ca="1">SUMIFS(Налоги!BB$25:BB$83,Налоги!$F$25:$F$83,$F530,Налоги!$AB$25:$AB$83,$G530)</f>
        <v>0</v>
      </c>
      <c r="BD530" s="171">
        <f t="shared" ca="1" si="153"/>
        <v>0</v>
      </c>
      <c r="BE530" s="171">
        <f t="shared" ca="1" si="154"/>
        <v>0</v>
      </c>
      <c r="BF530" s="171">
        <f t="shared" ca="1" si="155"/>
        <v>0</v>
      </c>
      <c r="BG530" s="171">
        <f t="shared" ca="1" si="156"/>
        <v>0</v>
      </c>
      <c r="BH530" s="171">
        <f t="shared" ca="1" si="157"/>
        <v>0</v>
      </c>
      <c r="BI530" s="171">
        <f t="shared" ca="1" si="158"/>
        <v>0</v>
      </c>
      <c r="BJ530" s="171">
        <f t="shared" ca="1" si="159"/>
        <v>0</v>
      </c>
      <c r="BK530" s="171">
        <f t="shared" ca="1" si="160"/>
        <v>0</v>
      </c>
      <c r="BL530" s="171">
        <f t="shared" ca="1" si="161"/>
        <v>0</v>
      </c>
      <c r="BM530" s="171">
        <f t="shared" ca="1" si="162"/>
        <v>0</v>
      </c>
      <c r="BN530" s="196"/>
      <c r="BO530" s="601" t="str">
        <f ca="1">IF(IFERROR(INDEX(Налоги!$K$26:$L$83,MATCH($F530&amp;"1komm",Налоги!$K$26:$K$83,0),2),"")=0,"",IFERROR(INDEX(Налоги!$K$26:$L$83,MATCH($F530&amp;"1komm",Налоги!$K$26:$K$83,0),2),""))</f>
        <v/>
      </c>
      <c r="BP530" s="196"/>
      <c r="BS530" s="696" t="s">
        <v>2102</v>
      </c>
    </row>
    <row r="531" spans="2:75" ht="14.25" customHeight="1" x14ac:dyDescent="0.15">
      <c r="C531" s="25"/>
      <c r="D531" s="25"/>
      <c r="E531" s="451">
        <v>15</v>
      </c>
      <c r="F531" s="3" t="str" cm="1">
        <f t="array" aca="1" ref="F531" ca="1">OFFSET(E531,-1,1)</f>
        <v>3</v>
      </c>
      <c r="G531" s="611">
        <v>3</v>
      </c>
      <c r="H531" s="25"/>
      <c r="I531" s="25" t="s">
        <v>2103</v>
      </c>
      <c r="J531" s="25"/>
      <c r="K531" s="25" t="s">
        <v>2103</v>
      </c>
      <c r="L531" s="25"/>
      <c r="M531" s="25"/>
      <c r="N531" s="25"/>
      <c r="O531" s="25"/>
      <c r="P531" s="25"/>
      <c r="Q531" s="25"/>
      <c r="R531" s="25"/>
      <c r="S531" s="25"/>
      <c r="T531" s="353" t="b" cm="1">
        <f t="array" aca="1" ref="T531" ca="1">T530</f>
        <v>1</v>
      </c>
      <c r="U531" s="25"/>
      <c r="V531" s="25"/>
      <c r="W531" s="25"/>
      <c r="X531" s="1022"/>
      <c r="Z531" s="967"/>
      <c r="AB531" s="7" t="s">
        <v>2104</v>
      </c>
      <c r="AC531" s="134" t="s">
        <v>2105</v>
      </c>
      <c r="AD531" s="7" t="s">
        <v>828</v>
      </c>
      <c r="AE531" s="171">
        <f ca="1">SUMIFS(Налоги!AE$25:AE$83,Налоги!$F$25:$F$83,$F531,Налоги!$AB$25:$AB$83,$G531)</f>
        <v>0</v>
      </c>
      <c r="AF531" s="171">
        <f ca="1">SUMIFS(Налоги!AF$25:AF$83,Налоги!$F$25:$F$83,$F531,Налоги!$AB$25:$AB$83,$G531)</f>
        <v>0</v>
      </c>
      <c r="AG531" s="171">
        <f ca="1">SUMIFS(Налоги!AG$25:AG$83,Налоги!$F$25:$F$83,$F531,Налоги!$AB$25:$AB$83,$G531)</f>
        <v>0</v>
      </c>
      <c r="AH531" s="171">
        <f t="shared" ca="1" si="151"/>
        <v>0</v>
      </c>
      <c r="AI531" s="171">
        <f ca="1">SUMIFS(Налоги!AH$25:AH$83,Налоги!$F$25:$F$83,$F531,Налоги!$AB$25:$AB$83,$G531)</f>
        <v>0</v>
      </c>
      <c r="AJ531" s="171">
        <f ca="1">SUMIFS(Налоги!AI$25:AI$83,Налоги!$F$25:$F$83,$F531,Налоги!$AB$25:$AB$83,$G531)</f>
        <v>0</v>
      </c>
      <c r="AK531" s="171">
        <f ca="1">SUMIFS(Налоги!AJ$25:AJ$83,Налоги!$F$25:$F$83,$F531,Налоги!$AB$25:$AB$83,$G531)</f>
        <v>0</v>
      </c>
      <c r="AL531" s="171">
        <f ca="1">SUMIFS(Налоги!AK$25:AK$83,Налоги!$F$25:$F$83,$F531,Налоги!$AB$25:$AB$83,$G531)</f>
        <v>0</v>
      </c>
      <c r="AM531" s="171">
        <f ca="1">SUMIFS(Налоги!AL$25:AL$83,Налоги!$F$25:$F$83,$F531,Налоги!$AB$25:$AB$83,$G531)</f>
        <v>0</v>
      </c>
      <c r="AN531" s="171">
        <f ca="1">SUMIFS(Налоги!AM$25:AM$83,Налоги!$F$25:$F$83,$F531,Налоги!$AB$25:$AB$83,$G531)</f>
        <v>0</v>
      </c>
      <c r="AO531" s="171">
        <f ca="1">SUMIFS(Налоги!AN$25:AN$83,Налоги!$F$25:$F$83,$F531,Налоги!$AB$25:$AB$83,$G531)</f>
        <v>0</v>
      </c>
      <c r="AP531" s="171">
        <f ca="1">SUMIFS(Налоги!AO$25:AO$83,Налоги!$F$25:$F$83,$F531,Налоги!$AB$25:$AB$83,$G531)</f>
        <v>0</v>
      </c>
      <c r="AQ531" s="171">
        <f ca="1">SUMIFS(Налоги!AP$25:AP$83,Налоги!$F$25:$F$83,$F531,Налоги!$AB$25:$AB$83,$G531)</f>
        <v>0</v>
      </c>
      <c r="AR531" s="171">
        <f ca="1">SUMIFS(Налоги!AQ$25:AQ$83,Налоги!$F$25:$F$83,$F531,Налоги!$AB$25:$AB$83,$G531)</f>
        <v>0</v>
      </c>
      <c r="AS531" s="171">
        <f ca="1">SUMIFS(Налоги!AR$25:AR$83,Налоги!$F$25:$F$83,$F531,Налоги!$AB$25:$AB$83,$G531)</f>
        <v>0</v>
      </c>
      <c r="AT531" s="171">
        <f ca="1">SUMIFS(Налоги!AS$25:AS$83,Налоги!$F$25:$F$83,$F531,Налоги!$AB$25:$AB$83,$G531)</f>
        <v>0</v>
      </c>
      <c r="AU531" s="171">
        <f ca="1">SUMIFS(Налоги!AT$25:AT$83,Налоги!$F$25:$F$83,$F531,Налоги!$AB$25:$AB$83,$G531)</f>
        <v>0</v>
      </c>
      <c r="AV531" s="171">
        <f ca="1">SUMIFS(Налоги!AU$25:AU$83,Налоги!$F$25:$F$83,$F531,Налоги!$AB$25:$AB$83,$G531)</f>
        <v>0</v>
      </c>
      <c r="AW531" s="171">
        <f ca="1">SUMIFS(Налоги!AV$25:AV$83,Налоги!$F$25:$F$83,$F531,Налоги!$AB$25:$AB$83,$G531)</f>
        <v>0</v>
      </c>
      <c r="AX531" s="171">
        <f ca="1">SUMIFS(Налоги!AW$25:AW$83,Налоги!$F$25:$F$83,$F531,Налоги!$AB$25:$AB$83,$G531)</f>
        <v>0</v>
      </c>
      <c r="AY531" s="171">
        <f ca="1">SUMIFS(Налоги!AX$25:AX$83,Налоги!$F$25:$F$83,$F531,Налоги!$AB$25:$AB$83,$G531)</f>
        <v>0</v>
      </c>
      <c r="AZ531" s="171">
        <f ca="1">SUMIFS(Налоги!AY$25:AY$83,Налоги!$F$25:$F$83,$F531,Налоги!$AB$25:$AB$83,$G531)</f>
        <v>0</v>
      </c>
      <c r="BA531" s="171">
        <f ca="1">SUMIFS(Налоги!AZ$25:AZ$83,Налоги!$F$25:$F$83,$F531,Налоги!$AB$25:$AB$83,$G531)</f>
        <v>0</v>
      </c>
      <c r="BB531" s="171">
        <f ca="1">SUMIFS(Налоги!BA$25:BA$83,Налоги!$F$25:$F$83,$F531,Налоги!$AB$25:$AB$83,$G531)</f>
        <v>0</v>
      </c>
      <c r="BC531" s="171">
        <f ca="1">SUMIFS(Налоги!BB$25:BB$83,Налоги!$F$25:$F$83,$F531,Налоги!$AB$25:$AB$83,$G531)</f>
        <v>0</v>
      </c>
      <c r="BD531" s="171">
        <f t="shared" ca="1" si="153"/>
        <v>0</v>
      </c>
      <c r="BE531" s="171">
        <f t="shared" ca="1" si="154"/>
        <v>0</v>
      </c>
      <c r="BF531" s="171">
        <f t="shared" ca="1" si="155"/>
        <v>0</v>
      </c>
      <c r="BG531" s="171">
        <f t="shared" ca="1" si="156"/>
        <v>0</v>
      </c>
      <c r="BH531" s="171">
        <f t="shared" ca="1" si="157"/>
        <v>0</v>
      </c>
      <c r="BI531" s="171">
        <f t="shared" ca="1" si="158"/>
        <v>0</v>
      </c>
      <c r="BJ531" s="171">
        <f t="shared" ca="1" si="159"/>
        <v>0</v>
      </c>
      <c r="BK531" s="171">
        <f t="shared" ca="1" si="160"/>
        <v>0</v>
      </c>
      <c r="BL531" s="171">
        <f t="shared" ca="1" si="161"/>
        <v>0</v>
      </c>
      <c r="BM531" s="171">
        <f t="shared" ca="1" si="162"/>
        <v>0</v>
      </c>
      <c r="BN531" s="196"/>
      <c r="BO531" s="601" t="str">
        <f ca="1">IF(IFERROR(INDEX(Налоги!$K$26:$L$83,MATCH($F531&amp;"5komm",Налоги!$K$26:$K$83,0),2),"")=0,"",IFERROR(INDEX(Налоги!$K$26:$L$83,MATCH($F531&amp;"5komm",Налоги!$K$26:$K$83,0),2),""))</f>
        <v/>
      </c>
      <c r="BP531" s="196"/>
      <c r="BS531" s="696" t="s">
        <v>2106</v>
      </c>
    </row>
    <row r="532" spans="2:75" ht="14.25" customHeight="1" x14ac:dyDescent="0.15">
      <c r="C532" s="25"/>
      <c r="D532" s="25"/>
      <c r="E532" s="451">
        <v>15</v>
      </c>
      <c r="F532" s="3" t="str" cm="1">
        <f t="array" aca="1" ref="F532" ca="1">OFFSET(E532,-1,1)</f>
        <v>3</v>
      </c>
      <c r="G532" s="611">
        <v>8</v>
      </c>
      <c r="H532" s="25"/>
      <c r="I532" s="25" t="s">
        <v>2107</v>
      </c>
      <c r="J532" s="25"/>
      <c r="K532" s="25" t="s">
        <v>2107</v>
      </c>
      <c r="L532" s="25"/>
      <c r="M532" s="25"/>
      <c r="N532" s="25"/>
      <c r="O532" s="25"/>
      <c r="P532" s="25"/>
      <c r="Q532" s="25"/>
      <c r="R532" s="25"/>
      <c r="S532" s="25"/>
      <c r="T532" s="353" t="b" cm="1">
        <f t="array" aca="1" ref="T532" ca="1">T531</f>
        <v>1</v>
      </c>
      <c r="U532" s="25"/>
      <c r="V532" s="25"/>
      <c r="W532" s="25"/>
      <c r="X532" s="1022"/>
      <c r="Z532" s="967"/>
      <c r="AB532" s="7" t="s">
        <v>2108</v>
      </c>
      <c r="AC532" s="134" t="s">
        <v>2109</v>
      </c>
      <c r="AD532" s="7" t="s">
        <v>828</v>
      </c>
      <c r="AE532" s="171">
        <f ca="1">SUMIFS(Налоги!AE$25:AE$83,Налоги!$F$25:$F$83,$F532,Налоги!$AB$25:$AB$83,$G532)</f>
        <v>0</v>
      </c>
      <c r="AF532" s="171">
        <f ca="1">SUMIFS(Налоги!AF$25:AF$83,Налоги!$F$25:$F$83,$F532,Налоги!$AB$25:$AB$83,$G532)</f>
        <v>0</v>
      </c>
      <c r="AG532" s="171">
        <f ca="1">SUMIFS(Налоги!AG$25:AG$83,Налоги!$F$25:$F$83,$F532,Налоги!$AB$25:$AB$83,$G532)</f>
        <v>0</v>
      </c>
      <c r="AH532" s="171">
        <f t="shared" ca="1" si="151"/>
        <v>0</v>
      </c>
      <c r="AI532" s="171">
        <f ca="1">SUMIFS(Налоги!AH$25:AH$83,Налоги!$F$25:$F$83,$F532,Налоги!$AB$25:$AB$83,$G532)</f>
        <v>0</v>
      </c>
      <c r="AJ532" s="171">
        <f ca="1">SUMIFS(Налоги!AI$25:AI$83,Налоги!$F$25:$F$83,$F532,Налоги!$AB$25:$AB$83,$G532)</f>
        <v>0</v>
      </c>
      <c r="AK532" s="171">
        <f ca="1">SUMIFS(Налоги!AJ$25:AJ$83,Налоги!$F$25:$F$83,$F532,Налоги!$AB$25:$AB$83,$G532)</f>
        <v>0</v>
      </c>
      <c r="AL532" s="171">
        <f ca="1">SUMIFS(Налоги!AK$25:AK$83,Налоги!$F$25:$F$83,$F532,Налоги!$AB$25:$AB$83,$G532)</f>
        <v>0</v>
      </c>
      <c r="AM532" s="171">
        <f ca="1">SUMIFS(Налоги!AL$25:AL$83,Налоги!$F$25:$F$83,$F532,Налоги!$AB$25:$AB$83,$G532)</f>
        <v>0</v>
      </c>
      <c r="AN532" s="171">
        <f ca="1">SUMIFS(Налоги!AM$25:AM$83,Налоги!$F$25:$F$83,$F532,Налоги!$AB$25:$AB$83,$G532)</f>
        <v>0</v>
      </c>
      <c r="AO532" s="171">
        <f ca="1">SUMIFS(Налоги!AN$25:AN$83,Налоги!$F$25:$F$83,$F532,Налоги!$AB$25:$AB$83,$G532)</f>
        <v>0</v>
      </c>
      <c r="AP532" s="171">
        <f ca="1">SUMIFS(Налоги!AO$25:AO$83,Налоги!$F$25:$F$83,$F532,Налоги!$AB$25:$AB$83,$G532)</f>
        <v>0</v>
      </c>
      <c r="AQ532" s="171">
        <f ca="1">SUMIFS(Налоги!AP$25:AP$83,Налоги!$F$25:$F$83,$F532,Налоги!$AB$25:$AB$83,$G532)</f>
        <v>0</v>
      </c>
      <c r="AR532" s="171">
        <f ca="1">SUMIFS(Налоги!AQ$25:AQ$83,Налоги!$F$25:$F$83,$F532,Налоги!$AB$25:$AB$83,$G532)</f>
        <v>0</v>
      </c>
      <c r="AS532" s="171">
        <f ca="1">SUMIFS(Налоги!AR$25:AR$83,Налоги!$F$25:$F$83,$F532,Налоги!$AB$25:$AB$83,$G532)</f>
        <v>0</v>
      </c>
      <c r="AT532" s="171">
        <f ca="1">SUMIFS(Налоги!AS$25:AS$83,Налоги!$F$25:$F$83,$F532,Налоги!$AB$25:$AB$83,$G532)</f>
        <v>0</v>
      </c>
      <c r="AU532" s="171">
        <f ca="1">SUMIFS(Налоги!AT$25:AT$83,Налоги!$F$25:$F$83,$F532,Налоги!$AB$25:$AB$83,$G532)</f>
        <v>0</v>
      </c>
      <c r="AV532" s="171">
        <f ca="1">SUMIFS(Налоги!AU$25:AU$83,Налоги!$F$25:$F$83,$F532,Налоги!$AB$25:$AB$83,$G532)</f>
        <v>0</v>
      </c>
      <c r="AW532" s="171">
        <f ca="1">SUMIFS(Налоги!AV$25:AV$83,Налоги!$F$25:$F$83,$F532,Налоги!$AB$25:$AB$83,$G532)</f>
        <v>0</v>
      </c>
      <c r="AX532" s="171">
        <f ca="1">SUMIFS(Налоги!AW$25:AW$83,Налоги!$F$25:$F$83,$F532,Налоги!$AB$25:$AB$83,$G532)</f>
        <v>0</v>
      </c>
      <c r="AY532" s="171">
        <f ca="1">SUMIFS(Налоги!AX$25:AX$83,Налоги!$F$25:$F$83,$F532,Налоги!$AB$25:$AB$83,$G532)</f>
        <v>0</v>
      </c>
      <c r="AZ532" s="171">
        <f ca="1">SUMIFS(Налоги!AY$25:AY$83,Налоги!$F$25:$F$83,$F532,Налоги!$AB$25:$AB$83,$G532)</f>
        <v>0</v>
      </c>
      <c r="BA532" s="171">
        <f ca="1">SUMIFS(Налоги!AZ$25:AZ$83,Налоги!$F$25:$F$83,$F532,Налоги!$AB$25:$AB$83,$G532)</f>
        <v>0</v>
      </c>
      <c r="BB532" s="171">
        <f ca="1">SUMIFS(Налоги!BA$25:BA$83,Налоги!$F$25:$F$83,$F532,Налоги!$AB$25:$AB$83,$G532)</f>
        <v>0</v>
      </c>
      <c r="BC532" s="171">
        <f ca="1">SUMIFS(Налоги!BB$25:BB$83,Налоги!$F$25:$F$83,$F532,Налоги!$AB$25:$AB$83,$G532)</f>
        <v>0</v>
      </c>
      <c r="BD532" s="171">
        <f t="shared" ca="1" si="153"/>
        <v>0</v>
      </c>
      <c r="BE532" s="171">
        <f t="shared" ca="1" si="154"/>
        <v>0</v>
      </c>
      <c r="BF532" s="171">
        <f t="shared" ca="1" si="155"/>
        <v>0</v>
      </c>
      <c r="BG532" s="171">
        <f t="shared" ca="1" si="156"/>
        <v>0</v>
      </c>
      <c r="BH532" s="171">
        <f t="shared" ca="1" si="157"/>
        <v>0</v>
      </c>
      <c r="BI532" s="171">
        <f t="shared" ca="1" si="158"/>
        <v>0</v>
      </c>
      <c r="BJ532" s="171">
        <f t="shared" ca="1" si="159"/>
        <v>0</v>
      </c>
      <c r="BK532" s="171">
        <f t="shared" ca="1" si="160"/>
        <v>0</v>
      </c>
      <c r="BL532" s="171">
        <f t="shared" ca="1" si="161"/>
        <v>0</v>
      </c>
      <c r="BM532" s="171">
        <f t="shared" ca="1" si="162"/>
        <v>0</v>
      </c>
      <c r="BN532" s="196"/>
      <c r="BO532" s="601" t="str">
        <f ca="1">IF(IFERROR(INDEX(Налоги!$K$26:$L$83,MATCH($F532&amp;"8komm",Налоги!$K$26:$K$83,0),2),"")=0,"",IFERROR(INDEX(Налоги!$K$26:$L$83,MATCH($F532&amp;"8komm",Налоги!$K$26:$K$83,0),2),""))</f>
        <v/>
      </c>
      <c r="BP532" s="196"/>
      <c r="BS532" s="696" t="s">
        <v>1293</v>
      </c>
    </row>
    <row r="533" spans="2:75" s="376" customFormat="1" ht="14.25" customHeight="1" x14ac:dyDescent="0.15">
      <c r="B533" s="537"/>
      <c r="C533" s="25"/>
      <c r="D533" s="25"/>
      <c r="E533" s="451">
        <v>15</v>
      </c>
      <c r="F533" s="3" t="str" cm="1">
        <f t="array" aca="1" ref="F533" ca="1">OFFSET(E533,-1,1)</f>
        <v>3</v>
      </c>
      <c r="G533" s="611">
        <v>9</v>
      </c>
      <c r="H533" s="25"/>
      <c r="I533" s="25"/>
      <c r="J533" s="25"/>
      <c r="K533" s="25"/>
      <c r="L533" s="25"/>
      <c r="M533" s="25"/>
      <c r="N533" s="25"/>
      <c r="O533" s="25"/>
      <c r="P533" s="25"/>
      <c r="Q533" s="25"/>
      <c r="R533" s="25"/>
      <c r="S533" s="25"/>
      <c r="T533" s="353" t="b" cm="1">
        <f t="array" aca="1" ref="T533" ca="1">T532</f>
        <v>1</v>
      </c>
      <c r="U533" s="25"/>
      <c r="V533" s="25"/>
      <c r="W533" s="25"/>
      <c r="X533" s="1022"/>
      <c r="Z533" s="967"/>
      <c r="AB533" s="7" t="s">
        <v>2110</v>
      </c>
      <c r="AC533" s="549" t="s">
        <v>2111</v>
      </c>
      <c r="AD533" s="7" t="s">
        <v>828</v>
      </c>
      <c r="AE533" s="171">
        <f ca="1">SUMIFS(Налоги!AE$25:AE$83,Налоги!$F$25:$F$83,$F533,Налоги!$AB$25:$AB$83,$G533)</f>
        <v>0</v>
      </c>
      <c r="AF533" s="171">
        <f ca="1">SUMIFS(Налоги!AF$25:AF$83,Налоги!$F$25:$F$83,$F533,Налоги!$AB$25:$AB$83,$G533)</f>
        <v>0</v>
      </c>
      <c r="AG533" s="171">
        <f ca="1">SUMIFS(Налоги!AG$25:AG$83,Налоги!$F$25:$F$83,$F533,Налоги!$AB$25:$AB$83,$G533)</f>
        <v>0</v>
      </c>
      <c r="AH533" s="171">
        <f t="shared" ca="1" si="151"/>
        <v>0</v>
      </c>
      <c r="AI533" s="171">
        <f ca="1">SUMIFS(Налоги!AH$25:AH$83,Налоги!$F$25:$F$83,$F533,Налоги!$AB$25:$AB$83,$G533)</f>
        <v>0</v>
      </c>
      <c r="AJ533" s="171">
        <f ca="1">SUMIFS(Налоги!AI$25:AI$83,Налоги!$F$25:$F$83,$F533,Налоги!$AB$25:$AB$83,$G533)</f>
        <v>0</v>
      </c>
      <c r="AK533" s="171">
        <f ca="1">SUMIFS(Налоги!AJ$25:AJ$83,Налоги!$F$25:$F$83,$F533,Налоги!$AB$25:$AB$83,$G533)</f>
        <v>0</v>
      </c>
      <c r="AL533" s="171">
        <f ca="1">SUMIFS(Налоги!AK$25:AK$83,Налоги!$F$25:$F$83,$F533,Налоги!$AB$25:$AB$83,$G533)</f>
        <v>0</v>
      </c>
      <c r="AM533" s="171">
        <f ca="1">SUMIFS(Налоги!AL$25:AL$83,Налоги!$F$25:$F$83,$F533,Налоги!$AB$25:$AB$83,$G533)</f>
        <v>0</v>
      </c>
      <c r="AN533" s="171">
        <f ca="1">SUMIFS(Налоги!AM$25:AM$83,Налоги!$F$25:$F$83,$F533,Налоги!$AB$25:$AB$83,$G533)</f>
        <v>0</v>
      </c>
      <c r="AO533" s="171">
        <f ca="1">SUMIFS(Налоги!AN$25:AN$83,Налоги!$F$25:$F$83,$F533,Налоги!$AB$25:$AB$83,$G533)</f>
        <v>0</v>
      </c>
      <c r="AP533" s="171">
        <f ca="1">SUMIFS(Налоги!AO$25:AO$83,Налоги!$F$25:$F$83,$F533,Налоги!$AB$25:$AB$83,$G533)</f>
        <v>0</v>
      </c>
      <c r="AQ533" s="171">
        <f ca="1">SUMIFS(Налоги!AP$25:AP$83,Налоги!$F$25:$F$83,$F533,Налоги!$AB$25:$AB$83,$G533)</f>
        <v>0</v>
      </c>
      <c r="AR533" s="171">
        <f ca="1">SUMIFS(Налоги!AQ$25:AQ$83,Налоги!$F$25:$F$83,$F533,Налоги!$AB$25:$AB$83,$G533)</f>
        <v>0</v>
      </c>
      <c r="AS533" s="171">
        <f ca="1">SUMIFS(Налоги!AR$25:AR$83,Налоги!$F$25:$F$83,$F533,Налоги!$AB$25:$AB$83,$G533)</f>
        <v>0</v>
      </c>
      <c r="AT533" s="171">
        <f ca="1">SUMIFS(Налоги!AS$25:AS$83,Налоги!$F$25:$F$83,$F533,Налоги!$AB$25:$AB$83,$G533)</f>
        <v>0</v>
      </c>
      <c r="AU533" s="171">
        <f ca="1">SUMIFS(Налоги!AT$25:AT$83,Налоги!$F$25:$F$83,$F533,Налоги!$AB$25:$AB$83,$G533)</f>
        <v>0</v>
      </c>
      <c r="AV533" s="171">
        <f ca="1">SUMIFS(Налоги!AU$25:AU$83,Налоги!$F$25:$F$83,$F533,Налоги!$AB$25:$AB$83,$G533)</f>
        <v>0</v>
      </c>
      <c r="AW533" s="171">
        <f ca="1">SUMIFS(Налоги!AV$25:AV$83,Налоги!$F$25:$F$83,$F533,Налоги!$AB$25:$AB$83,$G533)</f>
        <v>0</v>
      </c>
      <c r="AX533" s="171">
        <f ca="1">SUMIFS(Налоги!AW$25:AW$83,Налоги!$F$25:$F$83,$F533,Налоги!$AB$25:$AB$83,$G533)</f>
        <v>0</v>
      </c>
      <c r="AY533" s="171">
        <f ca="1">SUMIFS(Налоги!AX$25:AX$83,Налоги!$F$25:$F$83,$F533,Налоги!$AB$25:$AB$83,$G533)</f>
        <v>0</v>
      </c>
      <c r="AZ533" s="171">
        <f ca="1">SUMIFS(Налоги!AY$25:AY$83,Налоги!$F$25:$F$83,$F533,Налоги!$AB$25:$AB$83,$G533)</f>
        <v>0</v>
      </c>
      <c r="BA533" s="171">
        <f ca="1">SUMIFS(Налоги!AZ$25:AZ$83,Налоги!$F$25:$F$83,$F533,Налоги!$AB$25:$AB$83,$G533)</f>
        <v>0</v>
      </c>
      <c r="BB533" s="171">
        <f ca="1">SUMIFS(Налоги!BA$25:BA$83,Налоги!$F$25:$F$83,$F533,Налоги!$AB$25:$AB$83,$G533)</f>
        <v>0</v>
      </c>
      <c r="BC533" s="171">
        <f ca="1">SUMIFS(Налоги!BB$25:BB$83,Налоги!$F$25:$F$83,$F533,Налоги!$AB$25:$AB$83,$G533)</f>
        <v>0</v>
      </c>
      <c r="BD533" s="171">
        <f t="shared" ca="1" si="153"/>
        <v>0</v>
      </c>
      <c r="BE533" s="171">
        <f t="shared" ca="1" si="154"/>
        <v>0</v>
      </c>
      <c r="BF533" s="171">
        <f t="shared" ca="1" si="155"/>
        <v>0</v>
      </c>
      <c r="BG533" s="171">
        <f t="shared" ca="1" si="156"/>
        <v>0</v>
      </c>
      <c r="BH533" s="171">
        <f t="shared" ca="1" si="157"/>
        <v>0</v>
      </c>
      <c r="BI533" s="171">
        <f t="shared" ca="1" si="158"/>
        <v>0</v>
      </c>
      <c r="BJ533" s="171">
        <f t="shared" ca="1" si="159"/>
        <v>0</v>
      </c>
      <c r="BK533" s="171">
        <f t="shared" ca="1" si="160"/>
        <v>0</v>
      </c>
      <c r="BL533" s="171">
        <f t="shared" ca="1" si="161"/>
        <v>0</v>
      </c>
      <c r="BM533" s="171">
        <f t="shared" ca="1" si="162"/>
        <v>0</v>
      </c>
      <c r="BN533" s="196"/>
      <c r="BO533" s="601" t="str">
        <f ca="1">IF(IFERROR(INDEX(Налоги!$K$26:$L$83,MATCH($F533&amp;"9komm",Налоги!$K$26:$K$83,0),2),"")=0,"",IFERROR(INDEX(Налоги!$K$26:$L$83,MATCH($F533&amp;"9komm",Налоги!$K$26:$K$83,0),2),""))</f>
        <v/>
      </c>
      <c r="BP533" s="196"/>
      <c r="BS533" s="703" t="s">
        <v>2112</v>
      </c>
      <c r="BT533" s="703"/>
      <c r="BU533" s="703"/>
      <c r="BV533" s="704"/>
      <c r="BW533" s="704"/>
    </row>
    <row r="534" spans="2:75" ht="14.25" customHeight="1" x14ac:dyDescent="0.15">
      <c r="C534" s="25"/>
      <c r="D534" s="25"/>
      <c r="E534" s="451">
        <v>15</v>
      </c>
      <c r="F534" s="3" t="str" cm="1">
        <f t="array" aca="1" ref="F534" ca="1">OFFSET(E534,-1,1)</f>
        <v>3</v>
      </c>
      <c r="G534" s="611">
        <v>10</v>
      </c>
      <c r="H534" s="25"/>
      <c r="I534" s="25" t="s">
        <v>2113</v>
      </c>
      <c r="J534" s="25"/>
      <c r="K534" s="25" t="s">
        <v>2113</v>
      </c>
      <c r="L534" s="25"/>
      <c r="M534" s="25"/>
      <c r="N534" s="25"/>
      <c r="O534" s="25"/>
      <c r="P534" s="25"/>
      <c r="Q534" s="25"/>
      <c r="R534" s="25"/>
      <c r="S534" s="25"/>
      <c r="T534" s="353" t="b" cm="1">
        <f t="array" aca="1" ref="T534" ca="1">T533</f>
        <v>1</v>
      </c>
      <c r="U534" s="25"/>
      <c r="V534" s="25"/>
      <c r="W534" s="25"/>
      <c r="X534" s="1022"/>
      <c r="Z534" s="967"/>
      <c r="AB534" s="7" t="s">
        <v>2114</v>
      </c>
      <c r="AC534" s="549" t="s">
        <v>2115</v>
      </c>
      <c r="AD534" s="7" t="s">
        <v>828</v>
      </c>
      <c r="AE534" s="171">
        <f ca="1">SUMIFS(Налоги!AE$25:AE$83,Налоги!$F$25:$F$83,$F534,Налоги!$AB$25:$AB$83,$G534)</f>
        <v>0</v>
      </c>
      <c r="AF534" s="171">
        <f ca="1">SUMIFS(Налоги!AF$25:AF$83,Налоги!$F$25:$F$83,$F534,Налоги!$AB$25:$AB$83,$G534)</f>
        <v>0</v>
      </c>
      <c r="AG534" s="171">
        <f ca="1">SUMIFS(Налоги!AG$25:AG$83,Налоги!$F$25:$F$83,$F534,Налоги!$AB$25:$AB$83,$G534)</f>
        <v>0</v>
      </c>
      <c r="AH534" s="171">
        <f t="shared" ca="1" si="151"/>
        <v>0</v>
      </c>
      <c r="AI534" s="171">
        <f ca="1">SUMIFS(Налоги!AH$25:AH$83,Налоги!$F$25:$F$83,$F534,Налоги!$AB$25:$AB$83,$G534)</f>
        <v>0</v>
      </c>
      <c r="AJ534" s="171">
        <f ca="1">SUMIFS(Налоги!AI$25:AI$83,Налоги!$F$25:$F$83,$F534,Налоги!$AB$25:$AB$83,$G534)</f>
        <v>0</v>
      </c>
      <c r="AK534" s="171">
        <f ca="1">SUMIFS(Налоги!AJ$25:AJ$83,Налоги!$F$25:$F$83,$F534,Налоги!$AB$25:$AB$83,$G534)</f>
        <v>0</v>
      </c>
      <c r="AL534" s="171">
        <f ca="1">SUMIFS(Налоги!AK$25:AK$83,Налоги!$F$25:$F$83,$F534,Налоги!$AB$25:$AB$83,$G534)</f>
        <v>0</v>
      </c>
      <c r="AM534" s="171">
        <f ca="1">SUMIFS(Налоги!AL$25:AL$83,Налоги!$F$25:$F$83,$F534,Налоги!$AB$25:$AB$83,$G534)</f>
        <v>0</v>
      </c>
      <c r="AN534" s="171">
        <f ca="1">SUMIFS(Налоги!AM$25:AM$83,Налоги!$F$25:$F$83,$F534,Налоги!$AB$25:$AB$83,$G534)</f>
        <v>0</v>
      </c>
      <c r="AO534" s="171">
        <f ca="1">SUMIFS(Налоги!AN$25:AN$83,Налоги!$F$25:$F$83,$F534,Налоги!$AB$25:$AB$83,$G534)</f>
        <v>0</v>
      </c>
      <c r="AP534" s="171">
        <f ca="1">SUMIFS(Налоги!AO$25:AO$83,Налоги!$F$25:$F$83,$F534,Налоги!$AB$25:$AB$83,$G534)</f>
        <v>0</v>
      </c>
      <c r="AQ534" s="171">
        <f ca="1">SUMIFS(Налоги!AP$25:AP$83,Налоги!$F$25:$F$83,$F534,Налоги!$AB$25:$AB$83,$G534)</f>
        <v>0</v>
      </c>
      <c r="AR534" s="171">
        <f ca="1">SUMIFS(Налоги!AQ$25:AQ$83,Налоги!$F$25:$F$83,$F534,Налоги!$AB$25:$AB$83,$G534)</f>
        <v>0</v>
      </c>
      <c r="AS534" s="171">
        <f ca="1">SUMIFS(Налоги!AR$25:AR$83,Налоги!$F$25:$F$83,$F534,Налоги!$AB$25:$AB$83,$G534)</f>
        <v>0</v>
      </c>
      <c r="AT534" s="171">
        <f ca="1">SUMIFS(Налоги!AS$25:AS$83,Налоги!$F$25:$F$83,$F534,Налоги!$AB$25:$AB$83,$G534)</f>
        <v>0</v>
      </c>
      <c r="AU534" s="171">
        <f ca="1">SUMIFS(Налоги!AT$25:AT$83,Налоги!$F$25:$F$83,$F534,Налоги!$AB$25:$AB$83,$G534)</f>
        <v>0</v>
      </c>
      <c r="AV534" s="171">
        <f ca="1">SUMIFS(Налоги!AU$25:AU$83,Налоги!$F$25:$F$83,$F534,Налоги!$AB$25:$AB$83,$G534)</f>
        <v>0</v>
      </c>
      <c r="AW534" s="171">
        <f ca="1">SUMIFS(Налоги!AV$25:AV$83,Налоги!$F$25:$F$83,$F534,Налоги!$AB$25:$AB$83,$G534)</f>
        <v>0</v>
      </c>
      <c r="AX534" s="171">
        <f ca="1">SUMIFS(Налоги!AW$25:AW$83,Налоги!$F$25:$F$83,$F534,Налоги!$AB$25:$AB$83,$G534)</f>
        <v>0</v>
      </c>
      <c r="AY534" s="171">
        <f ca="1">SUMIFS(Налоги!AX$25:AX$83,Налоги!$F$25:$F$83,$F534,Налоги!$AB$25:$AB$83,$G534)</f>
        <v>0</v>
      </c>
      <c r="AZ534" s="171">
        <f ca="1">SUMIFS(Налоги!AY$25:AY$83,Налоги!$F$25:$F$83,$F534,Налоги!$AB$25:$AB$83,$G534)</f>
        <v>0</v>
      </c>
      <c r="BA534" s="171">
        <f ca="1">SUMIFS(Налоги!AZ$25:AZ$83,Налоги!$F$25:$F$83,$F534,Налоги!$AB$25:$AB$83,$G534)</f>
        <v>0</v>
      </c>
      <c r="BB534" s="171">
        <f ca="1">SUMIFS(Налоги!BA$25:BA$83,Налоги!$F$25:$F$83,$F534,Налоги!$AB$25:$AB$83,$G534)</f>
        <v>0</v>
      </c>
      <c r="BC534" s="171">
        <f ca="1">SUMIFS(Налоги!BB$25:BB$83,Налоги!$F$25:$F$83,$F534,Налоги!$AB$25:$AB$83,$G534)</f>
        <v>0</v>
      </c>
      <c r="BD534" s="171">
        <f t="shared" ca="1" si="153"/>
        <v>0</v>
      </c>
      <c r="BE534" s="171">
        <f t="shared" ca="1" si="154"/>
        <v>0</v>
      </c>
      <c r="BF534" s="171">
        <f t="shared" ca="1" si="155"/>
        <v>0</v>
      </c>
      <c r="BG534" s="171">
        <f t="shared" ca="1" si="156"/>
        <v>0</v>
      </c>
      <c r="BH534" s="171">
        <f t="shared" ca="1" si="157"/>
        <v>0</v>
      </c>
      <c r="BI534" s="171">
        <f t="shared" ca="1" si="158"/>
        <v>0</v>
      </c>
      <c r="BJ534" s="171">
        <f t="shared" ca="1" si="159"/>
        <v>0</v>
      </c>
      <c r="BK534" s="171">
        <f t="shared" ca="1" si="160"/>
        <v>0</v>
      </c>
      <c r="BL534" s="171">
        <f t="shared" ca="1" si="161"/>
        <v>0</v>
      </c>
      <c r="BM534" s="171">
        <f t="shared" ca="1" si="162"/>
        <v>0</v>
      </c>
      <c r="BN534" s="196"/>
      <c r="BO534" s="601" t="str">
        <f ca="1">IF(IFERROR(INDEX(Налоги!$K$26:$L$83,MATCH($F534&amp;"10komm",Налоги!$K$26:$K$83,0),2),"")=0,"",IFERROR(INDEX(Налоги!$K$26:$L$83,MATCH($F534&amp;"10komm",Налоги!$K$26:$K$83,0),2),""))</f>
        <v/>
      </c>
      <c r="BP534" s="196"/>
      <c r="BS534" s="696" t="s">
        <v>2116</v>
      </c>
    </row>
    <row r="535" spans="2:75" ht="65.25" customHeight="1" x14ac:dyDescent="0.15">
      <c r="C535" s="25"/>
      <c r="D535" s="25"/>
      <c r="E535" s="451">
        <v>67.5</v>
      </c>
      <c r="F535" s="3" t="str" cm="1">
        <f t="array" aca="1" ref="F535" ca="1">OFFSET(E535,-1,1)</f>
        <v>3</v>
      </c>
      <c r="G535" s="25" t="s">
        <v>1453</v>
      </c>
      <c r="H535" s="25"/>
      <c r="I535" s="25" t="s">
        <v>961</v>
      </c>
      <c r="J535" s="25"/>
      <c r="K535" s="72" t="s">
        <v>961</v>
      </c>
      <c r="L535" s="25"/>
      <c r="M535" s="25"/>
      <c r="N535" s="25"/>
      <c r="O535" s="25"/>
      <c r="P535" s="25"/>
      <c r="Q535" s="25"/>
      <c r="R535" s="25"/>
      <c r="S535" s="25"/>
      <c r="T535" s="353" t="b" cm="1">
        <f t="array" aca="1" ref="T535" ca="1">T534</f>
        <v>1</v>
      </c>
      <c r="U535" s="25"/>
      <c r="V535" s="25"/>
      <c r="W535" s="25"/>
      <c r="X535" s="1022"/>
      <c r="Z535" s="967"/>
      <c r="AB535" s="7" t="s">
        <v>962</v>
      </c>
      <c r="AC535" s="550" t="s">
        <v>1456</v>
      </c>
      <c r="AD535" s="7" t="s">
        <v>828</v>
      </c>
      <c r="AE535" s="141"/>
      <c r="AF535" s="141"/>
      <c r="AG535" s="141"/>
      <c r="AH535" s="171">
        <f t="shared" si="151"/>
        <v>0</v>
      </c>
      <c r="AI535" s="141"/>
      <c r="AJ535" s="141"/>
      <c r="AK535" s="781"/>
      <c r="AL535" s="781"/>
      <c r="AM535" s="141"/>
      <c r="AN535" s="141"/>
      <c r="AO535" s="141"/>
      <c r="AP535" s="141"/>
      <c r="AQ535" s="141"/>
      <c r="AR535" s="141"/>
      <c r="AS535" s="141"/>
      <c r="AT535" s="141"/>
      <c r="AU535" s="781"/>
      <c r="AV535" s="781"/>
      <c r="AW535" s="141"/>
      <c r="AX535" s="141"/>
      <c r="AY535" s="141"/>
      <c r="AZ535" s="141"/>
      <c r="BA535" s="141"/>
      <c r="BB535" s="141"/>
      <c r="BC535" s="141"/>
      <c r="BD535" s="171">
        <f t="shared" si="153"/>
        <v>0</v>
      </c>
      <c r="BE535" s="171">
        <f t="shared" si="154"/>
        <v>0</v>
      </c>
      <c r="BF535" s="171">
        <f t="shared" si="155"/>
        <v>0</v>
      </c>
      <c r="BG535" s="171">
        <f t="shared" si="156"/>
        <v>0</v>
      </c>
      <c r="BH535" s="171">
        <f t="shared" si="157"/>
        <v>0</v>
      </c>
      <c r="BI535" s="171">
        <f t="shared" si="158"/>
        <v>0</v>
      </c>
      <c r="BJ535" s="171">
        <f t="shared" si="159"/>
        <v>0</v>
      </c>
      <c r="BK535" s="171">
        <f t="shared" si="160"/>
        <v>0</v>
      </c>
      <c r="BL535" s="171">
        <f t="shared" si="161"/>
        <v>0</v>
      </c>
      <c r="BM535" s="171">
        <f t="shared" si="162"/>
        <v>0</v>
      </c>
      <c r="BN535" s="196"/>
      <c r="BO535" s="196"/>
      <c r="BP535" s="196"/>
      <c r="BS535" s="696" t="s">
        <v>2117</v>
      </c>
    </row>
    <row r="536" spans="2:75" ht="409.6" customHeight="1" x14ac:dyDescent="0.15">
      <c r="C536" s="25"/>
      <c r="D536" s="25"/>
      <c r="E536" s="451">
        <v>15</v>
      </c>
      <c r="F536" s="3" t="str" cm="1">
        <f t="array" aca="1" ref="F536" ca="1">OFFSET(E536,-1,1)</f>
        <v>3</v>
      </c>
      <c r="G536" s="25" t="s">
        <v>1065</v>
      </c>
      <c r="H536" s="25"/>
      <c r="I536" s="25" t="s">
        <v>964</v>
      </c>
      <c r="J536" s="25"/>
      <c r="K536" s="72" t="s">
        <v>964</v>
      </c>
      <c r="L536" s="25" t="s">
        <v>532</v>
      </c>
      <c r="M536" s="25"/>
      <c r="N536" s="25"/>
      <c r="O536" s="25"/>
      <c r="P536" s="25"/>
      <c r="Q536" s="25"/>
      <c r="R536" s="25"/>
      <c r="S536" s="25"/>
      <c r="T536" s="353" t="b" cm="1">
        <f t="array" aca="1" ref="T536" ca="1">T535</f>
        <v>1</v>
      </c>
      <c r="U536" s="25"/>
      <c r="V536" s="25"/>
      <c r="W536" s="25"/>
      <c r="X536" s="1022"/>
      <c r="Z536" s="967"/>
      <c r="AB536" s="7" t="s">
        <v>965</v>
      </c>
      <c r="AC536" s="127" t="s">
        <v>1065</v>
      </c>
      <c r="AD536" s="7" t="s">
        <v>828</v>
      </c>
      <c r="AE536" s="171">
        <f ca="1">SUMIFS(Аренда!AE$25:AE$67,Аренда!$F$25:$F$67,$F536,Аренда!$G$25:$G$67,"Арендная и концессионная плата, лизинговые платежи")</f>
        <v>6302.4111457999998</v>
      </c>
      <c r="AF536" s="171">
        <f ca="1">SUMIFS(Аренда!AF$25:AF$67,Аренда!$F$25:$F$67,$F536,Аренда!$G$25:$G$67,"Арендная и концессионная плата, лизинговые платежи")</f>
        <v>9602.5820699933993</v>
      </c>
      <c r="AG536" s="171">
        <f ca="1">SUMIFS(Аренда!AG$25:AG$67,Аренда!$F$25:$F$67,$F536,Аренда!$G$25:$G$67,"Арендная и концессионная плата, лизинговые платежи")</f>
        <v>5752.7428782670004</v>
      </c>
      <c r="AH536" s="171">
        <f t="shared" ca="1" si="151"/>
        <v>-3849.8391917263989</v>
      </c>
      <c r="AI536" s="171">
        <f ca="1">SUMIFS(Аренда!AH$25:AH$67,Аренда!$F$25:$F$67,$F536,Аренда!$G$25:$G$67,"Арендная и концессионная плата, лизинговые платежи")</f>
        <v>6074.6931470083</v>
      </c>
      <c r="AJ536" s="171">
        <f ca="1">SUMIFS(Аренда!AI$25:AI$67,Аренда!$F$25:$F$67,$F536,Аренда!$G$25:$G$67,"Арендная и концессионная плата, лизинговые платежи")</f>
        <v>18173.700702943301</v>
      </c>
      <c r="AK536" s="171">
        <f ca="1">SUMIFS(Аренда!AJ$25:AJ$67,Аренда!$F$25:$F$67,$F536,Аренда!$G$25:$G$67,"Арендная и концессионная плата, лизинговые платежи")</f>
        <v>0</v>
      </c>
      <c r="AL536" s="171">
        <f ca="1">SUMIFS(Аренда!AK$25:AK$67,Аренда!$F$25:$F$67,$F536,Аренда!$G$25:$G$67,"Арендная и концессионная плата, лизинговые платежи")</f>
        <v>0</v>
      </c>
      <c r="AM536" s="171">
        <f ca="1">SUMIFS(Аренда!AL$25:AL$67,Аренда!$F$25:$F$67,$F536,Аренда!$G$25:$G$67,"Арендная и концессионная плата, лизинговые платежи")</f>
        <v>0</v>
      </c>
      <c r="AN536" s="171">
        <f ca="1">SUMIFS(Аренда!AM$25:AM$67,Аренда!$F$25:$F$67,$F536,Аренда!$G$25:$G$67,"Арендная и концессионная плата, лизинговые платежи")</f>
        <v>0</v>
      </c>
      <c r="AO536" s="171">
        <f ca="1">SUMIFS(Аренда!AN$25:AN$67,Аренда!$F$25:$F$67,$F536,Аренда!$G$25:$G$67,"Арендная и концессионная плата, лизинговые платежи")</f>
        <v>0</v>
      </c>
      <c r="AP536" s="171">
        <f ca="1">SUMIFS(Аренда!AO$25:AO$67,Аренда!$F$25:$F$67,$F536,Аренда!$G$25:$G$67,"Арендная и концессионная плата, лизинговые платежи")</f>
        <v>0</v>
      </c>
      <c r="AQ536" s="171">
        <f ca="1">SUMIFS(Аренда!AP$25:AP$67,Аренда!$F$25:$F$67,$F536,Аренда!$G$25:$G$67,"Арендная и концессионная плата, лизинговые платежи")</f>
        <v>0</v>
      </c>
      <c r="AR536" s="171">
        <f ca="1">SUMIFS(Аренда!AQ$25:AQ$67,Аренда!$F$25:$F$67,$F536,Аренда!$G$25:$G$67,"Арендная и концессионная плата, лизинговые платежи")</f>
        <v>0</v>
      </c>
      <c r="AS536" s="171">
        <f ca="1">SUMIFS(Аренда!AR$25:AR$67,Аренда!$F$25:$F$67,$F536,Аренда!$G$25:$G$67,"Арендная и концессионная плата, лизинговые платежи")</f>
        <v>0</v>
      </c>
      <c r="AT536" s="171">
        <f ca="1">SUMIFS(Аренда!AS$25:AS$67,Аренда!$F$25:$F$67,$F536,Аренда!$G$25:$G$67,"Арендная и концессионная плата, лизинговые платежи")</f>
        <v>5752.7428782670004</v>
      </c>
      <c r="AU536" s="171">
        <f ca="1">SUMIFS(Аренда!AT$25:AT$67,Аренда!$F$25:$F$67,$F536,Аренда!$G$25:$G$67,"Арендная и концессионная плата, лизинговые платежи")</f>
        <v>0</v>
      </c>
      <c r="AV536" s="171">
        <f ca="1">SUMIFS(Аренда!AU$25:AU$67,Аренда!$F$25:$F$67,$F536,Аренда!$G$25:$G$67,"Арендная и концессионная плата, лизинговые платежи")</f>
        <v>0</v>
      </c>
      <c r="AW536" s="171">
        <f ca="1">SUMIFS(Аренда!AV$25:AV$67,Аренда!$F$25:$F$67,$F536,Аренда!$G$25:$G$67,"Арендная и концессионная плата, лизинговые платежи")</f>
        <v>0</v>
      </c>
      <c r="AX536" s="171">
        <f ca="1">SUMIFS(Аренда!AW$25:AW$67,Аренда!$F$25:$F$67,$F536,Аренда!$G$25:$G$67,"Арендная и концессионная плата, лизинговые платежи")</f>
        <v>0</v>
      </c>
      <c r="AY536" s="171">
        <f ca="1">SUMIFS(Аренда!AX$25:AX$67,Аренда!$F$25:$F$67,$F536,Аренда!$G$25:$G$67,"Арендная и концессионная плата, лизинговые платежи")</f>
        <v>0</v>
      </c>
      <c r="AZ536" s="171">
        <f ca="1">SUMIFS(Аренда!AY$25:AY$67,Аренда!$F$25:$F$67,$F536,Аренда!$G$25:$G$67,"Арендная и концессионная плата, лизинговые платежи")</f>
        <v>0</v>
      </c>
      <c r="BA536" s="171">
        <f ca="1">SUMIFS(Аренда!AZ$25:AZ$67,Аренда!$F$25:$F$67,$F536,Аренда!$G$25:$G$67,"Арендная и концессионная плата, лизинговые платежи")</f>
        <v>0</v>
      </c>
      <c r="BB536" s="171">
        <f ca="1">SUMIFS(Аренда!BA$25:BA$67,Аренда!$F$25:$F$67,$F536,Аренда!$G$25:$G$67,"Арендная и концессионная плата, лизинговые платежи")</f>
        <v>0</v>
      </c>
      <c r="BC536" s="171">
        <f ca="1">SUMIFS(Аренда!BB$25:BB$67,Аренда!$F$25:$F$67,$F536,Аренда!$G$25:$G$67,"Арендная и концессионная плата, лизинговые платежи")</f>
        <v>0</v>
      </c>
      <c r="BD536" s="171">
        <f t="shared" ca="1" si="153"/>
        <v>-5.2998606011870013</v>
      </c>
      <c r="BE536" s="171">
        <f t="shared" ca="1" si="154"/>
        <v>-100</v>
      </c>
      <c r="BF536" s="171">
        <f t="shared" ca="1" si="155"/>
        <v>0</v>
      </c>
      <c r="BG536" s="171">
        <f t="shared" ca="1" si="156"/>
        <v>0</v>
      </c>
      <c r="BH536" s="171">
        <f t="shared" ca="1" si="157"/>
        <v>0</v>
      </c>
      <c r="BI536" s="171">
        <f t="shared" ca="1" si="158"/>
        <v>0</v>
      </c>
      <c r="BJ536" s="171">
        <f t="shared" ca="1" si="159"/>
        <v>0</v>
      </c>
      <c r="BK536" s="171">
        <f t="shared" ca="1" si="160"/>
        <v>0</v>
      </c>
      <c r="BL536" s="171">
        <f t="shared" ca="1" si="161"/>
        <v>0</v>
      </c>
      <c r="BM536" s="171">
        <f t="shared" ca="1" si="162"/>
        <v>0</v>
      </c>
      <c r="BN536" s="196" t="s">
        <v>2309</v>
      </c>
      <c r="BO536" s="601" t="s">
        <v>2310</v>
      </c>
      <c r="BP536" s="196" t="s">
        <v>2311</v>
      </c>
      <c r="BS536" s="696" t="s">
        <v>2118</v>
      </c>
    </row>
    <row r="537" spans="2:75" ht="14.25" hidden="1" customHeight="1" x14ac:dyDescent="0.15">
      <c r="B537" s="329" t="b">
        <f>STATUS_GO="да"</f>
        <v>0</v>
      </c>
      <c r="C537" s="25"/>
      <c r="D537" s="25"/>
      <c r="E537" s="451">
        <v>15</v>
      </c>
      <c r="F537" s="3" t="str" cm="1">
        <f t="array" aca="1" ref="F537" ca="1">OFFSET(E537,-1,1)</f>
        <v>3</v>
      </c>
      <c r="G537" s="25"/>
      <c r="H537" s="25"/>
      <c r="I537" s="25" t="s">
        <v>2119</v>
      </c>
      <c r="J537" s="25"/>
      <c r="K537" s="72" t="s">
        <v>2119</v>
      </c>
      <c r="L537" s="25"/>
      <c r="M537" s="25"/>
      <c r="N537" s="25"/>
      <c r="O537" s="25"/>
      <c r="P537" s="25"/>
      <c r="Q537" s="25"/>
      <c r="R537" s="25"/>
      <c r="S537" s="25"/>
      <c r="T537" s="353" t="b" cm="1">
        <f t="array" aca="1" ref="T537" ca="1">T536</f>
        <v>1</v>
      </c>
      <c r="U537" s="25"/>
      <c r="V537" s="25"/>
      <c r="W537" s="25"/>
      <c r="X537" s="1022"/>
      <c r="Z537" s="967"/>
      <c r="AB537" s="7" t="s">
        <v>1520</v>
      </c>
      <c r="AC537" s="127" t="s">
        <v>2120</v>
      </c>
      <c r="AD537" s="7" t="s">
        <v>828</v>
      </c>
      <c r="AE537" s="778" cm="1">
        <f t="array" aca="1" ref="AE537" ca="1">AE538</f>
        <v>0</v>
      </c>
      <c r="AF537" s="778" cm="1">
        <f t="array" aca="1" ref="AF537" ca="1">AF538</f>
        <v>0</v>
      </c>
      <c r="AG537" s="778" cm="1">
        <f t="array" aca="1" ref="AG537" ca="1">AG538</f>
        <v>0</v>
      </c>
      <c r="AH537" s="171">
        <f t="shared" ca="1" si="151"/>
        <v>0</v>
      </c>
      <c r="AI537" s="778" cm="1">
        <f t="array" aca="1" ref="AI537" ca="1">AI538</f>
        <v>0</v>
      </c>
      <c r="AJ537" s="128" cm="1">
        <f t="array" aca="1" ref="AJ537" ca="1">AJ538</f>
        <v>0</v>
      </c>
      <c r="AK537" s="778" cm="1">
        <f t="array" ref="AK537">AK538</f>
        <v>0</v>
      </c>
      <c r="AL537" s="778" cm="1">
        <f t="array" ref="AL537">AL538</f>
        <v>0</v>
      </c>
      <c r="AM537" s="778" cm="1">
        <f t="array" ref="AM537">AM538</f>
        <v>0</v>
      </c>
      <c r="AN537" s="778" cm="1">
        <f t="array" ref="AN537">AN538</f>
        <v>0</v>
      </c>
      <c r="AO537" s="778" cm="1">
        <f t="array" ref="AO537">AO538</f>
        <v>0</v>
      </c>
      <c r="AP537" s="778" cm="1">
        <f t="array" ref="AP537">AP538</f>
        <v>0</v>
      </c>
      <c r="AQ537" s="778" cm="1">
        <f t="array" ref="AQ537">AQ538</f>
        <v>0</v>
      </c>
      <c r="AR537" s="778" cm="1">
        <f t="array" ref="AR537">AR538</f>
        <v>0</v>
      </c>
      <c r="AS537" s="778" cm="1">
        <f t="array" ref="AS537">AS538</f>
        <v>0</v>
      </c>
      <c r="AT537" s="128" cm="1">
        <f t="array" aca="1" ref="AT537" ca="1">AT538</f>
        <v>0</v>
      </c>
      <c r="AU537" s="778" cm="1">
        <f t="array" ref="AU537">AU538</f>
        <v>0</v>
      </c>
      <c r="AV537" s="778" cm="1">
        <f t="array" ref="AV537">AV538</f>
        <v>0</v>
      </c>
      <c r="AW537" s="778" cm="1">
        <f t="array" ref="AW537">AW538</f>
        <v>0</v>
      </c>
      <c r="AX537" s="778" cm="1">
        <f t="array" ref="AX537">AX538</f>
        <v>0</v>
      </c>
      <c r="AY537" s="778" cm="1">
        <f t="array" ref="AY537">AY538</f>
        <v>0</v>
      </c>
      <c r="AZ537" s="778" cm="1">
        <f t="array" ref="AZ537">AZ538</f>
        <v>0</v>
      </c>
      <c r="BA537" s="778" cm="1">
        <f t="array" ref="BA537">BA538</f>
        <v>0</v>
      </c>
      <c r="BB537" s="778" cm="1">
        <f t="array" ref="BB537">BB538</f>
        <v>0</v>
      </c>
      <c r="BC537" s="778" cm="1">
        <f t="array" ref="BC537">BC538</f>
        <v>0</v>
      </c>
      <c r="BD537" s="171">
        <f t="shared" ca="1" si="153"/>
        <v>0</v>
      </c>
      <c r="BE537" s="171">
        <f t="shared" ca="1" si="154"/>
        <v>0</v>
      </c>
      <c r="BF537" s="171">
        <f t="shared" si="155"/>
        <v>0</v>
      </c>
      <c r="BG537" s="171">
        <f t="shared" si="156"/>
        <v>0</v>
      </c>
      <c r="BH537" s="171">
        <f t="shared" si="157"/>
        <v>0</v>
      </c>
      <c r="BI537" s="171">
        <f t="shared" si="158"/>
        <v>0</v>
      </c>
      <c r="BJ537" s="171">
        <f t="shared" si="159"/>
        <v>0</v>
      </c>
      <c r="BK537" s="171">
        <f t="shared" si="160"/>
        <v>0</v>
      </c>
      <c r="BL537" s="171">
        <f t="shared" si="161"/>
        <v>0</v>
      </c>
      <c r="BM537" s="171">
        <f t="shared" si="162"/>
        <v>0</v>
      </c>
      <c r="BN537" s="775"/>
      <c r="BO537" s="775"/>
      <c r="BP537" s="775"/>
      <c r="BS537" s="696" t="s">
        <v>2121</v>
      </c>
    </row>
    <row r="538" spans="2:75" ht="14.25" hidden="1" customHeight="1" x14ac:dyDescent="0.15">
      <c r="B538" s="329" t="b">
        <f>STATUS_GO="да"</f>
        <v>0</v>
      </c>
      <c r="C538" s="25"/>
      <c r="D538" s="25"/>
      <c r="E538" s="451">
        <v>15</v>
      </c>
      <c r="F538" s="3" t="str" cm="1">
        <f t="array" aca="1" ref="F538" ca="1">OFFSET(E538,-1,1)</f>
        <v>3</v>
      </c>
      <c r="G538" s="25" t="s">
        <v>1462</v>
      </c>
      <c r="H538" s="25"/>
      <c r="I538" s="25" t="s">
        <v>2122</v>
      </c>
      <c r="J538" s="25"/>
      <c r="K538" s="72" t="s">
        <v>2122</v>
      </c>
      <c r="L538" s="25"/>
      <c r="M538" s="25"/>
      <c r="N538" s="25"/>
      <c r="O538" s="25"/>
      <c r="P538" s="25"/>
      <c r="Q538" s="25"/>
      <c r="R538" s="25"/>
      <c r="S538" s="25"/>
      <c r="T538" s="353" t="b" cm="1">
        <f t="array" aca="1" ref="T538" ca="1">T537</f>
        <v>1</v>
      </c>
      <c r="U538" s="25"/>
      <c r="V538" s="25"/>
      <c r="W538" s="25"/>
      <c r="X538" s="1022"/>
      <c r="Z538" s="967"/>
      <c r="AB538" s="7" t="s">
        <v>2123</v>
      </c>
      <c r="AC538" s="134" t="s">
        <v>1462</v>
      </c>
      <c r="AD538" s="7" t="s">
        <v>828</v>
      </c>
      <c r="AE538" s="171">
        <f ca="1">SUMIFS('Сбытовые расходы ГО'!AE$25:AE$75,'Сбытовые расходы ГО'!$F$25:$F$75,$F538,'Сбытовые расходы ГО'!$G$25:$G$75,"l1")</f>
        <v>0</v>
      </c>
      <c r="AF538" s="171">
        <f ca="1">SUMIFS('Сбытовые расходы ГО'!AF$25:AF$75,'Сбытовые расходы ГО'!$F$25:$F$75,$F538,'Сбытовые расходы ГО'!$G$25:$G$75,"l1")</f>
        <v>0</v>
      </c>
      <c r="AG538" s="171">
        <f ca="1">SUMIFS('Сбытовые расходы ГО'!AG$25:AG$75,'Сбытовые расходы ГО'!$F$25:$F$75,$F538,'Сбытовые расходы ГО'!$G$25:$G$75,"l1")</f>
        <v>0</v>
      </c>
      <c r="AH538" s="171">
        <f t="shared" ca="1" si="151"/>
        <v>0</v>
      </c>
      <c r="AI538" s="171">
        <f ca="1">SUMIFS('Сбытовые расходы ГО'!AH$25:AH$75,'Сбытовые расходы ГО'!$F$25:$F$75,$F538,'Сбытовые расходы ГО'!$G$25:$G$75,"l1")</f>
        <v>0</v>
      </c>
      <c r="AJ538" s="171">
        <f ca="1">SUMIFS('Сбытовые расходы ГО'!AI$25:AI$75,'Сбытовые расходы ГО'!$F$25:$F$75,$F538,'Сбытовые расходы ГО'!$G$25:$G$75,"l1")</f>
        <v>0</v>
      </c>
      <c r="AK538" s="778"/>
      <c r="AL538" s="778"/>
      <c r="AM538" s="778"/>
      <c r="AN538" s="778"/>
      <c r="AO538" s="778"/>
      <c r="AP538" s="778"/>
      <c r="AQ538" s="778"/>
      <c r="AR538" s="778"/>
      <c r="AS538" s="778"/>
      <c r="AT538" s="171">
        <f ca="1">SUMIFS('Сбытовые расходы ГО'!AJ$25:AJ$75,'Сбытовые расходы ГО'!$F$25:$F$75,$F538,'Сбытовые расходы ГО'!$G$25:$G$75,"l1")</f>
        <v>0</v>
      </c>
      <c r="AU538" s="778"/>
      <c r="AV538" s="778"/>
      <c r="AW538" s="778"/>
      <c r="AX538" s="778"/>
      <c r="AY538" s="778"/>
      <c r="AZ538" s="778"/>
      <c r="BA538" s="778"/>
      <c r="BB538" s="778"/>
      <c r="BC538" s="778"/>
      <c r="BD538" s="171">
        <f t="shared" ca="1" si="153"/>
        <v>0</v>
      </c>
      <c r="BE538" s="171">
        <f t="shared" ca="1" si="154"/>
        <v>0</v>
      </c>
      <c r="BF538" s="171">
        <f t="shared" si="155"/>
        <v>0</v>
      </c>
      <c r="BG538" s="171">
        <f t="shared" si="156"/>
        <v>0</v>
      </c>
      <c r="BH538" s="171">
        <f t="shared" si="157"/>
        <v>0</v>
      </c>
      <c r="BI538" s="171">
        <f t="shared" si="158"/>
        <v>0</v>
      </c>
      <c r="BJ538" s="171">
        <f t="shared" si="159"/>
        <v>0</v>
      </c>
      <c r="BK538" s="171">
        <f t="shared" si="160"/>
        <v>0</v>
      </c>
      <c r="BL538" s="171">
        <f t="shared" si="161"/>
        <v>0</v>
      </c>
      <c r="BM538" s="171">
        <f t="shared" si="162"/>
        <v>0</v>
      </c>
      <c r="BN538" s="775"/>
      <c r="BO538" s="779" t="str">
        <f ca="1">IF(IFERROR(INDEX('Сбытовые расходы ГО'!$K$26:$M$75,MATCH($F538&amp;"komm",'Сбытовые расходы ГО'!$K$26:$K$75,0),2),"")=0,"",IFERROR(INDEX('Сбытовые расходы ГО'!$K$26:$M$75,MATCH($F538&amp;"komm",'Сбытовые расходы ГО'!$K$26:$K$75,0),2),""))</f>
        <v/>
      </c>
      <c r="BP538" s="775"/>
      <c r="BS538" s="696" t="s">
        <v>2124</v>
      </c>
    </row>
    <row r="539" spans="2:75" ht="14.65" customHeight="1" x14ac:dyDescent="0.15">
      <c r="C539" s="25"/>
      <c r="D539" s="25"/>
      <c r="E539" s="451">
        <v>15</v>
      </c>
      <c r="F539" s="3" t="str" cm="1">
        <f t="array" aca="1" ref="F539" ca="1">OFFSET(E539,-1,1)</f>
        <v>3</v>
      </c>
      <c r="G539" s="25" t="s">
        <v>1467</v>
      </c>
      <c r="H539" s="25"/>
      <c r="I539" s="25" t="s">
        <v>2125</v>
      </c>
      <c r="J539" s="25"/>
      <c r="K539" s="72" t="s">
        <v>2125</v>
      </c>
      <c r="L539" s="25"/>
      <c r="M539" s="25"/>
      <c r="N539" s="25"/>
      <c r="O539" s="25"/>
      <c r="P539" s="25"/>
      <c r="Q539" s="25"/>
      <c r="R539" s="25"/>
      <c r="S539" s="25"/>
      <c r="T539" s="353" t="b" cm="1">
        <f t="array" aca="1" ref="T539" ca="1">T538</f>
        <v>1</v>
      </c>
      <c r="U539" s="25"/>
      <c r="V539" s="25"/>
      <c r="W539" s="25"/>
      <c r="X539" s="1022"/>
      <c r="Z539" s="967"/>
      <c r="AB539" s="7" t="s">
        <v>1525</v>
      </c>
      <c r="AC539" s="127" t="s">
        <v>1467</v>
      </c>
      <c r="AD539" s="7" t="s">
        <v>828</v>
      </c>
      <c r="AE539" s="128">
        <v>0</v>
      </c>
      <c r="AF539" s="128"/>
      <c r="AG539" s="128"/>
      <c r="AH539" s="171">
        <f t="shared" si="151"/>
        <v>0</v>
      </c>
      <c r="AI539" s="128">
        <v>0</v>
      </c>
      <c r="AJ539" s="128">
        <f ca="1">SUMIFS(Экономия_корр!AE$25:AE$59,Экономия_корр!$F$25:$F$59,$F539,Экономия_корр!$AC$25:$AC$59,"Экономия расходов с учетом ИПЦ")</f>
        <v>0</v>
      </c>
      <c r="AK539" s="778">
        <f ca="1">SUMIFS(Экономия_корр!AF$25:AF$59,Экономия_корр!$F$25:$F$59,$F539,Экономия_корр!$AC$25:$AC$59,"Экономия расходов с учетом ИПЦ")</f>
        <v>0</v>
      </c>
      <c r="AL539" s="778">
        <f ca="1">SUMIFS(Экономия_корр!AG$25:AG$59,Экономия_корр!$F$25:$F$59,$F539,Экономия_корр!$AC$25:$AC$59,"Экономия расходов с учетом ИПЦ")</f>
        <v>0</v>
      </c>
      <c r="AM539" s="128">
        <f ca="1">SUMIFS(Экономия_корр!AH$25:AH$59,Экономия_корр!$F$25:$F$59,$F539,Экономия_корр!$AC$25:$AC$59,"Экономия расходов с учетом ИПЦ")</f>
        <v>0</v>
      </c>
      <c r="AN539" s="128">
        <f ca="1">SUMIFS(Экономия_корр!AI$25:AI$59,Экономия_корр!$F$25:$F$59,$F539,Экономия_корр!$AC$25:$AC$59,"Экономия расходов с учетом ИПЦ")</f>
        <v>0</v>
      </c>
      <c r="AO539" s="128">
        <f ca="1">SUMIFS(Экономия_корр!AJ$25:AJ$59,Экономия_корр!$F$25:$F$59,$F539,Экономия_корр!$AC$25:$AC$59,"Экономия расходов с учетом ИПЦ")</f>
        <v>0</v>
      </c>
      <c r="AP539" s="128">
        <f ca="1">SUMIFS(Экономия_корр!AK$25:AK$59,Экономия_корр!$F$25:$F$59,$F539,Экономия_корр!$AC$25:$AC$59,"Экономия расходов с учетом ИПЦ")</f>
        <v>0</v>
      </c>
      <c r="AQ539" s="128">
        <f ca="1">SUMIFS(Экономия_корр!AL$25:AL$59,Экономия_корр!$F$25:$F$59,$F539,Экономия_корр!$AC$25:$AC$59,"Экономия расходов с учетом ИПЦ")</f>
        <v>0</v>
      </c>
      <c r="AR539" s="128">
        <f ca="1">SUMIFS(Экономия_корр!AM$25:AM$59,Экономия_корр!$F$25:$F$59,$F539,Экономия_корр!$AC$25:$AC$59,"Экономия расходов с учетом ИПЦ")</f>
        <v>0</v>
      </c>
      <c r="AS539" s="128">
        <f ca="1">SUMIFS(Экономия_корр!AN$25:AN$59,Экономия_корр!$F$25:$F$59,$F539,Экономия_корр!$AC$25:$AC$59,"Экономия расходов с учетом ИПЦ")</f>
        <v>0</v>
      </c>
      <c r="AT539" s="128">
        <f ca="1">SUMIFS(Экономия_корр!AO$25:AO$59,Экономия_корр!$F$25:$F$59,$F539,Экономия_корр!$AC$25:$AC$59,"Экономия расходов с учетом ИПЦ")</f>
        <v>0</v>
      </c>
      <c r="AU539" s="778">
        <f ca="1">SUMIFS(Экономия_корр!AP$25:AP$59,Экономия_корр!$F$25:$F$59,$F539,Экономия_корр!$AC$25:$AC$59,"Экономия расходов с учетом ИПЦ")</f>
        <v>0</v>
      </c>
      <c r="AV539" s="778">
        <f ca="1">SUMIFS(Экономия_корр!AQ$25:AQ$59,Экономия_корр!$F$25:$F$59,$F539,Экономия_корр!$AC$25:$AC$59,"Экономия расходов с учетом ИПЦ")</f>
        <v>0</v>
      </c>
      <c r="AW539" s="128">
        <f ca="1">SUMIFS(Экономия_корр!AR$25:AR$59,Экономия_корр!$F$25:$F$59,$F539,Экономия_корр!$AC$25:$AC$59,"Экономия расходов с учетом ИПЦ")</f>
        <v>0</v>
      </c>
      <c r="AX539" s="128">
        <f ca="1">SUMIFS(Экономия_корр!AS$25:AS$59,Экономия_корр!$F$25:$F$59,$F539,Экономия_корр!$AC$25:$AC$59,"Экономия расходов с учетом ИПЦ")</f>
        <v>0</v>
      </c>
      <c r="AY539" s="128">
        <f ca="1">SUMIFS(Экономия_корр!AT$25:AT$59,Экономия_корр!$F$25:$F$59,$F539,Экономия_корр!$AC$25:$AC$59,"Экономия расходов с учетом ИПЦ")</f>
        <v>0</v>
      </c>
      <c r="AZ539" s="128">
        <f ca="1">SUMIFS(Экономия_корр!AU$25:AU$59,Экономия_корр!$F$25:$F$59,$F539,Экономия_корр!$AC$25:$AC$59,"Экономия расходов с учетом ИПЦ")</f>
        <v>0</v>
      </c>
      <c r="BA539" s="128">
        <f ca="1">SUMIFS(Экономия_корр!AV$25:AV$59,Экономия_корр!$F$25:$F$59,$F539,Экономия_корр!$AC$25:$AC$59,"Экономия расходов с учетом ИПЦ")</f>
        <v>0</v>
      </c>
      <c r="BB539" s="128">
        <f ca="1">SUMIFS(Экономия_корр!AW$25:AW$59,Экономия_корр!$F$25:$F$59,$F539,Экономия_корр!$AC$25:$AC$59,"Экономия расходов с учетом ИПЦ")</f>
        <v>0</v>
      </c>
      <c r="BC539" s="128">
        <f ca="1">SUMIFS(Экономия_корр!AX$25:AX$59,Экономия_корр!$F$25:$F$59,$F539,Экономия_корр!$AC$25:$AC$59,"Экономия расходов с учетом ИПЦ")</f>
        <v>0</v>
      </c>
      <c r="BD539" s="171">
        <f t="shared" si="153"/>
        <v>0</v>
      </c>
      <c r="BE539" s="171">
        <f t="shared" ca="1" si="154"/>
        <v>0</v>
      </c>
      <c r="BF539" s="171">
        <f t="shared" ca="1" si="155"/>
        <v>0</v>
      </c>
      <c r="BG539" s="171">
        <f t="shared" ca="1" si="156"/>
        <v>0</v>
      </c>
      <c r="BH539" s="171">
        <f t="shared" ca="1" si="157"/>
        <v>0</v>
      </c>
      <c r="BI539" s="171">
        <f t="shared" ca="1" si="158"/>
        <v>0</v>
      </c>
      <c r="BJ539" s="171">
        <f t="shared" ca="1" si="159"/>
        <v>0</v>
      </c>
      <c r="BK539" s="171">
        <f t="shared" ca="1" si="160"/>
        <v>0</v>
      </c>
      <c r="BL539" s="171">
        <f t="shared" ca="1" si="161"/>
        <v>0</v>
      </c>
      <c r="BM539" s="171">
        <f t="shared" ca="1" si="162"/>
        <v>0</v>
      </c>
      <c r="BN539" s="196"/>
      <c r="BO539" s="196"/>
      <c r="BP539" s="196"/>
      <c r="BS539" s="696" t="s">
        <v>2126</v>
      </c>
    </row>
    <row r="540" spans="2:75" ht="14.25" customHeight="1" x14ac:dyDescent="0.15">
      <c r="C540" s="25"/>
      <c r="D540" s="25"/>
      <c r="E540" s="451">
        <v>15</v>
      </c>
      <c r="F540" s="3" t="str" cm="1">
        <f t="array" aca="1" ref="F540" ca="1">OFFSET(E540,-1,1)</f>
        <v>3</v>
      </c>
      <c r="G540" s="25" t="s">
        <v>1472</v>
      </c>
      <c r="H540" s="25"/>
      <c r="I540" s="25" t="s">
        <v>2127</v>
      </c>
      <c r="J540" s="25"/>
      <c r="K540" s="72" t="s">
        <v>2127</v>
      </c>
      <c r="L540" s="25"/>
      <c r="M540" s="25"/>
      <c r="N540" s="25"/>
      <c r="O540" s="25"/>
      <c r="P540" s="25"/>
      <c r="Q540" s="25"/>
      <c r="R540" s="25"/>
      <c r="S540" s="25"/>
      <c r="T540" s="353" t="b" cm="1">
        <f t="array" aca="1" ref="T540" ca="1">T539</f>
        <v>1</v>
      </c>
      <c r="U540" s="25"/>
      <c r="V540" s="25"/>
      <c r="W540" s="25"/>
      <c r="X540" s="1022"/>
      <c r="Z540" s="967"/>
      <c r="AB540" s="7" t="s">
        <v>2128</v>
      </c>
      <c r="AC540" s="127" t="s">
        <v>1472</v>
      </c>
      <c r="AD540" s="7" t="s">
        <v>828</v>
      </c>
      <c r="AE540" s="128"/>
      <c r="AF540" s="128"/>
      <c r="AG540" s="128"/>
      <c r="AH540" s="171">
        <f t="shared" si="151"/>
        <v>0</v>
      </c>
      <c r="AI540" s="128"/>
      <c r="AJ540" s="128"/>
      <c r="AK540" s="778"/>
      <c r="AL540" s="778"/>
      <c r="AM540" s="128"/>
      <c r="AN540" s="128"/>
      <c r="AO540" s="128"/>
      <c r="AP540" s="128"/>
      <c r="AQ540" s="128"/>
      <c r="AR540" s="128"/>
      <c r="AS540" s="128"/>
      <c r="AT540" s="128"/>
      <c r="AU540" s="778"/>
      <c r="AV540" s="778"/>
      <c r="AW540" s="128"/>
      <c r="AX540" s="128"/>
      <c r="AY540" s="128"/>
      <c r="AZ540" s="128"/>
      <c r="BA540" s="128"/>
      <c r="BB540" s="128"/>
      <c r="BC540" s="128"/>
      <c r="BD540" s="171">
        <f t="shared" si="153"/>
        <v>0</v>
      </c>
      <c r="BE540" s="171">
        <f t="shared" si="154"/>
        <v>0</v>
      </c>
      <c r="BF540" s="171">
        <f t="shared" si="155"/>
        <v>0</v>
      </c>
      <c r="BG540" s="171">
        <f t="shared" si="156"/>
        <v>0</v>
      </c>
      <c r="BH540" s="171">
        <f t="shared" si="157"/>
        <v>0</v>
      </c>
      <c r="BI540" s="171">
        <f t="shared" si="158"/>
        <v>0</v>
      </c>
      <c r="BJ540" s="171">
        <f t="shared" si="159"/>
        <v>0</v>
      </c>
      <c r="BK540" s="171">
        <f t="shared" si="160"/>
        <v>0</v>
      </c>
      <c r="BL540" s="171">
        <f t="shared" si="161"/>
        <v>0</v>
      </c>
      <c r="BM540" s="171">
        <f t="shared" si="162"/>
        <v>0</v>
      </c>
      <c r="BN540" s="196"/>
      <c r="BO540" s="196"/>
      <c r="BP540" s="196"/>
      <c r="BS540" s="696" t="s">
        <v>1856</v>
      </c>
    </row>
    <row r="541" spans="2:75" ht="14.25" customHeight="1" x14ac:dyDescent="0.15">
      <c r="C541" s="25"/>
      <c r="D541" s="25"/>
      <c r="E541" s="451">
        <v>15</v>
      </c>
      <c r="F541" s="3" t="str" cm="1">
        <f t="array" aca="1" ref="F541" ca="1">OFFSET(E541,-1,1)</f>
        <v>3</v>
      </c>
      <c r="G541" s="25" t="s">
        <v>1477</v>
      </c>
      <c r="H541" s="25"/>
      <c r="I541" s="25" t="s">
        <v>2129</v>
      </c>
      <c r="J541" s="25"/>
      <c r="K541" s="72" t="s">
        <v>2129</v>
      </c>
      <c r="L541" s="25"/>
      <c r="M541" s="25"/>
      <c r="N541" s="25"/>
      <c r="O541" s="25"/>
      <c r="P541" s="25"/>
      <c r="Q541" s="25"/>
      <c r="R541" s="25"/>
      <c r="S541" s="25"/>
      <c r="T541" s="353" t="b" cm="1">
        <f t="array" aca="1" ref="T541" ca="1">T540</f>
        <v>1</v>
      </c>
      <c r="U541" s="25"/>
      <c r="V541" s="25"/>
      <c r="W541" s="25"/>
      <c r="X541" s="1022"/>
      <c r="Z541" s="967"/>
      <c r="AB541" s="7" t="s">
        <v>1544</v>
      </c>
      <c r="AC541" s="127" t="s">
        <v>1477</v>
      </c>
      <c r="AD541" s="7" t="s">
        <v>828</v>
      </c>
      <c r="AE541" s="128"/>
      <c r="AF541" s="128"/>
      <c r="AG541" s="128"/>
      <c r="AH541" s="171">
        <f t="shared" si="151"/>
        <v>0</v>
      </c>
      <c r="AI541" s="128"/>
      <c r="AJ541" s="128"/>
      <c r="AK541" s="778"/>
      <c r="AL541" s="778"/>
      <c r="AM541" s="128"/>
      <c r="AN541" s="128"/>
      <c r="AO541" s="128"/>
      <c r="AP541" s="128"/>
      <c r="AQ541" s="128"/>
      <c r="AR541" s="128"/>
      <c r="AS541" s="128"/>
      <c r="AT541" s="128"/>
      <c r="AU541" s="778"/>
      <c r="AV541" s="778"/>
      <c r="AW541" s="128"/>
      <c r="AX541" s="128"/>
      <c r="AY541" s="128"/>
      <c r="AZ541" s="128"/>
      <c r="BA541" s="128"/>
      <c r="BB541" s="128"/>
      <c r="BC541" s="128"/>
      <c r="BD541" s="171">
        <f t="shared" si="153"/>
        <v>0</v>
      </c>
      <c r="BE541" s="171">
        <f t="shared" si="154"/>
        <v>0</v>
      </c>
      <c r="BF541" s="171">
        <f t="shared" si="155"/>
        <v>0</v>
      </c>
      <c r="BG541" s="171">
        <f t="shared" si="156"/>
        <v>0</v>
      </c>
      <c r="BH541" s="171">
        <f t="shared" si="157"/>
        <v>0</v>
      </c>
      <c r="BI541" s="171">
        <f t="shared" si="158"/>
        <v>0</v>
      </c>
      <c r="BJ541" s="171">
        <f t="shared" si="159"/>
        <v>0</v>
      </c>
      <c r="BK541" s="171">
        <f t="shared" si="160"/>
        <v>0</v>
      </c>
      <c r="BL541" s="171">
        <f t="shared" si="161"/>
        <v>0</v>
      </c>
      <c r="BM541" s="171">
        <f t="shared" si="162"/>
        <v>0</v>
      </c>
      <c r="BN541" s="196"/>
      <c r="BO541" s="196"/>
      <c r="BP541" s="196"/>
      <c r="BS541" s="696" t="s">
        <v>2130</v>
      </c>
    </row>
    <row r="542" spans="2:75" ht="14.25" customHeight="1" x14ac:dyDescent="0.15">
      <c r="C542" s="25"/>
      <c r="D542" s="25"/>
      <c r="E542" s="451">
        <v>15</v>
      </c>
      <c r="F542" s="3" t="str" cm="1">
        <f t="array" aca="1" ref="F542" ca="1">OFFSET(E542,-1,1)</f>
        <v>3</v>
      </c>
      <c r="G542" s="25" t="s">
        <v>1482</v>
      </c>
      <c r="H542" s="25"/>
      <c r="I542" s="25" t="s">
        <v>2131</v>
      </c>
      <c r="J542" s="25"/>
      <c r="K542" s="72" t="s">
        <v>2131</v>
      </c>
      <c r="L542" s="25"/>
      <c r="M542" s="25"/>
      <c r="N542" s="25"/>
      <c r="O542" s="25"/>
      <c r="P542" s="25"/>
      <c r="Q542" s="25"/>
      <c r="R542" s="25"/>
      <c r="S542" s="25"/>
      <c r="T542" s="353" t="b" cm="1">
        <f t="array" aca="1" ref="T542" ca="1">T541</f>
        <v>1</v>
      </c>
      <c r="U542" s="25"/>
      <c r="V542" s="25"/>
      <c r="W542" s="25"/>
      <c r="X542" s="1022"/>
      <c r="Z542" s="967"/>
      <c r="AB542" s="7" t="s">
        <v>1548</v>
      </c>
      <c r="AC542" s="127" t="s">
        <v>1482</v>
      </c>
      <c r="AD542" s="7" t="s">
        <v>828</v>
      </c>
      <c r="AE542" s="171">
        <f>SUM(AE543,AE544)</f>
        <v>0</v>
      </c>
      <c r="AF542" s="171">
        <f>SUM(AF543,AF544)</f>
        <v>0</v>
      </c>
      <c r="AG542" s="171">
        <f>SUM(AG543,AG544)</f>
        <v>0</v>
      </c>
      <c r="AH542" s="171">
        <f t="shared" si="151"/>
        <v>0</v>
      </c>
      <c r="AI542" s="171">
        <f t="shared" ref="AI542:BC542" si="165">SUM(AI543,AI544)</f>
        <v>0</v>
      </c>
      <c r="AJ542" s="171">
        <f t="shared" si="165"/>
        <v>0</v>
      </c>
      <c r="AK542" s="171">
        <f t="shared" si="165"/>
        <v>0</v>
      </c>
      <c r="AL542" s="171">
        <f t="shared" si="165"/>
        <v>0</v>
      </c>
      <c r="AM542" s="171">
        <f t="shared" si="165"/>
        <v>0</v>
      </c>
      <c r="AN542" s="171">
        <f t="shared" si="165"/>
        <v>0</v>
      </c>
      <c r="AO542" s="171">
        <f t="shared" si="165"/>
        <v>0</v>
      </c>
      <c r="AP542" s="171">
        <f t="shared" si="165"/>
        <v>0</v>
      </c>
      <c r="AQ542" s="171">
        <f t="shared" si="165"/>
        <v>0</v>
      </c>
      <c r="AR542" s="171">
        <f t="shared" si="165"/>
        <v>0</v>
      </c>
      <c r="AS542" s="171">
        <f t="shared" si="165"/>
        <v>0</v>
      </c>
      <c r="AT542" s="171">
        <f t="shared" si="165"/>
        <v>0</v>
      </c>
      <c r="AU542" s="171">
        <f t="shared" si="165"/>
        <v>0</v>
      </c>
      <c r="AV542" s="171">
        <f t="shared" si="165"/>
        <v>0</v>
      </c>
      <c r="AW542" s="171">
        <f t="shared" si="165"/>
        <v>0</v>
      </c>
      <c r="AX542" s="171">
        <f t="shared" si="165"/>
        <v>0</v>
      </c>
      <c r="AY542" s="171">
        <f t="shared" si="165"/>
        <v>0</v>
      </c>
      <c r="AZ542" s="171">
        <f t="shared" si="165"/>
        <v>0</v>
      </c>
      <c r="BA542" s="171">
        <f t="shared" si="165"/>
        <v>0</v>
      </c>
      <c r="BB542" s="171">
        <f t="shared" si="165"/>
        <v>0</v>
      </c>
      <c r="BC542" s="171">
        <f t="shared" si="165"/>
        <v>0</v>
      </c>
      <c r="BD542" s="171">
        <f t="shared" si="153"/>
        <v>0</v>
      </c>
      <c r="BE542" s="171">
        <f t="shared" si="154"/>
        <v>0</v>
      </c>
      <c r="BF542" s="171">
        <f t="shared" si="155"/>
        <v>0</v>
      </c>
      <c r="BG542" s="171">
        <f t="shared" si="156"/>
        <v>0</v>
      </c>
      <c r="BH542" s="171">
        <f t="shared" si="157"/>
        <v>0</v>
      </c>
      <c r="BI542" s="171">
        <f t="shared" si="158"/>
        <v>0</v>
      </c>
      <c r="BJ542" s="171">
        <f t="shared" si="159"/>
        <v>0</v>
      </c>
      <c r="BK542" s="171">
        <f t="shared" si="160"/>
        <v>0</v>
      </c>
      <c r="BL542" s="171">
        <f t="shared" si="161"/>
        <v>0</v>
      </c>
      <c r="BM542" s="171">
        <f t="shared" si="162"/>
        <v>0</v>
      </c>
      <c r="BN542" s="196"/>
      <c r="BO542" s="196"/>
      <c r="BP542" s="196"/>
      <c r="BS542" s="696" t="s">
        <v>2132</v>
      </c>
    </row>
    <row r="543" spans="2:75" ht="14.25" customHeight="1" x14ac:dyDescent="0.15">
      <c r="C543" s="25"/>
      <c r="D543" s="25"/>
      <c r="E543" s="451">
        <v>15</v>
      </c>
      <c r="F543" s="3" t="str" cm="1">
        <f t="array" aca="1" ref="F543" ca="1">OFFSET(E543,-1,1)</f>
        <v>3</v>
      </c>
      <c r="G543" s="25"/>
      <c r="H543" s="25"/>
      <c r="I543" s="25" t="s">
        <v>2133</v>
      </c>
      <c r="J543" s="25"/>
      <c r="K543" s="72" t="s">
        <v>2133</v>
      </c>
      <c r="L543" s="25"/>
      <c r="M543" s="25"/>
      <c r="N543" s="25"/>
      <c r="O543" s="25"/>
      <c r="P543" s="25"/>
      <c r="Q543" s="25"/>
      <c r="R543" s="25"/>
      <c r="S543" s="25"/>
      <c r="T543" s="353" t="b" cm="1">
        <f t="array" aca="1" ref="T543" ca="1">T542</f>
        <v>1</v>
      </c>
      <c r="U543" s="25"/>
      <c r="V543" s="25"/>
      <c r="W543" s="25"/>
      <c r="X543" s="1022"/>
      <c r="Z543" s="967"/>
      <c r="AB543" s="7" t="s">
        <v>2134</v>
      </c>
      <c r="AC543" s="134" t="s">
        <v>2135</v>
      </c>
      <c r="AD543" s="7" t="s">
        <v>828</v>
      </c>
      <c r="AE543" s="128"/>
      <c r="AF543" s="128"/>
      <c r="AG543" s="128"/>
      <c r="AH543" s="171">
        <f t="shared" si="151"/>
        <v>0</v>
      </c>
      <c r="AI543" s="128"/>
      <c r="AJ543" s="128"/>
      <c r="AK543" s="778"/>
      <c r="AL543" s="778"/>
      <c r="AM543" s="128"/>
      <c r="AN543" s="128"/>
      <c r="AO543" s="128"/>
      <c r="AP543" s="128"/>
      <c r="AQ543" s="128"/>
      <c r="AR543" s="128"/>
      <c r="AS543" s="128"/>
      <c r="AT543" s="128"/>
      <c r="AU543" s="778"/>
      <c r="AV543" s="778"/>
      <c r="AW543" s="128"/>
      <c r="AX543" s="128"/>
      <c r="AY543" s="128"/>
      <c r="AZ543" s="128"/>
      <c r="BA543" s="128"/>
      <c r="BB543" s="128"/>
      <c r="BC543" s="128"/>
      <c r="BD543" s="171">
        <f t="shared" si="153"/>
        <v>0</v>
      </c>
      <c r="BE543" s="171">
        <f t="shared" si="154"/>
        <v>0</v>
      </c>
      <c r="BF543" s="171">
        <f t="shared" si="155"/>
        <v>0</v>
      </c>
      <c r="BG543" s="171">
        <f t="shared" si="156"/>
        <v>0</v>
      </c>
      <c r="BH543" s="171">
        <f t="shared" si="157"/>
        <v>0</v>
      </c>
      <c r="BI543" s="171">
        <f t="shared" si="158"/>
        <v>0</v>
      </c>
      <c r="BJ543" s="171">
        <f t="shared" si="159"/>
        <v>0</v>
      </c>
      <c r="BK543" s="171">
        <f t="shared" si="160"/>
        <v>0</v>
      </c>
      <c r="BL543" s="171">
        <f t="shared" si="161"/>
        <v>0</v>
      </c>
      <c r="BM543" s="171">
        <f t="shared" si="162"/>
        <v>0</v>
      </c>
      <c r="BN543" s="196"/>
      <c r="BO543" s="196"/>
      <c r="BP543" s="196"/>
      <c r="BS543" s="696" t="s">
        <v>1268</v>
      </c>
    </row>
    <row r="544" spans="2:75" ht="14.25" customHeight="1" x14ac:dyDescent="0.15">
      <c r="C544" s="25"/>
      <c r="D544" s="25"/>
      <c r="E544" s="451">
        <v>15</v>
      </c>
      <c r="F544" s="3" t="str" cm="1">
        <f t="array" aca="1" ref="F544" ca="1">OFFSET(E544,-1,1)</f>
        <v>3</v>
      </c>
      <c r="G544" s="25"/>
      <c r="H544" s="25"/>
      <c r="I544" s="25" t="s">
        <v>2136</v>
      </c>
      <c r="J544" s="25"/>
      <c r="K544" s="72" t="s">
        <v>2136</v>
      </c>
      <c r="L544" s="25" t="s">
        <v>951</v>
      </c>
      <c r="M544" s="25"/>
      <c r="N544" s="25"/>
      <c r="O544" s="25"/>
      <c r="P544" s="25"/>
      <c r="Q544" s="25"/>
      <c r="R544" s="25"/>
      <c r="S544" s="25"/>
      <c r="T544" s="353" t="b" cm="1">
        <f t="array" aca="1" ref="T544" ca="1">T543</f>
        <v>1</v>
      </c>
      <c r="U544" s="25"/>
      <c r="V544" s="25"/>
      <c r="W544" s="25"/>
      <c r="X544" s="1022"/>
      <c r="Z544" s="967"/>
      <c r="AB544" s="7" t="s">
        <v>2137</v>
      </c>
      <c r="AC544" s="134" t="s">
        <v>2138</v>
      </c>
      <c r="AD544" s="7" t="s">
        <v>828</v>
      </c>
      <c r="AE544" s="128"/>
      <c r="AF544" s="128"/>
      <c r="AG544" s="128"/>
      <c r="AH544" s="171">
        <f t="shared" si="151"/>
        <v>0</v>
      </c>
      <c r="AI544" s="128"/>
      <c r="AJ544" s="128"/>
      <c r="AK544" s="778"/>
      <c r="AL544" s="778"/>
      <c r="AM544" s="128"/>
      <c r="AN544" s="128"/>
      <c r="AO544" s="128"/>
      <c r="AP544" s="128"/>
      <c r="AQ544" s="128"/>
      <c r="AR544" s="128"/>
      <c r="AS544" s="128"/>
      <c r="AT544" s="128"/>
      <c r="AU544" s="778"/>
      <c r="AV544" s="778"/>
      <c r="AW544" s="128"/>
      <c r="AX544" s="128"/>
      <c r="AY544" s="128"/>
      <c r="AZ544" s="128"/>
      <c r="BA544" s="128"/>
      <c r="BB544" s="128"/>
      <c r="BC544" s="128"/>
      <c r="BD544" s="171">
        <f t="shared" si="153"/>
        <v>0</v>
      </c>
      <c r="BE544" s="171">
        <f t="shared" si="154"/>
        <v>0</v>
      </c>
      <c r="BF544" s="171">
        <f t="shared" si="155"/>
        <v>0</v>
      </c>
      <c r="BG544" s="171">
        <f t="shared" si="156"/>
        <v>0</v>
      </c>
      <c r="BH544" s="171">
        <f t="shared" si="157"/>
        <v>0</v>
      </c>
      <c r="BI544" s="171">
        <f t="shared" si="158"/>
        <v>0</v>
      </c>
      <c r="BJ544" s="171">
        <f t="shared" si="159"/>
        <v>0</v>
      </c>
      <c r="BK544" s="171">
        <f t="shared" si="160"/>
        <v>0</v>
      </c>
      <c r="BL544" s="171">
        <f t="shared" si="161"/>
        <v>0</v>
      </c>
      <c r="BM544" s="171">
        <f t="shared" si="162"/>
        <v>0</v>
      </c>
      <c r="BN544" s="196"/>
      <c r="BO544" s="196"/>
      <c r="BP544" s="196"/>
      <c r="BS544" s="696" t="s">
        <v>2139</v>
      </c>
    </row>
    <row r="545" spans="1:75" ht="21.75" customHeight="1" x14ac:dyDescent="0.15">
      <c r="C545" s="25"/>
      <c r="D545" s="25"/>
      <c r="E545" s="451">
        <v>22.5</v>
      </c>
      <c r="F545" s="3" t="str" cm="1">
        <f t="array" aca="1" ref="F545" ca="1">OFFSET(E545,-1,1)</f>
        <v>3</v>
      </c>
      <c r="G545" s="25" t="s">
        <v>1487</v>
      </c>
      <c r="H545" s="25"/>
      <c r="I545" s="25" t="s">
        <v>2140</v>
      </c>
      <c r="J545" s="25"/>
      <c r="K545" s="72" t="s">
        <v>2140</v>
      </c>
      <c r="L545" s="25"/>
      <c r="M545" s="25"/>
      <c r="N545" s="25"/>
      <c r="O545" s="25"/>
      <c r="P545" s="25"/>
      <c r="Q545" s="25"/>
      <c r="R545" s="25"/>
      <c r="S545" s="25"/>
      <c r="T545" s="353" t="b" cm="1">
        <f t="array" aca="1" ref="T545" ca="1">T544</f>
        <v>1</v>
      </c>
      <c r="U545" s="25"/>
      <c r="V545" s="25"/>
      <c r="W545" s="25"/>
      <c r="X545" s="1022"/>
      <c r="Z545" s="967"/>
      <c r="AB545" s="7" t="s">
        <v>1551</v>
      </c>
      <c r="AC545" s="127" t="s">
        <v>2141</v>
      </c>
      <c r="AD545" s="7" t="s">
        <v>828</v>
      </c>
      <c r="AE545" s="128"/>
      <c r="AF545" s="128"/>
      <c r="AG545" s="128"/>
      <c r="AH545" s="171">
        <f t="shared" si="151"/>
        <v>0</v>
      </c>
      <c r="AI545" s="128"/>
      <c r="AJ545" s="128"/>
      <c r="AK545" s="778"/>
      <c r="AL545" s="778"/>
      <c r="AM545" s="128"/>
      <c r="AN545" s="128"/>
      <c r="AO545" s="128"/>
      <c r="AP545" s="128"/>
      <c r="AQ545" s="128"/>
      <c r="AR545" s="128"/>
      <c r="AS545" s="128"/>
      <c r="AT545" s="128"/>
      <c r="AU545" s="778"/>
      <c r="AV545" s="778"/>
      <c r="AW545" s="128"/>
      <c r="AX545" s="128"/>
      <c r="AY545" s="128"/>
      <c r="AZ545" s="128"/>
      <c r="BA545" s="128"/>
      <c r="BB545" s="128"/>
      <c r="BC545" s="128"/>
      <c r="BD545" s="171">
        <f t="shared" si="153"/>
        <v>0</v>
      </c>
      <c r="BE545" s="171">
        <f t="shared" si="154"/>
        <v>0</v>
      </c>
      <c r="BF545" s="171">
        <f t="shared" si="155"/>
        <v>0</v>
      </c>
      <c r="BG545" s="171">
        <f t="shared" si="156"/>
        <v>0</v>
      </c>
      <c r="BH545" s="171">
        <f t="shared" si="157"/>
        <v>0</v>
      </c>
      <c r="BI545" s="171">
        <f t="shared" si="158"/>
        <v>0</v>
      </c>
      <c r="BJ545" s="171">
        <f t="shared" si="159"/>
        <v>0</v>
      </c>
      <c r="BK545" s="171">
        <f t="shared" si="160"/>
        <v>0</v>
      </c>
      <c r="BL545" s="171">
        <f t="shared" si="161"/>
        <v>0</v>
      </c>
      <c r="BM545" s="171">
        <f t="shared" si="162"/>
        <v>0</v>
      </c>
      <c r="BN545" s="196"/>
      <c r="BO545" s="196"/>
      <c r="BP545" s="196"/>
      <c r="BS545" s="696" t="s">
        <v>2142</v>
      </c>
    </row>
    <row r="546" spans="1:75" s="870" customFormat="1" ht="317.25" customHeight="1" x14ac:dyDescent="0.15">
      <c r="A546" s="76"/>
      <c r="B546" s="332"/>
      <c r="C546" s="27"/>
      <c r="D546" s="27"/>
      <c r="E546" s="559">
        <v>21</v>
      </c>
      <c r="F546" s="3" t="str" cm="1">
        <f t="array" aca="1" ref="F546" ca="1">OFFSET(E546,-1,1)</f>
        <v>3</v>
      </c>
      <c r="G546" s="25" t="s">
        <v>2143</v>
      </c>
      <c r="H546" s="25"/>
      <c r="I546" s="25" t="s">
        <v>333</v>
      </c>
      <c r="J546" s="27"/>
      <c r="K546" s="72" t="s">
        <v>333</v>
      </c>
      <c r="L546" s="27" t="s">
        <v>1344</v>
      </c>
      <c r="M546" s="27"/>
      <c r="N546" s="27"/>
      <c r="O546" s="27"/>
      <c r="P546" s="27"/>
      <c r="Q546" s="27"/>
      <c r="R546" s="27"/>
      <c r="S546" s="27"/>
      <c r="T546" s="353" t="b" cm="1">
        <f t="array" aca="1" ref="T546" ca="1">T545</f>
        <v>1</v>
      </c>
      <c r="U546" s="27"/>
      <c r="V546" s="27"/>
      <c r="W546" s="27"/>
      <c r="X546" s="1022"/>
      <c r="Y546" s="76"/>
      <c r="Z546" s="967"/>
      <c r="AA546" s="76"/>
      <c r="AB546" s="124" t="s">
        <v>291</v>
      </c>
      <c r="AC546" s="125" t="s">
        <v>2144</v>
      </c>
      <c r="AD546" s="124" t="s">
        <v>828</v>
      </c>
      <c r="AE546" s="126">
        <f ca="1">SUMIFS(ЭЭ!AE$25:AE$116,ЭЭ!$F$25:$F$116,$F546,ЭЭ!$AC$25:$AC$116,"Всего по тарифу")</f>
        <v>4118.42</v>
      </c>
      <c r="AF546" s="126">
        <f ca="1">SUMIFS(ЭЭ!AF$25:AF$116,ЭЭ!$F$25:$F$116,$F546,ЭЭ!$AC$25:$AC$116,"Всего по тарифу")</f>
        <v>4272.4124135077</v>
      </c>
      <c r="AG546" s="126">
        <f ca="1">SUMIFS(ЭЭ!AG$25:AG$116,ЭЭ!$F$25:$F$116,$F546,ЭЭ!$AC$25:$AC$116,"Всего по тарифу")</f>
        <v>3891.2199667892</v>
      </c>
      <c r="AH546" s="126">
        <f t="shared" ca="1" si="151"/>
        <v>-381.19244671849992</v>
      </c>
      <c r="AI546" s="126">
        <f ca="1">SUMIFS(ЭЭ!AH$25:AH$116,ЭЭ!$F$25:$F$116,$F546,ЭЭ!$AC$25:$AC$116,"Всего по тарифу")</f>
        <v>4193.6099999999997</v>
      </c>
      <c r="AJ546" s="126">
        <f ca="1">SUMIFS(ЭЭ!AI$25:AI$116,ЭЭ!$F$25:$F$116,$F546,ЭЭ!$AC$25:$AC$116,"Всего по тарифу")</f>
        <v>4842.2209178392004</v>
      </c>
      <c r="AK546" s="126">
        <f ca="1">SUMIFS(ЭЭ!AJ$25:AJ$116,ЭЭ!$F$25:$F$116,$F546,ЭЭ!$AC$25:$AC$116,"Всего по тарифу")</f>
        <v>0</v>
      </c>
      <c r="AL546" s="126">
        <f ca="1">SUMIFS(ЭЭ!AK$25:AK$116,ЭЭ!$F$25:$F$116,$F546,ЭЭ!$AC$25:$AC$116,"Всего по тарифу")</f>
        <v>0</v>
      </c>
      <c r="AM546" s="126">
        <f ca="1">SUMIFS(ЭЭ!AL$25:AL$116,ЭЭ!$F$25:$F$116,$F546,ЭЭ!$AC$25:$AC$116,"Всего по тарифу")</f>
        <v>0</v>
      </c>
      <c r="AN546" s="126">
        <f ca="1">SUMIFS(ЭЭ!AM$25:AM$116,ЭЭ!$F$25:$F$116,$F546,ЭЭ!$AC$25:$AC$116,"Всего по тарифу")</f>
        <v>0</v>
      </c>
      <c r="AO546" s="126">
        <f ca="1">SUMIFS(ЭЭ!AN$25:AN$116,ЭЭ!$F$25:$F$116,$F546,ЭЭ!$AC$25:$AC$116,"Всего по тарифу")</f>
        <v>0</v>
      </c>
      <c r="AP546" s="126">
        <f ca="1">SUMIFS(ЭЭ!AO$25:AO$116,ЭЭ!$F$25:$F$116,$F546,ЭЭ!$AC$25:$AC$116,"Всего по тарифу")</f>
        <v>0</v>
      </c>
      <c r="AQ546" s="126">
        <f ca="1">SUMIFS(ЭЭ!AP$25:AP$116,ЭЭ!$F$25:$F$116,$F546,ЭЭ!$AC$25:$AC$116,"Всего по тарифу")</f>
        <v>0</v>
      </c>
      <c r="AR546" s="126">
        <f ca="1">SUMIFS(ЭЭ!AQ$25:AQ$116,ЭЭ!$F$25:$F$116,$F546,ЭЭ!$AC$25:$AC$116,"Всего по тарифу")</f>
        <v>0</v>
      </c>
      <c r="AS546" s="126">
        <f ca="1">SUMIFS(ЭЭ!AR$25:AR$116,ЭЭ!$F$25:$F$116,$F546,ЭЭ!$AC$25:$AC$116,"Всего по тарифу")</f>
        <v>0</v>
      </c>
      <c r="AT546" s="126">
        <f ca="1">SUMIFS(ЭЭ!AS$25:AS$116,ЭЭ!$F$25:$F$116,$F546,ЭЭ!$AC$25:$AC$116,"Всего по тарифу")</f>
        <v>4245.9698580841005</v>
      </c>
      <c r="AU546" s="126">
        <f ca="1">SUMIFS(ЭЭ!AT$25:AT$116,ЭЭ!$F$25:$F$116,$F546,ЭЭ!$AC$25:$AC$116,"Всего по тарифу")</f>
        <v>0</v>
      </c>
      <c r="AV546" s="126">
        <f ca="1">SUMIFS(ЭЭ!AU$25:AU$116,ЭЭ!$F$25:$F$116,$F546,ЭЭ!$AC$25:$AC$116,"Всего по тарифу")</f>
        <v>0</v>
      </c>
      <c r="AW546" s="126">
        <f ca="1">SUMIFS(ЭЭ!AV$25:AV$116,ЭЭ!$F$25:$F$116,$F546,ЭЭ!$AC$25:$AC$116,"Всего по тарифу")</f>
        <v>0</v>
      </c>
      <c r="AX546" s="126">
        <f ca="1">SUMIFS(ЭЭ!AW$25:AW$116,ЭЭ!$F$25:$F$116,$F546,ЭЭ!$AC$25:$AC$116,"Всего по тарифу")</f>
        <v>0</v>
      </c>
      <c r="AY546" s="126">
        <f ca="1">SUMIFS(ЭЭ!AX$25:AX$116,ЭЭ!$F$25:$F$116,$F546,ЭЭ!$AC$25:$AC$116,"Всего по тарифу")</f>
        <v>0</v>
      </c>
      <c r="AZ546" s="126">
        <f ca="1">SUMIFS(ЭЭ!AY$25:AY$116,ЭЭ!$F$25:$F$116,$F546,ЭЭ!$AC$25:$AC$116,"Всего по тарифу")</f>
        <v>0</v>
      </c>
      <c r="BA546" s="126">
        <f ca="1">SUMIFS(ЭЭ!AZ$25:AZ$116,ЭЭ!$F$25:$F$116,$F546,ЭЭ!$AC$25:$AC$116,"Всего по тарифу")</f>
        <v>0</v>
      </c>
      <c r="BB546" s="126">
        <f ca="1">SUMIFS(ЭЭ!BA$25:BA$116,ЭЭ!$F$25:$F$116,$F546,ЭЭ!$AC$25:$AC$116,"Всего по тарифу")</f>
        <v>0</v>
      </c>
      <c r="BC546" s="126">
        <f ca="1">SUMIFS(ЭЭ!BB$25:BB$116,ЭЭ!$F$25:$F$116,$F546,ЭЭ!$AC$25:$AC$116,"Всего по тарифу")</f>
        <v>0</v>
      </c>
      <c r="BD546" s="126">
        <f t="shared" ca="1" si="153"/>
        <v>1.2485628869661409</v>
      </c>
      <c r="BE546" s="126">
        <f t="shared" ca="1" si="154"/>
        <v>-100</v>
      </c>
      <c r="BF546" s="126">
        <f t="shared" ca="1" si="155"/>
        <v>0</v>
      </c>
      <c r="BG546" s="126">
        <f t="shared" ca="1" si="156"/>
        <v>0</v>
      </c>
      <c r="BH546" s="126">
        <f t="shared" ca="1" si="157"/>
        <v>0</v>
      </c>
      <c r="BI546" s="126">
        <f t="shared" ca="1" si="158"/>
        <v>0</v>
      </c>
      <c r="BJ546" s="126">
        <f t="shared" ca="1" si="159"/>
        <v>0</v>
      </c>
      <c r="BK546" s="126">
        <f t="shared" ca="1" si="160"/>
        <v>0</v>
      </c>
      <c r="BL546" s="126">
        <f t="shared" ca="1" si="161"/>
        <v>0</v>
      </c>
      <c r="BM546" s="126">
        <f t="shared" ca="1" si="162"/>
        <v>0</v>
      </c>
      <c r="BN546" s="196" t="s">
        <v>2312</v>
      </c>
      <c r="BO546" s="601" t="s">
        <v>2252</v>
      </c>
      <c r="BP546" s="196" t="s">
        <v>2253</v>
      </c>
      <c r="BQ546" s="76"/>
      <c r="BR546" s="76"/>
      <c r="BS546" s="702" t="s">
        <v>1750</v>
      </c>
      <c r="BT546" s="702"/>
      <c r="BU546" s="702"/>
      <c r="BV546" s="511"/>
      <c r="BW546" s="511"/>
    </row>
    <row r="547" spans="1:75" s="870" customFormat="1" ht="212.25" customHeight="1" x14ac:dyDescent="0.15">
      <c r="A547" s="76"/>
      <c r="B547" s="76" t="b">
        <f>method_reg="Метод индексации"</f>
        <v>1</v>
      </c>
      <c r="C547" s="27"/>
      <c r="D547" s="27"/>
      <c r="E547" s="559">
        <v>22.5</v>
      </c>
      <c r="F547" s="3" t="str" cm="1">
        <f t="array" aca="1" ref="F547" ca="1">OFFSET(E547,-1,1)</f>
        <v>3</v>
      </c>
      <c r="G547" s="25" t="s">
        <v>1509</v>
      </c>
      <c r="H547" s="25"/>
      <c r="I547" s="25" t="s">
        <v>335</v>
      </c>
      <c r="J547" s="27"/>
      <c r="K547" s="72"/>
      <c r="L547" s="27" t="s">
        <v>334</v>
      </c>
      <c r="M547" s="27"/>
      <c r="N547" s="27"/>
      <c r="O547" s="27"/>
      <c r="P547" s="27"/>
      <c r="Q547" s="27"/>
      <c r="R547" s="27"/>
      <c r="S547" s="27"/>
      <c r="T547" s="353" t="b" cm="1">
        <f t="array" aca="1" ref="T547" ca="1">T546</f>
        <v>1</v>
      </c>
      <c r="U547" s="27"/>
      <c r="V547" s="27"/>
      <c r="W547" s="27"/>
      <c r="X547" s="1022"/>
      <c r="Y547" s="76"/>
      <c r="Z547" s="967"/>
      <c r="AA547" s="76"/>
      <c r="AB547" s="124" t="s">
        <v>454</v>
      </c>
      <c r="AC547" s="125" t="s">
        <v>2145</v>
      </c>
      <c r="AD547" s="124" t="s">
        <v>828</v>
      </c>
      <c r="AE547" s="126">
        <f ca="1">SUMIFS(Амортизация!AE$25:AE$223,Амортизация!$F$25:$F$223,$F547,Амортизация!$AC$25:$AC$223,"Сумма амортизационных отчислений")</f>
        <v>2296.6681277419002</v>
      </c>
      <c r="AF547" s="126">
        <f ca="1">SUMIFS(Амортизация!AF$25:AF$223,Амортизация!$F$25:$F$223,$F547,Амортизация!$AC$25:$AC$223,"Сумма амортизационных отчислений")</f>
        <v>3415.5763004400001</v>
      </c>
      <c r="AG547" s="126">
        <f ca="1">SUMIFS(Амортизация!AG$25:AG$223,Амортизация!$F$25:$F$223,$F547,Амортизация!$AC$25:$AC$223,"Сумма амортизационных отчислений")</f>
        <v>2979.2072494399999</v>
      </c>
      <c r="AH547" s="126">
        <f t="shared" ca="1" si="151"/>
        <v>-436.36905100000013</v>
      </c>
      <c r="AI547" s="126">
        <f ca="1">SUMIFS(Амортизация!AH$25:AH$223,Амортизация!$F$25:$F$223,$F547,Амортизация!$AC$25:$AC$223,"Сумма амортизационных отчислений")</f>
        <v>2984.7425312382002</v>
      </c>
      <c r="AJ547" s="126">
        <f ca="1">SUMIFS(Амортизация!AI$25:AI$223,Амортизация!$F$25:$F$223,$F547,Амортизация!$AC$25:$AC$223,"Сумма амортизационных отчислений")</f>
        <v>3736.6829633222001</v>
      </c>
      <c r="AK547" s="126">
        <f ca="1">SUMIFS(Амортизация!AJ$25:AJ$223,Амортизация!$F$25:$F$223,$F547,Амортизация!$AC$25:$AC$223,"Сумма амортизационных отчислений")</f>
        <v>0</v>
      </c>
      <c r="AL547" s="126">
        <f ca="1">SUMIFS(Амортизация!AK$25:AK$223,Амортизация!$F$25:$F$223,$F547,Амортизация!$AC$25:$AC$223,"Сумма амортизационных отчислений")</f>
        <v>0</v>
      </c>
      <c r="AM547" s="126">
        <f ca="1">SUMIFS(Амортизация!AL$25:AL$223,Амортизация!$F$25:$F$223,$F547,Амортизация!$AC$25:$AC$223,"Сумма амортизационных отчислений")</f>
        <v>0</v>
      </c>
      <c r="AN547" s="126">
        <f ca="1">SUMIFS(Амортизация!AM$25:AM$223,Амортизация!$F$25:$F$223,$F547,Амортизация!$AC$25:$AC$223,"Сумма амортизационных отчислений")</f>
        <v>0</v>
      </c>
      <c r="AO547" s="126">
        <f ca="1">SUMIFS(Амортизация!AN$25:AN$223,Амортизация!$F$25:$F$223,$F547,Амортизация!$AC$25:$AC$223,"Сумма амортизационных отчислений")</f>
        <v>0</v>
      </c>
      <c r="AP547" s="126">
        <f ca="1">SUMIFS(Амортизация!AO$25:AO$223,Амортизация!$F$25:$F$223,$F547,Амортизация!$AC$25:$AC$223,"Сумма амортизационных отчислений")</f>
        <v>0</v>
      </c>
      <c r="AQ547" s="126">
        <f ca="1">SUMIFS(Амортизация!AP$25:AP$223,Амортизация!$F$25:$F$223,$F547,Амортизация!$AC$25:$AC$223,"Сумма амортизационных отчислений")</f>
        <v>0</v>
      </c>
      <c r="AR547" s="126">
        <f ca="1">SUMIFS(Амортизация!AQ$25:AQ$223,Амортизация!$F$25:$F$223,$F547,Амортизация!$AC$25:$AC$223,"Сумма амортизационных отчислений")</f>
        <v>0</v>
      </c>
      <c r="AS547" s="126">
        <f ca="1">SUMIFS(Амортизация!AR$25:AR$223,Амортизация!$F$25:$F$223,$F547,Амортизация!$AC$25:$AC$223,"Сумма амортизационных отчислений")</f>
        <v>0</v>
      </c>
      <c r="AT547" s="126">
        <f ca="1">SUMIFS(Амортизация!AS$25:AS$223,Амортизация!$F$25:$F$223,$F547,Амортизация!$AC$25:$AC$223,"Сумма амортизационных отчислений")</f>
        <v>2821.26167244</v>
      </c>
      <c r="AU547" s="126">
        <f ca="1">SUMIFS(Амортизация!AT$25:AT$223,Амортизация!$F$25:$F$223,$F547,Амортизация!$AC$25:$AC$223,"Сумма амортизационных отчислений")</f>
        <v>0</v>
      </c>
      <c r="AV547" s="126">
        <f ca="1">SUMIFS(Амортизация!AU$25:AU$223,Амортизация!$F$25:$F$223,$F547,Амортизация!$AC$25:$AC$223,"Сумма амортизационных отчислений")</f>
        <v>0</v>
      </c>
      <c r="AW547" s="126">
        <f ca="1">SUMIFS(Амортизация!AV$25:AV$223,Амортизация!$F$25:$F$223,$F547,Амортизация!$AC$25:$AC$223,"Сумма амортизационных отчислений")</f>
        <v>0</v>
      </c>
      <c r="AX547" s="126">
        <f ca="1">SUMIFS(Амортизация!AW$25:AW$223,Амортизация!$F$25:$F$223,$F547,Амортизация!$AC$25:$AC$223,"Сумма амортизационных отчислений")</f>
        <v>0</v>
      </c>
      <c r="AY547" s="126">
        <f ca="1">SUMIFS(Амортизация!AX$25:AX$223,Амортизация!$F$25:$F$223,$F547,Амортизация!$AC$25:$AC$223,"Сумма амортизационных отчислений")</f>
        <v>0</v>
      </c>
      <c r="AZ547" s="126">
        <f ca="1">SUMIFS(Амортизация!AY$25:AY$223,Амортизация!$F$25:$F$223,$F547,Амортизация!$AC$25:$AC$223,"Сумма амортизационных отчислений")</f>
        <v>0</v>
      </c>
      <c r="BA547" s="126">
        <f ca="1">SUMIFS(Амортизация!AZ$25:AZ$223,Амортизация!$F$25:$F$223,$F547,Амортизация!$AC$25:$AC$223,"Сумма амортизационных отчислений")</f>
        <v>0</v>
      </c>
      <c r="BB547" s="126">
        <f ca="1">SUMIFS(Амортизация!BA$25:BA$223,Амортизация!$F$25:$F$223,$F547,Амортизация!$AC$25:$AC$223,"Сумма амортизационных отчислений")</f>
        <v>0</v>
      </c>
      <c r="BC547" s="126">
        <f ca="1">SUMIFS(Амортизация!BB$25:BB$223,Амортизация!$F$25:$F$223,$F547,Амортизация!$AC$25:$AC$223,"Сумма амортизационных отчислений")</f>
        <v>0</v>
      </c>
      <c r="BD547" s="126">
        <f t="shared" ca="1" si="153"/>
        <v>-5.4772181214029629</v>
      </c>
      <c r="BE547" s="126">
        <f t="shared" ca="1" si="154"/>
        <v>-100</v>
      </c>
      <c r="BF547" s="126">
        <f t="shared" ca="1" si="155"/>
        <v>0</v>
      </c>
      <c r="BG547" s="126">
        <f t="shared" ca="1" si="156"/>
        <v>0</v>
      </c>
      <c r="BH547" s="126">
        <f t="shared" ca="1" si="157"/>
        <v>0</v>
      </c>
      <c r="BI547" s="126">
        <f t="shared" ca="1" si="158"/>
        <v>0</v>
      </c>
      <c r="BJ547" s="126">
        <f t="shared" ca="1" si="159"/>
        <v>0</v>
      </c>
      <c r="BK547" s="126">
        <f t="shared" ca="1" si="160"/>
        <v>0</v>
      </c>
      <c r="BL547" s="126">
        <f t="shared" ca="1" si="161"/>
        <v>0</v>
      </c>
      <c r="BM547" s="126">
        <f t="shared" ca="1" si="162"/>
        <v>0</v>
      </c>
      <c r="BN547" s="196" t="s">
        <v>2313</v>
      </c>
      <c r="BO547" s="601" t="s">
        <v>2255</v>
      </c>
      <c r="BP547" s="196" t="s">
        <v>2256</v>
      </c>
      <c r="BQ547" s="76"/>
      <c r="BR547" s="76"/>
      <c r="BS547" s="702" t="s">
        <v>1247</v>
      </c>
      <c r="BT547" s="702"/>
      <c r="BU547" s="702"/>
      <c r="BV547" s="511"/>
      <c r="BW547" s="511"/>
    </row>
    <row r="548" spans="1:75" ht="14.25" customHeight="1" x14ac:dyDescent="0.15">
      <c r="B548" s="329" t="b" cm="1">
        <f t="array" ref="B548">B547</f>
        <v>1</v>
      </c>
      <c r="C548" s="25"/>
      <c r="D548" s="25"/>
      <c r="E548" s="451">
        <v>15</v>
      </c>
      <c r="F548" s="3" t="str" cm="1">
        <f t="array" aca="1" ref="F548" ca="1">OFFSET(E548,-1,1)</f>
        <v>3</v>
      </c>
      <c r="G548" s="25"/>
      <c r="H548" s="25"/>
      <c r="I548" s="25" t="s">
        <v>560</v>
      </c>
      <c r="J548" s="25"/>
      <c r="L548" s="25" t="s">
        <v>574</v>
      </c>
      <c r="M548" s="25"/>
      <c r="N548" s="25"/>
      <c r="O548" s="25"/>
      <c r="P548" s="25"/>
      <c r="Q548" s="25"/>
      <c r="R548" s="25"/>
      <c r="S548" s="25"/>
      <c r="T548" s="353" t="b" cm="1">
        <f t="array" aca="1" ref="T548" ca="1">T547</f>
        <v>1</v>
      </c>
      <c r="U548" s="25"/>
      <c r="V548" s="25"/>
      <c r="W548" s="25"/>
      <c r="X548" s="1022"/>
      <c r="Z548" s="967"/>
      <c r="AB548" s="7" t="s">
        <v>697</v>
      </c>
      <c r="AC548" s="127" t="s">
        <v>1843</v>
      </c>
      <c r="AD548" s="7" t="s">
        <v>828</v>
      </c>
      <c r="AE548" s="128">
        <f ca="1">SUMIFS('ИП + источники'!AF$27:AF$145,'ИП + источники'!$F$27:$F$145,$F548,'ИП + источники'!$AC$27:$AC$145,"Амортизационные отчисления")+SUMIFS('ИП + источники'!AF$27:AF$145,'ИП + источники'!$F$27:$F$145,$F548,'ИП + источники'!$AC$27:$AC$145,"погашение займов и кредитов из амортизации")</f>
        <v>0</v>
      </c>
      <c r="AF548" s="128">
        <f ca="1">SUMIFS('ИП + источники'!AG$27:AG$145,'ИП + источники'!$F$27:$F$145,$F548,'ИП + источники'!$AC$27:$AC$145,"Амортизационные отчисления")+SUMIFS('ИП + источники'!AG$27:AG$145,'ИП + источники'!$F$27:$F$145,$F548,'ИП + источники'!$AC$27:$AC$145,"погашение займов и кредитов из амортизации")</f>
        <v>0</v>
      </c>
      <c r="AG548" s="128">
        <f ca="1">SUMIFS('ИП + источники'!AH$27:AH$145,'ИП + источники'!$F$27:$F$145,$F548,'ИП + источники'!$AC$27:$AC$145,"Амортизационные отчисления")+SUMIFS('ИП + источники'!AH$27:AH$145,'ИП + источники'!$F$27:$F$145,$F548,'ИП + источники'!$AC$27:$AC$145,"погашение займов и кредитов из амортизации")</f>
        <v>0</v>
      </c>
      <c r="AH548" s="171">
        <f t="shared" ca="1" si="151"/>
        <v>0</v>
      </c>
      <c r="AI548" s="128">
        <f ca="1">SUMIFS('ИП + источники'!AJ$27:AJ$145,'ИП + источники'!$F$27:$F$145,$F548,'ИП + источники'!$AC$27:$AC$145,"Амортизационные отчисления")+SUMIFS('ИП + источники'!AJ$27:AJ$145,'ИП + источники'!$F$27:$F$145,$F548,'ИП + источники'!$AC$27:$AC$145,"погашение займов и кредитов из амортизации")</f>
        <v>0</v>
      </c>
      <c r="AJ548" s="128">
        <f ca="1">SUMIFS('ИП + источники'!AK$27:AK$145,'ИП + источники'!$F$27:$F$145,$F548,'ИП + источники'!$AC$27:$AC$145,"Амортизационные отчисления")+SUMIFS('ИП + источники'!AK$27:AK$145,'ИП + источники'!$F$27:$F$145,$F548,'ИП + источники'!$AC$27:$AC$145,"погашение займов и кредитов из амортизации")</f>
        <v>0</v>
      </c>
      <c r="AK548" s="778">
        <f ca="1">SUMIFS('ИП + источники'!AL$27:AL$145,'ИП + источники'!$F$27:$F$145,$F548,'ИП + источники'!$AC$27:$AC$145,"Амортизационные отчисления")+SUMIFS('ИП + источники'!AL$27:AL$145,'ИП + источники'!$F$27:$F$145,$F548,'ИП + источники'!$AC$27:$AC$145,"погашение займов и кредитов из амортизации")</f>
        <v>0</v>
      </c>
      <c r="AL548" s="778">
        <f ca="1">SUMIFS('ИП + источники'!AM$27:AM$145,'ИП + источники'!$F$27:$F$145,$F548,'ИП + источники'!$AC$27:$AC$145,"Амортизационные отчисления")+SUMIFS('ИП + источники'!AM$27:AM$145,'ИП + источники'!$F$27:$F$145,$F548,'ИП + источники'!$AC$27:$AC$145,"погашение займов и кредитов из амортизации")</f>
        <v>0</v>
      </c>
      <c r="AM548" s="128">
        <f ca="1">SUMIFS('ИП + источники'!AN$27:AN$145,'ИП + источники'!$F$27:$F$145,$F548,'ИП + источники'!$AC$27:$AC$145,"Амортизационные отчисления")+SUMIFS('ИП + источники'!AN$27:AN$145,'ИП + источники'!$F$27:$F$145,$F548,'ИП + источники'!$AC$27:$AC$145,"погашение займов и кредитов из амортизации")</f>
        <v>0</v>
      </c>
      <c r="AN548" s="128">
        <f ca="1">SUMIFS('ИП + источники'!AO$27:AO$145,'ИП + источники'!$F$27:$F$145,$F548,'ИП + источники'!$AC$27:$AC$145,"Амортизационные отчисления")+SUMIFS('ИП + источники'!AO$27:AO$145,'ИП + источники'!$F$27:$F$145,$F548,'ИП + источники'!$AC$27:$AC$145,"погашение займов и кредитов из амортизации")</f>
        <v>0</v>
      </c>
      <c r="AO548" s="128">
        <f ca="1">SUMIFS('ИП + источники'!AP$27:AP$145,'ИП + источники'!$F$27:$F$145,$F548,'ИП + источники'!$AC$27:$AC$145,"Амортизационные отчисления")+SUMIFS('ИП + источники'!AP$27:AP$145,'ИП + источники'!$F$27:$F$145,$F548,'ИП + источники'!$AC$27:$AC$145,"погашение займов и кредитов из амортизации")</f>
        <v>0</v>
      </c>
      <c r="AP548" s="128">
        <f ca="1">SUMIFS('ИП + источники'!AQ$27:AQ$145,'ИП + источники'!$F$27:$F$145,$F548,'ИП + источники'!$AC$27:$AC$145,"Амортизационные отчисления")+SUMIFS('ИП + источники'!AQ$27:AQ$145,'ИП + источники'!$F$27:$F$145,$F548,'ИП + источники'!$AC$27:$AC$145,"погашение займов и кредитов из амортизации")</f>
        <v>0</v>
      </c>
      <c r="AQ548" s="128">
        <f ca="1">SUMIFS('ИП + источники'!AR$27:AR$145,'ИП + источники'!$F$27:$F$145,$F548,'ИП + источники'!$AC$27:$AC$145,"Амортизационные отчисления")+SUMIFS('ИП + источники'!AR$27:AR$145,'ИП + источники'!$F$27:$F$145,$F548,'ИП + источники'!$AC$27:$AC$145,"погашение займов и кредитов из амортизации")</f>
        <v>0</v>
      </c>
      <c r="AR548" s="128">
        <f ca="1">SUMIFS('ИП + источники'!AS$27:AS$145,'ИП + источники'!$F$27:$F$145,$F548,'ИП + источники'!$AC$27:$AC$145,"Амортизационные отчисления")+SUMIFS('ИП + источники'!AS$27:AS$145,'ИП + источники'!$F$27:$F$145,$F548,'ИП + источники'!$AC$27:$AC$145,"погашение займов и кредитов из амортизации")</f>
        <v>0</v>
      </c>
      <c r="AS548" s="128">
        <f ca="1">SUMIFS('ИП + источники'!AT$27:AT$145,'ИП + источники'!$F$27:$F$145,$F548,'ИП + источники'!$AC$27:$AC$145,"Амортизационные отчисления")+SUMIFS('ИП + источники'!AT$27:AT$145,'ИП + источники'!$F$27:$F$145,$F548,'ИП + источники'!$AC$27:$AC$145,"погашение займов и кредитов из амортизации")</f>
        <v>0</v>
      </c>
      <c r="AT548" s="128">
        <f ca="1">SUMIFS('ИП + источники'!AU$27:AU$145,'ИП + источники'!$F$27:$F$145,$F548,'ИП + источники'!$AC$27:$AC$145,"Амортизационные отчисления")+SUMIFS('ИП + источники'!AU$27:AU$145,'ИП + источники'!$F$27:$F$145,$F548,'ИП + источники'!$AC$27:$AC$145,"погашение займов и кредитов из амортизации")</f>
        <v>0</v>
      </c>
      <c r="AU548" s="778">
        <f ca="1">SUMIFS('ИП + источники'!AV$27:AV$145,'ИП + источники'!$F$27:$F$145,$F548,'ИП + источники'!$AC$27:$AC$145,"Амортизационные отчисления")+SUMIFS('ИП + источники'!AV$27:AV$145,'ИП + источники'!$F$27:$F$145,$F548,'ИП + источники'!$AC$27:$AC$145,"погашение займов и кредитов из амортизации")</f>
        <v>0</v>
      </c>
      <c r="AV548" s="778">
        <f ca="1">SUMIFS('ИП + источники'!AW$27:AW$145,'ИП + источники'!$F$27:$F$145,$F548,'ИП + источники'!$AC$27:$AC$145,"Амортизационные отчисления")+SUMIFS('ИП + источники'!AW$27:AW$145,'ИП + источники'!$F$27:$F$145,$F548,'ИП + источники'!$AC$27:$AC$145,"погашение займов и кредитов из амортизации")</f>
        <v>0</v>
      </c>
      <c r="AW548" s="128">
        <f ca="1">SUMIFS('ИП + источники'!AX$27:AX$145,'ИП + источники'!$F$27:$F$145,$F548,'ИП + источники'!$AC$27:$AC$145,"Амортизационные отчисления")+SUMIFS('ИП + источники'!AX$27:AX$145,'ИП + источники'!$F$27:$F$145,$F548,'ИП + источники'!$AC$27:$AC$145,"погашение займов и кредитов из амортизации")</f>
        <v>0</v>
      </c>
      <c r="AX548" s="128">
        <f ca="1">SUMIFS('ИП + источники'!AY$27:AY$145,'ИП + источники'!$F$27:$F$145,$F548,'ИП + источники'!$AC$27:$AC$145,"Амортизационные отчисления")+SUMIFS('ИП + источники'!AY$27:AY$145,'ИП + источники'!$F$27:$F$145,$F548,'ИП + источники'!$AC$27:$AC$145,"погашение займов и кредитов из амортизации")</f>
        <v>0</v>
      </c>
      <c r="AY548" s="128">
        <f ca="1">SUMIFS('ИП + источники'!AZ$27:AZ$145,'ИП + источники'!$F$27:$F$145,$F548,'ИП + источники'!$AC$27:$AC$145,"Амортизационные отчисления")+SUMIFS('ИП + источники'!AZ$27:AZ$145,'ИП + источники'!$F$27:$F$145,$F548,'ИП + источники'!$AC$27:$AC$145,"погашение займов и кредитов из амортизации")</f>
        <v>0</v>
      </c>
      <c r="AZ548" s="128">
        <f ca="1">SUMIFS('ИП + источники'!BA$27:BA$145,'ИП + источники'!$F$27:$F$145,$F548,'ИП + источники'!$AC$27:$AC$145,"Амортизационные отчисления")+SUMIFS('ИП + источники'!BA$27:BA$145,'ИП + источники'!$F$27:$F$145,$F548,'ИП + источники'!$AC$27:$AC$145,"погашение займов и кредитов из амортизации")</f>
        <v>0</v>
      </c>
      <c r="BA548" s="128">
        <f ca="1">SUMIFS('ИП + источники'!BB$27:BB$145,'ИП + источники'!$F$27:$F$145,$F548,'ИП + источники'!$AC$27:$AC$145,"Амортизационные отчисления")+SUMIFS('ИП + источники'!BB$27:BB$145,'ИП + источники'!$F$27:$F$145,$F548,'ИП + источники'!$AC$27:$AC$145,"погашение займов и кредитов из амортизации")</f>
        <v>0</v>
      </c>
      <c r="BB548" s="128">
        <f ca="1">SUMIFS('ИП + источники'!BC$27:BC$145,'ИП + источники'!$F$27:$F$145,$F548,'ИП + источники'!$AC$27:$AC$145,"Амортизационные отчисления")+SUMIFS('ИП + источники'!BC$27:BC$145,'ИП + источники'!$F$27:$F$145,$F548,'ИП + источники'!$AC$27:$AC$145,"погашение займов и кредитов из амортизации")</f>
        <v>0</v>
      </c>
      <c r="BC548" s="128">
        <f ca="1">SUMIFS('ИП + источники'!BD$27:BD$145,'ИП + источники'!$F$27:$F$145,$F548,'ИП + источники'!$AC$27:$AC$145,"Амортизационные отчисления")+SUMIFS('ИП + источники'!BD$27:BD$145,'ИП + источники'!$F$27:$F$145,$F548,'ИП + источники'!$AC$27:$AC$145,"погашение займов и кредитов из амортизации")</f>
        <v>0</v>
      </c>
      <c r="BD548" s="171">
        <f t="shared" ca="1" si="153"/>
        <v>0</v>
      </c>
      <c r="BE548" s="171">
        <f t="shared" ca="1" si="154"/>
        <v>0</v>
      </c>
      <c r="BF548" s="171">
        <f t="shared" ca="1" si="155"/>
        <v>0</v>
      </c>
      <c r="BG548" s="171">
        <f t="shared" ca="1" si="156"/>
        <v>0</v>
      </c>
      <c r="BH548" s="171">
        <f t="shared" ca="1" si="157"/>
        <v>0</v>
      </c>
      <c r="BI548" s="171">
        <f t="shared" ca="1" si="158"/>
        <v>0</v>
      </c>
      <c r="BJ548" s="171">
        <f t="shared" ca="1" si="159"/>
        <v>0</v>
      </c>
      <c r="BK548" s="171">
        <f t="shared" ca="1" si="160"/>
        <v>0</v>
      </c>
      <c r="BL548" s="171">
        <f t="shared" ca="1" si="161"/>
        <v>0</v>
      </c>
      <c r="BM548" s="171">
        <f t="shared" ca="1" si="162"/>
        <v>0</v>
      </c>
      <c r="BN548" s="196"/>
      <c r="BO548" s="196"/>
      <c r="BP548" s="196"/>
      <c r="BS548" s="696" t="s">
        <v>1844</v>
      </c>
    </row>
    <row r="549" spans="1:75" s="870" customFormat="1" ht="33.75" customHeight="1" x14ac:dyDescent="0.25">
      <c r="A549" s="76"/>
      <c r="B549" s="329" t="b" cm="1">
        <f t="array" ref="B549">B548</f>
        <v>1</v>
      </c>
      <c r="C549" s="27"/>
      <c r="D549" s="27"/>
      <c r="E549" s="559">
        <v>21</v>
      </c>
      <c r="F549" s="3" t="str" cm="1">
        <f t="array" aca="1" ref="F549" ca="1">OFFSET(E549,-1,1)</f>
        <v>3</v>
      </c>
      <c r="G549" s="25" t="s">
        <v>1513</v>
      </c>
      <c r="H549" s="25"/>
      <c r="I549" s="25" t="s">
        <v>334</v>
      </c>
      <c r="J549" s="27"/>
      <c r="K549" s="72"/>
      <c r="L549" s="27" t="s">
        <v>586</v>
      </c>
      <c r="M549" s="27"/>
      <c r="N549" s="27"/>
      <c r="O549" s="27"/>
      <c r="P549" s="27"/>
      <c r="Q549" s="27"/>
      <c r="R549" s="27"/>
      <c r="S549" s="27"/>
      <c r="T549" s="353" t="b" cm="1">
        <f t="array" aca="1" ref="T549" ca="1">T548</f>
        <v>1</v>
      </c>
      <c r="U549" s="27"/>
      <c r="V549" s="27"/>
      <c r="W549" s="27"/>
      <c r="X549" s="1022"/>
      <c r="Y549" s="76"/>
      <c r="Z549" s="967"/>
      <c r="AA549" s="76"/>
      <c r="AB549" s="124" t="s">
        <v>460</v>
      </c>
      <c r="AC549" s="125" t="s">
        <v>1513</v>
      </c>
      <c r="AD549" s="147" t="s">
        <v>828</v>
      </c>
      <c r="AE549" s="126">
        <f ca="1">AE550+AE551+AE552+AE553</f>
        <v>0</v>
      </c>
      <c r="AF549" s="126">
        <f ca="1">AF550+AF551+AF552+AF553</f>
        <v>0</v>
      </c>
      <c r="AG549" s="126">
        <f ca="1">AG550+AG551+AG552+AG553</f>
        <v>0</v>
      </c>
      <c r="AH549" s="126">
        <f t="shared" ca="1" si="151"/>
        <v>0</v>
      </c>
      <c r="AI549" s="126">
        <f t="shared" ref="AI549:BC549" ca="1" si="166">AI550+AI551+AI552+AI553</f>
        <v>0</v>
      </c>
      <c r="AJ549" s="126">
        <f t="shared" ca="1" si="166"/>
        <v>0</v>
      </c>
      <c r="AK549" s="126">
        <f t="shared" ca="1" si="166"/>
        <v>0</v>
      </c>
      <c r="AL549" s="126">
        <f t="shared" ca="1" si="166"/>
        <v>0</v>
      </c>
      <c r="AM549" s="126">
        <f t="shared" ca="1" si="166"/>
        <v>0</v>
      </c>
      <c r="AN549" s="126">
        <f t="shared" ca="1" si="166"/>
        <v>0</v>
      </c>
      <c r="AO549" s="126">
        <f t="shared" ca="1" si="166"/>
        <v>0</v>
      </c>
      <c r="AP549" s="126">
        <f t="shared" ca="1" si="166"/>
        <v>0</v>
      </c>
      <c r="AQ549" s="126">
        <f t="shared" ca="1" si="166"/>
        <v>0</v>
      </c>
      <c r="AR549" s="126">
        <f t="shared" ca="1" si="166"/>
        <v>0</v>
      </c>
      <c r="AS549" s="126">
        <f t="shared" ca="1" si="166"/>
        <v>0</v>
      </c>
      <c r="AT549" s="126">
        <f t="shared" ca="1" si="166"/>
        <v>0</v>
      </c>
      <c r="AU549" s="126">
        <f t="shared" ca="1" si="166"/>
        <v>0</v>
      </c>
      <c r="AV549" s="126">
        <f t="shared" ca="1" si="166"/>
        <v>0</v>
      </c>
      <c r="AW549" s="126">
        <f t="shared" ca="1" si="166"/>
        <v>0</v>
      </c>
      <c r="AX549" s="126">
        <f t="shared" ca="1" si="166"/>
        <v>0</v>
      </c>
      <c r="AY549" s="126">
        <f t="shared" ca="1" si="166"/>
        <v>0</v>
      </c>
      <c r="AZ549" s="126">
        <f t="shared" ca="1" si="166"/>
        <v>0</v>
      </c>
      <c r="BA549" s="126">
        <f t="shared" ca="1" si="166"/>
        <v>0</v>
      </c>
      <c r="BB549" s="126">
        <f t="shared" ca="1" si="166"/>
        <v>0</v>
      </c>
      <c r="BC549" s="126">
        <f t="shared" ca="1" si="166"/>
        <v>0</v>
      </c>
      <c r="BD549" s="126">
        <f t="shared" ca="1" si="153"/>
        <v>0</v>
      </c>
      <c r="BE549" s="126">
        <f t="shared" ca="1" si="154"/>
        <v>0</v>
      </c>
      <c r="BF549" s="126">
        <f t="shared" ca="1" si="155"/>
        <v>0</v>
      </c>
      <c r="BG549" s="126">
        <f t="shared" ca="1" si="156"/>
        <v>0</v>
      </c>
      <c r="BH549" s="126">
        <f t="shared" ca="1" si="157"/>
        <v>0</v>
      </c>
      <c r="BI549" s="126">
        <f t="shared" ca="1" si="158"/>
        <v>0</v>
      </c>
      <c r="BJ549" s="126">
        <f t="shared" ca="1" si="159"/>
        <v>0</v>
      </c>
      <c r="BK549" s="126">
        <f t="shared" ca="1" si="160"/>
        <v>0</v>
      </c>
      <c r="BL549" s="126">
        <f t="shared" ca="1" si="161"/>
        <v>0</v>
      </c>
      <c r="BM549" s="126">
        <f t="shared" ca="1" si="162"/>
        <v>0</v>
      </c>
      <c r="BN549" s="196"/>
      <c r="BO549" s="196" t="s">
        <v>2257</v>
      </c>
      <c r="BP549" s="196"/>
      <c r="BQ549" s="76"/>
      <c r="BR549" s="76"/>
      <c r="BS549" s="695" t="s">
        <v>1517</v>
      </c>
      <c r="BT549" s="702"/>
      <c r="BU549" s="702"/>
      <c r="BV549" s="511"/>
      <c r="BW549" s="511"/>
    </row>
    <row r="550" spans="1:75" ht="14.25" customHeight="1" x14ac:dyDescent="0.15">
      <c r="B550" s="329" t="b" cm="1">
        <f t="array" ref="B550">B549</f>
        <v>1</v>
      </c>
      <c r="C550" s="25"/>
      <c r="D550" s="25"/>
      <c r="E550" s="451">
        <v>15</v>
      </c>
      <c r="F550" s="3" t="str" cm="1">
        <f t="array" aca="1" ref="F550" ca="1">OFFSET(E550,-1,1)</f>
        <v>3</v>
      </c>
      <c r="G550" s="25"/>
      <c r="H550" s="25"/>
      <c r="I550" s="25" t="s">
        <v>574</v>
      </c>
      <c r="J550" s="25"/>
      <c r="L550" s="25"/>
      <c r="M550" s="25"/>
      <c r="N550" s="25"/>
      <c r="O550" s="25"/>
      <c r="P550" s="25"/>
      <c r="Q550" s="25"/>
      <c r="R550" s="25"/>
      <c r="S550" s="25"/>
      <c r="T550" s="353" t="b" cm="1">
        <f t="array" aca="1" ref="T550" ca="1">T549</f>
        <v>1</v>
      </c>
      <c r="U550" s="25"/>
      <c r="V550" s="25"/>
      <c r="W550" s="25"/>
      <c r="X550" s="1022"/>
      <c r="Z550" s="967"/>
      <c r="AB550" s="7" t="s">
        <v>704</v>
      </c>
      <c r="AC550" s="127" t="s">
        <v>2146</v>
      </c>
      <c r="AD550" s="7" t="s">
        <v>828</v>
      </c>
      <c r="AE550" s="128">
        <f ca="1">SUMIFS('ИП + источники'!AF$27:AF$145,'ИП + источники'!$F$27:$F$145,$F550,'ИП + источники'!$AC$27:$AC$145,"погашение займов и кредитов из нормативной прибыли")</f>
        <v>0</v>
      </c>
      <c r="AF550" s="128">
        <f ca="1">SUMIFS('ИП + источники'!AG$27:AG$145,'ИП + источники'!$F$27:$F$145,$F550,'ИП + источники'!$AC$27:$AC$145,"погашение займов и кредитов из нормативной прибыли")</f>
        <v>0</v>
      </c>
      <c r="AG550" s="128">
        <f ca="1">SUMIFS('ИП + источники'!AH$27:AH$145,'ИП + источники'!$F$27:$F$145,$F550,'ИП + источники'!$AC$27:$AC$145,"погашение займов и кредитов из нормативной прибыли")</f>
        <v>0</v>
      </c>
      <c r="AH550" s="171">
        <f t="shared" ca="1" si="151"/>
        <v>0</v>
      </c>
      <c r="AI550" s="128">
        <f ca="1">SUMIFS('ИП + источники'!AJ$27:AJ$145,'ИП + источники'!$F$27:$F$145,$F550,'ИП + источники'!$AC$27:$AC$145,"погашение займов и кредитов из нормативной прибыли")</f>
        <v>0</v>
      </c>
      <c r="AJ550" s="128">
        <f ca="1">SUMIFS('ИП + источники'!AK$27:AK$145,'ИП + источники'!$F$27:$F$145,$F550,'ИП + источники'!$AC$27:$AC$145,"погашение займов и кредитов из нормативной прибыли")</f>
        <v>0</v>
      </c>
      <c r="AK550" s="778">
        <f ca="1">SUMIFS('ИП + источники'!AL$27:AL$145,'ИП + источники'!$F$27:$F$145,$F550,'ИП + источники'!$AC$27:$AC$145,"погашение займов и кредитов из нормативной прибыли")</f>
        <v>0</v>
      </c>
      <c r="AL550" s="778">
        <f ca="1">SUMIFS('ИП + источники'!AM$27:AM$145,'ИП + источники'!$F$27:$F$145,$F550,'ИП + источники'!$AC$27:$AC$145,"погашение займов и кредитов из нормативной прибыли")</f>
        <v>0</v>
      </c>
      <c r="AM550" s="128">
        <f ca="1">SUMIFS('ИП + источники'!AN$27:AN$145,'ИП + источники'!$F$27:$F$145,$F550,'ИП + источники'!$AC$27:$AC$145,"погашение займов и кредитов из нормативной прибыли")</f>
        <v>0</v>
      </c>
      <c r="AN550" s="128">
        <f ca="1">SUMIFS('ИП + источники'!AO$27:AO$145,'ИП + источники'!$F$27:$F$145,$F550,'ИП + источники'!$AC$27:$AC$145,"погашение займов и кредитов из нормативной прибыли")</f>
        <v>0</v>
      </c>
      <c r="AO550" s="128">
        <f ca="1">SUMIFS('ИП + источники'!AP$27:AP$145,'ИП + источники'!$F$27:$F$145,$F550,'ИП + источники'!$AC$27:$AC$145,"погашение займов и кредитов из нормативной прибыли")</f>
        <v>0</v>
      </c>
      <c r="AP550" s="128">
        <f ca="1">SUMIFS('ИП + источники'!AQ$27:AQ$145,'ИП + источники'!$F$27:$F$145,$F550,'ИП + источники'!$AC$27:$AC$145,"погашение займов и кредитов из нормативной прибыли")</f>
        <v>0</v>
      </c>
      <c r="AQ550" s="128">
        <f ca="1">SUMIFS('ИП + источники'!AR$27:AR$145,'ИП + источники'!$F$27:$F$145,$F550,'ИП + источники'!$AC$27:$AC$145,"погашение займов и кредитов из нормативной прибыли")</f>
        <v>0</v>
      </c>
      <c r="AR550" s="128">
        <f ca="1">SUMIFS('ИП + источники'!AS$27:AS$145,'ИП + источники'!$F$27:$F$145,$F550,'ИП + источники'!$AC$27:$AC$145,"погашение займов и кредитов из нормативной прибыли")</f>
        <v>0</v>
      </c>
      <c r="AS550" s="128">
        <f ca="1">SUMIFS('ИП + источники'!AT$27:AT$145,'ИП + источники'!$F$27:$F$145,$F550,'ИП + источники'!$AC$27:$AC$145,"погашение займов и кредитов из нормативной прибыли")</f>
        <v>0</v>
      </c>
      <c r="AT550" s="128">
        <f ca="1">SUMIFS('ИП + источники'!AU$27:AU$145,'ИП + источники'!$F$27:$F$145,$F550,'ИП + источники'!$AC$27:$AC$145,"погашение займов и кредитов из нормативной прибыли")</f>
        <v>0</v>
      </c>
      <c r="AU550" s="778">
        <f ca="1">SUMIFS('ИП + источники'!AV$27:AV$145,'ИП + источники'!$F$27:$F$145,$F550,'ИП + источники'!$AC$27:$AC$145,"погашение займов и кредитов из нормативной прибыли")</f>
        <v>0</v>
      </c>
      <c r="AV550" s="778">
        <f ca="1">SUMIFS('ИП + источники'!AW$27:AW$145,'ИП + источники'!$F$27:$F$145,$F550,'ИП + источники'!$AC$27:$AC$145,"погашение займов и кредитов из нормативной прибыли")</f>
        <v>0</v>
      </c>
      <c r="AW550" s="128">
        <f ca="1">SUMIFS('ИП + источники'!AX$27:AX$145,'ИП + источники'!$F$27:$F$145,$F550,'ИП + источники'!$AC$27:$AC$145,"погашение займов и кредитов из нормативной прибыли")</f>
        <v>0</v>
      </c>
      <c r="AX550" s="128">
        <f ca="1">SUMIFS('ИП + источники'!AY$27:AY$145,'ИП + источники'!$F$27:$F$145,$F550,'ИП + источники'!$AC$27:$AC$145,"погашение займов и кредитов из нормативной прибыли")</f>
        <v>0</v>
      </c>
      <c r="AY550" s="128">
        <f ca="1">SUMIFS('ИП + источники'!AZ$27:AZ$145,'ИП + источники'!$F$27:$F$145,$F550,'ИП + источники'!$AC$27:$AC$145,"погашение займов и кредитов из нормативной прибыли")</f>
        <v>0</v>
      </c>
      <c r="AZ550" s="128">
        <f ca="1">SUMIFS('ИП + источники'!BA$27:BA$145,'ИП + источники'!$F$27:$F$145,$F550,'ИП + источники'!$AC$27:$AC$145,"погашение займов и кредитов из нормативной прибыли")</f>
        <v>0</v>
      </c>
      <c r="BA550" s="128">
        <f ca="1">SUMIFS('ИП + источники'!BB$27:BB$145,'ИП + источники'!$F$27:$F$145,$F550,'ИП + источники'!$AC$27:$AC$145,"погашение займов и кредитов из нормативной прибыли")</f>
        <v>0</v>
      </c>
      <c r="BB550" s="128">
        <f ca="1">SUMIFS('ИП + источники'!BC$27:BC$145,'ИП + источники'!$F$27:$F$145,$F550,'ИП + источники'!$AC$27:$AC$145,"погашение займов и кредитов из нормативной прибыли")</f>
        <v>0</v>
      </c>
      <c r="BC550" s="128">
        <f ca="1">SUMIFS('ИП + источники'!BD$27:BD$145,'ИП + источники'!$F$27:$F$145,$F550,'ИП + источники'!$AC$27:$AC$145,"погашение займов и кредитов из нормативной прибыли")</f>
        <v>0</v>
      </c>
      <c r="BD550" s="171">
        <f t="shared" ca="1" si="153"/>
        <v>0</v>
      </c>
      <c r="BE550" s="171">
        <f t="shared" ca="1" si="154"/>
        <v>0</v>
      </c>
      <c r="BF550" s="171">
        <f t="shared" ca="1" si="155"/>
        <v>0</v>
      </c>
      <c r="BG550" s="171">
        <f t="shared" ca="1" si="156"/>
        <v>0</v>
      </c>
      <c r="BH550" s="171">
        <f t="shared" ca="1" si="157"/>
        <v>0</v>
      </c>
      <c r="BI550" s="171">
        <f t="shared" ca="1" si="158"/>
        <v>0</v>
      </c>
      <c r="BJ550" s="171">
        <f t="shared" ca="1" si="159"/>
        <v>0</v>
      </c>
      <c r="BK550" s="171">
        <f t="shared" ca="1" si="160"/>
        <v>0</v>
      </c>
      <c r="BL550" s="171">
        <f t="shared" ca="1" si="161"/>
        <v>0</v>
      </c>
      <c r="BM550" s="171">
        <f t="shared" ca="1" si="162"/>
        <v>0</v>
      </c>
      <c r="BN550" s="196"/>
      <c r="BO550" s="601" t="str">
        <f ca="1">IF(IFERROR(INDEX('ИП + источники'!$K$28:$L$145,MATCH($F550&amp;"2komm",'ИП + источники'!$K$28:$K$145,0),2),"")=0,"",IFERROR(INDEX('ИП + источники'!$K$28:$L$145,MATCH($F550&amp;"2komm",'ИП + источники'!$K$28:$K$145,0),2),""))</f>
        <v/>
      </c>
      <c r="BP550" s="196"/>
      <c r="BS550" s="696" t="s">
        <v>2147</v>
      </c>
    </row>
    <row r="551" spans="1:75" ht="14.25" customHeight="1" x14ac:dyDescent="0.15">
      <c r="B551" s="329" t="b" cm="1">
        <f t="array" ref="B551">B550</f>
        <v>1</v>
      </c>
      <c r="C551" s="25"/>
      <c r="D551" s="25"/>
      <c r="E551" s="451">
        <v>15</v>
      </c>
      <c r="F551" s="3" t="str" cm="1">
        <f t="array" aca="1" ref="F551" ca="1">OFFSET(E551,-1,1)</f>
        <v>3</v>
      </c>
      <c r="G551" s="25"/>
      <c r="H551" s="25"/>
      <c r="I551" s="25" t="s">
        <v>578</v>
      </c>
      <c r="J551" s="25"/>
      <c r="L551" s="25"/>
      <c r="M551" s="25"/>
      <c r="N551" s="25"/>
      <c r="O551" s="25"/>
      <c r="P551" s="25"/>
      <c r="Q551" s="25"/>
      <c r="R551" s="25"/>
      <c r="S551" s="25"/>
      <c r="T551" s="353" t="b" cm="1">
        <f t="array" aca="1" ref="T551" ca="1">T550</f>
        <v>1</v>
      </c>
      <c r="U551" s="25"/>
      <c r="V551" s="25"/>
      <c r="W551" s="25"/>
      <c r="X551" s="1022"/>
      <c r="Z551" s="967"/>
      <c r="AB551" s="7" t="s">
        <v>707</v>
      </c>
      <c r="AC551" s="127" t="s">
        <v>2148</v>
      </c>
      <c r="AD551" s="7" t="s">
        <v>828</v>
      </c>
      <c r="AE551" s="128">
        <f ca="1">SUMIFS('ИП + источники'!AF$27:AF$145,'ИП + источники'!$F$27:$F$145,$F551,'ИП + источники'!$AC$27:$AC$145,"уплата процентов по кредитам из нормативной прибыли")</f>
        <v>0</v>
      </c>
      <c r="AF551" s="128">
        <f ca="1">SUMIFS('ИП + источники'!AG$27:AG$145,'ИП + источники'!$F$27:$F$145,$F551,'ИП + источники'!$AC$27:$AC$145,"уплата процентов по кредитам из нормативной прибыли")</f>
        <v>0</v>
      </c>
      <c r="AG551" s="128">
        <f ca="1">SUMIFS('ИП + источники'!AH$27:AH$145,'ИП + источники'!$F$27:$F$145,$F551,'ИП + источники'!$AC$27:$AC$145,"уплата процентов по кредитам из нормативной прибыли")</f>
        <v>0</v>
      </c>
      <c r="AH551" s="171">
        <f t="shared" ca="1" si="151"/>
        <v>0</v>
      </c>
      <c r="AI551" s="128">
        <f ca="1">SUMIFS('ИП + источники'!AJ$27:AJ$145,'ИП + источники'!$F$27:$F$145,$F551,'ИП + источники'!$AC$27:$AC$145,"уплата процентов по кредитам из нормативной прибыли")</f>
        <v>0</v>
      </c>
      <c r="AJ551" s="128">
        <f ca="1">SUMIFS('ИП + источники'!AK$27:AK$145,'ИП + источники'!$F$27:$F$145,$F551,'ИП + источники'!$AC$27:$AC$145,"уплата процентов по кредитам из нормативной прибыли")</f>
        <v>0</v>
      </c>
      <c r="AK551" s="778">
        <f ca="1">SUMIFS('ИП + источники'!AL$27:AL$145,'ИП + источники'!$F$27:$F$145,$F551,'ИП + источники'!$AC$27:$AC$145,"уплата процентов по кредитам из нормативной прибыли")</f>
        <v>0</v>
      </c>
      <c r="AL551" s="778">
        <f ca="1">SUMIFS('ИП + источники'!AM$27:AM$145,'ИП + источники'!$F$27:$F$145,$F551,'ИП + источники'!$AC$27:$AC$145,"уплата процентов по кредитам из нормативной прибыли")</f>
        <v>0</v>
      </c>
      <c r="AM551" s="128">
        <f ca="1">SUMIFS('ИП + источники'!AN$27:AN$145,'ИП + источники'!$F$27:$F$145,$F551,'ИП + источники'!$AC$27:$AC$145,"уплата процентов по кредитам из нормативной прибыли")</f>
        <v>0</v>
      </c>
      <c r="AN551" s="128">
        <f ca="1">SUMIFS('ИП + источники'!AO$27:AO$145,'ИП + источники'!$F$27:$F$145,$F551,'ИП + источники'!$AC$27:$AC$145,"уплата процентов по кредитам из нормативной прибыли")</f>
        <v>0</v>
      </c>
      <c r="AO551" s="128">
        <f ca="1">SUMIFS('ИП + источники'!AP$27:AP$145,'ИП + источники'!$F$27:$F$145,$F551,'ИП + источники'!$AC$27:$AC$145,"уплата процентов по кредитам из нормативной прибыли")</f>
        <v>0</v>
      </c>
      <c r="AP551" s="128">
        <f ca="1">SUMIFS('ИП + источники'!AQ$27:AQ$145,'ИП + источники'!$F$27:$F$145,$F551,'ИП + источники'!$AC$27:$AC$145,"уплата процентов по кредитам из нормативной прибыли")</f>
        <v>0</v>
      </c>
      <c r="AQ551" s="128">
        <f ca="1">SUMIFS('ИП + источники'!AR$27:AR$145,'ИП + источники'!$F$27:$F$145,$F551,'ИП + источники'!$AC$27:$AC$145,"уплата процентов по кредитам из нормативной прибыли")</f>
        <v>0</v>
      </c>
      <c r="AR551" s="128">
        <f ca="1">SUMIFS('ИП + источники'!AS$27:AS$145,'ИП + источники'!$F$27:$F$145,$F551,'ИП + источники'!$AC$27:$AC$145,"уплата процентов по кредитам из нормативной прибыли")</f>
        <v>0</v>
      </c>
      <c r="AS551" s="128">
        <f ca="1">SUMIFS('ИП + источники'!AT$27:AT$145,'ИП + источники'!$F$27:$F$145,$F551,'ИП + источники'!$AC$27:$AC$145,"уплата процентов по кредитам из нормативной прибыли")</f>
        <v>0</v>
      </c>
      <c r="AT551" s="128">
        <f ca="1">SUMIFS('ИП + источники'!AU$27:AU$145,'ИП + источники'!$F$27:$F$145,$F551,'ИП + источники'!$AC$27:$AC$145,"уплата процентов по кредитам из нормативной прибыли")</f>
        <v>0</v>
      </c>
      <c r="AU551" s="778">
        <f ca="1">SUMIFS('ИП + источники'!AV$27:AV$145,'ИП + источники'!$F$27:$F$145,$F551,'ИП + источники'!$AC$27:$AC$145,"уплата процентов по кредитам из нормативной прибыли")</f>
        <v>0</v>
      </c>
      <c r="AV551" s="778">
        <f ca="1">SUMIFS('ИП + источники'!AW$27:AW$145,'ИП + источники'!$F$27:$F$145,$F551,'ИП + источники'!$AC$27:$AC$145,"уплата процентов по кредитам из нормативной прибыли")</f>
        <v>0</v>
      </c>
      <c r="AW551" s="128">
        <f ca="1">SUMIFS('ИП + источники'!AX$27:AX$145,'ИП + источники'!$F$27:$F$145,$F551,'ИП + источники'!$AC$27:$AC$145,"уплата процентов по кредитам из нормативной прибыли")</f>
        <v>0</v>
      </c>
      <c r="AX551" s="128">
        <f ca="1">SUMIFS('ИП + источники'!AY$27:AY$145,'ИП + источники'!$F$27:$F$145,$F551,'ИП + источники'!$AC$27:$AC$145,"уплата процентов по кредитам из нормативной прибыли")</f>
        <v>0</v>
      </c>
      <c r="AY551" s="128">
        <f ca="1">SUMIFS('ИП + источники'!AZ$27:AZ$145,'ИП + источники'!$F$27:$F$145,$F551,'ИП + источники'!$AC$27:$AC$145,"уплата процентов по кредитам из нормативной прибыли")</f>
        <v>0</v>
      </c>
      <c r="AZ551" s="128">
        <f ca="1">SUMIFS('ИП + источники'!BA$27:BA$145,'ИП + источники'!$F$27:$F$145,$F551,'ИП + источники'!$AC$27:$AC$145,"уплата процентов по кредитам из нормативной прибыли")</f>
        <v>0</v>
      </c>
      <c r="BA551" s="128">
        <f ca="1">SUMIFS('ИП + источники'!BB$27:BB$145,'ИП + источники'!$F$27:$F$145,$F551,'ИП + источники'!$AC$27:$AC$145,"уплата процентов по кредитам из нормативной прибыли")</f>
        <v>0</v>
      </c>
      <c r="BB551" s="128">
        <f ca="1">SUMIFS('ИП + источники'!BC$27:BC$145,'ИП + источники'!$F$27:$F$145,$F551,'ИП + источники'!$AC$27:$AC$145,"уплата процентов по кредитам из нормативной прибыли")</f>
        <v>0</v>
      </c>
      <c r="BC551" s="128">
        <f ca="1">SUMIFS('ИП + источники'!BD$27:BD$145,'ИП + источники'!$F$27:$F$145,$F551,'ИП + источники'!$AC$27:$AC$145,"уплата процентов по кредитам из нормативной прибыли")</f>
        <v>0</v>
      </c>
      <c r="BD551" s="171">
        <f t="shared" ca="1" si="153"/>
        <v>0</v>
      </c>
      <c r="BE551" s="171">
        <f t="shared" ca="1" si="154"/>
        <v>0</v>
      </c>
      <c r="BF551" s="171">
        <f t="shared" ca="1" si="155"/>
        <v>0</v>
      </c>
      <c r="BG551" s="171">
        <f t="shared" ca="1" si="156"/>
        <v>0</v>
      </c>
      <c r="BH551" s="171">
        <f t="shared" ca="1" si="157"/>
        <v>0</v>
      </c>
      <c r="BI551" s="171">
        <f t="shared" ca="1" si="158"/>
        <v>0</v>
      </c>
      <c r="BJ551" s="171">
        <f t="shared" ca="1" si="159"/>
        <v>0</v>
      </c>
      <c r="BK551" s="171">
        <f t="shared" ca="1" si="160"/>
        <v>0</v>
      </c>
      <c r="BL551" s="171">
        <f t="shared" ca="1" si="161"/>
        <v>0</v>
      </c>
      <c r="BM551" s="171">
        <f t="shared" ca="1" si="162"/>
        <v>0</v>
      </c>
      <c r="BN551" s="196"/>
      <c r="BO551" s="601" t="str">
        <f ca="1">IF(IFERROR(INDEX('ИП + источники'!$K$28:$L$145,MATCH($F551&amp;"3komm",'ИП + источники'!$K$28:$K$145,0),2),"")=0,"",IFERROR(INDEX('ИП + источники'!$K$28:$L$145,MATCH($F551&amp;"3komm",'ИП + источники'!$K$28:$K$145,0),2),""))</f>
        <v/>
      </c>
      <c r="BP551" s="196"/>
      <c r="BS551" s="696" t="s">
        <v>2149</v>
      </c>
    </row>
    <row r="552" spans="1:75" ht="14.25" customHeight="1" x14ac:dyDescent="0.15">
      <c r="B552" s="329" t="b" cm="1">
        <f t="array" ref="B552">B551</f>
        <v>1</v>
      </c>
      <c r="C552" s="25"/>
      <c r="D552" s="25"/>
      <c r="E552" s="451">
        <v>15</v>
      </c>
      <c r="F552" s="3" t="str" cm="1">
        <f t="array" aca="1" ref="F552" ca="1">OFFSET(E552,-1,1)</f>
        <v>3</v>
      </c>
      <c r="G552" s="25"/>
      <c r="H552" s="25"/>
      <c r="I552" s="25" t="s">
        <v>794</v>
      </c>
      <c r="J552" s="25"/>
      <c r="L552" s="25" t="s">
        <v>593</v>
      </c>
      <c r="M552" s="25"/>
      <c r="N552" s="25"/>
      <c r="O552" s="25"/>
      <c r="P552" s="25"/>
      <c r="Q552" s="25"/>
      <c r="R552" s="25"/>
      <c r="S552" s="25"/>
      <c r="T552" s="353" t="b" cm="1">
        <f t="array" aca="1" ref="T552" ca="1">T551</f>
        <v>1</v>
      </c>
      <c r="U552" s="25"/>
      <c r="V552" s="25"/>
      <c r="W552" s="25"/>
      <c r="X552" s="1022"/>
      <c r="Z552" s="967"/>
      <c r="AB552" s="7" t="s">
        <v>994</v>
      </c>
      <c r="AC552" s="127" t="s">
        <v>2150</v>
      </c>
      <c r="AD552" s="7" t="s">
        <v>828</v>
      </c>
      <c r="AE552" s="128">
        <f ca="1">SUMIFS('ИП + источники'!AF$27:AF$145,'ИП + источники'!$F$27:$F$145,$F552,'ИП + источники'!$AC$27:$AC$145,"Прибыль на капвложения")</f>
        <v>0</v>
      </c>
      <c r="AF552" s="128">
        <f ca="1">SUMIFS('ИП + источники'!AG$27:AG$145,'ИП + источники'!$F$27:$F$145,$F552,'ИП + источники'!$AC$27:$AC$145,"Прибыль на капвложения")</f>
        <v>0</v>
      </c>
      <c r="AG552" s="128">
        <f ca="1">SUMIFS('ИП + источники'!AH$27:AH$145,'ИП + источники'!$F$27:$F$145,$F552,'ИП + источники'!$AC$27:$AC$145,"Прибыль на капвложения")</f>
        <v>0</v>
      </c>
      <c r="AH552" s="171">
        <f t="shared" ca="1" si="151"/>
        <v>0</v>
      </c>
      <c r="AI552" s="128">
        <f ca="1">SUMIFS('ИП + источники'!AJ$27:AJ$145,'ИП + источники'!$F$27:$F$145,$F552,'ИП + источники'!$AC$27:$AC$145,"Прибыль на капвложения")</f>
        <v>0</v>
      </c>
      <c r="AJ552" s="128">
        <f ca="1">SUMIFS('ИП + источники'!AK$27:AK$145,'ИП + источники'!$F$27:$F$145,$F552,'ИП + источники'!$AC$27:$AC$145,"Прибыль на капвложения")</f>
        <v>0</v>
      </c>
      <c r="AK552" s="778">
        <f ca="1">SUMIFS('ИП + источники'!AL$27:AL$145,'ИП + источники'!$F$27:$F$145,$F552,'ИП + источники'!$AC$27:$AC$145,"Прибыль на капвложения")</f>
        <v>0</v>
      </c>
      <c r="AL552" s="778">
        <f ca="1">SUMIFS('ИП + источники'!AM$27:AM$145,'ИП + источники'!$F$27:$F$145,$F552,'ИП + источники'!$AC$27:$AC$145,"Прибыль на капвложения")</f>
        <v>0</v>
      </c>
      <c r="AM552" s="128">
        <f ca="1">SUMIFS('ИП + источники'!AN$27:AN$145,'ИП + источники'!$F$27:$F$145,$F552,'ИП + источники'!$AC$27:$AC$145,"Прибыль на капвложения")</f>
        <v>0</v>
      </c>
      <c r="AN552" s="128">
        <f ca="1">SUMIFS('ИП + источники'!AO$27:AO$145,'ИП + источники'!$F$27:$F$145,$F552,'ИП + источники'!$AC$27:$AC$145,"Прибыль на капвложения")</f>
        <v>0</v>
      </c>
      <c r="AO552" s="128">
        <f ca="1">SUMIFS('ИП + источники'!AP$27:AP$145,'ИП + источники'!$F$27:$F$145,$F552,'ИП + источники'!$AC$27:$AC$145,"Прибыль на капвложения")</f>
        <v>0</v>
      </c>
      <c r="AP552" s="128">
        <f ca="1">SUMIFS('ИП + источники'!AQ$27:AQ$145,'ИП + источники'!$F$27:$F$145,$F552,'ИП + источники'!$AC$27:$AC$145,"Прибыль на капвложения")</f>
        <v>0</v>
      </c>
      <c r="AQ552" s="128">
        <f ca="1">SUMIFS('ИП + источники'!AR$27:AR$145,'ИП + источники'!$F$27:$F$145,$F552,'ИП + источники'!$AC$27:$AC$145,"Прибыль на капвложения")</f>
        <v>0</v>
      </c>
      <c r="AR552" s="128">
        <f ca="1">SUMIFS('ИП + источники'!AS$27:AS$145,'ИП + источники'!$F$27:$F$145,$F552,'ИП + источники'!$AC$27:$AC$145,"Прибыль на капвложения")</f>
        <v>0</v>
      </c>
      <c r="AS552" s="128">
        <f ca="1">SUMIFS('ИП + источники'!AT$27:AT$145,'ИП + источники'!$F$27:$F$145,$F552,'ИП + источники'!$AC$27:$AC$145,"Прибыль на капвложения")</f>
        <v>0</v>
      </c>
      <c r="AT552" s="128">
        <f ca="1">SUMIFS('ИП + источники'!AU$27:AU$145,'ИП + источники'!$F$27:$F$145,$F552,'ИП + источники'!$AC$27:$AC$145,"Прибыль на капвложения")</f>
        <v>0</v>
      </c>
      <c r="AU552" s="778">
        <f ca="1">SUMIFS('ИП + источники'!AV$27:AV$145,'ИП + источники'!$F$27:$F$145,$F552,'ИП + источники'!$AC$27:$AC$145,"Прибыль на капвложения")</f>
        <v>0</v>
      </c>
      <c r="AV552" s="778">
        <f ca="1">SUMIFS('ИП + источники'!AW$27:AW$145,'ИП + источники'!$F$27:$F$145,$F552,'ИП + источники'!$AC$27:$AC$145,"Прибыль на капвложения")</f>
        <v>0</v>
      </c>
      <c r="AW552" s="128">
        <f ca="1">SUMIFS('ИП + источники'!AX$27:AX$145,'ИП + источники'!$F$27:$F$145,$F552,'ИП + источники'!$AC$27:$AC$145,"Прибыль на капвложения")</f>
        <v>0</v>
      </c>
      <c r="AX552" s="128">
        <f ca="1">SUMIFS('ИП + источники'!AY$27:AY$145,'ИП + источники'!$F$27:$F$145,$F552,'ИП + источники'!$AC$27:$AC$145,"Прибыль на капвложения")</f>
        <v>0</v>
      </c>
      <c r="AY552" s="128">
        <f ca="1">SUMIFS('ИП + источники'!AZ$27:AZ$145,'ИП + источники'!$F$27:$F$145,$F552,'ИП + источники'!$AC$27:$AC$145,"Прибыль на капвложения")</f>
        <v>0</v>
      </c>
      <c r="AZ552" s="128">
        <f ca="1">SUMIFS('ИП + источники'!BA$27:BA$145,'ИП + источники'!$F$27:$F$145,$F552,'ИП + источники'!$AC$27:$AC$145,"Прибыль на капвложения")</f>
        <v>0</v>
      </c>
      <c r="BA552" s="128">
        <f ca="1">SUMIFS('ИП + источники'!BB$27:BB$145,'ИП + источники'!$F$27:$F$145,$F552,'ИП + источники'!$AC$27:$AC$145,"Прибыль на капвложения")</f>
        <v>0</v>
      </c>
      <c r="BB552" s="128">
        <f ca="1">SUMIFS('ИП + источники'!BC$27:BC$145,'ИП + источники'!$F$27:$F$145,$F552,'ИП + источники'!$AC$27:$AC$145,"Прибыль на капвложения")</f>
        <v>0</v>
      </c>
      <c r="BC552" s="128">
        <f ca="1">SUMIFS('ИП + источники'!BD$27:BD$145,'ИП + источники'!$F$27:$F$145,$F552,'ИП + источники'!$AC$27:$AC$145,"Прибыль на капвложения")</f>
        <v>0</v>
      </c>
      <c r="BD552" s="171">
        <f t="shared" ca="1" si="153"/>
        <v>0</v>
      </c>
      <c r="BE552" s="171">
        <f t="shared" ca="1" si="154"/>
        <v>0</v>
      </c>
      <c r="BF552" s="171">
        <f t="shared" ca="1" si="155"/>
        <v>0</v>
      </c>
      <c r="BG552" s="171">
        <f t="shared" ca="1" si="156"/>
        <v>0</v>
      </c>
      <c r="BH552" s="171">
        <f t="shared" ca="1" si="157"/>
        <v>0</v>
      </c>
      <c r="BI552" s="171">
        <f t="shared" ca="1" si="158"/>
        <v>0</v>
      </c>
      <c r="BJ552" s="171">
        <f t="shared" ca="1" si="159"/>
        <v>0</v>
      </c>
      <c r="BK552" s="171">
        <f t="shared" ca="1" si="160"/>
        <v>0</v>
      </c>
      <c r="BL552" s="171">
        <f t="shared" ca="1" si="161"/>
        <v>0</v>
      </c>
      <c r="BM552" s="171">
        <f t="shared" ca="1" si="162"/>
        <v>0</v>
      </c>
      <c r="BN552" s="196"/>
      <c r="BO552" s="601" t="str">
        <f ca="1">IF(IFERROR(INDEX('ИП + источники'!$K$28:$L$145,MATCH($F552&amp;"1komm",'ИП + источники'!$K$28:$K$145,0),2),"")=0,"",IFERROR(INDEX('ИП + источники'!$K$28:$L$145,MATCH($F552&amp;"1komm",'ИП + источники'!$K$28:$K$145,0),2),""))</f>
        <v/>
      </c>
      <c r="BP552" s="196"/>
      <c r="BS552" s="696" t="s">
        <v>1851</v>
      </c>
    </row>
    <row r="553" spans="1:75" ht="21.75" customHeight="1" x14ac:dyDescent="0.15">
      <c r="B553" s="329" t="b" cm="1">
        <f t="array" ref="B553">B552</f>
        <v>1</v>
      </c>
      <c r="C553" s="25"/>
      <c r="D553" s="25"/>
      <c r="E553" s="451">
        <v>22.5</v>
      </c>
      <c r="F553" s="3" t="str" cm="1">
        <f t="array" aca="1" ref="F553" ca="1">OFFSET(E553,-1,1)</f>
        <v>3</v>
      </c>
      <c r="G553" s="25" t="s">
        <v>2151</v>
      </c>
      <c r="H553" s="25"/>
      <c r="I553" s="25" t="s">
        <v>996</v>
      </c>
      <c r="J553" s="25"/>
      <c r="L553" s="25" t="s">
        <v>597</v>
      </c>
      <c r="M553" s="25"/>
      <c r="N553" s="25"/>
      <c r="O553" s="25"/>
      <c r="P553" s="25"/>
      <c r="Q553" s="25"/>
      <c r="R553" s="25"/>
      <c r="S553" s="25"/>
      <c r="T553" s="353" t="b" cm="1">
        <f t="array" aca="1" ref="T553" ca="1">T552</f>
        <v>1</v>
      </c>
      <c r="U553" s="25"/>
      <c r="V553" s="25"/>
      <c r="W553" s="25"/>
      <c r="X553" s="1022"/>
      <c r="Z553" s="967"/>
      <c r="AB553" s="7" t="s">
        <v>997</v>
      </c>
      <c r="AC553" s="127" t="s">
        <v>2152</v>
      </c>
      <c r="AD553" s="7" t="s">
        <v>828</v>
      </c>
      <c r="AE553" s="128"/>
      <c r="AF553" s="128"/>
      <c r="AG553" s="128"/>
      <c r="AH553" s="171">
        <f t="shared" si="151"/>
        <v>0</v>
      </c>
      <c r="AI553" s="128"/>
      <c r="AJ553" s="128"/>
      <c r="AK553" s="778"/>
      <c r="AL553" s="778"/>
      <c r="AM553" s="128"/>
      <c r="AN553" s="128"/>
      <c r="AO553" s="128"/>
      <c r="AP553" s="128"/>
      <c r="AQ553" s="128"/>
      <c r="AR553" s="128"/>
      <c r="AS553" s="128"/>
      <c r="AT553" s="128"/>
      <c r="AU553" s="778"/>
      <c r="AV553" s="778"/>
      <c r="AW553" s="128"/>
      <c r="AX553" s="128"/>
      <c r="AY553" s="128"/>
      <c r="AZ553" s="128"/>
      <c r="BA553" s="128"/>
      <c r="BB553" s="128"/>
      <c r="BC553" s="128"/>
      <c r="BD553" s="171">
        <f t="shared" si="153"/>
        <v>0</v>
      </c>
      <c r="BE553" s="171">
        <f t="shared" si="154"/>
        <v>0</v>
      </c>
      <c r="BF553" s="171">
        <f t="shared" si="155"/>
        <v>0</v>
      </c>
      <c r="BG553" s="171">
        <f t="shared" si="156"/>
        <v>0</v>
      </c>
      <c r="BH553" s="171">
        <f t="shared" si="157"/>
        <v>0</v>
      </c>
      <c r="BI553" s="171">
        <f t="shared" si="158"/>
        <v>0</v>
      </c>
      <c r="BJ553" s="171">
        <f t="shared" si="159"/>
        <v>0</v>
      </c>
      <c r="BK553" s="171">
        <f t="shared" si="160"/>
        <v>0</v>
      </c>
      <c r="BL553" s="171">
        <f t="shared" si="161"/>
        <v>0</v>
      </c>
      <c r="BM553" s="171">
        <f t="shared" si="162"/>
        <v>0</v>
      </c>
      <c r="BN553" s="196"/>
      <c r="BO553" s="196"/>
      <c r="BP553" s="196"/>
      <c r="BS553" s="696" t="s">
        <v>2153</v>
      </c>
    </row>
    <row r="554" spans="1:75" ht="14.25" hidden="1" customHeight="1" x14ac:dyDescent="0.15">
      <c r="B554" s="329" t="b">
        <f>AND(method_reg="Метод индексации",STATUS_GO="да")</f>
        <v>0</v>
      </c>
      <c r="C554" s="25"/>
      <c r="D554" s="25"/>
      <c r="E554" s="451">
        <v>15</v>
      </c>
      <c r="F554" s="3" t="str" cm="1">
        <f t="array" aca="1" ref="F554" ca="1">OFFSET(E554,-1,1)</f>
        <v>3</v>
      </c>
      <c r="G554" s="25" t="s">
        <v>1854</v>
      </c>
      <c r="H554" s="25"/>
      <c r="I554" s="25" t="s">
        <v>532</v>
      </c>
      <c r="J554" s="25"/>
      <c r="L554" s="25" t="s">
        <v>601</v>
      </c>
      <c r="M554" s="25"/>
      <c r="N554" s="25"/>
      <c r="O554" s="25"/>
      <c r="P554" s="25"/>
      <c r="Q554" s="25"/>
      <c r="R554" s="25"/>
      <c r="S554" s="25"/>
      <c r="T554" s="353" t="b" cm="1">
        <f t="array" aca="1" ref="T554" ca="1">T553</f>
        <v>1</v>
      </c>
      <c r="U554" s="25"/>
      <c r="V554" s="25"/>
      <c r="W554" s="25"/>
      <c r="X554" s="1022"/>
      <c r="Z554" s="967"/>
      <c r="AB554" s="7" t="s">
        <v>536</v>
      </c>
      <c r="AC554" s="346" t="s">
        <v>1854</v>
      </c>
      <c r="AD554" s="7" t="s">
        <v>828</v>
      </c>
      <c r="AE554" s="778"/>
      <c r="AF554" s="778"/>
      <c r="AG554" s="778"/>
      <c r="AH554" s="171">
        <f t="shared" si="151"/>
        <v>0</v>
      </c>
      <c r="AI554" s="778"/>
      <c r="AJ554" s="128"/>
      <c r="AK554" s="778"/>
      <c r="AL554" s="778"/>
      <c r="AM554" s="778"/>
      <c r="AN554" s="778"/>
      <c r="AO554" s="778"/>
      <c r="AP554" s="778"/>
      <c r="AQ554" s="778"/>
      <c r="AR554" s="778"/>
      <c r="AS554" s="778"/>
      <c r="AT554" s="128"/>
      <c r="AU554" s="778"/>
      <c r="AV554" s="778"/>
      <c r="AW554" s="778"/>
      <c r="AX554" s="778"/>
      <c r="AY554" s="778"/>
      <c r="AZ554" s="778"/>
      <c r="BA554" s="778"/>
      <c r="BB554" s="778"/>
      <c r="BC554" s="778"/>
      <c r="BD554" s="171">
        <f t="shared" si="153"/>
        <v>0</v>
      </c>
      <c r="BE554" s="171">
        <f t="shared" si="154"/>
        <v>0</v>
      </c>
      <c r="BF554" s="171">
        <f t="shared" si="155"/>
        <v>0</v>
      </c>
      <c r="BG554" s="171">
        <f t="shared" si="156"/>
        <v>0</v>
      </c>
      <c r="BH554" s="171">
        <f t="shared" si="157"/>
        <v>0</v>
      </c>
      <c r="BI554" s="171">
        <f t="shared" si="158"/>
        <v>0</v>
      </c>
      <c r="BJ554" s="171">
        <f t="shared" si="159"/>
        <v>0</v>
      </c>
      <c r="BK554" s="171">
        <f t="shared" si="160"/>
        <v>0</v>
      </c>
      <c r="BL554" s="171">
        <f t="shared" si="161"/>
        <v>0</v>
      </c>
      <c r="BM554" s="171">
        <f t="shared" si="162"/>
        <v>0</v>
      </c>
      <c r="BN554" s="775"/>
      <c r="BO554" s="775"/>
      <c r="BP554" s="775"/>
      <c r="BS554" s="696" t="s">
        <v>1855</v>
      </c>
    </row>
    <row r="555" spans="1:75" ht="14.25" hidden="1" customHeight="1" x14ac:dyDescent="0.15">
      <c r="B555" s="580" t="b">
        <f>method_reg="Метод обеспечения доходности инвестированного капитала"</f>
        <v>0</v>
      </c>
      <c r="C555" s="25"/>
      <c r="D555" s="25"/>
      <c r="E555" s="451">
        <v>15</v>
      </c>
      <c r="F555" s="3" t="str" cm="1">
        <f t="array" aca="1" ref="F555" ca="1">OFFSET(E555,-1,1)</f>
        <v>3</v>
      </c>
      <c r="G555" s="25"/>
      <c r="H555" s="25"/>
      <c r="I555" s="25"/>
      <c r="J555" s="25"/>
      <c r="K555" s="25" t="s">
        <v>335</v>
      </c>
      <c r="L555" s="25"/>
      <c r="M555" s="25"/>
      <c r="N555" s="25"/>
      <c r="O555" s="25"/>
      <c r="P555" s="25"/>
      <c r="Q555" s="25"/>
      <c r="R555" s="25"/>
      <c r="S555" s="25"/>
      <c r="T555" s="580" t="b" cm="1">
        <f t="array" aca="1" ref="T555" ca="1">T554</f>
        <v>1</v>
      </c>
      <c r="U555" s="25"/>
      <c r="V555" s="25"/>
      <c r="W555" s="25"/>
      <c r="X555" s="1022"/>
      <c r="Z555" s="967"/>
      <c r="AB555" s="124" t="s">
        <v>454</v>
      </c>
      <c r="AC555" s="132" t="s">
        <v>2154</v>
      </c>
      <c r="AD555" s="124" t="s">
        <v>828</v>
      </c>
      <c r="AE555" s="774"/>
      <c r="AF555" s="774"/>
      <c r="AG555" s="774"/>
      <c r="AH555" s="126">
        <f t="shared" si="151"/>
        <v>0</v>
      </c>
      <c r="AI555" s="774"/>
      <c r="AJ555" s="138"/>
      <c r="AK555" s="774"/>
      <c r="AL555" s="774"/>
      <c r="AM555" s="774"/>
      <c r="AN555" s="774"/>
      <c r="AO555" s="774"/>
      <c r="AP555" s="774"/>
      <c r="AQ555" s="774"/>
      <c r="AR555" s="774"/>
      <c r="AS555" s="774"/>
      <c r="AT555" s="138"/>
      <c r="AU555" s="774"/>
      <c r="AV555" s="774"/>
      <c r="AW555" s="774"/>
      <c r="AX555" s="774"/>
      <c r="AY555" s="774"/>
      <c r="AZ555" s="774"/>
      <c r="BA555" s="774"/>
      <c r="BB555" s="774"/>
      <c r="BC555" s="774"/>
      <c r="BD555" s="126">
        <f t="shared" si="153"/>
        <v>0</v>
      </c>
      <c r="BE555" s="126">
        <f t="shared" si="154"/>
        <v>0</v>
      </c>
      <c r="BF555" s="126">
        <f t="shared" si="155"/>
        <v>0</v>
      </c>
      <c r="BG555" s="126">
        <f t="shared" si="156"/>
        <v>0</v>
      </c>
      <c r="BH555" s="126">
        <f t="shared" si="157"/>
        <v>0</v>
      </c>
      <c r="BI555" s="126">
        <f t="shared" si="158"/>
        <v>0</v>
      </c>
      <c r="BJ555" s="126">
        <f t="shared" si="159"/>
        <v>0</v>
      </c>
      <c r="BK555" s="126">
        <f t="shared" si="160"/>
        <v>0</v>
      </c>
      <c r="BL555" s="126">
        <f t="shared" si="161"/>
        <v>0</v>
      </c>
      <c r="BM555" s="126">
        <f t="shared" si="162"/>
        <v>0</v>
      </c>
      <c r="BN555" s="777"/>
      <c r="BO555" s="777"/>
      <c r="BP555" s="777"/>
      <c r="BS555" s="696" t="s">
        <v>2155</v>
      </c>
    </row>
    <row r="556" spans="1:75" ht="14.25" hidden="1" customHeight="1" x14ac:dyDescent="0.15">
      <c r="B556" s="580" t="b" cm="1">
        <f t="array" ref="B556">B555</f>
        <v>0</v>
      </c>
      <c r="C556" s="25"/>
      <c r="D556" s="25"/>
      <c r="E556" s="451">
        <v>15</v>
      </c>
      <c r="F556" s="3" t="str" cm="1">
        <f t="array" aca="1" ref="F556" ca="1">OFFSET(E556,-1,1)</f>
        <v>3</v>
      </c>
      <c r="G556" s="25"/>
      <c r="H556" s="25"/>
      <c r="I556" s="25"/>
      <c r="J556" s="25"/>
      <c r="K556" s="25" t="s">
        <v>560</v>
      </c>
      <c r="L556" s="25"/>
      <c r="M556" s="25"/>
      <c r="N556" s="25"/>
      <c r="O556" s="25"/>
      <c r="P556" s="25"/>
      <c r="Q556" s="25"/>
      <c r="R556" s="25"/>
      <c r="S556" s="25"/>
      <c r="T556" s="580" t="b" cm="1">
        <f t="array" aca="1" ref="T556" ca="1">T555</f>
        <v>1</v>
      </c>
      <c r="U556" s="25"/>
      <c r="V556" s="25"/>
      <c r="W556" s="25"/>
      <c r="X556" s="1022"/>
      <c r="Z556" s="967"/>
      <c r="AB556" s="7" t="s">
        <v>697</v>
      </c>
      <c r="AC556" s="127" t="s">
        <v>2156</v>
      </c>
      <c r="AD556" s="7" t="s">
        <v>828</v>
      </c>
      <c r="AE556" s="778"/>
      <c r="AF556" s="778"/>
      <c r="AG556" s="778"/>
      <c r="AH556" s="542"/>
      <c r="AI556" s="778"/>
      <c r="AJ556" s="128"/>
      <c r="AK556" s="778"/>
      <c r="AL556" s="778"/>
      <c r="AM556" s="778"/>
      <c r="AN556" s="778"/>
      <c r="AO556" s="778"/>
      <c r="AP556" s="778"/>
      <c r="AQ556" s="778"/>
      <c r="AR556" s="778"/>
      <c r="AS556" s="778"/>
      <c r="AT556" s="128"/>
      <c r="AU556" s="778"/>
      <c r="AV556" s="778"/>
      <c r="AW556" s="778"/>
      <c r="AX556" s="778"/>
      <c r="AY556" s="778"/>
      <c r="AZ556" s="778"/>
      <c r="BA556" s="778"/>
      <c r="BB556" s="778"/>
      <c r="BC556" s="778"/>
      <c r="BD556" s="542"/>
      <c r="BE556" s="542"/>
      <c r="BF556" s="542"/>
      <c r="BG556" s="542"/>
      <c r="BH556" s="542"/>
      <c r="BI556" s="542"/>
      <c r="BJ556" s="542"/>
      <c r="BK556" s="542"/>
      <c r="BL556" s="542"/>
      <c r="BM556" s="542"/>
      <c r="BN556" s="775"/>
      <c r="BO556" s="775"/>
      <c r="BP556" s="775"/>
      <c r="BS556" s="696" t="s">
        <v>2157</v>
      </c>
    </row>
    <row r="557" spans="1:75" ht="14.25" hidden="1" customHeight="1" x14ac:dyDescent="0.15">
      <c r="B557" s="580" t="b" cm="1">
        <f t="array" ref="B557">B556</f>
        <v>0</v>
      </c>
      <c r="C557" s="25"/>
      <c r="D557" s="25"/>
      <c r="E557" s="451">
        <v>15</v>
      </c>
      <c r="F557" s="3" t="str" cm="1">
        <f t="array" aca="1" ref="F557" ca="1">OFFSET(E557,-1,1)</f>
        <v>3</v>
      </c>
      <c r="G557" s="25"/>
      <c r="H557" s="25"/>
      <c r="I557" s="25"/>
      <c r="J557" s="25"/>
      <c r="K557" s="25" t="s">
        <v>564</v>
      </c>
      <c r="L557" s="25"/>
      <c r="M557" s="25"/>
      <c r="N557" s="25"/>
      <c r="O557" s="25"/>
      <c r="P557" s="25"/>
      <c r="Q557" s="25"/>
      <c r="R557" s="25"/>
      <c r="S557" s="25"/>
      <c r="T557" s="580" t="b" cm="1">
        <f t="array" aca="1" ref="T557" ca="1">T556</f>
        <v>1</v>
      </c>
      <c r="U557" s="25"/>
      <c r="V557" s="25"/>
      <c r="W557" s="25"/>
      <c r="X557" s="1022"/>
      <c r="Z557" s="967"/>
      <c r="AB557" s="7" t="s">
        <v>700</v>
      </c>
      <c r="AC557" s="127" t="s">
        <v>2158</v>
      </c>
      <c r="AD557" s="7" t="s">
        <v>2159</v>
      </c>
      <c r="AE557" s="778"/>
      <c r="AF557" s="778"/>
      <c r="AG557" s="778"/>
      <c r="AH557" s="542"/>
      <c r="AI557" s="778"/>
      <c r="AJ557" s="128"/>
      <c r="AK557" s="778"/>
      <c r="AL557" s="778"/>
      <c r="AM557" s="778"/>
      <c r="AN557" s="778"/>
      <c r="AO557" s="778"/>
      <c r="AP557" s="778"/>
      <c r="AQ557" s="778"/>
      <c r="AR557" s="778"/>
      <c r="AS557" s="778"/>
      <c r="AT557" s="128"/>
      <c r="AU557" s="778"/>
      <c r="AV557" s="778"/>
      <c r="AW557" s="778"/>
      <c r="AX557" s="778"/>
      <c r="AY557" s="778"/>
      <c r="AZ557" s="778"/>
      <c r="BA557" s="778"/>
      <c r="BB557" s="778"/>
      <c r="BC557" s="778"/>
      <c r="BD557" s="542"/>
      <c r="BE557" s="542"/>
      <c r="BF557" s="542"/>
      <c r="BG557" s="542"/>
      <c r="BH557" s="542"/>
      <c r="BI557" s="542"/>
      <c r="BJ557" s="542"/>
      <c r="BK557" s="542"/>
      <c r="BL557" s="542"/>
      <c r="BM557" s="542"/>
      <c r="BN557" s="775"/>
      <c r="BO557" s="775"/>
      <c r="BP557" s="775"/>
      <c r="BS557" s="696" t="s">
        <v>2160</v>
      </c>
    </row>
    <row r="558" spans="1:75" ht="14.25" hidden="1" customHeight="1" x14ac:dyDescent="0.15">
      <c r="B558" s="580" t="b" cm="1">
        <f t="array" ref="B558">B557</f>
        <v>0</v>
      </c>
      <c r="C558" s="25"/>
      <c r="D558" s="25"/>
      <c r="E558" s="451">
        <v>15</v>
      </c>
      <c r="F558" s="3" t="str" cm="1">
        <f t="array" aca="1" ref="F558" ca="1">OFFSET(E558,-1,1)</f>
        <v>3</v>
      </c>
      <c r="G558" s="25"/>
      <c r="H558" s="25"/>
      <c r="I558" s="25"/>
      <c r="J558" s="25"/>
      <c r="K558" s="25" t="s">
        <v>334</v>
      </c>
      <c r="L558" s="25"/>
      <c r="M558" s="25"/>
      <c r="N558" s="25"/>
      <c r="O558" s="25"/>
      <c r="P558" s="25"/>
      <c r="Q558" s="25"/>
      <c r="R558" s="25"/>
      <c r="S558" s="25"/>
      <c r="T558" s="580" t="b" cm="1">
        <f t="array" aca="1" ref="T558" ca="1">T557</f>
        <v>1</v>
      </c>
      <c r="U558" s="25"/>
      <c r="V558" s="25"/>
      <c r="W558" s="25"/>
      <c r="X558" s="1022"/>
      <c r="Z558" s="967"/>
      <c r="AB558" s="124" t="s">
        <v>460</v>
      </c>
      <c r="AC558" s="132" t="s">
        <v>2161</v>
      </c>
      <c r="AD558" s="124" t="s">
        <v>828</v>
      </c>
      <c r="AE558" s="774"/>
      <c r="AF558" s="774"/>
      <c r="AG558" s="774"/>
      <c r="AH558" s="126">
        <f>AG558-AF558</f>
        <v>0</v>
      </c>
      <c r="AI558" s="774"/>
      <c r="AJ558" s="138"/>
      <c r="AK558" s="774"/>
      <c r="AL558" s="774"/>
      <c r="AM558" s="774"/>
      <c r="AN558" s="774"/>
      <c r="AO558" s="774"/>
      <c r="AP558" s="774"/>
      <c r="AQ558" s="774"/>
      <c r="AR558" s="774"/>
      <c r="AS558" s="774"/>
      <c r="AT558" s="138"/>
      <c r="AU558" s="774"/>
      <c r="AV558" s="774"/>
      <c r="AW558" s="774"/>
      <c r="AX558" s="774"/>
      <c r="AY558" s="774"/>
      <c r="AZ558" s="774"/>
      <c r="BA558" s="774"/>
      <c r="BB558" s="774"/>
      <c r="BC558" s="774"/>
      <c r="BD558" s="126">
        <f>IF(AI558=0,0,(AT558-AI558)/AI558*100)</f>
        <v>0</v>
      </c>
      <c r="BE558" s="126">
        <f t="shared" ref="BE558:BM558" si="167">IF(AT558=0,0,(AU558-AT558)/AT558*100)</f>
        <v>0</v>
      </c>
      <c r="BF558" s="126">
        <f t="shared" si="167"/>
        <v>0</v>
      </c>
      <c r="BG558" s="126">
        <f t="shared" si="167"/>
        <v>0</v>
      </c>
      <c r="BH558" s="126">
        <f t="shared" si="167"/>
        <v>0</v>
      </c>
      <c r="BI558" s="126">
        <f t="shared" si="167"/>
        <v>0</v>
      </c>
      <c r="BJ558" s="126">
        <f t="shared" si="167"/>
        <v>0</v>
      </c>
      <c r="BK558" s="126">
        <f t="shared" si="167"/>
        <v>0</v>
      </c>
      <c r="BL558" s="126">
        <f t="shared" si="167"/>
        <v>0</v>
      </c>
      <c r="BM558" s="126">
        <f t="shared" si="167"/>
        <v>0</v>
      </c>
      <c r="BN558" s="777"/>
      <c r="BO558" s="777"/>
      <c r="BP558" s="777"/>
      <c r="BS558" s="696" t="s">
        <v>2162</v>
      </c>
    </row>
    <row r="559" spans="1:75" ht="14.25" hidden="1" customHeight="1" x14ac:dyDescent="0.15">
      <c r="B559" s="580" t="b" cm="1">
        <f t="array" ref="B559">B558</f>
        <v>0</v>
      </c>
      <c r="C559" s="25"/>
      <c r="D559" s="25"/>
      <c r="E559" s="451">
        <v>15</v>
      </c>
      <c r="F559" s="3" t="str" cm="1">
        <f t="array" aca="1" ref="F559" ca="1">OFFSET(E559,-1,1)</f>
        <v>3</v>
      </c>
      <c r="G559" s="25"/>
      <c r="H559" s="25"/>
      <c r="I559" s="25"/>
      <c r="J559" s="25"/>
      <c r="K559" s="25" t="s">
        <v>574</v>
      </c>
      <c r="L559" s="25"/>
      <c r="M559" s="25"/>
      <c r="N559" s="25"/>
      <c r="O559" s="25"/>
      <c r="P559" s="25"/>
      <c r="Q559" s="25"/>
      <c r="R559" s="25"/>
      <c r="S559" s="25"/>
      <c r="T559" s="580" t="b" cm="1">
        <f t="array" aca="1" ref="T559" ca="1">T558</f>
        <v>1</v>
      </c>
      <c r="U559" s="25"/>
      <c r="V559" s="25"/>
      <c r="W559" s="25"/>
      <c r="X559" s="1022"/>
      <c r="Z559" s="967"/>
      <c r="AB559" s="7" t="s">
        <v>704</v>
      </c>
      <c r="AC559" s="127" t="s">
        <v>2163</v>
      </c>
      <c r="AD559" s="7" t="s">
        <v>828</v>
      </c>
      <c r="AE559" s="778"/>
      <c r="AF559" s="778"/>
      <c r="AG559" s="778"/>
      <c r="AH559" s="542"/>
      <c r="AI559" s="778"/>
      <c r="AJ559" s="128"/>
      <c r="AK559" s="778"/>
      <c r="AL559" s="778"/>
      <c r="AM559" s="778"/>
      <c r="AN559" s="778"/>
      <c r="AO559" s="778"/>
      <c r="AP559" s="778"/>
      <c r="AQ559" s="778"/>
      <c r="AR559" s="778"/>
      <c r="AS559" s="778"/>
      <c r="AT559" s="128"/>
      <c r="AU559" s="778"/>
      <c r="AV559" s="778"/>
      <c r="AW559" s="778"/>
      <c r="AX559" s="778"/>
      <c r="AY559" s="778"/>
      <c r="AZ559" s="778"/>
      <c r="BA559" s="778"/>
      <c r="BB559" s="778"/>
      <c r="BC559" s="778"/>
      <c r="BD559" s="542"/>
      <c r="BE559" s="542"/>
      <c r="BF559" s="542"/>
      <c r="BG559" s="542"/>
      <c r="BH559" s="542"/>
      <c r="BI559" s="542"/>
      <c r="BJ559" s="542"/>
      <c r="BK559" s="542"/>
      <c r="BL559" s="542"/>
      <c r="BM559" s="542"/>
      <c r="BN559" s="775"/>
      <c r="BO559" s="775"/>
      <c r="BP559" s="775"/>
      <c r="BS559" s="696" t="s">
        <v>2164</v>
      </c>
    </row>
    <row r="560" spans="1:75" ht="14.25" hidden="1" customHeight="1" x14ac:dyDescent="0.15">
      <c r="B560" s="580" t="b" cm="1">
        <f t="array" ref="B560">B559</f>
        <v>0</v>
      </c>
      <c r="C560" s="25"/>
      <c r="D560" s="25"/>
      <c r="E560" s="451">
        <v>15</v>
      </c>
      <c r="F560" s="3" t="str" cm="1">
        <f t="array" aca="1" ref="F560" ca="1">OFFSET(E560,-1,1)</f>
        <v>3</v>
      </c>
      <c r="G560" s="25"/>
      <c r="H560" s="25"/>
      <c r="I560" s="25"/>
      <c r="J560" s="25"/>
      <c r="K560" s="25" t="s">
        <v>578</v>
      </c>
      <c r="L560" s="25"/>
      <c r="M560" s="25"/>
      <c r="N560" s="25"/>
      <c r="O560" s="25"/>
      <c r="P560" s="25"/>
      <c r="Q560" s="25"/>
      <c r="R560" s="25"/>
      <c r="S560" s="25"/>
      <c r="T560" s="580" t="b" cm="1">
        <f t="array" aca="1" ref="T560" ca="1">T559</f>
        <v>1</v>
      </c>
      <c r="U560" s="25"/>
      <c r="V560" s="25"/>
      <c r="W560" s="25"/>
      <c r="X560" s="1022"/>
      <c r="Z560" s="967"/>
      <c r="AB560" s="7" t="s">
        <v>707</v>
      </c>
      <c r="AC560" s="127" t="s">
        <v>2165</v>
      </c>
      <c r="AD560" s="7" t="s">
        <v>476</v>
      </c>
      <c r="AE560" s="778"/>
      <c r="AF560" s="778"/>
      <c r="AG560" s="778"/>
      <c r="AH560" s="542"/>
      <c r="AI560" s="778"/>
      <c r="AJ560" s="128"/>
      <c r="AK560" s="778"/>
      <c r="AL560" s="778"/>
      <c r="AM560" s="778"/>
      <c r="AN560" s="778"/>
      <c r="AO560" s="778"/>
      <c r="AP560" s="778"/>
      <c r="AQ560" s="778"/>
      <c r="AR560" s="778"/>
      <c r="AS560" s="778"/>
      <c r="AT560" s="128"/>
      <c r="AU560" s="778"/>
      <c r="AV560" s="778"/>
      <c r="AW560" s="778"/>
      <c r="AX560" s="778"/>
      <c r="AY560" s="778"/>
      <c r="AZ560" s="778"/>
      <c r="BA560" s="778"/>
      <c r="BB560" s="778"/>
      <c r="BC560" s="778"/>
      <c r="BD560" s="542"/>
      <c r="BE560" s="542"/>
      <c r="BF560" s="542"/>
      <c r="BG560" s="542"/>
      <c r="BH560" s="542"/>
      <c r="BI560" s="542"/>
      <c r="BJ560" s="542"/>
      <c r="BK560" s="542"/>
      <c r="BL560" s="542"/>
      <c r="BM560" s="542"/>
      <c r="BN560" s="775"/>
      <c r="BO560" s="775"/>
      <c r="BP560" s="775"/>
      <c r="BS560" s="696" t="s">
        <v>2166</v>
      </c>
    </row>
    <row r="561" spans="1:75" ht="14.25" hidden="1" customHeight="1" x14ac:dyDescent="0.15">
      <c r="B561" s="580" t="b" cm="1">
        <f t="array" ref="B561">B560</f>
        <v>0</v>
      </c>
      <c r="C561" s="25"/>
      <c r="D561" s="25"/>
      <c r="E561" s="451">
        <v>15</v>
      </c>
      <c r="F561" s="3" t="str" cm="1">
        <f t="array" aca="1" ref="F561" ca="1">OFFSET(E561,-1,1)</f>
        <v>3</v>
      </c>
      <c r="G561" s="25"/>
      <c r="H561" s="25"/>
      <c r="I561" s="25"/>
      <c r="J561" s="25"/>
      <c r="K561" s="25" t="s">
        <v>794</v>
      </c>
      <c r="L561" s="25"/>
      <c r="M561" s="25"/>
      <c r="N561" s="25"/>
      <c r="O561" s="25"/>
      <c r="P561" s="25"/>
      <c r="Q561" s="25"/>
      <c r="R561" s="25"/>
      <c r="S561" s="25"/>
      <c r="T561" s="580" t="b" cm="1">
        <f t="array" aca="1" ref="T561" ca="1">T560</f>
        <v>1</v>
      </c>
      <c r="U561" s="25"/>
      <c r="V561" s="25"/>
      <c r="W561" s="25"/>
      <c r="X561" s="1022"/>
      <c r="Z561" s="967"/>
      <c r="AB561" s="7" t="s">
        <v>994</v>
      </c>
      <c r="AC561" s="127" t="s">
        <v>2167</v>
      </c>
      <c r="AD561" s="7" t="s">
        <v>828</v>
      </c>
      <c r="AE561" s="778"/>
      <c r="AF561" s="778"/>
      <c r="AG561" s="778"/>
      <c r="AH561" s="542"/>
      <c r="AI561" s="778"/>
      <c r="AJ561" s="128"/>
      <c r="AK561" s="778"/>
      <c r="AL561" s="778"/>
      <c r="AM561" s="778"/>
      <c r="AN561" s="778"/>
      <c r="AO561" s="778"/>
      <c r="AP561" s="778"/>
      <c r="AQ561" s="778"/>
      <c r="AR561" s="778"/>
      <c r="AS561" s="778"/>
      <c r="AT561" s="128"/>
      <c r="AU561" s="778"/>
      <c r="AV561" s="778"/>
      <c r="AW561" s="778"/>
      <c r="AX561" s="778"/>
      <c r="AY561" s="778"/>
      <c r="AZ561" s="778"/>
      <c r="BA561" s="778"/>
      <c r="BB561" s="778"/>
      <c r="BC561" s="778"/>
      <c r="BD561" s="542"/>
      <c r="BE561" s="542"/>
      <c r="BF561" s="542"/>
      <c r="BG561" s="542"/>
      <c r="BH561" s="542"/>
      <c r="BI561" s="542"/>
      <c r="BJ561" s="542"/>
      <c r="BK561" s="542"/>
      <c r="BL561" s="542"/>
      <c r="BM561" s="542"/>
      <c r="BN561" s="775"/>
      <c r="BO561" s="775"/>
      <c r="BP561" s="775"/>
      <c r="BS561" s="696" t="s">
        <v>2168</v>
      </c>
    </row>
    <row r="562" spans="1:75" ht="14.25" hidden="1" customHeight="1" x14ac:dyDescent="0.15">
      <c r="B562" s="580" t="b" cm="1">
        <f t="array" ref="B562">B561</f>
        <v>0</v>
      </c>
      <c r="C562" s="25"/>
      <c r="D562" s="25"/>
      <c r="E562" s="451">
        <v>15</v>
      </c>
      <c r="F562" s="3" t="str" cm="1">
        <f t="array" aca="1" ref="F562" ca="1">OFFSET(E562,-1,1)</f>
        <v>3</v>
      </c>
      <c r="G562" s="25"/>
      <c r="H562" s="25"/>
      <c r="I562" s="25"/>
      <c r="J562" s="25"/>
      <c r="K562" s="25" t="s">
        <v>996</v>
      </c>
      <c r="L562" s="25"/>
      <c r="M562" s="25"/>
      <c r="N562" s="25"/>
      <c r="O562" s="25"/>
      <c r="P562" s="25"/>
      <c r="Q562" s="25"/>
      <c r="R562" s="25"/>
      <c r="S562" s="25"/>
      <c r="T562" s="580" t="b" cm="1">
        <f t="array" aca="1" ref="T562" ca="1">T561</f>
        <v>1</v>
      </c>
      <c r="U562" s="25"/>
      <c r="V562" s="25"/>
      <c r="W562" s="25"/>
      <c r="X562" s="1022"/>
      <c r="Z562" s="967"/>
      <c r="AB562" s="7" t="s">
        <v>997</v>
      </c>
      <c r="AC562" s="127" t="s">
        <v>2169</v>
      </c>
      <c r="AD562" s="7" t="s">
        <v>828</v>
      </c>
      <c r="AE562" s="778"/>
      <c r="AF562" s="778"/>
      <c r="AG562" s="778"/>
      <c r="AH562" s="542"/>
      <c r="AI562" s="778"/>
      <c r="AJ562" s="128"/>
      <c r="AK562" s="778"/>
      <c r="AL562" s="778"/>
      <c r="AM562" s="778"/>
      <c r="AN562" s="778"/>
      <c r="AO562" s="778"/>
      <c r="AP562" s="778"/>
      <c r="AQ562" s="778"/>
      <c r="AR562" s="778"/>
      <c r="AS562" s="778"/>
      <c r="AT562" s="128"/>
      <c r="AU562" s="778"/>
      <c r="AV562" s="778"/>
      <c r="AW562" s="778"/>
      <c r="AX562" s="778"/>
      <c r="AY562" s="778"/>
      <c r="AZ562" s="778"/>
      <c r="BA562" s="778"/>
      <c r="BB562" s="778"/>
      <c r="BC562" s="778"/>
      <c r="BD562" s="542"/>
      <c r="BE562" s="542"/>
      <c r="BF562" s="542"/>
      <c r="BG562" s="542"/>
      <c r="BH562" s="542"/>
      <c r="BI562" s="542"/>
      <c r="BJ562" s="542"/>
      <c r="BK562" s="542"/>
      <c r="BL562" s="542"/>
      <c r="BM562" s="542"/>
      <c r="BN562" s="775"/>
      <c r="BO562" s="775"/>
      <c r="BP562" s="775"/>
      <c r="BS562" s="696" t="s">
        <v>2170</v>
      </c>
    </row>
    <row r="563" spans="1:75" ht="14.25" hidden="1" customHeight="1" x14ac:dyDescent="0.15">
      <c r="B563" s="580" t="b" cm="1">
        <f t="array" ref="B563">B562</f>
        <v>0</v>
      </c>
      <c r="C563" s="25"/>
      <c r="D563" s="25"/>
      <c r="E563" s="451">
        <v>15</v>
      </c>
      <c r="F563" s="3" t="str" cm="1">
        <f t="array" aca="1" ref="F563" ca="1">OFFSET(E563,-1,1)</f>
        <v>3</v>
      </c>
      <c r="G563" s="25"/>
      <c r="H563" s="25"/>
      <c r="I563" s="25"/>
      <c r="J563" s="25"/>
      <c r="K563" s="25" t="s">
        <v>2171</v>
      </c>
      <c r="L563" s="25"/>
      <c r="M563" s="25"/>
      <c r="N563" s="25"/>
      <c r="O563" s="25"/>
      <c r="P563" s="25"/>
      <c r="Q563" s="25"/>
      <c r="R563" s="25"/>
      <c r="S563" s="25"/>
      <c r="T563" s="580" t="b" cm="1">
        <f t="array" aca="1" ref="T563" ca="1">T562</f>
        <v>1</v>
      </c>
      <c r="U563" s="25"/>
      <c r="V563" s="25"/>
      <c r="W563" s="25"/>
      <c r="X563" s="1022"/>
      <c r="Z563" s="967"/>
      <c r="AB563" s="7" t="s">
        <v>2172</v>
      </c>
      <c r="AC563" s="134" t="s">
        <v>2173</v>
      </c>
      <c r="AD563" s="7" t="s">
        <v>476</v>
      </c>
      <c r="AE563" s="778"/>
      <c r="AF563" s="778"/>
      <c r="AG563" s="778"/>
      <c r="AH563" s="542"/>
      <c r="AI563" s="778"/>
      <c r="AJ563" s="128"/>
      <c r="AK563" s="778"/>
      <c r="AL563" s="778"/>
      <c r="AM563" s="778"/>
      <c r="AN563" s="778"/>
      <c r="AO563" s="778"/>
      <c r="AP563" s="778"/>
      <c r="AQ563" s="778"/>
      <c r="AR563" s="778"/>
      <c r="AS563" s="778"/>
      <c r="AT563" s="128"/>
      <c r="AU563" s="778"/>
      <c r="AV563" s="778"/>
      <c r="AW563" s="778"/>
      <c r="AX563" s="778"/>
      <c r="AY563" s="778"/>
      <c r="AZ563" s="778"/>
      <c r="BA563" s="778"/>
      <c r="BB563" s="778"/>
      <c r="BC563" s="778"/>
      <c r="BD563" s="542"/>
      <c r="BE563" s="542"/>
      <c r="BF563" s="542"/>
      <c r="BG563" s="542"/>
      <c r="BH563" s="542"/>
      <c r="BI563" s="542"/>
      <c r="BJ563" s="542"/>
      <c r="BK563" s="542"/>
      <c r="BL563" s="542"/>
      <c r="BM563" s="542"/>
      <c r="BN563" s="775"/>
      <c r="BO563" s="775"/>
      <c r="BP563" s="775"/>
      <c r="BS563" s="696" t="s">
        <v>2174</v>
      </c>
    </row>
    <row r="564" spans="1:75" ht="14.25" hidden="1" customHeight="1" x14ac:dyDescent="0.15">
      <c r="B564" s="580" t="b" cm="1">
        <f t="array" ref="B564">B563</f>
        <v>0</v>
      </c>
      <c r="C564" s="25"/>
      <c r="D564" s="25"/>
      <c r="E564" s="451">
        <v>15</v>
      </c>
      <c r="F564" s="3" t="str" cm="1">
        <f t="array" aca="1" ref="F564" ca="1">OFFSET(E564,-1,1)</f>
        <v>3</v>
      </c>
      <c r="G564" s="25"/>
      <c r="H564" s="25"/>
      <c r="I564" s="25"/>
      <c r="J564" s="25"/>
      <c r="K564" s="25" t="s">
        <v>999</v>
      </c>
      <c r="L564" s="25"/>
      <c r="M564" s="25"/>
      <c r="N564" s="25"/>
      <c r="O564" s="25"/>
      <c r="P564" s="25"/>
      <c r="Q564" s="25"/>
      <c r="R564" s="25"/>
      <c r="S564" s="25"/>
      <c r="T564" s="580" t="b" cm="1">
        <f t="array" aca="1" ref="T564" ca="1">T563</f>
        <v>1</v>
      </c>
      <c r="U564" s="25"/>
      <c r="V564" s="25"/>
      <c r="W564" s="25"/>
      <c r="X564" s="1022"/>
      <c r="Z564" s="967"/>
      <c r="AB564" s="7" t="s">
        <v>1000</v>
      </c>
      <c r="AC564" s="127" t="s">
        <v>2175</v>
      </c>
      <c r="AD564" s="7" t="s">
        <v>476</v>
      </c>
      <c r="AE564" s="778"/>
      <c r="AF564" s="778"/>
      <c r="AG564" s="778"/>
      <c r="AH564" s="542"/>
      <c r="AI564" s="778"/>
      <c r="AJ564" s="128"/>
      <c r="AK564" s="778"/>
      <c r="AL564" s="778"/>
      <c r="AM564" s="778"/>
      <c r="AN564" s="778"/>
      <c r="AO564" s="778"/>
      <c r="AP564" s="778"/>
      <c r="AQ564" s="778"/>
      <c r="AR564" s="778"/>
      <c r="AS564" s="778"/>
      <c r="AT564" s="128"/>
      <c r="AU564" s="778"/>
      <c r="AV564" s="778"/>
      <c r="AW564" s="778"/>
      <c r="AX564" s="778"/>
      <c r="AY564" s="778"/>
      <c r="AZ564" s="778"/>
      <c r="BA564" s="778"/>
      <c r="BB564" s="778"/>
      <c r="BC564" s="778"/>
      <c r="BD564" s="542"/>
      <c r="BE564" s="542"/>
      <c r="BF564" s="542"/>
      <c r="BG564" s="542"/>
      <c r="BH564" s="542"/>
      <c r="BI564" s="542"/>
      <c r="BJ564" s="542"/>
      <c r="BK564" s="542"/>
      <c r="BL564" s="542"/>
      <c r="BM564" s="542"/>
      <c r="BN564" s="775"/>
      <c r="BO564" s="775"/>
      <c r="BP564" s="775"/>
      <c r="BS564" s="696" t="s">
        <v>2176</v>
      </c>
    </row>
    <row r="565" spans="1:75" ht="14.25" hidden="1" customHeight="1" x14ac:dyDescent="0.15">
      <c r="B565" s="580" t="b" cm="1">
        <f t="array" ref="B565">B564</f>
        <v>0</v>
      </c>
      <c r="C565" s="25"/>
      <c r="D565" s="25"/>
      <c r="E565" s="451">
        <v>15</v>
      </c>
      <c r="F565" s="3" t="str" cm="1">
        <f t="array" aca="1" ref="F565" ca="1">OFFSET(E565,-1,1)</f>
        <v>3</v>
      </c>
      <c r="G565" s="25"/>
      <c r="H565" s="25"/>
      <c r="I565" s="25"/>
      <c r="J565" s="25"/>
      <c r="K565" s="25" t="s">
        <v>2177</v>
      </c>
      <c r="L565" s="25"/>
      <c r="M565" s="25"/>
      <c r="N565" s="25"/>
      <c r="O565" s="25"/>
      <c r="P565" s="25"/>
      <c r="Q565" s="25"/>
      <c r="R565" s="25"/>
      <c r="S565" s="25"/>
      <c r="T565" s="580" t="b" cm="1">
        <f t="array" aca="1" ref="T565" ca="1">T564</f>
        <v>1</v>
      </c>
      <c r="U565" s="25"/>
      <c r="V565" s="25"/>
      <c r="W565" s="25"/>
      <c r="X565" s="1022"/>
      <c r="Z565" s="967"/>
      <c r="AB565" s="7" t="s">
        <v>2178</v>
      </c>
      <c r="AC565" s="134" t="s">
        <v>2179</v>
      </c>
      <c r="AD565" s="7" t="s">
        <v>476</v>
      </c>
      <c r="AE565" s="778"/>
      <c r="AF565" s="778"/>
      <c r="AG565" s="778"/>
      <c r="AH565" s="542"/>
      <c r="AI565" s="778"/>
      <c r="AJ565" s="128"/>
      <c r="AK565" s="778"/>
      <c r="AL565" s="778"/>
      <c r="AM565" s="778"/>
      <c r="AN565" s="778"/>
      <c r="AO565" s="778"/>
      <c r="AP565" s="778"/>
      <c r="AQ565" s="778"/>
      <c r="AR565" s="778"/>
      <c r="AS565" s="778"/>
      <c r="AT565" s="128"/>
      <c r="AU565" s="778"/>
      <c r="AV565" s="778"/>
      <c r="AW565" s="778"/>
      <c r="AX565" s="778"/>
      <c r="AY565" s="778"/>
      <c r="AZ565" s="778"/>
      <c r="BA565" s="778"/>
      <c r="BB565" s="778"/>
      <c r="BC565" s="778"/>
      <c r="BD565" s="542"/>
      <c r="BE565" s="542"/>
      <c r="BF565" s="542"/>
      <c r="BG565" s="542"/>
      <c r="BH565" s="542"/>
      <c r="BI565" s="542"/>
      <c r="BJ565" s="542"/>
      <c r="BK565" s="542"/>
      <c r="BL565" s="542"/>
      <c r="BM565" s="542"/>
      <c r="BN565" s="775"/>
      <c r="BO565" s="775"/>
      <c r="BP565" s="775"/>
      <c r="BS565" s="696" t="s">
        <v>2180</v>
      </c>
    </row>
    <row r="566" spans="1:75" ht="14.25" hidden="1" customHeight="1" x14ac:dyDescent="0.15">
      <c r="B566" s="580" t="b" cm="1">
        <f t="array" ref="B566">B565</f>
        <v>0</v>
      </c>
      <c r="C566" s="25"/>
      <c r="D566" s="25"/>
      <c r="E566" s="451">
        <v>15</v>
      </c>
      <c r="F566" s="3" t="str" cm="1">
        <f t="array" aca="1" ref="F566" ca="1">OFFSET(E566,-1,1)</f>
        <v>3</v>
      </c>
      <c r="G566" s="25"/>
      <c r="H566" s="25"/>
      <c r="I566" s="25"/>
      <c r="J566" s="25"/>
      <c r="K566" s="25" t="s">
        <v>2181</v>
      </c>
      <c r="L566" s="25"/>
      <c r="M566" s="25"/>
      <c r="N566" s="25"/>
      <c r="O566" s="25"/>
      <c r="P566" s="25"/>
      <c r="Q566" s="25"/>
      <c r="R566" s="25"/>
      <c r="S566" s="25"/>
      <c r="T566" s="580" t="b" cm="1">
        <f t="array" aca="1" ref="T566" ca="1">T565</f>
        <v>1</v>
      </c>
      <c r="U566" s="25"/>
      <c r="V566" s="25"/>
      <c r="W566" s="25"/>
      <c r="X566" s="1022"/>
      <c r="Z566" s="967"/>
      <c r="AB566" s="7" t="s">
        <v>2182</v>
      </c>
      <c r="AC566" s="134" t="s">
        <v>2183</v>
      </c>
      <c r="AD566" s="7" t="s">
        <v>476</v>
      </c>
      <c r="AE566" s="778"/>
      <c r="AF566" s="778"/>
      <c r="AG566" s="778"/>
      <c r="AH566" s="542"/>
      <c r="AI566" s="778"/>
      <c r="AJ566" s="128"/>
      <c r="AK566" s="778"/>
      <c r="AL566" s="778"/>
      <c r="AM566" s="778"/>
      <c r="AN566" s="778"/>
      <c r="AO566" s="778"/>
      <c r="AP566" s="778"/>
      <c r="AQ566" s="778"/>
      <c r="AR566" s="778"/>
      <c r="AS566" s="778"/>
      <c r="AT566" s="128"/>
      <c r="AU566" s="778"/>
      <c r="AV566" s="778"/>
      <c r="AW566" s="778"/>
      <c r="AX566" s="778"/>
      <c r="AY566" s="778"/>
      <c r="AZ566" s="778"/>
      <c r="BA566" s="778"/>
      <c r="BB566" s="778"/>
      <c r="BC566" s="778"/>
      <c r="BD566" s="542"/>
      <c r="BE566" s="542"/>
      <c r="BF566" s="542"/>
      <c r="BG566" s="542"/>
      <c r="BH566" s="542"/>
      <c r="BI566" s="542"/>
      <c r="BJ566" s="542"/>
      <c r="BK566" s="542"/>
      <c r="BL566" s="542"/>
      <c r="BM566" s="542"/>
      <c r="BN566" s="775"/>
      <c r="BO566" s="775"/>
      <c r="BP566" s="775"/>
      <c r="BS566" s="696" t="s">
        <v>2184</v>
      </c>
    </row>
    <row r="567" spans="1:75" s="870" customFormat="1" ht="20.45" customHeight="1" x14ac:dyDescent="0.15">
      <c r="A567" s="76"/>
      <c r="B567" s="332"/>
      <c r="C567" s="27"/>
      <c r="D567" s="27" t="str">
        <f>IF(B566,"6","7")</f>
        <v>7</v>
      </c>
      <c r="E567" s="559">
        <v>21</v>
      </c>
      <c r="F567" s="3" t="str" cm="1">
        <f t="array" aca="1" ref="F567" ca="1">OFFSET(E567,-1,1)</f>
        <v>3</v>
      </c>
      <c r="G567" s="25" t="s">
        <v>2185</v>
      </c>
      <c r="H567" s="25"/>
      <c r="I567" s="283" t="s">
        <v>2186</v>
      </c>
      <c r="J567" s="27"/>
      <c r="K567" s="279" t="s">
        <v>2186</v>
      </c>
      <c r="L567" s="27"/>
      <c r="M567" s="27"/>
      <c r="N567" s="27"/>
      <c r="O567" s="27"/>
      <c r="P567" s="27"/>
      <c r="Q567" s="27"/>
      <c r="R567" s="27"/>
      <c r="S567" s="27"/>
      <c r="T567" s="353" t="b" cm="1">
        <f t="array" aca="1" ref="T567" ca="1">T566</f>
        <v>1</v>
      </c>
      <c r="U567" s="27"/>
      <c r="V567" s="27"/>
      <c r="W567" s="27"/>
      <c r="X567" s="1022"/>
      <c r="Y567" s="76"/>
      <c r="Z567" s="967"/>
      <c r="AA567" s="76"/>
      <c r="AB567" s="124" t="str" cm="1">
        <f t="array" ref="AB567">D567</f>
        <v>7</v>
      </c>
      <c r="AC567" s="132" t="s">
        <v>1598</v>
      </c>
      <c r="AD567" s="124" t="s">
        <v>828</v>
      </c>
      <c r="AE567" s="138">
        <v>269.2</v>
      </c>
      <c r="AF567" s="138"/>
      <c r="AG567" s="138">
        <v>269.20999999999998</v>
      </c>
      <c r="AH567" s="126">
        <f>AG567-AF567</f>
        <v>269.20999999999998</v>
      </c>
      <c r="AI567" s="138">
        <v>-333.75783480960001</v>
      </c>
      <c r="AJ567" s="128">
        <v>20180.601621527599</v>
      </c>
      <c r="AK567" s="774"/>
      <c r="AL567" s="774"/>
      <c r="AM567" s="138"/>
      <c r="AN567" s="138"/>
      <c r="AO567" s="138"/>
      <c r="AP567" s="138"/>
      <c r="AQ567" s="138"/>
      <c r="AR567" s="138"/>
      <c r="AS567" s="138"/>
      <c r="AT567" s="128">
        <v>-3496.0300254938002</v>
      </c>
      <c r="AU567" s="774"/>
      <c r="AV567" s="774"/>
      <c r="AW567" s="138"/>
      <c r="AX567" s="138"/>
      <c r="AY567" s="138"/>
      <c r="AZ567" s="138"/>
      <c r="BA567" s="138"/>
      <c r="BB567" s="138"/>
      <c r="BC567" s="138"/>
      <c r="BD567" s="126">
        <f>IF(AI567=0,0,(AT567-AI567)/AI567*100)</f>
        <v>947.47504354113289</v>
      </c>
      <c r="BE567" s="126">
        <f t="shared" ref="BE567:BM567" si="168">IF(AT567=0,0,(AU567-AT567)/AT567*100)</f>
        <v>-100</v>
      </c>
      <c r="BF567" s="126">
        <f t="shared" si="168"/>
        <v>0</v>
      </c>
      <c r="BG567" s="126">
        <f t="shared" si="168"/>
        <v>0</v>
      </c>
      <c r="BH567" s="126">
        <f t="shared" si="168"/>
        <v>0</v>
      </c>
      <c r="BI567" s="126">
        <f t="shared" si="168"/>
        <v>0</v>
      </c>
      <c r="BJ567" s="126">
        <f t="shared" si="168"/>
        <v>0</v>
      </c>
      <c r="BK567" s="126">
        <f t="shared" si="168"/>
        <v>0</v>
      </c>
      <c r="BL567" s="126">
        <f t="shared" si="168"/>
        <v>0</v>
      </c>
      <c r="BM567" s="126">
        <f t="shared" si="168"/>
        <v>0</v>
      </c>
      <c r="BN567" s="556"/>
      <c r="BO567" s="601" t="str">
        <f ca="1">IF(IFERROR(INDEX('Корректировка НВВ'!$K$26:$L$231,MATCH($F567&amp;"11komm",'Корректировка НВВ'!$K$26:$K$231,0),2),"")=0,"",IFERROR(INDEX('Корректировка НВВ'!$K$26:$L$231,MATCH($F567&amp;"11komm",'Корректировка НВВ'!$K$26:$K$231,0),2),""))</f>
        <v/>
      </c>
      <c r="BP567" s="556"/>
      <c r="BQ567" s="76"/>
      <c r="BR567" s="76"/>
      <c r="BS567" s="702" t="s">
        <v>2187</v>
      </c>
      <c r="BT567" s="702"/>
      <c r="BU567" s="702"/>
      <c r="BV567" s="511"/>
      <c r="BW567" s="511"/>
    </row>
    <row r="568" spans="1:75" ht="14.25" customHeight="1" x14ac:dyDescent="0.15">
      <c r="C568" s="25"/>
      <c r="D568" s="25" t="str" cm="1">
        <f t="array" ref="D568">D567</f>
        <v>7</v>
      </c>
      <c r="E568" s="451">
        <v>15</v>
      </c>
      <c r="F568" s="3" t="str" cm="1">
        <f t="array" aca="1" ref="F568" ca="1">OFFSET(E568,-1,1)</f>
        <v>3</v>
      </c>
      <c r="G568" s="25"/>
      <c r="H568" s="25"/>
      <c r="I568" s="25"/>
      <c r="J568" s="25"/>
      <c r="L568" s="25"/>
      <c r="M568" s="25"/>
      <c r="N568" s="25"/>
      <c r="O568" s="25"/>
      <c r="P568" s="25"/>
      <c r="Q568" s="25"/>
      <c r="R568" s="25"/>
      <c r="S568" s="25"/>
      <c r="T568" s="353" t="b" cm="1">
        <f t="array" aca="1" ref="T568" ca="1">T567</f>
        <v>1</v>
      </c>
      <c r="U568" s="25"/>
      <c r="V568" s="25"/>
      <c r="W568" s="25"/>
      <c r="X568" s="1022"/>
      <c r="Z568" s="967"/>
      <c r="AB568" s="7"/>
      <c r="AC568" s="346" t="s">
        <v>2188</v>
      </c>
      <c r="AD568" s="7"/>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386"/>
      <c r="BO568" s="386"/>
      <c r="BP568" s="386"/>
    </row>
    <row r="569" spans="1:75" ht="23.25" customHeight="1" x14ac:dyDescent="0.15">
      <c r="C569" s="25"/>
      <c r="D569" s="25" t="str" cm="1">
        <f t="array" ref="D569">D568</f>
        <v>7</v>
      </c>
      <c r="E569" s="451">
        <v>22.5</v>
      </c>
      <c r="F569" s="3" t="str" cm="1">
        <f t="array" aca="1" ref="F569" ca="1">OFFSET(E569,-1,1)</f>
        <v>3</v>
      </c>
      <c r="G569" s="25" t="s">
        <v>373</v>
      </c>
      <c r="H569" s="25"/>
      <c r="I569" s="25" t="s">
        <v>535</v>
      </c>
      <c r="J569" s="25"/>
      <c r="K569" s="72" t="s">
        <v>535</v>
      </c>
      <c r="L569" s="25"/>
      <c r="M569" s="25"/>
      <c r="N569" s="25"/>
      <c r="O569" s="25"/>
      <c r="P569" s="25"/>
      <c r="Q569" s="25"/>
      <c r="R569" s="25"/>
      <c r="S569" s="25"/>
      <c r="T569" s="353" t="b" cm="1">
        <f t="array" aca="1" ref="T569" ca="1">T568</f>
        <v>1</v>
      </c>
      <c r="U569" s="25"/>
      <c r="V569" s="25"/>
      <c r="W569" s="25"/>
      <c r="X569" s="1022"/>
      <c r="Z569" s="967"/>
      <c r="AB569" s="7" t="str">
        <f>D569&amp;".1"</f>
        <v>7.1</v>
      </c>
      <c r="AC569" s="127" t="s">
        <v>2189</v>
      </c>
      <c r="AD569" s="7" t="s">
        <v>828</v>
      </c>
      <c r="AE569" s="128">
        <v>0</v>
      </c>
      <c r="AF569" s="128"/>
      <c r="AG569" s="128"/>
      <c r="AH569" s="171">
        <f t="shared" ref="AH569:AH582" si="169">AG569-AF569</f>
        <v>0</v>
      </c>
      <c r="AI569" s="128">
        <v>0</v>
      </c>
      <c r="AJ569" s="128">
        <f ca="1">SUMIFS('Корректировка НВВ'!$AF$25:$AF$231,'Корректировка НВВ'!$F$25:$F$231,$F569,'Корректировка НВВ'!$I$25:$I$231,$G569)</f>
        <v>0</v>
      </c>
      <c r="AK569" s="778"/>
      <c r="AL569" s="778"/>
      <c r="AM569" s="128"/>
      <c r="AN569" s="128"/>
      <c r="AO569" s="128"/>
      <c r="AP569" s="128"/>
      <c r="AQ569" s="128"/>
      <c r="AR569" s="128"/>
      <c r="AS569" s="128"/>
      <c r="AT569" s="128">
        <f ca="1">SUMIFS('Корректировка НВВ'!$AG$25:$AG$231,'Корректировка НВВ'!$F$25:$F$231,$F569,'Корректировка НВВ'!$I$25:$I$231,$G569)</f>
        <v>0</v>
      </c>
      <c r="AU569" s="778"/>
      <c r="AV569" s="778"/>
      <c r="AW569" s="128"/>
      <c r="AX569" s="128"/>
      <c r="AY569" s="128"/>
      <c r="AZ569" s="128"/>
      <c r="BA569" s="128"/>
      <c r="BB569" s="128"/>
      <c r="BC569" s="128"/>
      <c r="BD569" s="542"/>
      <c r="BE569" s="542"/>
      <c r="BF569" s="542"/>
      <c r="BG569" s="542"/>
      <c r="BH569" s="542"/>
      <c r="BI569" s="542"/>
      <c r="BJ569" s="542"/>
      <c r="BK569" s="542"/>
      <c r="BL569" s="542"/>
      <c r="BM569" s="542"/>
      <c r="BN569" s="196"/>
      <c r="BO569" s="601" t="str">
        <f ca="1">IF(IFERROR(INDEX('Корректировка НВВ'!$K$26:$L$231,MATCH($F569&amp;"1komm",'Корректировка НВВ'!$K$26:$K$231,0),2),"")=0,"",IFERROR(INDEX('Корректировка НВВ'!$K$26:$L$231,MATCH($F569&amp;"1komm",'Корректировка НВВ'!$K$26:$K$231,0),2),""))</f>
        <v/>
      </c>
      <c r="BP569" s="196"/>
      <c r="BS569" s="696" t="s">
        <v>2190</v>
      </c>
    </row>
    <row r="570" spans="1:75" ht="233.25" customHeight="1" x14ac:dyDescent="0.15">
      <c r="C570" s="25"/>
      <c r="D570" s="25" t="str" cm="1">
        <f t="array" ref="D570">D569</f>
        <v>7</v>
      </c>
      <c r="E570" s="451">
        <v>101.25</v>
      </c>
      <c r="F570" s="3" t="str" cm="1">
        <f t="array" aca="1" ref="F570" ca="1">OFFSET(E570,-1,1)</f>
        <v>3</v>
      </c>
      <c r="G570" s="25" t="s">
        <v>2191</v>
      </c>
      <c r="H570" s="25"/>
      <c r="I570" s="25" t="s">
        <v>586</v>
      </c>
      <c r="J570" s="25"/>
      <c r="K570" s="72" t="s">
        <v>586</v>
      </c>
      <c r="L570" s="25"/>
      <c r="M570" s="25"/>
      <c r="N570" s="25"/>
      <c r="O570" s="25"/>
      <c r="P570" s="25"/>
      <c r="Q570" s="25"/>
      <c r="R570" s="25"/>
      <c r="S570" s="25"/>
      <c r="T570" s="353" t="b" cm="1">
        <f t="array" aca="1" ref="T570" ca="1">T569</f>
        <v>1</v>
      </c>
      <c r="U570" s="25"/>
      <c r="V570" s="25"/>
      <c r="W570" s="25"/>
      <c r="X570" s="1022"/>
      <c r="Z570" s="967"/>
      <c r="AB570" s="7" t="str">
        <f>D570&amp;".2"</f>
        <v>7.2</v>
      </c>
      <c r="AC570" s="127" t="s">
        <v>2192</v>
      </c>
      <c r="AD570" s="7" t="s">
        <v>828</v>
      </c>
      <c r="AE570" s="128">
        <v>0</v>
      </c>
      <c r="AF570" s="128"/>
      <c r="AG570" s="128"/>
      <c r="AH570" s="171">
        <f t="shared" si="169"/>
        <v>0</v>
      </c>
      <c r="AI570" s="128">
        <v>-775.44314062399997</v>
      </c>
      <c r="AJ570" s="128">
        <f ca="1">SUMIFS('Корректировка НВВ'!$AF$25:$AF$231,'Корректировка НВВ'!$F$25:$F$231,$F570,'Корректировка НВВ'!$I$25:$I$231,$G570)</f>
        <v>0</v>
      </c>
      <c r="AK570" s="778"/>
      <c r="AL570" s="778"/>
      <c r="AM570" s="128"/>
      <c r="AN570" s="128"/>
      <c r="AO570" s="128"/>
      <c r="AP570" s="128"/>
      <c r="AQ570" s="128"/>
      <c r="AR570" s="128"/>
      <c r="AS570" s="128"/>
      <c r="AT570" s="128">
        <v>-856.99615618960001</v>
      </c>
      <c r="AU570" s="778"/>
      <c r="AV570" s="778"/>
      <c r="AW570" s="128"/>
      <c r="AX570" s="128"/>
      <c r="AY570" s="128"/>
      <c r="AZ570" s="128"/>
      <c r="BA570" s="128"/>
      <c r="BB570" s="128"/>
      <c r="BC570" s="128"/>
      <c r="BD570" s="542"/>
      <c r="BE570" s="542"/>
      <c r="BF570" s="542"/>
      <c r="BG570" s="542"/>
      <c r="BH570" s="542"/>
      <c r="BI570" s="542"/>
      <c r="BJ570" s="542"/>
      <c r="BK570" s="542"/>
      <c r="BL570" s="542"/>
      <c r="BM570" s="542"/>
      <c r="BN570" s="196" t="s">
        <v>2314</v>
      </c>
      <c r="BO570" s="601" t="s">
        <v>2259</v>
      </c>
      <c r="BP570" s="196" t="s">
        <v>2315</v>
      </c>
      <c r="BS570" s="696" t="s">
        <v>2193</v>
      </c>
    </row>
    <row r="571" spans="1:75" ht="44.25" customHeight="1" x14ac:dyDescent="0.15">
      <c r="C571" s="25"/>
      <c r="D571" s="25" t="str" cm="1">
        <f t="array" ref="D571">D570</f>
        <v>7</v>
      </c>
      <c r="E571" s="451">
        <v>45</v>
      </c>
      <c r="F571" s="3" t="str" cm="1">
        <f t="array" aca="1" ref="F571" ca="1">OFFSET(E571,-1,1)</f>
        <v>3</v>
      </c>
      <c r="G571" s="25"/>
      <c r="H571" s="25"/>
      <c r="I571" s="25" t="s">
        <v>601</v>
      </c>
      <c r="J571" s="25"/>
      <c r="K571" s="72" t="s">
        <v>601</v>
      </c>
      <c r="L571" s="25"/>
      <c r="M571" s="25"/>
      <c r="N571" s="25"/>
      <c r="O571" s="25"/>
      <c r="P571" s="25"/>
      <c r="Q571" s="25"/>
      <c r="R571" s="25"/>
      <c r="S571" s="25"/>
      <c r="T571" s="353" t="b" cm="1">
        <f t="array" aca="1" ref="T571" ca="1">T570</f>
        <v>1</v>
      </c>
      <c r="U571" s="25"/>
      <c r="V571" s="25"/>
      <c r="W571" s="25"/>
      <c r="X571" s="1022"/>
      <c r="Z571" s="967"/>
      <c r="AB571" s="7" t="str">
        <f>D571&amp;".3"</f>
        <v>7.3</v>
      </c>
      <c r="AC571" s="127" t="s">
        <v>2194</v>
      </c>
      <c r="AD571" s="7" t="s">
        <v>828</v>
      </c>
      <c r="AE571" s="128"/>
      <c r="AF571" s="128"/>
      <c r="AG571" s="128"/>
      <c r="AH571" s="171">
        <f t="shared" si="169"/>
        <v>0</v>
      </c>
      <c r="AI571" s="128">
        <v>-96.714694185599996</v>
      </c>
      <c r="AJ571" s="128">
        <v>20180.601621527599</v>
      </c>
      <c r="AK571" s="778"/>
      <c r="AL571" s="778"/>
      <c r="AM571" s="128"/>
      <c r="AN571" s="128"/>
      <c r="AO571" s="128"/>
      <c r="AP571" s="128"/>
      <c r="AQ571" s="128"/>
      <c r="AR571" s="128"/>
      <c r="AS571" s="128"/>
      <c r="AT571" s="128">
        <v>-535.27386930420005</v>
      </c>
      <c r="AU571" s="778"/>
      <c r="AV571" s="778"/>
      <c r="AW571" s="128"/>
      <c r="AX571" s="128"/>
      <c r="AY571" s="128"/>
      <c r="AZ571" s="128"/>
      <c r="BA571" s="128"/>
      <c r="BB571" s="128"/>
      <c r="BC571" s="128"/>
      <c r="BD571" s="542"/>
      <c r="BE571" s="542"/>
      <c r="BF571" s="542"/>
      <c r="BG571" s="542"/>
      <c r="BH571" s="542"/>
      <c r="BI571" s="542"/>
      <c r="BJ571" s="542"/>
      <c r="BK571" s="542"/>
      <c r="BL571" s="542"/>
      <c r="BM571" s="542"/>
      <c r="BN571" s="196"/>
      <c r="BO571" s="601" t="s">
        <v>2261</v>
      </c>
      <c r="BP571" s="196" t="s">
        <v>2316</v>
      </c>
      <c r="BS571" s="696" t="s">
        <v>2195</v>
      </c>
    </row>
    <row r="572" spans="1:75" ht="87.75" customHeight="1" x14ac:dyDescent="0.25">
      <c r="B572" s="341" t="b">
        <f>S459="Водоотведение"</f>
        <v>1</v>
      </c>
      <c r="C572" s="25"/>
      <c r="D572" s="25" t="str" cm="1">
        <f t="array" ref="D572">D571</f>
        <v>7</v>
      </c>
      <c r="E572" s="451">
        <v>90</v>
      </c>
      <c r="F572" s="3" t="str" cm="1">
        <f t="array" aca="1" ref="F572" ca="1">OFFSET(E572,-1,1)</f>
        <v>3</v>
      </c>
      <c r="G572" s="25" t="s">
        <v>2196</v>
      </c>
      <c r="H572" s="571"/>
      <c r="I572" s="25" t="s">
        <v>770</v>
      </c>
      <c r="J572" s="25"/>
      <c r="K572" s="72" t="s">
        <v>770</v>
      </c>
      <c r="L572" s="25" t="s">
        <v>767</v>
      </c>
      <c r="M572" s="25"/>
      <c r="N572" s="25"/>
      <c r="O572" s="25"/>
      <c r="P572" s="25"/>
      <c r="Q572" s="25"/>
      <c r="R572" s="25"/>
      <c r="S572" s="25"/>
      <c r="T572" s="353" t="b" cm="1">
        <f t="array" aca="1" ref="T572" ca="1">T571</f>
        <v>1</v>
      </c>
      <c r="U572" s="25"/>
      <c r="V572" s="25"/>
      <c r="W572" s="25"/>
      <c r="X572" s="1022"/>
      <c r="Z572" s="967"/>
      <c r="AB572" s="7" t="str">
        <f>D572&amp;".4"</f>
        <v>7.4</v>
      </c>
      <c r="AC572" s="127" t="s">
        <v>1857</v>
      </c>
      <c r="AD572" s="9" t="s">
        <v>828</v>
      </c>
      <c r="AE572" s="128">
        <v>0</v>
      </c>
      <c r="AF572" s="128"/>
      <c r="AG572" s="128"/>
      <c r="AH572" s="171">
        <f t="shared" si="169"/>
        <v>0</v>
      </c>
      <c r="AI572" s="128">
        <v>0</v>
      </c>
      <c r="AJ572" s="128">
        <f ca="1">SUMIFS('Корректировка НВВ'!$AF$25:$AF$231,'Корректировка НВВ'!$F$25:$F$231,$F572,'Корректировка НВВ'!$I$25:$I$231,$G572)</f>
        <v>0</v>
      </c>
      <c r="AK572" s="778"/>
      <c r="AL572" s="778"/>
      <c r="AM572" s="128"/>
      <c r="AN572" s="128"/>
      <c r="AO572" s="128"/>
      <c r="AP572" s="128"/>
      <c r="AQ572" s="128"/>
      <c r="AR572" s="128"/>
      <c r="AS572" s="128"/>
      <c r="AT572" s="128">
        <f ca="1">SUMIFS('Корректировка НВВ'!$AG$25:$AG$231,'Корректировка НВВ'!$F$25:$F$231,$F572,'Корректировка НВВ'!$I$25:$I$231,$G572)</f>
        <v>0</v>
      </c>
      <c r="AU572" s="778"/>
      <c r="AV572" s="778"/>
      <c r="AW572" s="128"/>
      <c r="AX572" s="128"/>
      <c r="AY572" s="128"/>
      <c r="AZ572" s="128"/>
      <c r="BA572" s="128"/>
      <c r="BB572" s="128"/>
      <c r="BC572" s="128"/>
      <c r="BD572" s="542"/>
      <c r="BE572" s="542"/>
      <c r="BF572" s="542"/>
      <c r="BG572" s="542"/>
      <c r="BH572" s="542"/>
      <c r="BI572" s="542"/>
      <c r="BJ572" s="542"/>
      <c r="BK572" s="542"/>
      <c r="BL572" s="542"/>
      <c r="BM572" s="542"/>
      <c r="BN572" s="196"/>
      <c r="BO572" s="601" t="str">
        <f ca="1">IF(IFERROR(INDEX('Корректировка НВВ'!$K$26:$L$231,MATCH($F572&amp;"3komm",'Корректировка НВВ'!$K$26:$K$231,0),2),"")=0,"",IFERROR(INDEX('Корректировка НВВ'!$K$26:$L$231,MATCH($F572&amp;"3komm",'Корректировка НВВ'!$K$26:$K$231,0),2),""))</f>
        <v/>
      </c>
      <c r="BP572" s="196"/>
      <c r="BS572" s="696" t="s">
        <v>1374</v>
      </c>
    </row>
    <row r="573" spans="1:75" ht="54.75" customHeight="1" x14ac:dyDescent="0.25">
      <c r="B573" s="341" t="b" cm="1">
        <f t="array" ref="B573">B572</f>
        <v>1</v>
      </c>
      <c r="C573" s="25"/>
      <c r="D573" s="25" t="str" cm="1">
        <f t="array" ref="D573">D572</f>
        <v>7</v>
      </c>
      <c r="E573" s="451">
        <v>56.25</v>
      </c>
      <c r="F573" s="3" t="str" cm="1">
        <f t="array" aca="1" ref="F573" ca="1">OFFSET(E573,-1,1)</f>
        <v>3</v>
      </c>
      <c r="G573" s="25" t="s">
        <v>2197</v>
      </c>
      <c r="H573" s="571"/>
      <c r="I573" s="25" t="s">
        <v>806</v>
      </c>
      <c r="J573" s="25"/>
      <c r="K573" s="72" t="s">
        <v>806</v>
      </c>
      <c r="L573" s="25" t="s">
        <v>770</v>
      </c>
      <c r="M573" s="25"/>
      <c r="N573" s="25"/>
      <c r="O573" s="25"/>
      <c r="P573" s="25"/>
      <c r="Q573" s="25"/>
      <c r="R573" s="25"/>
      <c r="S573" s="25"/>
      <c r="T573" s="353" t="b" cm="1">
        <f t="array" aca="1" ref="T573" ca="1">T572</f>
        <v>1</v>
      </c>
      <c r="U573" s="25"/>
      <c r="V573" s="25"/>
      <c r="W573" s="25"/>
      <c r="X573" s="1022"/>
      <c r="Z573" s="967"/>
      <c r="AB573" s="7" t="str">
        <f>D573&amp;".5"</f>
        <v>7.5</v>
      </c>
      <c r="AC573" s="127" t="s">
        <v>1859</v>
      </c>
      <c r="AD573" s="9" t="s">
        <v>828</v>
      </c>
      <c r="AE573" s="128">
        <v>0</v>
      </c>
      <c r="AF573" s="128"/>
      <c r="AG573" s="128"/>
      <c r="AH573" s="171">
        <f t="shared" si="169"/>
        <v>0</v>
      </c>
      <c r="AI573" s="128">
        <v>0</v>
      </c>
      <c r="AJ573" s="128">
        <f ca="1">SUMIFS('Корректировка НВВ'!$AF$25:$AF$231,'Корректировка НВВ'!$F$25:$F$231,$F573,'Корректировка НВВ'!$I$25:$I$231,$G573)</f>
        <v>0</v>
      </c>
      <c r="AK573" s="778"/>
      <c r="AL573" s="778"/>
      <c r="AM573" s="128"/>
      <c r="AN573" s="128"/>
      <c r="AO573" s="128"/>
      <c r="AP573" s="128"/>
      <c r="AQ573" s="128"/>
      <c r="AR573" s="128"/>
      <c r="AS573" s="128"/>
      <c r="AT573" s="128">
        <f ca="1">SUMIFS('Корректировка НВВ'!$AG$25:$AG$231,'Корректировка НВВ'!$F$25:$F$231,$F573,'Корректировка НВВ'!$I$25:$I$231,$G573)</f>
        <v>0</v>
      </c>
      <c r="AU573" s="778"/>
      <c r="AV573" s="778"/>
      <c r="AW573" s="128"/>
      <c r="AX573" s="128"/>
      <c r="AY573" s="128"/>
      <c r="AZ573" s="128"/>
      <c r="BA573" s="128"/>
      <c r="BB573" s="128"/>
      <c r="BC573" s="128"/>
      <c r="BD573" s="542"/>
      <c r="BE573" s="542"/>
      <c r="BF573" s="542"/>
      <c r="BG573" s="542"/>
      <c r="BH573" s="542"/>
      <c r="BI573" s="542"/>
      <c r="BJ573" s="542"/>
      <c r="BK573" s="542"/>
      <c r="BL573" s="542"/>
      <c r="BM573" s="542"/>
      <c r="BN573" s="196"/>
      <c r="BO573" s="601" t="str">
        <f ca="1">IF(IFERROR(INDEX('Корректировка НВВ'!$K$26:$L$231,MATCH($F573&amp;"4komm",'Корректировка НВВ'!$K$26:$K$231,0),2),"")=0,"",IFERROR(INDEX('Корректировка НВВ'!$K$26:$L$231,MATCH($F573&amp;"4komm",'Корректировка НВВ'!$K$26:$K$231,0),2),""))</f>
        <v/>
      </c>
      <c r="BP573" s="196"/>
      <c r="BS573" s="696" t="s">
        <v>1378</v>
      </c>
    </row>
    <row r="574" spans="1:75" ht="107.25" customHeight="1" x14ac:dyDescent="0.15">
      <c r="B574" s="46"/>
      <c r="C574" s="25"/>
      <c r="D574" s="25" t="str" cm="1">
        <f t="array" ref="D574">D573</f>
        <v>7</v>
      </c>
      <c r="E574" s="451">
        <v>15</v>
      </c>
      <c r="F574" s="3" t="str" cm="1">
        <f t="array" aca="1" ref="F574" ca="1">OFFSET(E574,-1,1)</f>
        <v>3</v>
      </c>
      <c r="G574" s="25" t="s">
        <v>2198</v>
      </c>
      <c r="H574" s="25"/>
      <c r="I574" s="25" t="s">
        <v>807</v>
      </c>
      <c r="J574" s="25"/>
      <c r="K574" s="72" t="s">
        <v>807</v>
      </c>
      <c r="L574" s="25" t="s">
        <v>806</v>
      </c>
      <c r="M574" s="25"/>
      <c r="N574" s="25"/>
      <c r="O574" s="25"/>
      <c r="P574" s="25"/>
      <c r="Q574" s="25"/>
      <c r="R574" s="25"/>
      <c r="S574" s="25"/>
      <c r="T574" s="353" t="b" cm="1">
        <f t="array" aca="1" ref="T574" ca="1">T573</f>
        <v>1</v>
      </c>
      <c r="U574" s="25"/>
      <c r="V574" s="25"/>
      <c r="W574" s="25"/>
      <c r="X574" s="1022"/>
      <c r="Z574" s="967"/>
      <c r="AB574" s="7" t="str">
        <f>IF(B573,D574&amp;".6",D574&amp;".4")</f>
        <v>7.6</v>
      </c>
      <c r="AC574" s="127" t="s">
        <v>1591</v>
      </c>
      <c r="AD574" s="7" t="s">
        <v>828</v>
      </c>
      <c r="AE574" s="128">
        <v>269.2</v>
      </c>
      <c r="AF574" s="128"/>
      <c r="AG574" s="128">
        <v>269.2</v>
      </c>
      <c r="AH574" s="171">
        <f t="shared" si="169"/>
        <v>269.2</v>
      </c>
      <c r="AI574" s="128">
        <v>538.4</v>
      </c>
      <c r="AJ574" s="128">
        <v>1320.6009442879999</v>
      </c>
      <c r="AK574" s="778"/>
      <c r="AL574" s="778"/>
      <c r="AM574" s="128"/>
      <c r="AN574" s="128"/>
      <c r="AO574" s="128"/>
      <c r="AP574" s="128"/>
      <c r="AQ574" s="128"/>
      <c r="AR574" s="128"/>
      <c r="AS574" s="128"/>
      <c r="AT574" s="128">
        <f ca="1">SUMIFS('Корректировка НВВ'!$AG$25:$AG$231,'Корректировка НВВ'!$F$25:$F$231,$F574,'Корректировка НВВ'!$I$25:$I$231,$G574)</f>
        <v>0</v>
      </c>
      <c r="AU574" s="778"/>
      <c r="AV574" s="778"/>
      <c r="AW574" s="128"/>
      <c r="AX574" s="128"/>
      <c r="AY574" s="128"/>
      <c r="AZ574" s="128"/>
      <c r="BA574" s="128"/>
      <c r="BB574" s="128"/>
      <c r="BC574" s="128"/>
      <c r="BD574" s="542"/>
      <c r="BE574" s="542"/>
      <c r="BF574" s="542"/>
      <c r="BG574" s="542"/>
      <c r="BH574" s="542"/>
      <c r="BI574" s="542"/>
      <c r="BJ574" s="542"/>
      <c r="BK574" s="542"/>
      <c r="BL574" s="542"/>
      <c r="BM574" s="542"/>
      <c r="BN574" s="196" t="s">
        <v>2317</v>
      </c>
      <c r="BO574" s="601" t="s">
        <v>2289</v>
      </c>
      <c r="BP574" s="196" t="s">
        <v>2318</v>
      </c>
      <c r="BS574" s="696" t="s">
        <v>2199</v>
      </c>
    </row>
    <row r="575" spans="1:75" ht="14.65" customHeight="1" x14ac:dyDescent="0.15">
      <c r="C575" s="25"/>
      <c r="D575" s="25" t="str" cm="1">
        <f t="array" ref="D575">D574</f>
        <v>7</v>
      </c>
      <c r="E575" s="451">
        <v>15</v>
      </c>
      <c r="F575" s="3" t="str" cm="1">
        <f t="array" aca="1" ref="F575" ca="1">OFFSET(E575,-1,1)</f>
        <v>3</v>
      </c>
      <c r="G575" s="25" t="s">
        <v>2200</v>
      </c>
      <c r="H575" s="25"/>
      <c r="I575" s="25" t="s">
        <v>1869</v>
      </c>
      <c r="J575" s="25"/>
      <c r="K575" s="72" t="s">
        <v>1869</v>
      </c>
      <c r="L575" s="25" t="s">
        <v>807</v>
      </c>
      <c r="M575" s="25"/>
      <c r="N575" s="25"/>
      <c r="O575" s="25"/>
      <c r="P575" s="25"/>
      <c r="Q575" s="25"/>
      <c r="R575" s="25"/>
      <c r="S575" s="25"/>
      <c r="T575" s="353" t="b" cm="1">
        <f t="array" aca="1" ref="T575" ca="1">T574</f>
        <v>1</v>
      </c>
      <c r="U575" s="25"/>
      <c r="V575" s="25"/>
      <c r="W575" s="25"/>
      <c r="X575" s="1022"/>
      <c r="Z575" s="967"/>
      <c r="AB575" s="7" t="str">
        <f>IF(B573,D574&amp;".7",D574&amp;".5")</f>
        <v>7.7</v>
      </c>
      <c r="AC575" s="127" t="s">
        <v>1553</v>
      </c>
      <c r="AD575" s="7" t="s">
        <v>828</v>
      </c>
      <c r="AE575" s="128">
        <f>AE576+AE577</f>
        <v>0</v>
      </c>
      <c r="AF575" s="128">
        <f>AF576+AF577</f>
        <v>0</v>
      </c>
      <c r="AG575" s="128">
        <f>AG576+AG577</f>
        <v>0</v>
      </c>
      <c r="AH575" s="171">
        <f t="shared" si="169"/>
        <v>0</v>
      </c>
      <c r="AI575" s="128">
        <f>AI576+AI577</f>
        <v>0</v>
      </c>
      <c r="AJ575" s="128">
        <f ca="1">SUMIFS('Корректировка НВВ'!$AF$25:$AF$231,'Корректировка НВВ'!$F$25:$F$231,$F575,'Корректировка НВВ'!$I$25:$I$231,$G575)</f>
        <v>0</v>
      </c>
      <c r="AK575" s="778">
        <f t="shared" ref="AK575:AS575" si="170">AK576+AK577</f>
        <v>0</v>
      </c>
      <c r="AL575" s="778">
        <f t="shared" si="170"/>
        <v>0</v>
      </c>
      <c r="AM575" s="128">
        <f t="shared" si="170"/>
        <v>0</v>
      </c>
      <c r="AN575" s="128">
        <f t="shared" si="170"/>
        <v>0</v>
      </c>
      <c r="AO575" s="128">
        <f t="shared" si="170"/>
        <v>0</v>
      </c>
      <c r="AP575" s="128">
        <f t="shared" si="170"/>
        <v>0</v>
      </c>
      <c r="AQ575" s="128">
        <f t="shared" si="170"/>
        <v>0</v>
      </c>
      <c r="AR575" s="128">
        <f t="shared" si="170"/>
        <v>0</v>
      </c>
      <c r="AS575" s="128">
        <f t="shared" si="170"/>
        <v>0</v>
      </c>
      <c r="AT575" s="128">
        <v>2103.77</v>
      </c>
      <c r="AU575" s="778">
        <f t="shared" ref="AU575:BC575" si="171">AU576+AU577</f>
        <v>0</v>
      </c>
      <c r="AV575" s="778">
        <f t="shared" si="171"/>
        <v>0</v>
      </c>
      <c r="AW575" s="128">
        <f t="shared" si="171"/>
        <v>0</v>
      </c>
      <c r="AX575" s="128">
        <f t="shared" si="171"/>
        <v>0</v>
      </c>
      <c r="AY575" s="128">
        <f t="shared" si="171"/>
        <v>0</v>
      </c>
      <c r="AZ575" s="128">
        <f t="shared" si="171"/>
        <v>0</v>
      </c>
      <c r="BA575" s="128">
        <f t="shared" si="171"/>
        <v>0</v>
      </c>
      <c r="BB575" s="128">
        <f t="shared" si="171"/>
        <v>0</v>
      </c>
      <c r="BC575" s="128">
        <f t="shared" si="171"/>
        <v>0</v>
      </c>
      <c r="BD575" s="171">
        <f>IF(AI575=0,0,(AT575-AI575)/AI575*100)</f>
        <v>0</v>
      </c>
      <c r="BE575" s="171">
        <f t="shared" ref="BE575:BM575" si="172">IF(AT575=0,0,(AU575-AT575)/AT575*100)</f>
        <v>-100</v>
      </c>
      <c r="BF575" s="171">
        <f t="shared" si="172"/>
        <v>0</v>
      </c>
      <c r="BG575" s="171">
        <f t="shared" si="172"/>
        <v>0</v>
      </c>
      <c r="BH575" s="171">
        <f t="shared" si="172"/>
        <v>0</v>
      </c>
      <c r="BI575" s="171">
        <f t="shared" si="172"/>
        <v>0</v>
      </c>
      <c r="BJ575" s="171">
        <f t="shared" si="172"/>
        <v>0</v>
      </c>
      <c r="BK575" s="171">
        <f t="shared" si="172"/>
        <v>0</v>
      </c>
      <c r="BL575" s="171">
        <f t="shared" si="172"/>
        <v>0</v>
      </c>
      <c r="BM575" s="171">
        <f t="shared" si="172"/>
        <v>0</v>
      </c>
      <c r="BN575" s="196"/>
      <c r="BO575" s="601" t="str">
        <f ca="1">IF(IFERROR(INDEX('Корректировка НВВ'!$K$26:$L$231,MATCH($F575&amp;"6komm",'Корректировка НВВ'!$K$26:$K$231,0),2),"")=0,"",IFERROR(INDEX('Корректировка НВВ'!$K$26:$L$231,MATCH($F575&amp;"6komm",'Корректировка НВВ'!$K$26:$K$231,0),2),""))</f>
        <v/>
      </c>
      <c r="BP575" s="196"/>
      <c r="BS575" s="696" t="s">
        <v>1555</v>
      </c>
    </row>
    <row r="576" spans="1:75" ht="243.75" customHeight="1" x14ac:dyDescent="0.15">
      <c r="C576" s="25"/>
      <c r="D576" s="25" t="str" cm="1">
        <f t="array" ref="D576">D575</f>
        <v>7</v>
      </c>
      <c r="E576" s="451">
        <v>22.5</v>
      </c>
      <c r="F576" s="3" t="str" cm="1">
        <f t="array" aca="1" ref="F576" ca="1">OFFSET(E576,-1,1)</f>
        <v>3</v>
      </c>
      <c r="G576" s="25" t="s">
        <v>2201</v>
      </c>
      <c r="H576" s="25"/>
      <c r="I576" s="25" t="s">
        <v>2202</v>
      </c>
      <c r="J576" s="25"/>
      <c r="K576" s="72" t="s">
        <v>2202</v>
      </c>
      <c r="L576" s="25" t="s">
        <v>1864</v>
      </c>
      <c r="M576" s="25"/>
      <c r="N576" s="25"/>
      <c r="O576" s="25"/>
      <c r="P576" s="25"/>
      <c r="Q576" s="25"/>
      <c r="R576" s="25"/>
      <c r="S576" s="25"/>
      <c r="T576" s="353" t="b" cm="1">
        <f t="array" aca="1" ref="T576" ca="1">T575</f>
        <v>1</v>
      </c>
      <c r="U576" s="25"/>
      <c r="V576" s="25"/>
      <c r="W576" s="25"/>
      <c r="X576" s="1022"/>
      <c r="Z576" s="967"/>
      <c r="AB576" s="7" t="str">
        <f>AB575&amp;".1"</f>
        <v>7.7.1</v>
      </c>
      <c r="AC576" s="549" t="s">
        <v>1556</v>
      </c>
      <c r="AD576" s="7" t="s">
        <v>828</v>
      </c>
      <c r="AE576" s="128"/>
      <c r="AF576" s="128"/>
      <c r="AG576" s="128"/>
      <c r="AH576" s="171">
        <f t="shared" si="169"/>
        <v>0</v>
      </c>
      <c r="AI576" s="128">
        <v>0</v>
      </c>
      <c r="AJ576" s="128">
        <f ca="1">SUMIFS('Корректировка НВВ'!$AF$25:$AF$231,'Корректировка НВВ'!$F$25:$F$231,$F576,'Корректировка НВВ'!$I$25:$I$231,$G576)</f>
        <v>0</v>
      </c>
      <c r="AK576" s="778"/>
      <c r="AL576" s="778"/>
      <c r="AM576" s="128"/>
      <c r="AN576" s="128"/>
      <c r="AO576" s="128"/>
      <c r="AP576" s="128"/>
      <c r="AQ576" s="128"/>
      <c r="AR576" s="128"/>
      <c r="AS576" s="128"/>
      <c r="AT576" s="128">
        <v>2103.77</v>
      </c>
      <c r="AU576" s="778"/>
      <c r="AV576" s="778"/>
      <c r="AW576" s="128"/>
      <c r="AX576" s="128"/>
      <c r="AY576" s="128"/>
      <c r="AZ576" s="128"/>
      <c r="BA576" s="128"/>
      <c r="BB576" s="128"/>
      <c r="BC576" s="128"/>
      <c r="BD576" s="542"/>
      <c r="BE576" s="542"/>
      <c r="BF576" s="542"/>
      <c r="BG576" s="542"/>
      <c r="BH576" s="542"/>
      <c r="BI576" s="542"/>
      <c r="BJ576" s="542"/>
      <c r="BK576" s="542"/>
      <c r="BL576" s="542"/>
      <c r="BM576" s="542"/>
      <c r="BN576" s="196" t="s">
        <v>2307</v>
      </c>
      <c r="BO576" s="601" t="s">
        <v>2291</v>
      </c>
      <c r="BP576" s="196" t="s">
        <v>2319</v>
      </c>
      <c r="BS576" s="696" t="s">
        <v>1557</v>
      </c>
    </row>
    <row r="577" spans="1:75" ht="21.95" customHeight="1" x14ac:dyDescent="0.15">
      <c r="C577" s="25"/>
      <c r="D577" s="25" t="str" cm="1">
        <f t="array" ref="D577">D576</f>
        <v>7</v>
      </c>
      <c r="E577" s="451">
        <v>22.5</v>
      </c>
      <c r="F577" s="3" t="str" cm="1">
        <f t="array" aca="1" ref="F577" ca="1">OFFSET(E577,-1,1)</f>
        <v>3</v>
      </c>
      <c r="G577" s="25" t="s">
        <v>2203</v>
      </c>
      <c r="H577" s="25"/>
      <c r="I577" s="25" t="s">
        <v>2204</v>
      </c>
      <c r="J577" s="25"/>
      <c r="K577" s="72" t="s">
        <v>2204</v>
      </c>
      <c r="L577" s="25" t="s">
        <v>1866</v>
      </c>
      <c r="M577" s="25"/>
      <c r="N577" s="25"/>
      <c r="O577" s="25"/>
      <c r="P577" s="25"/>
      <c r="Q577" s="25"/>
      <c r="R577" s="25"/>
      <c r="S577" s="25"/>
      <c r="T577" s="353" t="b" cm="1">
        <f t="array" aca="1" ref="T577" ca="1">T576</f>
        <v>1</v>
      </c>
      <c r="U577" s="25"/>
      <c r="V577" s="25"/>
      <c r="W577" s="25"/>
      <c r="X577" s="1022"/>
      <c r="Z577" s="967"/>
      <c r="AB577" s="7" t="str">
        <f>AB575&amp;".2"</f>
        <v>7.7.2</v>
      </c>
      <c r="AC577" s="549" t="s">
        <v>1558</v>
      </c>
      <c r="AD577" s="7" t="s">
        <v>828</v>
      </c>
      <c r="AE577" s="128"/>
      <c r="AF577" s="128"/>
      <c r="AG577" s="128"/>
      <c r="AH577" s="171">
        <f t="shared" si="169"/>
        <v>0</v>
      </c>
      <c r="AI577" s="128">
        <v>0</v>
      </c>
      <c r="AJ577" s="128">
        <f ca="1">SUMIFS('Корректировка НВВ'!$AF$25:$AF$231,'Корректировка НВВ'!$F$25:$F$231,$F577,'Корректировка НВВ'!$I$25:$I$231,$G577)</f>
        <v>0</v>
      </c>
      <c r="AK577" s="778"/>
      <c r="AL577" s="778"/>
      <c r="AM577" s="128"/>
      <c r="AN577" s="128"/>
      <c r="AO577" s="128"/>
      <c r="AP577" s="128"/>
      <c r="AQ577" s="128"/>
      <c r="AR577" s="128"/>
      <c r="AS577" s="128"/>
      <c r="AT577" s="128">
        <f ca="1">SUMIFS('Корректировка НВВ'!$AG$25:$AG$231,'Корректировка НВВ'!$F$25:$F$231,$F577,'Корректировка НВВ'!$I$25:$I$231,$G577)</f>
        <v>0</v>
      </c>
      <c r="AU577" s="778"/>
      <c r="AV577" s="778"/>
      <c r="AW577" s="128"/>
      <c r="AX577" s="128"/>
      <c r="AY577" s="128"/>
      <c r="AZ577" s="128"/>
      <c r="BA577" s="128"/>
      <c r="BB577" s="128"/>
      <c r="BC577" s="128"/>
      <c r="BD577" s="542"/>
      <c r="BE577" s="542"/>
      <c r="BF577" s="542"/>
      <c r="BG577" s="542"/>
      <c r="BH577" s="542"/>
      <c r="BI577" s="542"/>
      <c r="BJ577" s="542"/>
      <c r="BK577" s="542"/>
      <c r="BL577" s="542"/>
      <c r="BM577" s="542"/>
      <c r="BN577" s="196"/>
      <c r="BO577" s="601" t="str">
        <f ca="1">IF(IFERROR(INDEX('Корректировка НВВ'!$K$26:$L$231,MATCH($F577&amp;"8komm",'Корректировка НВВ'!$K$26:$K$231,0),2),"")=0,"",IFERROR(INDEX('Корректировка НВВ'!$K$26:$L$231,MATCH($F577&amp;"8komm",'Корректировка НВВ'!$K$26:$K$231,0),2),""))</f>
        <v/>
      </c>
      <c r="BP577" s="196"/>
      <c r="BS577" s="696" t="s">
        <v>1559</v>
      </c>
    </row>
    <row r="578" spans="1:75" ht="14.65" customHeight="1" x14ac:dyDescent="0.15">
      <c r="C578" s="25"/>
      <c r="D578" s="25" t="str" cm="1">
        <f t="array" ref="D578">D577</f>
        <v>7</v>
      </c>
      <c r="E578" s="451">
        <v>15</v>
      </c>
      <c r="F578" s="3" t="str" cm="1">
        <f t="array" aca="1" ref="F578" ca="1">OFFSET(E578,-1,1)</f>
        <v>3</v>
      </c>
      <c r="G578" s="25" t="s">
        <v>319</v>
      </c>
      <c r="H578" s="25"/>
      <c r="I578" s="25" t="s">
        <v>1870</v>
      </c>
      <c r="J578" s="25"/>
      <c r="K578" s="72" t="s">
        <v>1870</v>
      </c>
      <c r="L578" s="25" t="s">
        <v>1869</v>
      </c>
      <c r="M578" s="25"/>
      <c r="N578" s="25"/>
      <c r="O578" s="25"/>
      <c r="P578" s="25"/>
      <c r="Q578" s="25"/>
      <c r="R578" s="25"/>
      <c r="S578" s="25"/>
      <c r="T578" s="353" t="b" cm="1">
        <f t="array" aca="1" ref="T578" ca="1">T577</f>
        <v>1</v>
      </c>
      <c r="U578" s="25"/>
      <c r="V578" s="25"/>
      <c r="W578" s="25"/>
      <c r="X578" s="1022"/>
      <c r="Z578" s="967"/>
      <c r="AB578" s="7" t="str">
        <f>IF(B573,D574&amp;".8",D574&amp;".6")</f>
        <v>7.8</v>
      </c>
      <c r="AC578" s="550" t="s">
        <v>1560</v>
      </c>
      <c r="AD578" s="7" t="s">
        <v>828</v>
      </c>
      <c r="AE578" s="128"/>
      <c r="AF578" s="128"/>
      <c r="AG578" s="128"/>
      <c r="AH578" s="171">
        <f t="shared" si="169"/>
        <v>0</v>
      </c>
      <c r="AI578" s="128">
        <v>0</v>
      </c>
      <c r="AJ578" s="128">
        <f ca="1">SUMIFS('Корректировка НВВ'!$AF$25:$AF$231,'Корректировка НВВ'!$F$25:$F$231,$F578,'Корректировка НВВ'!$I$25:$I$231,$G578)</f>
        <v>0</v>
      </c>
      <c r="AK578" s="778"/>
      <c r="AL578" s="778"/>
      <c r="AM578" s="128"/>
      <c r="AN578" s="128"/>
      <c r="AO578" s="128"/>
      <c r="AP578" s="128"/>
      <c r="AQ578" s="128"/>
      <c r="AR578" s="128"/>
      <c r="AS578" s="128"/>
      <c r="AT578" s="128">
        <f ca="1">SUMIFS('Корректировка НВВ'!$AG$25:$AG$231,'Корректировка НВВ'!$F$25:$F$231,$F578,'Корректировка НВВ'!$I$25:$I$231,$G578)</f>
        <v>0</v>
      </c>
      <c r="AU578" s="778"/>
      <c r="AV578" s="778"/>
      <c r="AW578" s="128"/>
      <c r="AX578" s="128"/>
      <c r="AY578" s="128"/>
      <c r="AZ578" s="128"/>
      <c r="BA578" s="128"/>
      <c r="BB578" s="128"/>
      <c r="BC578" s="128"/>
      <c r="BD578" s="542"/>
      <c r="BE578" s="542"/>
      <c r="BF578" s="542"/>
      <c r="BG578" s="542"/>
      <c r="BH578" s="542"/>
      <c r="BI578" s="542"/>
      <c r="BJ578" s="542"/>
      <c r="BK578" s="542"/>
      <c r="BL578" s="542"/>
      <c r="BM578" s="542"/>
      <c r="BN578" s="196"/>
      <c r="BO578" s="601" t="str">
        <f ca="1">IF(IFERROR(INDEX('Корректировка НВВ'!$K$26:$L$231,MATCH($F578&amp;"9komm",'Корректировка НВВ'!$K$26:$K$231,0),2),"")=0,"",IFERROR(INDEX('Корректировка НВВ'!$K$26:$L$231,MATCH($F578&amp;"9komm",'Корректировка НВВ'!$K$26:$K$231,0),2),""))</f>
        <v/>
      </c>
      <c r="BP578" s="196"/>
      <c r="BS578" s="696" t="s">
        <v>2205</v>
      </c>
    </row>
    <row r="579" spans="1:75" ht="14.65" customHeight="1" x14ac:dyDescent="0.15">
      <c r="C579" s="25"/>
      <c r="D579" s="25" t="str" cm="1">
        <f t="array" ref="D579">D578</f>
        <v>7</v>
      </c>
      <c r="E579" s="451">
        <v>15</v>
      </c>
      <c r="F579" s="3" t="str" cm="1">
        <f t="array" aca="1" ref="F579" ca="1">OFFSET(E579,-1,1)</f>
        <v>3</v>
      </c>
      <c r="G579" s="25" t="s">
        <v>2206</v>
      </c>
      <c r="H579" s="25"/>
      <c r="I579" s="25" t="s">
        <v>1872</v>
      </c>
      <c r="J579" s="25"/>
      <c r="K579" s="72" t="s">
        <v>1872</v>
      </c>
      <c r="L579" s="25" t="s">
        <v>1870</v>
      </c>
      <c r="M579" s="25"/>
      <c r="N579" s="25"/>
      <c r="O579" s="25"/>
      <c r="P579" s="25"/>
      <c r="Q579" s="25"/>
      <c r="R579" s="25"/>
      <c r="S579" s="25"/>
      <c r="T579" s="353" t="b" cm="1">
        <f t="array" aca="1" ref="T579" ca="1">T578</f>
        <v>1</v>
      </c>
      <c r="U579" s="25"/>
      <c r="V579" s="25"/>
      <c r="W579" s="25"/>
      <c r="X579" s="1022"/>
      <c r="Z579" s="967"/>
      <c r="AB579" s="7" t="str">
        <f>IF(B573,D574&amp;".9",D574&amp;".7")</f>
        <v>7.9</v>
      </c>
      <c r="AC579" s="550" t="s">
        <v>1562</v>
      </c>
      <c r="AD579" s="7" t="s">
        <v>828</v>
      </c>
      <c r="AE579" s="128"/>
      <c r="AF579" s="128"/>
      <c r="AG579" s="128"/>
      <c r="AH579" s="171">
        <f t="shared" si="169"/>
        <v>0</v>
      </c>
      <c r="AI579" s="128">
        <v>0</v>
      </c>
      <c r="AJ579" s="128">
        <f ca="1">SUMIFS('Корректировка НВВ'!$AF$25:$AF$231,'Корректировка НВВ'!$F$25:$F$231,$F579,'Корректировка НВВ'!$I$25:$I$231,$G579)</f>
        <v>0</v>
      </c>
      <c r="AK579" s="778"/>
      <c r="AL579" s="778"/>
      <c r="AM579" s="128"/>
      <c r="AN579" s="128"/>
      <c r="AO579" s="128"/>
      <c r="AP579" s="128"/>
      <c r="AQ579" s="128"/>
      <c r="AR579" s="128"/>
      <c r="AS579" s="128"/>
      <c r="AT579" s="128">
        <f ca="1">SUMIFS('Корректировка НВВ'!$AG$25:$AG$231,'Корректировка НВВ'!$F$25:$F$231,$F579,'Корректировка НВВ'!$I$25:$I$231,$G579)</f>
        <v>0</v>
      </c>
      <c r="AU579" s="778"/>
      <c r="AV579" s="778"/>
      <c r="AW579" s="128"/>
      <c r="AX579" s="128"/>
      <c r="AY579" s="128"/>
      <c r="AZ579" s="128"/>
      <c r="BA579" s="128"/>
      <c r="BB579" s="128"/>
      <c r="BC579" s="128"/>
      <c r="BD579" s="542"/>
      <c r="BE579" s="542"/>
      <c r="BF579" s="542"/>
      <c r="BG579" s="542"/>
      <c r="BH579" s="542"/>
      <c r="BI579" s="542"/>
      <c r="BJ579" s="542"/>
      <c r="BK579" s="542"/>
      <c r="BL579" s="542"/>
      <c r="BM579" s="542"/>
      <c r="BN579" s="196"/>
      <c r="BO579" s="601" t="str">
        <f ca="1">IF(IFERROR(INDEX('Корректировка НВВ'!$K$26:$L$231,MATCH($F579&amp;"10komm",'Корректировка НВВ'!$K$26:$K$231,0),2),"")=0,"",IFERROR(INDEX('Корректировка НВВ'!$K$26:$L$231,MATCH($F579&amp;"10komm",'Корректировка НВВ'!$K$26:$K$231,0),2),""))</f>
        <v/>
      </c>
      <c r="BP579" s="196"/>
      <c r="BS579" s="696" t="s">
        <v>1563</v>
      </c>
    </row>
    <row r="580" spans="1:75" s="870" customFormat="1" ht="65.25" customHeight="1" x14ac:dyDescent="0.15">
      <c r="A580" s="76"/>
      <c r="B580" s="332"/>
      <c r="C580" s="27"/>
      <c r="D580" s="27">
        <f>D579+1</f>
        <v>8</v>
      </c>
      <c r="E580" s="559">
        <v>21</v>
      </c>
      <c r="F580" s="3" t="str" cm="1">
        <f t="array" aca="1" ref="F580" ca="1">OFFSET(E580,-1,1)</f>
        <v>3</v>
      </c>
      <c r="G580" s="27"/>
      <c r="H580" s="27"/>
      <c r="I580" s="27" t="s">
        <v>609</v>
      </c>
      <c r="J580" s="27"/>
      <c r="K580" s="76" t="s">
        <v>609</v>
      </c>
      <c r="L580" s="27"/>
      <c r="M580" s="27"/>
      <c r="N580" s="27"/>
      <c r="O580" s="27"/>
      <c r="P580" s="27"/>
      <c r="Q580" s="27"/>
      <c r="R580" s="27"/>
      <c r="S580" s="27"/>
      <c r="T580" s="353" t="b" cm="1">
        <f t="array" aca="1" ref="T580" ca="1">T579</f>
        <v>1</v>
      </c>
      <c r="U580" s="27"/>
      <c r="V580" s="27"/>
      <c r="W580" s="27"/>
      <c r="X580" s="1022"/>
      <c r="Y580" s="76"/>
      <c r="Z580" s="967"/>
      <c r="AA580" s="76"/>
      <c r="AB580" s="124" cm="1">
        <f t="array" ref="AB580">D580</f>
        <v>8</v>
      </c>
      <c r="AC580" s="125" t="s">
        <v>2207</v>
      </c>
      <c r="AD580" s="124" t="s">
        <v>828</v>
      </c>
      <c r="AE580" s="138">
        <v>-2783.41</v>
      </c>
      <c r="AF580" s="138"/>
      <c r="AG580" s="138">
        <v>-2783.41</v>
      </c>
      <c r="AH580" s="126">
        <f t="shared" si="169"/>
        <v>-2783.41</v>
      </c>
      <c r="AI580" s="138">
        <v>1900.68</v>
      </c>
      <c r="AJ580" s="138"/>
      <c r="AK580" s="774"/>
      <c r="AL580" s="774"/>
      <c r="AM580" s="138"/>
      <c r="AN580" s="138"/>
      <c r="AO580" s="138"/>
      <c r="AP580" s="138"/>
      <c r="AQ580" s="138"/>
      <c r="AR580" s="138"/>
      <c r="AS580" s="138"/>
      <c r="AT580" s="138">
        <v>882.73</v>
      </c>
      <c r="AU580" s="774"/>
      <c r="AV580" s="774"/>
      <c r="AW580" s="138"/>
      <c r="AX580" s="138"/>
      <c r="AY580" s="138"/>
      <c r="AZ580" s="138"/>
      <c r="BA580" s="138"/>
      <c r="BB580" s="138"/>
      <c r="BC580" s="138"/>
      <c r="BD580" s="129"/>
      <c r="BE580" s="129"/>
      <c r="BF580" s="129"/>
      <c r="BG580" s="129"/>
      <c r="BH580" s="129"/>
      <c r="BI580" s="129"/>
      <c r="BJ580" s="129"/>
      <c r="BK580" s="129"/>
      <c r="BL580" s="129"/>
      <c r="BM580" s="129"/>
      <c r="BN580" s="556"/>
      <c r="BO580" s="556" t="s">
        <v>2263</v>
      </c>
      <c r="BP580" s="556" t="s">
        <v>2320</v>
      </c>
      <c r="BQ580" s="76"/>
      <c r="BR580" s="76"/>
      <c r="BS580" s="702" t="s">
        <v>2208</v>
      </c>
      <c r="BT580" s="702"/>
      <c r="BU580" s="702"/>
      <c r="BV580" s="511"/>
      <c r="BW580" s="511"/>
    </row>
    <row r="581" spans="1:75" ht="14.25" customHeight="1" x14ac:dyDescent="0.15">
      <c r="C581" s="25"/>
      <c r="D581" s="27" cm="1">
        <f t="array" ref="D581">D580</f>
        <v>8</v>
      </c>
      <c r="E581" s="451">
        <v>15</v>
      </c>
      <c r="F581" s="3" t="str" cm="1">
        <f t="array" aca="1" ref="F581" ca="1">OFFSET(E581,-1,1)</f>
        <v>3</v>
      </c>
      <c r="G581" s="25"/>
      <c r="H581" s="25"/>
      <c r="I581" s="25" t="s">
        <v>613</v>
      </c>
      <c r="J581" s="25"/>
      <c r="K581" s="72" t="s">
        <v>613</v>
      </c>
      <c r="L581" s="25"/>
      <c r="M581" s="25"/>
      <c r="N581" s="25"/>
      <c r="O581" s="25"/>
      <c r="P581" s="25"/>
      <c r="Q581" s="25"/>
      <c r="R581" s="25"/>
      <c r="S581" s="25"/>
      <c r="T581" s="353" t="b" cm="1">
        <f t="array" aca="1" ref="T581" ca="1">T580</f>
        <v>1</v>
      </c>
      <c r="U581" s="25"/>
      <c r="V581" s="25"/>
      <c r="W581" s="25"/>
      <c r="X581" s="1022"/>
      <c r="Z581" s="967"/>
      <c r="AB581" s="7" t="str">
        <f>D581&amp;".1"</f>
        <v>8.1</v>
      </c>
      <c r="AC581" s="127" t="s">
        <v>2209</v>
      </c>
      <c r="AD581" s="7" t="s">
        <v>476</v>
      </c>
      <c r="AE581" s="171">
        <f ca="1">IF(AE582=0,0,AE580/(AE582+AE567)*100)</f>
        <v>-10.519456470390359</v>
      </c>
      <c r="AF581" s="171">
        <f ca="1">IF(AF582=0,0,AF580/(AF582+AF567)*100)</f>
        <v>0</v>
      </c>
      <c r="AG581" s="171">
        <f ca="1">IF(AG582=0,0,AG580/(AG582+AG567)*100)</f>
        <v>-11.313562017582308</v>
      </c>
      <c r="AH581" s="171">
        <f t="shared" ca="1" si="169"/>
        <v>-11.313562017582308</v>
      </c>
      <c r="AI581" s="171">
        <f t="shared" ref="AI581:BC581" ca="1" si="173">IF(AI582=0,0,AI580/(AI582+AI567)*100)</f>
        <v>14.56776940934899</v>
      </c>
      <c r="AJ581" s="171">
        <f t="shared" ca="1" si="173"/>
        <v>0</v>
      </c>
      <c r="AK581" s="171">
        <f t="shared" ca="1" si="173"/>
        <v>0</v>
      </c>
      <c r="AL581" s="171">
        <f t="shared" ca="1" si="173"/>
        <v>0</v>
      </c>
      <c r="AM581" s="171">
        <f t="shared" ca="1" si="173"/>
        <v>0</v>
      </c>
      <c r="AN581" s="171">
        <f t="shared" ca="1" si="173"/>
        <v>0</v>
      </c>
      <c r="AO581" s="171">
        <f t="shared" ca="1" si="173"/>
        <v>0</v>
      </c>
      <c r="AP581" s="171">
        <f t="shared" ca="1" si="173"/>
        <v>0</v>
      </c>
      <c r="AQ581" s="171">
        <f t="shared" ca="1" si="173"/>
        <v>0</v>
      </c>
      <c r="AR581" s="171">
        <f t="shared" ca="1" si="173"/>
        <v>0</v>
      </c>
      <c r="AS581" s="171">
        <f t="shared" ca="1" si="173"/>
        <v>0</v>
      </c>
      <c r="AT581" s="171">
        <f t="shared" ca="1" si="173"/>
        <v>9.2817145682403623</v>
      </c>
      <c r="AU581" s="171">
        <f t="shared" ca="1" si="173"/>
        <v>0</v>
      </c>
      <c r="AV581" s="171">
        <f t="shared" ca="1" si="173"/>
        <v>0</v>
      </c>
      <c r="AW581" s="171">
        <f t="shared" ca="1" si="173"/>
        <v>0</v>
      </c>
      <c r="AX581" s="171">
        <f t="shared" ca="1" si="173"/>
        <v>0</v>
      </c>
      <c r="AY581" s="171">
        <f t="shared" ca="1" si="173"/>
        <v>0</v>
      </c>
      <c r="AZ581" s="171">
        <f t="shared" ca="1" si="173"/>
        <v>0</v>
      </c>
      <c r="BA581" s="171">
        <f t="shared" ca="1" si="173"/>
        <v>0</v>
      </c>
      <c r="BB581" s="171">
        <f t="shared" ca="1" si="173"/>
        <v>0</v>
      </c>
      <c r="BC581" s="171">
        <f t="shared" ca="1" si="173"/>
        <v>0</v>
      </c>
      <c r="BD581" s="542"/>
      <c r="BE581" s="542"/>
      <c r="BF581" s="542"/>
      <c r="BG581" s="542"/>
      <c r="BH581" s="542"/>
      <c r="BI581" s="542"/>
      <c r="BJ581" s="542"/>
      <c r="BK581" s="542"/>
      <c r="BL581" s="542"/>
      <c r="BM581" s="542"/>
      <c r="BN581" s="196"/>
      <c r="BO581" s="196"/>
      <c r="BP581" s="196"/>
      <c r="BS581" s="696" t="s">
        <v>2210</v>
      </c>
    </row>
    <row r="582" spans="1:75" s="870" customFormat="1" ht="20.25" customHeight="1" x14ac:dyDescent="0.15">
      <c r="A582" s="76"/>
      <c r="B582" s="332"/>
      <c r="C582" s="27"/>
      <c r="D582" s="27">
        <f>D581+1</f>
        <v>9</v>
      </c>
      <c r="E582" s="559">
        <v>21</v>
      </c>
      <c r="F582" s="3" t="str" cm="1">
        <f t="array" aca="1" ref="F582" ca="1">OFFSET(E582,-1,1)</f>
        <v>3</v>
      </c>
      <c r="G582" s="27"/>
      <c r="H582" s="25"/>
      <c r="I582" s="25" t="s">
        <v>767</v>
      </c>
      <c r="J582" s="27"/>
      <c r="K582" s="72" t="s">
        <v>767</v>
      </c>
      <c r="L582" s="27" t="s">
        <v>1872</v>
      </c>
      <c r="M582" s="27"/>
      <c r="N582" s="27"/>
      <c r="O582" s="27"/>
      <c r="P582" s="27"/>
      <c r="Q582" s="27"/>
      <c r="R582" s="27"/>
      <c r="S582" s="27"/>
      <c r="T582" s="353" t="b" cm="1">
        <f t="array" aca="1" ref="T582" ca="1">T581</f>
        <v>1</v>
      </c>
      <c r="U582" s="27"/>
      <c r="V582" s="27"/>
      <c r="W582" s="27"/>
      <c r="X582" s="1022"/>
      <c r="Y582" s="76"/>
      <c r="Z582" s="967"/>
      <c r="AA582" s="76"/>
      <c r="AB582" s="124" cm="1">
        <f t="array" ref="AB582">D582</f>
        <v>9</v>
      </c>
      <c r="AC582" s="125" t="s">
        <v>1874</v>
      </c>
      <c r="AD582" s="147" t="s">
        <v>828</v>
      </c>
      <c r="AE582" s="126">
        <f ca="1">AE460+AE510+AE546+AE547+AE549+AE554+AE555+AE558</f>
        <v>26190.437033858198</v>
      </c>
      <c r="AF582" s="126">
        <f ca="1">AF460+AF510+AF546+AF547+AF549+AF554+AF555+AF558</f>
        <v>41136.757368975901</v>
      </c>
      <c r="AG582" s="126">
        <f ca="1">AG460+AG510+AG546+AG547+AG549+AG554+AG555+AG558</f>
        <v>24333.2096064363</v>
      </c>
      <c r="AH582" s="126">
        <f t="shared" ca="1" si="169"/>
        <v>-16803.547762539602</v>
      </c>
      <c r="AI582" s="126">
        <f t="shared" ref="AI582:BC582" ca="1" si="174">AI460+AI510+AI546+AI547+AI549+AI554+AI555+AI558</f>
        <v>13380.9165767665</v>
      </c>
      <c r="AJ582" s="126">
        <f t="shared" ca="1" si="174"/>
        <v>27032.681981604303</v>
      </c>
      <c r="AK582" s="126">
        <f t="shared" ca="1" si="174"/>
        <v>0</v>
      </c>
      <c r="AL582" s="126">
        <f t="shared" ca="1" si="174"/>
        <v>0</v>
      </c>
      <c r="AM582" s="126">
        <f t="shared" ca="1" si="174"/>
        <v>0</v>
      </c>
      <c r="AN582" s="126">
        <f t="shared" ca="1" si="174"/>
        <v>0</v>
      </c>
      <c r="AO582" s="126">
        <f t="shared" ca="1" si="174"/>
        <v>0</v>
      </c>
      <c r="AP582" s="126">
        <f t="shared" ca="1" si="174"/>
        <v>0</v>
      </c>
      <c r="AQ582" s="126">
        <f t="shared" ca="1" si="174"/>
        <v>0</v>
      </c>
      <c r="AR582" s="126">
        <f t="shared" ca="1" si="174"/>
        <v>0</v>
      </c>
      <c r="AS582" s="126">
        <f t="shared" ca="1" si="174"/>
        <v>0</v>
      </c>
      <c r="AT582" s="126">
        <f t="shared" ca="1" si="174"/>
        <v>13006.4496091823</v>
      </c>
      <c r="AU582" s="126">
        <f t="shared" ca="1" si="174"/>
        <v>0</v>
      </c>
      <c r="AV582" s="126">
        <f t="shared" ca="1" si="174"/>
        <v>0</v>
      </c>
      <c r="AW582" s="126">
        <f t="shared" ca="1" si="174"/>
        <v>0</v>
      </c>
      <c r="AX582" s="126">
        <f t="shared" ca="1" si="174"/>
        <v>0</v>
      </c>
      <c r="AY582" s="126">
        <f t="shared" ca="1" si="174"/>
        <v>0</v>
      </c>
      <c r="AZ582" s="126">
        <f t="shared" ca="1" si="174"/>
        <v>0</v>
      </c>
      <c r="BA582" s="126">
        <f t="shared" ca="1" si="174"/>
        <v>0</v>
      </c>
      <c r="BB582" s="126">
        <f t="shared" ca="1" si="174"/>
        <v>0</v>
      </c>
      <c r="BC582" s="126">
        <f t="shared" ca="1" si="174"/>
        <v>0</v>
      </c>
      <c r="BD582" s="126">
        <f ca="1">IF(AI582=0,0,(AT582-AI582)/AI582*100)</f>
        <v>-2.7985150750763417</v>
      </c>
      <c r="BE582" s="126">
        <f t="shared" ref="BE582:BM583" ca="1" si="175">IF(AT582=0,0,(AU582-AT582)/AT582*100)</f>
        <v>-100</v>
      </c>
      <c r="BF582" s="126">
        <f t="shared" ca="1" si="175"/>
        <v>0</v>
      </c>
      <c r="BG582" s="126">
        <f t="shared" ca="1" si="175"/>
        <v>0</v>
      </c>
      <c r="BH582" s="126">
        <f t="shared" ca="1" si="175"/>
        <v>0</v>
      </c>
      <c r="BI582" s="126">
        <f t="shared" ca="1" si="175"/>
        <v>0</v>
      </c>
      <c r="BJ582" s="126">
        <f t="shared" ca="1" si="175"/>
        <v>0</v>
      </c>
      <c r="BK582" s="126">
        <f t="shared" ca="1" si="175"/>
        <v>0</v>
      </c>
      <c r="BL582" s="126">
        <f t="shared" ca="1" si="175"/>
        <v>0</v>
      </c>
      <c r="BM582" s="126">
        <f t="shared" ca="1" si="175"/>
        <v>0</v>
      </c>
      <c r="BN582" s="196"/>
      <c r="BO582" s="196"/>
      <c r="BP582" s="196"/>
      <c r="BQ582" s="76"/>
      <c r="BR582" s="76"/>
      <c r="BS582" s="702" t="s">
        <v>1875</v>
      </c>
      <c r="BT582" s="702"/>
      <c r="BU582" s="702"/>
      <c r="BV582" s="511"/>
      <c r="BW582" s="511"/>
    </row>
    <row r="583" spans="1:75" s="870" customFormat="1" ht="86.25" customHeight="1" x14ac:dyDescent="0.15">
      <c r="A583" s="76"/>
      <c r="B583" s="332"/>
      <c r="C583" s="27"/>
      <c r="D583" s="27">
        <f>D582+1</f>
        <v>10</v>
      </c>
      <c r="E583" s="559">
        <v>21</v>
      </c>
      <c r="F583" s="3" t="str" cm="1">
        <f t="array" aca="1" ref="F583" ca="1">OFFSET(E583,-1,1)</f>
        <v>3</v>
      </c>
      <c r="G583" s="27"/>
      <c r="H583" s="25"/>
      <c r="I583" s="25" t="s">
        <v>1884</v>
      </c>
      <c r="J583" s="27"/>
      <c r="K583" s="72" t="s">
        <v>1884</v>
      </c>
      <c r="L583" s="27"/>
      <c r="M583" s="27"/>
      <c r="N583" s="27"/>
      <c r="O583" s="27"/>
      <c r="P583" s="27"/>
      <c r="Q583" s="27"/>
      <c r="R583" s="27"/>
      <c r="S583" s="27"/>
      <c r="T583" s="353" t="b" cm="1">
        <f t="array" aca="1" ref="T583" ca="1">T582</f>
        <v>1</v>
      </c>
      <c r="U583" s="27"/>
      <c r="V583" s="27"/>
      <c r="W583" s="27"/>
      <c r="X583" s="1022"/>
      <c r="Y583" s="76"/>
      <c r="Z583" s="967"/>
      <c r="AA583" s="76"/>
      <c r="AB583" s="124" cm="1">
        <f t="array" ref="AB583">D583</f>
        <v>10</v>
      </c>
      <c r="AC583" s="125" t="s">
        <v>2211</v>
      </c>
      <c r="AD583" s="124" t="s">
        <v>828</v>
      </c>
      <c r="AE583" s="126">
        <f t="shared" ref="AE583:BC583" ca="1" si="176">AE582+AE567+AE580</f>
        <v>23676.227033858198</v>
      </c>
      <c r="AF583" s="126">
        <f t="shared" ca="1" si="176"/>
        <v>41136.757368975901</v>
      </c>
      <c r="AG583" s="126">
        <f t="shared" ca="1" si="176"/>
        <v>21819.009606436299</v>
      </c>
      <c r="AH583" s="126">
        <f t="shared" ca="1" si="176"/>
        <v>-19317.747762539602</v>
      </c>
      <c r="AI583" s="126">
        <f t="shared" ca="1" si="176"/>
        <v>14947.838741956901</v>
      </c>
      <c r="AJ583" s="126">
        <f t="shared" ca="1" si="176"/>
        <v>47213.283603131902</v>
      </c>
      <c r="AK583" s="126">
        <f t="shared" ca="1" si="176"/>
        <v>0</v>
      </c>
      <c r="AL583" s="126">
        <f t="shared" ca="1" si="176"/>
        <v>0</v>
      </c>
      <c r="AM583" s="126">
        <f t="shared" ca="1" si="176"/>
        <v>0</v>
      </c>
      <c r="AN583" s="126">
        <f t="shared" ca="1" si="176"/>
        <v>0</v>
      </c>
      <c r="AO583" s="126">
        <f t="shared" ca="1" si="176"/>
        <v>0</v>
      </c>
      <c r="AP583" s="126">
        <f t="shared" ca="1" si="176"/>
        <v>0</v>
      </c>
      <c r="AQ583" s="126">
        <f t="shared" ca="1" si="176"/>
        <v>0</v>
      </c>
      <c r="AR583" s="126">
        <f t="shared" ca="1" si="176"/>
        <v>0</v>
      </c>
      <c r="AS583" s="126">
        <f t="shared" ca="1" si="176"/>
        <v>0</v>
      </c>
      <c r="AT583" s="126">
        <f t="shared" ca="1" si="176"/>
        <v>10393.149583688501</v>
      </c>
      <c r="AU583" s="126">
        <f t="shared" ca="1" si="176"/>
        <v>0</v>
      </c>
      <c r="AV583" s="126">
        <f t="shared" ca="1" si="176"/>
        <v>0</v>
      </c>
      <c r="AW583" s="126">
        <f t="shared" ca="1" si="176"/>
        <v>0</v>
      </c>
      <c r="AX583" s="126">
        <f t="shared" ca="1" si="176"/>
        <v>0</v>
      </c>
      <c r="AY583" s="126">
        <f t="shared" ca="1" si="176"/>
        <v>0</v>
      </c>
      <c r="AZ583" s="126">
        <f t="shared" ca="1" si="176"/>
        <v>0</v>
      </c>
      <c r="BA583" s="126">
        <f t="shared" ca="1" si="176"/>
        <v>0</v>
      </c>
      <c r="BB583" s="126">
        <f t="shared" ca="1" si="176"/>
        <v>0</v>
      </c>
      <c r="BC583" s="126">
        <f t="shared" ca="1" si="176"/>
        <v>0</v>
      </c>
      <c r="BD583" s="126">
        <f ca="1">IF(AI583=0,0,(AT583-AI583)/AI583*100)</f>
        <v>-30.470553214384772</v>
      </c>
      <c r="BE583" s="126">
        <f t="shared" ca="1" si="175"/>
        <v>-100</v>
      </c>
      <c r="BF583" s="126">
        <f t="shared" ca="1" si="175"/>
        <v>0</v>
      </c>
      <c r="BG583" s="126">
        <f t="shared" ca="1" si="175"/>
        <v>0</v>
      </c>
      <c r="BH583" s="126">
        <f t="shared" ca="1" si="175"/>
        <v>0</v>
      </c>
      <c r="BI583" s="126">
        <f t="shared" ca="1" si="175"/>
        <v>0</v>
      </c>
      <c r="BJ583" s="126">
        <f t="shared" ca="1" si="175"/>
        <v>0</v>
      </c>
      <c r="BK583" s="126">
        <f t="shared" ca="1" si="175"/>
        <v>0</v>
      </c>
      <c r="BL583" s="126">
        <f t="shared" ca="1" si="175"/>
        <v>0</v>
      </c>
      <c r="BM583" s="126">
        <f t="shared" ca="1" si="175"/>
        <v>0</v>
      </c>
      <c r="BN583" s="196" t="s">
        <v>2321</v>
      </c>
      <c r="BO583" s="196"/>
      <c r="BP583" s="196"/>
      <c r="BQ583" s="76"/>
      <c r="BR583" s="76"/>
      <c r="BS583" s="702" t="s">
        <v>2212</v>
      </c>
      <c r="BT583" s="702"/>
      <c r="BU583" s="702"/>
      <c r="BV583" s="511"/>
      <c r="BW583" s="511"/>
    </row>
    <row r="584" spans="1:75" ht="14.25" hidden="1" customHeight="1" x14ac:dyDescent="0.25">
      <c r="B584" s="341" t="b">
        <f>A459="двухставочный"</f>
        <v>0</v>
      </c>
      <c r="C584" s="25"/>
      <c r="D584" s="25" cm="1">
        <f t="array" ref="D584">D583</f>
        <v>10</v>
      </c>
      <c r="E584" s="451">
        <v>15</v>
      </c>
      <c r="F584" s="3" t="str" cm="1">
        <f t="array" aca="1" ref="F584" ca="1">OFFSET(E584,-1,1)</f>
        <v>3</v>
      </c>
      <c r="G584" s="25"/>
      <c r="H584" s="571"/>
      <c r="I584" s="571" t="s">
        <v>1888</v>
      </c>
      <c r="J584" s="25"/>
      <c r="K584" s="278" t="s">
        <v>1888</v>
      </c>
      <c r="L584" s="25" t="s">
        <v>1876</v>
      </c>
      <c r="M584" s="25"/>
      <c r="N584" s="25"/>
      <c r="O584" s="25"/>
      <c r="P584" s="25"/>
      <c r="Q584" s="25"/>
      <c r="R584" s="25"/>
      <c r="S584" s="25"/>
      <c r="T584" s="353" t="b" cm="1">
        <f t="array" aca="1" ref="T584" ca="1">T583</f>
        <v>1</v>
      </c>
      <c r="U584" s="25"/>
      <c r="V584" s="25"/>
      <c r="W584" s="25"/>
      <c r="X584" s="1022"/>
      <c r="Z584" s="967"/>
      <c r="AB584" s="7" t="str">
        <f>D584&amp;".1"</f>
        <v>10.1</v>
      </c>
      <c r="AC584" s="550" t="s">
        <v>1878</v>
      </c>
      <c r="AD584" s="7" t="s">
        <v>828</v>
      </c>
      <c r="AE584" s="778"/>
      <c r="AF584" s="778"/>
      <c r="AG584" s="778"/>
      <c r="AH584" s="171">
        <f t="shared" ref="AH584:AH590" si="177">AG584-AF584</f>
        <v>0</v>
      </c>
      <c r="AI584" s="778"/>
      <c r="AJ584" s="128"/>
      <c r="AK584" s="778"/>
      <c r="AL584" s="778"/>
      <c r="AM584" s="778"/>
      <c r="AN584" s="778"/>
      <c r="AO584" s="778"/>
      <c r="AP584" s="778"/>
      <c r="AQ584" s="778"/>
      <c r="AR584" s="778"/>
      <c r="AS584" s="778"/>
      <c r="AT584" s="128"/>
      <c r="AU584" s="778"/>
      <c r="AV584" s="778"/>
      <c r="AW584" s="778"/>
      <c r="AX584" s="778"/>
      <c r="AY584" s="778"/>
      <c r="AZ584" s="778"/>
      <c r="BA584" s="778"/>
      <c r="BB584" s="778"/>
      <c r="BC584" s="778"/>
      <c r="BD584" s="542"/>
      <c r="BE584" s="542"/>
      <c r="BF584" s="542"/>
      <c r="BG584" s="542"/>
      <c r="BH584" s="542"/>
      <c r="BI584" s="542"/>
      <c r="BJ584" s="542"/>
      <c r="BK584" s="542"/>
      <c r="BL584" s="542"/>
      <c r="BM584" s="542"/>
      <c r="BN584" s="775"/>
      <c r="BO584" s="775"/>
      <c r="BP584" s="775"/>
      <c r="BS584" s="694" t="s">
        <v>1879</v>
      </c>
    </row>
    <row r="585" spans="1:75" ht="14.25" hidden="1" customHeight="1" x14ac:dyDescent="0.25">
      <c r="B585" s="341" t="b">
        <f>A459="двухставочный"</f>
        <v>0</v>
      </c>
      <c r="C585" s="25"/>
      <c r="D585" s="25" cm="1">
        <f t="array" ref="D585">D584</f>
        <v>10</v>
      </c>
      <c r="E585" s="451">
        <v>15</v>
      </c>
      <c r="F585" s="3" t="str" cm="1">
        <f t="array" aca="1" ref="F585" ca="1">OFFSET(E585,-1,1)</f>
        <v>3</v>
      </c>
      <c r="G585" s="25"/>
      <c r="H585" s="571"/>
      <c r="I585" s="571" t="s">
        <v>1892</v>
      </c>
      <c r="J585" s="25"/>
      <c r="K585" s="278" t="s">
        <v>1892</v>
      </c>
      <c r="L585" s="25" t="s">
        <v>1880</v>
      </c>
      <c r="M585" s="25"/>
      <c r="N585" s="25"/>
      <c r="O585" s="25"/>
      <c r="P585" s="25"/>
      <c r="Q585" s="25"/>
      <c r="R585" s="25"/>
      <c r="S585" s="25"/>
      <c r="T585" s="353" t="b" cm="1">
        <f t="array" aca="1" ref="T585" ca="1">T584</f>
        <v>1</v>
      </c>
      <c r="U585" s="25"/>
      <c r="V585" s="25"/>
      <c r="W585" s="25"/>
      <c r="X585" s="1022"/>
      <c r="Z585" s="967"/>
      <c r="AB585" s="7" t="str">
        <f>D585&amp;".2"</f>
        <v>10.2</v>
      </c>
      <c r="AC585" s="550" t="s">
        <v>1882</v>
      </c>
      <c r="AD585" s="7" t="s">
        <v>828</v>
      </c>
      <c r="AE585" s="778"/>
      <c r="AF585" s="778"/>
      <c r="AG585" s="778"/>
      <c r="AH585" s="171">
        <f t="shared" si="177"/>
        <v>0</v>
      </c>
      <c r="AI585" s="778"/>
      <c r="AJ585" s="128"/>
      <c r="AK585" s="778"/>
      <c r="AL585" s="778"/>
      <c r="AM585" s="778"/>
      <c r="AN585" s="778"/>
      <c r="AO585" s="778"/>
      <c r="AP585" s="778"/>
      <c r="AQ585" s="778"/>
      <c r="AR585" s="778"/>
      <c r="AS585" s="778"/>
      <c r="AT585" s="128"/>
      <c r="AU585" s="778"/>
      <c r="AV585" s="778"/>
      <c r="AW585" s="778"/>
      <c r="AX585" s="778"/>
      <c r="AY585" s="778"/>
      <c r="AZ585" s="778"/>
      <c r="BA585" s="778"/>
      <c r="BB585" s="778"/>
      <c r="BC585" s="778"/>
      <c r="BD585" s="542"/>
      <c r="BE585" s="542"/>
      <c r="BF585" s="542"/>
      <c r="BG585" s="542"/>
      <c r="BH585" s="542"/>
      <c r="BI585" s="542"/>
      <c r="BJ585" s="542"/>
      <c r="BK585" s="542"/>
      <c r="BL585" s="542"/>
      <c r="BM585" s="542"/>
      <c r="BN585" s="775"/>
      <c r="BO585" s="775"/>
      <c r="BP585" s="775"/>
      <c r="BS585" s="694" t="s">
        <v>1883</v>
      </c>
    </row>
    <row r="586" spans="1:75" s="870" customFormat="1" ht="20.25" customHeight="1" x14ac:dyDescent="0.25">
      <c r="A586" s="76"/>
      <c r="B586" s="332"/>
      <c r="C586" s="27"/>
      <c r="D586" s="27">
        <f>D585+1</f>
        <v>11</v>
      </c>
      <c r="E586" s="559">
        <v>21</v>
      </c>
      <c r="F586" s="3" t="str" cm="1">
        <f t="array" aca="1" ref="F586" ca="1">OFFSET(E586,-1,1)</f>
        <v>3</v>
      </c>
      <c r="G586" s="25" t="s">
        <v>1653</v>
      </c>
      <c r="H586" s="25"/>
      <c r="I586" s="25" t="s">
        <v>1912</v>
      </c>
      <c r="J586" s="27"/>
      <c r="K586" s="72" t="s">
        <v>1912</v>
      </c>
      <c r="L586" s="27" t="s">
        <v>1884</v>
      </c>
      <c r="M586" s="27"/>
      <c r="N586" s="27"/>
      <c r="O586" s="27"/>
      <c r="P586" s="27"/>
      <c r="Q586" s="27"/>
      <c r="R586" s="27"/>
      <c r="S586" s="27"/>
      <c r="T586" s="353" t="b" cm="1">
        <f t="array" aca="1" ref="T586" ca="1">T585</f>
        <v>1</v>
      </c>
      <c r="U586" s="27"/>
      <c r="V586" s="27"/>
      <c r="W586" s="27"/>
      <c r="X586" s="1022"/>
      <c r="Y586" s="76"/>
      <c r="Z586" s="967"/>
      <c r="AA586" s="76"/>
      <c r="AB586" s="124" cm="1">
        <f t="array" ref="AB586">D586</f>
        <v>11</v>
      </c>
      <c r="AC586" s="125" t="s">
        <v>1886</v>
      </c>
      <c r="AD586" s="124" t="s">
        <v>558</v>
      </c>
      <c r="AE586" s="552">
        <f ca="1">SUMIFS(Баланс!AE$26:AE$391,Баланс!$F$26:$F$391,$F586,Баланс!$G$26:$G$391,"ПО")</f>
        <v>51631.311000000002</v>
      </c>
      <c r="AF586" s="552">
        <f ca="1">SUMIFS(Баланс!AF$26:AF$391,Баланс!$F$26:$F$391,$F586,Баланс!$G$26:$G$391,"ПО")</f>
        <v>48925.161524000003</v>
      </c>
      <c r="AG586" s="552">
        <f ca="1">SUMIFS(Баланс!AG$26:AG$391,Баланс!$F$26:$F$391,$F586,Баланс!$G$26:$G$391,"ПО")</f>
        <v>48925.161524000003</v>
      </c>
      <c r="AH586" s="552">
        <f t="shared" ca="1" si="177"/>
        <v>0</v>
      </c>
      <c r="AI586" s="552">
        <f ca="1">SUMIFS(Баланс!AH$26:AH$391,Баланс!$F$26:$F$391,$F586,Баланс!$G$26:$G$391,"ПО")</f>
        <v>51011.618589999998</v>
      </c>
      <c r="AJ586" s="552">
        <f ca="1">SUMIFS(Баланс!AI$26:AI$391,Баланс!$F$26:$F$391,$F586,Баланс!$G$26:$G$391,"ПО")</f>
        <v>52692.608</v>
      </c>
      <c r="AK586" s="552">
        <f ca="1">SUMIFS(Баланс!AJ$26:AJ$391,Баланс!$F$26:$F$391,$F586,Баланс!$G$26:$G$391,"ПО")</f>
        <v>0</v>
      </c>
      <c r="AL586" s="552">
        <f ca="1">SUMIFS(Баланс!AK$26:AK$391,Баланс!$F$26:$F$391,$F586,Баланс!$G$26:$G$391,"ПО")</f>
        <v>0</v>
      </c>
      <c r="AM586" s="552">
        <f ca="1">SUMIFS(Баланс!AL$26:AL$391,Баланс!$F$26:$F$391,$F586,Баланс!$G$26:$G$391,"ПО")</f>
        <v>0</v>
      </c>
      <c r="AN586" s="552">
        <f ca="1">SUMIFS(Баланс!AM$26:AM$391,Баланс!$F$26:$F$391,$F586,Баланс!$G$26:$G$391,"ПО")</f>
        <v>0</v>
      </c>
      <c r="AO586" s="552">
        <f ca="1">SUMIFS(Баланс!AN$26:AN$391,Баланс!$F$26:$F$391,$F586,Баланс!$G$26:$G$391,"ПО")</f>
        <v>0</v>
      </c>
      <c r="AP586" s="552">
        <f ca="1">SUMIFS(Баланс!AO$26:AO$391,Баланс!$F$26:$F$391,$F586,Баланс!$G$26:$G$391,"ПО")</f>
        <v>0</v>
      </c>
      <c r="AQ586" s="552">
        <f ca="1">SUMIFS(Баланс!AP$26:AP$391,Баланс!$F$26:$F$391,$F586,Баланс!$G$26:$G$391,"ПО")</f>
        <v>0</v>
      </c>
      <c r="AR586" s="552">
        <f ca="1">SUMIFS(Баланс!AQ$26:AQ$391,Баланс!$F$26:$F$391,$F586,Баланс!$G$26:$G$391,"ПО")</f>
        <v>0</v>
      </c>
      <c r="AS586" s="552">
        <f ca="1">SUMIFS(Баланс!AR$26:AR$391,Баланс!$F$26:$F$391,$F586,Баланс!$G$26:$G$391,"ПО")</f>
        <v>0</v>
      </c>
      <c r="AT586" s="552">
        <f ca="1">SUMIFS(Баланс!AS$26:AS$391,Баланс!$F$26:$F$391,$F586,Баланс!$G$26:$G$391,"ПО")</f>
        <v>46750.756560000002</v>
      </c>
      <c r="AU586" s="552">
        <f ca="1">SUMIFS(Баланс!AT$26:AT$391,Баланс!$F$26:$F$391,$F586,Баланс!$G$26:$G$391,"ПО")</f>
        <v>0</v>
      </c>
      <c r="AV586" s="552">
        <f ca="1">SUMIFS(Баланс!AU$26:AU$391,Баланс!$F$26:$F$391,$F586,Баланс!$G$26:$G$391,"ПО")</f>
        <v>0</v>
      </c>
      <c r="AW586" s="552">
        <f ca="1">SUMIFS(Баланс!AV$26:AV$391,Баланс!$F$26:$F$391,$F586,Баланс!$G$26:$G$391,"ПО")</f>
        <v>0</v>
      </c>
      <c r="AX586" s="552">
        <f ca="1">SUMIFS(Баланс!AW$26:AW$391,Баланс!$F$26:$F$391,$F586,Баланс!$G$26:$G$391,"ПО")</f>
        <v>0</v>
      </c>
      <c r="AY586" s="552">
        <f ca="1">SUMIFS(Баланс!AX$26:AX$391,Баланс!$F$26:$F$391,$F586,Баланс!$G$26:$G$391,"ПО")</f>
        <v>0</v>
      </c>
      <c r="AZ586" s="552">
        <f ca="1">SUMIFS(Баланс!AY$26:AY$391,Баланс!$F$26:$F$391,$F586,Баланс!$G$26:$G$391,"ПО")</f>
        <v>0</v>
      </c>
      <c r="BA586" s="552">
        <f ca="1">SUMIFS(Баланс!AZ$26:AZ$391,Баланс!$F$26:$F$391,$F586,Баланс!$G$26:$G$391,"ПО")</f>
        <v>0</v>
      </c>
      <c r="BB586" s="552">
        <f ca="1">SUMIFS(Баланс!BA$26:BA$391,Баланс!$F$26:$F$391,$F586,Баланс!$G$26:$G$391,"ПО")</f>
        <v>0</v>
      </c>
      <c r="BC586" s="552">
        <f ca="1">SUMIFS(Баланс!BB$26:BB$391,Баланс!$F$26:$F$391,$F586,Баланс!$G$26:$G$391,"ПО")</f>
        <v>0</v>
      </c>
      <c r="BD586" s="129"/>
      <c r="BE586" s="129"/>
      <c r="BF586" s="129"/>
      <c r="BG586" s="129"/>
      <c r="BH586" s="129"/>
      <c r="BI586" s="129"/>
      <c r="BJ586" s="129"/>
      <c r="BK586" s="129"/>
      <c r="BL586" s="129"/>
      <c r="BM586" s="129"/>
      <c r="BN586" s="196"/>
      <c r="BO586" s="196"/>
      <c r="BP586" s="196"/>
      <c r="BQ586" s="76"/>
      <c r="BR586" s="76"/>
      <c r="BS586" s="695" t="s">
        <v>1887</v>
      </c>
      <c r="BT586" s="702"/>
      <c r="BU586" s="702"/>
      <c r="BV586" s="511"/>
      <c r="BW586" s="511"/>
    </row>
    <row r="587" spans="1:75" ht="14.65" customHeight="1" x14ac:dyDescent="0.25">
      <c r="C587" s="25"/>
      <c r="D587" s="25" cm="1">
        <f t="array" ref="D587">D586</f>
        <v>11</v>
      </c>
      <c r="E587" s="451">
        <v>15</v>
      </c>
      <c r="F587" s="3" t="str" cm="1">
        <f t="array" aca="1" ref="F587" ca="1">OFFSET(E587,-1,1)</f>
        <v>3</v>
      </c>
      <c r="G587" s="25" t="s">
        <v>1680</v>
      </c>
      <c r="H587" s="25"/>
      <c r="I587" s="25" t="s">
        <v>2213</v>
      </c>
      <c r="J587" s="25"/>
      <c r="K587" s="72" t="s">
        <v>2213</v>
      </c>
      <c r="L587" s="25" t="s">
        <v>1888</v>
      </c>
      <c r="M587" s="25"/>
      <c r="N587" s="25"/>
      <c r="O587" s="25"/>
      <c r="P587" s="25"/>
      <c r="Q587" s="25"/>
      <c r="R587" s="25"/>
      <c r="S587" s="25"/>
      <c r="T587" s="353" t="b" cm="1">
        <f t="array" aca="1" ref="T587" ca="1">T586</f>
        <v>1</v>
      </c>
      <c r="U587" s="25"/>
      <c r="V587" s="25"/>
      <c r="W587" s="25"/>
      <c r="X587" s="1022"/>
      <c r="Z587" s="967"/>
      <c r="AB587" s="7" t="str">
        <f>D587&amp;".1"</f>
        <v>11.1</v>
      </c>
      <c r="AC587" s="127" t="s">
        <v>1890</v>
      </c>
      <c r="AD587" s="7" t="s">
        <v>558</v>
      </c>
      <c r="AE587" s="444">
        <v>25815.655500000001</v>
      </c>
      <c r="AF587" s="444">
        <v>24462.580762000001</v>
      </c>
      <c r="AG587" s="444">
        <v>24462.580762000001</v>
      </c>
      <c r="AH587" s="558">
        <f t="shared" si="177"/>
        <v>0</v>
      </c>
      <c r="AI587" s="444">
        <v>25505.809294999999</v>
      </c>
      <c r="AJ587" s="444">
        <v>26346.304</v>
      </c>
      <c r="AK587" s="776">
        <f ca="1">IF(god=2025,AK586/12*9,AK586/2)</f>
        <v>0</v>
      </c>
      <c r="AL587" s="776">
        <f t="shared" ref="AL587:AS587" ca="1" si="178">AL586/2</f>
        <v>0</v>
      </c>
      <c r="AM587" s="444">
        <f t="shared" ca="1" si="178"/>
        <v>0</v>
      </c>
      <c r="AN587" s="444">
        <f t="shared" ca="1" si="178"/>
        <v>0</v>
      </c>
      <c r="AO587" s="444">
        <f t="shared" ca="1" si="178"/>
        <v>0</v>
      </c>
      <c r="AP587" s="444">
        <f t="shared" ca="1" si="178"/>
        <v>0</v>
      </c>
      <c r="AQ587" s="444">
        <f t="shared" ca="1" si="178"/>
        <v>0</v>
      </c>
      <c r="AR587" s="444">
        <f t="shared" ca="1" si="178"/>
        <v>0</v>
      </c>
      <c r="AS587" s="444">
        <f t="shared" ca="1" si="178"/>
        <v>0</v>
      </c>
      <c r="AT587" s="444">
        <v>23375.378280000001</v>
      </c>
      <c r="AU587" s="776">
        <f ca="1">IF(god=2025,AU586/12*9,AU586/2)</f>
        <v>0</v>
      </c>
      <c r="AV587" s="776">
        <f t="shared" ref="AV587:BC587" ca="1" si="179">AV586/2</f>
        <v>0</v>
      </c>
      <c r="AW587" s="444">
        <f t="shared" ca="1" si="179"/>
        <v>0</v>
      </c>
      <c r="AX587" s="444">
        <f t="shared" ca="1" si="179"/>
        <v>0</v>
      </c>
      <c r="AY587" s="444">
        <f t="shared" ca="1" si="179"/>
        <v>0</v>
      </c>
      <c r="AZ587" s="444">
        <f t="shared" ca="1" si="179"/>
        <v>0</v>
      </c>
      <c r="BA587" s="444">
        <f t="shared" ca="1" si="179"/>
        <v>0</v>
      </c>
      <c r="BB587" s="444">
        <f t="shared" ca="1" si="179"/>
        <v>0</v>
      </c>
      <c r="BC587" s="444">
        <f t="shared" ca="1" si="179"/>
        <v>0</v>
      </c>
      <c r="BD587" s="542"/>
      <c r="BE587" s="542"/>
      <c r="BF587" s="542"/>
      <c r="BG587" s="542"/>
      <c r="BH587" s="542"/>
      <c r="BI587" s="542"/>
      <c r="BJ587" s="542"/>
      <c r="BK587" s="542"/>
      <c r="BL587" s="542"/>
      <c r="BM587" s="542"/>
      <c r="BN587" s="196"/>
      <c r="BO587" s="196"/>
      <c r="BP587" s="196"/>
      <c r="BS587" s="694" t="s">
        <v>1891</v>
      </c>
    </row>
    <row r="588" spans="1:75" ht="75.75" customHeight="1" x14ac:dyDescent="0.25">
      <c r="C588" s="25"/>
      <c r="D588" s="25" cm="1">
        <f t="array" ref="D588">D587</f>
        <v>11</v>
      </c>
      <c r="E588" s="451">
        <v>15</v>
      </c>
      <c r="F588" s="3" t="str" cm="1">
        <f t="array" aca="1" ref="F588" ca="1">OFFSET(E588,-1,1)</f>
        <v>3</v>
      </c>
      <c r="G588" s="25" t="s">
        <v>1641</v>
      </c>
      <c r="H588" s="25"/>
      <c r="I588" s="25" t="s">
        <v>2214</v>
      </c>
      <c r="J588" s="25"/>
      <c r="K588" s="72" t="s">
        <v>2214</v>
      </c>
      <c r="L588" s="25" t="s">
        <v>1892</v>
      </c>
      <c r="M588" s="25"/>
      <c r="N588" s="25"/>
      <c r="O588" s="25"/>
      <c r="P588" s="25"/>
      <c r="Q588" s="25"/>
      <c r="R588" s="25"/>
      <c r="S588" s="25"/>
      <c r="T588" s="353" t="b" cm="1">
        <f t="array" aca="1" ref="T588" ca="1">T587</f>
        <v>1</v>
      </c>
      <c r="U588" s="25"/>
      <c r="V588" s="25"/>
      <c r="W588" s="25"/>
      <c r="X588" s="1022"/>
      <c r="Z588" s="967"/>
      <c r="AB588" s="7" t="str">
        <f>D588&amp;".2"</f>
        <v>11.2</v>
      </c>
      <c r="AC588" s="127" t="s">
        <v>1894</v>
      </c>
      <c r="AD588" s="7" t="s">
        <v>1644</v>
      </c>
      <c r="AE588" s="128">
        <v>0.44800000000000001</v>
      </c>
      <c r="AF588" s="128">
        <v>0.89566987259999997</v>
      </c>
      <c r="AG588" s="128">
        <v>0.47755942629999998</v>
      </c>
      <c r="AH588" s="171">
        <f t="shared" si="177"/>
        <v>-0.41811044629999999</v>
      </c>
      <c r="AI588" s="128">
        <v>0.52900000000000003</v>
      </c>
      <c r="AJ588" s="128">
        <v>1.3436110617999999</v>
      </c>
      <c r="AK588" s="778"/>
      <c r="AL588" s="778"/>
      <c r="AM588" s="128"/>
      <c r="AN588" s="128"/>
      <c r="AO588" s="128"/>
      <c r="AP588" s="128"/>
      <c r="AQ588" s="128"/>
      <c r="AR588" s="128"/>
      <c r="AS588" s="128"/>
      <c r="AT588" s="128">
        <v>0.52200009970000005</v>
      </c>
      <c r="AU588" s="778" cm="1">
        <f t="array" ref="AU588">AT590</f>
        <v>0.52200009970000005</v>
      </c>
      <c r="AV588" s="778" cm="1">
        <f t="array" aca="1" ref="AV588" ca="1">AU590</f>
        <v>0</v>
      </c>
      <c r="AW588" s="128" cm="1">
        <f t="array" aca="1" ref="AW588" ca="1">AV590</f>
        <v>0</v>
      </c>
      <c r="AX588" s="128" cm="1">
        <f t="array" aca="1" ref="AX588" ca="1">AW590</f>
        <v>0</v>
      </c>
      <c r="AY588" s="128" cm="1">
        <f t="array" aca="1" ref="AY588" ca="1">AX590</f>
        <v>0</v>
      </c>
      <c r="AZ588" s="128" cm="1">
        <f t="array" aca="1" ref="AZ588" ca="1">AY590</f>
        <v>0</v>
      </c>
      <c r="BA588" s="128" cm="1">
        <f t="array" aca="1" ref="BA588" ca="1">AZ590</f>
        <v>0</v>
      </c>
      <c r="BB588" s="128" cm="1">
        <f t="array" aca="1" ref="BB588" ca="1">BA590</f>
        <v>0</v>
      </c>
      <c r="BC588" s="128" cm="1">
        <f t="array" aca="1" ref="BC588" ca="1">BB590</f>
        <v>0</v>
      </c>
      <c r="BD588" s="542"/>
      <c r="BE588" s="542"/>
      <c r="BF588" s="542"/>
      <c r="BG588" s="542"/>
      <c r="BH588" s="542"/>
      <c r="BI588" s="542"/>
      <c r="BJ588" s="542"/>
      <c r="BK588" s="542"/>
      <c r="BL588" s="542"/>
      <c r="BM588" s="542"/>
      <c r="BN588" s="196"/>
      <c r="BO588" s="196" t="s">
        <v>2266</v>
      </c>
      <c r="BP588" s="196"/>
      <c r="BS588" s="694" t="s">
        <v>1895</v>
      </c>
    </row>
    <row r="589" spans="1:75" ht="14.25" customHeight="1" x14ac:dyDescent="0.25">
      <c r="C589" s="25"/>
      <c r="D589" s="25" cm="1">
        <f t="array" ref="D589">D588</f>
        <v>11</v>
      </c>
      <c r="E589" s="451">
        <v>15</v>
      </c>
      <c r="F589" s="3" t="str" cm="1">
        <f t="array" aca="1" ref="F589" ca="1">OFFSET(E589,-1,1)</f>
        <v>3</v>
      </c>
      <c r="G589" s="25" t="s">
        <v>1693</v>
      </c>
      <c r="H589" s="25"/>
      <c r="I589" s="25" t="s">
        <v>2215</v>
      </c>
      <c r="J589" s="25"/>
      <c r="K589" s="72" t="s">
        <v>2215</v>
      </c>
      <c r="L589" s="25" t="s">
        <v>1896</v>
      </c>
      <c r="M589" s="25"/>
      <c r="N589" s="25"/>
      <c r="O589" s="25"/>
      <c r="P589" s="25"/>
      <c r="Q589" s="25"/>
      <c r="R589" s="25"/>
      <c r="S589" s="25"/>
      <c r="T589" s="353" t="b" cm="1">
        <f t="array" aca="1" ref="T589" ca="1">T588</f>
        <v>1</v>
      </c>
      <c r="U589" s="25"/>
      <c r="V589" s="25"/>
      <c r="W589" s="25"/>
      <c r="X589" s="1022"/>
      <c r="Z589" s="967"/>
      <c r="AB589" s="7" t="str">
        <f>D589&amp;".3"</f>
        <v>11.3</v>
      </c>
      <c r="AC589" s="127" t="s">
        <v>2216</v>
      </c>
      <c r="AD589" s="7" t="s">
        <v>558</v>
      </c>
      <c r="AE589" s="558">
        <f ca="1">AE586-AE587</f>
        <v>25815.655500000001</v>
      </c>
      <c r="AF589" s="558">
        <f ca="1">AF586-AF587</f>
        <v>24462.580762000001</v>
      </c>
      <c r="AG589" s="558">
        <f ca="1">AG586-AG587</f>
        <v>24462.580762000001</v>
      </c>
      <c r="AH589" s="558">
        <f t="shared" ca="1" si="177"/>
        <v>0</v>
      </c>
      <c r="AI589" s="558">
        <f t="shared" ref="AI589:BC589" ca="1" si="180">AI586-AI587</f>
        <v>25505.809294999999</v>
      </c>
      <c r="AJ589" s="558">
        <f t="shared" ca="1" si="180"/>
        <v>26346.304</v>
      </c>
      <c r="AK589" s="558">
        <f t="shared" ca="1" si="180"/>
        <v>0</v>
      </c>
      <c r="AL589" s="558">
        <f t="shared" ca="1" si="180"/>
        <v>0</v>
      </c>
      <c r="AM589" s="558">
        <f t="shared" ca="1" si="180"/>
        <v>0</v>
      </c>
      <c r="AN589" s="558">
        <f t="shared" ca="1" si="180"/>
        <v>0</v>
      </c>
      <c r="AO589" s="558">
        <f t="shared" ca="1" si="180"/>
        <v>0</v>
      </c>
      <c r="AP589" s="558">
        <f t="shared" ca="1" si="180"/>
        <v>0</v>
      </c>
      <c r="AQ589" s="558">
        <f t="shared" ca="1" si="180"/>
        <v>0</v>
      </c>
      <c r="AR589" s="558">
        <f t="shared" ca="1" si="180"/>
        <v>0</v>
      </c>
      <c r="AS589" s="558">
        <f t="shared" ca="1" si="180"/>
        <v>0</v>
      </c>
      <c r="AT589" s="558">
        <f t="shared" ca="1" si="180"/>
        <v>23375.378280000001</v>
      </c>
      <c r="AU589" s="558">
        <f t="shared" ca="1" si="180"/>
        <v>0</v>
      </c>
      <c r="AV589" s="558">
        <f t="shared" ca="1" si="180"/>
        <v>0</v>
      </c>
      <c r="AW589" s="558">
        <f t="shared" ca="1" si="180"/>
        <v>0</v>
      </c>
      <c r="AX589" s="558">
        <f t="shared" ca="1" si="180"/>
        <v>0</v>
      </c>
      <c r="AY589" s="558">
        <f t="shared" ca="1" si="180"/>
        <v>0</v>
      </c>
      <c r="AZ589" s="558">
        <f t="shared" ca="1" si="180"/>
        <v>0</v>
      </c>
      <c r="BA589" s="558">
        <f t="shared" ca="1" si="180"/>
        <v>0</v>
      </c>
      <c r="BB589" s="558">
        <f t="shared" ca="1" si="180"/>
        <v>0</v>
      </c>
      <c r="BC589" s="558">
        <f t="shared" ca="1" si="180"/>
        <v>0</v>
      </c>
      <c r="BD589" s="542"/>
      <c r="BE589" s="542"/>
      <c r="BF589" s="542"/>
      <c r="BG589" s="542"/>
      <c r="BH589" s="542"/>
      <c r="BI589" s="542"/>
      <c r="BJ589" s="542"/>
      <c r="BK589" s="542"/>
      <c r="BL589" s="542"/>
      <c r="BM589" s="542"/>
      <c r="BN589" s="196"/>
      <c r="BO589" s="196"/>
      <c r="BP589" s="196"/>
      <c r="BS589" s="694" t="s">
        <v>1899</v>
      </c>
    </row>
    <row r="590" spans="1:75" ht="14.65" customHeight="1" x14ac:dyDescent="0.25">
      <c r="C590" s="25"/>
      <c r="D590" s="25" cm="1">
        <f t="array" ref="D590">D589</f>
        <v>11</v>
      </c>
      <c r="E590" s="451">
        <v>15</v>
      </c>
      <c r="F590" s="3" t="str" cm="1">
        <f t="array" aca="1" ref="F590" ca="1">OFFSET(E590,-1,1)</f>
        <v>3</v>
      </c>
      <c r="G590" s="25" t="s">
        <v>1646</v>
      </c>
      <c r="H590" s="25"/>
      <c r="I590" s="25" t="s">
        <v>2217</v>
      </c>
      <c r="J590" s="25"/>
      <c r="K590" s="72" t="s">
        <v>2217</v>
      </c>
      <c r="L590" s="25" t="s">
        <v>1900</v>
      </c>
      <c r="M590" s="25"/>
      <c r="N590" s="25"/>
      <c r="O590" s="25"/>
      <c r="P590" s="25"/>
      <c r="Q590" s="25"/>
      <c r="R590" s="25"/>
      <c r="S590" s="25"/>
      <c r="T590" s="353" t="b" cm="1">
        <f t="array" aca="1" ref="T590" ca="1">T589</f>
        <v>1</v>
      </c>
      <c r="U590" s="25"/>
      <c r="V590" s="25"/>
      <c r="W590" s="25"/>
      <c r="X590" s="1022"/>
      <c r="Z590" s="967"/>
      <c r="AB590" s="7" t="str">
        <f>D590&amp;".4"</f>
        <v>11.4</v>
      </c>
      <c r="AC590" s="127" t="s">
        <v>1902</v>
      </c>
      <c r="AD590" s="7" t="s">
        <v>1644</v>
      </c>
      <c r="AE590" s="128">
        <v>0.52899977050000002</v>
      </c>
      <c r="AF590" s="128">
        <v>0.89566970889999997</v>
      </c>
      <c r="AG590" s="128">
        <v>0.47755942629999998</v>
      </c>
      <c r="AH590" s="171">
        <f t="shared" si="177"/>
        <v>-0.41811028259999999</v>
      </c>
      <c r="AI590" s="128">
        <v>0.58099999999999996</v>
      </c>
      <c r="AJ590" s="128">
        <v>1.3436110617999999</v>
      </c>
      <c r="AK590" s="778">
        <f t="shared" ref="AK590:AS590" ca="1" si="181">IF(AK589=0,0,(AK583-AK587*AK588)/AK589)</f>
        <v>0</v>
      </c>
      <c r="AL590" s="778">
        <f t="shared" ca="1" si="181"/>
        <v>0</v>
      </c>
      <c r="AM590" s="128">
        <f t="shared" ca="1" si="181"/>
        <v>0</v>
      </c>
      <c r="AN590" s="128">
        <f t="shared" ca="1" si="181"/>
        <v>0</v>
      </c>
      <c r="AO590" s="128">
        <f t="shared" ca="1" si="181"/>
        <v>0</v>
      </c>
      <c r="AP590" s="128">
        <f t="shared" ca="1" si="181"/>
        <v>0</v>
      </c>
      <c r="AQ590" s="128">
        <f t="shared" ca="1" si="181"/>
        <v>0</v>
      </c>
      <c r="AR590" s="128">
        <f t="shared" ca="1" si="181"/>
        <v>0</v>
      </c>
      <c r="AS590" s="128">
        <f t="shared" ca="1" si="181"/>
        <v>0</v>
      </c>
      <c r="AT590" s="128">
        <v>0.52200009970000005</v>
      </c>
      <c r="AU590" s="778">
        <f t="shared" ref="AU590:BC590" ca="1" si="182">IF(AU589=0,0,(AU583-AU587*AU588)/AU589)</f>
        <v>0</v>
      </c>
      <c r="AV590" s="778">
        <f t="shared" ca="1" si="182"/>
        <v>0</v>
      </c>
      <c r="AW590" s="128">
        <f t="shared" ca="1" si="182"/>
        <v>0</v>
      </c>
      <c r="AX590" s="128">
        <f t="shared" ca="1" si="182"/>
        <v>0</v>
      </c>
      <c r="AY590" s="128">
        <f t="shared" ca="1" si="182"/>
        <v>0</v>
      </c>
      <c r="AZ590" s="128">
        <f t="shared" ca="1" si="182"/>
        <v>0</v>
      </c>
      <c r="BA590" s="128">
        <f t="shared" ca="1" si="182"/>
        <v>0</v>
      </c>
      <c r="BB590" s="128">
        <f t="shared" ca="1" si="182"/>
        <v>0</v>
      </c>
      <c r="BC590" s="128">
        <f t="shared" ca="1" si="182"/>
        <v>0</v>
      </c>
      <c r="BD590" s="542"/>
      <c r="BE590" s="542"/>
      <c r="BF590" s="542"/>
      <c r="BG590" s="542"/>
      <c r="BH590" s="542"/>
      <c r="BI590" s="542"/>
      <c r="BJ590" s="542"/>
      <c r="BK590" s="542"/>
      <c r="BL590" s="542"/>
      <c r="BM590" s="542"/>
      <c r="BN590" s="196"/>
      <c r="BO590" s="196"/>
      <c r="BP590" s="196"/>
      <c r="BS590" s="694" t="s">
        <v>1903</v>
      </c>
    </row>
    <row r="591" spans="1:75" ht="14.25" customHeight="1" x14ac:dyDescent="0.25">
      <c r="C591" s="25"/>
      <c r="D591" s="25" cm="1">
        <f t="array" ref="D591">D590</f>
        <v>11</v>
      </c>
      <c r="E591" s="451">
        <v>15</v>
      </c>
      <c r="F591" s="3" t="str" cm="1">
        <f t="array" aca="1" ref="F591" ca="1">OFFSET(E591,-1,1)</f>
        <v>3</v>
      </c>
      <c r="G591" s="25"/>
      <c r="H591" s="25"/>
      <c r="I591" s="25" t="s">
        <v>2218</v>
      </c>
      <c r="J591" s="25"/>
      <c r="K591" s="72" t="s">
        <v>2218</v>
      </c>
      <c r="L591" s="25" t="s">
        <v>1904</v>
      </c>
      <c r="M591" s="25"/>
      <c r="N591" s="25"/>
      <c r="O591" s="25"/>
      <c r="P591" s="25"/>
      <c r="Q591" s="25"/>
      <c r="R591" s="25"/>
      <c r="S591" s="25"/>
      <c r="T591" s="353" t="b" cm="1">
        <f t="array" aca="1" ref="T591" ca="1">T590</f>
        <v>1</v>
      </c>
      <c r="U591" s="25"/>
      <c r="V591" s="25"/>
      <c r="W591" s="25"/>
      <c r="X591" s="1022"/>
      <c r="Z591" s="967"/>
      <c r="AB591" s="7" t="str">
        <f>D591&amp;".5"</f>
        <v>11.5</v>
      </c>
      <c r="AC591" s="127" t="s">
        <v>1906</v>
      </c>
      <c r="AD591" s="7" t="s">
        <v>476</v>
      </c>
      <c r="AE591" s="171">
        <f>IF(AE588=0,0,AE590/AE588*100)</f>
        <v>118.08030591517857</v>
      </c>
      <c r="AF591" s="171">
        <f>IF(AF588=0,0,AF590/AF588*100)</f>
        <v>99.999981723176703</v>
      </c>
      <c r="AG591" s="171">
        <f>IF(AG588=0,0,AG590/AG588*100)</f>
        <v>100</v>
      </c>
      <c r="AH591" s="542"/>
      <c r="AI591" s="171">
        <f t="shared" ref="AI591:BC591" si="183">IF(AI588=0,0,AI590/AI588*100)</f>
        <v>109.82986767485821</v>
      </c>
      <c r="AJ591" s="171">
        <f t="shared" si="183"/>
        <v>100</v>
      </c>
      <c r="AK591" s="171">
        <f t="shared" si="183"/>
        <v>0</v>
      </c>
      <c r="AL591" s="171">
        <f t="shared" si="183"/>
        <v>0</v>
      </c>
      <c r="AM591" s="171">
        <f t="shared" si="183"/>
        <v>0</v>
      </c>
      <c r="AN591" s="171">
        <f t="shared" si="183"/>
        <v>0</v>
      </c>
      <c r="AO591" s="171">
        <f t="shared" si="183"/>
        <v>0</v>
      </c>
      <c r="AP591" s="171">
        <f t="shared" si="183"/>
        <v>0</v>
      </c>
      <c r="AQ591" s="171">
        <f t="shared" si="183"/>
        <v>0</v>
      </c>
      <c r="AR591" s="171">
        <f t="shared" si="183"/>
        <v>0</v>
      </c>
      <c r="AS591" s="171">
        <f t="shared" si="183"/>
        <v>0</v>
      </c>
      <c r="AT591" s="171">
        <f t="shared" si="183"/>
        <v>100</v>
      </c>
      <c r="AU591" s="171">
        <f t="shared" ca="1" si="183"/>
        <v>0</v>
      </c>
      <c r="AV591" s="171">
        <f t="shared" ca="1" si="183"/>
        <v>0</v>
      </c>
      <c r="AW591" s="171">
        <f t="shared" ca="1" si="183"/>
        <v>0</v>
      </c>
      <c r="AX591" s="171">
        <f t="shared" ca="1" si="183"/>
        <v>0</v>
      </c>
      <c r="AY591" s="171">
        <f t="shared" ca="1" si="183"/>
        <v>0</v>
      </c>
      <c r="AZ591" s="171">
        <f t="shared" ca="1" si="183"/>
        <v>0</v>
      </c>
      <c r="BA591" s="171">
        <f t="shared" ca="1" si="183"/>
        <v>0</v>
      </c>
      <c r="BB591" s="171">
        <f t="shared" ca="1" si="183"/>
        <v>0</v>
      </c>
      <c r="BC591" s="171">
        <f t="shared" ca="1" si="183"/>
        <v>0</v>
      </c>
      <c r="BD591" s="542"/>
      <c r="BE591" s="542"/>
      <c r="BF591" s="542"/>
      <c r="BG591" s="542"/>
      <c r="BH591" s="542"/>
      <c r="BI591" s="542"/>
      <c r="BJ591" s="542"/>
      <c r="BK591" s="542"/>
      <c r="BL591" s="542"/>
      <c r="BM591" s="542"/>
      <c r="BN591" s="196"/>
      <c r="BO591" s="196"/>
      <c r="BP591" s="196"/>
      <c r="BS591" s="694" t="s">
        <v>1907</v>
      </c>
    </row>
    <row r="592" spans="1:75" ht="44.25" customHeight="1" x14ac:dyDescent="0.25">
      <c r="C592" s="25"/>
      <c r="D592" s="25" cm="1">
        <f t="array" ref="D592">D591</f>
        <v>11</v>
      </c>
      <c r="E592" s="451">
        <v>15</v>
      </c>
      <c r="F592" s="3" t="str" cm="1">
        <f t="array" aca="1" ref="F592" ca="1">OFFSET(E592,-1,1)</f>
        <v>3</v>
      </c>
      <c r="G592" s="25"/>
      <c r="H592" s="25"/>
      <c r="I592" s="25" t="s">
        <v>2219</v>
      </c>
      <c r="J592" s="25"/>
      <c r="K592" s="72" t="s">
        <v>2219</v>
      </c>
      <c r="L592" s="25" t="s">
        <v>1908</v>
      </c>
      <c r="M592" s="25"/>
      <c r="N592" s="25"/>
      <c r="O592" s="25"/>
      <c r="P592" s="25"/>
      <c r="Q592" s="25"/>
      <c r="R592" s="25"/>
      <c r="S592" s="25"/>
      <c r="T592" s="353" t="b" cm="1">
        <f t="array" aca="1" ref="T592" ca="1">T591</f>
        <v>1</v>
      </c>
      <c r="U592" s="25"/>
      <c r="V592" s="25"/>
      <c r="W592" s="25"/>
      <c r="X592" s="1022"/>
      <c r="Z592" s="967"/>
      <c r="AB592" s="7" t="str">
        <f>D592&amp;".6"</f>
        <v>11.6</v>
      </c>
      <c r="AC592" s="127" t="s">
        <v>1910</v>
      </c>
      <c r="AD592" s="7" t="s">
        <v>1644</v>
      </c>
      <c r="AE592" s="128">
        <v>0.48849988519999998</v>
      </c>
      <c r="AF592" s="128">
        <v>0.89566979079999998</v>
      </c>
      <c r="AG592" s="128">
        <v>0.47755942629999998</v>
      </c>
      <c r="AH592" s="171">
        <f>AG592-AF592</f>
        <v>-0.4181103645</v>
      </c>
      <c r="AI592" s="128">
        <v>0.54549986390000005</v>
      </c>
      <c r="AJ592" s="128">
        <v>1.3436110617999999</v>
      </c>
      <c r="AK592" s="778">
        <f t="shared" ref="AK592:AS592" ca="1" si="184">IF(AK586=0,0,AK583/AK586)</f>
        <v>0</v>
      </c>
      <c r="AL592" s="778">
        <f t="shared" ca="1" si="184"/>
        <v>0</v>
      </c>
      <c r="AM592" s="128">
        <f t="shared" ca="1" si="184"/>
        <v>0</v>
      </c>
      <c r="AN592" s="128">
        <f t="shared" ca="1" si="184"/>
        <v>0</v>
      </c>
      <c r="AO592" s="128">
        <f t="shared" ca="1" si="184"/>
        <v>0</v>
      </c>
      <c r="AP592" s="128">
        <f t="shared" ca="1" si="184"/>
        <v>0</v>
      </c>
      <c r="AQ592" s="128">
        <f t="shared" ca="1" si="184"/>
        <v>0</v>
      </c>
      <c r="AR592" s="128">
        <f t="shared" ca="1" si="184"/>
        <v>0</v>
      </c>
      <c r="AS592" s="128">
        <f t="shared" ca="1" si="184"/>
        <v>0</v>
      </c>
      <c r="AT592" s="128">
        <v>0.52200009970000005</v>
      </c>
      <c r="AU592" s="778">
        <f t="shared" ref="AU592:BC592" ca="1" si="185">IF(AU586=0,0,AU583/AU586)</f>
        <v>0</v>
      </c>
      <c r="AV592" s="778">
        <f t="shared" ca="1" si="185"/>
        <v>0</v>
      </c>
      <c r="AW592" s="128">
        <f t="shared" ca="1" si="185"/>
        <v>0</v>
      </c>
      <c r="AX592" s="128">
        <f t="shared" ca="1" si="185"/>
        <v>0</v>
      </c>
      <c r="AY592" s="128">
        <f t="shared" ca="1" si="185"/>
        <v>0</v>
      </c>
      <c r="AZ592" s="128">
        <f t="shared" ca="1" si="185"/>
        <v>0</v>
      </c>
      <c r="BA592" s="128">
        <f t="shared" ca="1" si="185"/>
        <v>0</v>
      </c>
      <c r="BB592" s="128">
        <f t="shared" ca="1" si="185"/>
        <v>0</v>
      </c>
      <c r="BC592" s="128">
        <f t="shared" ca="1" si="185"/>
        <v>0</v>
      </c>
      <c r="BD592" s="542"/>
      <c r="BE592" s="542"/>
      <c r="BF592" s="542"/>
      <c r="BG592" s="542"/>
      <c r="BH592" s="542"/>
      <c r="BI592" s="542"/>
      <c r="BJ592" s="542"/>
      <c r="BK592" s="542"/>
      <c r="BL592" s="542"/>
      <c r="BM592" s="542"/>
      <c r="BN592" s="196" t="s">
        <v>2267</v>
      </c>
      <c r="BO592" s="196"/>
      <c r="BP592" s="196" t="s">
        <v>2322</v>
      </c>
      <c r="BS592" s="694" t="s">
        <v>1911</v>
      </c>
    </row>
    <row r="593" spans="1:75" s="870" customFormat="1" ht="20.25" customHeight="1" x14ac:dyDescent="0.25">
      <c r="A593" s="76"/>
      <c r="B593" s="332"/>
      <c r="C593" s="27"/>
      <c r="D593" s="27">
        <f>D592+1</f>
        <v>12</v>
      </c>
      <c r="E593" s="559">
        <v>21</v>
      </c>
      <c r="F593" s="3" t="str" cm="1">
        <f t="array" aca="1" ref="F593" ca="1">OFFSET(E593,-1,1)</f>
        <v>3</v>
      </c>
      <c r="G593" s="27"/>
      <c r="H593" s="25"/>
      <c r="I593" s="25" t="s">
        <v>1916</v>
      </c>
      <c r="J593" s="27"/>
      <c r="K593" s="72" t="s">
        <v>1916</v>
      </c>
      <c r="L593" s="27" t="s">
        <v>1912</v>
      </c>
      <c r="M593" s="27"/>
      <c r="N593" s="27"/>
      <c r="O593" s="27"/>
      <c r="P593" s="27"/>
      <c r="Q593" s="27"/>
      <c r="R593" s="27"/>
      <c r="S593" s="27"/>
      <c r="T593" s="353" t="b" cm="1">
        <f t="array" aca="1" ref="T593" ca="1">T592</f>
        <v>1</v>
      </c>
      <c r="U593" s="27"/>
      <c r="V593" s="27"/>
      <c r="W593" s="27"/>
      <c r="X593" s="1022"/>
      <c r="Y593" s="76"/>
      <c r="Z593" s="967"/>
      <c r="AA593" s="76"/>
      <c r="AB593" s="124" cm="1">
        <f t="array" ref="AB593">D593</f>
        <v>12</v>
      </c>
      <c r="AC593" s="125" t="s">
        <v>1914</v>
      </c>
      <c r="AD593" s="124" t="s">
        <v>828</v>
      </c>
      <c r="AE593" s="138">
        <f ca="1">IF(AE586=0,0,AE583/AE586*AE594)</f>
        <v>0</v>
      </c>
      <c r="AF593" s="138">
        <f ca="1">IF(AF586=0,0,AF583/AF586*AF594)</f>
        <v>0</v>
      </c>
      <c r="AG593" s="138">
        <f ca="1">IF(AG586=0,0,AG583/AG586*AG594)</f>
        <v>0</v>
      </c>
      <c r="AH593" s="126">
        <f ca="1">AH595*AH596+AH597*AH598</f>
        <v>0</v>
      </c>
      <c r="AI593" s="138">
        <f t="shared" ref="AI593:BC593" ca="1" si="186">IF(AI586=0,0,AI583/AI586*AI594)</f>
        <v>0</v>
      </c>
      <c r="AJ593" s="138">
        <f t="shared" ca="1" si="186"/>
        <v>0</v>
      </c>
      <c r="AK593" s="774">
        <f t="shared" ca="1" si="186"/>
        <v>0</v>
      </c>
      <c r="AL593" s="774">
        <f t="shared" ca="1" si="186"/>
        <v>0</v>
      </c>
      <c r="AM593" s="138">
        <f t="shared" ca="1" si="186"/>
        <v>0</v>
      </c>
      <c r="AN593" s="138">
        <f t="shared" ca="1" si="186"/>
        <v>0</v>
      </c>
      <c r="AO593" s="138">
        <f t="shared" ca="1" si="186"/>
        <v>0</v>
      </c>
      <c r="AP593" s="138">
        <f t="shared" ca="1" si="186"/>
        <v>0</v>
      </c>
      <c r="AQ593" s="138">
        <f t="shared" ca="1" si="186"/>
        <v>0</v>
      </c>
      <c r="AR593" s="138">
        <f t="shared" ca="1" si="186"/>
        <v>0</v>
      </c>
      <c r="AS593" s="138">
        <f t="shared" ca="1" si="186"/>
        <v>0</v>
      </c>
      <c r="AT593" s="138">
        <f t="shared" ca="1" si="186"/>
        <v>0</v>
      </c>
      <c r="AU593" s="774">
        <f t="shared" ca="1" si="186"/>
        <v>0</v>
      </c>
      <c r="AV593" s="774">
        <f t="shared" ca="1" si="186"/>
        <v>0</v>
      </c>
      <c r="AW593" s="138">
        <f t="shared" ca="1" si="186"/>
        <v>0</v>
      </c>
      <c r="AX593" s="138">
        <f t="shared" ca="1" si="186"/>
        <v>0</v>
      </c>
      <c r="AY593" s="138">
        <f t="shared" ca="1" si="186"/>
        <v>0</v>
      </c>
      <c r="AZ593" s="138">
        <f t="shared" ca="1" si="186"/>
        <v>0</v>
      </c>
      <c r="BA593" s="138">
        <f t="shared" ca="1" si="186"/>
        <v>0</v>
      </c>
      <c r="BB593" s="138">
        <f t="shared" ca="1" si="186"/>
        <v>0</v>
      </c>
      <c r="BC593" s="138">
        <f t="shared" ca="1" si="186"/>
        <v>0</v>
      </c>
      <c r="BD593" s="126">
        <f ca="1">IF(AI593=0,0,(AT593-AI593)/AI593*100)</f>
        <v>0</v>
      </c>
      <c r="BE593" s="126">
        <f t="shared" ref="BE593:BM593" ca="1" si="187">IF(AT593=0,0,(AU593-AT593)/AT593*100)</f>
        <v>0</v>
      </c>
      <c r="BF593" s="126">
        <f t="shared" ca="1" si="187"/>
        <v>0</v>
      </c>
      <c r="BG593" s="126">
        <f t="shared" ca="1" si="187"/>
        <v>0</v>
      </c>
      <c r="BH593" s="126">
        <f t="shared" ca="1" si="187"/>
        <v>0</v>
      </c>
      <c r="BI593" s="126">
        <f t="shared" ca="1" si="187"/>
        <v>0</v>
      </c>
      <c r="BJ593" s="126">
        <f t="shared" ca="1" si="187"/>
        <v>0</v>
      </c>
      <c r="BK593" s="126">
        <f t="shared" ca="1" si="187"/>
        <v>0</v>
      </c>
      <c r="BL593" s="126">
        <f t="shared" ca="1" si="187"/>
        <v>0</v>
      </c>
      <c r="BM593" s="126">
        <f t="shared" ca="1" si="187"/>
        <v>0</v>
      </c>
      <c r="BN593" s="196"/>
      <c r="BO593" s="196"/>
      <c r="BP593" s="196"/>
      <c r="BQ593" s="76"/>
      <c r="BR593" s="76"/>
      <c r="BS593" s="695" t="s">
        <v>1915</v>
      </c>
      <c r="BT593" s="702"/>
      <c r="BU593" s="702"/>
      <c r="BV593" s="511"/>
      <c r="BW593" s="511"/>
    </row>
    <row r="594" spans="1:75" s="870" customFormat="1" ht="20.25" customHeight="1" x14ac:dyDescent="0.25">
      <c r="A594" s="76"/>
      <c r="B594" s="332"/>
      <c r="C594" s="27"/>
      <c r="D594" s="27">
        <f>D593+1</f>
        <v>13</v>
      </c>
      <c r="E594" s="559">
        <v>21</v>
      </c>
      <c r="F594" s="3" t="str" cm="1">
        <f t="array" aca="1" ref="F594" ca="1">OFFSET(E594,-1,1)</f>
        <v>3</v>
      </c>
      <c r="G594" s="25" t="s">
        <v>1666</v>
      </c>
      <c r="H594" s="25"/>
      <c r="I594" s="25" t="s">
        <v>2220</v>
      </c>
      <c r="J594" s="27"/>
      <c r="K594" s="72" t="s">
        <v>2220</v>
      </c>
      <c r="L594" s="27" t="s">
        <v>1916</v>
      </c>
      <c r="M594" s="27"/>
      <c r="N594" s="27"/>
      <c r="O594" s="27"/>
      <c r="P594" s="27"/>
      <c r="Q594" s="27"/>
      <c r="R594" s="27"/>
      <c r="S594" s="27"/>
      <c r="T594" s="353" t="b" cm="1">
        <f t="array" aca="1" ref="T594" ca="1">T593</f>
        <v>1</v>
      </c>
      <c r="U594" s="27"/>
      <c r="V594" s="27"/>
      <c r="W594" s="27"/>
      <c r="X594" s="1022"/>
      <c r="Y594" s="76"/>
      <c r="Z594" s="967"/>
      <c r="AA594" s="76"/>
      <c r="AB594" s="124" cm="1">
        <f t="array" ref="AB594">D594</f>
        <v>13</v>
      </c>
      <c r="AC594" s="125" t="s">
        <v>1918</v>
      </c>
      <c r="AD594" s="124" t="s">
        <v>558</v>
      </c>
      <c r="AE594" s="552">
        <f ca="1">SUMIFS(Баланс!AE$26:AE$391,Баланс!$F$26:$F$391,$F594,Баланс!$G$26:$G$391,"население")</f>
        <v>0</v>
      </c>
      <c r="AF594" s="552">
        <f ca="1">SUMIFS(Баланс!AF$26:AF$391,Баланс!$F$26:$F$391,$F594,Баланс!$G$26:$G$391,"население")</f>
        <v>0</v>
      </c>
      <c r="AG594" s="552">
        <f ca="1">SUMIFS(Баланс!AG$26:AG$391,Баланс!$F$26:$F$391,$F594,Баланс!$G$26:$G$391,"население")</f>
        <v>0</v>
      </c>
      <c r="AH594" s="552">
        <f t="shared" ref="AH594:AH602" ca="1" si="188">AG594-AF594</f>
        <v>0</v>
      </c>
      <c r="AI594" s="552">
        <f ca="1">SUMIFS(Баланс!AH$26:AH$391,Баланс!$F$26:$F$391,$F594,Баланс!$G$26:$G$391,"население")</f>
        <v>0</v>
      </c>
      <c r="AJ594" s="552">
        <f ca="1">SUMIFS(Баланс!AI$26:AI$391,Баланс!$F$26:$F$391,$F594,Баланс!$G$26:$G$391,"население")</f>
        <v>0</v>
      </c>
      <c r="AK594" s="552">
        <f ca="1">SUMIFS(Баланс!AJ$26:AJ$391,Баланс!$F$26:$F$391,$F594,Баланс!$G$26:$G$391,"население")</f>
        <v>0</v>
      </c>
      <c r="AL594" s="552">
        <f ca="1">SUMIFS(Баланс!AK$26:AK$391,Баланс!$F$26:$F$391,$F594,Баланс!$G$26:$G$391,"население")</f>
        <v>0</v>
      </c>
      <c r="AM594" s="552">
        <f ca="1">SUMIFS(Баланс!AL$26:AL$391,Баланс!$F$26:$F$391,$F594,Баланс!$G$26:$G$391,"население")</f>
        <v>0</v>
      </c>
      <c r="AN594" s="552">
        <f ca="1">SUMIFS(Баланс!AM$26:AM$391,Баланс!$F$26:$F$391,$F594,Баланс!$G$26:$G$391,"население")</f>
        <v>0</v>
      </c>
      <c r="AO594" s="552">
        <f ca="1">SUMIFS(Баланс!AN$26:AN$391,Баланс!$F$26:$F$391,$F594,Баланс!$G$26:$G$391,"население")</f>
        <v>0</v>
      </c>
      <c r="AP594" s="552">
        <f ca="1">SUMIFS(Баланс!AO$26:AO$391,Баланс!$F$26:$F$391,$F594,Баланс!$G$26:$G$391,"население")</f>
        <v>0</v>
      </c>
      <c r="AQ594" s="552">
        <f ca="1">SUMIFS(Баланс!AP$26:AP$391,Баланс!$F$26:$F$391,$F594,Баланс!$G$26:$G$391,"население")</f>
        <v>0</v>
      </c>
      <c r="AR594" s="552">
        <f ca="1">SUMIFS(Баланс!AQ$26:AQ$391,Баланс!$F$26:$F$391,$F594,Баланс!$G$26:$G$391,"население")</f>
        <v>0</v>
      </c>
      <c r="AS594" s="552">
        <f ca="1">SUMIFS(Баланс!AR$26:AR$391,Баланс!$F$26:$F$391,$F594,Баланс!$G$26:$G$391,"население")</f>
        <v>0</v>
      </c>
      <c r="AT594" s="552">
        <f ca="1">SUMIFS(Баланс!AS$26:AS$391,Баланс!$F$26:$F$391,$F594,Баланс!$G$26:$G$391,"население")</f>
        <v>0</v>
      </c>
      <c r="AU594" s="552">
        <f ca="1">SUMIFS(Баланс!AT$26:AT$391,Баланс!$F$26:$F$391,$F594,Баланс!$G$26:$G$391,"население")</f>
        <v>0</v>
      </c>
      <c r="AV594" s="552">
        <f ca="1">SUMIFS(Баланс!AU$26:AU$391,Баланс!$F$26:$F$391,$F594,Баланс!$G$26:$G$391,"население")</f>
        <v>0</v>
      </c>
      <c r="AW594" s="552">
        <f ca="1">SUMIFS(Баланс!AV$26:AV$391,Баланс!$F$26:$F$391,$F594,Баланс!$G$26:$G$391,"население")</f>
        <v>0</v>
      </c>
      <c r="AX594" s="552">
        <f ca="1">SUMIFS(Баланс!AW$26:AW$391,Баланс!$F$26:$F$391,$F594,Баланс!$G$26:$G$391,"население")</f>
        <v>0</v>
      </c>
      <c r="AY594" s="552">
        <f ca="1">SUMIFS(Баланс!AX$26:AX$391,Баланс!$F$26:$F$391,$F594,Баланс!$G$26:$G$391,"население")</f>
        <v>0</v>
      </c>
      <c r="AZ594" s="552">
        <f ca="1">SUMIFS(Баланс!AY$26:AY$391,Баланс!$F$26:$F$391,$F594,Баланс!$G$26:$G$391,"население")</f>
        <v>0</v>
      </c>
      <c r="BA594" s="552">
        <f ca="1">SUMIFS(Баланс!AZ$26:AZ$391,Баланс!$F$26:$F$391,$F594,Баланс!$G$26:$G$391,"население")</f>
        <v>0</v>
      </c>
      <c r="BB594" s="552">
        <f ca="1">SUMIFS(Баланс!BA$26:BA$391,Баланс!$F$26:$F$391,$F594,Баланс!$G$26:$G$391,"население")</f>
        <v>0</v>
      </c>
      <c r="BC594" s="552">
        <f ca="1">SUMIFS(Баланс!BB$26:BB$391,Баланс!$F$26:$F$391,$F594,Баланс!$G$26:$G$391,"население")</f>
        <v>0</v>
      </c>
      <c r="BD594" s="129"/>
      <c r="BE594" s="129"/>
      <c r="BF594" s="129"/>
      <c r="BG594" s="129"/>
      <c r="BH594" s="129"/>
      <c r="BI594" s="129"/>
      <c r="BJ594" s="129"/>
      <c r="BK594" s="129"/>
      <c r="BL594" s="129"/>
      <c r="BM594" s="129"/>
      <c r="BN594" s="196"/>
      <c r="BO594" s="196"/>
      <c r="BP594" s="196"/>
      <c r="BQ594" s="76"/>
      <c r="BR594" s="76"/>
      <c r="BS594" s="695" t="s">
        <v>1919</v>
      </c>
      <c r="BT594" s="702"/>
      <c r="BU594" s="702"/>
      <c r="BV594" s="511"/>
      <c r="BW594" s="511"/>
    </row>
    <row r="595" spans="1:75" ht="14.25" customHeight="1" x14ac:dyDescent="0.25">
      <c r="C595" s="25"/>
      <c r="D595" s="25" cm="1">
        <f t="array" ref="D595">D594</f>
        <v>13</v>
      </c>
      <c r="E595" s="451">
        <v>15</v>
      </c>
      <c r="F595" s="3" t="str" cm="1">
        <f t="array" aca="1" ref="F595" ca="1">OFFSET(E595,-1,1)</f>
        <v>3</v>
      </c>
      <c r="G595" s="25" t="s">
        <v>1700</v>
      </c>
      <c r="H595" s="25"/>
      <c r="I595" s="25" t="s">
        <v>2221</v>
      </c>
      <c r="J595" s="25"/>
      <c r="K595" s="72" t="s">
        <v>2221</v>
      </c>
      <c r="L595" s="25" t="s">
        <v>1920</v>
      </c>
      <c r="M595" s="25"/>
      <c r="N595" s="25"/>
      <c r="O595" s="25"/>
      <c r="P595" s="25"/>
      <c r="Q595" s="25"/>
      <c r="R595" s="25"/>
      <c r="S595" s="25"/>
      <c r="T595" s="353" t="b" cm="1">
        <f t="array" aca="1" ref="T595" ca="1">T594</f>
        <v>1</v>
      </c>
      <c r="U595" s="25"/>
      <c r="V595" s="25"/>
      <c r="W595" s="25"/>
      <c r="X595" s="1022"/>
      <c r="Z595" s="967"/>
      <c r="AB595" s="7" t="str">
        <f>D595&amp;".1"</f>
        <v>13.1</v>
      </c>
      <c r="AC595" s="127" t="s">
        <v>1922</v>
      </c>
      <c r="AD595" s="7" t="s">
        <v>558</v>
      </c>
      <c r="AE595" s="444">
        <f ca="1">AE594/2</f>
        <v>0</v>
      </c>
      <c r="AF595" s="444">
        <f ca="1">AF594/2</f>
        <v>0</v>
      </c>
      <c r="AG595" s="444">
        <f ca="1">AG594/2</f>
        <v>0</v>
      </c>
      <c r="AH595" s="558">
        <f t="shared" ca="1" si="188"/>
        <v>0</v>
      </c>
      <c r="AI595" s="444">
        <f ca="1">AI594/2</f>
        <v>0</v>
      </c>
      <c r="AJ595" s="444">
        <f ca="1">IF(god=2026,AJ594/12*9,AJ594/2)</f>
        <v>0</v>
      </c>
      <c r="AK595" s="776">
        <f ca="1">IF(god=2025,AK594/12*9,AK594/2)</f>
        <v>0</v>
      </c>
      <c r="AL595" s="776">
        <f t="shared" ref="AL595:AS595" ca="1" si="189">AL594/2</f>
        <v>0</v>
      </c>
      <c r="AM595" s="444">
        <f t="shared" ca="1" si="189"/>
        <v>0</v>
      </c>
      <c r="AN595" s="444">
        <f t="shared" ca="1" si="189"/>
        <v>0</v>
      </c>
      <c r="AO595" s="444">
        <f t="shared" ca="1" si="189"/>
        <v>0</v>
      </c>
      <c r="AP595" s="444">
        <f t="shared" ca="1" si="189"/>
        <v>0</v>
      </c>
      <c r="AQ595" s="444">
        <f t="shared" ca="1" si="189"/>
        <v>0</v>
      </c>
      <c r="AR595" s="444">
        <f t="shared" ca="1" si="189"/>
        <v>0</v>
      </c>
      <c r="AS595" s="444">
        <f t="shared" ca="1" si="189"/>
        <v>0</v>
      </c>
      <c r="AT595" s="444">
        <f ca="1">IF(god=2026,AT594/12*9,AT594/2)</f>
        <v>0</v>
      </c>
      <c r="AU595" s="776">
        <f ca="1">IF(god=2025,AU594/12*9,AU594/2)</f>
        <v>0</v>
      </c>
      <c r="AV595" s="776">
        <f t="shared" ref="AV595:BC595" ca="1" si="190">AV594/2</f>
        <v>0</v>
      </c>
      <c r="AW595" s="444">
        <f t="shared" ca="1" si="190"/>
        <v>0</v>
      </c>
      <c r="AX595" s="444">
        <f t="shared" ca="1" si="190"/>
        <v>0</v>
      </c>
      <c r="AY595" s="444">
        <f t="shared" ca="1" si="190"/>
        <v>0</v>
      </c>
      <c r="AZ595" s="444">
        <f t="shared" ca="1" si="190"/>
        <v>0</v>
      </c>
      <c r="BA595" s="444">
        <f t="shared" ca="1" si="190"/>
        <v>0</v>
      </c>
      <c r="BB595" s="444">
        <f t="shared" ca="1" si="190"/>
        <v>0</v>
      </c>
      <c r="BC595" s="444">
        <f t="shared" ca="1" si="190"/>
        <v>0</v>
      </c>
      <c r="BD595" s="542"/>
      <c r="BE595" s="542"/>
      <c r="BF595" s="542"/>
      <c r="BG595" s="542"/>
      <c r="BH595" s="542"/>
      <c r="BI595" s="542"/>
      <c r="BJ595" s="542"/>
      <c r="BK595" s="542"/>
      <c r="BL595" s="542"/>
      <c r="BM595" s="542"/>
      <c r="BN595" s="196"/>
      <c r="BO595" s="196"/>
      <c r="BP595" s="196"/>
      <c r="BS595" s="694" t="s">
        <v>1923</v>
      </c>
    </row>
    <row r="596" spans="1:75" ht="14.25" customHeight="1" x14ac:dyDescent="0.25">
      <c r="C596" s="25"/>
      <c r="D596" s="25" cm="1">
        <f t="array" ref="D596">D595</f>
        <v>13</v>
      </c>
      <c r="E596" s="451">
        <v>15</v>
      </c>
      <c r="F596" s="3" t="str" cm="1">
        <f t="array" aca="1" ref="F596" ca="1">OFFSET(E596,-1,1)</f>
        <v>3</v>
      </c>
      <c r="G596" s="25" t="s">
        <v>1656</v>
      </c>
      <c r="H596" s="25"/>
      <c r="I596" s="25" t="s">
        <v>2222</v>
      </c>
      <c r="J596" s="25"/>
      <c r="K596" s="72" t="s">
        <v>2222</v>
      </c>
      <c r="L596" s="25" t="s">
        <v>1924</v>
      </c>
      <c r="M596" s="25"/>
      <c r="N596" s="25"/>
      <c r="O596" s="25"/>
      <c r="P596" s="25"/>
      <c r="Q596" s="25"/>
      <c r="R596" s="25"/>
      <c r="S596" s="25"/>
      <c r="T596" s="353" t="b" cm="1">
        <f t="array" aca="1" ref="T596" ca="1">T595</f>
        <v>1</v>
      </c>
      <c r="U596" s="25"/>
      <c r="V596" s="25"/>
      <c r="W596" s="25"/>
      <c r="X596" s="1022"/>
      <c r="Z596" s="967"/>
      <c r="AB596" s="7" t="str">
        <f>D596&amp;".2"</f>
        <v>13.2</v>
      </c>
      <c r="AC596" s="127" t="s">
        <v>1926</v>
      </c>
      <c r="AD596" s="7" t="s">
        <v>1644</v>
      </c>
      <c r="AE596" s="128">
        <f ca="1">IF(AE594=0,0,AE588*(1+Сценарии!AE$26))</f>
        <v>0</v>
      </c>
      <c r="AF596" s="128">
        <f ca="1">IF(AF594=0,0,AF588*(1+Сценарии!AF$26))</f>
        <v>0</v>
      </c>
      <c r="AG596" s="128">
        <f ca="1">IF(AG594=0,0,AG588*(1+Сценарии!AG$26))</f>
        <v>0</v>
      </c>
      <c r="AH596" s="171">
        <f t="shared" ca="1" si="188"/>
        <v>0</v>
      </c>
      <c r="AI596" s="128">
        <f ca="1">IF(AI594=0,0,AI588*(1+Сценарии!AI$26))</f>
        <v>0</v>
      </c>
      <c r="AJ596" s="128">
        <f ca="1">IF(AJ594=0,0,AJ588*(1+Сценарии!AJ$26))</f>
        <v>0</v>
      </c>
      <c r="AK596" s="778">
        <f ca="1">IF(AK594=0,0,AK588*(1+Сценарии!AO$26))</f>
        <v>0</v>
      </c>
      <c r="AL596" s="778">
        <f ca="1">IF(AL594=0,0,AL588*(1+Сценарии!AP$26))</f>
        <v>0</v>
      </c>
      <c r="AM596" s="128">
        <f ca="1">IF(AM594=0,0,AM588*(1+Сценарии!AQ$26))</f>
        <v>0</v>
      </c>
      <c r="AN596" s="128">
        <f ca="1">IF(AN594=0,0,AN588*(1+Сценарии!AR$26))</f>
        <v>0</v>
      </c>
      <c r="AO596" s="128">
        <f ca="1">IF(AO594=0,0,AO588*(1+Сценарии!AS$26))</f>
        <v>0</v>
      </c>
      <c r="AP596" s="128">
        <f ca="1">IF(AP594=0,0,AP588*(1+Сценарии!AT$26))</f>
        <v>0</v>
      </c>
      <c r="AQ596" s="128">
        <f ca="1">IF(AQ594=0,0,AQ588*(1+Сценарии!AU$26))</f>
        <v>0</v>
      </c>
      <c r="AR596" s="128">
        <f ca="1">IF(AR594=0,0,AR588*(1+Сценарии!AV$26))</f>
        <v>0</v>
      </c>
      <c r="AS596" s="128">
        <f ca="1">IF(AS594=0,0,AS588*(1+Сценарии!AW$26))</f>
        <v>0</v>
      </c>
      <c r="AT596" s="128">
        <f ca="1">IF(AT594=0,0,AT588*(1+Сценарии!AK$26))</f>
        <v>0</v>
      </c>
      <c r="AU596" s="778">
        <f ca="1">IF(AU594=0,0,AU588*(1+Сценарии!AX$26))</f>
        <v>0</v>
      </c>
      <c r="AV596" s="778">
        <f ca="1">IF(AV594=0,0,AV588*(1+Сценарии!AY$26))</f>
        <v>0</v>
      </c>
      <c r="AW596" s="128">
        <f ca="1">IF(AW594=0,0,AW588*(1+Сценарии!AZ$26))</f>
        <v>0</v>
      </c>
      <c r="AX596" s="128">
        <f ca="1">IF(AX594=0,0,AX588*(1+Сценарии!BA$26))</f>
        <v>0</v>
      </c>
      <c r="AY596" s="128">
        <f ca="1">IF(AY594=0,0,AY588*(1+Сценарии!BB$26))</f>
        <v>0</v>
      </c>
      <c r="AZ596" s="128">
        <f ca="1">IF(AZ594=0,0,AZ588*(1+Сценарии!BC$26))</f>
        <v>0</v>
      </c>
      <c r="BA596" s="128">
        <f ca="1">IF(BA594=0,0,BA588*(1+Сценарии!BD$26))</f>
        <v>0</v>
      </c>
      <c r="BB596" s="128">
        <f ca="1">IF(BB594=0,0,BB588*(1+Сценарии!BE$26))</f>
        <v>0</v>
      </c>
      <c r="BC596" s="128">
        <f ca="1">IF(BC594=0,0,BC588*(1+Сценарии!BF$26))</f>
        <v>0</v>
      </c>
      <c r="BD596" s="542"/>
      <c r="BE596" s="542"/>
      <c r="BF596" s="542"/>
      <c r="BG596" s="542"/>
      <c r="BH596" s="542"/>
      <c r="BI596" s="542"/>
      <c r="BJ596" s="542"/>
      <c r="BK596" s="542"/>
      <c r="BL596" s="542"/>
      <c r="BM596" s="542"/>
      <c r="BN596" s="196"/>
      <c r="BO596" s="196"/>
      <c r="BP596" s="196"/>
      <c r="BS596" s="694" t="s">
        <v>1927</v>
      </c>
    </row>
    <row r="597" spans="1:75" ht="14.25" customHeight="1" x14ac:dyDescent="0.25">
      <c r="C597" s="25"/>
      <c r="D597" s="25" cm="1">
        <f t="array" ref="D597">D596</f>
        <v>13</v>
      </c>
      <c r="E597" s="451">
        <v>15</v>
      </c>
      <c r="F597" s="3" t="str" cm="1">
        <f t="array" aca="1" ref="F597" ca="1">OFFSET(E597,-1,1)</f>
        <v>3</v>
      </c>
      <c r="G597" s="25" t="s">
        <v>1707</v>
      </c>
      <c r="H597" s="25"/>
      <c r="I597" s="25" t="s">
        <v>2223</v>
      </c>
      <c r="J597" s="25"/>
      <c r="K597" s="25" t="s">
        <v>2223</v>
      </c>
      <c r="L597" s="25" t="s">
        <v>1928</v>
      </c>
      <c r="M597" s="25"/>
      <c r="N597" s="25"/>
      <c r="O597" s="25"/>
      <c r="P597" s="25"/>
      <c r="Q597" s="25"/>
      <c r="R597" s="25"/>
      <c r="S597" s="25"/>
      <c r="T597" s="353" t="b" cm="1">
        <f t="array" aca="1" ref="T597" ca="1">T596</f>
        <v>1</v>
      </c>
      <c r="U597" s="25"/>
      <c r="V597" s="25"/>
      <c r="W597" s="25"/>
      <c r="X597" s="1022"/>
      <c r="Z597" s="967"/>
      <c r="AB597" s="7" t="str">
        <f>D597&amp;".3"</f>
        <v>13.3</v>
      </c>
      <c r="AC597" s="127" t="s">
        <v>1898</v>
      </c>
      <c r="AD597" s="7" t="s">
        <v>558</v>
      </c>
      <c r="AE597" s="558">
        <f ca="1">AE594-AE595</f>
        <v>0</v>
      </c>
      <c r="AF597" s="558">
        <f ca="1">AF594-AF595</f>
        <v>0</v>
      </c>
      <c r="AG597" s="558">
        <f ca="1">AG594-AG595</f>
        <v>0</v>
      </c>
      <c r="AH597" s="558">
        <f t="shared" ca="1" si="188"/>
        <v>0</v>
      </c>
      <c r="AI597" s="558">
        <f t="shared" ref="AI597:BC597" ca="1" si="191">AI594-AI595</f>
        <v>0</v>
      </c>
      <c r="AJ597" s="558">
        <f t="shared" ca="1" si="191"/>
        <v>0</v>
      </c>
      <c r="AK597" s="558">
        <f t="shared" ca="1" si="191"/>
        <v>0</v>
      </c>
      <c r="AL597" s="558">
        <f t="shared" ca="1" si="191"/>
        <v>0</v>
      </c>
      <c r="AM597" s="558">
        <f t="shared" ca="1" si="191"/>
        <v>0</v>
      </c>
      <c r="AN597" s="558">
        <f t="shared" ca="1" si="191"/>
        <v>0</v>
      </c>
      <c r="AO597" s="558">
        <f t="shared" ca="1" si="191"/>
        <v>0</v>
      </c>
      <c r="AP597" s="558">
        <f t="shared" ca="1" si="191"/>
        <v>0</v>
      </c>
      <c r="AQ597" s="558">
        <f t="shared" ca="1" si="191"/>
        <v>0</v>
      </c>
      <c r="AR597" s="558">
        <f t="shared" ca="1" si="191"/>
        <v>0</v>
      </c>
      <c r="AS597" s="558">
        <f t="shared" ca="1" si="191"/>
        <v>0</v>
      </c>
      <c r="AT597" s="558">
        <f t="shared" ca="1" si="191"/>
        <v>0</v>
      </c>
      <c r="AU597" s="558">
        <f t="shared" ca="1" si="191"/>
        <v>0</v>
      </c>
      <c r="AV597" s="558">
        <f t="shared" ca="1" si="191"/>
        <v>0</v>
      </c>
      <c r="AW597" s="558">
        <f t="shared" ca="1" si="191"/>
        <v>0</v>
      </c>
      <c r="AX597" s="558">
        <f t="shared" ca="1" si="191"/>
        <v>0</v>
      </c>
      <c r="AY597" s="558">
        <f t="shared" ca="1" si="191"/>
        <v>0</v>
      </c>
      <c r="AZ597" s="558">
        <f t="shared" ca="1" si="191"/>
        <v>0</v>
      </c>
      <c r="BA597" s="558">
        <f t="shared" ca="1" si="191"/>
        <v>0</v>
      </c>
      <c r="BB597" s="558">
        <f t="shared" ca="1" si="191"/>
        <v>0</v>
      </c>
      <c r="BC597" s="558">
        <f t="shared" ca="1" si="191"/>
        <v>0</v>
      </c>
      <c r="BD597" s="542"/>
      <c r="BE597" s="542"/>
      <c r="BF597" s="542"/>
      <c r="BG597" s="542"/>
      <c r="BH597" s="542"/>
      <c r="BI597" s="542"/>
      <c r="BJ597" s="542"/>
      <c r="BK597" s="542"/>
      <c r="BL597" s="542"/>
      <c r="BM597" s="542"/>
      <c r="BN597" s="196"/>
      <c r="BO597" s="196"/>
      <c r="BP597" s="196"/>
      <c r="BS597" s="694" t="s">
        <v>1930</v>
      </c>
    </row>
    <row r="598" spans="1:75" ht="14.25" customHeight="1" x14ac:dyDescent="0.25">
      <c r="C598" s="25"/>
      <c r="D598" s="25" cm="1">
        <f t="array" ref="D598">D597</f>
        <v>13</v>
      </c>
      <c r="E598" s="451">
        <v>15</v>
      </c>
      <c r="F598" s="3" t="str" cm="1">
        <f t="array" aca="1" ref="F598" ca="1">OFFSET(E598,-1,1)</f>
        <v>3</v>
      </c>
      <c r="G598" s="25" t="s">
        <v>1660</v>
      </c>
      <c r="H598" s="25"/>
      <c r="I598" s="25" t="s">
        <v>2224</v>
      </c>
      <c r="J598" s="25"/>
      <c r="K598" s="25" t="s">
        <v>2224</v>
      </c>
      <c r="L598" s="25" t="s">
        <v>1931</v>
      </c>
      <c r="M598" s="25"/>
      <c r="N598" s="25"/>
      <c r="O598" s="25"/>
      <c r="P598" s="25"/>
      <c r="Q598" s="25"/>
      <c r="R598" s="25"/>
      <c r="S598" s="25"/>
      <c r="T598" s="353" t="b" cm="1">
        <f t="array" aca="1" ref="T598" ca="1">T597</f>
        <v>1</v>
      </c>
      <c r="U598" s="25"/>
      <c r="V598" s="25"/>
      <c r="W598" s="25"/>
      <c r="X598" s="1022"/>
      <c r="Z598" s="967"/>
      <c r="AB598" s="7" t="str">
        <f>D598&amp;".4"</f>
        <v>13.4</v>
      </c>
      <c r="AC598" s="127" t="s">
        <v>1902</v>
      </c>
      <c r="AD598" s="7" t="s">
        <v>1644</v>
      </c>
      <c r="AE598" s="128">
        <f ca="1">IF(AE594=0,0,AE590*(1+Сценарии!AE$26))</f>
        <v>0</v>
      </c>
      <c r="AF598" s="128">
        <f ca="1">IF(AF594=0,0,AF590*(1+Сценарии!AF$26))</f>
        <v>0</v>
      </c>
      <c r="AG598" s="128">
        <f ca="1">IF(AG594=0,0,AG590*(1+Сценарии!AG$26))</f>
        <v>0</v>
      </c>
      <c r="AH598" s="171">
        <f t="shared" ca="1" si="188"/>
        <v>0</v>
      </c>
      <c r="AI598" s="128">
        <f ca="1">IF(AI594=0,0,AI590*(1+Сценарии!AI$26))</f>
        <v>0</v>
      </c>
      <c r="AJ598" s="128">
        <f ca="1">IF(AJ594=0,0,AJ590*(1+Сценарии!AJ$26))</f>
        <v>0</v>
      </c>
      <c r="AK598" s="778">
        <f ca="1">IF(AK594=0,0,AK590*(1+Сценарии!AO$26))</f>
        <v>0</v>
      </c>
      <c r="AL598" s="778">
        <f ca="1">IF(AL594=0,0,AL590*(1+Сценарии!AP$26))</f>
        <v>0</v>
      </c>
      <c r="AM598" s="128">
        <f ca="1">IF(AM594=0,0,AM590*(1+Сценарии!AQ$26))</f>
        <v>0</v>
      </c>
      <c r="AN598" s="128">
        <f ca="1">IF(AN594=0,0,AN590*(1+Сценарии!AR$26))</f>
        <v>0</v>
      </c>
      <c r="AO598" s="128">
        <f ca="1">IF(AO594=0,0,AO590*(1+Сценарии!AS$26))</f>
        <v>0</v>
      </c>
      <c r="AP598" s="128">
        <f ca="1">IF(AP594=0,0,AP590*(1+Сценарии!AT$26))</f>
        <v>0</v>
      </c>
      <c r="AQ598" s="128">
        <f ca="1">IF(AQ594=0,0,AQ590*(1+Сценарии!AU$26))</f>
        <v>0</v>
      </c>
      <c r="AR598" s="128">
        <f ca="1">IF(AR594=0,0,AR590*(1+Сценарии!AV$26))</f>
        <v>0</v>
      </c>
      <c r="AS598" s="128">
        <f ca="1">IF(AS594=0,0,AS590*(1+Сценарии!AW$26))</f>
        <v>0</v>
      </c>
      <c r="AT598" s="128">
        <f ca="1">IF(AT594=0,0,AT590*(1+Сценарии!AK$26))</f>
        <v>0</v>
      </c>
      <c r="AU598" s="778">
        <f ca="1">IF(AU594=0,0,AU590*(1+Сценарии!AX$26))</f>
        <v>0</v>
      </c>
      <c r="AV598" s="778">
        <f ca="1">IF(AV594=0,0,AV590*(1+Сценарии!AY$26))</f>
        <v>0</v>
      </c>
      <c r="AW598" s="128">
        <f ca="1">IF(AW594=0,0,AW590*(1+Сценарии!AZ$26))</f>
        <v>0</v>
      </c>
      <c r="AX598" s="128">
        <f ca="1">IF(AX594=0,0,AX590*(1+Сценарии!BA$26))</f>
        <v>0</v>
      </c>
      <c r="AY598" s="128">
        <f ca="1">IF(AY594=0,0,AY590*(1+Сценарии!BB$26))</f>
        <v>0</v>
      </c>
      <c r="AZ598" s="128">
        <f ca="1">IF(AZ594=0,0,AZ590*(1+Сценарии!BC$26))</f>
        <v>0</v>
      </c>
      <c r="BA598" s="128">
        <f ca="1">IF(BA594=0,0,BA590*(1+Сценарии!BD$26))</f>
        <v>0</v>
      </c>
      <c r="BB598" s="128">
        <f ca="1">IF(BB594=0,0,BB590*(1+Сценарии!BE$26))</f>
        <v>0</v>
      </c>
      <c r="BC598" s="128">
        <f ca="1">IF(BC594=0,0,BC590*(1+Сценарии!BF$26))</f>
        <v>0</v>
      </c>
      <c r="BD598" s="542"/>
      <c r="BE598" s="542"/>
      <c r="BF598" s="542"/>
      <c r="BG598" s="542"/>
      <c r="BH598" s="542"/>
      <c r="BI598" s="542"/>
      <c r="BJ598" s="542"/>
      <c r="BK598" s="542"/>
      <c r="BL598" s="542"/>
      <c r="BM598" s="542"/>
      <c r="BN598" s="196"/>
      <c r="BO598" s="196"/>
      <c r="BP598" s="196"/>
      <c r="BS598" s="694" t="s">
        <v>1934</v>
      </c>
    </row>
    <row r="599" spans="1:75" ht="14.25" customHeight="1" x14ac:dyDescent="0.25">
      <c r="C599" s="25"/>
      <c r="D599" s="25">
        <f>D598+1</f>
        <v>14</v>
      </c>
      <c r="E599" s="451">
        <v>15</v>
      </c>
      <c r="F599" s="3" t="str" cm="1">
        <f t="array" aca="1" ref="F599" ca="1">OFFSET(E599,-1,1)</f>
        <v>3</v>
      </c>
      <c r="G599" s="25"/>
      <c r="H599" s="25"/>
      <c r="I599" s="25"/>
      <c r="J599" s="25"/>
      <c r="K599" s="25"/>
      <c r="L599" s="25"/>
      <c r="M599" s="25"/>
      <c r="N599" s="25"/>
      <c r="O599" s="25"/>
      <c r="P599" s="25"/>
      <c r="Q599" s="25"/>
      <c r="R599" s="25"/>
      <c r="S599" s="25"/>
      <c r="T599" s="353" t="b" cm="1">
        <f t="array" aca="1" ref="T599" ca="1">T598</f>
        <v>1</v>
      </c>
      <c r="U599" s="25"/>
      <c r="V599" s="25"/>
      <c r="W599" s="25"/>
      <c r="X599" s="1022"/>
      <c r="Z599" s="967"/>
      <c r="AB599" s="124" cm="1">
        <f t="array" ref="AB599">D599</f>
        <v>14</v>
      </c>
      <c r="AC599" s="125" t="s">
        <v>1936</v>
      </c>
      <c r="AD599" s="124" t="s">
        <v>828</v>
      </c>
      <c r="AE599" s="128"/>
      <c r="AF599" s="128"/>
      <c r="AG599" s="128"/>
      <c r="AH599" s="171">
        <f t="shared" si="188"/>
        <v>0</v>
      </c>
      <c r="AI599" s="128"/>
      <c r="AJ599" s="128"/>
      <c r="AK599" s="778"/>
      <c r="AL599" s="778"/>
      <c r="AM599" s="128"/>
      <c r="AN599" s="128"/>
      <c r="AO599" s="128"/>
      <c r="AP599" s="128"/>
      <c r="AQ599" s="128"/>
      <c r="AR599" s="128"/>
      <c r="AS599" s="128"/>
      <c r="AT599" s="128"/>
      <c r="AU599" s="778"/>
      <c r="AV599" s="778"/>
      <c r="AW599" s="128"/>
      <c r="AX599" s="128"/>
      <c r="AY599" s="128"/>
      <c r="AZ599" s="128"/>
      <c r="BA599" s="128"/>
      <c r="BB599" s="128"/>
      <c r="BC599" s="128"/>
      <c r="BD599" s="542"/>
      <c r="BE599" s="542"/>
      <c r="BF599" s="542"/>
      <c r="BG599" s="542"/>
      <c r="BH599" s="542"/>
      <c r="BI599" s="542"/>
      <c r="BJ599" s="542"/>
      <c r="BK599" s="542"/>
      <c r="BL599" s="542"/>
      <c r="BM599" s="542"/>
      <c r="BN599" s="196"/>
      <c r="BO599" s="196"/>
      <c r="BP599" s="196"/>
      <c r="BS599" s="694" t="s">
        <v>1937</v>
      </c>
    </row>
    <row r="600" spans="1:75" s="376" customFormat="1" ht="20.25" customHeight="1" x14ac:dyDescent="0.25">
      <c r="B600" s="537"/>
      <c r="C600" s="25"/>
      <c r="D600" s="25" cm="1">
        <f t="array" ref="D600">D599</f>
        <v>14</v>
      </c>
      <c r="E600" s="451">
        <v>21</v>
      </c>
      <c r="F600" s="3" t="str" cm="1">
        <f t="array" aca="1" ref="F600" ca="1">OFFSET(E600,-1,1)</f>
        <v>3</v>
      </c>
      <c r="G600" s="25"/>
      <c r="H600" s="25"/>
      <c r="I600" s="25"/>
      <c r="J600" s="25"/>
      <c r="K600" s="25"/>
      <c r="L600" s="25"/>
      <c r="M600" s="25"/>
      <c r="N600" s="25"/>
      <c r="O600" s="25"/>
      <c r="P600" s="25"/>
      <c r="Q600" s="25"/>
      <c r="R600" s="25"/>
      <c r="S600" s="25"/>
      <c r="T600" s="353" t="b" cm="1">
        <f t="array" aca="1" ref="T600" ca="1">T599</f>
        <v>1</v>
      </c>
      <c r="U600" s="25"/>
      <c r="V600" s="25"/>
      <c r="W600" s="25"/>
      <c r="X600" s="1022"/>
      <c r="Z600" s="967"/>
      <c r="AB600" s="7" t="str">
        <f>D600&amp;".1"</f>
        <v>14.1</v>
      </c>
      <c r="AC600" s="127" t="s">
        <v>1939</v>
      </c>
      <c r="AD600" s="7" t="s">
        <v>828</v>
      </c>
      <c r="AE600" s="128"/>
      <c r="AF600" s="128"/>
      <c r="AG600" s="128"/>
      <c r="AH600" s="171">
        <f t="shared" si="188"/>
        <v>0</v>
      </c>
      <c r="AI600" s="128"/>
      <c r="AJ600" s="128"/>
      <c r="AK600" s="778"/>
      <c r="AL600" s="778"/>
      <c r="AM600" s="128"/>
      <c r="AN600" s="128"/>
      <c r="AO600" s="128"/>
      <c r="AP600" s="128"/>
      <c r="AQ600" s="128"/>
      <c r="AR600" s="128"/>
      <c r="AS600" s="128"/>
      <c r="AT600" s="128"/>
      <c r="AU600" s="778"/>
      <c r="AV600" s="778"/>
      <c r="AW600" s="128"/>
      <c r="AX600" s="128"/>
      <c r="AY600" s="128"/>
      <c r="AZ600" s="128"/>
      <c r="BA600" s="128"/>
      <c r="BB600" s="128"/>
      <c r="BC600" s="128"/>
      <c r="BD600" s="542"/>
      <c r="BE600" s="542"/>
      <c r="BF600" s="542"/>
      <c r="BG600" s="542"/>
      <c r="BH600" s="542"/>
      <c r="BI600" s="542"/>
      <c r="BJ600" s="542"/>
      <c r="BK600" s="542"/>
      <c r="BL600" s="542"/>
      <c r="BM600" s="542"/>
      <c r="BN600" s="196"/>
      <c r="BO600" s="196"/>
      <c r="BP600" s="196"/>
      <c r="BS600" s="694" t="s">
        <v>1940</v>
      </c>
      <c r="BT600" s="703"/>
      <c r="BU600" s="703"/>
      <c r="BV600" s="704"/>
      <c r="BW600" s="704"/>
    </row>
    <row r="601" spans="1:75" s="376" customFormat="1" ht="64.5" customHeight="1" x14ac:dyDescent="0.25">
      <c r="B601" s="537"/>
      <c r="C601" s="25"/>
      <c r="D601" s="25" cm="1">
        <f t="array" ref="D601">D600</f>
        <v>14</v>
      </c>
      <c r="E601" s="451">
        <v>66.599999999999994</v>
      </c>
      <c r="F601" s="3" t="str" cm="1">
        <f t="array" aca="1" ref="F601" ca="1">OFFSET(E601,-1,1)</f>
        <v>3</v>
      </c>
      <c r="G601" s="25"/>
      <c r="H601" s="25"/>
      <c r="I601" s="25"/>
      <c r="J601" s="25"/>
      <c r="K601" s="25"/>
      <c r="L601" s="25"/>
      <c r="M601" s="25"/>
      <c r="N601" s="25"/>
      <c r="O601" s="25"/>
      <c r="P601" s="25"/>
      <c r="Q601" s="25"/>
      <c r="R601" s="25"/>
      <c r="S601" s="25"/>
      <c r="T601" s="353" t="b" cm="1">
        <f t="array" aca="1" ref="T601" ca="1">T600</f>
        <v>1</v>
      </c>
      <c r="U601" s="25"/>
      <c r="V601" s="25"/>
      <c r="W601" s="25"/>
      <c r="X601" s="1022"/>
      <c r="Z601" s="967"/>
      <c r="AB601" s="7" t="str">
        <f>D601&amp;".2"</f>
        <v>14.2</v>
      </c>
      <c r="AC601" s="127" t="s">
        <v>1942</v>
      </c>
      <c r="AD601" s="7" t="s">
        <v>828</v>
      </c>
      <c r="AE601" s="128"/>
      <c r="AF601" s="128"/>
      <c r="AG601" s="128"/>
      <c r="AH601" s="171">
        <f t="shared" si="188"/>
        <v>0</v>
      </c>
      <c r="AI601" s="128"/>
      <c r="AJ601" s="128"/>
      <c r="AK601" s="778"/>
      <c r="AL601" s="778"/>
      <c r="AM601" s="128"/>
      <c r="AN601" s="128"/>
      <c r="AO601" s="128"/>
      <c r="AP601" s="128"/>
      <c r="AQ601" s="128"/>
      <c r="AR601" s="128"/>
      <c r="AS601" s="128"/>
      <c r="AT601" s="128"/>
      <c r="AU601" s="778"/>
      <c r="AV601" s="778"/>
      <c r="AW601" s="128"/>
      <c r="AX601" s="128"/>
      <c r="AY601" s="128"/>
      <c r="AZ601" s="128"/>
      <c r="BA601" s="128"/>
      <c r="BB601" s="128"/>
      <c r="BC601" s="128"/>
      <c r="BD601" s="542"/>
      <c r="BE601" s="542"/>
      <c r="BF601" s="542"/>
      <c r="BG601" s="542"/>
      <c r="BH601" s="542"/>
      <c r="BI601" s="542"/>
      <c r="BJ601" s="542"/>
      <c r="BK601" s="542"/>
      <c r="BL601" s="542"/>
      <c r="BM601" s="542"/>
      <c r="BN601" s="196"/>
      <c r="BO601" s="196"/>
      <c r="BP601" s="196"/>
      <c r="BS601" s="694" t="s">
        <v>1943</v>
      </c>
      <c r="BT601" s="703"/>
      <c r="BU601" s="703"/>
      <c r="BV601" s="704"/>
      <c r="BW601" s="704"/>
    </row>
    <row r="602" spans="1:75" s="376" customFormat="1" ht="44.25" customHeight="1" x14ac:dyDescent="0.15">
      <c r="B602" s="537"/>
      <c r="C602" s="25"/>
      <c r="D602" s="25" cm="1">
        <f t="array" ref="D602">D601</f>
        <v>14</v>
      </c>
      <c r="E602" s="451">
        <v>45.6</v>
      </c>
      <c r="F602" s="3" t="str" cm="1">
        <f t="array" aca="1" ref="F602" ca="1">OFFSET(E602,-1,1)</f>
        <v>3</v>
      </c>
      <c r="G602" s="25"/>
      <c r="H602" s="25"/>
      <c r="I602" s="25"/>
      <c r="J602" s="25"/>
      <c r="K602" s="25"/>
      <c r="L602" s="25"/>
      <c r="M602" s="25"/>
      <c r="N602" s="25"/>
      <c r="O602" s="25"/>
      <c r="P602" s="25"/>
      <c r="Q602" s="25"/>
      <c r="R602" s="25"/>
      <c r="S602" s="25"/>
      <c r="T602" s="353" t="b" cm="1">
        <f t="array" aca="1" ref="T602" ca="1">T601</f>
        <v>1</v>
      </c>
      <c r="U602" s="25"/>
      <c r="V602" s="25"/>
      <c r="W602" s="25"/>
      <c r="X602" s="1022"/>
      <c r="Z602" s="967"/>
      <c r="AB602" s="7" t="str">
        <f>D602&amp;".3"</f>
        <v>14.3</v>
      </c>
      <c r="AC602" s="127" t="s">
        <v>2225</v>
      </c>
      <c r="AD602" s="7" t="s">
        <v>828</v>
      </c>
      <c r="AE602" s="542"/>
      <c r="AF602" s="128"/>
      <c r="AG602" s="128"/>
      <c r="AH602" s="171">
        <f t="shared" si="188"/>
        <v>0</v>
      </c>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196"/>
      <c r="BO602" s="196"/>
      <c r="BP602" s="196"/>
      <c r="BS602" s="703" t="s">
        <v>2226</v>
      </c>
      <c r="BT602" s="703"/>
      <c r="BU602" s="703"/>
      <c r="BV602" s="704"/>
      <c r="BW602" s="704"/>
    </row>
    <row r="603" spans="1:75" ht="10.9" customHeight="1" x14ac:dyDescent="0.15">
      <c r="A603"/>
      <c r="B603" s="327"/>
      <c r="C603"/>
      <c r="D603"/>
      <c r="E603" s="454">
        <v>11.25</v>
      </c>
      <c r="F603" s="4"/>
      <c r="G603"/>
      <c r="H603"/>
      <c r="I603"/>
      <c r="J603"/>
      <c r="K603"/>
      <c r="L603"/>
      <c r="M603"/>
      <c r="N603"/>
      <c r="O603"/>
      <c r="P603"/>
      <c r="Q603"/>
      <c r="R603"/>
      <c r="S603"/>
      <c r="T603"/>
      <c r="U603" t="s">
        <v>176</v>
      </c>
      <c r="V603" s="506" t="s">
        <v>2323</v>
      </c>
      <c r="W603"/>
      <c r="X603"/>
      <c r="Y603"/>
      <c r="Z603"/>
      <c r="AA603"/>
      <c r="AB603" s="315"/>
      <c r="AC603" s="18"/>
      <c r="AD603" s="18"/>
      <c r="AE603" s="315"/>
      <c r="AF603" s="315"/>
      <c r="AG603"/>
      <c r="AH603"/>
      <c r="AI603"/>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c r="BO603"/>
      <c r="BP603"/>
      <c r="BQ603"/>
      <c r="BR603"/>
      <c r="BS603" s="661"/>
      <c r="BT603" s="661"/>
      <c r="BU603" s="661"/>
      <c r="BV603" s="454"/>
      <c r="BW603" s="454"/>
    </row>
    <row r="604" spans="1:75" ht="14.65" customHeight="1" x14ac:dyDescent="0.15">
      <c r="C604" s="25"/>
      <c r="D604" s="25"/>
      <c r="E604" s="451">
        <v>15</v>
      </c>
      <c r="F604" s="25"/>
      <c r="G604" s="25"/>
      <c r="H604" s="25"/>
      <c r="I604" s="25"/>
      <c r="J604" s="25"/>
      <c r="K604" s="25"/>
      <c r="L604" s="25"/>
      <c r="M604" s="25"/>
      <c r="N604" s="25"/>
      <c r="O604" s="25"/>
      <c r="P604" s="25"/>
      <c r="Q604" s="25"/>
      <c r="R604" s="25"/>
      <c r="S604" s="25"/>
      <c r="T604" s="25"/>
      <c r="U604" s="25"/>
      <c r="V604" s="25"/>
      <c r="W604" s="25"/>
      <c r="X604" s="25"/>
      <c r="AB604" s="993" t="s">
        <v>408</v>
      </c>
      <c r="AC604" s="993"/>
      <c r="AD604" s="993"/>
      <c r="AE604" s="993"/>
      <c r="AF604" s="993"/>
      <c r="AG604" s="993"/>
      <c r="AH604" s="993"/>
      <c r="AI604" s="993"/>
      <c r="AJ604" s="993"/>
      <c r="AK604" s="993"/>
      <c r="AL604" s="993"/>
      <c r="AM604" s="993"/>
      <c r="AN604" s="993"/>
      <c r="AO604" s="993"/>
      <c r="AP604" s="993"/>
      <c r="AQ604" s="993"/>
      <c r="AR604" s="993"/>
      <c r="AS604" s="993"/>
      <c r="AT604" s="993"/>
      <c r="AU604" s="993"/>
      <c r="AV604" s="993"/>
      <c r="AW604" s="993"/>
      <c r="AX604" s="993"/>
      <c r="AY604" s="993"/>
      <c r="AZ604" s="993"/>
      <c r="BA604" s="993"/>
      <c r="BB604" s="993"/>
      <c r="BC604" s="993"/>
      <c r="BD604" s="993"/>
      <c r="BE604" s="993"/>
      <c r="BF604" s="993"/>
      <c r="BG604" s="993"/>
      <c r="BH604" s="993"/>
      <c r="BI604" s="993"/>
      <c r="BJ604" s="993"/>
      <c r="BK604" s="993"/>
      <c r="BL604" s="993"/>
      <c r="BM604" s="993"/>
      <c r="BN604" s="993"/>
      <c r="BO604" s="993"/>
      <c r="BP604" s="993"/>
    </row>
    <row r="605" spans="1:75" ht="14.65" customHeight="1" x14ac:dyDescent="0.15">
      <c r="E605" s="507">
        <v>15</v>
      </c>
      <c r="AA605" s="87"/>
      <c r="AB605" s="1060"/>
      <c r="AC605" s="1063"/>
      <c r="AD605" s="1063"/>
      <c r="AE605" s="1063"/>
      <c r="AF605" s="1063"/>
      <c r="AG605" s="1063"/>
      <c r="AH605" s="1063"/>
      <c r="AI605" s="1063"/>
      <c r="AJ605" s="1063"/>
      <c r="AK605" s="1063"/>
      <c r="AL605" s="1063"/>
      <c r="AM605" s="1063"/>
      <c r="AN605" s="1063"/>
      <c r="AO605" s="1063"/>
      <c r="AP605" s="1063"/>
      <c r="AQ605" s="1063"/>
      <c r="AR605" s="1063"/>
      <c r="AS605" s="1063"/>
      <c r="AT605" s="1063"/>
      <c r="AU605" s="1063"/>
      <c r="AV605" s="1063"/>
      <c r="AW605" s="1063"/>
      <c r="AX605" s="1063"/>
      <c r="AY605" s="1063"/>
      <c r="AZ605" s="1063"/>
      <c r="BA605" s="1063"/>
      <c r="BB605" s="1063"/>
      <c r="BC605" s="1063"/>
      <c r="BD605" s="1063"/>
      <c r="BE605" s="1063"/>
      <c r="BF605" s="1063"/>
      <c r="BG605" s="1063"/>
      <c r="BH605" s="1063"/>
      <c r="BI605" s="1063"/>
      <c r="BJ605" s="1063"/>
      <c r="BK605" s="1063"/>
      <c r="BL605" s="1063"/>
      <c r="BM605" s="1063"/>
      <c r="BN605" s="1063"/>
      <c r="BO605" s="1063"/>
      <c r="BP605" s="1063"/>
    </row>
    <row r="606" spans="1:75" ht="14.65" hidden="1" customHeight="1" x14ac:dyDescent="0.15">
      <c r="E606" s="507">
        <v>15</v>
      </c>
      <c r="T606" s="353" t="b">
        <f>ROW(W606)&gt;ROW(W$606)</f>
        <v>0</v>
      </c>
      <c r="W606" s="72" t="s">
        <v>172</v>
      </c>
      <c r="AA606" s="320" t="s">
        <v>173</v>
      </c>
      <c r="AB606" s="1061" t="s">
        <v>225</v>
      </c>
      <c r="AC606" s="1063"/>
      <c r="AD606" s="1063"/>
      <c r="AE606" s="1063"/>
      <c r="AF606" s="1063"/>
      <c r="AG606" s="1063"/>
      <c r="AH606" s="1063"/>
      <c r="AI606" s="1063"/>
      <c r="AJ606" s="1063"/>
      <c r="AK606" s="1063"/>
      <c r="AL606" s="1063"/>
      <c r="AM606" s="1063"/>
      <c r="AN606" s="1063"/>
      <c r="AO606" s="1063"/>
      <c r="AP606" s="1063"/>
      <c r="AQ606" s="1063"/>
      <c r="AR606" s="1063"/>
      <c r="AS606" s="1063"/>
      <c r="AT606" s="1063"/>
      <c r="AU606" s="1063"/>
      <c r="AV606" s="1063"/>
      <c r="AW606" s="1063"/>
      <c r="AX606" s="1063"/>
      <c r="AY606" s="1063"/>
      <c r="AZ606" s="1063"/>
      <c r="BA606" s="1063"/>
      <c r="BB606" s="1063"/>
      <c r="BC606" s="1063"/>
      <c r="BD606" s="1063"/>
      <c r="BE606" s="1063"/>
      <c r="BF606" s="1063"/>
      <c r="BG606" s="1063"/>
      <c r="BH606" s="1063"/>
      <c r="BI606" s="1063"/>
      <c r="BJ606" s="1063"/>
      <c r="BK606" s="1063"/>
      <c r="BL606" s="1063"/>
      <c r="BM606" s="1063"/>
      <c r="BN606" s="1063"/>
      <c r="BO606" s="1063"/>
      <c r="BP606" s="1063"/>
    </row>
    <row r="607" spans="1:75" ht="14.65" customHeight="1" x14ac:dyDescent="0.15">
      <c r="E607" s="507">
        <v>15</v>
      </c>
      <c r="W607" s="506" t="s">
        <v>419</v>
      </c>
      <c r="AB607" s="485"/>
      <c r="AC607" s="382" t="s">
        <v>420</v>
      </c>
      <c r="AD607" s="218"/>
      <c r="AE607" s="218"/>
      <c r="AF607" s="218"/>
      <c r="AG607" s="218"/>
      <c r="AH607" s="218"/>
      <c r="AI607" s="218"/>
      <c r="AJ607" s="218"/>
      <c r="AK607" s="218"/>
      <c r="AL607" s="218"/>
      <c r="AM607" s="218"/>
      <c r="AN607" s="218"/>
      <c r="AO607" s="218"/>
      <c r="AP607" s="218"/>
      <c r="AQ607" s="218"/>
      <c r="AR607" s="218"/>
      <c r="AS607" s="218"/>
      <c r="AT607" s="218"/>
      <c r="AU607" s="218"/>
      <c r="AV607" s="218"/>
      <c r="AW607" s="218"/>
      <c r="AX607" s="218"/>
      <c r="AY607" s="218"/>
      <c r="AZ607" s="218"/>
      <c r="BA607" s="218"/>
      <c r="BB607" s="218"/>
      <c r="BC607" s="218"/>
      <c r="BD607" s="218"/>
      <c r="BE607" s="218"/>
      <c r="BF607" s="218"/>
      <c r="BG607" s="218"/>
      <c r="BH607" s="218"/>
      <c r="BI607" s="218"/>
      <c r="BJ607" s="218"/>
      <c r="BK607" s="218"/>
      <c r="BL607" s="218"/>
      <c r="BM607" s="218"/>
      <c r="BN607" s="218"/>
      <c r="BO607" s="218"/>
      <c r="BP607" s="187"/>
    </row>
    <row r="608" spans="1:75" ht="10.9" customHeight="1" x14ac:dyDescent="0.15">
      <c r="E608" s="507">
        <v>11.25</v>
      </c>
      <c r="BQ608" s="22"/>
    </row>
  </sheetData>
  <sheetProtection formatColumns="0" formatRows="0" insertRows="0" deleteColumns="0" deleteRows="0" sort="0" autoFilter="0"/>
  <mergeCells count="18">
    <mergeCell ref="X459:X602"/>
    <mergeCell ref="Z459:Z602"/>
    <mergeCell ref="X27:X170"/>
    <mergeCell ref="Z27:Z170"/>
    <mergeCell ref="AB606:BP606"/>
    <mergeCell ref="AB605:BP605"/>
    <mergeCell ref="BP24:BP25"/>
    <mergeCell ref="BN24:BN25"/>
    <mergeCell ref="BO24:BO25"/>
    <mergeCell ref="AB604:BP604"/>
    <mergeCell ref="AB24:AB25"/>
    <mergeCell ref="AC24:AC25"/>
    <mergeCell ref="AD24:AD25"/>
    <mergeCell ref="BD25:BM2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AE555 AF555 AG555 AI555 AJ555 AK555 AL555 AM555 AN555 AO555 AP555 AQ555 AR555 AS555 AT555 AU555 AV555 AW555 AX555 AY555 AZ555 BA555 BB555 BC555 AE556 AF556 AG556 AI556 AJ556 AK556 AL556 AM556 AN556 AO556 AP556 AQ556 AR556 AS556 AT556 AU556 AV556 AW556 AX556 AY556 AZ556 BA556 BB556 BC556 AE557 AF557 AG557 AI557 AJ557 AK557 AL557 AM557 AN557 AO557 AP557 AQ557 AR557 AS557 AT557 AU557 AV557 AW557 AX557 AY557 AZ557 BA557 BB557 BC557 AE558 AF558 AG558 AI558 AJ558 AK558 AL558 AM558 AN558 AO558 AP558 AQ558 AR558 AS558 AT558 AU558 AV558 AW558 AX558 AY558 AZ558 BA558 BB558 BC558 AE559 AF559 AG559 AI559 AJ559 AK559 AL559 AM559 AN559 AO559 AP559 AQ559 AR559 AS559 AT559 AU559 AV559 AW559 AX559 AY559 AZ559 BA559 BB559 BC559 AE560 AF560 AG560 AI560 AJ560 AK560 AL560 AM560 AN560 AO560 AP560 AQ560 AR560 AS560 AT560 AU560 AV560 AW560 AX560 AY560 AZ560 BA560 BB560 BC560 AE561 AF561 AG561 AI561 AJ561 AK561 AL561 AM561 AN561 AO561 AP561 AQ561 AR561 AS561 AT561 AU561 AV561 AW561 AX561 AY561 AZ561 BA561 BB561 BC561 AE562 AF562 AG562 AI562 AJ562 AK562 AL562 AM562 AN562 AO562 AP562 AQ562 AR562 AS562 AT562 AU562 AV562 AW562 AX562 AY562 AZ562 BA562 BB562 BC562 AE563 AF563 AG563 AI563 AJ563 AK563 AL563 AM563 AN563 AO563 AP563 AQ563 AR563 AS563 AT563 AU563 AV563 AW563 AX563 AY563 AZ563 BA563 BB563 BC563 AE564 AF564 AG564 AI564 AJ564 AK564 AL564 AM564 AN564 AO564 AP564 AQ564 AR564 AS564 AT564 AU564 AV564 AW564 AX564 AY564 AZ564 BA564 BB564 BC564 AE565 AF565 AG565 AI565 AJ565 AK565 AL565 AM565 AN565 AO565 AP565 AQ565 AR565 AS565 AT565 AU565 AV565 AW565 AX565 AY565 AZ565 BA565 BB565 BC565 AE566 AF566 AG566 AI566 AJ566 AK566 AL566 AM566 AN566 AO566 AP566 AQ566 AR566 AS566 AT566 AU566 AV566 AW566 AX566 AY566 AZ566 BA566 BB566 BC566"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BN555 BO555 BP555 BN556 BO556 BP556 BN557 BO557 BP557 BN558 BO558 BP558 BN559 BO559 BP559 BN560 BO560 BP560 BN561 BO561 BP561 BN562 BO562 BP562 BN563 BO563 BP563 BN564 BO564 BP564 BN565 BO565 BP565 BN566 BO566 BP566"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8C35-E452-FBD8-5407-3366F7C148B8}">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48"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2" t="s">
        <v>18</v>
      </c>
    </row>
    <row r="3" spans="1:5" ht="11.25" hidden="1" customHeight="1" x14ac:dyDescent="0.15">
      <c r="E3" s="38"/>
    </row>
    <row r="4" spans="1:5" ht="11.25" hidden="1" customHeight="1" x14ac:dyDescent="0.15">
      <c r="E4" s="38"/>
    </row>
    <row r="5" spans="1:5" s="448" customFormat="1" ht="11.25" hidden="1" customHeight="1" x14ac:dyDescent="0.15">
      <c r="A5" s="38"/>
      <c r="B5" s="43"/>
      <c r="C5" s="38"/>
      <c r="D5" s="38"/>
      <c r="E5" s="447"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5"/>
    </row>
    <row r="22" spans="2:30" ht="20.25" customHeight="1" x14ac:dyDescent="0.15">
      <c r="AB22" s="169" t="s">
        <v>20</v>
      </c>
      <c r="AC22" s="150"/>
      <c r="AD22" s="150"/>
    </row>
    <row r="24" spans="2:30" s="62" customFormat="1" ht="30" customHeight="1" x14ac:dyDescent="0.15">
      <c r="B24" s="326"/>
      <c r="E24" s="179"/>
      <c r="AB24" s="10" t="s">
        <v>21</v>
      </c>
      <c r="AC24" s="10" t="s">
        <v>22</v>
      </c>
      <c r="AD24" s="10" t="s">
        <v>23</v>
      </c>
    </row>
    <row r="25" spans="2:30" ht="33.75" customHeight="1" x14ac:dyDescent="0.15">
      <c r="AB25" s="10">
        <v>1</v>
      </c>
      <c r="AC25" s="170" t="s">
        <v>24</v>
      </c>
      <c r="AD25" s="170" t="s">
        <v>25</v>
      </c>
    </row>
    <row r="26" spans="2:30" ht="69" customHeight="1" x14ac:dyDescent="0.15">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56428-5868-80A8-99F8-CF88455573E8}">
  <sheetPr>
    <tabColor rgb="FF92D050"/>
    <outlinePr summaryBelow="0" summaryRight="0"/>
    <pageSetUpPr fitToPage="1"/>
  </sheetPr>
  <dimension ref="A1:BW609"/>
  <sheetViews>
    <sheetView showGridLines="0" tabSelected="1" zoomScale="60" zoomScaleNormal="60" workbookViewId="0">
      <pane xSplit="30" ySplit="25" topLeftCell="AE583" activePane="bottomRight" state="frozen"/>
      <selection pane="topRight" activeCell="AE1" sqref="AE1"/>
      <selection pane="bottomLeft" activeCell="A26" sqref="A26"/>
      <selection pane="bottomRight" activeCell="BZ591" sqref="BZ591"/>
    </sheetView>
  </sheetViews>
  <sheetFormatPr defaultColWidth="9.140625" defaultRowHeight="10.5" customHeight="1" x14ac:dyDescent="0.15"/>
  <cols>
    <col min="1" max="1" width="3.5703125" style="72" hidden="1" customWidth="1"/>
    <col min="2" max="2" width="8.5703125" style="329" hidden="1" customWidth="1"/>
    <col min="3" max="4" width="3.5703125" style="72" hidden="1" customWidth="1"/>
    <col min="5" max="5" width="3.5703125" style="507"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4" customWidth="1"/>
    <col min="29" max="29" width="38.7109375" style="71" customWidth="1"/>
    <col min="30" max="30" width="12" style="424" customWidth="1"/>
    <col min="31" max="33" width="12.5703125" style="72" customWidth="1"/>
    <col min="34" max="34" width="18.85546875" style="72" customWidth="1"/>
    <col min="35" max="35" width="13.140625" style="72" customWidth="1"/>
    <col min="36"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36.42578125" style="72" hidden="1" customWidth="1"/>
    <col min="67" max="67" width="40.7109375" style="72" customWidth="1"/>
    <col min="68" max="68" width="47.5703125" style="72" customWidth="1"/>
    <col min="69" max="69" width="3" style="72" customWidth="1"/>
    <col min="70" max="70" width="9.140625" style="72" hidden="1"/>
    <col min="71" max="73" width="9.140625" style="696" hidden="1"/>
    <col min="74" max="75" width="9.140625" style="507" hidden="1"/>
  </cols>
  <sheetData>
    <row r="1" spans="1:75" ht="11.25" hidden="1" customHeight="1" x14ac:dyDescent="0.15">
      <c r="E1" s="72"/>
      <c r="F1" s="72" t="s">
        <v>320</v>
      </c>
      <c r="I1" s="72" t="s">
        <v>1945</v>
      </c>
      <c r="J1" s="72" t="s">
        <v>355</v>
      </c>
      <c r="K1" s="72" t="s">
        <v>1946</v>
      </c>
      <c r="L1" s="72" t="s">
        <v>1947</v>
      </c>
      <c r="M1" s="72" t="s">
        <v>1948</v>
      </c>
      <c r="T1" s="353" t="s">
        <v>92</v>
      </c>
      <c r="U1" s="353" t="s">
        <v>97</v>
      </c>
      <c r="V1" s="353" t="s">
        <v>93</v>
      </c>
      <c r="W1" s="353" t="s">
        <v>94</v>
      </c>
      <c r="X1" s="353" t="s">
        <v>95</v>
      </c>
      <c r="Y1" s="355" t="s">
        <v>322</v>
      </c>
      <c r="Z1" s="353" t="s">
        <v>99</v>
      </c>
      <c r="AA1" s="354" t="s">
        <v>96</v>
      </c>
      <c r="AB1" s="4"/>
      <c r="AC1" s="354" t="s">
        <v>98</v>
      </c>
      <c r="BS1" s="696" t="s">
        <v>323</v>
      </c>
      <c r="BT1" s="696" t="s">
        <v>324</v>
      </c>
      <c r="BU1" s="696" t="s">
        <v>325</v>
      </c>
      <c r="BV1" s="507" t="s">
        <v>328</v>
      </c>
      <c r="BW1" s="507" t="s">
        <v>329</v>
      </c>
    </row>
    <row r="2" spans="1:75" s="329" customFormat="1" ht="11.25" hidden="1" customHeight="1" x14ac:dyDescent="0.15">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7"/>
      <c r="BT2" s="697"/>
      <c r="BU2" s="697"/>
      <c r="BV2" s="452"/>
      <c r="BW2" s="452"/>
    </row>
    <row r="3" spans="1:75" ht="11.25" hidden="1" customHeight="1" x14ac:dyDescent="0.15">
      <c r="E3" s="72"/>
      <c r="R3" s="341" t="b">
        <v>0</v>
      </c>
    </row>
    <row r="4" spans="1:75" ht="11.25" hidden="1" customHeight="1" x14ac:dyDescent="0.15">
      <c r="E4" s="72"/>
    </row>
    <row r="5" spans="1:75" s="507" customFormat="1" ht="11.25" hidden="1" customHeight="1" x14ac:dyDescent="0.15">
      <c r="A5" s="72"/>
      <c r="B5" s="329"/>
      <c r="C5" s="72"/>
      <c r="D5" s="72"/>
      <c r="E5" s="507" t="s">
        <v>19</v>
      </c>
      <c r="AA5" s="507">
        <v>3</v>
      </c>
      <c r="AB5" s="512">
        <v>11</v>
      </c>
      <c r="AC5" s="508">
        <v>75</v>
      </c>
      <c r="AD5" s="512">
        <v>12</v>
      </c>
      <c r="AE5" s="507">
        <v>12.57</v>
      </c>
      <c r="AF5" s="507">
        <v>12.57</v>
      </c>
      <c r="AG5" s="507">
        <v>12.57</v>
      </c>
      <c r="AH5" s="507">
        <v>21</v>
      </c>
      <c r="AI5" s="507">
        <v>12.57</v>
      </c>
      <c r="AJ5" s="507">
        <v>12.57</v>
      </c>
      <c r="AK5" s="507">
        <v>12.57</v>
      </c>
      <c r="AL5" s="507">
        <v>12.57</v>
      </c>
      <c r="AM5" s="507">
        <v>12.57</v>
      </c>
      <c r="AN5" s="507">
        <v>12.57</v>
      </c>
      <c r="AO5" s="507">
        <v>12.57</v>
      </c>
      <c r="AP5" s="507">
        <v>12.57</v>
      </c>
      <c r="AQ5" s="507">
        <v>12.57</v>
      </c>
      <c r="AR5" s="507">
        <v>12.57</v>
      </c>
      <c r="AS5" s="507">
        <v>12.57</v>
      </c>
      <c r="AT5" s="507">
        <v>12.57</v>
      </c>
      <c r="AU5" s="507">
        <v>12.57</v>
      </c>
      <c r="AV5" s="507">
        <v>12.57</v>
      </c>
      <c r="AW5" s="507">
        <v>12.57</v>
      </c>
      <c r="AX5" s="507">
        <v>12.57</v>
      </c>
      <c r="AY5" s="507">
        <v>12.57</v>
      </c>
      <c r="AZ5" s="507">
        <v>12.57</v>
      </c>
      <c r="BA5" s="507">
        <v>12.57</v>
      </c>
      <c r="BB5" s="507">
        <v>12.57</v>
      </c>
      <c r="BC5" s="507">
        <v>12.57</v>
      </c>
      <c r="BD5" s="507">
        <v>12.57</v>
      </c>
      <c r="BE5" s="507">
        <v>12.57</v>
      </c>
      <c r="BF5" s="507">
        <v>12.57</v>
      </c>
      <c r="BG5" s="507">
        <v>12.57</v>
      </c>
      <c r="BH5" s="507">
        <v>12.57</v>
      </c>
      <c r="BI5" s="507">
        <v>12.57</v>
      </c>
      <c r="BJ5" s="507">
        <v>12.57</v>
      </c>
      <c r="BK5" s="507">
        <v>12.57</v>
      </c>
      <c r="BL5" s="507">
        <v>12.57</v>
      </c>
      <c r="BM5" s="507">
        <v>12.57</v>
      </c>
      <c r="BN5" s="507">
        <v>20</v>
      </c>
      <c r="BO5" s="507">
        <v>20</v>
      </c>
      <c r="BP5" s="507">
        <v>42</v>
      </c>
      <c r="BQ5" s="507">
        <v>3</v>
      </c>
      <c r="BS5" s="696"/>
      <c r="BT5" s="696"/>
      <c r="BU5" s="696"/>
    </row>
    <row r="6" spans="1:75" ht="11.25" hidden="1" customHeight="1" x14ac:dyDescent="0.15">
      <c r="A6" s="72" t="s">
        <v>358</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359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6" customFormat="1" ht="11.25" hidden="1" customHeight="1" x14ac:dyDescent="0.25">
      <c r="A9" s="656" t="s">
        <v>363</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7"/>
      <c r="BW9" s="507"/>
    </row>
    <row r="10" spans="1:75" s="696" customFormat="1" ht="11.25" hidden="1" customHeight="1" x14ac:dyDescent="0.25">
      <c r="A10" s="656" t="s">
        <v>364</v>
      </c>
      <c r="B10" s="694"/>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7"/>
      <c r="BW10" s="507"/>
    </row>
    <row r="11" spans="1:75" s="696" customFormat="1" ht="11.25" hidden="1" customHeight="1" x14ac:dyDescent="0.25">
      <c r="A11" s="656" t="s">
        <v>365</v>
      </c>
      <c r="B11" s="694"/>
      <c r="C11" s="694"/>
      <c r="D11" s="694"/>
      <c r="E11" s="694"/>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71"/>
      <c r="BN11" s="696" t="str" cm="1">
        <f t="array" ref="BN11">BN24</f>
        <v>Указание на подтверждающие документы / URL-ссылка на копии подтверждающих документов</v>
      </c>
      <c r="BO11" s="696" t="str" cm="1">
        <f t="array" ref="BO11">BO24</f>
        <v>Ссылка на правовую норму (основание для принятия показателя в расчет тарифа)</v>
      </c>
      <c r="BP11" s="69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7"/>
      <c r="BW11" s="507"/>
    </row>
    <row r="12" spans="1:75" s="696" customFormat="1" ht="11.25" hidden="1" customHeight="1" x14ac:dyDescent="0.25">
      <c r="A12" s="694" t="s">
        <v>337</v>
      </c>
      <c r="B12" s="694"/>
      <c r="C12" s="694"/>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t="s">
        <v>325</v>
      </c>
      <c r="AD12" s="694"/>
      <c r="AE12" s="671"/>
      <c r="BV12" s="507"/>
      <c r="BW12" s="507"/>
    </row>
    <row r="13" spans="1:75" ht="11.25" hidden="1" customHeight="1" x14ac:dyDescent="0.15">
      <c r="A13" s="72" t="s">
        <v>1732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366</v>
      </c>
      <c r="AC18" s="71" t="s">
        <v>367</v>
      </c>
    </row>
    <row r="19" spans="1:75" ht="11.25" hidden="1" customHeight="1" x14ac:dyDescent="0.15"/>
    <row r="20" spans="1:75" ht="11.25" hidden="1" customHeight="1" x14ac:dyDescent="0.15"/>
    <row r="21" spans="1:75" ht="14.65" customHeight="1" x14ac:dyDescent="0.15">
      <c r="E21" s="507">
        <v>15</v>
      </c>
      <c r="AA21" s="325"/>
      <c r="AB21" s="72"/>
      <c r="AC21" s="3" t="str" cm="1">
        <f t="array" ref="AC21">tpl_title</f>
        <v>Кемеровская область / 2026 / КАО "Азот" (ИНН:4205000908, КПП:997550001) / ДПР: 2024-2028</v>
      </c>
      <c r="AD21" s="72"/>
    </row>
    <row r="22" spans="1:75" s="25" customFormat="1" ht="19.5" customHeight="1" x14ac:dyDescent="0.15">
      <c r="B22" s="329"/>
      <c r="E22" s="451">
        <v>20</v>
      </c>
      <c r="AB22" s="226"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8"/>
      <c r="BT22" s="698"/>
      <c r="BU22" s="698"/>
      <c r="BV22" s="451"/>
      <c r="BW22" s="451"/>
    </row>
    <row r="23" spans="1:75" s="25" customFormat="1" ht="10.15" customHeight="1" x14ac:dyDescent="0.15">
      <c r="B23" s="329"/>
      <c r="E23" s="451">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8"/>
      <c r="BT23" s="698"/>
      <c r="BU23" s="698"/>
      <c r="BV23" s="451"/>
      <c r="BW23" s="451"/>
    </row>
    <row r="24" spans="1:75" s="71" customFormat="1" ht="24.2" customHeight="1" x14ac:dyDescent="0.15">
      <c r="B24" s="330"/>
      <c r="E24" s="508">
        <v>24.75</v>
      </c>
      <c r="AB24" s="996" t="s">
        <v>21</v>
      </c>
      <c r="AC24" s="996" t="s">
        <v>367</v>
      </c>
      <c r="AD24" s="996" t="s">
        <v>368</v>
      </c>
      <c r="AE24" s="10" t="str">
        <f>god-2&amp;" год"</f>
        <v>2024 год</v>
      </c>
      <c r="AF24" s="727" t="str">
        <f>god-2&amp;" год"</f>
        <v>2024 год</v>
      </c>
      <c r="AG24" s="10" t="str">
        <f>god-2&amp;" год"</f>
        <v>2024 год</v>
      </c>
      <c r="AH24" s="10" t="str">
        <f>god-2&amp;" год"</f>
        <v>2024 год</v>
      </c>
      <c r="AI24" s="10" t="str">
        <f>god-1&amp;" год"</f>
        <v>2025 год</v>
      </c>
      <c r="AJ24" s="725" t="str">
        <f>god&amp;" год"</f>
        <v>2026 год</v>
      </c>
      <c r="AK24" s="725" t="str">
        <f>god+1&amp;" год"</f>
        <v>2027 год</v>
      </c>
      <c r="AL24" s="725" t="str">
        <f>god+2&amp;" год"</f>
        <v>2028 год</v>
      </c>
      <c r="AM24" s="725" t="str">
        <f>god+3&amp;" год"</f>
        <v>2029 год</v>
      </c>
      <c r="AN24" s="725" t="str">
        <f>god+4&amp;" год"</f>
        <v>2030 год</v>
      </c>
      <c r="AO24" s="725" t="str">
        <f>god+5&amp;" год"</f>
        <v>2031 год</v>
      </c>
      <c r="AP24" s="725" t="str">
        <f>god+6&amp;" год"</f>
        <v>2032 год</v>
      </c>
      <c r="AQ24" s="725" t="str">
        <f>god+7&amp;" год"</f>
        <v>2033 год</v>
      </c>
      <c r="AR24" s="725" t="str">
        <f>god+8&amp;" год"</f>
        <v>2034 год</v>
      </c>
      <c r="AS24" s="725"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6" t="s">
        <v>1735</v>
      </c>
      <c r="BO24" s="1016" t="s">
        <v>553</v>
      </c>
      <c r="BP24" s="1016" t="s">
        <v>1736</v>
      </c>
      <c r="BS24" s="699"/>
      <c r="BT24" s="699"/>
      <c r="BU24" s="699"/>
      <c r="BV24" s="508"/>
      <c r="BW24" s="508"/>
    </row>
    <row r="25" spans="1:75" s="71" customFormat="1" ht="48.95" customHeight="1" x14ac:dyDescent="0.15">
      <c r="B25" s="330"/>
      <c r="E25" s="508">
        <v>50.25</v>
      </c>
      <c r="AB25" s="996"/>
      <c r="AC25" s="996"/>
      <c r="AD25" s="996"/>
      <c r="AE25" s="10" t="s">
        <v>360</v>
      </c>
      <c r="AF25" s="727" t="s">
        <v>470</v>
      </c>
      <c r="AG25" s="10" t="s">
        <v>471</v>
      </c>
      <c r="AH25" s="10" t="s">
        <v>1737</v>
      </c>
      <c r="AI25" s="10" t="s">
        <v>360</v>
      </c>
      <c r="AJ25" s="729" t="s">
        <v>361</v>
      </c>
      <c r="AK25" s="729" t="s">
        <v>361</v>
      </c>
      <c r="AL25" s="729" t="s">
        <v>361</v>
      </c>
      <c r="AM25" s="729" t="s">
        <v>361</v>
      </c>
      <c r="AN25" s="729" t="s">
        <v>361</v>
      </c>
      <c r="AO25" s="729" t="s">
        <v>361</v>
      </c>
      <c r="AP25" s="729" t="s">
        <v>361</v>
      </c>
      <c r="AQ25" s="729" t="s">
        <v>361</v>
      </c>
      <c r="AR25" s="729" t="s">
        <v>361</v>
      </c>
      <c r="AS25" s="729" t="s">
        <v>361</v>
      </c>
      <c r="AT25" s="262" t="s">
        <v>360</v>
      </c>
      <c r="AU25" s="262" t="s">
        <v>360</v>
      </c>
      <c r="AV25" s="262" t="s">
        <v>360</v>
      </c>
      <c r="AW25" s="262" t="s">
        <v>360</v>
      </c>
      <c r="AX25" s="262" t="s">
        <v>360</v>
      </c>
      <c r="AY25" s="262" t="s">
        <v>360</v>
      </c>
      <c r="AZ25" s="262" t="s">
        <v>360</v>
      </c>
      <c r="BA25" s="262" t="s">
        <v>360</v>
      </c>
      <c r="BB25" s="262" t="s">
        <v>360</v>
      </c>
      <c r="BC25" s="262" t="s">
        <v>360</v>
      </c>
      <c r="BD25" s="1016" t="s">
        <v>1734</v>
      </c>
      <c r="BE25" s="1016"/>
      <c r="BF25" s="1016"/>
      <c r="BG25" s="1016"/>
      <c r="BH25" s="1016"/>
      <c r="BI25" s="1016"/>
      <c r="BJ25" s="1016"/>
      <c r="BK25" s="1016"/>
      <c r="BL25" s="1016"/>
      <c r="BM25" s="1016"/>
      <c r="BN25" s="1016"/>
      <c r="BO25" s="1016"/>
      <c r="BP25" s="1016"/>
      <c r="BS25" s="699"/>
      <c r="BT25" s="699"/>
      <c r="BU25" s="699"/>
      <c r="BV25" s="508"/>
      <c r="BW25" s="508"/>
    </row>
    <row r="26" spans="1:75" ht="11.25" customHeight="1" x14ac:dyDescent="0.15">
      <c r="A26"/>
      <c r="B26" s="327"/>
      <c r="C26"/>
      <c r="D26"/>
      <c r="E26" s="454" t="s">
        <v>371</v>
      </c>
      <c r="F26" s="86" t="s">
        <v>1949</v>
      </c>
      <c r="G26"/>
      <c r="H26"/>
      <c r="I26"/>
      <c r="J26"/>
      <c r="K26"/>
      <c r="L26"/>
      <c r="M26"/>
      <c r="N26"/>
      <c r="O26"/>
      <c r="P26"/>
      <c r="Q26"/>
      <c r="R26"/>
      <c r="S26" s="533" t="s">
        <v>372</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4"/>
      <c r="BW26" s="454"/>
    </row>
    <row r="27" spans="1:75" s="38" customFormat="1" ht="14.65" hidden="1" customHeight="1" x14ac:dyDescent="0.15">
      <c r="B27" s="43"/>
      <c r="E27" s="448">
        <v>15</v>
      </c>
      <c r="F27" s="17" cm="1">
        <f t="array" ref="F27">X27</f>
        <v>0</v>
      </c>
      <c r="G27" s="17" cm="1">
        <f t="array" ref="G27">INDEX('Общие сведения'!$AK$179:$AK$236,MATCH($X27,'Общие сведения'!$Z$179:$Z$236,0))</f>
        <v>0</v>
      </c>
      <c r="I27" s="17"/>
      <c r="L27" s="22"/>
      <c r="M27" s="22"/>
      <c r="S27" s="38" cm="1">
        <f t="array" ref="S27">INDEX('Общие сведения'!$AE$179:$AE$236,MATCH($X27,'Общие сведения'!$Z$179:$Z$236,0))</f>
        <v>0</v>
      </c>
      <c r="T27" s="353" t="b">
        <f>X27&gt;0</f>
        <v>0</v>
      </c>
      <c r="V27" s="38" t="s">
        <v>264</v>
      </c>
      <c r="X27" s="990">
        <v>0</v>
      </c>
      <c r="Z27" s="967"/>
      <c r="AB27" s="280" t="str" cm="1">
        <f t="array" ref="AB27">INDEX('Общие сведения'!$AG$179:$AG$236,MATCH($X27,'Общие сведения'!$Z$179:$Z$236,0))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6"/>
      <c r="BT27" s="656"/>
      <c r="BU27" s="656"/>
      <c r="BV27" s="448"/>
      <c r="BW27" s="448"/>
    </row>
    <row r="28" spans="1:75" s="75" customFormat="1" ht="20.45" hidden="1" customHeight="1" x14ac:dyDescent="0.15">
      <c r="B28" s="331"/>
      <c r="E28" s="509">
        <v>21</v>
      </c>
      <c r="F28" s="3" cm="1">
        <f t="array" aca="1" ref="F28" ca="1">OFFSET(E28,-1,1)</f>
        <v>0</v>
      </c>
      <c r="H28" s="276"/>
      <c r="I28" s="276" t="s">
        <v>331</v>
      </c>
      <c r="K28" s="276" t="s">
        <v>331</v>
      </c>
      <c r="L28" s="575"/>
      <c r="M28" s="575"/>
      <c r="R28" s="75" t="s">
        <v>2324</v>
      </c>
      <c r="T28" s="353" t="b" cm="1">
        <f t="array" ref="T28">T27</f>
        <v>0</v>
      </c>
      <c r="X28" s="990"/>
      <c r="Z28" s="967"/>
      <c r="AB28" s="160" t="s">
        <v>275</v>
      </c>
      <c r="AC28" s="125" t="s">
        <v>1950</v>
      </c>
      <c r="AD28" s="147" t="s">
        <v>828</v>
      </c>
      <c r="AE28" s="126">
        <f ca="1">SUM(AE30,AE47,AE53,AE73,AE74,AE75)</f>
        <v>0</v>
      </c>
      <c r="AF28" s="126">
        <f ca="1">SUM(AF30,AF47,AF53,AF73,AF74,AF75)</f>
        <v>0</v>
      </c>
      <c r="AG28" s="126">
        <f ca="1">SUM(AG30,AG47,AG53,AG73,AG74,AG75)</f>
        <v>0</v>
      </c>
      <c r="AH28" s="126">
        <f t="shared" ref="AH28:AH59" ca="1" si="2">AG28-AF28</f>
        <v>0</v>
      </c>
      <c r="AI28" s="774">
        <f ca="1">AE28*AI29</f>
        <v>0</v>
      </c>
      <c r="AJ28" s="138">
        <f t="shared" ref="AJ28:AS28" ca="1" si="3">AI28*AJ29</f>
        <v>0</v>
      </c>
      <c r="AK28" s="774">
        <f t="shared" ca="1" si="3"/>
        <v>0</v>
      </c>
      <c r="AL28" s="774">
        <f t="shared" ca="1" si="3"/>
        <v>0</v>
      </c>
      <c r="AM28" s="774">
        <f t="shared" ca="1" si="3"/>
        <v>0</v>
      </c>
      <c r="AN28" s="774">
        <f t="shared" ca="1" si="3"/>
        <v>0</v>
      </c>
      <c r="AO28" s="774">
        <f t="shared" ca="1" si="3"/>
        <v>0</v>
      </c>
      <c r="AP28" s="774">
        <f t="shared" ca="1" si="3"/>
        <v>0</v>
      </c>
      <c r="AQ28" s="774">
        <f t="shared" ca="1" si="3"/>
        <v>0</v>
      </c>
      <c r="AR28" s="774">
        <f t="shared" ca="1" si="3"/>
        <v>0</v>
      </c>
      <c r="AS28" s="774">
        <f t="shared" ca="1" si="3"/>
        <v>0</v>
      </c>
      <c r="AT28" s="138">
        <f ca="1">AI28*AT29</f>
        <v>0</v>
      </c>
      <c r="AU28" s="774">
        <f t="shared" ref="AU28:BC28" ca="1" si="4">AT28*AU29</f>
        <v>0</v>
      </c>
      <c r="AV28" s="774">
        <f t="shared" ca="1" si="4"/>
        <v>0</v>
      </c>
      <c r="AW28" s="774">
        <f t="shared" ca="1" si="4"/>
        <v>0</v>
      </c>
      <c r="AX28" s="774">
        <f t="shared" ca="1" si="4"/>
        <v>0</v>
      </c>
      <c r="AY28" s="774">
        <f t="shared" ca="1" si="4"/>
        <v>0</v>
      </c>
      <c r="AZ28" s="774">
        <f t="shared" ca="1" si="4"/>
        <v>0</v>
      </c>
      <c r="BA28" s="774">
        <f t="shared" ca="1" si="4"/>
        <v>0</v>
      </c>
      <c r="BB28" s="774">
        <f t="shared" ca="1" si="4"/>
        <v>0</v>
      </c>
      <c r="BC28" s="774">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5"/>
      <c r="BO28" s="775"/>
      <c r="BP28" s="775"/>
      <c r="BQ28" s="74"/>
      <c r="BS28" s="700" t="s">
        <v>550</v>
      </c>
      <c r="BT28" s="700"/>
      <c r="BU28" s="700"/>
      <c r="BV28" s="509"/>
      <c r="BW28" s="509"/>
    </row>
    <row r="29" spans="1:75" ht="14.65" hidden="1" customHeight="1" x14ac:dyDescent="0.15">
      <c r="E29" s="507">
        <v>15</v>
      </c>
      <c r="F29" s="3" cm="1">
        <f t="array" aca="1" ref="F29" ca="1">OFFSET(E29,-1,1)</f>
        <v>0</v>
      </c>
      <c r="H29" s="277"/>
      <c r="I29" s="277" t="s">
        <v>482</v>
      </c>
      <c r="K29" s="277" t="s">
        <v>482</v>
      </c>
      <c r="L29" s="25"/>
      <c r="M29" s="25"/>
      <c r="R29" s="75" t="s">
        <v>2324</v>
      </c>
      <c r="T29" s="353" t="b" cm="1">
        <f t="array" ref="T29">T28</f>
        <v>0</v>
      </c>
      <c r="X29" s="990"/>
      <c r="Z29" s="967"/>
      <c r="AB29" s="133" t="s">
        <v>939</v>
      </c>
      <c r="AC29" s="127" t="s">
        <v>1951</v>
      </c>
      <c r="AD29" s="7"/>
      <c r="AE29" s="776"/>
      <c r="AF29" s="776"/>
      <c r="AG29" s="776"/>
      <c r="AH29" s="558">
        <f t="shared" si="2"/>
        <v>0</v>
      </c>
      <c r="AI29" s="776">
        <f ca="1">SUMIFS(INDEX(Сценарии!$AE$25:$BF$136,,MATCH(AI$8,Сценарии!$AE$8:$BF$8,0)),Сценарии!$F$25:$F$136,$F29,Сценарии!$G$25:$G$136,"ИОР")</f>
        <v>1</v>
      </c>
      <c r="AJ29" s="444">
        <f ca="1">SUMIFS(INDEX(Сценарии!$AE$25:$BF$136,,MATCH(AJ$8,Сценарии!$AE$8:$BF$8,0)),Сценарии!$F$25:$F$136,$F29,Сценарии!$G$25:$G$136,"ИОР")</f>
        <v>1</v>
      </c>
      <c r="AK29" s="776">
        <f ca="1">SUMIFS(INDEX(Сценарии!$AE$25:$BF$136,,MATCH(AK$8,Сценарии!$AE$8:$BF$8,0)),Сценарии!$F$25:$F$136,$F29,Сценарии!$G$25:$G$136,"ИОР")</f>
        <v>1</v>
      </c>
      <c r="AL29" s="776">
        <f ca="1">SUMIFS(INDEX(Сценарии!$AE$25:$BF$136,,MATCH(AL$8,Сценарии!$AE$8:$BF$8,0)),Сценарии!$F$25:$F$136,$F29,Сценарии!$G$25:$G$136,"ИОР")</f>
        <v>1</v>
      </c>
      <c r="AM29" s="776">
        <f ca="1">SUMIFS(INDEX(Сценарии!$AE$25:$BF$136,,MATCH(AM$8,Сценарии!$AE$8:$BF$8,0)),Сценарии!$F$25:$F$136,$F29,Сценарии!$G$25:$G$136,"ИОР")</f>
        <v>1</v>
      </c>
      <c r="AN29" s="776">
        <f ca="1">SUMIFS(INDEX(Сценарии!$AE$25:$BF$136,,MATCH(AN$8,Сценарии!$AE$8:$BF$8,0)),Сценарии!$F$25:$F$136,$F29,Сценарии!$G$25:$G$136,"ИОР")</f>
        <v>1</v>
      </c>
      <c r="AO29" s="776">
        <f ca="1">SUMIFS(INDEX(Сценарии!$AE$25:$BF$136,,MATCH(AO$8,Сценарии!$AE$8:$BF$8,0)),Сценарии!$F$25:$F$136,$F29,Сценарии!$G$25:$G$136,"ИОР")</f>
        <v>1</v>
      </c>
      <c r="AP29" s="776">
        <f ca="1">SUMIFS(INDEX(Сценарии!$AE$25:$BF$136,,MATCH(AP$8,Сценарии!$AE$8:$BF$8,0)),Сценарии!$F$25:$F$136,$F29,Сценарии!$G$25:$G$136,"ИОР")</f>
        <v>1</v>
      </c>
      <c r="AQ29" s="776">
        <f ca="1">SUMIFS(INDEX(Сценарии!$AE$25:$BF$136,,MATCH(AQ$8,Сценарии!$AE$8:$BF$8,0)),Сценарии!$F$25:$F$136,$F29,Сценарии!$G$25:$G$136,"ИОР")</f>
        <v>1</v>
      </c>
      <c r="AR29" s="776">
        <f ca="1">SUMIFS(INDEX(Сценарии!$AE$25:$BF$136,,MATCH(AR$8,Сценарии!$AE$8:$BF$8,0)),Сценарии!$F$25:$F$136,$F29,Сценарии!$G$25:$G$136,"ИОР")</f>
        <v>1</v>
      </c>
      <c r="AS29" s="776">
        <f ca="1">SUMIFS(INDEX(Сценарии!$AE$25:$BF$136,,MATCH(AS$8,Сценарии!$AE$8:$BF$8,0)),Сценарии!$F$25:$F$136,$F29,Сценарии!$G$25:$G$136,"ИОР")</f>
        <v>1</v>
      </c>
      <c r="AT29" s="444">
        <f ca="1">SUMIFS(INDEX(Сценарии!$AE$25:$BF$136,,MATCH(AT$8,Сценарии!$AE$8:$BF$8,0)),Сценарии!$F$25:$F$136,$F29,Сценарии!$G$25:$G$136,"ИОР")</f>
        <v>1</v>
      </c>
      <c r="AU29" s="776">
        <f ca="1">SUMIFS(INDEX(Сценарии!$AE$25:$BF$136,,MATCH(AU$8,Сценарии!$AE$8:$BF$8,0)),Сценарии!$F$25:$F$136,$F29,Сценарии!$G$25:$G$136,"ИОР")</f>
        <v>1</v>
      </c>
      <c r="AV29" s="776">
        <f ca="1">SUMIFS(INDEX(Сценарии!$AE$25:$BF$136,,MATCH(AV$8,Сценарии!$AE$8:$BF$8,0)),Сценарии!$F$25:$F$136,$F29,Сценарии!$G$25:$G$136,"ИОР")</f>
        <v>1</v>
      </c>
      <c r="AW29" s="776">
        <f ca="1">SUMIFS(INDEX(Сценарии!$AE$25:$BF$136,,MATCH(AW$8,Сценарии!$AE$8:$BF$8,0)),Сценарии!$F$25:$F$136,$F29,Сценарии!$G$25:$G$136,"ИОР")</f>
        <v>1</v>
      </c>
      <c r="AX29" s="776">
        <f ca="1">SUMIFS(INDEX(Сценарии!$AE$25:$BF$136,,MATCH(AX$8,Сценарии!$AE$8:$BF$8,0)),Сценарии!$F$25:$F$136,$F29,Сценарии!$G$25:$G$136,"ИОР")</f>
        <v>1</v>
      </c>
      <c r="AY29" s="776">
        <f ca="1">SUMIFS(INDEX(Сценарии!$AE$25:$BF$136,,MATCH(AY$8,Сценарии!$AE$8:$BF$8,0)),Сценарии!$F$25:$F$136,$F29,Сценарии!$G$25:$G$136,"ИОР")</f>
        <v>1</v>
      </c>
      <c r="AZ29" s="776">
        <f ca="1">SUMIFS(INDEX(Сценарии!$AE$25:$BF$136,,MATCH(AZ$8,Сценарии!$AE$8:$BF$8,0)),Сценарии!$F$25:$F$136,$F29,Сценарии!$G$25:$G$136,"ИОР")</f>
        <v>1</v>
      </c>
      <c r="BA29" s="776">
        <f ca="1">SUMIFS(INDEX(Сценарии!$AE$25:$BF$136,,MATCH(BA$8,Сценарии!$AE$8:$BF$8,0)),Сценарии!$F$25:$F$136,$F29,Сценарии!$G$25:$G$136,"ИОР")</f>
        <v>1</v>
      </c>
      <c r="BB29" s="776">
        <f ca="1">SUMIFS(INDEX(Сценарии!$AE$25:$BF$136,,MATCH(BB$8,Сценарии!$AE$8:$BF$8,0)),Сценарии!$F$25:$F$136,$F29,Сценарии!$G$25:$G$136,"ИОР")</f>
        <v>1</v>
      </c>
      <c r="BC29" s="776">
        <f ca="1">SUMIFS(INDEX(Сценарии!$AE$25:$BF$136,,MATCH(BC$8,Сценарии!$AE$8:$BF$8,0)),Сценарии!$F$25:$F$136,$F29,Сценарии!$G$25:$G$136,"ИОР")</f>
        <v>1</v>
      </c>
      <c r="BD29" s="542"/>
      <c r="BE29" s="542"/>
      <c r="BF29" s="542"/>
      <c r="BG29" s="542"/>
      <c r="BH29" s="542"/>
      <c r="BI29" s="542"/>
      <c r="BJ29" s="542"/>
      <c r="BK29" s="542"/>
      <c r="BL29" s="542"/>
      <c r="BM29" s="542"/>
      <c r="BN29" s="775"/>
      <c r="BO29" s="775"/>
      <c r="BP29" s="775"/>
      <c r="BS29" s="696" t="s">
        <v>1952</v>
      </c>
    </row>
    <row r="30" spans="1:75" s="74" customFormat="1" ht="20.45" hidden="1" customHeight="1" x14ac:dyDescent="0.25">
      <c r="B30" s="331"/>
      <c r="E30" s="510">
        <v>21</v>
      </c>
      <c r="F30" s="3" cm="1">
        <f t="array" aca="1" ref="F30" ca="1">OFFSET(E30,-1,1)</f>
        <v>0</v>
      </c>
      <c r="H30" s="276"/>
      <c r="I30" s="276" t="s">
        <v>486</v>
      </c>
      <c r="K30" s="276" t="s">
        <v>486</v>
      </c>
      <c r="L30" s="578" t="s">
        <v>331</v>
      </c>
      <c r="M30" s="578"/>
      <c r="Q30" s="72" t="s">
        <v>2324</v>
      </c>
      <c r="R30" s="75" t="s">
        <v>2324</v>
      </c>
      <c r="T30" s="353" t="b" cm="1">
        <f t="array" ref="T30">T29</f>
        <v>0</v>
      </c>
      <c r="X30" s="990"/>
      <c r="Z30" s="967"/>
      <c r="AB30" s="160" t="s">
        <v>942</v>
      </c>
      <c r="AC30" s="263" t="s">
        <v>1738</v>
      </c>
      <c r="AD30" s="147" t="s">
        <v>828</v>
      </c>
      <c r="AE30" s="126">
        <f ca="1">SUM(AE31,AE34,AE35,AE38,AE39)</f>
        <v>0</v>
      </c>
      <c r="AF30" s="126">
        <f ca="1">SUM(AF31,AF34,AF35,AF38,AF39)</f>
        <v>0</v>
      </c>
      <c r="AG30" s="126">
        <f ca="1">SUM(AG31,AG34,AG35,AG38,AG39)</f>
        <v>0</v>
      </c>
      <c r="AH30" s="126">
        <f t="shared" ca="1" si="2"/>
        <v>0</v>
      </c>
      <c r="AI30" s="871">
        <f ca="1">SUM(AI31,AI34,AI35,AI38,AI39)</f>
        <v>0</v>
      </c>
      <c r="AJ30" s="444"/>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7"/>
      <c r="BO30" s="777"/>
      <c r="BP30" s="777"/>
      <c r="BS30" s="694" t="s">
        <v>538</v>
      </c>
      <c r="BT30" s="701"/>
      <c r="BU30" s="701"/>
      <c r="BV30" s="510"/>
      <c r="BW30" s="510"/>
    </row>
    <row r="31" spans="1:75" ht="14.65" hidden="1" customHeight="1" x14ac:dyDescent="0.25">
      <c r="E31" s="507">
        <v>15</v>
      </c>
      <c r="F31" s="3" cm="1">
        <f t="array" aca="1" ref="F31" ca="1">OFFSET(E31,-1,1)</f>
        <v>0</v>
      </c>
      <c r="H31" s="277"/>
      <c r="I31" s="277" t="s">
        <v>1344</v>
      </c>
      <c r="K31" s="277" t="s">
        <v>1344</v>
      </c>
      <c r="L31" s="25" t="s">
        <v>482</v>
      </c>
      <c r="M31" s="25"/>
      <c r="Q31" s="72" t="s">
        <v>2324</v>
      </c>
      <c r="R31" s="75" t="s">
        <v>2324</v>
      </c>
      <c r="T31" s="353" t="b" cm="1">
        <f t="array" ref="T31">T30</f>
        <v>0</v>
      </c>
      <c r="X31" s="990"/>
      <c r="Z31" s="967"/>
      <c r="AB31" s="133" t="s">
        <v>1345</v>
      </c>
      <c r="AC31" s="134" t="s">
        <v>1953</v>
      </c>
      <c r="AD31" s="9" t="s">
        <v>828</v>
      </c>
      <c r="AE31" s="171">
        <f>SUM(AE32,AE33)</f>
        <v>0</v>
      </c>
      <c r="AF31" s="171">
        <f>SUM(AF32,AF33)</f>
        <v>0</v>
      </c>
      <c r="AG31" s="171">
        <f>SUM(AG32,AG33)</f>
        <v>0</v>
      </c>
      <c r="AH31" s="171">
        <f t="shared" si="2"/>
        <v>0</v>
      </c>
      <c r="AI31" s="872">
        <f>SUM(AI32,AI33)</f>
        <v>0</v>
      </c>
      <c r="AJ31" s="444"/>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775"/>
      <c r="BO31" s="775"/>
      <c r="BP31" s="775"/>
      <c r="BQ31" s="28"/>
      <c r="BS31" s="695" t="s">
        <v>1740</v>
      </c>
    </row>
    <row r="32" spans="1:75" ht="14.65" hidden="1" customHeight="1" x14ac:dyDescent="0.25">
      <c r="E32" s="507">
        <v>15</v>
      </c>
      <c r="F32" s="3" cm="1">
        <f t="array" aca="1" ref="F32" ca="1">OFFSET(E32,-1,1)</f>
        <v>0</v>
      </c>
      <c r="H32" s="277"/>
      <c r="I32" s="277" t="s">
        <v>1954</v>
      </c>
      <c r="K32" s="277" t="s">
        <v>1954</v>
      </c>
      <c r="L32" s="25" t="s">
        <v>1074</v>
      </c>
      <c r="M32" s="25"/>
      <c r="Q32" s="72" t="s">
        <v>2324</v>
      </c>
      <c r="R32" s="75" t="s">
        <v>2324</v>
      </c>
      <c r="T32" s="353" t="b" cm="1">
        <f t="array" ref="T32">T31</f>
        <v>0</v>
      </c>
      <c r="X32" s="990"/>
      <c r="Z32" s="967"/>
      <c r="AB32" s="133" t="s">
        <v>1955</v>
      </c>
      <c r="AC32" s="543" t="s">
        <v>1743</v>
      </c>
      <c r="AD32" s="9" t="s">
        <v>828</v>
      </c>
      <c r="AE32" s="778"/>
      <c r="AF32" s="778"/>
      <c r="AG32" s="778"/>
      <c r="AH32" s="171">
        <f t="shared" si="2"/>
        <v>0</v>
      </c>
      <c r="AI32" s="872"/>
      <c r="AJ32" s="444"/>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775"/>
      <c r="BO32" s="775"/>
      <c r="BP32" s="775"/>
      <c r="BS32" s="694" t="s">
        <v>1744</v>
      </c>
    </row>
    <row r="33" spans="2:75" ht="14.65" hidden="1" customHeight="1" x14ac:dyDescent="0.25">
      <c r="E33" s="507">
        <v>15</v>
      </c>
      <c r="F33" s="3" cm="1">
        <f t="array" aca="1" ref="F33" ca="1">OFFSET(E33,-1,1)</f>
        <v>0</v>
      </c>
      <c r="H33" s="277"/>
      <c r="I33" s="277" t="s">
        <v>1956</v>
      </c>
      <c r="K33" s="277" t="s">
        <v>1956</v>
      </c>
      <c r="L33" s="25" t="s">
        <v>1319</v>
      </c>
      <c r="M33" s="25"/>
      <c r="Q33" s="72" t="s">
        <v>2324</v>
      </c>
      <c r="R33" s="75" t="s">
        <v>2324</v>
      </c>
      <c r="T33" s="353" t="b" cm="1">
        <f t="array" ref="T33">T32</f>
        <v>0</v>
      </c>
      <c r="X33" s="990"/>
      <c r="Z33" s="967"/>
      <c r="AB33" s="133" t="s">
        <v>1957</v>
      </c>
      <c r="AC33" s="543" t="s">
        <v>1745</v>
      </c>
      <c r="AD33" s="9" t="s">
        <v>828</v>
      </c>
      <c r="AE33" s="778"/>
      <c r="AF33" s="778"/>
      <c r="AG33" s="778"/>
      <c r="AH33" s="171">
        <f t="shared" si="2"/>
        <v>0</v>
      </c>
      <c r="AI33" s="872"/>
      <c r="AJ33" s="444"/>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775"/>
      <c r="BO33" s="775"/>
      <c r="BP33" s="775"/>
      <c r="BS33" s="694" t="s">
        <v>1746</v>
      </c>
    </row>
    <row r="34" spans="2:75" ht="21.95" hidden="1" customHeight="1" x14ac:dyDescent="0.25">
      <c r="E34" s="507">
        <v>22.5</v>
      </c>
      <c r="F34" s="3" cm="1">
        <f t="array" aca="1" ref="F34" ca="1">OFFSET(E34,-1,1)</f>
        <v>0</v>
      </c>
      <c r="H34" s="277"/>
      <c r="I34" s="277" t="s">
        <v>1347</v>
      </c>
      <c r="K34" s="277" t="s">
        <v>1347</v>
      </c>
      <c r="L34" s="25" t="s">
        <v>489</v>
      </c>
      <c r="M34" s="25"/>
      <c r="Q34" s="72" t="s">
        <v>2324</v>
      </c>
      <c r="R34" s="75" t="s">
        <v>2324</v>
      </c>
      <c r="T34" s="353" t="b" cm="1">
        <f t="array" ref="T34">T33</f>
        <v>0</v>
      </c>
      <c r="X34" s="990"/>
      <c r="Z34" s="967"/>
      <c r="AB34" s="133" t="s">
        <v>1348</v>
      </c>
      <c r="AC34" s="134" t="s">
        <v>1958</v>
      </c>
      <c r="AD34" s="9" t="s">
        <v>828</v>
      </c>
      <c r="AE34" s="778"/>
      <c r="AF34" s="778"/>
      <c r="AG34" s="778"/>
      <c r="AH34" s="171">
        <f t="shared" si="2"/>
        <v>0</v>
      </c>
      <c r="AI34" s="872"/>
      <c r="AJ34" s="444"/>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775"/>
      <c r="BO34" s="775"/>
      <c r="BP34" s="775"/>
      <c r="BS34" s="695" t="s">
        <v>1771</v>
      </c>
    </row>
    <row r="35" spans="2:75" ht="21.95" hidden="1" customHeight="1" x14ac:dyDescent="0.25">
      <c r="E35" s="507">
        <v>22.5</v>
      </c>
      <c r="F35" s="3" cm="1">
        <f t="array" aca="1" ref="F35" ca="1">OFFSET(E35,-1,1)</f>
        <v>0</v>
      </c>
      <c r="H35" s="277"/>
      <c r="I35" s="277" t="s">
        <v>1351</v>
      </c>
      <c r="K35" s="277" t="s">
        <v>1351</v>
      </c>
      <c r="L35" s="25" t="s">
        <v>493</v>
      </c>
      <c r="M35" s="25"/>
      <c r="Q35" s="72" t="s">
        <v>2324</v>
      </c>
      <c r="R35" s="75" t="s">
        <v>2324</v>
      </c>
      <c r="T35" s="353" t="b" cm="1">
        <f t="array" ref="T35">T34</f>
        <v>0</v>
      </c>
      <c r="X35" s="990"/>
      <c r="Z35" s="967"/>
      <c r="AB35" s="133" t="s">
        <v>1352</v>
      </c>
      <c r="AC35" s="134" t="s">
        <v>1959</v>
      </c>
      <c r="AD35" s="9" t="s">
        <v>828</v>
      </c>
      <c r="AE35" s="171">
        <f ca="1">AE36+AE37</f>
        <v>0</v>
      </c>
      <c r="AF35" s="171">
        <f ca="1">AF36+AF37</f>
        <v>0</v>
      </c>
      <c r="AG35" s="171">
        <f ca="1">AG36+AG37</f>
        <v>0</v>
      </c>
      <c r="AH35" s="171">
        <f t="shared" ca="1" si="2"/>
        <v>0</v>
      </c>
      <c r="AI35" s="872">
        <f ca="1">AI36+AI37</f>
        <v>0</v>
      </c>
      <c r="AJ35" s="444"/>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775"/>
      <c r="BO35" s="775"/>
      <c r="BP35" s="775"/>
      <c r="BS35" s="695" t="s">
        <v>1960</v>
      </c>
    </row>
    <row r="36" spans="2:75" ht="14.65" hidden="1" customHeight="1" x14ac:dyDescent="0.25">
      <c r="E36" s="507">
        <v>15</v>
      </c>
      <c r="F36" s="3" cm="1">
        <f t="array" aca="1" ref="F36" ca="1">OFFSET(E36,-1,1)</f>
        <v>0</v>
      </c>
      <c r="G36" s="253" t="s">
        <v>1162</v>
      </c>
      <c r="H36" s="277"/>
      <c r="I36" s="277" t="s">
        <v>1495</v>
      </c>
      <c r="K36" s="277" t="s">
        <v>1495</v>
      </c>
      <c r="L36" s="25" t="s">
        <v>1371</v>
      </c>
      <c r="M36" s="25"/>
      <c r="Q36" s="72" t="s">
        <v>2324</v>
      </c>
      <c r="R36" s="75" t="s">
        <v>2324</v>
      </c>
      <c r="T36" s="353" t="b" cm="1">
        <f t="array" ref="T36">T35</f>
        <v>0</v>
      </c>
      <c r="X36" s="990"/>
      <c r="Z36" s="967"/>
      <c r="AB36" s="133" t="s">
        <v>1961</v>
      </c>
      <c r="AC36" s="543" t="s">
        <v>1774</v>
      </c>
      <c r="AD36" s="9" t="s">
        <v>828</v>
      </c>
      <c r="AE36" s="778"/>
      <c r="AF36" s="778"/>
      <c r="AG36" s="778"/>
      <c r="AH36" s="171">
        <f t="shared" si="2"/>
        <v>0</v>
      </c>
      <c r="AI36" s="872"/>
      <c r="AJ36" s="444"/>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775"/>
      <c r="BO36" s="779" t="str">
        <f ca="1">IF(IFERROR(INDEX(ФОТ!$K$26:$L$127,MATCH($F36&amp;"1komm",ФОТ!$K$26:$K$127,0),2),"")=0,"",IFERROR(INDEX(ФОТ!$K$26:$L$127,MATCH($F36&amp;"1komm",ФОТ!$K$26:$K$127,0),2),""))</f>
        <v/>
      </c>
      <c r="BP36" s="775"/>
      <c r="BS36" s="694" t="s">
        <v>1775</v>
      </c>
    </row>
    <row r="37" spans="2:75" ht="21.95" hidden="1" customHeight="1" x14ac:dyDescent="0.25">
      <c r="E37" s="507">
        <v>22.5</v>
      </c>
      <c r="F37" s="3" cm="1">
        <f t="array" aca="1" ref="F37" ca="1">OFFSET(E37,-1,1)</f>
        <v>0</v>
      </c>
      <c r="G37" s="253" t="s">
        <v>1174</v>
      </c>
      <c r="H37" s="277"/>
      <c r="I37" s="277" t="s">
        <v>1499</v>
      </c>
      <c r="K37" s="277" t="s">
        <v>1499</v>
      </c>
      <c r="L37" s="25" t="s">
        <v>1372</v>
      </c>
      <c r="M37" s="25"/>
      <c r="Q37" s="72" t="s">
        <v>2324</v>
      </c>
      <c r="R37" s="75" t="s">
        <v>2324</v>
      </c>
      <c r="T37" s="353" t="b" cm="1">
        <f t="array" ref="T37">T36</f>
        <v>0</v>
      </c>
      <c r="X37" s="990"/>
      <c r="Z37" s="967"/>
      <c r="AB37" s="133" t="s">
        <v>1962</v>
      </c>
      <c r="AC37" s="543" t="s">
        <v>1963</v>
      </c>
      <c r="AD37" s="9" t="s">
        <v>828</v>
      </c>
      <c r="AE37" s="778">
        <f ca="1">AE36*SUMIFS(INDEX(Сценарии!$AE$25:$BF$136,,MATCH(AE$8,Сценарии!$AE$8:$BF$8,0)),Сценарии!$F$25:$F$136,$F37,Сценарии!$G$25:$G$136,"СВФОТ")/100</f>
        <v>0</v>
      </c>
      <c r="AF37" s="778">
        <f ca="1">AF36*SUMIFS(INDEX(Сценарии!$AE$25:$BF$136,,MATCH(AF$8,Сценарии!$AE$8:$BF$8,0)),Сценарии!$F$25:$F$136,$F37,Сценарии!$G$25:$G$136,"СВФОТ")/100</f>
        <v>0</v>
      </c>
      <c r="AG37" s="778">
        <f ca="1">AG36*SUMIFS(INDEX(Сценарии!$AE$25:$BF$136,,MATCH(AG$8,Сценарии!$AE$8:$BF$8,0)),Сценарии!$F$25:$F$136,$F37,Сценарии!$G$25:$G$136,"СВФОТ")/100</f>
        <v>0</v>
      </c>
      <c r="AH37" s="171">
        <f t="shared" ca="1" si="2"/>
        <v>0</v>
      </c>
      <c r="AI37" s="872">
        <f ca="1">AI36*SUMIFS(INDEX(Сценарии!$AE$25:$BF$136,,MATCH(AG$8,Сценарии!$AE$8:$BF$8,0)),Сценарии!$F$25:$F$136,$F37,Сценарии!$G$25:$G$136,"СВФОТ")/100</f>
        <v>0</v>
      </c>
      <c r="AJ37" s="444"/>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775"/>
      <c r="BO37" s="779" t="str">
        <f ca="1">IF(IFERROR(INDEX(ФОТ!$K$26:$L$127,MATCH($F37&amp;"2komm",ФОТ!$K$26:$K$127,0),2),"")=0,"",IFERROR(INDEX(ФОТ!$K$26:$L$127,MATCH($F37&amp;"2komm",ФОТ!$K$26:$K$127,0),2),""))</f>
        <v/>
      </c>
      <c r="BP37" s="775"/>
      <c r="BS37" s="694" t="s">
        <v>1777</v>
      </c>
    </row>
    <row r="38" spans="2:75" ht="14.65" hidden="1" customHeight="1" x14ac:dyDescent="0.25">
      <c r="E38" s="507">
        <v>15</v>
      </c>
      <c r="F38" s="3" cm="1">
        <f t="array" aca="1" ref="F38" ca="1">OFFSET(E38,-1,1)</f>
        <v>0</v>
      </c>
      <c r="H38" s="277"/>
      <c r="I38" s="277" t="s">
        <v>1510</v>
      </c>
      <c r="K38" s="277" t="s">
        <v>1510</v>
      </c>
      <c r="L38" s="25" t="s">
        <v>1779</v>
      </c>
      <c r="M38" s="25"/>
      <c r="Q38" s="72" t="s">
        <v>2324</v>
      </c>
      <c r="R38" s="75" t="s">
        <v>2324</v>
      </c>
      <c r="T38" s="353" t="b" cm="1">
        <f t="array" ref="T38">T37</f>
        <v>0</v>
      </c>
      <c r="X38" s="990"/>
      <c r="Z38" s="967"/>
      <c r="AB38" s="133" t="s">
        <v>1753</v>
      </c>
      <c r="AC38" s="134" t="s">
        <v>1964</v>
      </c>
      <c r="AD38" s="9" t="s">
        <v>828</v>
      </c>
      <c r="AE38" s="778"/>
      <c r="AF38" s="778"/>
      <c r="AG38" s="778"/>
      <c r="AH38" s="171">
        <f t="shared" si="2"/>
        <v>0</v>
      </c>
      <c r="AI38" s="872"/>
      <c r="AJ38" s="444"/>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775"/>
      <c r="BO38" s="775"/>
      <c r="BP38" s="775"/>
      <c r="BS38" s="695" t="s">
        <v>1782</v>
      </c>
    </row>
    <row r="39" spans="2:75" ht="14.65" hidden="1" customHeight="1" x14ac:dyDescent="0.25">
      <c r="E39" s="507">
        <v>15</v>
      </c>
      <c r="F39" s="3" cm="1">
        <f t="array" aca="1" ref="F39" ca="1">OFFSET(E39,-1,1)</f>
        <v>0</v>
      </c>
      <c r="H39" s="277"/>
      <c r="I39" s="277" t="s">
        <v>1514</v>
      </c>
      <c r="K39" s="277" t="s">
        <v>1514</v>
      </c>
      <c r="L39" s="25" t="s">
        <v>1783</v>
      </c>
      <c r="Q39" s="72" t="s">
        <v>2324</v>
      </c>
      <c r="R39" s="75" t="s">
        <v>2324</v>
      </c>
      <c r="T39" s="353" t="b" cm="1">
        <f t="array" ref="T39">T38</f>
        <v>0</v>
      </c>
      <c r="X39" s="990"/>
      <c r="Z39" s="967"/>
      <c r="AB39" s="133" t="s">
        <v>1755</v>
      </c>
      <c r="AC39" s="134" t="s">
        <v>1965</v>
      </c>
      <c r="AD39" s="7" t="s">
        <v>828</v>
      </c>
      <c r="AE39" s="171">
        <f>SUM(AE40:AE46)</f>
        <v>0</v>
      </c>
      <c r="AF39" s="171">
        <f>SUM(AF40:AF46)</f>
        <v>0</v>
      </c>
      <c r="AG39" s="171">
        <f>SUM(AG40:AG46)</f>
        <v>0</v>
      </c>
      <c r="AH39" s="171">
        <f t="shared" si="2"/>
        <v>0</v>
      </c>
      <c r="AI39" s="872">
        <f>SUM(AI40:AI46)</f>
        <v>0</v>
      </c>
      <c r="AJ39" s="444"/>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775"/>
      <c r="BO39" s="775"/>
      <c r="BP39" s="775"/>
      <c r="BS39" s="695" t="s">
        <v>1966</v>
      </c>
    </row>
    <row r="40" spans="2:75" ht="14.65" hidden="1" customHeight="1" x14ac:dyDescent="0.25">
      <c r="E40" s="507">
        <v>15</v>
      </c>
      <c r="F40" s="3" cm="1">
        <f t="array" aca="1" ref="F40" ca="1">OFFSET(E40,-1,1)</f>
        <v>0</v>
      </c>
      <c r="H40" s="277"/>
      <c r="I40" s="277" t="s">
        <v>1967</v>
      </c>
      <c r="K40" s="277" t="s">
        <v>1967</v>
      </c>
      <c r="L40" s="25" t="s">
        <v>1783</v>
      </c>
      <c r="M40" s="25" t="s">
        <v>1791</v>
      </c>
      <c r="Q40" s="72" t="s">
        <v>2324</v>
      </c>
      <c r="R40" s="75" t="s">
        <v>2324</v>
      </c>
      <c r="T40" s="353" t="b" cm="1">
        <f t="array" ref="T40">T39</f>
        <v>0</v>
      </c>
      <c r="X40" s="990"/>
      <c r="Z40" s="967"/>
      <c r="AB40" s="133" t="s">
        <v>1968</v>
      </c>
      <c r="AC40" s="543" t="s">
        <v>1969</v>
      </c>
      <c r="AD40" s="7" t="s">
        <v>828</v>
      </c>
      <c r="AE40" s="778"/>
      <c r="AF40" s="778"/>
      <c r="AG40" s="778"/>
      <c r="AH40" s="171">
        <f t="shared" si="2"/>
        <v>0</v>
      </c>
      <c r="AI40" s="872"/>
      <c r="AJ40" s="444"/>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775"/>
      <c r="BO40" s="775"/>
      <c r="BP40" s="775"/>
      <c r="BS40" s="694" t="s">
        <v>1794</v>
      </c>
    </row>
    <row r="41" spans="2:75" ht="21.95" hidden="1" customHeight="1" x14ac:dyDescent="0.15">
      <c r="E41" s="507">
        <v>22.5</v>
      </c>
      <c r="F41" s="3" cm="1">
        <f t="array" aca="1" ref="F41" ca="1">OFFSET(E41,-1,1)</f>
        <v>0</v>
      </c>
      <c r="H41" s="277"/>
      <c r="I41" s="277" t="s">
        <v>1970</v>
      </c>
      <c r="K41" s="277" t="s">
        <v>1970</v>
      </c>
      <c r="L41" s="25" t="s">
        <v>1783</v>
      </c>
      <c r="M41" s="25" t="s">
        <v>1787</v>
      </c>
      <c r="Q41" s="72" t="s">
        <v>2324</v>
      </c>
      <c r="R41" s="75" t="s">
        <v>2324</v>
      </c>
      <c r="T41" s="353" t="b" cm="1">
        <f t="array" ref="T41">T40</f>
        <v>0</v>
      </c>
      <c r="X41" s="990"/>
      <c r="Z41" s="967"/>
      <c r="AB41" s="133" t="s">
        <v>1971</v>
      </c>
      <c r="AC41" s="543" t="s">
        <v>1972</v>
      </c>
      <c r="AD41" s="7" t="s">
        <v>828</v>
      </c>
      <c r="AE41" s="778"/>
      <c r="AF41" s="778"/>
      <c r="AG41" s="778"/>
      <c r="AH41" s="171">
        <f t="shared" si="2"/>
        <v>0</v>
      </c>
      <c r="AI41" s="872"/>
      <c r="AJ41" s="444"/>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775"/>
      <c r="BO41" s="775"/>
      <c r="BP41" s="775"/>
      <c r="BS41" s="696" t="s">
        <v>1973</v>
      </c>
    </row>
    <row r="42" spans="2:75" ht="21.95" hidden="1" customHeight="1" x14ac:dyDescent="0.15">
      <c r="E42" s="507">
        <v>22.5</v>
      </c>
      <c r="F42" s="3" cm="1">
        <f t="array" aca="1" ref="F42" ca="1">OFFSET(E42,-1,1)</f>
        <v>0</v>
      </c>
      <c r="H42" s="277"/>
      <c r="I42" s="277" t="s">
        <v>1974</v>
      </c>
      <c r="K42" s="277" t="s">
        <v>1974</v>
      </c>
      <c r="Q42" s="72" t="s">
        <v>2324</v>
      </c>
      <c r="R42" s="75" t="s">
        <v>2324</v>
      </c>
      <c r="T42" s="353" t="b" cm="1">
        <f t="array" ref="T42">T41</f>
        <v>0</v>
      </c>
      <c r="X42" s="990"/>
      <c r="Z42" s="967"/>
      <c r="AB42" s="133" t="s">
        <v>1975</v>
      </c>
      <c r="AC42" s="544" t="s">
        <v>1976</v>
      </c>
      <c r="AD42" s="7" t="s">
        <v>828</v>
      </c>
      <c r="AE42" s="778"/>
      <c r="AF42" s="778"/>
      <c r="AG42" s="778"/>
      <c r="AH42" s="171">
        <f t="shared" si="2"/>
        <v>0</v>
      </c>
      <c r="AI42" s="872"/>
      <c r="AJ42" s="444"/>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775"/>
      <c r="BO42" s="775"/>
      <c r="BP42" s="775"/>
      <c r="BS42" s="696" t="s">
        <v>1977</v>
      </c>
    </row>
    <row r="43" spans="2:75" ht="21.95" hidden="1" customHeight="1" x14ac:dyDescent="0.15">
      <c r="E43" s="507">
        <v>22.5</v>
      </c>
      <c r="F43" s="3" cm="1">
        <f t="array" aca="1" ref="F43" ca="1">OFFSET(E43,-1,1)</f>
        <v>0</v>
      </c>
      <c r="H43" s="277"/>
      <c r="I43" s="277" t="s">
        <v>1978</v>
      </c>
      <c r="K43" s="277" t="s">
        <v>1978</v>
      </c>
      <c r="L43" s="25"/>
      <c r="Q43" s="72" t="s">
        <v>2324</v>
      </c>
      <c r="R43" s="75" t="s">
        <v>2324</v>
      </c>
      <c r="T43" s="353" t="b" cm="1">
        <f t="array" ref="T43">T42</f>
        <v>0</v>
      </c>
      <c r="X43" s="990"/>
      <c r="Z43" s="967"/>
      <c r="AB43" s="133" t="s">
        <v>1979</v>
      </c>
      <c r="AC43" s="544" t="s">
        <v>1980</v>
      </c>
      <c r="AD43" s="7" t="s">
        <v>828</v>
      </c>
      <c r="AE43" s="778"/>
      <c r="AF43" s="778"/>
      <c r="AG43" s="778"/>
      <c r="AH43" s="171">
        <f t="shared" si="2"/>
        <v>0</v>
      </c>
      <c r="AI43" s="872"/>
      <c r="AJ43" s="444"/>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775"/>
      <c r="BO43" s="775"/>
      <c r="BP43" s="775"/>
      <c r="BS43" s="696" t="s">
        <v>1981</v>
      </c>
    </row>
    <row r="44" spans="2:75" ht="43.9" hidden="1" customHeight="1" x14ac:dyDescent="0.15">
      <c r="E44" s="507">
        <v>45</v>
      </c>
      <c r="F44" s="3" cm="1">
        <f t="array" aca="1" ref="F44" ca="1">OFFSET(E44,-1,1)</f>
        <v>0</v>
      </c>
      <c r="H44" s="277"/>
      <c r="I44" s="277" t="s">
        <v>1982</v>
      </c>
      <c r="K44" s="277" t="s">
        <v>1982</v>
      </c>
      <c r="L44" s="25" t="s">
        <v>1783</v>
      </c>
      <c r="M44" s="25" t="s">
        <v>1795</v>
      </c>
      <c r="Q44" s="72" t="s">
        <v>2324</v>
      </c>
      <c r="R44" s="75" t="s">
        <v>2324</v>
      </c>
      <c r="T44" s="353" t="b" cm="1">
        <f t="array" ref="T44">T43</f>
        <v>0</v>
      </c>
      <c r="X44" s="990"/>
      <c r="Z44" s="967"/>
      <c r="AB44" s="133" t="s">
        <v>1983</v>
      </c>
      <c r="AC44" s="543" t="s">
        <v>1984</v>
      </c>
      <c r="AD44" s="7" t="s">
        <v>828</v>
      </c>
      <c r="AE44" s="778"/>
      <c r="AF44" s="778"/>
      <c r="AG44" s="778"/>
      <c r="AH44" s="171">
        <f t="shared" si="2"/>
        <v>0</v>
      </c>
      <c r="AI44" s="872"/>
      <c r="AJ44" s="444"/>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775"/>
      <c r="BO44" s="775"/>
      <c r="BP44" s="775"/>
      <c r="BS44" s="696" t="s">
        <v>1798</v>
      </c>
    </row>
    <row r="45" spans="2:75" ht="14.65" hidden="1" customHeight="1" x14ac:dyDescent="0.15">
      <c r="E45" s="507">
        <v>15</v>
      </c>
      <c r="F45" s="3" cm="1">
        <f t="array" aca="1" ref="F45" ca="1">OFFSET(E45,-1,1)</f>
        <v>0</v>
      </c>
      <c r="H45" s="277"/>
      <c r="I45" s="277" t="s">
        <v>1985</v>
      </c>
      <c r="K45" s="277" t="s">
        <v>1985</v>
      </c>
      <c r="L45" s="25" t="s">
        <v>1783</v>
      </c>
      <c r="M45" s="25" t="s">
        <v>1799</v>
      </c>
      <c r="Q45" s="72" t="s">
        <v>2324</v>
      </c>
      <c r="R45" s="75" t="s">
        <v>2324</v>
      </c>
      <c r="T45" s="353" t="b" cm="1">
        <f t="array" ref="T45">T44</f>
        <v>0</v>
      </c>
      <c r="X45" s="990"/>
      <c r="Z45" s="967"/>
      <c r="AB45" s="133" t="s">
        <v>1986</v>
      </c>
      <c r="AC45" s="543" t="s">
        <v>1801</v>
      </c>
      <c r="AD45" s="7" t="s">
        <v>828</v>
      </c>
      <c r="AE45" s="778"/>
      <c r="AF45" s="778"/>
      <c r="AG45" s="778"/>
      <c r="AH45" s="171">
        <f t="shared" si="2"/>
        <v>0</v>
      </c>
      <c r="AI45" s="872"/>
      <c r="AJ45" s="444"/>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775"/>
      <c r="BO45" s="775"/>
      <c r="BP45" s="775"/>
      <c r="BS45" s="696" t="s">
        <v>1802</v>
      </c>
    </row>
    <row r="46" spans="2:75" ht="14.65" hidden="1" customHeight="1" x14ac:dyDescent="0.15">
      <c r="E46" s="507">
        <v>15</v>
      </c>
      <c r="F46" s="3" cm="1">
        <f t="array" aca="1" ref="F46" ca="1">OFFSET(E46,-1,1)</f>
        <v>0</v>
      </c>
      <c r="H46" s="277"/>
      <c r="I46" s="277" t="s">
        <v>1987</v>
      </c>
      <c r="K46" s="277" t="s">
        <v>1987</v>
      </c>
      <c r="L46" s="25"/>
      <c r="M46" s="25"/>
      <c r="Q46" s="72" t="s">
        <v>2324</v>
      </c>
      <c r="R46" s="75" t="s">
        <v>2324</v>
      </c>
      <c r="T46" s="353" t="b" cm="1">
        <f t="array" ref="T46">T45</f>
        <v>0</v>
      </c>
      <c r="X46" s="990"/>
      <c r="Z46" s="967"/>
      <c r="AB46" s="133" t="s">
        <v>1988</v>
      </c>
      <c r="AC46" s="543" t="s">
        <v>1989</v>
      </c>
      <c r="AD46" s="7" t="s">
        <v>828</v>
      </c>
      <c r="AE46" s="778"/>
      <c r="AF46" s="778"/>
      <c r="AG46" s="778"/>
      <c r="AH46" s="171">
        <f t="shared" si="2"/>
        <v>0</v>
      </c>
      <c r="AI46" s="872"/>
      <c r="AJ46" s="444"/>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775"/>
      <c r="BO46" s="775"/>
      <c r="BP46" s="775"/>
      <c r="BS46" s="696" t="s">
        <v>1786</v>
      </c>
    </row>
    <row r="47" spans="2:75" s="76" customFormat="1" ht="20.45" hidden="1" customHeight="1" x14ac:dyDescent="0.25">
      <c r="B47" s="332"/>
      <c r="E47" s="511">
        <v>21</v>
      </c>
      <c r="F47" s="3" cm="1">
        <f t="array" aca="1" ref="F47" ca="1">OFFSET(E47,-1,1)</f>
        <v>0</v>
      </c>
      <c r="H47" s="277"/>
      <c r="I47" s="277" t="s">
        <v>489</v>
      </c>
      <c r="K47" s="277" t="s">
        <v>489</v>
      </c>
      <c r="L47" s="27"/>
      <c r="M47" s="27"/>
      <c r="Q47" s="72" t="s">
        <v>2324</v>
      </c>
      <c r="R47" s="75" t="s">
        <v>2324</v>
      </c>
      <c r="T47" s="353" t="b" cm="1">
        <f t="array" ref="T47">T46</f>
        <v>0</v>
      </c>
      <c r="X47" s="990"/>
      <c r="Z47" s="967"/>
      <c r="AB47" s="131" t="s">
        <v>945</v>
      </c>
      <c r="AC47" s="263" t="s">
        <v>1806</v>
      </c>
      <c r="AD47" s="124" t="s">
        <v>828</v>
      </c>
      <c r="AE47" s="126">
        <f>AE48+AE49+AE50</f>
        <v>0</v>
      </c>
      <c r="AF47" s="126">
        <f>AF48+AF49+AF50</f>
        <v>0</v>
      </c>
      <c r="AG47" s="126">
        <f>AG48+AG49+AG50</f>
        <v>0</v>
      </c>
      <c r="AH47" s="126">
        <f t="shared" si="2"/>
        <v>0</v>
      </c>
      <c r="AI47" s="871">
        <f>AI48+AI49+AI50</f>
        <v>0</v>
      </c>
      <c r="AJ47" s="444"/>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7"/>
      <c r="BO47" s="777"/>
      <c r="BP47" s="777"/>
      <c r="BS47" s="695" t="s">
        <v>1807</v>
      </c>
      <c r="BT47" s="702"/>
      <c r="BU47" s="702"/>
      <c r="BV47" s="511"/>
      <c r="BW47" s="511"/>
    </row>
    <row r="48" spans="2:75" ht="21.95" hidden="1" customHeight="1" x14ac:dyDescent="0.25">
      <c r="E48" s="507">
        <v>22.5</v>
      </c>
      <c r="F48" s="3" cm="1">
        <f t="array" aca="1" ref="F48" ca="1">OFFSET(E48,-1,1)</f>
        <v>0</v>
      </c>
      <c r="H48" s="277"/>
      <c r="I48" s="277" t="s">
        <v>1357</v>
      </c>
      <c r="K48" s="277" t="s">
        <v>1357</v>
      </c>
      <c r="L48" s="25"/>
      <c r="M48" s="25"/>
      <c r="Q48" s="72" t="s">
        <v>2324</v>
      </c>
      <c r="R48" s="75" t="s">
        <v>2324</v>
      </c>
      <c r="T48" s="353" t="b" cm="1">
        <f t="array" ref="T48">T47</f>
        <v>0</v>
      </c>
      <c r="X48" s="990"/>
      <c r="Z48" s="967"/>
      <c r="AB48" s="133" t="s">
        <v>1358</v>
      </c>
      <c r="AC48" s="134" t="s">
        <v>1990</v>
      </c>
      <c r="AD48" s="7" t="s">
        <v>828</v>
      </c>
      <c r="AE48" s="778"/>
      <c r="AF48" s="778"/>
      <c r="AG48" s="778"/>
      <c r="AH48" s="171">
        <f t="shared" si="2"/>
        <v>0</v>
      </c>
      <c r="AI48" s="872"/>
      <c r="AJ48" s="444"/>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775"/>
      <c r="BO48" s="775"/>
      <c r="BP48" s="775"/>
      <c r="BS48" s="694" t="s">
        <v>1809</v>
      </c>
    </row>
    <row r="49" spans="2:75" ht="21.95" hidden="1" customHeight="1" x14ac:dyDescent="0.15">
      <c r="E49" s="507">
        <v>22.5</v>
      </c>
      <c r="F49" s="3" cm="1">
        <f t="array" aca="1" ref="F49" ca="1">OFFSET(E49,-1,1)</f>
        <v>0</v>
      </c>
      <c r="H49" s="277"/>
      <c r="I49" s="277" t="s">
        <v>1361</v>
      </c>
      <c r="K49" s="277" t="s">
        <v>1361</v>
      </c>
      <c r="L49" s="25"/>
      <c r="M49" s="25"/>
      <c r="Q49" s="72" t="s">
        <v>2324</v>
      </c>
      <c r="R49" s="75" t="s">
        <v>2324</v>
      </c>
      <c r="T49" s="353" t="b" cm="1">
        <f t="array" ref="T49">T48</f>
        <v>0</v>
      </c>
      <c r="X49" s="990"/>
      <c r="Z49" s="967"/>
      <c r="AB49" s="133" t="s">
        <v>1362</v>
      </c>
      <c r="AC49" s="134" t="s">
        <v>1991</v>
      </c>
      <c r="AD49" s="7" t="s">
        <v>828</v>
      </c>
      <c r="AE49" s="778"/>
      <c r="AF49" s="778"/>
      <c r="AG49" s="778"/>
      <c r="AH49" s="171">
        <f t="shared" si="2"/>
        <v>0</v>
      </c>
      <c r="AI49" s="872"/>
      <c r="AJ49" s="444"/>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775"/>
      <c r="BO49" s="775"/>
      <c r="BP49" s="775"/>
      <c r="BS49" s="696" t="s">
        <v>1992</v>
      </c>
    </row>
    <row r="50" spans="2:75" ht="21.95" hidden="1" customHeight="1" x14ac:dyDescent="0.25">
      <c r="E50" s="507">
        <v>22.5</v>
      </c>
      <c r="F50" s="3" cm="1">
        <f t="array" aca="1" ref="F50" ca="1">OFFSET(E50,-1,1)</f>
        <v>0</v>
      </c>
      <c r="H50" s="277"/>
      <c r="I50" s="277" t="s">
        <v>1365</v>
      </c>
      <c r="K50" s="277" t="s">
        <v>1365</v>
      </c>
      <c r="L50" s="25" t="s">
        <v>503</v>
      </c>
      <c r="M50" s="25"/>
      <c r="Q50" s="72" t="s">
        <v>2324</v>
      </c>
      <c r="R50" s="75" t="s">
        <v>2324</v>
      </c>
      <c r="T50" s="353" t="b" cm="1">
        <f t="array" ref="T50">T49</f>
        <v>0</v>
      </c>
      <c r="X50" s="990"/>
      <c r="Z50" s="967"/>
      <c r="AB50" s="133" t="s">
        <v>1366</v>
      </c>
      <c r="AC50" s="134" t="s">
        <v>1993</v>
      </c>
      <c r="AD50" s="7" t="s">
        <v>828</v>
      </c>
      <c r="AE50" s="778"/>
      <c r="AF50" s="778"/>
      <c r="AG50" s="778"/>
      <c r="AH50" s="171">
        <f t="shared" si="2"/>
        <v>0</v>
      </c>
      <c r="AI50" s="872"/>
      <c r="AJ50" s="444"/>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775"/>
      <c r="BO50" s="775"/>
      <c r="BP50" s="775"/>
      <c r="BS50" s="694" t="s">
        <v>1811</v>
      </c>
    </row>
    <row r="51" spans="2:75" ht="14.65" hidden="1" customHeight="1" x14ac:dyDescent="0.25">
      <c r="E51" s="507">
        <v>15</v>
      </c>
      <c r="F51" s="3" cm="1">
        <f t="array" aca="1" ref="F51" ca="1">OFFSET(E51,-1,1)</f>
        <v>0</v>
      </c>
      <c r="G51" s="2" t="s">
        <v>1177</v>
      </c>
      <c r="H51" s="277"/>
      <c r="I51" s="277" t="s">
        <v>1994</v>
      </c>
      <c r="K51" s="277" t="s">
        <v>1994</v>
      </c>
      <c r="L51" s="25" t="s">
        <v>1812</v>
      </c>
      <c r="M51" s="25"/>
      <c r="Q51" s="72" t="s">
        <v>2324</v>
      </c>
      <c r="R51" s="75" t="s">
        <v>2324</v>
      </c>
      <c r="T51" s="353" t="b" cm="1">
        <f t="array" ref="T51">T50</f>
        <v>0</v>
      </c>
      <c r="X51" s="990"/>
      <c r="Z51" s="967"/>
      <c r="AB51" s="133" t="s">
        <v>1995</v>
      </c>
      <c r="AC51" s="543" t="s">
        <v>1813</v>
      </c>
      <c r="AD51" s="7" t="s">
        <v>828</v>
      </c>
      <c r="AE51" s="778"/>
      <c r="AF51" s="778"/>
      <c r="AG51" s="778"/>
      <c r="AH51" s="171">
        <f t="shared" si="2"/>
        <v>0</v>
      </c>
      <c r="AI51" s="872"/>
      <c r="AJ51" s="444"/>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775"/>
      <c r="BO51" s="779" t="str">
        <f ca="1">IF(IFERROR(INDEX(ФОТ!$K$26:$L$127,MATCH($F51&amp;"3komm",ФОТ!$K$26:$K$127,0),2),"")=0,"",IFERROR(INDEX(ФОТ!$K$26:$L$127,MATCH($F51&amp;"3komm",ФОТ!$K$26:$K$127,0),2),""))</f>
        <v/>
      </c>
      <c r="BP51" s="775"/>
      <c r="BS51" s="694" t="s">
        <v>1814</v>
      </c>
    </row>
    <row r="52" spans="2:75" ht="21.95" hidden="1" customHeight="1" x14ac:dyDescent="0.25">
      <c r="E52" s="507">
        <v>22.5</v>
      </c>
      <c r="F52" s="3" cm="1">
        <f t="array" aca="1" ref="F52" ca="1">OFFSET(E52,-1,1)</f>
        <v>0</v>
      </c>
      <c r="G52" s="2" t="s">
        <v>1182</v>
      </c>
      <c r="H52" s="277"/>
      <c r="I52" s="277" t="s">
        <v>1996</v>
      </c>
      <c r="K52" s="277" t="s">
        <v>1996</v>
      </c>
      <c r="L52" s="25" t="s">
        <v>1815</v>
      </c>
      <c r="M52" s="25"/>
      <c r="Q52" s="72" t="s">
        <v>2324</v>
      </c>
      <c r="R52" s="75" t="s">
        <v>2324</v>
      </c>
      <c r="T52" s="353" t="b" cm="1">
        <f t="array" ref="T52">T51</f>
        <v>0</v>
      </c>
      <c r="X52" s="990"/>
      <c r="Z52" s="967"/>
      <c r="AB52" s="133" t="s">
        <v>1997</v>
      </c>
      <c r="AC52" s="543" t="s">
        <v>1998</v>
      </c>
      <c r="AD52" s="7" t="s">
        <v>828</v>
      </c>
      <c r="AE52" s="778">
        <f ca="1">AE51*SUMIFS(INDEX(Сценарии!$AE$25:$BF$136,,MATCH(AE$8,Сценарии!$AE$8:$BF$8,0)),Сценарии!$F$25:$F$136,$F52,Сценарии!$G$25:$G$136,"СВФОТ")/100</f>
        <v>0</v>
      </c>
      <c r="AF52" s="778">
        <f ca="1">AF51*SUMIFS(INDEX(Сценарии!$AE$25:$BF$136,,MATCH(AF$8,Сценарии!$AE$8:$BF$8,0)),Сценарии!$F$25:$F$136,$F52,Сценарии!$G$25:$G$136,"СВФОТ")/100</f>
        <v>0</v>
      </c>
      <c r="AG52" s="778">
        <f ca="1">AG51*SUMIFS(INDEX(Сценарии!$AE$25:$BF$136,,MATCH(AG$8,Сценарии!$AE$8:$BF$8,0)),Сценарии!$F$25:$F$136,$F52,Сценарии!$G$25:$G$136,"СВФОТ")/100</f>
        <v>0</v>
      </c>
      <c r="AH52" s="171">
        <f t="shared" ca="1" si="2"/>
        <v>0</v>
      </c>
      <c r="AI52" s="872">
        <f ca="1">AI51*SUMIFS(INDEX(Сценарии!$AE$25:$BF$136,,MATCH(AG$8,Сценарии!$AE$8:$BF$8,0)),Сценарии!$F$25:$F$136,$F52,Сценарии!$G$25:$G$136,"СВФОТ")/100</f>
        <v>0</v>
      </c>
      <c r="AJ52" s="444"/>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775"/>
      <c r="BO52" s="779" t="str">
        <f ca="1">IF(IFERROR(INDEX(ФОТ!$K$26:$L$127,MATCH($F52&amp;"4komm",ФОТ!$K$26:$K$127,0),2),"")=0,"",IFERROR(INDEX(ФОТ!$K$26:$L$127,MATCH($F52&amp;"4komm",ФОТ!$K$26:$K$127,0),2),""))</f>
        <v/>
      </c>
      <c r="BP52" s="775"/>
      <c r="BS52" s="694" t="s">
        <v>1817</v>
      </c>
    </row>
    <row r="53" spans="2:75" s="76" customFormat="1" ht="20.45" hidden="1" customHeight="1" x14ac:dyDescent="0.25">
      <c r="B53" s="332"/>
      <c r="E53" s="511">
        <v>21</v>
      </c>
      <c r="F53" s="3" cm="1">
        <f t="array" aca="1" ref="F53" ca="1">OFFSET(E53,-1,1)</f>
        <v>0</v>
      </c>
      <c r="H53" s="277"/>
      <c r="I53" s="277" t="s">
        <v>493</v>
      </c>
      <c r="K53" s="277" t="s">
        <v>493</v>
      </c>
      <c r="L53" s="27" t="s">
        <v>333</v>
      </c>
      <c r="M53" s="27"/>
      <c r="Q53" s="72" t="s">
        <v>2324</v>
      </c>
      <c r="R53" s="75" t="s">
        <v>2324</v>
      </c>
      <c r="T53" s="353" t="b" cm="1">
        <f t="array" ref="T53">T52</f>
        <v>0</v>
      </c>
      <c r="X53" s="990"/>
      <c r="Z53" s="967"/>
      <c r="AB53" s="131" t="s">
        <v>948</v>
      </c>
      <c r="AC53" s="263" t="s">
        <v>1999</v>
      </c>
      <c r="AD53" s="124" t="s">
        <v>828</v>
      </c>
      <c r="AE53" s="126">
        <f ca="1">AE54+AE62+AE65+AE66+AE67+AE68+AE69</f>
        <v>0</v>
      </c>
      <c r="AF53" s="126">
        <f ca="1">AF54+AF62+AF65+AF66+AF67+AF68+AF69</f>
        <v>0</v>
      </c>
      <c r="AG53" s="126">
        <f ca="1">AG54+AG62+AG65+AG66+AG67+AG68+AG69</f>
        <v>0</v>
      </c>
      <c r="AH53" s="126">
        <f t="shared" ca="1" si="2"/>
        <v>0</v>
      </c>
      <c r="AI53" s="871">
        <f ca="1">AI54+AI62+AI65+AI66+AI67+AI68+AI69</f>
        <v>0</v>
      </c>
      <c r="AJ53" s="444"/>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7"/>
      <c r="BO53" s="777"/>
      <c r="BP53" s="777"/>
      <c r="BS53" s="695" t="s">
        <v>1819</v>
      </c>
      <c r="BT53" s="702"/>
      <c r="BU53" s="702"/>
      <c r="BV53" s="511"/>
      <c r="BW53" s="511"/>
    </row>
    <row r="54" spans="2:75" ht="21.95" hidden="1" customHeight="1" x14ac:dyDescent="0.25">
      <c r="E54" s="507">
        <v>22.5</v>
      </c>
      <c r="F54" s="3" cm="1">
        <f t="array" aca="1" ref="F54" ca="1">OFFSET(E54,-1,1)</f>
        <v>0</v>
      </c>
      <c r="G54" s="72" t="s">
        <v>1203</v>
      </c>
      <c r="H54" s="277"/>
      <c r="I54" s="277" t="s">
        <v>1371</v>
      </c>
      <c r="K54" s="277" t="s">
        <v>1371</v>
      </c>
      <c r="L54" s="25" t="s">
        <v>969</v>
      </c>
      <c r="M54" s="25"/>
      <c r="Q54" s="72" t="s">
        <v>2324</v>
      </c>
      <c r="R54" s="75" t="s">
        <v>2324</v>
      </c>
      <c r="T54" s="353" t="b" cm="1">
        <f t="array" ref="T54">T53</f>
        <v>0</v>
      </c>
      <c r="X54" s="990"/>
      <c r="Z54" s="967"/>
      <c r="AB54" s="133" t="s">
        <v>1087</v>
      </c>
      <c r="AC54" s="134" t="s">
        <v>2000</v>
      </c>
      <c r="AD54" s="7" t="s">
        <v>828</v>
      </c>
      <c r="AE54" s="171">
        <f>SUM(AE55:AE61)</f>
        <v>0</v>
      </c>
      <c r="AF54" s="171">
        <f>SUM(AF55:AF61)</f>
        <v>0</v>
      </c>
      <c r="AG54" s="171">
        <f>SUM(AG55:AG61)</f>
        <v>0</v>
      </c>
      <c r="AH54" s="171">
        <f t="shared" si="2"/>
        <v>0</v>
      </c>
      <c r="AI54" s="872">
        <f>SUM(AI55:AI61)</f>
        <v>0</v>
      </c>
      <c r="AJ54" s="444"/>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775"/>
      <c r="BO54" s="779" t="str">
        <f ca="1">IF(IFERROR(INDEX(Административные!$K$26:$L$103,MATCH($F54&amp;"17komm",Административные!$K$26:$K$103,0),2),"")=0,"",IFERROR(INDEX(Административные!$K$26:$L$103,MATCH($F54&amp;"17komm",Административные!$K$26:$K$103,0),2),""))</f>
        <v/>
      </c>
      <c r="BP54" s="775"/>
      <c r="BS54" s="694" t="s">
        <v>1205</v>
      </c>
    </row>
    <row r="55" spans="2:75" ht="14.65" hidden="1" customHeight="1" x14ac:dyDescent="0.15">
      <c r="E55" s="507">
        <v>15</v>
      </c>
      <c r="F55" s="3" cm="1">
        <f t="array" aca="1" ref="F55" ca="1">OFFSET(E55,-1,1)</f>
        <v>0</v>
      </c>
      <c r="G55" s="72" t="s">
        <v>1206</v>
      </c>
      <c r="H55" s="277"/>
      <c r="I55" s="277" t="s">
        <v>2001</v>
      </c>
      <c r="K55" s="277" t="s">
        <v>2001</v>
      </c>
      <c r="L55" s="25"/>
      <c r="M55" s="25"/>
      <c r="Q55" s="72" t="s">
        <v>2324</v>
      </c>
      <c r="R55" s="75" t="s">
        <v>2324</v>
      </c>
      <c r="T55" s="353" t="b" cm="1">
        <f t="array" ref="T55">T54</f>
        <v>0</v>
      </c>
      <c r="X55" s="990"/>
      <c r="Z55" s="967"/>
      <c r="AB55" s="133" t="s">
        <v>2002</v>
      </c>
      <c r="AC55" s="543" t="s">
        <v>1207</v>
      </c>
      <c r="AD55" s="7" t="s">
        <v>828</v>
      </c>
      <c r="AE55" s="778"/>
      <c r="AF55" s="778"/>
      <c r="AG55" s="778"/>
      <c r="AH55" s="171">
        <f t="shared" si="2"/>
        <v>0</v>
      </c>
      <c r="AI55" s="872"/>
      <c r="AJ55" s="444"/>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775"/>
      <c r="BO55" s="779" t="str">
        <f ca="1">IF(IFERROR(INDEX(Административные!$K$26:$L$103,MATCH($F55&amp;"18komm",Административные!$K$26:$K$103,0),2),"")=0,"",IFERROR(INDEX(Административные!$K$26:$L$103,MATCH($F55&amp;"18komm",Административные!$K$26:$K$103,0),2),""))</f>
        <v/>
      </c>
      <c r="BP55" s="775"/>
      <c r="BS55" s="696" t="s">
        <v>1208</v>
      </c>
    </row>
    <row r="56" spans="2:75" ht="14.65" hidden="1" customHeight="1" x14ac:dyDescent="0.15">
      <c r="E56" s="507">
        <v>15</v>
      </c>
      <c r="F56" s="3" cm="1">
        <f t="array" aca="1" ref="F56" ca="1">OFFSET(E56,-1,1)</f>
        <v>0</v>
      </c>
      <c r="G56" s="72" t="s">
        <v>1209</v>
      </c>
      <c r="H56" s="277"/>
      <c r="I56" s="277" t="s">
        <v>2003</v>
      </c>
      <c r="K56" s="277" t="s">
        <v>2003</v>
      </c>
      <c r="L56" s="25"/>
      <c r="M56" s="25"/>
      <c r="Q56" s="72" t="s">
        <v>2324</v>
      </c>
      <c r="R56" s="75" t="s">
        <v>2324</v>
      </c>
      <c r="T56" s="353" t="b" cm="1">
        <f t="array" ref="T56">T55</f>
        <v>0</v>
      </c>
      <c r="X56" s="990"/>
      <c r="Z56" s="967"/>
      <c r="AB56" s="133" t="s">
        <v>2004</v>
      </c>
      <c r="AC56" s="543" t="s">
        <v>1210</v>
      </c>
      <c r="AD56" s="7" t="s">
        <v>828</v>
      </c>
      <c r="AE56" s="778"/>
      <c r="AF56" s="778"/>
      <c r="AG56" s="778"/>
      <c r="AH56" s="171">
        <f t="shared" si="2"/>
        <v>0</v>
      </c>
      <c r="AI56" s="872"/>
      <c r="AJ56" s="444"/>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775"/>
      <c r="BO56" s="779" t="str">
        <f ca="1">IF(IFERROR(INDEX(Административные!$K$26:$L$103,MATCH($F56&amp;"11komm",Административные!$K$26:$K$103,0),2),"")=0,"",IFERROR(INDEX(Административные!$K$26:$L$103,MATCH($F56&amp;"11komm",Административные!$K$26:$K$103,0),2),""))</f>
        <v/>
      </c>
      <c r="BP56" s="775"/>
      <c r="BS56" s="696" t="s">
        <v>1211</v>
      </c>
    </row>
    <row r="57" spans="2:75" ht="14.65" hidden="1" customHeight="1" x14ac:dyDescent="0.15">
      <c r="E57" s="507">
        <v>15</v>
      </c>
      <c r="F57" s="3" cm="1">
        <f t="array" aca="1" ref="F57" ca="1">OFFSET(E57,-1,1)</f>
        <v>0</v>
      </c>
      <c r="G57" s="72" t="s">
        <v>1212</v>
      </c>
      <c r="H57" s="277"/>
      <c r="I57" s="277" t="s">
        <v>2005</v>
      </c>
      <c r="K57" s="277" t="s">
        <v>2005</v>
      </c>
      <c r="L57" s="25"/>
      <c r="M57" s="25"/>
      <c r="Q57" s="72" t="s">
        <v>2324</v>
      </c>
      <c r="R57" s="75" t="s">
        <v>2324</v>
      </c>
      <c r="T57" s="353" t="b" cm="1">
        <f t="array" ref="T57">T56</f>
        <v>0</v>
      </c>
      <c r="X57" s="990"/>
      <c r="Z57" s="967"/>
      <c r="AB57" s="133" t="s">
        <v>2006</v>
      </c>
      <c r="AC57" s="543" t="s">
        <v>1213</v>
      </c>
      <c r="AD57" s="7" t="s">
        <v>828</v>
      </c>
      <c r="AE57" s="778"/>
      <c r="AF57" s="778"/>
      <c r="AG57" s="778"/>
      <c r="AH57" s="171">
        <f t="shared" si="2"/>
        <v>0</v>
      </c>
      <c r="AI57" s="872"/>
      <c r="AJ57" s="444"/>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775"/>
      <c r="BO57" s="779" t="str">
        <f ca="1">IF(IFERROR(INDEX(Административные!$K$26:$L$103,MATCH($F57&amp;"12komm",Административные!$K$26:$K$103,0),2),"")=0,"",IFERROR(INDEX(Административные!$K$26:$L$103,MATCH($F57&amp;"12komm",Административные!$K$26:$K$103,0),2),""))</f>
        <v/>
      </c>
      <c r="BP57" s="775"/>
      <c r="BS57" s="696" t="s">
        <v>1214</v>
      </c>
    </row>
    <row r="58" spans="2:75" ht="14.65" hidden="1" customHeight="1" x14ac:dyDescent="0.15">
      <c r="E58" s="507">
        <v>15</v>
      </c>
      <c r="F58" s="3" cm="1">
        <f t="array" aca="1" ref="F58" ca="1">OFFSET(E58,-1,1)</f>
        <v>0</v>
      </c>
      <c r="G58" s="72" t="s">
        <v>1215</v>
      </c>
      <c r="H58" s="277"/>
      <c r="I58" s="277" t="s">
        <v>2007</v>
      </c>
      <c r="K58" s="277" t="s">
        <v>2007</v>
      </c>
      <c r="L58" s="25"/>
      <c r="M58" s="25"/>
      <c r="Q58" s="72" t="s">
        <v>2324</v>
      </c>
      <c r="R58" s="75" t="s">
        <v>2324</v>
      </c>
      <c r="T58" s="353" t="b" cm="1">
        <f t="array" ref="T58">T57</f>
        <v>0</v>
      </c>
      <c r="X58" s="990"/>
      <c r="Z58" s="967"/>
      <c r="AB58" s="133" t="s">
        <v>2008</v>
      </c>
      <c r="AC58" s="543" t="s">
        <v>1216</v>
      </c>
      <c r="AD58" s="7" t="s">
        <v>828</v>
      </c>
      <c r="AE58" s="778"/>
      <c r="AF58" s="778"/>
      <c r="AG58" s="778"/>
      <c r="AH58" s="171">
        <f t="shared" si="2"/>
        <v>0</v>
      </c>
      <c r="AI58" s="872"/>
      <c r="AJ58" s="444"/>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775"/>
      <c r="BO58" s="779" t="str">
        <f ca="1">IF(IFERROR(INDEX(Административные!$K$26:$L$103,MATCH($F58&amp;"13komm",Административные!$K$26:$K$103,0),2),"")=0,"",IFERROR(INDEX(Административные!$K$26:$L$103,MATCH($F58&amp;"13komm",Административные!$K$26:$K$103,0),2),""))</f>
        <v/>
      </c>
      <c r="BP58" s="775"/>
      <c r="BS58" s="696" t="s">
        <v>1217</v>
      </c>
    </row>
    <row r="59" spans="2:75" ht="14.65" hidden="1" customHeight="1" x14ac:dyDescent="0.15">
      <c r="E59" s="507">
        <v>15</v>
      </c>
      <c r="F59" s="3" cm="1">
        <f t="array" aca="1" ref="F59" ca="1">OFFSET(E59,-1,1)</f>
        <v>0</v>
      </c>
      <c r="G59" s="72" t="s">
        <v>1218</v>
      </c>
      <c r="H59" s="277"/>
      <c r="I59" s="277" t="s">
        <v>2009</v>
      </c>
      <c r="K59" s="277" t="s">
        <v>2009</v>
      </c>
      <c r="L59" s="25"/>
      <c r="M59" s="25"/>
      <c r="Q59" s="72" t="s">
        <v>2324</v>
      </c>
      <c r="R59" s="75" t="s">
        <v>2324</v>
      </c>
      <c r="T59" s="353" t="b" cm="1">
        <f t="array" ref="T59">T58</f>
        <v>0</v>
      </c>
      <c r="X59" s="990"/>
      <c r="Z59" s="967"/>
      <c r="AB59" s="133" t="s">
        <v>2010</v>
      </c>
      <c r="AC59" s="543" t="s">
        <v>1219</v>
      </c>
      <c r="AD59" s="7" t="s">
        <v>828</v>
      </c>
      <c r="AE59" s="778"/>
      <c r="AF59" s="778"/>
      <c r="AG59" s="778"/>
      <c r="AH59" s="171">
        <f t="shared" si="2"/>
        <v>0</v>
      </c>
      <c r="AI59" s="872"/>
      <c r="AJ59" s="444"/>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775"/>
      <c r="BO59" s="779" t="str">
        <f ca="1">IF(IFERROR(INDEX(Административные!$K$26:$L$103,MATCH($F59&amp;"14komm",Административные!$K$26:$K$103,0),2),"")=0,"",IFERROR(INDEX(Административные!$K$26:$L$103,MATCH($F59&amp;"14komm",Административные!$K$26:$K$103,0),2),""))</f>
        <v/>
      </c>
      <c r="BP59" s="775"/>
      <c r="BS59" s="696" t="s">
        <v>2011</v>
      </c>
    </row>
    <row r="60" spans="2:75" ht="14.65" hidden="1" customHeight="1" x14ac:dyDescent="0.15">
      <c r="E60" s="507">
        <v>15</v>
      </c>
      <c r="F60" s="3" cm="1">
        <f t="array" aca="1" ref="F60" ca="1">OFFSET(E60,-1,1)</f>
        <v>0</v>
      </c>
      <c r="G60" s="72" t="s">
        <v>1221</v>
      </c>
      <c r="H60" s="277"/>
      <c r="I60" s="277" t="s">
        <v>2012</v>
      </c>
      <c r="K60" s="277" t="s">
        <v>2012</v>
      </c>
      <c r="L60" s="25"/>
      <c r="M60" s="25"/>
      <c r="Q60" s="72" t="s">
        <v>2324</v>
      </c>
      <c r="R60" s="75" t="s">
        <v>2324</v>
      </c>
      <c r="T60" s="353" t="b" cm="1">
        <f t="array" ref="T60">T59</f>
        <v>0</v>
      </c>
      <c r="X60" s="990"/>
      <c r="Z60" s="967"/>
      <c r="AB60" s="133" t="s">
        <v>2013</v>
      </c>
      <c r="AC60" s="543" t="s">
        <v>1224</v>
      </c>
      <c r="AD60" s="7" t="s">
        <v>828</v>
      </c>
      <c r="AE60" s="778"/>
      <c r="AF60" s="778"/>
      <c r="AG60" s="778"/>
      <c r="AH60" s="171">
        <f t="shared" ref="AH60:AH91" si="6">AG60-AF60</f>
        <v>0</v>
      </c>
      <c r="AI60" s="872"/>
      <c r="AJ60" s="444"/>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775"/>
      <c r="BO60" s="779" t="str">
        <f ca="1">IF(IFERROR(INDEX(Административные!$K$26:$L$103,MATCH($F60&amp;"15komm",Административные!$K$26:$K$103,0),2),"")=0,"",IFERROR(INDEX(Административные!$K$26:$L$103,MATCH($F60&amp;"15komm",Административные!$K$26:$K$103,0),2),""))</f>
        <v/>
      </c>
      <c r="BP60" s="775"/>
      <c r="BS60" s="696" t="s">
        <v>1225</v>
      </c>
    </row>
    <row r="61" spans="2:75" ht="14.65" hidden="1" customHeight="1" x14ac:dyDescent="0.15">
      <c r="E61" s="507">
        <v>15</v>
      </c>
      <c r="F61" s="3" cm="1">
        <f t="array" aca="1" ref="F61" ca="1">OFFSET(E61,-1,1)</f>
        <v>0</v>
      </c>
      <c r="G61" s="72" t="s">
        <v>1226</v>
      </c>
      <c r="H61" s="277"/>
      <c r="I61" s="277" t="s">
        <v>2014</v>
      </c>
      <c r="K61" s="277" t="s">
        <v>2014</v>
      </c>
      <c r="L61" s="25"/>
      <c r="M61" s="25"/>
      <c r="Q61" s="72" t="s">
        <v>2324</v>
      </c>
      <c r="R61" s="75" t="s">
        <v>2324</v>
      </c>
      <c r="T61" s="353" t="b" cm="1">
        <f t="array" ref="T61">T60</f>
        <v>0</v>
      </c>
      <c r="X61" s="990"/>
      <c r="Z61" s="967"/>
      <c r="AB61" s="133" t="s">
        <v>2015</v>
      </c>
      <c r="AC61" s="543" t="s">
        <v>1229</v>
      </c>
      <c r="AD61" s="7" t="s">
        <v>828</v>
      </c>
      <c r="AE61" s="778"/>
      <c r="AF61" s="778"/>
      <c r="AG61" s="778"/>
      <c r="AH61" s="171">
        <f t="shared" si="6"/>
        <v>0</v>
      </c>
      <c r="AI61" s="872"/>
      <c r="AJ61" s="444"/>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775"/>
      <c r="BO61" s="779" t="str">
        <f ca="1">IF(IFERROR(INDEX(Административные!$K$26:$L$103,MATCH($F61&amp;"16komm",Административные!$K$26:$K$103,0),2),"")=0,"",IFERROR(INDEX(Административные!$K$26:$L$103,MATCH($F61&amp;"16komm",Административные!$K$26:$K$103,0),2),""))</f>
        <v/>
      </c>
      <c r="BP61" s="775"/>
      <c r="BS61" s="696" t="s">
        <v>2016</v>
      </c>
    </row>
    <row r="62" spans="2:75" ht="21.95" hidden="1" customHeight="1" x14ac:dyDescent="0.25">
      <c r="E62" s="507">
        <v>22.5</v>
      </c>
      <c r="F62" s="3" cm="1">
        <f t="array" aca="1" ref="F62" ca="1">OFFSET(E62,-1,1)</f>
        <v>0</v>
      </c>
      <c r="H62" s="277"/>
      <c r="I62" s="277" t="s">
        <v>1372</v>
      </c>
      <c r="K62" s="277" t="s">
        <v>1372</v>
      </c>
      <c r="L62" s="25" t="s">
        <v>971</v>
      </c>
      <c r="M62" s="25"/>
      <c r="Q62" s="72" t="s">
        <v>2324</v>
      </c>
      <c r="R62" s="75" t="s">
        <v>2324</v>
      </c>
      <c r="T62" s="353" t="b" cm="1">
        <f t="array" ref="T62">T61</f>
        <v>0</v>
      </c>
      <c r="X62" s="990"/>
      <c r="Z62" s="967"/>
      <c r="AB62" s="133" t="s">
        <v>1090</v>
      </c>
      <c r="AC62" s="134" t="s">
        <v>2017</v>
      </c>
      <c r="AD62" s="7" t="s">
        <v>828</v>
      </c>
      <c r="AE62" s="171">
        <f ca="1">AE63+AE64</f>
        <v>0</v>
      </c>
      <c r="AF62" s="171">
        <f ca="1">AF63+AF64</f>
        <v>0</v>
      </c>
      <c r="AG62" s="171">
        <f ca="1">AG63+AG64</f>
        <v>0</v>
      </c>
      <c r="AH62" s="171">
        <f t="shared" ca="1" si="6"/>
        <v>0</v>
      </c>
      <c r="AI62" s="872">
        <f ca="1">AI63+AI64</f>
        <v>0</v>
      </c>
      <c r="AJ62" s="444"/>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775"/>
      <c r="BO62" s="775"/>
      <c r="BP62" s="775"/>
      <c r="BS62" s="694" t="s">
        <v>1822</v>
      </c>
    </row>
    <row r="63" spans="2:75" ht="14.65" hidden="1" customHeight="1" x14ac:dyDescent="0.25">
      <c r="E63" s="507">
        <v>15</v>
      </c>
      <c r="F63" s="3" cm="1">
        <f t="array" aca="1" ref="F63" ca="1">OFFSET(E63,-1,1)</f>
        <v>0</v>
      </c>
      <c r="G63" s="72" t="s">
        <v>1185</v>
      </c>
      <c r="H63" s="277"/>
      <c r="I63" s="277" t="s">
        <v>2018</v>
      </c>
      <c r="K63" s="277" t="s">
        <v>2018</v>
      </c>
      <c r="L63" s="25" t="s">
        <v>518</v>
      </c>
      <c r="M63" s="25"/>
      <c r="Q63" s="72" t="s">
        <v>2324</v>
      </c>
      <c r="R63" s="75" t="s">
        <v>2324</v>
      </c>
      <c r="T63" s="353" t="b" cm="1">
        <f t="array" ref="T63">T62</f>
        <v>0</v>
      </c>
      <c r="X63" s="990"/>
      <c r="Z63" s="967"/>
      <c r="AB63" s="133" t="s">
        <v>2019</v>
      </c>
      <c r="AC63" s="543" t="s">
        <v>1823</v>
      </c>
      <c r="AD63" s="545" t="s">
        <v>828</v>
      </c>
      <c r="AE63" s="778"/>
      <c r="AF63" s="778"/>
      <c r="AG63" s="778"/>
      <c r="AH63" s="171">
        <f t="shared" si="6"/>
        <v>0</v>
      </c>
      <c r="AI63" s="872"/>
      <c r="AJ63" s="444"/>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775"/>
      <c r="BO63" s="779" t="str">
        <f ca="1">IF(IFERROR(INDEX(ФОТ!$K$26:$L$127,MATCH($F63&amp;"5komm",ФОТ!$K$26:$K$127,0),2),"")=0,"",IFERROR(INDEX(ФОТ!$K$26:$L$127,MATCH($F63&amp;"5komm",ФОТ!$K$26:$K$127,0),2),""))</f>
        <v/>
      </c>
      <c r="BP63" s="775"/>
      <c r="BS63" s="694" t="s">
        <v>1202</v>
      </c>
    </row>
    <row r="64" spans="2:75" ht="21.95" hidden="1" customHeight="1" x14ac:dyDescent="0.25">
      <c r="E64" s="507">
        <v>22.5</v>
      </c>
      <c r="F64" s="3" cm="1">
        <f t="array" aca="1" ref="F64" ca="1">OFFSET(E64,-1,1)</f>
        <v>0</v>
      </c>
      <c r="G64" s="72" t="s">
        <v>1190</v>
      </c>
      <c r="H64" s="277"/>
      <c r="I64" s="277" t="s">
        <v>2020</v>
      </c>
      <c r="K64" s="277" t="s">
        <v>2020</v>
      </c>
      <c r="L64" s="25" t="s">
        <v>523</v>
      </c>
      <c r="M64" s="25"/>
      <c r="Q64" s="72" t="s">
        <v>2324</v>
      </c>
      <c r="R64" s="75" t="s">
        <v>2324</v>
      </c>
      <c r="T64" s="353" t="b" cm="1">
        <f t="array" ref="T64">T63</f>
        <v>0</v>
      </c>
      <c r="X64" s="990"/>
      <c r="Z64" s="967"/>
      <c r="AB64" s="133" t="s">
        <v>2021</v>
      </c>
      <c r="AC64" s="543" t="s">
        <v>2022</v>
      </c>
      <c r="AD64" s="7" t="s">
        <v>828</v>
      </c>
      <c r="AE64" s="778">
        <f ca="1">AE63*SUMIFS(INDEX(Сценарии!$AE$25:$BF$136,,MATCH(AE$8,Сценарии!$AE$8:$BF$8,0)),Сценарии!$F$25:$F$136,$F64,Сценарии!$G$25:$G$136,"СВФОТ")/100</f>
        <v>0</v>
      </c>
      <c r="AF64" s="778">
        <f ca="1">AF63*SUMIFS(INDEX(Сценарии!$AE$25:$BF$136,,MATCH(AF$8,Сценарии!$AE$8:$BF$8,0)),Сценарии!$F$25:$F$136,$F64,Сценарии!$G$25:$G$136,"СВФОТ")/100</f>
        <v>0</v>
      </c>
      <c r="AG64" s="778">
        <f ca="1">AG63*SUMIFS(INDEX(Сценарии!$AE$25:$BF$136,,MATCH(AG$8,Сценарии!$AE$8:$BF$8,0)),Сценарии!$F$25:$F$136,$F64,Сценарии!$G$25:$G$136,"СВФОТ")/100</f>
        <v>0</v>
      </c>
      <c r="AH64" s="171">
        <f t="shared" ca="1" si="6"/>
        <v>0</v>
      </c>
      <c r="AI64" s="872">
        <f ca="1">AI63*SUMIFS(INDEX(Сценарии!$AE$25:$BF$136,,MATCH(AG$8,Сценарии!$AE$8:$BF$8,0)),Сценарии!$F$25:$F$136,$F64,Сценарии!$G$25:$G$136,"СВФОТ")/100</f>
        <v>0</v>
      </c>
      <c r="AJ64" s="444"/>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775"/>
      <c r="BO64" s="779" t="str">
        <f ca="1">IF(IFERROR(INDEX(ФОТ!$K$26:$L$127,MATCH($F64&amp;"6komm",ФОТ!$K$26:$K$127,0),2),"")=0,"",IFERROR(INDEX(ФОТ!$K$26:$L$127,MATCH($F64&amp;"6komm",ФОТ!$K$26:$K$127,0),2),""))</f>
        <v/>
      </c>
      <c r="BP64" s="775"/>
      <c r="BS64" s="694" t="s">
        <v>1825</v>
      </c>
    </row>
    <row r="65" spans="2:75" ht="32.85" hidden="1" customHeight="1" x14ac:dyDescent="0.25">
      <c r="E65" s="507">
        <v>33.75</v>
      </c>
      <c r="F65" s="3" cm="1">
        <f t="array" aca="1" ref="F65" ca="1">OFFSET(E65,-1,1)</f>
        <v>0</v>
      </c>
      <c r="G65" s="2" t="s">
        <v>1231</v>
      </c>
      <c r="H65" s="277"/>
      <c r="I65" s="277" t="s">
        <v>1375</v>
      </c>
      <c r="K65" s="277" t="s">
        <v>1375</v>
      </c>
      <c r="L65" s="25" t="s">
        <v>973</v>
      </c>
      <c r="M65" s="25"/>
      <c r="Q65" s="72" t="s">
        <v>2324</v>
      </c>
      <c r="R65" s="75" t="s">
        <v>2324</v>
      </c>
      <c r="T65" s="353" t="b" cm="1">
        <f t="array" ref="T65">T64</f>
        <v>0</v>
      </c>
      <c r="X65" s="990"/>
      <c r="Z65" s="967"/>
      <c r="AB65" s="133" t="s">
        <v>1376</v>
      </c>
      <c r="AC65" s="134" t="s">
        <v>2023</v>
      </c>
      <c r="AD65" s="7" t="s">
        <v>828</v>
      </c>
      <c r="AE65" s="778"/>
      <c r="AF65" s="778"/>
      <c r="AG65" s="778"/>
      <c r="AH65" s="171">
        <f t="shared" si="6"/>
        <v>0</v>
      </c>
      <c r="AI65" s="872"/>
      <c r="AJ65" s="444"/>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775"/>
      <c r="BO65" s="779" t="str">
        <f ca="1">IF(IFERROR(INDEX(Административные!$K$26:$L$103,MATCH($F65&amp;"2komm",Административные!$K$26:$K$103,0),2),"")=0,"",IFERROR(INDEX(Административные!$K$26:$L$103,MATCH($F65&amp;"2komm",Административные!$K$26:$K$103,0),2),""))</f>
        <v/>
      </c>
      <c r="BP65" s="775"/>
      <c r="BS65" s="694" t="s">
        <v>1233</v>
      </c>
    </row>
    <row r="66" spans="2:75" ht="14.65" hidden="1" customHeight="1" x14ac:dyDescent="0.25">
      <c r="E66" s="507">
        <v>15</v>
      </c>
      <c r="F66" s="3" cm="1">
        <f t="array" aca="1" ref="F66" ca="1">OFFSET(E66,-1,1)</f>
        <v>0</v>
      </c>
      <c r="G66" s="2" t="s">
        <v>1234</v>
      </c>
      <c r="H66" s="277"/>
      <c r="I66" s="277" t="s">
        <v>1379</v>
      </c>
      <c r="K66" s="277" t="s">
        <v>1379</v>
      </c>
      <c r="L66" s="25" t="s">
        <v>975</v>
      </c>
      <c r="M66" s="25"/>
      <c r="Q66" s="72" t="s">
        <v>2324</v>
      </c>
      <c r="R66" s="75" t="s">
        <v>2324</v>
      </c>
      <c r="T66" s="353" t="b" cm="1">
        <f t="array" ref="T66">T65</f>
        <v>0</v>
      </c>
      <c r="X66" s="990"/>
      <c r="Z66" s="967"/>
      <c r="AB66" s="133" t="s">
        <v>1380</v>
      </c>
      <c r="AC66" s="134" t="s">
        <v>2024</v>
      </c>
      <c r="AD66" s="7" t="s">
        <v>828</v>
      </c>
      <c r="AE66" s="778"/>
      <c r="AF66" s="778"/>
      <c r="AG66" s="778"/>
      <c r="AH66" s="171">
        <f t="shared" si="6"/>
        <v>0</v>
      </c>
      <c r="AI66" s="872"/>
      <c r="AJ66" s="444"/>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775"/>
      <c r="BO66" s="779" t="str">
        <f ca="1">IF(IFERROR(INDEX(Административные!$K$26:$L$103,MATCH($F66&amp;"3komm",Административные!$K$26:$K$103,0),2),"")=0,"",IFERROR(INDEX(Административные!$K$26:$L$103,MATCH($F66&amp;"3komm",Административные!$K$26:$K$103,0),2),""))</f>
        <v/>
      </c>
      <c r="BP66" s="775"/>
      <c r="BS66" s="694" t="s">
        <v>1236</v>
      </c>
    </row>
    <row r="67" spans="2:75" ht="14.65" hidden="1" customHeight="1" x14ac:dyDescent="0.25">
      <c r="E67" s="507">
        <v>15</v>
      </c>
      <c r="F67" s="3" cm="1">
        <f t="array" aca="1" ref="F67" ca="1">OFFSET(E67,-1,1)</f>
        <v>0</v>
      </c>
      <c r="G67" s="2" t="s">
        <v>1237</v>
      </c>
      <c r="H67" s="277"/>
      <c r="I67" s="277" t="s">
        <v>2025</v>
      </c>
      <c r="K67" s="277" t="s">
        <v>2025</v>
      </c>
      <c r="L67" s="25" t="s">
        <v>978</v>
      </c>
      <c r="M67" s="25"/>
      <c r="Q67" s="72" t="s">
        <v>2324</v>
      </c>
      <c r="R67" s="75" t="s">
        <v>2324</v>
      </c>
      <c r="T67" s="353" t="b" cm="1">
        <f t="array" ref="T67">T66</f>
        <v>0</v>
      </c>
      <c r="X67" s="990"/>
      <c r="Z67" s="967"/>
      <c r="AB67" s="133" t="s">
        <v>2026</v>
      </c>
      <c r="AC67" s="134" t="s">
        <v>2027</v>
      </c>
      <c r="AD67" s="7" t="s">
        <v>828</v>
      </c>
      <c r="AE67" s="778"/>
      <c r="AF67" s="778"/>
      <c r="AG67" s="778"/>
      <c r="AH67" s="171">
        <f t="shared" si="6"/>
        <v>0</v>
      </c>
      <c r="AI67" s="872"/>
      <c r="AJ67" s="444"/>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775"/>
      <c r="BO67" s="779" t="str">
        <f ca="1">IF(IFERROR(INDEX(Административные!$K$26:$L$103,MATCH($F67&amp;"4komm",Административные!$K$26:$K$103,0),2),"")=0,"",IFERROR(INDEX(Административные!$K$26:$L$103,MATCH($F67&amp;"4komm",Административные!$K$26:$K$103,0),2),""))</f>
        <v/>
      </c>
      <c r="BP67" s="775"/>
      <c r="BS67" s="694" t="s">
        <v>1239</v>
      </c>
    </row>
    <row r="68" spans="2:75" ht="14.65" hidden="1" customHeight="1" x14ac:dyDescent="0.25">
      <c r="E68" s="507">
        <v>15</v>
      </c>
      <c r="F68" s="3" cm="1">
        <f t="array" aca="1" ref="F68" ca="1">OFFSET(E68,-1,1)</f>
        <v>0</v>
      </c>
      <c r="G68" s="2" t="s">
        <v>1240</v>
      </c>
      <c r="H68" s="277"/>
      <c r="I68" s="277" t="s">
        <v>2028</v>
      </c>
      <c r="K68" s="277" t="s">
        <v>2028</v>
      </c>
      <c r="L68" s="25" t="s">
        <v>1222</v>
      </c>
      <c r="M68" s="25"/>
      <c r="Q68" s="72" t="s">
        <v>2324</v>
      </c>
      <c r="R68" s="75" t="s">
        <v>2324</v>
      </c>
      <c r="T68" s="353" t="b" cm="1">
        <f t="array" ref="T68">T67</f>
        <v>0</v>
      </c>
      <c r="X68" s="990"/>
      <c r="Z68" s="967"/>
      <c r="AB68" s="133" t="s">
        <v>2029</v>
      </c>
      <c r="AC68" s="134" t="s">
        <v>2030</v>
      </c>
      <c r="AD68" s="7" t="s">
        <v>828</v>
      </c>
      <c r="AE68" s="778"/>
      <c r="AF68" s="778"/>
      <c r="AG68" s="778"/>
      <c r="AH68" s="171">
        <f t="shared" si="6"/>
        <v>0</v>
      </c>
      <c r="AI68" s="872"/>
      <c r="AJ68" s="444"/>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775"/>
      <c r="BO68" s="779" t="str">
        <f ca="1">IF(IFERROR(INDEX(Административные!$K$26:$L$103,MATCH($F68&amp;"5komm",Административные!$K$26:$K$103,0),2),"")=0,"",IFERROR(INDEX(Административные!$K$26:$L$103,MATCH($F68&amp;"5komm",Административные!$K$26:$K$103,0),2),""))</f>
        <v/>
      </c>
      <c r="BP68" s="775"/>
      <c r="BS68" s="694" t="s">
        <v>1827</v>
      </c>
    </row>
    <row r="69" spans="2:75" ht="14.65" hidden="1" customHeight="1" x14ac:dyDescent="0.25">
      <c r="E69" s="507">
        <v>15</v>
      </c>
      <c r="F69" s="3" cm="1">
        <f t="array" aca="1" ref="F69" ca="1">OFFSET(E69,-1,1)</f>
        <v>0</v>
      </c>
      <c r="G69" s="2" t="s">
        <v>1243</v>
      </c>
      <c r="H69" s="277"/>
      <c r="I69" s="277" t="s">
        <v>2031</v>
      </c>
      <c r="K69" s="277" t="s">
        <v>2031</v>
      </c>
      <c r="L69" s="25" t="s">
        <v>1227</v>
      </c>
      <c r="M69" s="25"/>
      <c r="Q69" s="72" t="s">
        <v>2324</v>
      </c>
      <c r="R69" s="75" t="s">
        <v>2324</v>
      </c>
      <c r="T69" s="353" t="b" cm="1">
        <f t="array" ref="T69">T68</f>
        <v>0</v>
      </c>
      <c r="X69" s="990"/>
      <c r="Z69" s="967"/>
      <c r="AB69" s="133" t="s">
        <v>2032</v>
      </c>
      <c r="AC69" s="134" t="s">
        <v>2033</v>
      </c>
      <c r="AD69" s="7" t="s">
        <v>828</v>
      </c>
      <c r="AE69" s="171">
        <f>SUM(AE70:AE72)</f>
        <v>0</v>
      </c>
      <c r="AF69" s="171">
        <f>SUM(AF70:AF72)</f>
        <v>0</v>
      </c>
      <c r="AG69" s="171">
        <f>SUM(AG70:AG72)</f>
        <v>0</v>
      </c>
      <c r="AH69" s="171">
        <f t="shared" si="6"/>
        <v>0</v>
      </c>
      <c r="AI69" s="872">
        <f>SUM(AI70:AI72)</f>
        <v>0</v>
      </c>
      <c r="AJ69" s="444"/>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775"/>
      <c r="BO69" s="779" t="str">
        <f ca="1">IF(IFERROR(INDEX(Административные!$K$26:$L$103,MATCH($F69&amp;"6komm",Административные!$K$26:$K$103,0),2),"")=0,"",IFERROR(INDEX(Административные!$K$26:$L$103,MATCH($F69&amp;"6komm",Административные!$K$26:$K$103,0),2),""))</f>
        <v/>
      </c>
      <c r="BP69" s="775"/>
      <c r="BS69" s="694" t="s">
        <v>1829</v>
      </c>
    </row>
    <row r="70" spans="2:75" ht="14.65" hidden="1" customHeight="1" x14ac:dyDescent="0.25">
      <c r="E70" s="507">
        <v>15</v>
      </c>
      <c r="F70" s="3" cm="1">
        <f t="array" aca="1" ref="F70" ca="1">OFFSET(E70,-1,1)</f>
        <v>0</v>
      </c>
      <c r="G70" s="2" t="s">
        <v>1245</v>
      </c>
      <c r="H70" s="277"/>
      <c r="I70" s="277" t="s">
        <v>2034</v>
      </c>
      <c r="K70" s="277" t="s">
        <v>2034</v>
      </c>
      <c r="L70" s="25" t="s">
        <v>1830</v>
      </c>
      <c r="M70" s="25"/>
      <c r="Q70" s="72" t="s">
        <v>2324</v>
      </c>
      <c r="R70" s="75" t="s">
        <v>2324</v>
      </c>
      <c r="T70" s="353" t="b" cm="1">
        <f t="array" ref="T70">T69</f>
        <v>0</v>
      </c>
      <c r="X70" s="990"/>
      <c r="Z70" s="967"/>
      <c r="AB70" s="133" t="s">
        <v>2035</v>
      </c>
      <c r="AC70" s="543" t="s">
        <v>1832</v>
      </c>
      <c r="AD70" s="7" t="s">
        <v>828</v>
      </c>
      <c r="AE70" s="778"/>
      <c r="AF70" s="778"/>
      <c r="AG70" s="778"/>
      <c r="AH70" s="171">
        <f t="shared" si="6"/>
        <v>0</v>
      </c>
      <c r="AI70" s="872"/>
      <c r="AJ70" s="444"/>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775"/>
      <c r="BO70" s="779" t="str">
        <f ca="1">IF(IFERROR(INDEX(Административные!$K$26:$L$103,MATCH($F70&amp;"7komm",Административные!$K$26:$K$103,0),2),"")=0,"",IFERROR(INDEX(Административные!$K$26:$L$103,MATCH($F70&amp;"7komm",Административные!$K$26:$K$103,0),2),""))</f>
        <v/>
      </c>
      <c r="BP70" s="775"/>
      <c r="BS70" s="694" t="s">
        <v>1833</v>
      </c>
    </row>
    <row r="71" spans="2:75" ht="14.65" hidden="1" customHeight="1" x14ac:dyDescent="0.25">
      <c r="E71" s="507">
        <v>15</v>
      </c>
      <c r="F71" s="3" cm="1">
        <f t="array" aca="1" ref="F71" ca="1">OFFSET(E71,-1,1)</f>
        <v>0</v>
      </c>
      <c r="G71" s="2" t="s">
        <v>1248</v>
      </c>
      <c r="H71" s="277"/>
      <c r="I71" s="277" t="s">
        <v>2036</v>
      </c>
      <c r="K71" s="277" t="s">
        <v>2036</v>
      </c>
      <c r="L71" s="25" t="s">
        <v>1834</v>
      </c>
      <c r="M71" s="25"/>
      <c r="Q71" s="72" t="s">
        <v>2324</v>
      </c>
      <c r="R71" s="75" t="s">
        <v>2324</v>
      </c>
      <c r="T71" s="353" t="b" cm="1">
        <f t="array" ref="T71">T70</f>
        <v>0</v>
      </c>
      <c r="X71" s="990"/>
      <c r="Z71" s="967"/>
      <c r="AB71" s="133" t="s">
        <v>2037</v>
      </c>
      <c r="AC71" s="543" t="s">
        <v>1249</v>
      </c>
      <c r="AD71" s="7" t="s">
        <v>828</v>
      </c>
      <c r="AE71" s="778"/>
      <c r="AF71" s="778"/>
      <c r="AG71" s="778"/>
      <c r="AH71" s="171">
        <f t="shared" si="6"/>
        <v>0</v>
      </c>
      <c r="AI71" s="872"/>
      <c r="AJ71" s="444"/>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775"/>
      <c r="BO71" s="779" t="str">
        <f ca="1">IF(IFERROR(INDEX(Административные!$K$26:$L$103,MATCH($F71&amp;"8komm",Административные!$K$26:$K$103,0),2),"")=0,"",IFERROR(INDEX(Административные!$K$26:$L$103,MATCH($F71&amp;"8komm",Административные!$K$26:$K$103,0),2),""))</f>
        <v/>
      </c>
      <c r="BP71" s="775"/>
      <c r="BS71" s="694" t="s">
        <v>1836</v>
      </c>
    </row>
    <row r="72" spans="2:75" ht="14.65" hidden="1" customHeight="1" x14ac:dyDescent="0.25">
      <c r="E72" s="507">
        <v>15</v>
      </c>
      <c r="F72" s="3" cm="1">
        <f t="array" aca="1" ref="F72" ca="1">OFFSET(E72,-1,1)</f>
        <v>0</v>
      </c>
      <c r="G72" s="72" t="s">
        <v>1251</v>
      </c>
      <c r="H72" s="277"/>
      <c r="I72" s="277" t="s">
        <v>2038</v>
      </c>
      <c r="K72" s="277" t="s">
        <v>2038</v>
      </c>
      <c r="L72" s="25" t="s">
        <v>1837</v>
      </c>
      <c r="M72" s="25"/>
      <c r="Q72" s="72" t="s">
        <v>2324</v>
      </c>
      <c r="R72" s="75" t="s">
        <v>2324</v>
      </c>
      <c r="T72" s="353" t="b" cm="1">
        <f t="array" ref="T72">T71</f>
        <v>0</v>
      </c>
      <c r="X72" s="990"/>
      <c r="Z72" s="967"/>
      <c r="AB72" s="133" t="s">
        <v>2039</v>
      </c>
      <c r="AC72" s="543" t="s">
        <v>1252</v>
      </c>
      <c r="AD72" s="7" t="s">
        <v>828</v>
      </c>
      <c r="AE72" s="778"/>
      <c r="AF72" s="778"/>
      <c r="AG72" s="778"/>
      <c r="AH72" s="171">
        <f t="shared" si="6"/>
        <v>0</v>
      </c>
      <c r="AI72" s="872"/>
      <c r="AJ72" s="444"/>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775"/>
      <c r="BO72" s="779" t="str">
        <f ca="1">IF(IFERROR(INDEX(Административные!$K$26:$L$103,MATCH($F72&amp;"9komm",Административные!$K$26:$K$103,0),2),"")=0,"",IFERROR(INDEX(Административные!$K$26:$L$103,MATCH($F72&amp;"9komm",Административные!$K$26:$K$103,0),2),""))</f>
        <v/>
      </c>
      <c r="BP72" s="775"/>
      <c r="BS72" s="694" t="s">
        <v>1839</v>
      </c>
    </row>
    <row r="73" spans="2:75" ht="21.95" hidden="1" customHeight="1" x14ac:dyDescent="0.25">
      <c r="B73" s="329" t="b">
        <f>STATUS_GO="да"</f>
        <v>0</v>
      </c>
      <c r="E73" s="507">
        <v>22.5</v>
      </c>
      <c r="F73" s="3" cm="1">
        <f t="array" aca="1" ref="F73" ca="1">OFFSET(E73,-1,1)</f>
        <v>0</v>
      </c>
      <c r="H73" s="277"/>
      <c r="I73" s="277" t="s">
        <v>951</v>
      </c>
      <c r="K73" s="277" t="s">
        <v>951</v>
      </c>
      <c r="L73" s="25" t="s">
        <v>335</v>
      </c>
      <c r="M73" s="25"/>
      <c r="Q73" s="72" t="s">
        <v>2324</v>
      </c>
      <c r="R73" s="75" t="s">
        <v>2324</v>
      </c>
      <c r="T73" s="353" t="b" cm="1">
        <f t="array" ref="T73">T72</f>
        <v>0</v>
      </c>
      <c r="X73" s="990"/>
      <c r="Z73" s="967"/>
      <c r="AB73" s="133" t="s">
        <v>952</v>
      </c>
      <c r="AC73" s="127" t="s">
        <v>2040</v>
      </c>
      <c r="AD73" s="7" t="s">
        <v>828</v>
      </c>
      <c r="AE73" s="778"/>
      <c r="AF73" s="778"/>
      <c r="AG73" s="778"/>
      <c r="AH73" s="171">
        <f t="shared" si="6"/>
        <v>0</v>
      </c>
      <c r="AI73" s="872"/>
      <c r="AJ73" s="444"/>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775"/>
      <c r="BO73" s="775"/>
      <c r="BP73" s="775"/>
      <c r="BS73" s="695" t="s">
        <v>1841</v>
      </c>
    </row>
    <row r="74" spans="2:75" ht="14.65" hidden="1" customHeight="1" x14ac:dyDescent="0.15">
      <c r="E74" s="507">
        <v>15</v>
      </c>
      <c r="F74" s="3" cm="1">
        <f t="array" aca="1" ref="F74" ca="1">OFFSET(E74,-1,1)</f>
        <v>0</v>
      </c>
      <c r="H74" s="277"/>
      <c r="I74" s="277" t="s">
        <v>1779</v>
      </c>
      <c r="K74" s="277" t="s">
        <v>1779</v>
      </c>
      <c r="L74" s="25"/>
      <c r="M74" s="25"/>
      <c r="Q74" s="72" t="s">
        <v>2324</v>
      </c>
      <c r="R74" s="75" t="s">
        <v>2324</v>
      </c>
      <c r="T74" s="353" t="b" cm="1">
        <f t="array" ref="T74">T73</f>
        <v>0</v>
      </c>
      <c r="X74" s="990"/>
      <c r="Z74" s="967"/>
      <c r="AB74" s="133" t="s">
        <v>1780</v>
      </c>
      <c r="AC74" s="127" t="s">
        <v>2041</v>
      </c>
      <c r="AD74" s="7" t="s">
        <v>828</v>
      </c>
      <c r="AE74" s="778"/>
      <c r="AF74" s="778"/>
      <c r="AG74" s="778"/>
      <c r="AH74" s="171">
        <f t="shared" si="6"/>
        <v>0</v>
      </c>
      <c r="AI74" s="872"/>
      <c r="AJ74" s="444"/>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775"/>
      <c r="BO74" s="775"/>
      <c r="BP74" s="775"/>
      <c r="BS74" s="696" t="s">
        <v>2042</v>
      </c>
    </row>
    <row r="75" spans="2:75" s="76" customFormat="1" ht="20.45" hidden="1" customHeight="1" x14ac:dyDescent="0.15">
      <c r="B75" s="332"/>
      <c r="E75" s="511">
        <v>21</v>
      </c>
      <c r="F75" s="3" cm="1">
        <f t="array" aca="1" ref="F75" ca="1">OFFSET(E75,-1,1)</f>
        <v>0</v>
      </c>
      <c r="H75" s="277"/>
      <c r="I75" s="277" t="s">
        <v>1783</v>
      </c>
      <c r="K75" s="277" t="s">
        <v>1783</v>
      </c>
      <c r="L75" s="27"/>
      <c r="M75" s="27"/>
      <c r="Q75" s="72" t="s">
        <v>2324</v>
      </c>
      <c r="R75" s="75" t="s">
        <v>2324</v>
      </c>
      <c r="T75" s="353" t="b" cm="1">
        <f t="array" ref="T75">T74</f>
        <v>0</v>
      </c>
      <c r="X75" s="990"/>
      <c r="Z75" s="967"/>
      <c r="AB75" s="131" t="s">
        <v>1784</v>
      </c>
      <c r="AC75" s="263" t="s">
        <v>2043</v>
      </c>
      <c r="AD75" s="124" t="s">
        <v>828</v>
      </c>
      <c r="AE75" s="126">
        <f>SUM(AE76:AE77)</f>
        <v>0</v>
      </c>
      <c r="AF75" s="126">
        <f>SUM(AF76:AF77)</f>
        <v>0</v>
      </c>
      <c r="AG75" s="126">
        <f>SUM(AG76:AG77)</f>
        <v>0</v>
      </c>
      <c r="AH75" s="126">
        <f t="shared" si="6"/>
        <v>0</v>
      </c>
      <c r="AI75" s="871">
        <f>SUM(AI76:AI77)</f>
        <v>0</v>
      </c>
      <c r="AJ75" s="444"/>
      <c r="AK75" s="129"/>
      <c r="AL75" s="129"/>
      <c r="AM75" s="129"/>
      <c r="AN75" s="129"/>
      <c r="AO75" s="129"/>
      <c r="AP75" s="129"/>
      <c r="AQ75" s="129"/>
      <c r="AR75" s="129"/>
      <c r="AS75" s="129"/>
      <c r="AT75" s="542"/>
      <c r="AU75" s="542"/>
      <c r="AV75" s="129"/>
      <c r="AW75" s="129"/>
      <c r="AX75" s="129"/>
      <c r="AY75" s="129"/>
      <c r="AZ75" s="129"/>
      <c r="BA75" s="129"/>
      <c r="BB75" s="129"/>
      <c r="BC75" s="129"/>
      <c r="BD75" s="129"/>
      <c r="BE75" s="129"/>
      <c r="BF75" s="129"/>
      <c r="BG75" s="129"/>
      <c r="BH75" s="129"/>
      <c r="BI75" s="129"/>
      <c r="BJ75" s="129"/>
      <c r="BK75" s="129"/>
      <c r="BL75" s="129"/>
      <c r="BM75" s="129"/>
      <c r="BN75" s="777"/>
      <c r="BO75" s="777"/>
      <c r="BP75" s="777"/>
      <c r="BS75" s="702" t="s">
        <v>2044</v>
      </c>
      <c r="BT75" s="702"/>
      <c r="BU75" s="702"/>
      <c r="BV75" s="511"/>
      <c r="BW75" s="511"/>
    </row>
    <row r="76" spans="2:75" ht="14.65" hidden="1" customHeight="1" x14ac:dyDescent="0.15">
      <c r="E76" s="507">
        <v>15</v>
      </c>
      <c r="F76" s="3" cm="1">
        <f t="array" aca="1" ref="F76" ca="1">OFFSET(E76,-1,1)</f>
        <v>0</v>
      </c>
      <c r="I76" s="277" t="s">
        <v>1783</v>
      </c>
      <c r="J76" s="72" cm="1">
        <f t="array" ref="J76">AC76</f>
        <v>0</v>
      </c>
      <c r="K76" s="277" t="s">
        <v>1783</v>
      </c>
      <c r="L76" s="25"/>
      <c r="M76" s="25"/>
      <c r="Q76" s="72" t="s">
        <v>2324</v>
      </c>
      <c r="R76" s="75" t="s">
        <v>2324</v>
      </c>
      <c r="T76" s="353" t="b">
        <f ca="1">AND(F76&gt;0,Y76&gt;0)</f>
        <v>0</v>
      </c>
      <c r="W76" s="72" t="s">
        <v>172</v>
      </c>
      <c r="X76" s="990"/>
      <c r="Y76" s="72">
        <v>0</v>
      </c>
      <c r="Z76" s="967"/>
      <c r="AA76" s="320" t="s">
        <v>173</v>
      </c>
      <c r="AB76" s="7" t="str">
        <f>"1.7."&amp;Y76</f>
        <v>1.7.0</v>
      </c>
      <c r="AC76" s="780"/>
      <c r="AD76" s="7" t="s">
        <v>828</v>
      </c>
      <c r="AE76" s="778"/>
      <c r="AF76" s="778"/>
      <c r="AG76" s="778"/>
      <c r="AH76" s="171">
        <f t="shared" si="6"/>
        <v>0</v>
      </c>
      <c r="AI76" s="872"/>
      <c r="AJ76" s="128"/>
      <c r="AK76" s="542"/>
      <c r="AL76" s="542"/>
      <c r="AM76" s="542"/>
      <c r="AN76" s="542"/>
      <c r="AO76" s="542"/>
      <c r="AP76" s="542"/>
      <c r="AQ76" s="542"/>
      <c r="AR76" s="542"/>
      <c r="AS76" s="542"/>
      <c r="AT76" s="542"/>
      <c r="AU76" s="542"/>
      <c r="AV76" s="542"/>
      <c r="AW76" s="542"/>
      <c r="AX76" s="542"/>
      <c r="AY76" s="542"/>
      <c r="AZ76" s="542"/>
      <c r="BA76" s="542"/>
      <c r="BB76" s="542"/>
      <c r="BC76" s="542"/>
      <c r="BD76" s="129"/>
      <c r="BE76" s="542"/>
      <c r="BF76" s="542"/>
      <c r="BG76" s="542"/>
      <c r="BH76" s="542"/>
      <c r="BI76" s="542"/>
      <c r="BJ76" s="542"/>
      <c r="BK76" s="542"/>
      <c r="BL76" s="542"/>
      <c r="BM76" s="542"/>
      <c r="BN76" s="775"/>
      <c r="BO76" s="775"/>
      <c r="BP76" s="775"/>
      <c r="BS76" s="696" t="s">
        <v>2044</v>
      </c>
      <c r="BT76" s="696" t="s">
        <v>2045</v>
      </c>
      <c r="BU76" s="696" cm="1">
        <f t="array" ref="BU76">AC76</f>
        <v>0</v>
      </c>
      <c r="BW76" s="507" t="b">
        <v>1</v>
      </c>
    </row>
    <row r="77" spans="2:75" ht="14.65" hidden="1" customHeight="1" x14ac:dyDescent="0.15">
      <c r="E77" s="507">
        <v>15</v>
      </c>
      <c r="F77" s="3" cm="1">
        <f t="array" aca="1" ref="F77" ca="1">OFFSET(E77,-1,1)</f>
        <v>0</v>
      </c>
      <c r="G77" s="266"/>
      <c r="J77" s="72" t="s">
        <v>2046</v>
      </c>
      <c r="L77" s="25"/>
      <c r="M77" s="25"/>
      <c r="T77" s="353" t="b">
        <f ca="1">F77&gt;0</f>
        <v>0</v>
      </c>
      <c r="W77" s="506" t="s">
        <v>2325</v>
      </c>
      <c r="X77" s="990"/>
      <c r="Z77" s="967"/>
      <c r="AB77" s="546"/>
      <c r="AC77" s="172" t="s">
        <v>176</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7" t="s">
        <v>2045</v>
      </c>
    </row>
    <row r="78" spans="2:75" s="76" customFormat="1" ht="20.45" hidden="1" customHeight="1" x14ac:dyDescent="0.15">
      <c r="B78" s="332"/>
      <c r="E78" s="511">
        <v>21</v>
      </c>
      <c r="F78" s="3" cm="1">
        <f t="array" aca="1" ref="F78" ca="1">OFFSET(E78,-1,1)</f>
        <v>0</v>
      </c>
      <c r="H78" s="72"/>
      <c r="I78" s="72" t="s">
        <v>332</v>
      </c>
      <c r="K78" s="72" t="s">
        <v>332</v>
      </c>
      <c r="L78" s="27"/>
      <c r="M78" s="27"/>
      <c r="T78" s="353" t="b" cm="1">
        <f t="array" aca="1" ref="T78" ca="1">T77</f>
        <v>0</v>
      </c>
      <c r="X78" s="990"/>
      <c r="Z78" s="967"/>
      <c r="AB78" s="160" t="s">
        <v>285</v>
      </c>
      <c r="AC78" s="125" t="s">
        <v>2047</v>
      </c>
      <c r="AD78" s="147" t="s">
        <v>828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5"/>
      <c r="BO78" s="775"/>
      <c r="BP78" s="775"/>
      <c r="BQ78" s="74"/>
      <c r="BS78" s="702" t="s">
        <v>2048</v>
      </c>
      <c r="BT78" s="702"/>
      <c r="BU78" s="702"/>
      <c r="BV78" s="511"/>
      <c r="BW78" s="511"/>
    </row>
    <row r="79" spans="2:75" s="76" customFormat="1" ht="21.95" hidden="1" customHeight="1" x14ac:dyDescent="0.15">
      <c r="B79" s="332"/>
      <c r="E79" s="511">
        <v>22.5</v>
      </c>
      <c r="F79" s="3" cm="1">
        <f t="array" aca="1" ref="F79" ca="1">OFFSET(E79,-1,1)</f>
        <v>0</v>
      </c>
      <c r="H79" s="72"/>
      <c r="I79" s="72" t="s">
        <v>500</v>
      </c>
      <c r="K79" s="72" t="s">
        <v>500</v>
      </c>
      <c r="L79" s="27" t="s">
        <v>486</v>
      </c>
      <c r="M79" s="27"/>
      <c r="T79" s="353" t="b" cm="1">
        <f t="array" aca="1" ref="T79" ca="1">T78</f>
        <v>0</v>
      </c>
      <c r="X79" s="990"/>
      <c r="Z79" s="967"/>
      <c r="AB79" s="131" t="s">
        <v>561</v>
      </c>
      <c r="AC79" s="263" t="s">
        <v>2049</v>
      </c>
      <c r="AD79" s="124" t="s">
        <v>828</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7"/>
      <c r="BO79" s="777"/>
      <c r="BP79" s="777"/>
      <c r="BS79" s="702" t="s">
        <v>2050</v>
      </c>
      <c r="BT79" s="702"/>
      <c r="BU79" s="702"/>
      <c r="BV79" s="511"/>
      <c r="BW79" s="511"/>
    </row>
    <row r="80" spans="2:75" ht="14.65" hidden="1" customHeight="1" x14ac:dyDescent="0.15">
      <c r="E80" s="507">
        <v>15</v>
      </c>
      <c r="F80" s="3" cm="1">
        <f t="array" aca="1" ref="F80" ca="1">OFFSET(E80,-1,1)</f>
        <v>0</v>
      </c>
      <c r="G80" s="72" t="s">
        <v>1148</v>
      </c>
      <c r="I80" s="72" t="s">
        <v>1570</v>
      </c>
      <c r="K80" s="72" t="s">
        <v>1570</v>
      </c>
      <c r="L80" s="25" t="s">
        <v>1347</v>
      </c>
      <c r="M80" s="25"/>
      <c r="T80" s="353" t="b" cm="1">
        <f t="array" aca="1" ref="T80" ca="1">T79</f>
        <v>0</v>
      </c>
      <c r="X80" s="990"/>
      <c r="Z80" s="967"/>
      <c r="AB80" s="133" t="s">
        <v>508</v>
      </c>
      <c r="AC80" s="134" t="s">
        <v>2051</v>
      </c>
      <c r="AD80" s="7" t="s">
        <v>828</v>
      </c>
      <c r="AE80" s="171">
        <f ca="1">SUMIFS(Покупка!AE$25:AE$150,Покупка!$F$25:$F$150,$F80,Покупка!$AC$25:$AC$150,$G80)</f>
        <v>0</v>
      </c>
      <c r="AF80" s="171">
        <f ca="1">SUMIFS(Покупка!AF$25:AF$150,Покупка!$F$25:$F$150,$F80,Покупка!$AC$25:$AC$150,$G80)</f>
        <v>0</v>
      </c>
      <c r="AG80" s="171">
        <f ca="1">SUMIFS(Покупка!AG$25:AG$150,Покупка!$F$25:$F$150,$F80,Покупка!$AC$25:$AC$150,$G80)</f>
        <v>0</v>
      </c>
      <c r="AH80" s="171">
        <f t="shared" ca="1" si="7"/>
        <v>0</v>
      </c>
      <c r="AI80" s="171">
        <f ca="1">SUMIFS(Покупка!AH$25:AH$150,Покупка!$F$25:$F$150,$F80,Покупка!$AC$25:$AC$150,$G80)</f>
        <v>0</v>
      </c>
      <c r="AJ80" s="171">
        <f ca="1">SUMIFS(Покупка!AI$25:AI$150,Покупка!$F$25:$F$150,$F80,Покупка!$AC$25:$AC$150,$G80)</f>
        <v>0</v>
      </c>
      <c r="AK80" s="171">
        <f ca="1">SUMIFS(Покупка!AJ$25:AJ$150,Покупка!$F$25:$F$150,$F80,Покупка!$AC$25:$AC$150,$G80)</f>
        <v>0</v>
      </c>
      <c r="AL80" s="171">
        <f ca="1">SUMIFS(Покупка!AK$25:AK$150,Покупка!$F$25:$F$150,$F80,Покупка!$AC$25:$AC$150,$G80)</f>
        <v>0</v>
      </c>
      <c r="AM80" s="171">
        <f ca="1">SUMIFS(Покупка!AL$25:AL$150,Покупка!$F$25:$F$150,$F80,Покупка!$AC$25:$AC$150,$G80)</f>
        <v>0</v>
      </c>
      <c r="AN80" s="171">
        <f ca="1">SUMIFS(Покупка!AM$25:AM$150,Покупка!$F$25:$F$150,$F80,Покупка!$AC$25:$AC$150,$G80)</f>
        <v>0</v>
      </c>
      <c r="AO80" s="171">
        <f ca="1">SUMIFS(Покупка!AN$25:AN$150,Покупка!$F$25:$F$150,$F80,Покупка!$AC$25:$AC$150,$G80)</f>
        <v>0</v>
      </c>
      <c r="AP80" s="171">
        <f ca="1">SUMIFS(Покупка!AO$25:AO$150,Покупка!$F$25:$F$150,$F80,Покупка!$AC$25:$AC$150,$G80)</f>
        <v>0</v>
      </c>
      <c r="AQ80" s="171">
        <f ca="1">SUMIFS(Покупка!AP$25:AP$150,Покупка!$F$25:$F$150,$F80,Покупка!$AC$25:$AC$150,$G80)</f>
        <v>0</v>
      </c>
      <c r="AR80" s="171">
        <f ca="1">SUMIFS(Покупка!AQ$25:AQ$150,Покупка!$F$25:$F$150,$F80,Покупка!$AC$25:$AC$150,$G80)</f>
        <v>0</v>
      </c>
      <c r="AS80" s="171">
        <f ca="1">SUMIFS(Покупка!AR$25:AR$150,Покупка!$F$25:$F$150,$F80,Покупка!$AC$25:$AC$150,$G80)</f>
        <v>0</v>
      </c>
      <c r="AT80" s="171">
        <f ca="1">SUMIFS(Покупка!AS$25:AS$150,Покупка!$F$25:$F$150,$F80,Покупка!$AC$25:$AC$150,$G80)</f>
        <v>0</v>
      </c>
      <c r="AU80" s="171">
        <f ca="1">SUMIFS(Покупка!AT$25:AT$150,Покупка!$F$25:$F$150,$F80,Покупка!$AC$25:$AC$150,$G80)</f>
        <v>0</v>
      </c>
      <c r="AV80" s="171">
        <f ca="1">SUMIFS(Покупка!AU$25:AU$150,Покупка!$F$25:$F$150,$F80,Покупка!$AC$25:$AC$150,$G80)</f>
        <v>0</v>
      </c>
      <c r="AW80" s="171">
        <f ca="1">SUMIFS(Покупка!AV$25:AV$150,Покупка!$F$25:$F$150,$F80,Покупка!$AC$25:$AC$150,$G80)</f>
        <v>0</v>
      </c>
      <c r="AX80" s="171">
        <f ca="1">SUMIFS(Покупка!AW$25:AW$150,Покупка!$F$25:$F$150,$F80,Покупка!$AC$25:$AC$150,$G80)</f>
        <v>0</v>
      </c>
      <c r="AY80" s="171">
        <f ca="1">SUMIFS(Покупка!AX$25:AX$150,Покупка!$F$25:$F$150,$F80,Покупка!$AC$25:$AC$150,$G80)</f>
        <v>0</v>
      </c>
      <c r="AZ80" s="171">
        <f ca="1">SUMIFS(Покупка!AY$25:AY$150,Покупка!$F$25:$F$150,$F80,Покупка!$AC$25:$AC$150,$G80)</f>
        <v>0</v>
      </c>
      <c r="BA80" s="171">
        <f ca="1">SUMIFS(Покупка!AZ$25:AZ$150,Покупка!$F$25:$F$150,$F80,Покупка!$AC$25:$AC$150,$G80)</f>
        <v>0</v>
      </c>
      <c r="BB80" s="171">
        <f ca="1">SUMIFS(Покупка!BA$25:BA$150,Покупка!$F$25:$F$150,$F80,Покупка!$AC$25:$AC$150,$G80)</f>
        <v>0</v>
      </c>
      <c r="BC80" s="171">
        <f ca="1">SUMIFS(Покупка!BB$25:BB$150,Покупка!$F$25:$F$150,$F80,Покупка!$AC$25:$AC$150,$G80)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5"/>
      <c r="BO80" s="779" t="str">
        <f ca="1">IF(IFERROR(INDEX(Покупка!$K$26:$L$150,MATCH($F80&amp;"6komm",Покупка!$K$26:$K$150,0),2),"")=0,"",IFERROR(INDEX(Покупка!$K$26:$L$150,MATCH($F80&amp;"6komm",Покупка!$K$26:$K$150,0),2),""))</f>
        <v/>
      </c>
      <c r="BP80" s="775"/>
      <c r="BS80" s="696" t="s">
        <v>1149</v>
      </c>
    </row>
    <row r="81" spans="2:75" ht="14.65" hidden="1" customHeight="1" x14ac:dyDescent="0.15">
      <c r="B81" s="15"/>
      <c r="C81" s="25"/>
      <c r="D81" s="25"/>
      <c r="E81" s="451">
        <v>15</v>
      </c>
      <c r="F81" s="3" cm="1">
        <f t="array" aca="1" ref="F81" ca="1">OFFSET(E81,-1,1)</f>
        <v>0</v>
      </c>
      <c r="G81" s="25" t="s">
        <v>1150</v>
      </c>
      <c r="H81" s="25"/>
      <c r="I81" s="25" t="s">
        <v>1574</v>
      </c>
      <c r="J81" s="25"/>
      <c r="K81" s="25" t="s">
        <v>1574</v>
      </c>
      <c r="L81" s="25" t="s">
        <v>1351</v>
      </c>
      <c r="M81" s="25"/>
      <c r="N81" s="25"/>
      <c r="O81" s="25"/>
      <c r="P81" s="25"/>
      <c r="Q81" s="25"/>
      <c r="R81" s="25"/>
      <c r="S81" s="25"/>
      <c r="T81" s="353" t="b" cm="1">
        <f t="array" aca="1" ref="T81" ca="1">T80</f>
        <v>0</v>
      </c>
      <c r="U81" s="25"/>
      <c r="V81" s="25"/>
      <c r="X81" s="990"/>
      <c r="Z81" s="967"/>
      <c r="AB81" s="133" t="s">
        <v>2052</v>
      </c>
      <c r="AC81" s="134" t="s">
        <v>2053</v>
      </c>
      <c r="AD81" s="7" t="s">
        <v>828</v>
      </c>
      <c r="AE81" s="171">
        <f ca="1">SUMIFS(Покупка!AE$25:AE$150,Покупка!$F$25:$F$150,$F81,Покупка!$AC$25:$AC$150,$G81)</f>
        <v>0</v>
      </c>
      <c r="AF81" s="171">
        <f ca="1">SUMIFS(Покупка!AF$25:AF$150,Покупка!$F$25:$F$150,$F81,Покупка!$AC$25:$AC$150,$G81)</f>
        <v>0</v>
      </c>
      <c r="AG81" s="171">
        <f ca="1">SUMIFS(Покупка!AG$25:AG$150,Покупка!$F$25:$F$150,$F81,Покупка!$AC$25:$AC$150,$G81)</f>
        <v>0</v>
      </c>
      <c r="AH81" s="171">
        <f t="shared" ca="1" si="7"/>
        <v>0</v>
      </c>
      <c r="AI81" s="171">
        <f ca="1">SUMIFS(Покупка!AH$25:AH$150,Покупка!$F$25:$F$150,$F81,Покупка!$AC$25:$AC$150,$G81)</f>
        <v>0</v>
      </c>
      <c r="AJ81" s="171">
        <f ca="1">SUMIFS(Покупка!AI$25:AI$150,Покупка!$F$25:$F$150,$F81,Покупка!$AC$25:$AC$150,$G81)</f>
        <v>0</v>
      </c>
      <c r="AK81" s="171">
        <f ca="1">SUMIFS(Покупка!AJ$25:AJ$150,Покупка!$F$25:$F$150,$F81,Покупка!$AC$25:$AC$150,$G81)</f>
        <v>0</v>
      </c>
      <c r="AL81" s="171">
        <f ca="1">SUMIFS(Покупка!AK$25:AK$150,Покупка!$F$25:$F$150,$F81,Покупка!$AC$25:$AC$150,$G81)</f>
        <v>0</v>
      </c>
      <c r="AM81" s="171">
        <f ca="1">SUMIFS(Покупка!AL$25:AL$150,Покупка!$F$25:$F$150,$F81,Покупка!$AC$25:$AC$150,$G81)</f>
        <v>0</v>
      </c>
      <c r="AN81" s="171">
        <f ca="1">SUMIFS(Покупка!AM$25:AM$150,Покупка!$F$25:$F$150,$F81,Покупка!$AC$25:$AC$150,$G81)</f>
        <v>0</v>
      </c>
      <c r="AO81" s="171">
        <f ca="1">SUMIFS(Покупка!AN$25:AN$150,Покупка!$F$25:$F$150,$F81,Покупка!$AC$25:$AC$150,$G81)</f>
        <v>0</v>
      </c>
      <c r="AP81" s="171">
        <f ca="1">SUMIFS(Покупка!AO$25:AO$150,Покупка!$F$25:$F$150,$F81,Покупка!$AC$25:$AC$150,$G81)</f>
        <v>0</v>
      </c>
      <c r="AQ81" s="171">
        <f ca="1">SUMIFS(Покупка!AP$25:AP$150,Покупка!$F$25:$F$150,$F81,Покупка!$AC$25:$AC$150,$G81)</f>
        <v>0</v>
      </c>
      <c r="AR81" s="171">
        <f ca="1">SUMIFS(Покупка!AQ$25:AQ$150,Покупка!$F$25:$F$150,$F81,Покупка!$AC$25:$AC$150,$G81)</f>
        <v>0</v>
      </c>
      <c r="AS81" s="171">
        <f ca="1">SUMIFS(Покупка!AR$25:AR$150,Покупка!$F$25:$F$150,$F81,Покупка!$AC$25:$AC$150,$G81)</f>
        <v>0</v>
      </c>
      <c r="AT81" s="171">
        <f ca="1">SUMIFS(Покупка!AS$25:AS$150,Покупка!$F$25:$F$150,$F81,Покупка!$AC$25:$AC$150,$G81)</f>
        <v>0</v>
      </c>
      <c r="AU81" s="171">
        <f ca="1">SUMIFS(Покупка!AT$25:AT$150,Покупка!$F$25:$F$150,$F81,Покупка!$AC$25:$AC$150,$G81)</f>
        <v>0</v>
      </c>
      <c r="AV81" s="171">
        <f ca="1">SUMIFS(Покупка!AU$25:AU$150,Покупка!$F$25:$F$150,$F81,Покупка!$AC$25:$AC$150,$G81)</f>
        <v>0</v>
      </c>
      <c r="AW81" s="171">
        <f ca="1">SUMIFS(Покупка!AV$25:AV$150,Покупка!$F$25:$F$150,$F81,Покупка!$AC$25:$AC$150,$G81)</f>
        <v>0</v>
      </c>
      <c r="AX81" s="171">
        <f ca="1">SUMIFS(Покупка!AW$25:AW$150,Покупка!$F$25:$F$150,$F81,Покупка!$AC$25:$AC$150,$G81)</f>
        <v>0</v>
      </c>
      <c r="AY81" s="171">
        <f ca="1">SUMIFS(Покупка!AX$25:AX$150,Покупка!$F$25:$F$150,$F81,Покупка!$AC$25:$AC$150,$G81)</f>
        <v>0</v>
      </c>
      <c r="AZ81" s="171">
        <f ca="1">SUMIFS(Покупка!AY$25:AY$150,Покупка!$F$25:$F$150,$F81,Покупка!$AC$25:$AC$150,$G81)</f>
        <v>0</v>
      </c>
      <c r="BA81" s="171">
        <f ca="1">SUMIFS(Покупка!AZ$25:AZ$150,Покупка!$F$25:$F$150,$F81,Покупка!$AC$25:$AC$150,$G81)</f>
        <v>0</v>
      </c>
      <c r="BB81" s="171">
        <f ca="1">SUMIFS(Покупка!BA$25:BA$150,Покупка!$F$25:$F$150,$F81,Покупка!$AC$25:$AC$150,$G81)</f>
        <v>0</v>
      </c>
      <c r="BC81" s="171">
        <f ca="1">SUMIFS(Покупка!BB$25:BB$150,Покупка!$F$25:$F$150,$F81,Покупка!$AC$25:$AC$150,$G81)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5"/>
      <c r="BO81" s="779" t="str">
        <f ca="1">IF(IFERROR(INDEX(Покупка!$K$26:$L$150,MATCH($F81&amp;"7komm",Покупка!$K$26:$K$150,0),2),"")=0,"",IFERROR(INDEX(Покупка!$K$26:$L$150,MATCH($F81&amp;"7komm",Покупка!$K$26:$K$150,0),2),""))</f>
        <v/>
      </c>
      <c r="BP81" s="775"/>
      <c r="BS81" s="696" t="s">
        <v>1151</v>
      </c>
    </row>
    <row r="82" spans="2:75" ht="14.65" hidden="1" customHeight="1" x14ac:dyDescent="0.15">
      <c r="B82" s="15"/>
      <c r="C82" s="25"/>
      <c r="D82" s="25"/>
      <c r="E82" s="451">
        <v>15</v>
      </c>
      <c r="F82" s="3" cm="1">
        <f t="array" aca="1" ref="F82" ca="1">OFFSET(E82,-1,1)</f>
        <v>0</v>
      </c>
      <c r="G82" s="25" t="s">
        <v>1125</v>
      </c>
      <c r="H82" s="25"/>
      <c r="I82" s="25" t="s">
        <v>1681</v>
      </c>
      <c r="J82" s="25"/>
      <c r="K82" s="25" t="s">
        <v>1681</v>
      </c>
      <c r="L82" s="25" t="s">
        <v>1519</v>
      </c>
      <c r="M82" s="25"/>
      <c r="N82" s="25"/>
      <c r="O82" s="25"/>
      <c r="P82" s="25"/>
      <c r="Q82" s="25"/>
      <c r="R82" s="25"/>
      <c r="S82" s="25"/>
      <c r="T82" s="353" t="b" cm="1">
        <f t="array" aca="1" ref="T82" ca="1">T81</f>
        <v>0</v>
      </c>
      <c r="U82" s="25"/>
      <c r="V82" s="25"/>
      <c r="X82" s="990"/>
      <c r="Z82" s="967"/>
      <c r="AB82" s="133" t="s">
        <v>2054</v>
      </c>
      <c r="AC82" s="134" t="s">
        <v>2055</v>
      </c>
      <c r="AD82" s="7" t="s">
        <v>828</v>
      </c>
      <c r="AE82" s="171">
        <f ca="1">SUMIFS(Покупка!AE$25:AE$150,Покупка!$F$25:$F$150,$F82,Покупка!$AC$25:$AC$150,$G82)</f>
        <v>0</v>
      </c>
      <c r="AF82" s="171">
        <f ca="1">SUMIFS(Покупка!AF$25:AF$150,Покупка!$F$25:$F$150,$F82,Покупка!$AC$25:$AC$150,$G82)</f>
        <v>0</v>
      </c>
      <c r="AG82" s="171">
        <f ca="1">SUMIFS(Покупка!AG$25:AG$150,Покупка!$F$25:$F$150,$F82,Покупка!$AC$25:$AC$150,$G82)</f>
        <v>0</v>
      </c>
      <c r="AH82" s="171">
        <f t="shared" ca="1" si="7"/>
        <v>0</v>
      </c>
      <c r="AI82" s="171">
        <f ca="1">SUMIFS(Покупка!AH$25:AH$150,Покупка!$F$25:$F$150,$F82,Покупка!$AC$25:$AC$150,$G82)</f>
        <v>0</v>
      </c>
      <c r="AJ82" s="171">
        <f ca="1">SUMIFS(Покупка!AI$25:AI$150,Покупка!$F$25:$F$150,$F82,Покупка!$AC$25:$AC$150,$G82)</f>
        <v>0</v>
      </c>
      <c r="AK82" s="171">
        <f ca="1">SUMIFS(Покупка!AJ$25:AJ$150,Покупка!$F$25:$F$150,$F82,Покупка!$AC$25:$AC$150,$G82)</f>
        <v>0</v>
      </c>
      <c r="AL82" s="171">
        <f ca="1">SUMIFS(Покупка!AK$25:AK$150,Покупка!$F$25:$F$150,$F82,Покупка!$AC$25:$AC$150,$G82)</f>
        <v>0</v>
      </c>
      <c r="AM82" s="171">
        <f ca="1">SUMIFS(Покупка!AL$25:AL$150,Покупка!$F$25:$F$150,$F82,Покупка!$AC$25:$AC$150,$G82)</f>
        <v>0</v>
      </c>
      <c r="AN82" s="171">
        <f ca="1">SUMIFS(Покупка!AM$25:AM$150,Покупка!$F$25:$F$150,$F82,Покупка!$AC$25:$AC$150,$G82)</f>
        <v>0</v>
      </c>
      <c r="AO82" s="171">
        <f ca="1">SUMIFS(Покупка!AN$25:AN$150,Покупка!$F$25:$F$150,$F82,Покупка!$AC$25:$AC$150,$G82)</f>
        <v>0</v>
      </c>
      <c r="AP82" s="171">
        <f ca="1">SUMIFS(Покупка!AO$25:AO$150,Покупка!$F$25:$F$150,$F82,Покупка!$AC$25:$AC$150,$G82)</f>
        <v>0</v>
      </c>
      <c r="AQ82" s="171">
        <f ca="1">SUMIFS(Покупка!AP$25:AP$150,Покупка!$F$25:$F$150,$F82,Покупка!$AC$25:$AC$150,$G82)</f>
        <v>0</v>
      </c>
      <c r="AR82" s="171">
        <f ca="1">SUMIFS(Покупка!AQ$25:AQ$150,Покупка!$F$25:$F$150,$F82,Покупка!$AC$25:$AC$150,$G82)</f>
        <v>0</v>
      </c>
      <c r="AS82" s="171">
        <f ca="1">SUMIFS(Покупка!AR$25:AR$150,Покупка!$F$25:$F$150,$F82,Покупка!$AC$25:$AC$150,$G82)</f>
        <v>0</v>
      </c>
      <c r="AT82" s="171">
        <f ca="1">SUMIFS(Покупка!AS$25:AS$150,Покупка!$F$25:$F$150,$F82,Покупка!$AC$25:$AC$150,$G82)</f>
        <v>0</v>
      </c>
      <c r="AU82" s="171">
        <f ca="1">SUMIFS(Покупка!AT$25:AT$150,Покупка!$F$25:$F$150,$F82,Покупка!$AC$25:$AC$150,$G82)</f>
        <v>0</v>
      </c>
      <c r="AV82" s="171">
        <f ca="1">SUMIFS(Покупка!AU$25:AU$150,Покупка!$F$25:$F$150,$F82,Покупка!$AC$25:$AC$150,$G82)</f>
        <v>0</v>
      </c>
      <c r="AW82" s="171">
        <f ca="1">SUMIFS(Покупка!AV$25:AV$150,Покупка!$F$25:$F$150,$F82,Покупка!$AC$25:$AC$150,$G82)</f>
        <v>0</v>
      </c>
      <c r="AX82" s="171">
        <f ca="1">SUMIFS(Покупка!AW$25:AW$150,Покупка!$F$25:$F$150,$F82,Покупка!$AC$25:$AC$150,$G82)</f>
        <v>0</v>
      </c>
      <c r="AY82" s="171">
        <f ca="1">SUMIFS(Покупка!AX$25:AX$150,Покупка!$F$25:$F$150,$F82,Покупка!$AC$25:$AC$150,$G82)</f>
        <v>0</v>
      </c>
      <c r="AZ82" s="171">
        <f ca="1">SUMIFS(Покупка!AY$25:AY$150,Покупка!$F$25:$F$150,$F82,Покупка!$AC$25:$AC$150,$G82)</f>
        <v>0</v>
      </c>
      <c r="BA82" s="171">
        <f ca="1">SUMIFS(Покупка!AZ$25:AZ$150,Покупка!$F$25:$F$150,$F82,Покупка!$AC$25:$AC$150,$G82)</f>
        <v>0</v>
      </c>
      <c r="BB82" s="171">
        <f ca="1">SUMIFS(Покупка!BA$25:BA$150,Покупка!$F$25:$F$150,$F82,Покупка!$AC$25:$AC$150,$G82)</f>
        <v>0</v>
      </c>
      <c r="BC82" s="171">
        <f ca="1">SUMIFS(Покупка!BB$25:BB$150,Покупка!$F$25:$F$150,$F82,Покупка!$AC$25:$AC$150,$G82)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5"/>
      <c r="BO82" s="779" t="str">
        <f ca="1">IF(IFERROR(INDEX(Покупка!$K$26:$L$150,MATCH($F82&amp;"2komm",Покупка!$K$26:$K$150,0),2),"")=0,"",IFERROR(INDEX(Покупка!$K$26:$L$150,MATCH($F82&amp;"2komm",Покупка!$K$26:$K$150,0),2),""))</f>
        <v/>
      </c>
      <c r="BP82" s="775"/>
      <c r="BS82" s="696" t="s">
        <v>2056</v>
      </c>
    </row>
    <row r="83" spans="2:75" ht="14.65" hidden="1" customHeight="1" x14ac:dyDescent="0.15">
      <c r="B83" s="15"/>
      <c r="C83" s="25"/>
      <c r="D83" s="25"/>
      <c r="E83" s="451">
        <v>15</v>
      </c>
      <c r="F83" s="3" cm="1">
        <f t="array" aca="1" ref="F83" ca="1">OFFSET(E83,-1,1)</f>
        <v>0</v>
      </c>
      <c r="G83" s="25" t="s">
        <v>1116</v>
      </c>
      <c r="H83" s="25"/>
      <c r="I83" s="25" t="s">
        <v>1683</v>
      </c>
      <c r="J83" s="25"/>
      <c r="K83" s="25" t="s">
        <v>1683</v>
      </c>
      <c r="L83" s="25" t="s">
        <v>1514</v>
      </c>
      <c r="M83" s="25"/>
      <c r="N83" s="25"/>
      <c r="O83" s="25"/>
      <c r="P83" s="25"/>
      <c r="Q83" s="25"/>
      <c r="R83" s="25"/>
      <c r="S83" s="25"/>
      <c r="T83" s="353" t="b" cm="1">
        <f t="array" aca="1" ref="T83" ca="1">T82</f>
        <v>0</v>
      </c>
      <c r="U83" s="25"/>
      <c r="V83" s="25"/>
      <c r="X83" s="990"/>
      <c r="Z83" s="967"/>
      <c r="AB83" s="133" t="s">
        <v>2057</v>
      </c>
      <c r="AC83" s="134" t="s">
        <v>2058</v>
      </c>
      <c r="AD83" s="7" t="s">
        <v>828</v>
      </c>
      <c r="AE83" s="171">
        <f ca="1">SUMIFS(Покупка!AE$25:AE$150,Покупка!$F$25:$F$150,$F83,Покупка!$AC$25:$AC$150,$G83)</f>
        <v>0</v>
      </c>
      <c r="AF83" s="171">
        <f ca="1">SUMIFS(Покупка!AF$25:AF$150,Покупка!$F$25:$F$150,$F83,Покупка!$AC$25:$AC$150,$G83)</f>
        <v>0</v>
      </c>
      <c r="AG83" s="171">
        <f ca="1">SUMIFS(Покупка!AG$25:AG$150,Покупка!$F$25:$F$150,$F83,Покупка!$AC$25:$AC$150,$G83)</f>
        <v>0</v>
      </c>
      <c r="AH83" s="171">
        <f t="shared" ca="1" si="7"/>
        <v>0</v>
      </c>
      <c r="AI83" s="171">
        <f ca="1">SUMIFS(Покупка!AH$25:AH$150,Покупка!$F$25:$F$150,$F83,Покупка!$AC$25:$AC$150,$G83)</f>
        <v>0</v>
      </c>
      <c r="AJ83" s="171">
        <f ca="1">SUMIFS(Покупка!AI$25:AI$150,Покупка!$F$25:$F$150,$F83,Покупка!$AC$25:$AC$150,$G83)</f>
        <v>0</v>
      </c>
      <c r="AK83" s="171">
        <f ca="1">SUMIFS(Покупка!AJ$25:AJ$150,Покупка!$F$25:$F$150,$F83,Покупка!$AC$25:$AC$150,$G83)</f>
        <v>0</v>
      </c>
      <c r="AL83" s="171">
        <f ca="1">SUMIFS(Покупка!AK$25:AK$150,Покупка!$F$25:$F$150,$F83,Покупка!$AC$25:$AC$150,$G83)</f>
        <v>0</v>
      </c>
      <c r="AM83" s="171">
        <f ca="1">SUMIFS(Покупка!AL$25:AL$150,Покупка!$F$25:$F$150,$F83,Покупка!$AC$25:$AC$150,$G83)</f>
        <v>0</v>
      </c>
      <c r="AN83" s="171">
        <f ca="1">SUMIFS(Покупка!AM$25:AM$150,Покупка!$F$25:$F$150,$F83,Покупка!$AC$25:$AC$150,$G83)</f>
        <v>0</v>
      </c>
      <c r="AO83" s="171">
        <f ca="1">SUMIFS(Покупка!AN$25:AN$150,Покупка!$F$25:$F$150,$F83,Покупка!$AC$25:$AC$150,$G83)</f>
        <v>0</v>
      </c>
      <c r="AP83" s="171">
        <f ca="1">SUMIFS(Покупка!AO$25:AO$150,Покупка!$F$25:$F$150,$F83,Покупка!$AC$25:$AC$150,$G83)</f>
        <v>0</v>
      </c>
      <c r="AQ83" s="171">
        <f ca="1">SUMIFS(Покупка!AP$25:AP$150,Покупка!$F$25:$F$150,$F83,Покупка!$AC$25:$AC$150,$G83)</f>
        <v>0</v>
      </c>
      <c r="AR83" s="171">
        <f ca="1">SUMIFS(Покупка!AQ$25:AQ$150,Покупка!$F$25:$F$150,$F83,Покупка!$AC$25:$AC$150,$G83)</f>
        <v>0</v>
      </c>
      <c r="AS83" s="171">
        <f ca="1">SUMIFS(Покупка!AR$25:AR$150,Покупка!$F$25:$F$150,$F83,Покупка!$AC$25:$AC$150,$G83)</f>
        <v>0</v>
      </c>
      <c r="AT83" s="171">
        <f ca="1">SUMIFS(Покупка!AS$25:AS$150,Покупка!$F$25:$F$150,$F83,Покупка!$AC$25:$AC$150,$G83)</f>
        <v>0</v>
      </c>
      <c r="AU83" s="171">
        <f ca="1">SUMIFS(Покупка!AT$25:AT$150,Покупка!$F$25:$F$150,$F83,Покупка!$AC$25:$AC$150,$G83)</f>
        <v>0</v>
      </c>
      <c r="AV83" s="171">
        <f ca="1">SUMIFS(Покупка!AU$25:AU$150,Покупка!$F$25:$F$150,$F83,Покупка!$AC$25:$AC$150,$G83)</f>
        <v>0</v>
      </c>
      <c r="AW83" s="171">
        <f ca="1">SUMIFS(Покупка!AV$25:AV$150,Покупка!$F$25:$F$150,$F83,Покупка!$AC$25:$AC$150,$G83)</f>
        <v>0</v>
      </c>
      <c r="AX83" s="171">
        <f ca="1">SUMIFS(Покупка!AW$25:AW$150,Покупка!$F$25:$F$150,$F83,Покупка!$AC$25:$AC$150,$G83)</f>
        <v>0</v>
      </c>
      <c r="AY83" s="171">
        <f ca="1">SUMIFS(Покупка!AX$25:AX$150,Покупка!$F$25:$F$150,$F83,Покупка!$AC$25:$AC$150,$G83)</f>
        <v>0</v>
      </c>
      <c r="AZ83" s="171">
        <f ca="1">SUMIFS(Покупка!AY$25:AY$150,Покупка!$F$25:$F$150,$F83,Покупка!$AC$25:$AC$150,$G83)</f>
        <v>0</v>
      </c>
      <c r="BA83" s="171">
        <f ca="1">SUMIFS(Покупка!AZ$25:AZ$150,Покупка!$F$25:$F$150,$F83,Покупка!$AC$25:$AC$150,$G83)</f>
        <v>0</v>
      </c>
      <c r="BB83" s="171">
        <f ca="1">SUMIFS(Покупка!BA$25:BA$150,Покупка!$F$25:$F$150,$F83,Покупка!$AC$25:$AC$150,$G83)</f>
        <v>0</v>
      </c>
      <c r="BC83" s="171">
        <f ca="1">SUMIFS(Покупка!BB$25:BB$150,Покупка!$F$25:$F$150,$F83,Покупка!$AC$25:$AC$150,$G83)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5"/>
      <c r="BO83" s="779" t="str">
        <f ca="1">IF(IFERROR(INDEX(Покупка!$K$26:$L$150,MATCH($F83&amp;"1komm",Покупка!$K$26:$K$150,0),2),"")=0,"",IFERROR(INDEX(Покупка!$K$26:$L$150,MATCH($F83&amp;"1komm",Покупка!$K$26:$K$150,0),2),""))</f>
        <v/>
      </c>
      <c r="BP83" s="775"/>
      <c r="BS83" s="696" t="s">
        <v>2059</v>
      </c>
    </row>
    <row r="84" spans="2:75" ht="14.65" hidden="1" customHeight="1" x14ac:dyDescent="0.15">
      <c r="B84" s="15"/>
      <c r="C84" s="25"/>
      <c r="D84" s="25"/>
      <c r="E84" s="451">
        <v>15</v>
      </c>
      <c r="F84" s="3" cm="1">
        <f t="array" aca="1" ref="F84" ca="1">OFFSET(E84,-1,1)</f>
        <v>0</v>
      </c>
      <c r="G84" s="25" t="s">
        <v>1152</v>
      </c>
      <c r="H84" s="25"/>
      <c r="I84" s="25" t="s">
        <v>1686</v>
      </c>
      <c r="J84" s="25"/>
      <c r="K84" s="25" t="s">
        <v>1686</v>
      </c>
      <c r="L84" s="25"/>
      <c r="M84" s="25"/>
      <c r="N84" s="25"/>
      <c r="O84" s="25"/>
      <c r="P84" s="25"/>
      <c r="Q84" s="25"/>
      <c r="R84" s="25"/>
      <c r="S84" s="25"/>
      <c r="T84" s="353" t="b" cm="1">
        <f t="array" aca="1" ref="T84" ca="1">T83</f>
        <v>0</v>
      </c>
      <c r="U84" s="25"/>
      <c r="V84" s="25"/>
      <c r="X84" s="990"/>
      <c r="Z84" s="967"/>
      <c r="AB84" s="133" t="s">
        <v>2060</v>
      </c>
      <c r="AC84" s="134" t="s">
        <v>2061</v>
      </c>
      <c r="AD84" s="7" t="s">
        <v>828</v>
      </c>
      <c r="AE84" s="171">
        <f ca="1">SUMIFS(Покупка!AE$25:AE$150,Покупка!$F$25:$F$150,$F84,Покупка!$AC$25:$AC$150,$G84)</f>
        <v>0</v>
      </c>
      <c r="AF84" s="171">
        <f ca="1">SUMIFS(Покупка!AF$25:AF$150,Покупка!$F$25:$F$150,$F84,Покупка!$AC$25:$AC$150,$G84)</f>
        <v>0</v>
      </c>
      <c r="AG84" s="171">
        <f ca="1">SUMIFS(Покупка!AG$25:AG$150,Покупка!$F$25:$F$150,$F84,Покупка!$AC$25:$AC$150,$G84)</f>
        <v>0</v>
      </c>
      <c r="AH84" s="171">
        <f t="shared" ca="1" si="7"/>
        <v>0</v>
      </c>
      <c r="AI84" s="171">
        <f ca="1">SUMIFS(Покупка!AH$25:AH$150,Покупка!$F$25:$F$150,$F84,Покупка!$AC$25:$AC$150,$G84)</f>
        <v>0</v>
      </c>
      <c r="AJ84" s="171">
        <f ca="1">SUMIFS(Покупка!AI$25:AI$150,Покупка!$F$25:$F$150,$F84,Покупка!$AC$25:$AC$150,$G84)</f>
        <v>0</v>
      </c>
      <c r="AK84" s="171">
        <f ca="1">SUMIFS(Покупка!AJ$25:AJ$150,Покупка!$F$25:$F$150,$F84,Покупка!$AC$25:$AC$150,$G84)</f>
        <v>0</v>
      </c>
      <c r="AL84" s="171">
        <f ca="1">SUMIFS(Покупка!AK$25:AK$150,Покупка!$F$25:$F$150,$F84,Покупка!$AC$25:$AC$150,$G84)</f>
        <v>0</v>
      </c>
      <c r="AM84" s="171">
        <f ca="1">SUMIFS(Покупка!AL$25:AL$150,Покупка!$F$25:$F$150,$F84,Покупка!$AC$25:$AC$150,$G84)</f>
        <v>0</v>
      </c>
      <c r="AN84" s="171">
        <f ca="1">SUMIFS(Покупка!AM$25:AM$150,Покупка!$F$25:$F$150,$F84,Покупка!$AC$25:$AC$150,$G84)</f>
        <v>0</v>
      </c>
      <c r="AO84" s="171">
        <f ca="1">SUMIFS(Покупка!AN$25:AN$150,Покупка!$F$25:$F$150,$F84,Покупка!$AC$25:$AC$150,$G84)</f>
        <v>0</v>
      </c>
      <c r="AP84" s="171">
        <f ca="1">SUMIFS(Покупка!AO$25:AO$150,Покупка!$F$25:$F$150,$F84,Покупка!$AC$25:$AC$150,$G84)</f>
        <v>0</v>
      </c>
      <c r="AQ84" s="171">
        <f ca="1">SUMIFS(Покупка!AP$25:AP$150,Покупка!$F$25:$F$150,$F84,Покупка!$AC$25:$AC$150,$G84)</f>
        <v>0</v>
      </c>
      <c r="AR84" s="171">
        <f ca="1">SUMIFS(Покупка!AQ$25:AQ$150,Покупка!$F$25:$F$150,$F84,Покупка!$AC$25:$AC$150,$G84)</f>
        <v>0</v>
      </c>
      <c r="AS84" s="171">
        <f ca="1">SUMIFS(Покупка!AR$25:AR$150,Покупка!$F$25:$F$150,$F84,Покупка!$AC$25:$AC$150,$G84)</f>
        <v>0</v>
      </c>
      <c r="AT84" s="171">
        <f ca="1">SUMIFS(Покупка!AS$25:AS$150,Покупка!$F$25:$F$150,$F84,Покупка!$AC$25:$AC$150,$G84)</f>
        <v>0</v>
      </c>
      <c r="AU84" s="171">
        <f ca="1">SUMIFS(Покупка!AT$25:AT$150,Покупка!$F$25:$F$150,$F84,Покупка!$AC$25:$AC$150,$G84)</f>
        <v>0</v>
      </c>
      <c r="AV84" s="171">
        <f ca="1">SUMIFS(Покупка!AU$25:AU$150,Покупка!$F$25:$F$150,$F84,Покупка!$AC$25:$AC$150,$G84)</f>
        <v>0</v>
      </c>
      <c r="AW84" s="171">
        <f ca="1">SUMIFS(Покупка!AV$25:AV$150,Покупка!$F$25:$F$150,$F84,Покупка!$AC$25:$AC$150,$G84)</f>
        <v>0</v>
      </c>
      <c r="AX84" s="171">
        <f ca="1">SUMIFS(Покупка!AW$25:AW$150,Покупка!$F$25:$F$150,$F84,Покупка!$AC$25:$AC$150,$G84)</f>
        <v>0</v>
      </c>
      <c r="AY84" s="171">
        <f ca="1">SUMIFS(Покупка!AX$25:AX$150,Покупка!$F$25:$F$150,$F84,Покупка!$AC$25:$AC$150,$G84)</f>
        <v>0</v>
      </c>
      <c r="AZ84" s="171">
        <f ca="1">SUMIFS(Покупка!AY$25:AY$150,Покупка!$F$25:$F$150,$F84,Покупка!$AC$25:$AC$150,$G84)</f>
        <v>0</v>
      </c>
      <c r="BA84" s="171">
        <f ca="1">SUMIFS(Покупка!AZ$25:AZ$150,Покупка!$F$25:$F$150,$F84,Покупка!$AC$25:$AC$150,$G84)</f>
        <v>0</v>
      </c>
      <c r="BB84" s="171">
        <f ca="1">SUMIFS(Покупка!BA$25:BA$150,Покупка!$F$25:$F$150,$F84,Покупка!$AC$25:$AC$150,$G84)</f>
        <v>0</v>
      </c>
      <c r="BC84" s="171">
        <f ca="1">SUMIFS(Покупка!BB$25:BB$150,Покупка!$F$25:$F$150,$F84,Покупка!$AC$25:$AC$150,$G84)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5"/>
      <c r="BO84" s="779" t="str">
        <f ca="1">IF(IFERROR(INDEX(Покупка!$K$26:$L$150,MATCH($F84&amp;"8komm",Покупка!$K$26:$K$150,0),2),"")=0,"",IFERROR(INDEX(Покупка!$K$26:$L$150,MATCH($F84&amp;"8komm",Покупка!$K$26:$K$150,0),2),""))</f>
        <v/>
      </c>
      <c r="BP84" s="775"/>
      <c r="BS84" s="696" t="s">
        <v>1153</v>
      </c>
    </row>
    <row r="85" spans="2:75" ht="14.65" hidden="1" customHeight="1" x14ac:dyDescent="0.15">
      <c r="B85" s="15"/>
      <c r="C85" s="25"/>
      <c r="D85" s="25"/>
      <c r="E85" s="451">
        <v>15</v>
      </c>
      <c r="F85" s="3" cm="1">
        <f t="array" aca="1" ref="F85" ca="1">OFFSET(E85,-1,1)</f>
        <v>0</v>
      </c>
      <c r="G85" s="25"/>
      <c r="H85" s="25"/>
      <c r="I85" s="25" t="s">
        <v>2062</v>
      </c>
      <c r="J85" s="25"/>
      <c r="K85" s="25" t="s">
        <v>2062</v>
      </c>
      <c r="L85" s="25"/>
      <c r="M85" s="25"/>
      <c r="N85" s="25"/>
      <c r="O85" s="25"/>
      <c r="P85" s="25"/>
      <c r="Q85" s="25"/>
      <c r="R85" s="25"/>
      <c r="S85" s="25"/>
      <c r="T85" s="353" t="b" cm="1">
        <f t="array" aca="1" ref="T85" ca="1">T84</f>
        <v>0</v>
      </c>
      <c r="U85" s="25"/>
      <c r="V85" s="25"/>
      <c r="X85" s="990"/>
      <c r="Z85" s="967"/>
      <c r="AB85" s="133" t="s">
        <v>2063</v>
      </c>
      <c r="AC85" s="134" t="s">
        <v>2064</v>
      </c>
      <c r="AD85" s="7" t="s">
        <v>828</v>
      </c>
      <c r="AE85" s="778"/>
      <c r="AF85" s="778"/>
      <c r="AG85" s="778"/>
      <c r="AH85" s="171">
        <f t="shared" si="7"/>
        <v>0</v>
      </c>
      <c r="AI85" s="778"/>
      <c r="AJ85" s="128"/>
      <c r="AK85" s="778"/>
      <c r="AL85" s="778"/>
      <c r="AM85" s="778"/>
      <c r="AN85" s="778"/>
      <c r="AO85" s="778"/>
      <c r="AP85" s="778"/>
      <c r="AQ85" s="778"/>
      <c r="AR85" s="778"/>
      <c r="AS85" s="778"/>
      <c r="AT85" s="128"/>
      <c r="AU85" s="778"/>
      <c r="AV85" s="778"/>
      <c r="AW85" s="778"/>
      <c r="AX85" s="778"/>
      <c r="AY85" s="778"/>
      <c r="AZ85" s="778"/>
      <c r="BA85" s="778"/>
      <c r="BB85" s="778"/>
      <c r="BC85" s="778"/>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5"/>
      <c r="BO85" s="775"/>
      <c r="BP85" s="775"/>
      <c r="BS85" s="696" t="s">
        <v>2065</v>
      </c>
    </row>
    <row r="86" spans="2:75" ht="14.65" hidden="1" customHeight="1" x14ac:dyDescent="0.15">
      <c r="B86" s="15"/>
      <c r="C86" s="25"/>
      <c r="D86" s="25"/>
      <c r="E86" s="451">
        <v>15</v>
      </c>
      <c r="F86" s="3" cm="1">
        <f t="array" aca="1" ref="F86" ca="1">OFFSET(E86,-1,1)</f>
        <v>0</v>
      </c>
      <c r="G86" s="25"/>
      <c r="H86" s="25"/>
      <c r="I86" s="25" t="s">
        <v>2066</v>
      </c>
      <c r="J86" s="25"/>
      <c r="K86" s="25" t="s">
        <v>2066</v>
      </c>
      <c r="L86" s="25"/>
      <c r="M86" s="25"/>
      <c r="N86" s="25"/>
      <c r="O86" s="25"/>
      <c r="P86" s="25"/>
      <c r="Q86" s="25"/>
      <c r="R86" s="25"/>
      <c r="S86" s="25"/>
      <c r="T86" s="353" t="b" cm="1">
        <f t="array" aca="1" ref="T86" ca="1">T85</f>
        <v>0</v>
      </c>
      <c r="U86" s="25"/>
      <c r="V86" s="25"/>
      <c r="X86" s="990"/>
      <c r="Z86" s="967"/>
      <c r="AB86" s="133" t="s">
        <v>2067</v>
      </c>
      <c r="AC86" s="134" t="s">
        <v>2068</v>
      </c>
      <c r="AD86" s="7" t="s">
        <v>828</v>
      </c>
      <c r="AE86" s="778"/>
      <c r="AF86" s="778"/>
      <c r="AG86" s="778"/>
      <c r="AH86" s="171">
        <f t="shared" si="7"/>
        <v>0</v>
      </c>
      <c r="AI86" s="778"/>
      <c r="AJ86" s="128"/>
      <c r="AK86" s="778"/>
      <c r="AL86" s="778"/>
      <c r="AM86" s="778"/>
      <c r="AN86" s="778"/>
      <c r="AO86" s="778"/>
      <c r="AP86" s="778"/>
      <c r="AQ86" s="778"/>
      <c r="AR86" s="778"/>
      <c r="AS86" s="778"/>
      <c r="AT86" s="128"/>
      <c r="AU86" s="778"/>
      <c r="AV86" s="778"/>
      <c r="AW86" s="778"/>
      <c r="AX86" s="778"/>
      <c r="AY86" s="778"/>
      <c r="AZ86" s="778"/>
      <c r="BA86" s="778"/>
      <c r="BB86" s="778"/>
      <c r="BC86" s="778"/>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5"/>
      <c r="BO86" s="775"/>
      <c r="BP86" s="775"/>
      <c r="BS86" s="696" t="s">
        <v>2069</v>
      </c>
    </row>
    <row r="87" spans="2:75" ht="14.65" hidden="1" customHeight="1" x14ac:dyDescent="0.15">
      <c r="B87" s="15"/>
      <c r="C87" s="25"/>
      <c r="D87" s="25"/>
      <c r="E87" s="451">
        <v>15</v>
      </c>
      <c r="F87" s="3" cm="1">
        <f t="array" aca="1" ref="F87" ca="1">OFFSET(E87,-1,1)</f>
        <v>0</v>
      </c>
      <c r="G87" s="25" t="s">
        <v>1130</v>
      </c>
      <c r="H87" s="25"/>
      <c r="I87" s="25" t="s">
        <v>2070</v>
      </c>
      <c r="J87" s="25"/>
      <c r="K87" s="25" t="s">
        <v>2070</v>
      </c>
      <c r="L87" s="25" t="s">
        <v>1528</v>
      </c>
      <c r="M87" s="25"/>
      <c r="N87" s="25"/>
      <c r="O87" s="25"/>
      <c r="P87" s="25"/>
      <c r="Q87" s="25"/>
      <c r="R87" s="25"/>
      <c r="S87" s="25"/>
      <c r="T87" s="353" t="b" cm="1">
        <f t="array" aca="1" ref="T87" ca="1">T86</f>
        <v>0</v>
      </c>
      <c r="U87" s="25"/>
      <c r="V87" s="25"/>
      <c r="X87" s="990"/>
      <c r="Z87" s="967"/>
      <c r="AB87" s="133" t="s">
        <v>2071</v>
      </c>
      <c r="AC87" s="134" t="s">
        <v>2072</v>
      </c>
      <c r="AD87" s="7" t="s">
        <v>828</v>
      </c>
      <c r="AE87" s="171">
        <f ca="1">SUMIFS(Покупка!AE$25:AE$150,Покупка!$F$25:$F$150,$F87,Покупка!$AC$25:$AC$150,$G87)</f>
        <v>0</v>
      </c>
      <c r="AF87" s="171">
        <f ca="1">SUMIFS(Покупка!AF$25:AF$150,Покупка!$F$25:$F$150,$F87,Покупка!$AC$25:$AC$150,$G87)</f>
        <v>0</v>
      </c>
      <c r="AG87" s="171">
        <f ca="1">SUMIFS(Покупка!AG$25:AG$150,Покупка!$F$25:$F$150,$F87,Покупка!$AC$25:$AC$150,$G87)</f>
        <v>0</v>
      </c>
      <c r="AH87" s="171">
        <f t="shared" ca="1" si="7"/>
        <v>0</v>
      </c>
      <c r="AI87" s="171">
        <f ca="1">SUMIFS(Покупка!AH$25:AH$150,Покупка!$F$25:$F$150,$F87,Покупка!$AC$25:$AC$150,$G87)</f>
        <v>0</v>
      </c>
      <c r="AJ87" s="171">
        <f ca="1">SUMIFS(Покупка!AI$25:AI$150,Покупка!$F$25:$F$150,$F87,Покупка!$AC$25:$AC$150,$G87)</f>
        <v>0</v>
      </c>
      <c r="AK87" s="171">
        <f ca="1">SUMIFS(Покупка!AJ$25:AJ$150,Покупка!$F$25:$F$150,$F87,Покупка!$AC$25:$AC$150,$G87)</f>
        <v>0</v>
      </c>
      <c r="AL87" s="171">
        <f ca="1">SUMIFS(Покупка!AK$25:AK$150,Покупка!$F$25:$F$150,$F87,Покупка!$AC$25:$AC$150,$G87)</f>
        <v>0</v>
      </c>
      <c r="AM87" s="171">
        <f ca="1">SUMIFS(Покупка!AL$25:AL$150,Покупка!$F$25:$F$150,$F87,Покупка!$AC$25:$AC$150,$G87)</f>
        <v>0</v>
      </c>
      <c r="AN87" s="171">
        <f ca="1">SUMIFS(Покупка!AM$25:AM$150,Покупка!$F$25:$F$150,$F87,Покупка!$AC$25:$AC$150,$G87)</f>
        <v>0</v>
      </c>
      <c r="AO87" s="171">
        <f ca="1">SUMIFS(Покупка!AN$25:AN$150,Покупка!$F$25:$F$150,$F87,Покупка!$AC$25:$AC$150,$G87)</f>
        <v>0</v>
      </c>
      <c r="AP87" s="171">
        <f ca="1">SUMIFS(Покупка!AO$25:AO$150,Покупка!$F$25:$F$150,$F87,Покупка!$AC$25:$AC$150,$G87)</f>
        <v>0</v>
      </c>
      <c r="AQ87" s="171">
        <f ca="1">SUMIFS(Покупка!AP$25:AP$150,Покупка!$F$25:$F$150,$F87,Покупка!$AC$25:$AC$150,$G87)</f>
        <v>0</v>
      </c>
      <c r="AR87" s="171">
        <f ca="1">SUMIFS(Покупка!AQ$25:AQ$150,Покупка!$F$25:$F$150,$F87,Покупка!$AC$25:$AC$150,$G87)</f>
        <v>0</v>
      </c>
      <c r="AS87" s="171">
        <f ca="1">SUMIFS(Покупка!AR$25:AR$150,Покупка!$F$25:$F$150,$F87,Покупка!$AC$25:$AC$150,$G87)</f>
        <v>0</v>
      </c>
      <c r="AT87" s="171">
        <f ca="1">SUMIFS(Покупка!AS$25:AS$150,Покупка!$F$25:$F$150,$F87,Покупка!$AC$25:$AC$150,$G87)</f>
        <v>0</v>
      </c>
      <c r="AU87" s="171">
        <f ca="1">SUMIFS(Покупка!AT$25:AT$150,Покупка!$F$25:$F$150,$F87,Покупка!$AC$25:$AC$150,$G87)</f>
        <v>0</v>
      </c>
      <c r="AV87" s="171">
        <f ca="1">SUMIFS(Покупка!AU$25:AU$150,Покупка!$F$25:$F$150,$F87,Покупка!$AC$25:$AC$150,$G87)</f>
        <v>0</v>
      </c>
      <c r="AW87" s="171">
        <f ca="1">SUMIFS(Покупка!AV$25:AV$150,Покупка!$F$25:$F$150,$F87,Покупка!$AC$25:$AC$150,$G87)</f>
        <v>0</v>
      </c>
      <c r="AX87" s="171">
        <f ca="1">SUMIFS(Покупка!AW$25:AW$150,Покупка!$F$25:$F$150,$F87,Покупка!$AC$25:$AC$150,$G87)</f>
        <v>0</v>
      </c>
      <c r="AY87" s="171">
        <f ca="1">SUMIFS(Покупка!AX$25:AX$150,Покупка!$F$25:$F$150,$F87,Покупка!$AC$25:$AC$150,$G87)</f>
        <v>0</v>
      </c>
      <c r="AZ87" s="171">
        <f ca="1">SUMIFS(Покупка!AY$25:AY$150,Покупка!$F$25:$F$150,$F87,Покупка!$AC$25:$AC$150,$G87)</f>
        <v>0</v>
      </c>
      <c r="BA87" s="171">
        <f ca="1">SUMIFS(Покупка!AZ$25:AZ$150,Покупка!$F$25:$F$150,$F87,Покупка!$AC$25:$AC$150,$G87)</f>
        <v>0</v>
      </c>
      <c r="BB87" s="171">
        <f ca="1">SUMIFS(Покупка!BA$25:BA$150,Покупка!$F$25:$F$150,$F87,Покупка!$AC$25:$AC$150,$G87)</f>
        <v>0</v>
      </c>
      <c r="BC87" s="171">
        <f ca="1">SUMIFS(Покупка!BB$25:BB$150,Покупка!$F$25:$F$150,$F87,Покупка!$AC$25:$AC$150,$G87)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5"/>
      <c r="BO87" s="779" t="str">
        <f ca="1">IF(IFERROR(INDEX(Покупка!$K$26:$L$150,MATCH($F87&amp;"3komm",Покупка!$K$26:$K$150,0),2),"")=0,"",IFERROR(INDEX(Покупка!$K$26:$L$150,MATCH($F87&amp;"3komm",Покупка!$K$26:$K$150,0),2),""))</f>
        <v/>
      </c>
      <c r="BP87" s="775"/>
      <c r="BS87" s="696" t="s">
        <v>1763</v>
      </c>
    </row>
    <row r="88" spans="2:75" ht="14.65" hidden="1" customHeight="1" x14ac:dyDescent="0.15">
      <c r="B88" s="15"/>
      <c r="C88" s="25"/>
      <c r="D88" s="25"/>
      <c r="E88" s="451">
        <v>15</v>
      </c>
      <c r="F88" s="3" cm="1">
        <f t="array" aca="1" ref="F88" ca="1">OFFSET(E88,-1,1)</f>
        <v>0</v>
      </c>
      <c r="G88" s="25" t="s">
        <v>1136</v>
      </c>
      <c r="H88" s="25"/>
      <c r="I88" s="25" t="s">
        <v>2073</v>
      </c>
      <c r="J88" s="25"/>
      <c r="K88" s="25" t="s">
        <v>2073</v>
      </c>
      <c r="L88" s="25" t="s">
        <v>1533</v>
      </c>
      <c r="M88" s="25"/>
      <c r="N88" s="25"/>
      <c r="O88" s="25"/>
      <c r="P88" s="25"/>
      <c r="Q88" s="25"/>
      <c r="R88" s="25"/>
      <c r="S88" s="25"/>
      <c r="T88" s="353" t="b" cm="1">
        <f t="array" aca="1" ref="T88" ca="1">T87</f>
        <v>0</v>
      </c>
      <c r="U88" s="25"/>
      <c r="V88" s="25"/>
      <c r="X88" s="990"/>
      <c r="Z88" s="967"/>
      <c r="AB88" s="133" t="s">
        <v>2074</v>
      </c>
      <c r="AC88" s="134" t="s">
        <v>2075</v>
      </c>
      <c r="AD88" s="7" t="s">
        <v>828</v>
      </c>
      <c r="AE88" s="171">
        <f ca="1">SUMIFS(Покупка!AE$25:AE$150,Покупка!$F$25:$F$150,$F88,Покупка!$AC$25:$AC$150,$G88)</f>
        <v>0</v>
      </c>
      <c r="AF88" s="171">
        <f ca="1">SUMIFS(Покупка!AF$25:AF$150,Покупка!$F$25:$F$150,$F88,Покупка!$AC$25:$AC$150,$G88)</f>
        <v>0</v>
      </c>
      <c r="AG88" s="171">
        <f ca="1">SUMIFS(Покупка!AG$25:AG$150,Покупка!$F$25:$F$150,$F88,Покупка!$AC$25:$AC$150,$G88)</f>
        <v>0</v>
      </c>
      <c r="AH88" s="171">
        <f t="shared" ca="1" si="7"/>
        <v>0</v>
      </c>
      <c r="AI88" s="171">
        <f ca="1">SUMIFS(Покупка!AH$25:AH$150,Покупка!$F$25:$F$150,$F88,Покупка!$AC$25:$AC$150,$G88)</f>
        <v>0</v>
      </c>
      <c r="AJ88" s="171">
        <f ca="1">SUMIFS(Покупка!AI$25:AI$150,Покупка!$F$25:$F$150,$F88,Покупка!$AC$25:$AC$150,$G88)</f>
        <v>0</v>
      </c>
      <c r="AK88" s="171">
        <f ca="1">SUMIFS(Покупка!AJ$25:AJ$150,Покупка!$F$25:$F$150,$F88,Покупка!$AC$25:$AC$150,$G88)</f>
        <v>0</v>
      </c>
      <c r="AL88" s="171">
        <f ca="1">SUMIFS(Покупка!AK$25:AK$150,Покупка!$F$25:$F$150,$F88,Покупка!$AC$25:$AC$150,$G88)</f>
        <v>0</v>
      </c>
      <c r="AM88" s="171">
        <f ca="1">SUMIFS(Покупка!AL$25:AL$150,Покупка!$F$25:$F$150,$F88,Покупка!$AC$25:$AC$150,$G88)</f>
        <v>0</v>
      </c>
      <c r="AN88" s="171">
        <f ca="1">SUMIFS(Покупка!AM$25:AM$150,Покупка!$F$25:$F$150,$F88,Покупка!$AC$25:$AC$150,$G88)</f>
        <v>0</v>
      </c>
      <c r="AO88" s="171">
        <f ca="1">SUMIFS(Покупка!AN$25:AN$150,Покупка!$F$25:$F$150,$F88,Покупка!$AC$25:$AC$150,$G88)</f>
        <v>0</v>
      </c>
      <c r="AP88" s="171">
        <f ca="1">SUMIFS(Покупка!AO$25:AO$150,Покупка!$F$25:$F$150,$F88,Покупка!$AC$25:$AC$150,$G88)</f>
        <v>0</v>
      </c>
      <c r="AQ88" s="171">
        <f ca="1">SUMIFS(Покупка!AP$25:AP$150,Покупка!$F$25:$F$150,$F88,Покупка!$AC$25:$AC$150,$G88)</f>
        <v>0</v>
      </c>
      <c r="AR88" s="171">
        <f ca="1">SUMIFS(Покупка!AQ$25:AQ$150,Покупка!$F$25:$F$150,$F88,Покупка!$AC$25:$AC$150,$G88)</f>
        <v>0</v>
      </c>
      <c r="AS88" s="171">
        <f ca="1">SUMIFS(Покупка!AR$25:AR$150,Покупка!$F$25:$F$150,$F88,Покупка!$AC$25:$AC$150,$G88)</f>
        <v>0</v>
      </c>
      <c r="AT88" s="171">
        <f ca="1">SUMIFS(Покупка!AS$25:AS$150,Покупка!$F$25:$F$150,$F88,Покупка!$AC$25:$AC$150,$G88)</f>
        <v>0</v>
      </c>
      <c r="AU88" s="171">
        <f ca="1">SUMIFS(Покупка!AT$25:AT$150,Покупка!$F$25:$F$150,$F88,Покупка!$AC$25:$AC$150,$G88)</f>
        <v>0</v>
      </c>
      <c r="AV88" s="171">
        <f ca="1">SUMIFS(Покупка!AU$25:AU$150,Покупка!$F$25:$F$150,$F88,Покупка!$AC$25:$AC$150,$G88)</f>
        <v>0</v>
      </c>
      <c r="AW88" s="171">
        <f ca="1">SUMIFS(Покупка!AV$25:AV$150,Покупка!$F$25:$F$150,$F88,Покупка!$AC$25:$AC$150,$G88)</f>
        <v>0</v>
      </c>
      <c r="AX88" s="171">
        <f ca="1">SUMIFS(Покупка!AW$25:AW$150,Покупка!$F$25:$F$150,$F88,Покупка!$AC$25:$AC$150,$G88)</f>
        <v>0</v>
      </c>
      <c r="AY88" s="171">
        <f ca="1">SUMIFS(Покупка!AX$25:AX$150,Покупка!$F$25:$F$150,$F88,Покупка!$AC$25:$AC$150,$G88)</f>
        <v>0</v>
      </c>
      <c r="AZ88" s="171">
        <f ca="1">SUMIFS(Покупка!AY$25:AY$150,Покупка!$F$25:$F$150,$F88,Покупка!$AC$25:$AC$150,$G88)</f>
        <v>0</v>
      </c>
      <c r="BA88" s="171">
        <f ca="1">SUMIFS(Покупка!AZ$25:AZ$150,Покупка!$F$25:$F$150,$F88,Покупка!$AC$25:$AC$150,$G88)</f>
        <v>0</v>
      </c>
      <c r="BB88" s="171">
        <f ca="1">SUMIFS(Покупка!BA$25:BA$150,Покупка!$F$25:$F$150,$F88,Покупка!$AC$25:$AC$150,$G88)</f>
        <v>0</v>
      </c>
      <c r="BC88" s="171">
        <f ca="1">SUMIFS(Покупка!BB$25:BB$150,Покупка!$F$25:$F$150,$F88,Покупка!$AC$25:$AC$150,$G88)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5"/>
      <c r="BO88" s="779" t="str">
        <f ca="1">IF(IFERROR(INDEX(Покупка!$K$26:$L$150,MATCH($F88&amp;"4komm",Покупка!$K$26:$K$150,0),2),"")=0,"",IFERROR(INDEX(Покупка!$K$26:$L$150,MATCH($F87&amp;"3komm",Покупка!$K$26:$K$150,0),2),""))</f>
        <v/>
      </c>
      <c r="BP88" s="775"/>
      <c r="BS88" s="696" t="s">
        <v>1766</v>
      </c>
    </row>
    <row r="89" spans="2:75" ht="14.65" hidden="1" customHeight="1" x14ac:dyDescent="0.15">
      <c r="B89" s="15"/>
      <c r="C89" s="25"/>
      <c r="D89" s="25"/>
      <c r="E89" s="451">
        <v>15</v>
      </c>
      <c r="F89" s="3" cm="1">
        <f t="array" aca="1" ref="F89" ca="1">OFFSET(E89,-1,1)</f>
        <v>0</v>
      </c>
      <c r="G89" s="25" t="s">
        <v>1142</v>
      </c>
      <c r="H89" s="25"/>
      <c r="I89" s="25" t="s">
        <v>2076</v>
      </c>
      <c r="J89" s="25"/>
      <c r="K89" s="25" t="s">
        <v>2076</v>
      </c>
      <c r="L89" s="25" t="s">
        <v>1543</v>
      </c>
      <c r="M89" s="25"/>
      <c r="N89" s="25"/>
      <c r="O89" s="25"/>
      <c r="P89" s="25"/>
      <c r="Q89" s="25"/>
      <c r="R89" s="25"/>
      <c r="S89" s="25"/>
      <c r="T89" s="353" t="b" cm="1">
        <f t="array" aca="1" ref="T89" ca="1">T88</f>
        <v>0</v>
      </c>
      <c r="U89" s="25"/>
      <c r="V89" s="25"/>
      <c r="X89" s="990"/>
      <c r="Z89" s="967"/>
      <c r="AB89" s="133" t="s">
        <v>2077</v>
      </c>
      <c r="AC89" s="134" t="s">
        <v>2078</v>
      </c>
      <c r="AD89" s="7" t="s">
        <v>828</v>
      </c>
      <c r="AE89" s="171">
        <f ca="1">SUMIFS(Покупка!AE$25:AE$150,Покупка!$F$25:$F$150,$F89,Покупка!$AC$25:$AC$150,$G89)</f>
        <v>0</v>
      </c>
      <c r="AF89" s="171">
        <f ca="1">SUMIFS(Покупка!AF$25:AF$150,Покупка!$F$25:$F$150,$F89,Покупка!$AC$25:$AC$150,$G89)</f>
        <v>0</v>
      </c>
      <c r="AG89" s="171">
        <f ca="1">SUMIFS(Покупка!AG$25:AG$150,Покупка!$F$25:$F$150,$F89,Покупка!$AC$25:$AC$150,$G89)</f>
        <v>0</v>
      </c>
      <c r="AH89" s="171">
        <f t="shared" ca="1" si="7"/>
        <v>0</v>
      </c>
      <c r="AI89" s="171">
        <f ca="1">SUMIFS(Покупка!AH$25:AH$150,Покупка!$F$25:$F$150,$F89,Покупка!$AC$25:$AC$150,$G89)</f>
        <v>0</v>
      </c>
      <c r="AJ89" s="171">
        <f ca="1">SUMIFS(Покупка!AI$25:AI$150,Покупка!$F$25:$F$150,$F89,Покупка!$AC$25:$AC$150,$G89)</f>
        <v>0</v>
      </c>
      <c r="AK89" s="171">
        <f ca="1">SUMIFS(Покупка!AJ$25:AJ$150,Покупка!$F$25:$F$150,$F89,Покупка!$AC$25:$AC$150,$G89)</f>
        <v>0</v>
      </c>
      <c r="AL89" s="171">
        <f ca="1">SUMIFS(Покупка!AK$25:AK$150,Покупка!$F$25:$F$150,$F89,Покупка!$AC$25:$AC$150,$G89)</f>
        <v>0</v>
      </c>
      <c r="AM89" s="171">
        <f ca="1">SUMIFS(Покупка!AL$25:AL$150,Покупка!$F$25:$F$150,$F89,Покупка!$AC$25:$AC$150,$G89)</f>
        <v>0</v>
      </c>
      <c r="AN89" s="171">
        <f ca="1">SUMIFS(Покупка!AM$25:AM$150,Покупка!$F$25:$F$150,$F89,Покупка!$AC$25:$AC$150,$G89)</f>
        <v>0</v>
      </c>
      <c r="AO89" s="171">
        <f ca="1">SUMIFS(Покупка!AN$25:AN$150,Покупка!$F$25:$F$150,$F89,Покупка!$AC$25:$AC$150,$G89)</f>
        <v>0</v>
      </c>
      <c r="AP89" s="171">
        <f ca="1">SUMIFS(Покупка!AO$25:AO$150,Покупка!$F$25:$F$150,$F89,Покупка!$AC$25:$AC$150,$G89)</f>
        <v>0</v>
      </c>
      <c r="AQ89" s="171">
        <f ca="1">SUMIFS(Покупка!AP$25:AP$150,Покупка!$F$25:$F$150,$F89,Покупка!$AC$25:$AC$150,$G89)</f>
        <v>0</v>
      </c>
      <c r="AR89" s="171">
        <f ca="1">SUMIFS(Покупка!AQ$25:AQ$150,Покупка!$F$25:$F$150,$F89,Покупка!$AC$25:$AC$150,$G89)</f>
        <v>0</v>
      </c>
      <c r="AS89" s="171">
        <f ca="1">SUMIFS(Покупка!AR$25:AR$150,Покупка!$F$25:$F$150,$F89,Покупка!$AC$25:$AC$150,$G89)</f>
        <v>0</v>
      </c>
      <c r="AT89" s="171">
        <f ca="1">SUMIFS(Покупка!AS$25:AS$150,Покупка!$F$25:$F$150,$F89,Покупка!$AC$25:$AC$150,$G89)</f>
        <v>0</v>
      </c>
      <c r="AU89" s="171">
        <f ca="1">SUMIFS(Покупка!AT$25:AT$150,Покупка!$F$25:$F$150,$F89,Покупка!$AC$25:$AC$150,$G89)</f>
        <v>0</v>
      </c>
      <c r="AV89" s="171">
        <f ca="1">SUMIFS(Покупка!AU$25:AU$150,Покупка!$F$25:$F$150,$F89,Покупка!$AC$25:$AC$150,$G89)</f>
        <v>0</v>
      </c>
      <c r="AW89" s="171">
        <f ca="1">SUMIFS(Покупка!AV$25:AV$150,Покупка!$F$25:$F$150,$F89,Покупка!$AC$25:$AC$150,$G89)</f>
        <v>0</v>
      </c>
      <c r="AX89" s="171">
        <f ca="1">SUMIFS(Покупка!AW$25:AW$150,Покупка!$F$25:$F$150,$F89,Покупка!$AC$25:$AC$150,$G89)</f>
        <v>0</v>
      </c>
      <c r="AY89" s="171">
        <f ca="1">SUMIFS(Покупка!AX$25:AX$150,Покупка!$F$25:$F$150,$F89,Покупка!$AC$25:$AC$150,$G89)</f>
        <v>0</v>
      </c>
      <c r="AZ89" s="171">
        <f ca="1">SUMIFS(Покупка!AY$25:AY$150,Покупка!$F$25:$F$150,$F89,Покупка!$AC$25:$AC$150,$G89)</f>
        <v>0</v>
      </c>
      <c r="BA89" s="171">
        <f ca="1">SUMIFS(Покупка!AZ$25:AZ$150,Покупка!$F$25:$F$150,$F89,Покупка!$AC$25:$AC$150,$G89)</f>
        <v>0</v>
      </c>
      <c r="BB89" s="171">
        <f ca="1">SUMIFS(Покупка!BA$25:BA$150,Покупка!$F$25:$F$150,$F89,Покупка!$AC$25:$AC$150,$G89)</f>
        <v>0</v>
      </c>
      <c r="BC89" s="171">
        <f ca="1">SUMIFS(Покупка!BB$25:BB$150,Покупка!$F$25:$F$150,$F89,Покупка!$AC$25:$AC$150,$G89)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5"/>
      <c r="BO89" s="779" t="str">
        <f ca="1">IF(IFERROR(INDEX(Покупка!$K$26:$L$150,MATCH($F89&amp;"5komm",Покупка!$K$26:$K$150,0),2),"")=0,"",IFERROR(INDEX(Покупка!$K$26:$L$150,MATCH($F89&amp;"5komm",Покупка!$K$26:$K$150,0),2),""))</f>
        <v/>
      </c>
      <c r="BP89" s="775"/>
      <c r="BS89" s="696" t="s">
        <v>1769</v>
      </c>
    </row>
    <row r="90" spans="2:75" s="376" customFormat="1" ht="14.65" hidden="1" customHeight="1" x14ac:dyDescent="0.15">
      <c r="B90" s="15"/>
      <c r="C90" s="25"/>
      <c r="D90" s="25"/>
      <c r="E90" s="451">
        <v>15</v>
      </c>
      <c r="F90" s="3" cm="1">
        <f t="array" aca="1" ref="F90" ca="1">OFFSET(E90,-1,1)</f>
        <v>0</v>
      </c>
      <c r="G90" s="25" t="s">
        <v>1154</v>
      </c>
      <c r="H90" s="25"/>
      <c r="I90" s="25"/>
      <c r="J90" s="25"/>
      <c r="K90" s="25"/>
      <c r="L90" s="25" t="s">
        <v>1510</v>
      </c>
      <c r="M90" s="25"/>
      <c r="N90" s="25"/>
      <c r="O90" s="25"/>
      <c r="P90" s="25"/>
      <c r="Q90" s="25"/>
      <c r="R90" s="25"/>
      <c r="S90" s="25"/>
      <c r="T90" s="353" t="b" cm="1">
        <f t="array" aca="1" ref="T90" ca="1">T89</f>
        <v>0</v>
      </c>
      <c r="U90" s="25"/>
      <c r="V90" s="25"/>
      <c r="X90" s="990"/>
      <c r="Z90" s="967"/>
      <c r="AB90" s="133" t="s">
        <v>2079</v>
      </c>
      <c r="AC90" s="134" t="s">
        <v>2080</v>
      </c>
      <c r="AD90" s="7" t="s">
        <v>828</v>
      </c>
      <c r="AE90" s="171">
        <f ca="1">SUMIFS(Покупка!AE$25:AE$150,Покупка!$F$25:$F$150,$F90,Покупка!$AC$25:$AC$150,$G90)</f>
        <v>0</v>
      </c>
      <c r="AF90" s="171">
        <f ca="1">SUMIFS(Покупка!AF$25:AF$150,Покупка!$F$25:$F$150,$F90,Покупка!$AC$25:$AC$150,$G90)</f>
        <v>0</v>
      </c>
      <c r="AG90" s="171">
        <f ca="1">SUMIFS(Покупка!AG$25:AG$150,Покупка!$F$25:$F$150,$F90,Покупка!$AC$25:$AC$150,$G90)</f>
        <v>0</v>
      </c>
      <c r="AH90" s="171">
        <f t="shared" ca="1" si="7"/>
        <v>0</v>
      </c>
      <c r="AI90" s="171">
        <f ca="1">SUMIFS(Покупка!AH$25:AH$150,Покупка!$F$25:$F$150,$F90,Покупка!$AC$25:$AC$150,$G90)</f>
        <v>0</v>
      </c>
      <c r="AJ90" s="171">
        <f ca="1">SUMIFS(Покупка!AI$25:AI$150,Покупка!$F$25:$F$150,$F90,Покупка!$AC$25:$AC$150,$G90)</f>
        <v>0</v>
      </c>
      <c r="AK90" s="171">
        <f ca="1">SUMIFS(Покупка!AJ$25:AJ$150,Покупка!$F$25:$F$150,$F90,Покупка!$AC$25:$AC$150,$G90)</f>
        <v>0</v>
      </c>
      <c r="AL90" s="171">
        <f ca="1">SUMIFS(Покупка!AK$25:AK$150,Покупка!$F$25:$F$150,$F90,Покупка!$AC$25:$AC$150,$G90)</f>
        <v>0</v>
      </c>
      <c r="AM90" s="171">
        <f ca="1">SUMIFS(Покупка!AL$25:AL$150,Покупка!$F$25:$F$150,$F90,Покупка!$AC$25:$AC$150,$G90)</f>
        <v>0</v>
      </c>
      <c r="AN90" s="171">
        <f ca="1">SUMIFS(Покупка!AM$25:AM$150,Покупка!$F$25:$F$150,$F90,Покупка!$AC$25:$AC$150,$G90)</f>
        <v>0</v>
      </c>
      <c r="AO90" s="171">
        <f ca="1">SUMIFS(Покупка!AN$25:AN$150,Покупка!$F$25:$F$150,$F90,Покупка!$AC$25:$AC$150,$G90)</f>
        <v>0</v>
      </c>
      <c r="AP90" s="171">
        <f ca="1">SUMIFS(Покупка!AO$25:AO$150,Покупка!$F$25:$F$150,$F90,Покупка!$AC$25:$AC$150,$G90)</f>
        <v>0</v>
      </c>
      <c r="AQ90" s="171">
        <f ca="1">SUMIFS(Покупка!AP$25:AP$150,Покупка!$F$25:$F$150,$F90,Покупка!$AC$25:$AC$150,$G90)</f>
        <v>0</v>
      </c>
      <c r="AR90" s="171">
        <f ca="1">SUMIFS(Покупка!AQ$25:AQ$150,Покупка!$F$25:$F$150,$F90,Покупка!$AC$25:$AC$150,$G90)</f>
        <v>0</v>
      </c>
      <c r="AS90" s="171">
        <f ca="1">SUMIFS(Покупка!AR$25:AR$150,Покупка!$F$25:$F$150,$F90,Покупка!$AC$25:$AC$150,$G90)</f>
        <v>0</v>
      </c>
      <c r="AT90" s="171">
        <f ca="1">SUMIFS(Покупка!AS$25:AS$150,Покупка!$F$25:$F$150,$F90,Покупка!$AC$25:$AC$150,$G90)</f>
        <v>0</v>
      </c>
      <c r="AU90" s="171">
        <f ca="1">SUMIFS(Покупка!AT$25:AT$150,Покупка!$F$25:$F$150,$F90,Покупка!$AC$25:$AC$150,$G90)</f>
        <v>0</v>
      </c>
      <c r="AV90" s="171">
        <f ca="1">SUMIFS(Покупка!AU$25:AU$150,Покупка!$F$25:$F$150,$F90,Покупка!$AC$25:$AC$150,$G90)</f>
        <v>0</v>
      </c>
      <c r="AW90" s="171">
        <f ca="1">SUMIFS(Покупка!AV$25:AV$150,Покупка!$F$25:$F$150,$F90,Покупка!$AC$25:$AC$150,$G90)</f>
        <v>0</v>
      </c>
      <c r="AX90" s="171">
        <f ca="1">SUMIFS(Покупка!AW$25:AW$150,Покупка!$F$25:$F$150,$F90,Покупка!$AC$25:$AC$150,$G90)</f>
        <v>0</v>
      </c>
      <c r="AY90" s="171">
        <f ca="1">SUMIFS(Покупка!AX$25:AX$150,Покупка!$F$25:$F$150,$F90,Покупка!$AC$25:$AC$150,$G90)</f>
        <v>0</v>
      </c>
      <c r="AZ90" s="171">
        <f ca="1">SUMIFS(Покупка!AY$25:AY$150,Покупка!$F$25:$F$150,$F90,Покупка!$AC$25:$AC$150,$G90)</f>
        <v>0</v>
      </c>
      <c r="BA90" s="171">
        <f ca="1">SUMIFS(Покупка!AZ$25:AZ$150,Покупка!$F$25:$F$150,$F90,Покупка!$AC$25:$AC$150,$G90)</f>
        <v>0</v>
      </c>
      <c r="BB90" s="171">
        <f ca="1">SUMIFS(Покупка!BA$25:BA$150,Покупка!$F$25:$F$150,$F90,Покупка!$AC$25:$AC$150,$G90)</f>
        <v>0</v>
      </c>
      <c r="BC90" s="171">
        <f ca="1">SUMIFS(Покупка!BB$25:BB$150,Покупка!$F$25:$F$150,$F90,Покупка!$AC$25:$AC$150,$G90)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5"/>
      <c r="BO90" s="779" t="str">
        <f ca="1">IF(IFERROR(INDEX(Покупка!$K$26:$L$150,MATCH($F90&amp;"9komm",Покупка!$K$26:$K$150,0),2),"")=0,"",IFERROR(INDEX(Покупка!$K$26:$L$150,MATCH($F90&amp;"9komm",Покупка!$K$26:$K$150,0),2),""))</f>
        <v/>
      </c>
      <c r="BP90" s="775"/>
      <c r="BS90" s="696" t="s">
        <v>1155</v>
      </c>
      <c r="BT90" s="696"/>
      <c r="BU90" s="696"/>
      <c r="BV90" s="507"/>
      <c r="BW90" s="507"/>
    </row>
    <row r="91" spans="2:75" ht="14.65" hidden="1" customHeight="1" x14ac:dyDescent="0.15">
      <c r="B91" s="15"/>
      <c r="C91" s="25"/>
      <c r="D91" s="25"/>
      <c r="E91" s="451">
        <v>15</v>
      </c>
      <c r="F91" s="3" cm="1">
        <f t="array" aca="1" ref="F91" ca="1">OFFSET(E91,-1,1)</f>
        <v>0</v>
      </c>
      <c r="G91" s="25"/>
      <c r="H91" s="25"/>
      <c r="I91" s="25" t="s">
        <v>503</v>
      </c>
      <c r="J91" s="25"/>
      <c r="K91" s="25" t="s">
        <v>503</v>
      </c>
      <c r="L91" s="25"/>
      <c r="M91" s="25"/>
      <c r="N91" s="25"/>
      <c r="O91" s="25"/>
      <c r="P91" s="25"/>
      <c r="Q91" s="25"/>
      <c r="R91" s="25"/>
      <c r="S91" s="25"/>
      <c r="T91" s="353" t="b" cm="1">
        <f t="array" aca="1" ref="T91" ca="1">T90</f>
        <v>0</v>
      </c>
      <c r="U91" s="25"/>
      <c r="V91" s="25"/>
      <c r="X91" s="990"/>
      <c r="Z91" s="967"/>
      <c r="AB91" s="133" t="s">
        <v>565</v>
      </c>
      <c r="AC91" s="127" t="s">
        <v>2081</v>
      </c>
      <c r="AD91" s="99" t="s">
        <v>828</v>
      </c>
      <c r="AE91" s="171">
        <f ca="1">SUMIFS('Сырье и материалы'!AE$25:AE$48,'Сырье и материалы'!$F$25:$F$48,$F91,'Сырье и материалы'!$AC$25:$AC$48,"Всего по тарифу")</f>
        <v>0</v>
      </c>
      <c r="AF91" s="171">
        <f ca="1">SUMIFS('Сырье и материалы'!AF$25:AF$48,'Сырье и материалы'!$F$25:$F$48,$F91,'Сырье и материалы'!$AC$25:$AC$48,"Всего по тарифу")</f>
        <v>0</v>
      </c>
      <c r="AG91" s="171">
        <f ca="1">SUMIFS('Сырье и материалы'!AG$25:AG$48,'Сырье и материалы'!$F$25:$F$48,$F91,'Сырье и материалы'!$AC$25:$AC$48,"Всего по тарифу")</f>
        <v>0</v>
      </c>
      <c r="AH91" s="171">
        <f t="shared" ca="1" si="7"/>
        <v>0</v>
      </c>
      <c r="AI91" s="171">
        <f ca="1">SUMIFS('Сырье и материалы'!AH$25:AH$48,'Сырье и материалы'!$F$25:$F$48,$F91,'Сырье и материалы'!$AC$25:$AC$48,"Всего по тарифу")</f>
        <v>0</v>
      </c>
      <c r="AJ91" s="171">
        <f ca="1">SUMIFS('Сырье и материалы'!AI$25:AI$48,'Сырье и материалы'!$F$25:$F$48,$F91,'Сырье и материалы'!$AC$25:$AC$48,"Всего по тарифу")</f>
        <v>0</v>
      </c>
      <c r="AK91" s="171">
        <f ca="1">SUMIFS('Сырье и материалы'!AJ$25:AJ$48,'Сырье и материалы'!$F$25:$F$48,$F91,'Сырье и материалы'!$AC$25:$AC$48,"Всего по тарифу")</f>
        <v>0</v>
      </c>
      <c r="AL91" s="171">
        <f ca="1">SUMIFS('Сырье и материалы'!AK$25:AK$48,'Сырье и материалы'!$F$25:$F$48,$F91,'Сырье и материалы'!$AC$25:$AC$48,"Всего по тарифу")</f>
        <v>0</v>
      </c>
      <c r="AM91" s="171">
        <f ca="1">SUMIFS('Сырье и материалы'!AL$25:AL$48,'Сырье и материалы'!$F$25:$F$48,$F91,'Сырье и материалы'!$AC$25:$AC$48,"Всего по тарифу")</f>
        <v>0</v>
      </c>
      <c r="AN91" s="171">
        <f ca="1">SUMIFS('Сырье и материалы'!AM$25:AM$48,'Сырье и материалы'!$F$25:$F$48,$F91,'Сырье и материалы'!$AC$25:$AC$48,"Всего по тарифу")</f>
        <v>0</v>
      </c>
      <c r="AO91" s="171">
        <f ca="1">SUMIFS('Сырье и материалы'!AN$25:AN$48,'Сырье и материалы'!$F$25:$F$48,$F91,'Сырье и материалы'!$AC$25:$AC$48,"Всего по тарифу")</f>
        <v>0</v>
      </c>
      <c r="AP91" s="171">
        <f ca="1">SUMIFS('Сырье и материалы'!AO$25:AO$48,'Сырье и материалы'!$F$25:$F$48,$F91,'Сырье и материалы'!$AC$25:$AC$48,"Всего по тарифу")</f>
        <v>0</v>
      </c>
      <c r="AQ91" s="171">
        <f ca="1">SUMIFS('Сырье и материалы'!AP$25:AP$48,'Сырье и материалы'!$F$25:$F$48,$F91,'Сырье и материалы'!$AC$25:$AC$48,"Всего по тарифу")</f>
        <v>0</v>
      </c>
      <c r="AR91" s="171">
        <f ca="1">SUMIFS('Сырье и материалы'!AQ$25:AQ$48,'Сырье и материалы'!$F$25:$F$48,$F91,'Сырье и материалы'!$AC$25:$AC$48,"Всего по тарифу")</f>
        <v>0</v>
      </c>
      <c r="AS91" s="171">
        <f ca="1">SUMIFS('Сырье и материалы'!AR$25:AR$48,'Сырье и материалы'!$F$25:$F$48,$F91,'Сырье и материалы'!$AC$25:$AC$48,"Всего по тарифу")</f>
        <v>0</v>
      </c>
      <c r="AT91" s="171">
        <f ca="1">SUMIFS('Сырье и материалы'!AS$25:AS$48,'Сырье и материалы'!$F$25:$F$48,$F91,'Сырье и материалы'!$AC$25:$AC$48,"Всего по тарифу")</f>
        <v>0</v>
      </c>
      <c r="AU91" s="171">
        <f ca="1">SUMIFS('Сырье и материалы'!AT$25:AT$48,'Сырье и материалы'!$F$25:$F$48,$F91,'Сырье и материалы'!$AC$25:$AC$48,"Всего по тарифу")</f>
        <v>0</v>
      </c>
      <c r="AV91" s="171">
        <f ca="1">SUMIFS('Сырье и материалы'!AU$25:AU$48,'Сырье и материалы'!$F$25:$F$48,$F91,'Сырье и материалы'!$AC$25:$AC$48,"Всего по тарифу")</f>
        <v>0</v>
      </c>
      <c r="AW91" s="171">
        <f ca="1">SUMIFS('Сырье и материалы'!AV$25:AV$48,'Сырье и материалы'!$F$25:$F$48,$F91,'Сырье и материалы'!$AC$25:$AC$48,"Всего по тарифу")</f>
        <v>0</v>
      </c>
      <c r="AX91" s="171">
        <f ca="1">SUMIFS('Сырье и материалы'!AW$25:AW$48,'Сырье и материалы'!$F$25:$F$48,$F91,'Сырье и материалы'!$AC$25:$AC$48,"Всего по тарифу")</f>
        <v>0</v>
      </c>
      <c r="AY91" s="171">
        <f ca="1">SUMIFS('Сырье и материалы'!AX$25:AX$48,'Сырье и материалы'!$F$25:$F$48,$F91,'Сырье и материалы'!$AC$25:$AC$48,"Всего по тарифу")</f>
        <v>0</v>
      </c>
      <c r="AZ91" s="171">
        <f ca="1">SUMIFS('Сырье и материалы'!AY$25:AY$48,'Сырье и материалы'!$F$25:$F$48,$F91,'Сырье и материалы'!$AC$25:$AC$48,"Всего по тарифу")</f>
        <v>0</v>
      </c>
      <c r="BA91" s="171">
        <f ca="1">SUMIFS('Сырье и материалы'!AZ$25:AZ$48,'Сырье и материалы'!$F$25:$F$48,$F91,'Сырье и материалы'!$AC$25:$AC$48,"Всего по тарифу")</f>
        <v>0</v>
      </c>
      <c r="BB91" s="171">
        <f ca="1">SUMIFS('Сырье и материалы'!BA$25:BA$48,'Сырье и материалы'!$F$25:$F$48,$F91,'Сырье и материалы'!$AC$25:$AC$48,"Всего по тарифу")</f>
        <v>0</v>
      </c>
      <c r="BC91" s="171">
        <f ca="1">SUMIFS('Сырье и материалы'!BB$25:BB$48,'Сырье и материалы'!$F$25:$F$48,$F91,'Сырье и материалы'!$AC$25:$AC$48,"Всего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5"/>
      <c r="BO91" s="779" t="str">
        <f ca="1">IF(IFERROR(INDEX('Сырье и материалы'!$K$26:$L$48,MATCH($F91&amp;"komm",'Сырье и материалы'!$K$26:$K$48,0),2),"")=0,"",IFERROR(INDEX('Сырье и материалы'!$K$26:$L$48,MATCH($F91&amp;"komm",'Сырье и материалы'!$K$26:$K$48,0),2),""))</f>
        <v/>
      </c>
      <c r="BP91" s="775"/>
      <c r="BS91" s="696" t="s">
        <v>1742</v>
      </c>
    </row>
    <row r="92" spans="2:75" s="76" customFormat="1" ht="20.45" hidden="1" customHeight="1" x14ac:dyDescent="0.15">
      <c r="B92" s="29"/>
      <c r="C92" s="27"/>
      <c r="D92" s="27"/>
      <c r="E92" s="559">
        <v>21</v>
      </c>
      <c r="F92" s="3" cm="1">
        <f t="array" aca="1" ref="F92" ca="1">OFFSET(E92,-1,1)</f>
        <v>0</v>
      </c>
      <c r="G92" s="27"/>
      <c r="H92" s="25"/>
      <c r="I92" s="25" t="s">
        <v>959</v>
      </c>
      <c r="J92" s="27"/>
      <c r="K92" s="25" t="s">
        <v>959</v>
      </c>
      <c r="L92" s="27" t="s">
        <v>535</v>
      </c>
      <c r="M92" s="27"/>
      <c r="N92" s="27"/>
      <c r="O92" s="27"/>
      <c r="P92" s="27"/>
      <c r="Q92" s="27"/>
      <c r="R92" s="27"/>
      <c r="S92" s="27"/>
      <c r="T92" s="353" t="b" cm="1">
        <f t="array" aca="1" ref="T92" ca="1">T91</f>
        <v>0</v>
      </c>
      <c r="U92" s="27"/>
      <c r="V92" s="27"/>
      <c r="X92" s="990"/>
      <c r="Z92" s="967"/>
      <c r="AB92" s="131" t="s">
        <v>569</v>
      </c>
      <c r="AC92" s="263" t="s">
        <v>2082</v>
      </c>
      <c r="AD92" s="124" t="s">
        <v>828</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7"/>
      <c r="BO92" s="779" t="str">
        <f ca="1">IF(IFERROR(INDEX(Налоги!$K$26:$L$83,MATCH($F92&amp;"komm",Налоги!$K$26:$K$83,0),2),"")=0,"",IFERROR(INDEX(Налоги!$K$26:$L$83,MATCH($F92&amp;"komm",Налоги!$K$26:$K$83,0),2),""))</f>
        <v/>
      </c>
      <c r="BP92" s="777"/>
      <c r="BS92" s="702" t="s">
        <v>1275</v>
      </c>
      <c r="BT92" s="702"/>
      <c r="BU92" s="702"/>
      <c r="BV92" s="511"/>
      <c r="BW92" s="511"/>
    </row>
    <row r="93" spans="2:75" ht="14.65" hidden="1" customHeight="1" x14ac:dyDescent="0.15">
      <c r="B93" s="15"/>
      <c r="C93" s="25"/>
      <c r="D93" s="25"/>
      <c r="E93" s="451">
        <v>15</v>
      </c>
      <c r="F93" s="3" cm="1">
        <f t="array" aca="1" ref="F93" ca="1">OFFSET(E93,-1,1)</f>
        <v>0</v>
      </c>
      <c r="G93" s="611">
        <v>7</v>
      </c>
      <c r="H93" s="25"/>
      <c r="I93" s="25" t="s">
        <v>2083</v>
      </c>
      <c r="J93" s="25"/>
      <c r="K93" s="25" t="s">
        <v>2083</v>
      </c>
      <c r="L93" s="25"/>
      <c r="M93" s="25"/>
      <c r="N93" s="25"/>
      <c r="O93" s="25"/>
      <c r="P93" s="25"/>
      <c r="Q93" s="25"/>
      <c r="R93" s="25"/>
      <c r="S93" s="25"/>
      <c r="T93" s="353" t="b" cm="1">
        <f t="array" aca="1" ref="T93" ca="1">T92</f>
        <v>0</v>
      </c>
      <c r="U93" s="25"/>
      <c r="V93" s="25"/>
      <c r="X93" s="990"/>
      <c r="Z93" s="967"/>
      <c r="AB93" s="133" t="s">
        <v>519</v>
      </c>
      <c r="AC93" s="134" t="s">
        <v>1289</v>
      </c>
      <c r="AD93" s="7" t="s">
        <v>828</v>
      </c>
      <c r="AE93" s="171">
        <f ca="1">SUMIFS(Налоги!AE$25:AE$83,Налоги!$F$25:$F$83,$F93,Налоги!$AB$25:$AB$83,$G93)</f>
        <v>0</v>
      </c>
      <c r="AF93" s="171">
        <f ca="1">SUMIFS(Налоги!AF$25:AF$83,Налоги!$F$25:$F$83,$F93,Налоги!$AB$25:$AB$83,$G93)</f>
        <v>0</v>
      </c>
      <c r="AG93" s="171">
        <f ca="1">SUMIFS(Налоги!AG$25:AG$83,Налоги!$F$25:$F$83,$F93,Налоги!$AB$25:$AB$83,$G93)</f>
        <v>0</v>
      </c>
      <c r="AH93" s="171">
        <f t="shared" ca="1" si="7"/>
        <v>0</v>
      </c>
      <c r="AI93" s="171">
        <f ca="1">SUMIFS(Налоги!AH$25:AH$83,Налоги!$F$25:$F$83,$F93,Налоги!$AB$25:$AB$83,$G93)</f>
        <v>0</v>
      </c>
      <c r="AJ93" s="171">
        <f ca="1">SUMIFS(Налоги!AI$25:AI$83,Налоги!$F$25:$F$83,$F93,Налоги!$AB$25:$AB$83,$G93)</f>
        <v>0</v>
      </c>
      <c r="AK93" s="171">
        <f ca="1">SUMIFS(Налоги!AJ$25:AJ$83,Налоги!$F$25:$F$83,$F93,Налоги!$AB$25:$AB$83,$G93)</f>
        <v>0</v>
      </c>
      <c r="AL93" s="171">
        <f ca="1">SUMIFS(Налоги!AK$25:AK$83,Налоги!$F$25:$F$83,$F93,Налоги!$AB$25:$AB$83,$G93)</f>
        <v>0</v>
      </c>
      <c r="AM93" s="171">
        <f ca="1">SUMIFS(Налоги!AL$25:AL$83,Налоги!$F$25:$F$83,$F93,Налоги!$AB$25:$AB$83,$G93)</f>
        <v>0</v>
      </c>
      <c r="AN93" s="171">
        <f ca="1">SUMIFS(Налоги!AM$25:AM$83,Налоги!$F$25:$F$83,$F93,Налоги!$AB$25:$AB$83,$G93)</f>
        <v>0</v>
      </c>
      <c r="AO93" s="171">
        <f ca="1">SUMIFS(Налоги!AN$25:AN$83,Налоги!$F$25:$F$83,$F93,Налоги!$AB$25:$AB$83,$G93)</f>
        <v>0</v>
      </c>
      <c r="AP93" s="171">
        <f ca="1">SUMIFS(Налоги!AO$25:AO$83,Налоги!$F$25:$F$83,$F93,Налоги!$AB$25:$AB$83,$G93)</f>
        <v>0</v>
      </c>
      <c r="AQ93" s="171">
        <f ca="1">SUMIFS(Налоги!AP$25:AP$83,Налоги!$F$25:$F$83,$F93,Налоги!$AB$25:$AB$83,$G93)</f>
        <v>0</v>
      </c>
      <c r="AR93" s="171">
        <f ca="1">SUMIFS(Налоги!AQ$25:AQ$83,Налоги!$F$25:$F$83,$F93,Налоги!$AB$25:$AB$83,$G93)</f>
        <v>0</v>
      </c>
      <c r="AS93" s="171">
        <f ca="1">SUMIFS(Налоги!AR$25:AR$83,Налоги!$F$25:$F$83,$F93,Налоги!$AB$25:$AB$83,$G93)</f>
        <v>0</v>
      </c>
      <c r="AT93" s="171">
        <f ca="1">SUMIFS(Налоги!AS$25:AS$83,Налоги!$F$25:$F$83,$F93,Налоги!$AB$25:$AB$83,$G93)</f>
        <v>0</v>
      </c>
      <c r="AU93" s="171">
        <f ca="1">SUMIFS(Налоги!AT$25:AT$83,Налоги!$F$25:$F$83,$F93,Налоги!$AB$25:$AB$83,$G93)</f>
        <v>0</v>
      </c>
      <c r="AV93" s="171">
        <f ca="1">SUMIFS(Налоги!AU$25:AU$83,Налоги!$F$25:$F$83,$F93,Налоги!$AB$25:$AB$83,$G93)</f>
        <v>0</v>
      </c>
      <c r="AW93" s="171">
        <f ca="1">SUMIFS(Налоги!AV$25:AV$83,Налоги!$F$25:$F$83,$F93,Налоги!$AB$25:$AB$83,$G93)</f>
        <v>0</v>
      </c>
      <c r="AX93" s="171">
        <f ca="1">SUMIFS(Налоги!AW$25:AW$83,Налоги!$F$25:$F$83,$F93,Налоги!$AB$25:$AB$83,$G93)</f>
        <v>0</v>
      </c>
      <c r="AY93" s="171">
        <f ca="1">SUMIFS(Налоги!AX$25:AX$83,Налоги!$F$25:$F$83,$F93,Налоги!$AB$25:$AB$83,$G93)</f>
        <v>0</v>
      </c>
      <c r="AZ93" s="171">
        <f ca="1">SUMIFS(Налоги!AY$25:AY$83,Налоги!$F$25:$F$83,$F93,Налоги!$AB$25:$AB$83,$G93)</f>
        <v>0</v>
      </c>
      <c r="BA93" s="171">
        <f ca="1">SUMIFS(Налоги!AZ$25:AZ$83,Налоги!$F$25:$F$83,$F93,Налоги!$AB$25:$AB$83,$G93)</f>
        <v>0</v>
      </c>
      <c r="BB93" s="171">
        <f ca="1">SUMIFS(Налоги!BA$25:BA$83,Налоги!$F$25:$F$83,$F93,Налоги!$AB$25:$AB$83,$G93)</f>
        <v>0</v>
      </c>
      <c r="BC93" s="171">
        <f ca="1">SUMIFS(Налоги!BB$25:BB$83,Налоги!$F$25:$F$83,$F93,Налоги!$AB$25:$AB$83,$G93)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5"/>
      <c r="BO93" s="779" t="str">
        <f ca="1">IF(IFERROR(INDEX(Налоги!$K$26:$L$83,MATCH($F93&amp;"7komm",Налоги!$K$26:$K$83,0),2),"")=0,"",IFERROR(INDEX(Налоги!$K$26:$L$83,MATCH($F93&amp;"7komm",Налоги!$K$26:$K$83,0),2),""))</f>
        <v/>
      </c>
      <c r="BP93" s="775"/>
      <c r="BS93" s="696" t="s">
        <v>2084</v>
      </c>
    </row>
    <row r="94" spans="2:75" ht="14.65" hidden="1" customHeight="1" x14ac:dyDescent="0.15">
      <c r="B94" s="15"/>
      <c r="C94" s="25"/>
      <c r="D94" s="25"/>
      <c r="E94" s="451">
        <v>15</v>
      </c>
      <c r="F94" s="3" cm="1">
        <f t="array" aca="1" ref="F94" ca="1">OFFSET(E94,-1,1)</f>
        <v>0</v>
      </c>
      <c r="G94" s="611">
        <v>6</v>
      </c>
      <c r="H94" s="25"/>
      <c r="I94" s="25" t="s">
        <v>2085</v>
      </c>
      <c r="J94" s="25"/>
      <c r="K94" s="25" t="s">
        <v>2085</v>
      </c>
      <c r="L94" s="25"/>
      <c r="M94" s="25"/>
      <c r="N94" s="25"/>
      <c r="O94" s="25"/>
      <c r="P94" s="25"/>
      <c r="Q94" s="25"/>
      <c r="R94" s="25"/>
      <c r="S94" s="25"/>
      <c r="T94" s="353" t="b" cm="1">
        <f t="array" aca="1" ref="T94" ca="1">T93</f>
        <v>0</v>
      </c>
      <c r="U94" s="25"/>
      <c r="V94" s="25"/>
      <c r="X94" s="990"/>
      <c r="Z94" s="967"/>
      <c r="AB94" s="133" t="s">
        <v>1500</v>
      </c>
      <c r="AC94" s="134" t="s">
        <v>2086</v>
      </c>
      <c r="AD94" s="7" t="s">
        <v>828</v>
      </c>
      <c r="AE94" s="171">
        <f ca="1">SUMIFS(Налоги!AE$25:AE$83,Налоги!$F$25:$F$83,$F94,Налоги!$AB$25:$AB$83,$G94)</f>
        <v>0</v>
      </c>
      <c r="AF94" s="171">
        <f ca="1">SUMIFS(Налоги!AF$25:AF$83,Налоги!$F$25:$F$83,$F94,Налоги!$AB$25:$AB$83,$G94)</f>
        <v>0</v>
      </c>
      <c r="AG94" s="171">
        <f ca="1">SUMIFS(Налоги!AG$25:AG$83,Налоги!$F$25:$F$83,$F94,Налоги!$AB$25:$AB$83,$G94)</f>
        <v>0</v>
      </c>
      <c r="AH94" s="171">
        <f t="shared" ca="1" si="7"/>
        <v>0</v>
      </c>
      <c r="AI94" s="171">
        <f ca="1">SUMIFS(Налоги!AH$25:AH$83,Налоги!$F$25:$F$83,$F94,Налоги!$AB$25:$AB$83,$G94)</f>
        <v>0</v>
      </c>
      <c r="AJ94" s="171">
        <f ca="1">SUMIFS(Налоги!AI$25:AI$83,Налоги!$F$25:$F$83,$F94,Налоги!$AB$25:$AB$83,$G94)</f>
        <v>0</v>
      </c>
      <c r="AK94" s="171">
        <f ca="1">SUMIFS(Налоги!AJ$25:AJ$83,Налоги!$F$25:$F$83,$F94,Налоги!$AB$25:$AB$83,$G94)</f>
        <v>0</v>
      </c>
      <c r="AL94" s="171">
        <f ca="1">SUMIFS(Налоги!AK$25:AK$83,Налоги!$F$25:$F$83,$F94,Налоги!$AB$25:$AB$83,$G94)</f>
        <v>0</v>
      </c>
      <c r="AM94" s="171">
        <f ca="1">SUMIFS(Налоги!AL$25:AL$83,Налоги!$F$25:$F$83,$F94,Налоги!$AB$25:$AB$83,$G94)</f>
        <v>0</v>
      </c>
      <c r="AN94" s="171">
        <f ca="1">SUMIFS(Налоги!AM$25:AM$83,Налоги!$F$25:$F$83,$F94,Налоги!$AB$25:$AB$83,$G94)</f>
        <v>0</v>
      </c>
      <c r="AO94" s="171">
        <f ca="1">SUMIFS(Налоги!AN$25:AN$83,Налоги!$F$25:$F$83,$F94,Налоги!$AB$25:$AB$83,$G94)</f>
        <v>0</v>
      </c>
      <c r="AP94" s="171">
        <f ca="1">SUMIFS(Налоги!AO$25:AO$83,Налоги!$F$25:$F$83,$F94,Налоги!$AB$25:$AB$83,$G94)</f>
        <v>0</v>
      </c>
      <c r="AQ94" s="171">
        <f ca="1">SUMIFS(Налоги!AP$25:AP$83,Налоги!$F$25:$F$83,$F94,Налоги!$AB$25:$AB$83,$G94)</f>
        <v>0</v>
      </c>
      <c r="AR94" s="171">
        <f ca="1">SUMIFS(Налоги!AQ$25:AQ$83,Налоги!$F$25:$F$83,$F94,Налоги!$AB$25:$AB$83,$G94)</f>
        <v>0</v>
      </c>
      <c r="AS94" s="171">
        <f ca="1">SUMIFS(Налоги!AR$25:AR$83,Налоги!$F$25:$F$83,$F94,Налоги!$AB$25:$AB$83,$G94)</f>
        <v>0</v>
      </c>
      <c r="AT94" s="171">
        <f ca="1">SUMIFS(Налоги!AS$25:AS$83,Налоги!$F$25:$F$83,$F94,Налоги!$AB$25:$AB$83,$G94)</f>
        <v>0</v>
      </c>
      <c r="AU94" s="171">
        <f ca="1">SUMIFS(Налоги!AT$25:AT$83,Налоги!$F$25:$F$83,$F94,Налоги!$AB$25:$AB$83,$G94)</f>
        <v>0</v>
      </c>
      <c r="AV94" s="171">
        <f ca="1">SUMIFS(Налоги!AU$25:AU$83,Налоги!$F$25:$F$83,$F94,Налоги!$AB$25:$AB$83,$G94)</f>
        <v>0</v>
      </c>
      <c r="AW94" s="171">
        <f ca="1">SUMIFS(Налоги!AV$25:AV$83,Налоги!$F$25:$F$83,$F94,Налоги!$AB$25:$AB$83,$G94)</f>
        <v>0</v>
      </c>
      <c r="AX94" s="171">
        <f ca="1">SUMIFS(Налоги!AW$25:AW$83,Налоги!$F$25:$F$83,$F94,Налоги!$AB$25:$AB$83,$G94)</f>
        <v>0</v>
      </c>
      <c r="AY94" s="171">
        <f ca="1">SUMIFS(Налоги!AX$25:AX$83,Налоги!$F$25:$F$83,$F94,Налоги!$AB$25:$AB$83,$G94)</f>
        <v>0</v>
      </c>
      <c r="AZ94" s="171">
        <f ca="1">SUMIFS(Налоги!AY$25:AY$83,Налоги!$F$25:$F$83,$F94,Налоги!$AB$25:$AB$83,$G94)</f>
        <v>0</v>
      </c>
      <c r="BA94" s="171">
        <f ca="1">SUMIFS(Налоги!AZ$25:AZ$83,Налоги!$F$25:$F$83,$F94,Налоги!$AB$25:$AB$83,$G94)</f>
        <v>0</v>
      </c>
      <c r="BB94" s="171">
        <f ca="1">SUMIFS(Налоги!BA$25:BA$83,Налоги!$F$25:$F$83,$F94,Налоги!$AB$25:$AB$83,$G94)</f>
        <v>0</v>
      </c>
      <c r="BC94" s="171">
        <f ca="1">SUMIFS(Налоги!BB$25:BB$83,Налоги!$F$25:$F$83,$F94,Налоги!$AB$25:$AB$83,$G94)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5"/>
      <c r="BO94" s="779" t="str">
        <f ca="1">IF(IFERROR(INDEX(Налоги!$K$26:$L$83,MATCH($F94&amp;"6komm",Налоги!$K$26:$K$83,0),2),"")=0,"",IFERROR(INDEX(Налоги!$K$26:$L$83,MATCH($F94&amp;"6komm",Налоги!$K$26:$K$83,0),2),""))</f>
        <v/>
      </c>
      <c r="BP94" s="775"/>
      <c r="BS94" s="696" t="s">
        <v>2087</v>
      </c>
    </row>
    <row r="95" spans="2:75" ht="14.65" hidden="1" customHeight="1" x14ac:dyDescent="0.15">
      <c r="B95" s="15"/>
      <c r="C95" s="25"/>
      <c r="D95" s="25"/>
      <c r="E95" s="451">
        <v>15</v>
      </c>
      <c r="F95" s="3" cm="1">
        <f t="array" aca="1" ref="F95" ca="1">OFFSET(E95,-1,1)</f>
        <v>0</v>
      </c>
      <c r="G95" s="611">
        <v>2</v>
      </c>
      <c r="H95" s="25"/>
      <c r="I95" s="25" t="s">
        <v>2088</v>
      </c>
      <c r="J95" s="25"/>
      <c r="K95" s="25" t="s">
        <v>2088</v>
      </c>
      <c r="L95" s="25"/>
      <c r="M95" s="25"/>
      <c r="N95" s="25"/>
      <c r="O95" s="25"/>
      <c r="P95" s="25"/>
      <c r="Q95" s="25"/>
      <c r="R95" s="25"/>
      <c r="S95" s="25"/>
      <c r="T95" s="353" t="b" cm="1">
        <f t="array" aca="1" ref="T95" ca="1">T94</f>
        <v>0</v>
      </c>
      <c r="U95" s="25"/>
      <c r="V95" s="25"/>
      <c r="X95" s="990"/>
      <c r="Z95" s="967"/>
      <c r="AB95" s="133" t="s">
        <v>1505</v>
      </c>
      <c r="AC95" s="134" t="s">
        <v>2089</v>
      </c>
      <c r="AD95" s="7" t="s">
        <v>828</v>
      </c>
      <c r="AE95" s="171">
        <f ca="1">SUMIFS(Налоги!AE$25:AE$83,Налоги!$F$25:$F$83,$F95,Налоги!$AB$25:$AB$83,$G95)</f>
        <v>0</v>
      </c>
      <c r="AF95" s="171">
        <f ca="1">SUMIFS(Налоги!AF$25:AF$83,Налоги!$F$25:$F$83,$F95,Налоги!$AB$25:$AB$83,$G95)</f>
        <v>0</v>
      </c>
      <c r="AG95" s="171">
        <f ca="1">SUMIFS(Налоги!AG$25:AG$83,Налоги!$F$25:$F$83,$F95,Налоги!$AB$25:$AB$83,$G95)</f>
        <v>0</v>
      </c>
      <c r="AH95" s="171">
        <f t="shared" ca="1" si="7"/>
        <v>0</v>
      </c>
      <c r="AI95" s="171">
        <f ca="1">SUMIFS(Налоги!AH$25:AH$83,Налоги!$F$25:$F$83,$F95,Налоги!$AB$25:$AB$83,$G95)</f>
        <v>0</v>
      </c>
      <c r="AJ95" s="171">
        <f ca="1">SUMIFS(Налоги!AI$25:AI$83,Налоги!$F$25:$F$83,$F95,Налоги!$AB$25:$AB$83,$G95)</f>
        <v>0</v>
      </c>
      <c r="AK95" s="171">
        <f ca="1">SUMIFS(Налоги!AJ$25:AJ$83,Налоги!$F$25:$F$83,$F95,Налоги!$AB$25:$AB$83,$G95)</f>
        <v>0</v>
      </c>
      <c r="AL95" s="171">
        <f ca="1">SUMIFS(Налоги!AK$25:AK$83,Налоги!$F$25:$F$83,$F95,Налоги!$AB$25:$AB$83,$G95)</f>
        <v>0</v>
      </c>
      <c r="AM95" s="171">
        <f ca="1">SUMIFS(Налоги!AL$25:AL$83,Налоги!$F$25:$F$83,$F95,Налоги!$AB$25:$AB$83,$G95)</f>
        <v>0</v>
      </c>
      <c r="AN95" s="171">
        <f ca="1">SUMIFS(Налоги!AM$25:AM$83,Налоги!$F$25:$F$83,$F95,Налоги!$AB$25:$AB$83,$G95)</f>
        <v>0</v>
      </c>
      <c r="AO95" s="171">
        <f ca="1">SUMIFS(Налоги!AN$25:AN$83,Налоги!$F$25:$F$83,$F95,Налоги!$AB$25:$AB$83,$G95)</f>
        <v>0</v>
      </c>
      <c r="AP95" s="171">
        <f ca="1">SUMIFS(Налоги!AO$25:AO$83,Налоги!$F$25:$F$83,$F95,Налоги!$AB$25:$AB$83,$G95)</f>
        <v>0</v>
      </c>
      <c r="AQ95" s="171">
        <f ca="1">SUMIFS(Налоги!AP$25:AP$83,Налоги!$F$25:$F$83,$F95,Налоги!$AB$25:$AB$83,$G95)</f>
        <v>0</v>
      </c>
      <c r="AR95" s="171">
        <f ca="1">SUMIFS(Налоги!AQ$25:AQ$83,Налоги!$F$25:$F$83,$F95,Налоги!$AB$25:$AB$83,$G95)</f>
        <v>0</v>
      </c>
      <c r="AS95" s="171">
        <f ca="1">SUMIFS(Налоги!AR$25:AR$83,Налоги!$F$25:$F$83,$F95,Налоги!$AB$25:$AB$83,$G95)</f>
        <v>0</v>
      </c>
      <c r="AT95" s="171">
        <f ca="1">SUMIFS(Налоги!AS$25:AS$83,Налоги!$F$25:$F$83,$F95,Налоги!$AB$25:$AB$83,$G95)</f>
        <v>0</v>
      </c>
      <c r="AU95" s="171">
        <f ca="1">SUMIFS(Налоги!AT$25:AT$83,Налоги!$F$25:$F$83,$F95,Налоги!$AB$25:$AB$83,$G95)</f>
        <v>0</v>
      </c>
      <c r="AV95" s="171">
        <f ca="1">SUMIFS(Налоги!AU$25:AU$83,Налоги!$F$25:$F$83,$F95,Налоги!$AB$25:$AB$83,$G95)</f>
        <v>0</v>
      </c>
      <c r="AW95" s="171">
        <f ca="1">SUMIFS(Налоги!AV$25:AV$83,Налоги!$F$25:$F$83,$F95,Налоги!$AB$25:$AB$83,$G95)</f>
        <v>0</v>
      </c>
      <c r="AX95" s="171">
        <f ca="1">SUMIFS(Налоги!AW$25:AW$83,Налоги!$F$25:$F$83,$F95,Налоги!$AB$25:$AB$83,$G95)</f>
        <v>0</v>
      </c>
      <c r="AY95" s="171">
        <f ca="1">SUMIFS(Налоги!AX$25:AX$83,Налоги!$F$25:$F$83,$F95,Налоги!$AB$25:$AB$83,$G95)</f>
        <v>0</v>
      </c>
      <c r="AZ95" s="171">
        <f ca="1">SUMIFS(Налоги!AY$25:AY$83,Налоги!$F$25:$F$83,$F95,Налоги!$AB$25:$AB$83,$G95)</f>
        <v>0</v>
      </c>
      <c r="BA95" s="171">
        <f ca="1">SUMIFS(Налоги!AZ$25:AZ$83,Налоги!$F$25:$F$83,$F95,Налоги!$AB$25:$AB$83,$G95)</f>
        <v>0</v>
      </c>
      <c r="BB95" s="171">
        <f ca="1">SUMIFS(Налоги!BA$25:BA$83,Налоги!$F$25:$F$83,$F95,Налоги!$AB$25:$AB$83,$G95)</f>
        <v>0</v>
      </c>
      <c r="BC95" s="171">
        <f ca="1">SUMIFS(Налоги!BB$25:BB$83,Налоги!$F$25:$F$83,$F95,Налоги!$AB$25:$AB$83,$G95)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5"/>
      <c r="BO95" s="779" t="str">
        <f ca="1">IF(IFERROR(INDEX(Налоги!$K$26:$L$83,MATCH($F95&amp;"2komm",Налоги!$K$26:$K$83,0),2),"")=0,"",IFERROR(INDEX(Налоги!$K$26:$L$83,MATCH($F95&amp;"2komm",Налоги!$K$26:$K$83,0),2),""))</f>
        <v/>
      </c>
      <c r="BP95" s="775"/>
      <c r="BS95" s="696" t="s">
        <v>2090</v>
      </c>
    </row>
    <row r="96" spans="2:75" ht="14.65" hidden="1" customHeight="1" x14ac:dyDescent="0.15">
      <c r="B96" s="15"/>
      <c r="C96" s="25"/>
      <c r="D96" s="25"/>
      <c r="E96" s="451">
        <v>15</v>
      </c>
      <c r="F96" s="3" cm="1">
        <f t="array" aca="1" ref="F96" ca="1">OFFSET(E96,-1,1)</f>
        <v>0</v>
      </c>
      <c r="G96" s="611">
        <v>4</v>
      </c>
      <c r="H96" s="25"/>
      <c r="I96" s="25" t="s">
        <v>2091</v>
      </c>
      <c r="J96" s="25"/>
      <c r="K96" s="25" t="s">
        <v>2091</v>
      </c>
      <c r="L96" s="25"/>
      <c r="M96" s="25"/>
      <c r="N96" s="25"/>
      <c r="O96" s="25"/>
      <c r="P96" s="25"/>
      <c r="Q96" s="25"/>
      <c r="R96" s="25"/>
      <c r="S96" s="25"/>
      <c r="T96" s="353" t="b" cm="1">
        <f t="array" aca="1" ref="T96" ca="1">T95</f>
        <v>0</v>
      </c>
      <c r="U96" s="25"/>
      <c r="V96" s="25"/>
      <c r="X96" s="990"/>
      <c r="Z96" s="967"/>
      <c r="AB96" s="133" t="s">
        <v>2092</v>
      </c>
      <c r="AC96" s="134" t="s">
        <v>2093</v>
      </c>
      <c r="AD96" s="7" t="s">
        <v>828</v>
      </c>
      <c r="AE96" s="171">
        <f ca="1">SUMIFS(Налоги!AE$25:AE$83,Налоги!$F$25:$F$83,$F96,Налоги!$AB$25:$AB$83,$G96)</f>
        <v>0</v>
      </c>
      <c r="AF96" s="171">
        <f ca="1">SUMIFS(Налоги!AF$25:AF$83,Налоги!$F$25:$F$83,$F96,Налоги!$AB$25:$AB$83,$G96)</f>
        <v>0</v>
      </c>
      <c r="AG96" s="171">
        <f ca="1">SUMIFS(Налоги!AG$25:AG$83,Налоги!$F$25:$F$83,$F96,Налоги!$AB$25:$AB$83,$G96)</f>
        <v>0</v>
      </c>
      <c r="AH96" s="171">
        <f t="shared" ca="1" si="7"/>
        <v>0</v>
      </c>
      <c r="AI96" s="171">
        <f ca="1">SUMIFS(Налоги!AH$25:AH$83,Налоги!$F$25:$F$83,$F96,Налоги!$AB$25:$AB$83,$G96)</f>
        <v>0</v>
      </c>
      <c r="AJ96" s="171">
        <f ca="1">SUMIFS(Налоги!AI$25:AI$83,Налоги!$F$25:$F$83,$F96,Налоги!$AB$25:$AB$83,$G96)</f>
        <v>0</v>
      </c>
      <c r="AK96" s="171">
        <f ca="1">SUMIFS(Налоги!AJ$25:AJ$83,Налоги!$F$25:$F$83,$F96,Налоги!$AB$25:$AB$83,$G96)</f>
        <v>0</v>
      </c>
      <c r="AL96" s="171">
        <f ca="1">SUMIFS(Налоги!AK$25:AK$83,Налоги!$F$25:$F$83,$F96,Налоги!$AB$25:$AB$83,$G96)</f>
        <v>0</v>
      </c>
      <c r="AM96" s="171">
        <f ca="1">SUMIFS(Налоги!AL$25:AL$83,Налоги!$F$25:$F$83,$F96,Налоги!$AB$25:$AB$83,$G96)</f>
        <v>0</v>
      </c>
      <c r="AN96" s="171">
        <f ca="1">SUMIFS(Налоги!AM$25:AM$83,Налоги!$F$25:$F$83,$F96,Налоги!$AB$25:$AB$83,$G96)</f>
        <v>0</v>
      </c>
      <c r="AO96" s="171">
        <f ca="1">SUMIFS(Налоги!AN$25:AN$83,Налоги!$F$25:$F$83,$F96,Налоги!$AB$25:$AB$83,$G96)</f>
        <v>0</v>
      </c>
      <c r="AP96" s="171">
        <f ca="1">SUMIFS(Налоги!AO$25:AO$83,Налоги!$F$25:$F$83,$F96,Налоги!$AB$25:$AB$83,$G96)</f>
        <v>0</v>
      </c>
      <c r="AQ96" s="171">
        <f ca="1">SUMIFS(Налоги!AP$25:AP$83,Налоги!$F$25:$F$83,$F96,Налоги!$AB$25:$AB$83,$G96)</f>
        <v>0</v>
      </c>
      <c r="AR96" s="171">
        <f ca="1">SUMIFS(Налоги!AQ$25:AQ$83,Налоги!$F$25:$F$83,$F96,Налоги!$AB$25:$AB$83,$G96)</f>
        <v>0</v>
      </c>
      <c r="AS96" s="171">
        <f ca="1">SUMIFS(Налоги!AR$25:AR$83,Налоги!$F$25:$F$83,$F96,Налоги!$AB$25:$AB$83,$G96)</f>
        <v>0</v>
      </c>
      <c r="AT96" s="171">
        <f ca="1">SUMIFS(Налоги!AS$25:AS$83,Налоги!$F$25:$F$83,$F96,Налоги!$AB$25:$AB$83,$G96)</f>
        <v>0</v>
      </c>
      <c r="AU96" s="171">
        <f ca="1">SUMIFS(Налоги!AT$25:AT$83,Налоги!$F$25:$F$83,$F96,Налоги!$AB$25:$AB$83,$G96)</f>
        <v>0</v>
      </c>
      <c r="AV96" s="171">
        <f ca="1">SUMIFS(Налоги!AU$25:AU$83,Налоги!$F$25:$F$83,$F96,Налоги!$AB$25:$AB$83,$G96)</f>
        <v>0</v>
      </c>
      <c r="AW96" s="171">
        <f ca="1">SUMIFS(Налоги!AV$25:AV$83,Налоги!$F$25:$F$83,$F96,Налоги!$AB$25:$AB$83,$G96)</f>
        <v>0</v>
      </c>
      <c r="AX96" s="171">
        <f ca="1">SUMIFS(Налоги!AW$25:AW$83,Налоги!$F$25:$F$83,$F96,Налоги!$AB$25:$AB$83,$G96)</f>
        <v>0</v>
      </c>
      <c r="AY96" s="171">
        <f ca="1">SUMIFS(Налоги!AX$25:AX$83,Налоги!$F$25:$F$83,$F96,Налоги!$AB$25:$AB$83,$G96)</f>
        <v>0</v>
      </c>
      <c r="AZ96" s="171">
        <f ca="1">SUMIFS(Налоги!AY$25:AY$83,Налоги!$F$25:$F$83,$F96,Налоги!$AB$25:$AB$83,$G96)</f>
        <v>0</v>
      </c>
      <c r="BA96" s="171">
        <f ca="1">SUMIFS(Налоги!AZ$25:AZ$83,Налоги!$F$25:$F$83,$F96,Налоги!$AB$25:$AB$83,$G96)</f>
        <v>0</v>
      </c>
      <c r="BB96" s="171">
        <f ca="1">SUMIFS(Налоги!BA$25:BA$83,Налоги!$F$25:$F$83,$F96,Налоги!$AB$25:$AB$83,$G96)</f>
        <v>0</v>
      </c>
      <c r="BC96" s="171">
        <f ca="1">SUMIFS(Налоги!BB$25:BB$83,Налоги!$F$25:$F$83,$F96,Налоги!$AB$25:$AB$83,$G96)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5"/>
      <c r="BO96" s="779" t="str">
        <f ca="1">IF(IFERROR(INDEX(Налоги!$K$26:$L$83,MATCH($F96&amp;"4komm",Налоги!$K$26:$K$83,0),2),"")=0,"",IFERROR(INDEX(Налоги!$K$26:$L$83,MATCH($F96&amp;"4komm",Налоги!$K$26:$K$83,0),2),""))</f>
        <v/>
      </c>
      <c r="BP96" s="775"/>
      <c r="BS96" s="696" t="s">
        <v>2094</v>
      </c>
    </row>
    <row r="97" spans="2:75" ht="14.65" hidden="1" customHeight="1" x14ac:dyDescent="0.15">
      <c r="B97" s="15"/>
      <c r="C97" s="25"/>
      <c r="D97" s="25"/>
      <c r="E97" s="451">
        <v>15</v>
      </c>
      <c r="F97" s="3" cm="1">
        <f t="array" aca="1" ref="F97" ca="1">OFFSET(E97,-1,1)</f>
        <v>0</v>
      </c>
      <c r="G97" s="611">
        <v>5</v>
      </c>
      <c r="H97" s="25"/>
      <c r="I97" s="25" t="s">
        <v>2095</v>
      </c>
      <c r="J97" s="25"/>
      <c r="K97" s="25" t="s">
        <v>2095</v>
      </c>
      <c r="L97" s="25"/>
      <c r="M97" s="25"/>
      <c r="N97" s="25"/>
      <c r="O97" s="25"/>
      <c r="P97" s="25"/>
      <c r="Q97" s="25"/>
      <c r="R97" s="25"/>
      <c r="S97" s="25"/>
      <c r="T97" s="353" t="b" cm="1">
        <f t="array" aca="1" ref="T97" ca="1">T96</f>
        <v>0</v>
      </c>
      <c r="U97" s="25"/>
      <c r="V97" s="25"/>
      <c r="X97" s="990"/>
      <c r="Z97" s="967"/>
      <c r="AB97" s="133" t="s">
        <v>2096</v>
      </c>
      <c r="AC97" s="134" t="s">
        <v>2097</v>
      </c>
      <c r="AD97" s="7" t="s">
        <v>828</v>
      </c>
      <c r="AE97" s="171">
        <f ca="1">SUMIFS(Налоги!AE$25:AE$83,Налоги!$F$25:$F$83,$F97,Налоги!$AB$25:$AB$83,$G97)</f>
        <v>0</v>
      </c>
      <c r="AF97" s="171">
        <f ca="1">SUMIFS(Налоги!AF$25:AF$83,Налоги!$F$25:$F$83,$F97,Налоги!$AB$25:$AB$83,$G97)</f>
        <v>0</v>
      </c>
      <c r="AG97" s="171">
        <f ca="1">SUMIFS(Налоги!AG$25:AG$83,Налоги!$F$25:$F$83,$F97,Налоги!$AB$25:$AB$83,$G97)</f>
        <v>0</v>
      </c>
      <c r="AH97" s="171">
        <f t="shared" ca="1" si="7"/>
        <v>0</v>
      </c>
      <c r="AI97" s="171">
        <f ca="1">SUMIFS(Налоги!AH$25:AH$83,Налоги!$F$25:$F$83,$F97,Налоги!$AB$25:$AB$83,$G97)</f>
        <v>0</v>
      </c>
      <c r="AJ97" s="171">
        <f ca="1">SUMIFS(Налоги!AI$25:AI$83,Налоги!$F$25:$F$83,$F97,Налоги!$AB$25:$AB$83,$G97)</f>
        <v>0</v>
      </c>
      <c r="AK97" s="171">
        <f ca="1">SUMIFS(Налоги!AJ$25:AJ$83,Налоги!$F$25:$F$83,$F97,Налоги!$AB$25:$AB$83,$G97)</f>
        <v>0</v>
      </c>
      <c r="AL97" s="171">
        <f ca="1">SUMIFS(Налоги!AK$25:AK$83,Налоги!$F$25:$F$83,$F97,Налоги!$AB$25:$AB$83,$G97)</f>
        <v>0</v>
      </c>
      <c r="AM97" s="171">
        <f ca="1">SUMIFS(Налоги!AL$25:AL$83,Налоги!$F$25:$F$83,$F97,Налоги!$AB$25:$AB$83,$G97)</f>
        <v>0</v>
      </c>
      <c r="AN97" s="171">
        <f ca="1">SUMIFS(Налоги!AM$25:AM$83,Налоги!$F$25:$F$83,$F97,Налоги!$AB$25:$AB$83,$G97)</f>
        <v>0</v>
      </c>
      <c r="AO97" s="171">
        <f ca="1">SUMIFS(Налоги!AN$25:AN$83,Налоги!$F$25:$F$83,$F97,Налоги!$AB$25:$AB$83,$G97)</f>
        <v>0</v>
      </c>
      <c r="AP97" s="171">
        <f ca="1">SUMIFS(Налоги!AO$25:AO$83,Налоги!$F$25:$F$83,$F97,Налоги!$AB$25:$AB$83,$G97)</f>
        <v>0</v>
      </c>
      <c r="AQ97" s="171">
        <f ca="1">SUMIFS(Налоги!AP$25:AP$83,Налоги!$F$25:$F$83,$F97,Налоги!$AB$25:$AB$83,$G97)</f>
        <v>0</v>
      </c>
      <c r="AR97" s="171">
        <f ca="1">SUMIFS(Налоги!AQ$25:AQ$83,Налоги!$F$25:$F$83,$F97,Налоги!$AB$25:$AB$83,$G97)</f>
        <v>0</v>
      </c>
      <c r="AS97" s="171">
        <f ca="1">SUMIFS(Налоги!AR$25:AR$83,Налоги!$F$25:$F$83,$F97,Налоги!$AB$25:$AB$83,$G97)</f>
        <v>0</v>
      </c>
      <c r="AT97" s="171">
        <f ca="1">SUMIFS(Налоги!AS$25:AS$83,Налоги!$F$25:$F$83,$F97,Налоги!$AB$25:$AB$83,$G97)</f>
        <v>0</v>
      </c>
      <c r="AU97" s="171">
        <f ca="1">SUMIFS(Налоги!AT$25:AT$83,Налоги!$F$25:$F$83,$F97,Налоги!$AB$25:$AB$83,$G97)</f>
        <v>0</v>
      </c>
      <c r="AV97" s="171">
        <f ca="1">SUMIFS(Налоги!AU$25:AU$83,Налоги!$F$25:$F$83,$F97,Налоги!$AB$25:$AB$83,$G97)</f>
        <v>0</v>
      </c>
      <c r="AW97" s="171">
        <f ca="1">SUMIFS(Налоги!AV$25:AV$83,Налоги!$F$25:$F$83,$F97,Налоги!$AB$25:$AB$83,$G97)</f>
        <v>0</v>
      </c>
      <c r="AX97" s="171">
        <f ca="1">SUMIFS(Налоги!AW$25:AW$83,Налоги!$F$25:$F$83,$F97,Налоги!$AB$25:$AB$83,$G97)</f>
        <v>0</v>
      </c>
      <c r="AY97" s="171">
        <f ca="1">SUMIFS(Налоги!AX$25:AX$83,Налоги!$F$25:$F$83,$F97,Налоги!$AB$25:$AB$83,$G97)</f>
        <v>0</v>
      </c>
      <c r="AZ97" s="171">
        <f ca="1">SUMIFS(Налоги!AY$25:AY$83,Налоги!$F$25:$F$83,$F97,Налоги!$AB$25:$AB$83,$G97)</f>
        <v>0</v>
      </c>
      <c r="BA97" s="171">
        <f ca="1">SUMIFS(Налоги!AZ$25:AZ$83,Налоги!$F$25:$F$83,$F97,Налоги!$AB$25:$AB$83,$G97)</f>
        <v>0</v>
      </c>
      <c r="BB97" s="171">
        <f ca="1">SUMIFS(Налоги!BA$25:BA$83,Налоги!$F$25:$F$83,$F97,Налоги!$AB$25:$AB$83,$G97)</f>
        <v>0</v>
      </c>
      <c r="BC97" s="171">
        <f ca="1">SUMIFS(Налоги!BB$25:BB$83,Налоги!$F$25:$F$83,$F97,Налоги!$AB$25:$AB$83,$G97)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5"/>
      <c r="BO97" s="779" t="str">
        <f ca="1">IF(IFERROR(INDEX(Налоги!$K$26:$L$83,MATCH($F97&amp;"5komm",Налоги!$K$26:$K$83,0),2),"")=0,"",IFERROR(INDEX(Налоги!$K$26:$L$83,MATCH($F97&amp;"5komm",Налоги!$K$26:$K$83,0),2),""))</f>
        <v/>
      </c>
      <c r="BP97" s="775"/>
      <c r="BS97" s="696" t="s">
        <v>2098</v>
      </c>
    </row>
    <row r="98" spans="2:75" ht="14.65" hidden="1" customHeight="1" x14ac:dyDescent="0.15">
      <c r="B98" s="15"/>
      <c r="C98" s="25"/>
      <c r="D98" s="25"/>
      <c r="E98" s="451">
        <v>15</v>
      </c>
      <c r="F98" s="3" cm="1">
        <f t="array" aca="1" ref="F98" ca="1">OFFSET(E98,-1,1)</f>
        <v>0</v>
      </c>
      <c r="G98" s="611">
        <v>1</v>
      </c>
      <c r="H98" s="25"/>
      <c r="I98" s="25" t="s">
        <v>2099</v>
      </c>
      <c r="J98" s="25"/>
      <c r="K98" s="25" t="s">
        <v>2099</v>
      </c>
      <c r="L98" s="25"/>
      <c r="M98" s="25"/>
      <c r="N98" s="25"/>
      <c r="O98" s="25"/>
      <c r="P98" s="25"/>
      <c r="Q98" s="25"/>
      <c r="R98" s="25"/>
      <c r="S98" s="25"/>
      <c r="T98" s="353" t="b" cm="1">
        <f t="array" aca="1" ref="T98" ca="1">T97</f>
        <v>0</v>
      </c>
      <c r="U98" s="25"/>
      <c r="V98" s="25"/>
      <c r="X98" s="990"/>
      <c r="Z98" s="967"/>
      <c r="AB98" s="133" t="s">
        <v>2100</v>
      </c>
      <c r="AC98" s="134" t="s">
        <v>2101</v>
      </c>
      <c r="AD98" s="7" t="s">
        <v>828</v>
      </c>
      <c r="AE98" s="171">
        <f ca="1">SUMIFS(Налоги!AE$25:AE$83,Налоги!$F$25:$F$83,$F98,Налоги!$AB$25:$AB$83,$G98)</f>
        <v>0</v>
      </c>
      <c r="AF98" s="171">
        <f ca="1">SUMIFS(Налоги!AF$25:AF$83,Налоги!$F$25:$F$83,$F98,Налоги!$AB$25:$AB$83,$G98)</f>
        <v>0</v>
      </c>
      <c r="AG98" s="171">
        <f ca="1">SUMIFS(Налоги!AG$25:AG$83,Налоги!$F$25:$F$83,$F98,Налоги!$AB$25:$AB$83,$G98)</f>
        <v>0</v>
      </c>
      <c r="AH98" s="171">
        <f t="shared" ca="1" si="7"/>
        <v>0</v>
      </c>
      <c r="AI98" s="171">
        <f ca="1">SUMIFS(Налоги!AH$25:AH$83,Налоги!$F$25:$F$83,$F98,Налоги!$AB$25:$AB$83,$G98)</f>
        <v>0</v>
      </c>
      <c r="AJ98" s="171">
        <f ca="1">SUMIFS(Налоги!AI$25:AI$83,Налоги!$F$25:$F$83,$F98,Налоги!$AB$25:$AB$83,$G98)</f>
        <v>0</v>
      </c>
      <c r="AK98" s="171">
        <f ca="1">SUMIFS(Налоги!AJ$25:AJ$83,Налоги!$F$25:$F$83,$F98,Налоги!$AB$25:$AB$83,$G98)</f>
        <v>0</v>
      </c>
      <c r="AL98" s="171">
        <f ca="1">SUMIFS(Налоги!AK$25:AK$83,Налоги!$F$25:$F$83,$F98,Налоги!$AB$25:$AB$83,$G98)</f>
        <v>0</v>
      </c>
      <c r="AM98" s="171">
        <f ca="1">SUMIFS(Налоги!AL$25:AL$83,Налоги!$F$25:$F$83,$F98,Налоги!$AB$25:$AB$83,$G98)</f>
        <v>0</v>
      </c>
      <c r="AN98" s="171">
        <f ca="1">SUMIFS(Налоги!AM$25:AM$83,Налоги!$F$25:$F$83,$F98,Налоги!$AB$25:$AB$83,$G98)</f>
        <v>0</v>
      </c>
      <c r="AO98" s="171">
        <f ca="1">SUMIFS(Налоги!AN$25:AN$83,Налоги!$F$25:$F$83,$F98,Налоги!$AB$25:$AB$83,$G98)</f>
        <v>0</v>
      </c>
      <c r="AP98" s="171">
        <f ca="1">SUMIFS(Налоги!AO$25:AO$83,Налоги!$F$25:$F$83,$F98,Налоги!$AB$25:$AB$83,$G98)</f>
        <v>0</v>
      </c>
      <c r="AQ98" s="171">
        <f ca="1">SUMIFS(Налоги!AP$25:AP$83,Налоги!$F$25:$F$83,$F98,Налоги!$AB$25:$AB$83,$G98)</f>
        <v>0</v>
      </c>
      <c r="AR98" s="171">
        <f ca="1">SUMIFS(Налоги!AQ$25:AQ$83,Налоги!$F$25:$F$83,$F98,Налоги!$AB$25:$AB$83,$G98)</f>
        <v>0</v>
      </c>
      <c r="AS98" s="171">
        <f ca="1">SUMIFS(Налоги!AR$25:AR$83,Налоги!$F$25:$F$83,$F98,Налоги!$AB$25:$AB$83,$G98)</f>
        <v>0</v>
      </c>
      <c r="AT98" s="171">
        <f ca="1">SUMIFS(Налоги!AS$25:AS$83,Налоги!$F$25:$F$83,$F98,Налоги!$AB$25:$AB$83,$G98)</f>
        <v>0</v>
      </c>
      <c r="AU98" s="171">
        <f ca="1">SUMIFS(Налоги!AT$25:AT$83,Налоги!$F$25:$F$83,$F98,Налоги!$AB$25:$AB$83,$G98)</f>
        <v>0</v>
      </c>
      <c r="AV98" s="171">
        <f ca="1">SUMIFS(Налоги!AU$25:AU$83,Налоги!$F$25:$F$83,$F98,Налоги!$AB$25:$AB$83,$G98)</f>
        <v>0</v>
      </c>
      <c r="AW98" s="171">
        <f ca="1">SUMIFS(Налоги!AV$25:AV$83,Налоги!$F$25:$F$83,$F98,Налоги!$AB$25:$AB$83,$G98)</f>
        <v>0</v>
      </c>
      <c r="AX98" s="171">
        <f ca="1">SUMIFS(Налоги!AW$25:AW$83,Налоги!$F$25:$F$83,$F98,Налоги!$AB$25:$AB$83,$G98)</f>
        <v>0</v>
      </c>
      <c r="AY98" s="171">
        <f ca="1">SUMIFS(Налоги!AX$25:AX$83,Налоги!$F$25:$F$83,$F98,Налоги!$AB$25:$AB$83,$G98)</f>
        <v>0</v>
      </c>
      <c r="AZ98" s="171">
        <f ca="1">SUMIFS(Налоги!AY$25:AY$83,Налоги!$F$25:$F$83,$F98,Налоги!$AB$25:$AB$83,$G98)</f>
        <v>0</v>
      </c>
      <c r="BA98" s="171">
        <f ca="1">SUMIFS(Налоги!AZ$25:AZ$83,Налоги!$F$25:$F$83,$F98,Налоги!$AB$25:$AB$83,$G98)</f>
        <v>0</v>
      </c>
      <c r="BB98" s="171">
        <f ca="1">SUMIFS(Налоги!BA$25:BA$83,Налоги!$F$25:$F$83,$F98,Налоги!$AB$25:$AB$83,$G98)</f>
        <v>0</v>
      </c>
      <c r="BC98" s="171">
        <f ca="1">SUMIFS(Налоги!BB$25:BB$83,Налоги!$F$25:$F$83,$F98,Налоги!$AB$25:$AB$83,$G98)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5"/>
      <c r="BO98" s="779" t="str">
        <f ca="1">IF(IFERROR(INDEX(Налоги!$K$26:$L$83,MATCH($F98&amp;"1komm",Налоги!$K$26:$K$83,0),2),"")=0,"",IFERROR(INDEX(Налоги!$K$26:$L$83,MATCH($F98&amp;"1komm",Налоги!$K$26:$K$83,0),2),""))</f>
        <v/>
      </c>
      <c r="BP98" s="775"/>
      <c r="BS98" s="696" t="s">
        <v>2102</v>
      </c>
    </row>
    <row r="99" spans="2:75" ht="14.65" hidden="1" customHeight="1" x14ac:dyDescent="0.15">
      <c r="B99" s="15"/>
      <c r="C99" s="25"/>
      <c r="D99" s="25"/>
      <c r="E99" s="451">
        <v>15</v>
      </c>
      <c r="F99" s="3" cm="1">
        <f t="array" aca="1" ref="F99" ca="1">OFFSET(E99,-1,1)</f>
        <v>0</v>
      </c>
      <c r="G99" s="611">
        <v>3</v>
      </c>
      <c r="H99" s="25"/>
      <c r="I99" s="25" t="s">
        <v>2103</v>
      </c>
      <c r="J99" s="25"/>
      <c r="K99" s="25" t="s">
        <v>2103</v>
      </c>
      <c r="L99" s="25"/>
      <c r="M99" s="25"/>
      <c r="N99" s="25"/>
      <c r="O99" s="25"/>
      <c r="P99" s="25"/>
      <c r="Q99" s="25"/>
      <c r="R99" s="25"/>
      <c r="S99" s="25"/>
      <c r="T99" s="353" t="b" cm="1">
        <f t="array" aca="1" ref="T99" ca="1">T98</f>
        <v>0</v>
      </c>
      <c r="U99" s="25"/>
      <c r="V99" s="25"/>
      <c r="X99" s="990"/>
      <c r="Z99" s="967"/>
      <c r="AB99" s="133" t="s">
        <v>2104</v>
      </c>
      <c r="AC99" s="134" t="s">
        <v>2105</v>
      </c>
      <c r="AD99" s="7" t="s">
        <v>828</v>
      </c>
      <c r="AE99" s="778">
        <f ca="1">SUMIFS(Налоги!AE$25:AE$83,Налоги!$F$25:$F$83,$F99,Налоги!$AB$25:$AB$83,$G99)</f>
        <v>0</v>
      </c>
      <c r="AF99" s="778">
        <f ca="1">SUMIFS(Налоги!AF$25:AF$83,Налоги!$F$25:$F$83,$F99,Налоги!$AB$25:$AB$83,$G99)</f>
        <v>0</v>
      </c>
      <c r="AG99" s="778">
        <f ca="1">SUMIFS(Налоги!AG$25:AG$83,Налоги!$F$25:$F$83,$F99,Налоги!$AB$25:$AB$83,$G99)</f>
        <v>0</v>
      </c>
      <c r="AH99" s="171">
        <f t="shared" ca="1" si="7"/>
        <v>0</v>
      </c>
      <c r="AI99" s="778">
        <f ca="1">SUMIFS(Налоги!AH$25:AH$83,Налоги!$F$25:$F$83,$F99,Налоги!$AB$25:$AB$83,$G99)</f>
        <v>0</v>
      </c>
      <c r="AJ99" s="128">
        <f ca="1">SUMIFS(Налоги!AI$25:AI$83,Налоги!$F$25:$F$83,$F99,Налоги!$AB$25:$AB$83,$G99)</f>
        <v>0</v>
      </c>
      <c r="AK99" s="778">
        <f ca="1">SUMIFS(Налоги!AJ$25:AJ$83,Налоги!$F$25:$F$83,$F99,Налоги!$AB$25:$AB$83,$G99)</f>
        <v>0</v>
      </c>
      <c r="AL99" s="778">
        <f ca="1">SUMIFS(Налоги!AK$25:AK$83,Налоги!$F$25:$F$83,$F99,Налоги!$AB$25:$AB$83,$G99)</f>
        <v>0</v>
      </c>
      <c r="AM99" s="778">
        <f ca="1">SUMIFS(Налоги!AL$25:AL$83,Налоги!$F$25:$F$83,$F99,Налоги!$AB$25:$AB$83,$G99)</f>
        <v>0</v>
      </c>
      <c r="AN99" s="778">
        <f ca="1">SUMIFS(Налоги!AM$25:AM$83,Налоги!$F$25:$F$83,$F99,Налоги!$AB$25:$AB$83,$G99)</f>
        <v>0</v>
      </c>
      <c r="AO99" s="778">
        <f ca="1">SUMIFS(Налоги!AN$25:AN$83,Налоги!$F$25:$F$83,$F99,Налоги!$AB$25:$AB$83,$G99)</f>
        <v>0</v>
      </c>
      <c r="AP99" s="778">
        <f ca="1">SUMIFS(Налоги!AO$25:AO$83,Налоги!$F$25:$F$83,$F99,Налоги!$AB$25:$AB$83,$G99)</f>
        <v>0</v>
      </c>
      <c r="AQ99" s="778">
        <f ca="1">SUMIFS(Налоги!AP$25:AP$83,Налоги!$F$25:$F$83,$F99,Налоги!$AB$25:$AB$83,$G99)</f>
        <v>0</v>
      </c>
      <c r="AR99" s="778">
        <f ca="1">SUMIFS(Налоги!AQ$25:AQ$83,Налоги!$F$25:$F$83,$F99,Налоги!$AB$25:$AB$83,$G99)</f>
        <v>0</v>
      </c>
      <c r="AS99" s="778">
        <f ca="1">SUMIFS(Налоги!AR$25:AR$83,Налоги!$F$25:$F$83,$F99,Налоги!$AB$25:$AB$83,$G99)</f>
        <v>0</v>
      </c>
      <c r="AT99" s="128">
        <f ca="1">SUMIFS(Налоги!AS$25:AS$83,Налоги!$F$25:$F$83,$F99,Налоги!$AB$25:$AB$83,$G99)</f>
        <v>0</v>
      </c>
      <c r="AU99" s="778">
        <f ca="1">SUMIFS(Налоги!AT$25:AT$83,Налоги!$F$25:$F$83,$F99,Налоги!$AB$25:$AB$83,$G99)</f>
        <v>0</v>
      </c>
      <c r="AV99" s="778">
        <f ca="1">SUMIFS(Налоги!AU$25:AU$83,Налоги!$F$25:$F$83,$F99,Налоги!$AB$25:$AB$83,$G99)</f>
        <v>0</v>
      </c>
      <c r="AW99" s="778">
        <f ca="1">SUMIFS(Налоги!AV$25:AV$83,Налоги!$F$25:$F$83,$F99,Налоги!$AB$25:$AB$83,$G99)</f>
        <v>0</v>
      </c>
      <c r="AX99" s="778">
        <f ca="1">SUMIFS(Налоги!AW$25:AW$83,Налоги!$F$25:$F$83,$F99,Налоги!$AB$25:$AB$83,$G99)</f>
        <v>0</v>
      </c>
      <c r="AY99" s="778">
        <f ca="1">SUMIFS(Налоги!AX$25:AX$83,Налоги!$F$25:$F$83,$F99,Налоги!$AB$25:$AB$83,$G99)</f>
        <v>0</v>
      </c>
      <c r="AZ99" s="778">
        <f ca="1">SUMIFS(Налоги!AY$25:AY$83,Налоги!$F$25:$F$83,$F99,Налоги!$AB$25:$AB$83,$G99)</f>
        <v>0</v>
      </c>
      <c r="BA99" s="778">
        <f ca="1">SUMIFS(Налоги!AZ$25:AZ$83,Налоги!$F$25:$F$83,$F99,Налоги!$AB$25:$AB$83,$G99)</f>
        <v>0</v>
      </c>
      <c r="BB99" s="778">
        <f ca="1">SUMIFS(Налоги!BA$25:BA$83,Налоги!$F$25:$F$83,$F99,Налоги!$AB$25:$AB$83,$G99)</f>
        <v>0</v>
      </c>
      <c r="BC99" s="778">
        <f ca="1">SUMIFS(Налоги!BB$25:BB$83,Налоги!$F$25:$F$83,$F99,Налоги!$AB$25:$AB$83,$G99)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5"/>
      <c r="BO99" s="779" t="str">
        <f ca="1">IF(IFERROR(INDEX(Налоги!$K$26:$L$83,MATCH($F99&amp;"5komm",Налоги!$K$26:$K$83,0),2),"")=0,"",IFERROR(INDEX(Налоги!$K$26:$L$83,MATCH($F99&amp;"5komm",Налоги!$K$26:$K$83,0),2),""))</f>
        <v/>
      </c>
      <c r="BP99" s="775"/>
      <c r="BS99" s="696" t="s">
        <v>2106</v>
      </c>
    </row>
    <row r="100" spans="2:75" ht="14.65" hidden="1" customHeight="1" x14ac:dyDescent="0.15">
      <c r="B100" s="15"/>
      <c r="C100" s="25"/>
      <c r="D100" s="25"/>
      <c r="E100" s="451">
        <v>15</v>
      </c>
      <c r="F100" s="3" cm="1">
        <f t="array" aca="1" ref="F100" ca="1">OFFSET(E100,-1,1)</f>
        <v>0</v>
      </c>
      <c r="G100" s="611">
        <v>8</v>
      </c>
      <c r="H100" s="25"/>
      <c r="I100" s="25" t="s">
        <v>2107</v>
      </c>
      <c r="J100" s="25"/>
      <c r="K100" s="25" t="s">
        <v>2107</v>
      </c>
      <c r="L100" s="25"/>
      <c r="M100" s="25"/>
      <c r="N100" s="25"/>
      <c r="O100" s="25"/>
      <c r="P100" s="25"/>
      <c r="Q100" s="25"/>
      <c r="R100" s="25"/>
      <c r="S100" s="25"/>
      <c r="T100" s="353" t="b" cm="1">
        <f t="array" aca="1" ref="T100" ca="1">T99</f>
        <v>0</v>
      </c>
      <c r="U100" s="25"/>
      <c r="V100" s="25"/>
      <c r="X100" s="990"/>
      <c r="Z100" s="967"/>
      <c r="AB100" s="133" t="s">
        <v>2108</v>
      </c>
      <c r="AC100" s="134" t="s">
        <v>2109</v>
      </c>
      <c r="AD100" s="7" t="s">
        <v>828</v>
      </c>
      <c r="AE100" s="171">
        <f ca="1">SUMIFS(Налоги!AE$25:AE$83,Налоги!$F$25:$F$83,$F100,Налоги!$AB$25:$AB$83,$G100)</f>
        <v>0</v>
      </c>
      <c r="AF100" s="171">
        <f ca="1">SUMIFS(Налоги!AF$25:AF$83,Налоги!$F$25:$F$83,$F100,Налоги!$AB$25:$AB$83,$G100)</f>
        <v>0</v>
      </c>
      <c r="AG100" s="171">
        <f ca="1">SUMIFS(Налоги!AG$25:AG$83,Налоги!$F$25:$F$83,$F100,Налоги!$AB$25:$AB$83,$G100)</f>
        <v>0</v>
      </c>
      <c r="AH100" s="171">
        <f t="shared" ca="1" si="7"/>
        <v>0</v>
      </c>
      <c r="AI100" s="171">
        <f ca="1">SUMIFS(Налоги!AH$25:AH$83,Налоги!$F$25:$F$83,$F100,Налоги!$AB$25:$AB$83,$G100)</f>
        <v>0</v>
      </c>
      <c r="AJ100" s="171">
        <f ca="1">SUMIFS(Налоги!AI$25:AI$83,Налоги!$F$25:$F$83,$F100,Налоги!$AB$25:$AB$83,$G100)</f>
        <v>0</v>
      </c>
      <c r="AK100" s="171">
        <f ca="1">SUMIFS(Налоги!AJ$25:AJ$83,Налоги!$F$25:$F$83,$F100,Налоги!$AB$25:$AB$83,$G100)</f>
        <v>0</v>
      </c>
      <c r="AL100" s="171">
        <f ca="1">SUMIFS(Налоги!AK$25:AK$83,Налоги!$F$25:$F$83,$F100,Налоги!$AB$25:$AB$83,$G100)</f>
        <v>0</v>
      </c>
      <c r="AM100" s="171">
        <f ca="1">SUMIFS(Налоги!AL$25:AL$83,Налоги!$F$25:$F$83,$F100,Налоги!$AB$25:$AB$83,$G100)</f>
        <v>0</v>
      </c>
      <c r="AN100" s="171">
        <f ca="1">SUMIFS(Налоги!AM$25:AM$83,Налоги!$F$25:$F$83,$F100,Налоги!$AB$25:$AB$83,$G100)</f>
        <v>0</v>
      </c>
      <c r="AO100" s="171">
        <f ca="1">SUMIFS(Налоги!AN$25:AN$83,Налоги!$F$25:$F$83,$F100,Налоги!$AB$25:$AB$83,$G100)</f>
        <v>0</v>
      </c>
      <c r="AP100" s="171">
        <f ca="1">SUMIFS(Налоги!AO$25:AO$83,Налоги!$F$25:$F$83,$F100,Налоги!$AB$25:$AB$83,$G100)</f>
        <v>0</v>
      </c>
      <c r="AQ100" s="171">
        <f ca="1">SUMIFS(Налоги!AP$25:AP$83,Налоги!$F$25:$F$83,$F100,Налоги!$AB$25:$AB$83,$G100)</f>
        <v>0</v>
      </c>
      <c r="AR100" s="171">
        <f ca="1">SUMIFS(Налоги!AQ$25:AQ$83,Налоги!$F$25:$F$83,$F100,Налоги!$AB$25:$AB$83,$G100)</f>
        <v>0</v>
      </c>
      <c r="AS100" s="171">
        <f ca="1">SUMIFS(Налоги!AR$25:AR$83,Налоги!$F$25:$F$83,$F100,Налоги!$AB$25:$AB$83,$G100)</f>
        <v>0</v>
      </c>
      <c r="AT100" s="171">
        <f ca="1">SUMIFS(Налоги!AS$25:AS$83,Налоги!$F$25:$F$83,$F100,Налоги!$AB$25:$AB$83,$G100)</f>
        <v>0</v>
      </c>
      <c r="AU100" s="171">
        <f ca="1">SUMIFS(Налоги!AT$25:AT$83,Налоги!$F$25:$F$83,$F100,Налоги!$AB$25:$AB$83,$G100)</f>
        <v>0</v>
      </c>
      <c r="AV100" s="171">
        <f ca="1">SUMIFS(Налоги!AU$25:AU$83,Налоги!$F$25:$F$83,$F100,Налоги!$AB$25:$AB$83,$G100)</f>
        <v>0</v>
      </c>
      <c r="AW100" s="171">
        <f ca="1">SUMIFS(Налоги!AV$25:AV$83,Налоги!$F$25:$F$83,$F100,Налоги!$AB$25:$AB$83,$G100)</f>
        <v>0</v>
      </c>
      <c r="AX100" s="171">
        <f ca="1">SUMIFS(Налоги!AW$25:AW$83,Налоги!$F$25:$F$83,$F100,Налоги!$AB$25:$AB$83,$G100)</f>
        <v>0</v>
      </c>
      <c r="AY100" s="171">
        <f ca="1">SUMIFS(Налоги!AX$25:AX$83,Налоги!$F$25:$F$83,$F100,Налоги!$AB$25:$AB$83,$G100)</f>
        <v>0</v>
      </c>
      <c r="AZ100" s="171">
        <f ca="1">SUMIFS(Налоги!AY$25:AY$83,Налоги!$F$25:$F$83,$F100,Налоги!$AB$25:$AB$83,$G100)</f>
        <v>0</v>
      </c>
      <c r="BA100" s="171">
        <f ca="1">SUMIFS(Налоги!AZ$25:AZ$83,Налоги!$F$25:$F$83,$F100,Налоги!$AB$25:$AB$83,$G100)</f>
        <v>0</v>
      </c>
      <c r="BB100" s="171">
        <f ca="1">SUMIFS(Налоги!BA$25:BA$83,Налоги!$F$25:$F$83,$F100,Налоги!$AB$25:$AB$83,$G100)</f>
        <v>0</v>
      </c>
      <c r="BC100" s="171">
        <f ca="1">SUMIFS(Налоги!BB$25:BB$83,Налоги!$F$25:$F$83,$F100,Налоги!$AB$25:$AB$83,$G100)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5"/>
      <c r="BO100" s="779" t="str">
        <f ca="1">IF(IFERROR(INDEX(Налоги!$K$26:$L$83,MATCH($F100&amp;"8komm",Налоги!$K$26:$K$83,0),2),"")=0,"",IFERROR(INDEX(Налоги!$K$26:$L$83,MATCH($F100&amp;"8komm",Налоги!$K$26:$K$83,0),2),""))</f>
        <v/>
      </c>
      <c r="BP100" s="775"/>
      <c r="BS100" s="696" t="s">
        <v>1293</v>
      </c>
    </row>
    <row r="101" spans="2:75" s="376" customFormat="1" ht="14.65" hidden="1" customHeight="1" x14ac:dyDescent="0.15">
      <c r="B101" s="15"/>
      <c r="C101" s="25"/>
      <c r="D101" s="25"/>
      <c r="E101" s="451">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X101" s="990"/>
      <c r="Z101" s="967"/>
      <c r="AB101" s="133" t="s">
        <v>2110</v>
      </c>
      <c r="AC101" s="549" t="s">
        <v>2111</v>
      </c>
      <c r="AD101" s="7" t="s">
        <v>828</v>
      </c>
      <c r="AE101" s="171">
        <f ca="1">SUMIFS(Налоги!AE$25:AE$83,Налоги!$F$25:$F$83,$F101,Налоги!$AB$25:$AB$83,$G101)</f>
        <v>0</v>
      </c>
      <c r="AF101" s="171">
        <f ca="1">SUMIFS(Налоги!AF$25:AF$83,Налоги!$F$25:$F$83,$F101,Налоги!$AB$25:$AB$83,$G101)</f>
        <v>0</v>
      </c>
      <c r="AG101" s="171">
        <f ca="1">SUMIFS(Налоги!AG$25:AG$83,Налоги!$F$25:$F$83,$F101,Налоги!$AB$25:$AB$83,$G101)</f>
        <v>0</v>
      </c>
      <c r="AH101" s="171">
        <f t="shared" ca="1" si="7"/>
        <v>0</v>
      </c>
      <c r="AI101" s="171">
        <f ca="1">SUMIFS(Налоги!AH$25:AH$83,Налоги!$F$25:$F$83,$F101,Налоги!$AB$25:$AB$83,$G101)</f>
        <v>0</v>
      </c>
      <c r="AJ101" s="171">
        <f ca="1">SUMIFS(Налоги!AI$25:AI$83,Налоги!$F$25:$F$83,$F101,Налоги!$AB$25:$AB$83,$G101)</f>
        <v>0</v>
      </c>
      <c r="AK101" s="171">
        <f ca="1">SUMIFS(Налоги!AJ$25:AJ$83,Налоги!$F$25:$F$83,$F101,Налоги!$AB$25:$AB$83,$G101)</f>
        <v>0</v>
      </c>
      <c r="AL101" s="171">
        <f ca="1">SUMIFS(Налоги!AK$25:AK$83,Налоги!$F$25:$F$83,$F101,Налоги!$AB$25:$AB$83,$G101)</f>
        <v>0</v>
      </c>
      <c r="AM101" s="171">
        <f ca="1">SUMIFS(Налоги!AL$25:AL$83,Налоги!$F$25:$F$83,$F101,Налоги!$AB$25:$AB$83,$G101)</f>
        <v>0</v>
      </c>
      <c r="AN101" s="171">
        <f ca="1">SUMIFS(Налоги!AM$25:AM$83,Налоги!$F$25:$F$83,$F101,Налоги!$AB$25:$AB$83,$G101)</f>
        <v>0</v>
      </c>
      <c r="AO101" s="171">
        <f ca="1">SUMIFS(Налоги!AN$25:AN$83,Налоги!$F$25:$F$83,$F101,Налоги!$AB$25:$AB$83,$G101)</f>
        <v>0</v>
      </c>
      <c r="AP101" s="171">
        <f ca="1">SUMIFS(Налоги!AO$25:AO$83,Налоги!$F$25:$F$83,$F101,Налоги!$AB$25:$AB$83,$G101)</f>
        <v>0</v>
      </c>
      <c r="AQ101" s="171">
        <f ca="1">SUMIFS(Налоги!AP$25:AP$83,Налоги!$F$25:$F$83,$F101,Налоги!$AB$25:$AB$83,$G101)</f>
        <v>0</v>
      </c>
      <c r="AR101" s="171">
        <f ca="1">SUMIFS(Налоги!AQ$25:AQ$83,Налоги!$F$25:$F$83,$F101,Налоги!$AB$25:$AB$83,$G101)</f>
        <v>0</v>
      </c>
      <c r="AS101" s="171">
        <f ca="1">SUMIFS(Налоги!AR$25:AR$83,Налоги!$F$25:$F$83,$F101,Налоги!$AB$25:$AB$83,$G101)</f>
        <v>0</v>
      </c>
      <c r="AT101" s="171">
        <f ca="1">SUMIFS(Налоги!AS$25:AS$83,Налоги!$F$25:$F$83,$F101,Налоги!$AB$25:$AB$83,$G101)</f>
        <v>0</v>
      </c>
      <c r="AU101" s="171">
        <f ca="1">SUMIFS(Налоги!AT$25:AT$83,Налоги!$F$25:$F$83,$F101,Налоги!$AB$25:$AB$83,$G101)</f>
        <v>0</v>
      </c>
      <c r="AV101" s="171">
        <f ca="1">SUMIFS(Налоги!AU$25:AU$83,Налоги!$F$25:$F$83,$F101,Налоги!$AB$25:$AB$83,$G101)</f>
        <v>0</v>
      </c>
      <c r="AW101" s="171">
        <f ca="1">SUMIFS(Налоги!AV$25:AV$83,Налоги!$F$25:$F$83,$F101,Налоги!$AB$25:$AB$83,$G101)</f>
        <v>0</v>
      </c>
      <c r="AX101" s="171">
        <f ca="1">SUMIFS(Налоги!AW$25:AW$83,Налоги!$F$25:$F$83,$F101,Налоги!$AB$25:$AB$83,$G101)</f>
        <v>0</v>
      </c>
      <c r="AY101" s="171">
        <f ca="1">SUMIFS(Налоги!AX$25:AX$83,Налоги!$F$25:$F$83,$F101,Налоги!$AB$25:$AB$83,$G101)</f>
        <v>0</v>
      </c>
      <c r="AZ101" s="171">
        <f ca="1">SUMIFS(Налоги!AY$25:AY$83,Налоги!$F$25:$F$83,$F101,Налоги!$AB$25:$AB$83,$G101)</f>
        <v>0</v>
      </c>
      <c r="BA101" s="171">
        <f ca="1">SUMIFS(Налоги!AZ$25:AZ$83,Налоги!$F$25:$F$83,$F101,Налоги!$AB$25:$AB$83,$G101)</f>
        <v>0</v>
      </c>
      <c r="BB101" s="171">
        <f ca="1">SUMIFS(Налоги!BA$25:BA$83,Налоги!$F$25:$F$83,$F101,Налоги!$AB$25:$AB$83,$G101)</f>
        <v>0</v>
      </c>
      <c r="BC101" s="171">
        <f ca="1">SUMIFS(Налоги!BB$25:BB$83,Налоги!$F$25:$F$83,$F101,Налоги!$AB$25:$AB$83,$G101)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5"/>
      <c r="BO101" s="779" t="str">
        <f ca="1">IF(IFERROR(INDEX(Налоги!$K$26:$L$83,MATCH($F101&amp;"9komm",Налоги!$K$26:$K$83,0),2),"")=0,"",IFERROR(INDEX(Налоги!$K$26:$L$83,MATCH($F101&amp;"9komm",Налоги!$K$26:$K$83,0),2),""))</f>
        <v/>
      </c>
      <c r="BP101" s="775"/>
      <c r="BS101" s="703" t="s">
        <v>2112</v>
      </c>
      <c r="BT101" s="703"/>
      <c r="BU101" s="703"/>
      <c r="BV101" s="704"/>
      <c r="BW101" s="704"/>
    </row>
    <row r="102" spans="2:75" ht="14.65" hidden="1" customHeight="1" x14ac:dyDescent="0.15">
      <c r="B102" s="15"/>
      <c r="C102" s="25"/>
      <c r="D102" s="25"/>
      <c r="E102" s="451">
        <v>15</v>
      </c>
      <c r="F102" s="3" cm="1">
        <f t="array" aca="1" ref="F102" ca="1">OFFSET(E102,-1,1)</f>
        <v>0</v>
      </c>
      <c r="G102" s="611">
        <v>10</v>
      </c>
      <c r="H102" s="25"/>
      <c r="I102" s="25" t="s">
        <v>2113</v>
      </c>
      <c r="J102" s="25"/>
      <c r="K102" s="25" t="s">
        <v>2113</v>
      </c>
      <c r="L102" s="25"/>
      <c r="M102" s="25"/>
      <c r="N102" s="25"/>
      <c r="O102" s="25"/>
      <c r="P102" s="25"/>
      <c r="Q102" s="25"/>
      <c r="R102" s="25"/>
      <c r="S102" s="25"/>
      <c r="T102" s="353" t="b" cm="1">
        <f t="array" aca="1" ref="T102" ca="1">T101</f>
        <v>0</v>
      </c>
      <c r="U102" s="25"/>
      <c r="V102" s="25"/>
      <c r="X102" s="990"/>
      <c r="Z102" s="967"/>
      <c r="AB102" s="133" t="s">
        <v>2114</v>
      </c>
      <c r="AC102" s="549" t="s">
        <v>2115</v>
      </c>
      <c r="AD102" s="7" t="s">
        <v>828</v>
      </c>
      <c r="AE102" s="171">
        <f ca="1">SUMIFS(Налоги!AE$25:AE$83,Налоги!$F$25:$F$83,$F102,Налоги!$AB$25:$AB$83,$G102)</f>
        <v>0</v>
      </c>
      <c r="AF102" s="171">
        <f ca="1">SUMIFS(Налоги!AF$25:AF$83,Налоги!$F$25:$F$83,$F102,Налоги!$AB$25:$AB$83,$G102)</f>
        <v>0</v>
      </c>
      <c r="AG102" s="171">
        <f ca="1">SUMIFS(Налоги!AG$25:AG$83,Налоги!$F$25:$F$83,$F102,Налоги!$AB$25:$AB$83,$G102)</f>
        <v>0</v>
      </c>
      <c r="AH102" s="171">
        <f t="shared" ca="1" si="7"/>
        <v>0</v>
      </c>
      <c r="AI102" s="171">
        <f ca="1">SUMIFS(Налоги!AH$25:AH$83,Налоги!$F$25:$F$83,$F102,Налоги!$AB$25:$AB$83,$G102)</f>
        <v>0</v>
      </c>
      <c r="AJ102" s="171">
        <f ca="1">SUMIFS(Налоги!AI$25:AI$83,Налоги!$F$25:$F$83,$F102,Налоги!$AB$25:$AB$83,$G102)</f>
        <v>0</v>
      </c>
      <c r="AK102" s="171">
        <f ca="1">SUMIFS(Налоги!AJ$25:AJ$83,Налоги!$F$25:$F$83,$F102,Налоги!$AB$25:$AB$83,$G102)</f>
        <v>0</v>
      </c>
      <c r="AL102" s="171">
        <f ca="1">SUMIFS(Налоги!AK$25:AK$83,Налоги!$F$25:$F$83,$F102,Налоги!$AB$25:$AB$83,$G102)</f>
        <v>0</v>
      </c>
      <c r="AM102" s="171">
        <f ca="1">SUMIFS(Налоги!AL$25:AL$83,Налоги!$F$25:$F$83,$F102,Налоги!$AB$25:$AB$83,$G102)</f>
        <v>0</v>
      </c>
      <c r="AN102" s="171">
        <f ca="1">SUMIFS(Налоги!AM$25:AM$83,Налоги!$F$25:$F$83,$F102,Налоги!$AB$25:$AB$83,$G102)</f>
        <v>0</v>
      </c>
      <c r="AO102" s="171">
        <f ca="1">SUMIFS(Налоги!AN$25:AN$83,Налоги!$F$25:$F$83,$F102,Налоги!$AB$25:$AB$83,$G102)</f>
        <v>0</v>
      </c>
      <c r="AP102" s="171">
        <f ca="1">SUMIFS(Налоги!AO$25:AO$83,Налоги!$F$25:$F$83,$F102,Налоги!$AB$25:$AB$83,$G102)</f>
        <v>0</v>
      </c>
      <c r="AQ102" s="171">
        <f ca="1">SUMIFS(Налоги!AP$25:AP$83,Налоги!$F$25:$F$83,$F102,Налоги!$AB$25:$AB$83,$G102)</f>
        <v>0</v>
      </c>
      <c r="AR102" s="171">
        <f ca="1">SUMIFS(Налоги!AQ$25:AQ$83,Налоги!$F$25:$F$83,$F102,Налоги!$AB$25:$AB$83,$G102)</f>
        <v>0</v>
      </c>
      <c r="AS102" s="171">
        <f ca="1">SUMIFS(Налоги!AR$25:AR$83,Налоги!$F$25:$F$83,$F102,Налоги!$AB$25:$AB$83,$G102)</f>
        <v>0</v>
      </c>
      <c r="AT102" s="171">
        <f ca="1">SUMIFS(Налоги!AS$25:AS$83,Налоги!$F$25:$F$83,$F102,Налоги!$AB$25:$AB$83,$G102)</f>
        <v>0</v>
      </c>
      <c r="AU102" s="171">
        <f ca="1">SUMIFS(Налоги!AT$25:AT$83,Налоги!$F$25:$F$83,$F102,Налоги!$AB$25:$AB$83,$G102)</f>
        <v>0</v>
      </c>
      <c r="AV102" s="171">
        <f ca="1">SUMIFS(Налоги!AU$25:AU$83,Налоги!$F$25:$F$83,$F102,Налоги!$AB$25:$AB$83,$G102)</f>
        <v>0</v>
      </c>
      <c r="AW102" s="171">
        <f ca="1">SUMIFS(Налоги!AV$25:AV$83,Налоги!$F$25:$F$83,$F102,Налоги!$AB$25:$AB$83,$G102)</f>
        <v>0</v>
      </c>
      <c r="AX102" s="171">
        <f ca="1">SUMIFS(Налоги!AW$25:AW$83,Налоги!$F$25:$F$83,$F102,Налоги!$AB$25:$AB$83,$G102)</f>
        <v>0</v>
      </c>
      <c r="AY102" s="171">
        <f ca="1">SUMIFS(Налоги!AX$25:AX$83,Налоги!$F$25:$F$83,$F102,Налоги!$AB$25:$AB$83,$G102)</f>
        <v>0</v>
      </c>
      <c r="AZ102" s="171">
        <f ca="1">SUMIFS(Налоги!AY$25:AY$83,Налоги!$F$25:$F$83,$F102,Налоги!$AB$25:$AB$83,$G102)</f>
        <v>0</v>
      </c>
      <c r="BA102" s="171">
        <f ca="1">SUMIFS(Налоги!AZ$25:AZ$83,Налоги!$F$25:$F$83,$F102,Налоги!$AB$25:$AB$83,$G102)</f>
        <v>0</v>
      </c>
      <c r="BB102" s="171">
        <f ca="1">SUMIFS(Налоги!BA$25:BA$83,Налоги!$F$25:$F$83,$F102,Налоги!$AB$25:$AB$83,$G102)</f>
        <v>0</v>
      </c>
      <c r="BC102" s="171">
        <f ca="1">SUMIFS(Налоги!BB$25:BB$83,Налоги!$F$25:$F$83,$F102,Налоги!$AB$25:$AB$83,$G102)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5"/>
      <c r="BO102" s="779" t="str">
        <f ca="1">IF(IFERROR(INDEX(Налоги!$K$26:$L$83,MATCH($F102&amp;"10komm",Налоги!$K$26:$K$83,0),2),"")=0,"",IFERROR(INDEX(Налоги!$K$26:$L$83,MATCH($F102&amp;"10komm",Налоги!$K$26:$K$83,0),2),""))</f>
        <v/>
      </c>
      <c r="BP102" s="775"/>
      <c r="BS102" s="696" t="s">
        <v>2116</v>
      </c>
    </row>
    <row r="103" spans="2:75" ht="65.849999999999994" hidden="1" customHeight="1" x14ac:dyDescent="0.15">
      <c r="E103" s="507">
        <v>67.5</v>
      </c>
      <c r="F103" s="3" cm="1">
        <f t="array" aca="1" ref="F103" ca="1">OFFSET(E103,-1,1)</f>
        <v>0</v>
      </c>
      <c r="G103" s="72" t="s">
        <v>1453</v>
      </c>
      <c r="I103" s="72" t="s">
        <v>961</v>
      </c>
      <c r="K103" s="72" t="s">
        <v>961</v>
      </c>
      <c r="L103" s="25"/>
      <c r="M103" s="25"/>
      <c r="T103" s="353" t="b" cm="1">
        <f t="array" aca="1" ref="T103" ca="1">T102</f>
        <v>0</v>
      </c>
      <c r="X103" s="990"/>
      <c r="Z103" s="967"/>
      <c r="AB103" s="133" t="s">
        <v>962</v>
      </c>
      <c r="AC103" s="550" t="s">
        <v>1456</v>
      </c>
      <c r="AD103" s="7" t="s">
        <v>828</v>
      </c>
      <c r="AE103" s="781"/>
      <c r="AF103" s="781"/>
      <c r="AG103" s="781"/>
      <c r="AH103" s="171">
        <f t="shared" si="7"/>
        <v>0</v>
      </c>
      <c r="AI103" s="781"/>
      <c r="AJ103" s="141"/>
      <c r="AK103" s="781"/>
      <c r="AL103" s="781"/>
      <c r="AM103" s="781"/>
      <c r="AN103" s="781"/>
      <c r="AO103" s="781"/>
      <c r="AP103" s="781"/>
      <c r="AQ103" s="781"/>
      <c r="AR103" s="781"/>
      <c r="AS103" s="781"/>
      <c r="AT103" s="141"/>
      <c r="AU103" s="781"/>
      <c r="AV103" s="781"/>
      <c r="AW103" s="781"/>
      <c r="AX103" s="781"/>
      <c r="AY103" s="781"/>
      <c r="AZ103" s="781"/>
      <c r="BA103" s="781"/>
      <c r="BB103" s="781"/>
      <c r="BC103" s="781"/>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5"/>
      <c r="BO103" s="775"/>
      <c r="BP103" s="775"/>
      <c r="BS103" s="696" t="s">
        <v>2117</v>
      </c>
    </row>
    <row r="104" spans="2:75" ht="14.65" hidden="1" customHeight="1" x14ac:dyDescent="0.15">
      <c r="E104" s="507">
        <v>15</v>
      </c>
      <c r="F104" s="3" cm="1">
        <f t="array" aca="1" ref="F104" ca="1">OFFSET(E104,-1,1)</f>
        <v>0</v>
      </c>
      <c r="G104" s="72" t="s">
        <v>1065</v>
      </c>
      <c r="I104" s="72" t="s">
        <v>964</v>
      </c>
      <c r="K104" s="72" t="s">
        <v>964</v>
      </c>
      <c r="L104" s="25" t="s">
        <v>532</v>
      </c>
      <c r="M104" s="25"/>
      <c r="T104" s="353" t="b" cm="1">
        <f t="array" aca="1" ref="T104" ca="1">T103</f>
        <v>0</v>
      </c>
      <c r="X104" s="990"/>
      <c r="Z104" s="967"/>
      <c r="AB104" s="133" t="s">
        <v>965</v>
      </c>
      <c r="AC104" s="127" t="s">
        <v>1065</v>
      </c>
      <c r="AD104" s="7" t="s">
        <v>828</v>
      </c>
      <c r="AE104" s="171">
        <f ca="1">SUMIFS(Аренда!AE$25:AE$67,Аренда!$F$25:$F$67,$F104,Аренда!$G$25:$G$67,"Арендная и концессионная плата, лизинговые платежи")</f>
        <v>0</v>
      </c>
      <c r="AF104" s="171">
        <f ca="1">SUMIFS(Аренда!AF$25:AF$67,Аренда!$F$25:$F$67,$F104,Аренда!$G$25:$G$67,"Арендная и концессионная плата, лизинговые платежи")</f>
        <v>0</v>
      </c>
      <c r="AG104" s="171">
        <f ca="1">SUMIFS(Аренда!AG$25:AG$67,Аренда!$F$25:$F$67,$F104,Аренда!$G$25:$G$67,"Арендная и концессионная плата, лизинговые платежи")</f>
        <v>0</v>
      </c>
      <c r="AH104" s="171">
        <f t="shared" ca="1" si="7"/>
        <v>0</v>
      </c>
      <c r="AI104" s="171">
        <f ca="1">SUMIFS(Аренда!AH$25:AH$67,Аренда!$F$25:$F$67,$F104,Аренда!$G$25:$G$67,"Арендная и концессионная плата, лизинговые платежи")</f>
        <v>0</v>
      </c>
      <c r="AJ104" s="171">
        <f ca="1">SUMIFS(Аренда!AI$25:AI$67,Аренда!$F$25:$F$67,$F104,Аренда!$G$25:$G$67,"Арендная и концессионная плата, лизинговые платежи")</f>
        <v>0</v>
      </c>
      <c r="AK104" s="171">
        <f ca="1">SUMIFS(Аренда!AJ$25:AJ$67,Аренда!$F$25:$F$67,$F104,Аренда!$G$25:$G$67,"Арендная и концессионная плата, лизинговые платежи")</f>
        <v>0</v>
      </c>
      <c r="AL104" s="171">
        <f ca="1">SUMIFS(Аренда!AK$25:AK$67,Аренда!$F$25:$F$67,$F104,Аренда!$G$25:$G$67,"Арендная и концессионная плата, лизинговые платежи")</f>
        <v>0</v>
      </c>
      <c r="AM104" s="171">
        <f ca="1">SUMIFS(Аренда!AL$25:AL$67,Аренда!$F$25:$F$67,$F104,Аренда!$G$25:$G$67,"Арендная и концессионная плата, лизинговые платежи")</f>
        <v>0</v>
      </c>
      <c r="AN104" s="171">
        <f ca="1">SUMIFS(Аренда!AM$25:AM$67,Аренда!$F$25:$F$67,$F104,Аренда!$G$25:$G$67,"Арендная и концессионная плата, лизинговые платежи")</f>
        <v>0</v>
      </c>
      <c r="AO104" s="171">
        <f ca="1">SUMIFS(Аренда!AN$25:AN$67,Аренда!$F$25:$F$67,$F104,Аренда!$G$25:$G$67,"Арендная и концессионная плата, лизинговые платежи")</f>
        <v>0</v>
      </c>
      <c r="AP104" s="171">
        <f ca="1">SUMIFS(Аренда!AO$25:AO$67,Аренда!$F$25:$F$67,$F104,Аренда!$G$25:$G$67,"Арендная и концессионная плата, лизинговые платежи")</f>
        <v>0</v>
      </c>
      <c r="AQ104" s="171">
        <f ca="1">SUMIFS(Аренда!AP$25:AP$67,Аренда!$F$25:$F$67,$F104,Аренда!$G$25:$G$67,"Арендная и концессионная плата, лизинговые платежи")</f>
        <v>0</v>
      </c>
      <c r="AR104" s="171">
        <f ca="1">SUMIFS(Аренда!AQ$25:AQ$67,Аренда!$F$25:$F$67,$F104,Аренда!$G$25:$G$67,"Арендная и концессионная плата, лизинговые платежи")</f>
        <v>0</v>
      </c>
      <c r="AS104" s="171">
        <f ca="1">SUMIFS(Аренда!AR$25:AR$67,Аренда!$F$25:$F$67,$F104,Аренда!$G$25:$G$67,"Арендная и концессионная плата, лизинговые платежи")</f>
        <v>0</v>
      </c>
      <c r="AT104" s="171">
        <f ca="1">SUMIFS(Аренда!AS$25:AS$67,Аренда!$F$25:$F$67,$F104,Аренда!$G$25:$G$67,"Арендная и концессионная плата, лизинговые платежи")</f>
        <v>0</v>
      </c>
      <c r="AU104" s="171">
        <f ca="1">SUMIFS(Аренда!AT$25:AT$67,Аренда!$F$25:$F$67,$F104,Аренда!$G$25:$G$67,"Арендная и концессионная плата, лизинговые платежи")</f>
        <v>0</v>
      </c>
      <c r="AV104" s="171">
        <f ca="1">SUMIFS(Аренда!AU$25:AU$67,Аренда!$F$25:$F$67,$F104,Аренда!$G$25:$G$67,"Арендная и концессионная плата, лизинговые платежи")</f>
        <v>0</v>
      </c>
      <c r="AW104" s="171">
        <f ca="1">SUMIFS(Аренда!AV$25:AV$67,Аренда!$F$25:$F$67,$F104,Аренда!$G$25:$G$67,"Арендная и концессионная плата, лизинговые платежи")</f>
        <v>0</v>
      </c>
      <c r="AX104" s="171">
        <f ca="1">SUMIFS(Аренда!AW$25:AW$67,Аренда!$F$25:$F$67,$F104,Аренда!$G$25:$G$67,"Арендная и концессионная плата, лизинговые платежи")</f>
        <v>0</v>
      </c>
      <c r="AY104" s="171">
        <f ca="1">SUMIFS(Аренда!AX$25:AX$67,Аренда!$F$25:$F$67,$F104,Аренда!$G$25:$G$67,"Арендная и концессионная плата, лизинговые платежи")</f>
        <v>0</v>
      </c>
      <c r="AZ104" s="171">
        <f ca="1">SUMIFS(Аренда!AY$25:AY$67,Аренда!$F$25:$F$67,$F104,Аренда!$G$25:$G$67,"Арендная и концессионная плата, лизинговые платежи")</f>
        <v>0</v>
      </c>
      <c r="BA104" s="171">
        <f ca="1">SUMIFS(Аренда!AZ$25:AZ$67,Аренда!$F$25:$F$67,$F104,Аренда!$G$25:$G$67,"Арендная и концессионная плата, лизинговые платежи")</f>
        <v>0</v>
      </c>
      <c r="BB104" s="171">
        <f ca="1">SUMIFS(Аренда!BA$25:BA$67,Аренда!$F$25:$F$67,$F104,Аренда!$G$25:$G$67,"Арендная и концессионная плата, лизинговые платежи")</f>
        <v>0</v>
      </c>
      <c r="BC104" s="171">
        <f ca="1">SUMIFS(Аренда!BB$25:BB$67,Аренда!$F$25:$F$67,$F104,Аренда!$G$25:$G$67,"Арендная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5"/>
      <c r="BO104" s="779" t="str">
        <f ca="1">IF(IFERROR(INDEX(Аренда!$K$26:$L$67,MATCH($F104&amp;"komm",Аренда!$K$26:$K$67,0),2),"")=0,"",IFERROR(INDEX(Аренда!$K$26:$L$67,MATCH($F104&amp;"komm",Аренда!$K$26:$K$67,0),2),""))</f>
        <v/>
      </c>
      <c r="BP104" s="775"/>
      <c r="BS104" s="696" t="s">
        <v>2118</v>
      </c>
    </row>
    <row r="105" spans="2:75" ht="14.65" hidden="1" customHeight="1" x14ac:dyDescent="0.15">
      <c r="B105" s="329" t="b">
        <f>STATUS_GO="да"</f>
        <v>0</v>
      </c>
      <c r="E105" s="507">
        <v>15</v>
      </c>
      <c r="F105" s="3" cm="1">
        <f t="array" aca="1" ref="F105" ca="1">OFFSET(E105,-1,1)</f>
        <v>0</v>
      </c>
      <c r="I105" s="72" t="s">
        <v>2119</v>
      </c>
      <c r="K105" s="72" t="s">
        <v>2119</v>
      </c>
      <c r="L105" s="25"/>
      <c r="M105" s="25"/>
      <c r="T105" s="353" t="b" cm="1">
        <f t="array" aca="1" ref="T105" ca="1">T104</f>
        <v>0</v>
      </c>
      <c r="X105" s="990"/>
      <c r="Z105" s="967"/>
      <c r="AB105" s="133" t="s">
        <v>1520</v>
      </c>
      <c r="AC105" s="127" t="s">
        <v>2120</v>
      </c>
      <c r="AD105" s="7" t="s">
        <v>828</v>
      </c>
      <c r="AE105" s="778"/>
      <c r="AF105" s="778"/>
      <c r="AG105" s="778"/>
      <c r="AH105" s="171">
        <f t="shared" si="7"/>
        <v>0</v>
      </c>
      <c r="AI105" s="778"/>
      <c r="AJ105" s="128"/>
      <c r="AK105" s="778"/>
      <c r="AL105" s="778"/>
      <c r="AM105" s="778"/>
      <c r="AN105" s="778"/>
      <c r="AO105" s="778"/>
      <c r="AP105" s="778"/>
      <c r="AQ105" s="778"/>
      <c r="AR105" s="778"/>
      <c r="AS105" s="778"/>
      <c r="AT105" s="128"/>
      <c r="AU105" s="778"/>
      <c r="AV105" s="778"/>
      <c r="AW105" s="778"/>
      <c r="AX105" s="778"/>
      <c r="AY105" s="778"/>
      <c r="AZ105" s="778"/>
      <c r="BA105" s="778"/>
      <c r="BB105" s="778"/>
      <c r="BC105" s="778"/>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5"/>
      <c r="BO105" s="775"/>
      <c r="BP105" s="775"/>
      <c r="BS105" s="696" t="s">
        <v>2121</v>
      </c>
    </row>
    <row r="106" spans="2:75" ht="14.65" hidden="1" customHeight="1" x14ac:dyDescent="0.15">
      <c r="B106" s="329" t="b">
        <f>STATUS_GO="да"</f>
        <v>0</v>
      </c>
      <c r="E106" s="507">
        <v>15</v>
      </c>
      <c r="F106" s="3" cm="1">
        <f t="array" aca="1" ref="F106" ca="1">OFFSET(E106,-1,1)</f>
        <v>0</v>
      </c>
      <c r="G106" s="72" t="s">
        <v>1462</v>
      </c>
      <c r="I106" s="72" t="s">
        <v>2122</v>
      </c>
      <c r="K106" s="72" t="s">
        <v>2122</v>
      </c>
      <c r="L106" s="25"/>
      <c r="M106" s="25"/>
      <c r="T106" s="353" t="b" cm="1">
        <f t="array" aca="1" ref="T106" ca="1">T105</f>
        <v>0</v>
      </c>
      <c r="X106" s="990"/>
      <c r="Z106" s="967"/>
      <c r="AB106" s="133" t="s">
        <v>2123</v>
      </c>
      <c r="AC106" s="134" t="s">
        <v>1462</v>
      </c>
      <c r="AD106" s="7" t="s">
        <v>828</v>
      </c>
      <c r="AE106" s="778"/>
      <c r="AF106" s="778"/>
      <c r="AG106" s="778"/>
      <c r="AH106" s="171">
        <f t="shared" si="7"/>
        <v>0</v>
      </c>
      <c r="AI106" s="778"/>
      <c r="AJ106" s="128"/>
      <c r="AK106" s="778"/>
      <c r="AL106" s="778"/>
      <c r="AM106" s="778"/>
      <c r="AN106" s="778"/>
      <c r="AO106" s="778"/>
      <c r="AP106" s="778"/>
      <c r="AQ106" s="778"/>
      <c r="AR106" s="778"/>
      <c r="AS106" s="778"/>
      <c r="AT106" s="128"/>
      <c r="AU106" s="778"/>
      <c r="AV106" s="778"/>
      <c r="AW106" s="778"/>
      <c r="AX106" s="778"/>
      <c r="AY106" s="778"/>
      <c r="AZ106" s="778"/>
      <c r="BA106" s="778"/>
      <c r="BB106" s="778"/>
      <c r="BC106" s="778"/>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5"/>
      <c r="BO106" s="779" t="str">
        <f ca="1">IF(IFERROR(INDEX('Сбытовые расходы ГО'!$K$26:$M$75,MATCH($F106&amp;"komm",'Сбытовые расходы ГО'!$K$26:$K$75,0),2),"")=0,"",IFERROR(INDEX('Сбытовые расходы ГО'!$K$26:$M$75,MATCH($F106&amp;"komm",'Сбытовые расходы ГО'!$K$26:$K$75,0),2),""))</f>
        <v/>
      </c>
      <c r="BP106" s="775"/>
      <c r="BS106" s="696" t="s">
        <v>2124</v>
      </c>
    </row>
    <row r="107" spans="2:75" ht="14.65" hidden="1" customHeight="1" x14ac:dyDescent="0.15">
      <c r="E107" s="507">
        <v>15</v>
      </c>
      <c r="F107" s="3" cm="1">
        <f t="array" aca="1" ref="F107" ca="1">OFFSET(E107,-1,1)</f>
        <v>0</v>
      </c>
      <c r="G107" s="72" t="s">
        <v>1467</v>
      </c>
      <c r="I107" s="72" t="s">
        <v>2125</v>
      </c>
      <c r="K107" s="72" t="s">
        <v>2125</v>
      </c>
      <c r="L107" s="25"/>
      <c r="M107" s="25"/>
      <c r="T107" s="353" t="b" cm="1">
        <f t="array" aca="1" ref="T107" ca="1">T106</f>
        <v>0</v>
      </c>
      <c r="X107" s="990"/>
      <c r="Z107" s="967"/>
      <c r="AB107" s="133" t="s">
        <v>1525</v>
      </c>
      <c r="AC107" s="127" t="s">
        <v>1467</v>
      </c>
      <c r="AD107" s="7" t="s">
        <v>828</v>
      </c>
      <c r="AE107" s="778"/>
      <c r="AF107" s="778"/>
      <c r="AG107" s="778"/>
      <c r="AH107" s="171">
        <f t="shared" si="7"/>
        <v>0</v>
      </c>
      <c r="AI107" s="778"/>
      <c r="AJ107" s="128">
        <f ca="1">SUMIFS(Экономия_корр!AE$25:AE$59,Экономия_корр!$F$25:$F$59,$F107,Экономия_корр!$AC$25:$AC$59,"Экономия расходов с учетом ИПЦ")</f>
        <v>0</v>
      </c>
      <c r="AK107" s="778">
        <f ca="1">SUMIFS(Экономия_корр!AF$25:AF$59,Экономия_корр!$F$25:$F$59,$F107,Экономия_корр!$AC$25:$AC$59,"Экономия расходов с учетом ИПЦ")</f>
        <v>0</v>
      </c>
      <c r="AL107" s="778">
        <f ca="1">SUMIFS(Экономия_корр!AG$25:AG$59,Экономия_корр!$F$25:$F$59,$F107,Экономия_корр!$AC$25:$AC$59,"Экономия расходов с учетом ИПЦ")</f>
        <v>0</v>
      </c>
      <c r="AM107" s="778">
        <f ca="1">SUMIFS(Экономия_корр!AH$25:AH$59,Экономия_корр!$F$25:$F$59,$F107,Экономия_корр!$AC$25:$AC$59,"Экономия расходов с учетом ИПЦ")</f>
        <v>0</v>
      </c>
      <c r="AN107" s="778">
        <f ca="1">SUMIFS(Экономия_корр!AI$25:AI$59,Экономия_корр!$F$25:$F$59,$F107,Экономия_корр!$AC$25:$AC$59,"Экономия расходов с учетом ИПЦ")</f>
        <v>0</v>
      </c>
      <c r="AO107" s="778">
        <f ca="1">SUMIFS(Экономия_корр!AJ$25:AJ$59,Экономия_корр!$F$25:$F$59,$F107,Экономия_корр!$AC$25:$AC$59,"Экономия расходов с учетом ИПЦ")</f>
        <v>0</v>
      </c>
      <c r="AP107" s="778">
        <f ca="1">SUMIFS(Экономия_корр!AK$25:AK$59,Экономия_корр!$F$25:$F$59,$F107,Экономия_корр!$AC$25:$AC$59,"Экономия расходов с учетом ИПЦ")</f>
        <v>0</v>
      </c>
      <c r="AQ107" s="778">
        <f ca="1">SUMIFS(Экономия_корр!AL$25:AL$59,Экономия_корр!$F$25:$F$59,$F107,Экономия_корр!$AC$25:$AC$59,"Экономия расходов с учетом ИПЦ")</f>
        <v>0</v>
      </c>
      <c r="AR107" s="778">
        <f ca="1">SUMIFS(Экономия_корр!AM$25:AM$59,Экономия_корр!$F$25:$F$59,$F107,Экономия_корр!$AC$25:$AC$59,"Экономия расходов с учетом ИПЦ")</f>
        <v>0</v>
      </c>
      <c r="AS107" s="778">
        <f ca="1">SUMIFS(Экономия_корр!AN$25:AN$59,Экономия_корр!$F$25:$F$59,$F107,Экономия_корр!$AC$25:$AC$59,"Экономия расходов с учетом ИПЦ")</f>
        <v>0</v>
      </c>
      <c r="AT107" s="128">
        <f ca="1">SUMIFS(Экономия_корр!AO$25:AO$59,Экономия_корр!$F$25:$F$59,$F107,Экономия_корр!$AC$25:$AC$59,"Экономия расходов с учетом ИПЦ")</f>
        <v>0</v>
      </c>
      <c r="AU107" s="778">
        <f ca="1">SUMIFS(Экономия_корр!AP$25:AP$59,Экономия_корр!$F$25:$F$59,$F107,Экономия_корр!$AC$25:$AC$59,"Экономия расходов с учетом ИПЦ")</f>
        <v>0</v>
      </c>
      <c r="AV107" s="778">
        <f ca="1">SUMIFS(Экономия_корр!AQ$25:AQ$59,Экономия_корр!$F$25:$F$59,$F107,Экономия_корр!$AC$25:$AC$59,"Экономия расходов с учетом ИПЦ")</f>
        <v>0</v>
      </c>
      <c r="AW107" s="778">
        <f ca="1">SUMIFS(Экономия_корр!AR$25:AR$59,Экономия_корр!$F$25:$F$59,$F107,Экономия_корр!$AC$25:$AC$59,"Экономия расходов с учетом ИПЦ")</f>
        <v>0</v>
      </c>
      <c r="AX107" s="778">
        <f ca="1">SUMIFS(Экономия_корр!AS$25:AS$59,Экономия_корр!$F$25:$F$59,$F107,Экономия_корр!$AC$25:$AC$59,"Экономия расходов с учетом ИПЦ")</f>
        <v>0</v>
      </c>
      <c r="AY107" s="778">
        <f ca="1">SUMIFS(Экономия_корр!AT$25:AT$59,Экономия_корр!$F$25:$F$59,$F107,Экономия_корр!$AC$25:$AC$59,"Экономия расходов с учетом ИПЦ")</f>
        <v>0</v>
      </c>
      <c r="AZ107" s="778">
        <f ca="1">SUMIFS(Экономия_корр!AU$25:AU$59,Экономия_корр!$F$25:$F$59,$F107,Экономия_корр!$AC$25:$AC$59,"Экономия расходов с учетом ИПЦ")</f>
        <v>0</v>
      </c>
      <c r="BA107" s="778">
        <f ca="1">SUMIFS(Экономия_корр!AV$25:AV$59,Экономия_корр!$F$25:$F$59,$F107,Экономия_корр!$AC$25:$AC$59,"Экономия расходов с учетом ИПЦ")</f>
        <v>0</v>
      </c>
      <c r="BB107" s="778">
        <f ca="1">SUMIFS(Экономия_корр!AW$25:AW$59,Экономия_корр!$F$25:$F$59,$F107,Экономия_корр!$AC$25:$AC$59,"Экономия расходов с учетом ИПЦ")</f>
        <v>0</v>
      </c>
      <c r="BC107" s="778">
        <f ca="1">SUMIFS(Экономия_корр!AX$25:AX$59,Экономия_корр!$F$25:$F$59,$F107,Экономия_корр!$AC$25:$AC$59,"Экономия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5"/>
      <c r="BO107" s="775"/>
      <c r="BP107" s="775"/>
      <c r="BS107" s="696" t="s">
        <v>2126</v>
      </c>
    </row>
    <row r="108" spans="2:75" ht="14.65" hidden="1" customHeight="1" x14ac:dyDescent="0.15">
      <c r="E108" s="507">
        <v>15</v>
      </c>
      <c r="F108" s="3" cm="1">
        <f t="array" aca="1" ref="F108" ca="1">OFFSET(E108,-1,1)</f>
        <v>0</v>
      </c>
      <c r="G108" s="72" t="s">
        <v>1472</v>
      </c>
      <c r="I108" s="72" t="s">
        <v>2127</v>
      </c>
      <c r="K108" s="72" t="s">
        <v>2127</v>
      </c>
      <c r="L108" s="25"/>
      <c r="M108" s="25"/>
      <c r="T108" s="353" t="b" cm="1">
        <f t="array" aca="1" ref="T108" ca="1">T107</f>
        <v>0</v>
      </c>
      <c r="X108" s="990"/>
      <c r="Z108" s="967"/>
      <c r="AB108" s="133" t="s">
        <v>2128</v>
      </c>
      <c r="AC108" s="127" t="s">
        <v>1472</v>
      </c>
      <c r="AD108" s="7" t="s">
        <v>828</v>
      </c>
      <c r="AE108" s="778"/>
      <c r="AF108" s="778"/>
      <c r="AG108" s="778"/>
      <c r="AH108" s="171">
        <f t="shared" si="7"/>
        <v>0</v>
      </c>
      <c r="AI108" s="778"/>
      <c r="AJ108" s="128"/>
      <c r="AK108" s="778"/>
      <c r="AL108" s="778"/>
      <c r="AM108" s="778"/>
      <c r="AN108" s="778"/>
      <c r="AO108" s="778"/>
      <c r="AP108" s="778"/>
      <c r="AQ108" s="778"/>
      <c r="AR108" s="778"/>
      <c r="AS108" s="778"/>
      <c r="AT108" s="128"/>
      <c r="AU108" s="778"/>
      <c r="AV108" s="778"/>
      <c r="AW108" s="778"/>
      <c r="AX108" s="778"/>
      <c r="AY108" s="778"/>
      <c r="AZ108" s="778"/>
      <c r="BA108" s="778"/>
      <c r="BB108" s="778"/>
      <c r="BC108" s="778"/>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5"/>
      <c r="BO108" s="775"/>
      <c r="BP108" s="775"/>
      <c r="BS108" s="696" t="s">
        <v>1856</v>
      </c>
    </row>
    <row r="109" spans="2:75" ht="14.65" hidden="1" customHeight="1" x14ac:dyDescent="0.15">
      <c r="E109" s="507">
        <v>15</v>
      </c>
      <c r="F109" s="3" cm="1">
        <f t="array" aca="1" ref="F109" ca="1">OFFSET(E109,-1,1)</f>
        <v>0</v>
      </c>
      <c r="G109" s="72" t="s">
        <v>1477</v>
      </c>
      <c r="I109" s="72" t="s">
        <v>2129</v>
      </c>
      <c r="K109" s="72" t="s">
        <v>2129</v>
      </c>
      <c r="L109" s="25"/>
      <c r="M109" s="25"/>
      <c r="T109" s="353" t="b" cm="1">
        <f t="array" aca="1" ref="T109" ca="1">T108</f>
        <v>0</v>
      </c>
      <c r="X109" s="990"/>
      <c r="Z109" s="967"/>
      <c r="AB109" s="133" t="s">
        <v>1544</v>
      </c>
      <c r="AC109" s="127" t="s">
        <v>1477</v>
      </c>
      <c r="AD109" s="7" t="s">
        <v>828</v>
      </c>
      <c r="AE109" s="778"/>
      <c r="AF109" s="778"/>
      <c r="AG109" s="778"/>
      <c r="AH109" s="171">
        <f t="shared" si="7"/>
        <v>0</v>
      </c>
      <c r="AI109" s="778"/>
      <c r="AJ109" s="128"/>
      <c r="AK109" s="778"/>
      <c r="AL109" s="778"/>
      <c r="AM109" s="778"/>
      <c r="AN109" s="778"/>
      <c r="AO109" s="778"/>
      <c r="AP109" s="778"/>
      <c r="AQ109" s="778"/>
      <c r="AR109" s="778"/>
      <c r="AS109" s="778"/>
      <c r="AT109" s="128"/>
      <c r="AU109" s="778"/>
      <c r="AV109" s="778"/>
      <c r="AW109" s="778"/>
      <c r="AX109" s="778"/>
      <c r="AY109" s="778"/>
      <c r="AZ109" s="778"/>
      <c r="BA109" s="778"/>
      <c r="BB109" s="778"/>
      <c r="BC109" s="778"/>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5"/>
      <c r="BO109" s="775"/>
      <c r="BP109" s="775"/>
      <c r="BS109" s="696" t="s">
        <v>2130</v>
      </c>
    </row>
    <row r="110" spans="2:75" ht="14.65" hidden="1" customHeight="1" x14ac:dyDescent="0.15">
      <c r="E110" s="507">
        <v>15</v>
      </c>
      <c r="F110" s="3" cm="1">
        <f t="array" aca="1" ref="F110" ca="1">OFFSET(E110,-1,1)</f>
        <v>0</v>
      </c>
      <c r="G110" s="72" t="s">
        <v>1482</v>
      </c>
      <c r="I110" s="72" t="s">
        <v>2131</v>
      </c>
      <c r="K110" s="72" t="s">
        <v>2131</v>
      </c>
      <c r="L110" s="25"/>
      <c r="M110" s="25"/>
      <c r="T110" s="353" t="b" cm="1">
        <f t="array" aca="1" ref="T110" ca="1">T109</f>
        <v>0</v>
      </c>
      <c r="X110" s="990"/>
      <c r="Z110" s="967"/>
      <c r="AB110" s="133" t="s">
        <v>1548</v>
      </c>
      <c r="AC110" s="127" t="s">
        <v>1482</v>
      </c>
      <c r="AD110" s="7" t="s">
        <v>828</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5"/>
      <c r="BO110" s="775"/>
      <c r="BP110" s="775"/>
      <c r="BS110" s="696" t="s">
        <v>2132</v>
      </c>
    </row>
    <row r="111" spans="2:75" ht="14.65" hidden="1" customHeight="1" x14ac:dyDescent="0.15">
      <c r="E111" s="507">
        <v>15</v>
      </c>
      <c r="F111" s="3" cm="1">
        <f t="array" aca="1" ref="F111" ca="1">OFFSET(E111,-1,1)</f>
        <v>0</v>
      </c>
      <c r="I111" s="72" t="s">
        <v>2133</v>
      </c>
      <c r="K111" s="72" t="s">
        <v>2133</v>
      </c>
      <c r="L111" s="25"/>
      <c r="M111" s="25"/>
      <c r="T111" s="353" t="b" cm="1">
        <f t="array" aca="1" ref="T111" ca="1">T110</f>
        <v>0</v>
      </c>
      <c r="X111" s="990"/>
      <c r="Z111" s="967"/>
      <c r="AB111" s="133" t="s">
        <v>2134</v>
      </c>
      <c r="AC111" s="134" t="s">
        <v>2135</v>
      </c>
      <c r="AD111" s="7" t="s">
        <v>828</v>
      </c>
      <c r="AE111" s="778"/>
      <c r="AF111" s="778"/>
      <c r="AG111" s="778"/>
      <c r="AH111" s="171">
        <f t="shared" si="7"/>
        <v>0</v>
      </c>
      <c r="AI111" s="778"/>
      <c r="AJ111" s="128"/>
      <c r="AK111" s="778"/>
      <c r="AL111" s="778"/>
      <c r="AM111" s="778"/>
      <c r="AN111" s="778"/>
      <c r="AO111" s="778"/>
      <c r="AP111" s="778"/>
      <c r="AQ111" s="778"/>
      <c r="AR111" s="778"/>
      <c r="AS111" s="778"/>
      <c r="AT111" s="128"/>
      <c r="AU111" s="778"/>
      <c r="AV111" s="778"/>
      <c r="AW111" s="778"/>
      <c r="AX111" s="778"/>
      <c r="AY111" s="778"/>
      <c r="AZ111" s="778"/>
      <c r="BA111" s="778"/>
      <c r="BB111" s="778"/>
      <c r="BC111" s="778"/>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5"/>
      <c r="BO111" s="775"/>
      <c r="BP111" s="775"/>
      <c r="BS111" s="696" t="s">
        <v>1268</v>
      </c>
    </row>
    <row r="112" spans="2:75" ht="14.65" hidden="1" customHeight="1" x14ac:dyDescent="0.15">
      <c r="E112" s="507">
        <v>15</v>
      </c>
      <c r="F112" s="3" cm="1">
        <f t="array" aca="1" ref="F112" ca="1">OFFSET(E112,-1,1)</f>
        <v>0</v>
      </c>
      <c r="I112" s="72" t="s">
        <v>2136</v>
      </c>
      <c r="K112" s="72" t="s">
        <v>2136</v>
      </c>
      <c r="L112" s="25" t="s">
        <v>951</v>
      </c>
      <c r="M112" s="25"/>
      <c r="T112" s="353" t="b" cm="1">
        <f t="array" aca="1" ref="T112" ca="1">T111</f>
        <v>0</v>
      </c>
      <c r="X112" s="990"/>
      <c r="Z112" s="967"/>
      <c r="AB112" s="133" t="s">
        <v>2137</v>
      </c>
      <c r="AC112" s="134" t="s">
        <v>2138</v>
      </c>
      <c r="AD112" s="7" t="s">
        <v>828</v>
      </c>
      <c r="AE112" s="778"/>
      <c r="AF112" s="778"/>
      <c r="AG112" s="778"/>
      <c r="AH112" s="171">
        <f t="shared" si="7"/>
        <v>0</v>
      </c>
      <c r="AI112" s="778"/>
      <c r="AJ112" s="128"/>
      <c r="AK112" s="778"/>
      <c r="AL112" s="778"/>
      <c r="AM112" s="778"/>
      <c r="AN112" s="778"/>
      <c r="AO112" s="778"/>
      <c r="AP112" s="778"/>
      <c r="AQ112" s="778"/>
      <c r="AR112" s="778"/>
      <c r="AS112" s="778"/>
      <c r="AT112" s="128"/>
      <c r="AU112" s="778"/>
      <c r="AV112" s="778"/>
      <c r="AW112" s="778"/>
      <c r="AX112" s="778"/>
      <c r="AY112" s="778"/>
      <c r="AZ112" s="778"/>
      <c r="BA112" s="778"/>
      <c r="BB112" s="778"/>
      <c r="BC112" s="778"/>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5"/>
      <c r="BO112" s="775"/>
      <c r="BP112" s="775"/>
      <c r="BS112" s="696" t="s">
        <v>2139</v>
      </c>
    </row>
    <row r="113" spans="2:75" ht="21.95" hidden="1" customHeight="1" x14ac:dyDescent="0.15">
      <c r="E113" s="507">
        <v>22.5</v>
      </c>
      <c r="F113" s="3" cm="1">
        <f t="array" aca="1" ref="F113" ca="1">OFFSET(E113,-1,1)</f>
        <v>0</v>
      </c>
      <c r="G113" s="72" t="s">
        <v>1487</v>
      </c>
      <c r="I113" s="72" t="s">
        <v>2140</v>
      </c>
      <c r="K113" s="72" t="s">
        <v>2140</v>
      </c>
      <c r="L113" s="25"/>
      <c r="M113" s="25"/>
      <c r="T113" s="353" t="b" cm="1">
        <f t="array" aca="1" ref="T113" ca="1">T112</f>
        <v>0</v>
      </c>
      <c r="X113" s="990"/>
      <c r="Z113" s="967"/>
      <c r="AB113" s="133" t="s">
        <v>1551</v>
      </c>
      <c r="AC113" s="127" t="s">
        <v>2141</v>
      </c>
      <c r="AD113" s="7" t="s">
        <v>828</v>
      </c>
      <c r="AE113" s="778"/>
      <c r="AF113" s="778"/>
      <c r="AG113" s="778"/>
      <c r="AH113" s="171">
        <f t="shared" si="7"/>
        <v>0</v>
      </c>
      <c r="AI113" s="778"/>
      <c r="AJ113" s="128"/>
      <c r="AK113" s="778"/>
      <c r="AL113" s="778"/>
      <c r="AM113" s="778"/>
      <c r="AN113" s="778"/>
      <c r="AO113" s="778"/>
      <c r="AP113" s="778"/>
      <c r="AQ113" s="778"/>
      <c r="AR113" s="778"/>
      <c r="AS113" s="778"/>
      <c r="AT113" s="128"/>
      <c r="AU113" s="778"/>
      <c r="AV113" s="778"/>
      <c r="AW113" s="778"/>
      <c r="AX113" s="778"/>
      <c r="AY113" s="778"/>
      <c r="AZ113" s="778"/>
      <c r="BA113" s="778"/>
      <c r="BB113" s="778"/>
      <c r="BC113" s="778"/>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5"/>
      <c r="BO113" s="775"/>
      <c r="BP113" s="775"/>
      <c r="BS113" s="696" t="s">
        <v>2142</v>
      </c>
    </row>
    <row r="114" spans="2:75" s="76" customFormat="1" ht="20.45" hidden="1" customHeight="1" x14ac:dyDescent="0.15">
      <c r="B114" s="332"/>
      <c r="E114" s="511">
        <v>21</v>
      </c>
      <c r="F114" s="3" cm="1">
        <f t="array" aca="1" ref="F114" ca="1">OFFSET(E114,-1,1)</f>
        <v>0</v>
      </c>
      <c r="G114" s="72" t="s">
        <v>2143</v>
      </c>
      <c r="H114" s="72"/>
      <c r="I114" s="72" t="s">
        <v>333</v>
      </c>
      <c r="K114" s="72" t="s">
        <v>333</v>
      </c>
      <c r="L114" s="27" t="s">
        <v>1344</v>
      </c>
      <c r="M114" s="27"/>
      <c r="T114" s="353" t="b" cm="1">
        <f t="array" aca="1" ref="T114" ca="1">T113</f>
        <v>0</v>
      </c>
      <c r="X114" s="990"/>
      <c r="Z114" s="967"/>
      <c r="AB114" s="131" t="s">
        <v>291</v>
      </c>
      <c r="AC114" s="125" t="s">
        <v>2144</v>
      </c>
      <c r="AD114" s="124" t="s">
        <v>828</v>
      </c>
      <c r="AE114" s="126">
        <f ca="1">SUMIFS(ЭЭ!AE$25:AE$116,ЭЭ!$F$25:$F$116,$F114,ЭЭ!$AC$25:$AC$116,"Всего по тарифу")</f>
        <v>0</v>
      </c>
      <c r="AF114" s="126">
        <f ca="1">SUMIFS(ЭЭ!AF$25:AF$116,ЭЭ!$F$25:$F$116,$F114,ЭЭ!$AC$25:$AC$116,"Всего по тарифу")</f>
        <v>0</v>
      </c>
      <c r="AG114" s="126">
        <f ca="1">SUMIFS(ЭЭ!AG$25:AG$116,ЭЭ!$F$25:$F$116,$F114,ЭЭ!$AC$25:$AC$116,"Всего по тарифу")</f>
        <v>0</v>
      </c>
      <c r="AH114" s="126">
        <f t="shared" ca="1" si="7"/>
        <v>0</v>
      </c>
      <c r="AI114" s="126">
        <f ca="1">SUMIFS(ЭЭ!AH$25:AH$116,ЭЭ!$F$25:$F$116,$F114,ЭЭ!$AC$25:$AC$116,"Всего по тарифу")</f>
        <v>0</v>
      </c>
      <c r="AJ114" s="126">
        <f ca="1">SUMIFS(ЭЭ!AI$25:AI$116,ЭЭ!$F$25:$F$116,$F114,ЭЭ!$AC$25:$AC$116,"Всего по тарифу")</f>
        <v>0</v>
      </c>
      <c r="AK114" s="126">
        <f ca="1">SUMIFS(ЭЭ!AJ$25:AJ$116,ЭЭ!$F$25:$F$116,$F114,ЭЭ!$AC$25:$AC$116,"Всего по тарифу")</f>
        <v>0</v>
      </c>
      <c r="AL114" s="126">
        <f ca="1">SUMIFS(ЭЭ!AK$25:AK$116,ЭЭ!$F$25:$F$116,$F114,ЭЭ!$AC$25:$AC$116,"Всего по тарифу")</f>
        <v>0</v>
      </c>
      <c r="AM114" s="126">
        <f ca="1">SUMIFS(ЭЭ!AL$25:AL$116,ЭЭ!$F$25:$F$116,$F114,ЭЭ!$AC$25:$AC$116,"Всего по тарифу")</f>
        <v>0</v>
      </c>
      <c r="AN114" s="126">
        <f ca="1">SUMIFS(ЭЭ!AM$25:AM$116,ЭЭ!$F$25:$F$116,$F114,ЭЭ!$AC$25:$AC$116,"Всего по тарифу")</f>
        <v>0</v>
      </c>
      <c r="AO114" s="126">
        <f ca="1">SUMIFS(ЭЭ!AN$25:AN$116,ЭЭ!$F$25:$F$116,$F114,ЭЭ!$AC$25:$AC$116,"Всего по тарифу")</f>
        <v>0</v>
      </c>
      <c r="AP114" s="126">
        <f ca="1">SUMIFS(ЭЭ!AO$25:AO$116,ЭЭ!$F$25:$F$116,$F114,ЭЭ!$AC$25:$AC$116,"Всего по тарифу")</f>
        <v>0</v>
      </c>
      <c r="AQ114" s="126">
        <f ca="1">SUMIFS(ЭЭ!AP$25:AP$116,ЭЭ!$F$25:$F$116,$F114,ЭЭ!$AC$25:$AC$116,"Всего по тарифу")</f>
        <v>0</v>
      </c>
      <c r="AR114" s="126">
        <f ca="1">SUMIFS(ЭЭ!AQ$25:AQ$116,ЭЭ!$F$25:$F$116,$F114,ЭЭ!$AC$25:$AC$116,"Всего по тарифу")</f>
        <v>0</v>
      </c>
      <c r="AS114" s="126">
        <f ca="1">SUMIFS(ЭЭ!AR$25:AR$116,ЭЭ!$F$25:$F$116,$F114,ЭЭ!$AC$25:$AC$116,"Всего по тарифу")</f>
        <v>0</v>
      </c>
      <c r="AT114" s="126">
        <f ca="1">SUMIFS(ЭЭ!AS$25:AS$116,ЭЭ!$F$25:$F$116,$F114,ЭЭ!$AC$25:$AC$116,"Всего по тарифу")</f>
        <v>0</v>
      </c>
      <c r="AU114" s="126">
        <f ca="1">SUMIFS(ЭЭ!AT$25:AT$116,ЭЭ!$F$25:$F$116,$F114,ЭЭ!$AC$25:$AC$116,"Всего по тарифу")</f>
        <v>0</v>
      </c>
      <c r="AV114" s="126">
        <f ca="1">SUMIFS(ЭЭ!AU$25:AU$116,ЭЭ!$F$25:$F$116,$F114,ЭЭ!$AC$25:$AC$116,"Всего по тарифу")</f>
        <v>0</v>
      </c>
      <c r="AW114" s="126">
        <f ca="1">SUMIFS(ЭЭ!AV$25:AV$116,ЭЭ!$F$25:$F$116,$F114,ЭЭ!$AC$25:$AC$116,"Всего по тарифу")</f>
        <v>0</v>
      </c>
      <c r="AX114" s="126">
        <f ca="1">SUMIFS(ЭЭ!AW$25:AW$116,ЭЭ!$F$25:$F$116,$F114,ЭЭ!$AC$25:$AC$116,"Всего по тарифу")</f>
        <v>0</v>
      </c>
      <c r="AY114" s="126">
        <f ca="1">SUMIFS(ЭЭ!AX$25:AX$116,ЭЭ!$F$25:$F$116,$F114,ЭЭ!$AC$25:$AC$116,"Всего по тарифу")</f>
        <v>0</v>
      </c>
      <c r="AZ114" s="126">
        <f ca="1">SUMIFS(ЭЭ!AY$25:AY$116,ЭЭ!$F$25:$F$116,$F114,ЭЭ!$AC$25:$AC$116,"Всего по тарифу")</f>
        <v>0</v>
      </c>
      <c r="BA114" s="126">
        <f ca="1">SUMIFS(ЭЭ!AZ$25:AZ$116,ЭЭ!$F$25:$F$116,$F114,ЭЭ!$AC$25:$AC$116,"Всего по тарифу")</f>
        <v>0</v>
      </c>
      <c r="BB114" s="126">
        <f ca="1">SUMIFS(ЭЭ!BA$25:BA$116,ЭЭ!$F$25:$F$116,$F114,ЭЭ!$AC$25:$AC$116,"Всего по тарифу")</f>
        <v>0</v>
      </c>
      <c r="BC114" s="126">
        <f ca="1">SUMIFS(ЭЭ!BB$25:BB$116,ЭЭ!$F$25:$F$116,$F114,ЭЭ!$AC$25:$AC$116,"Всего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5"/>
      <c r="BO114" s="779" t="str">
        <f ca="1">IF(IFERROR(INDEX(ЭЭ!$K$26:$L$116,MATCH($F114&amp;"komm",ЭЭ!$K$26:$K$116,0),2),"")=0,"",IFERROR(INDEX(ЭЭ!$K$26:$L$116,MATCH($F114&amp;"komm",ЭЭ!$K$26:$K$116,0),2),""))</f>
        <v/>
      </c>
      <c r="BP114" s="775"/>
      <c r="BS114" s="702" t="s">
        <v>1750</v>
      </c>
      <c r="BT114" s="702"/>
      <c r="BU114" s="702"/>
      <c r="BV114" s="511"/>
      <c r="BW114" s="511"/>
    </row>
    <row r="115" spans="2:75" s="76" customFormat="1" ht="21.95" hidden="1" customHeight="1" x14ac:dyDescent="0.15">
      <c r="B115" s="76" t="b">
        <f>method_reg="Метод индексации"</f>
        <v>1</v>
      </c>
      <c r="E115" s="511">
        <v>22.5</v>
      </c>
      <c r="F115" s="3" cm="1">
        <f t="array" aca="1" ref="F115" ca="1">OFFSET(E115,-1,1)</f>
        <v>0</v>
      </c>
      <c r="G115" s="72" t="s">
        <v>1509</v>
      </c>
      <c r="H115" s="72"/>
      <c r="I115" s="72" t="s">
        <v>335</v>
      </c>
      <c r="K115" s="72" t="s">
        <v>335</v>
      </c>
      <c r="L115" s="27" t="s">
        <v>334</v>
      </c>
      <c r="M115" s="27"/>
      <c r="T115" s="353" t="b" cm="1">
        <f t="array" aca="1" ref="T115" ca="1">T114</f>
        <v>0</v>
      </c>
      <c r="X115" s="990"/>
      <c r="Z115" s="967"/>
      <c r="AB115" s="131" t="s">
        <v>454</v>
      </c>
      <c r="AC115" s="125" t="s">
        <v>2145</v>
      </c>
      <c r="AD115" s="124" t="s">
        <v>828</v>
      </c>
      <c r="AE115" s="126">
        <f ca="1">SUMIFS(Амортизация!AE$25:AE$223,Амортизация!$F$25:$F$223,$F115,Амортизация!$AC$25:$AC$223,"Сумма амортизационных отчислений")</f>
        <v>0</v>
      </c>
      <c r="AF115" s="126">
        <f ca="1">SUMIFS(Амортизация!AF$25:AF$223,Амортизация!$F$25:$F$223,$F115,Амортизация!$AC$25:$AC$223,"Сумма амортизационных отчислений")</f>
        <v>0</v>
      </c>
      <c r="AG115" s="126">
        <f ca="1">SUMIFS(Амортизация!AG$25:AG$223,Амортизация!$F$25:$F$223,$F115,Амортизация!$AC$25:$AC$223,"Сумма амортизационных отчислений")</f>
        <v>0</v>
      </c>
      <c r="AH115" s="126">
        <f t="shared" ca="1" si="7"/>
        <v>0</v>
      </c>
      <c r="AI115" s="126">
        <f ca="1">SUMIFS(Амортизация!AH$25:AH$223,Амортизация!$F$25:$F$223,$F115,Амортизация!$AC$25:$AC$223,"Сумма амортизационных отчислений")</f>
        <v>0</v>
      </c>
      <c r="AJ115" s="126">
        <f ca="1">SUMIFS(Амортизация!AI$25:AI$223,Амортизация!$F$25:$F$223,$F115,Амортизация!$AC$25:$AC$223,"Сумма амортизационных отчислений")</f>
        <v>0</v>
      </c>
      <c r="AK115" s="126">
        <f ca="1">SUMIFS(Амортизация!AJ$25:AJ$223,Амортизация!$F$25:$F$223,$F115,Амортизация!$AC$25:$AC$223,"Сумма амортизационных отчислений")</f>
        <v>0</v>
      </c>
      <c r="AL115" s="126">
        <f ca="1">SUMIFS(Амортизация!AK$25:AK$223,Амортизация!$F$25:$F$223,$F115,Амортизация!$AC$25:$AC$223,"Сумма амортизационных отчислений")</f>
        <v>0</v>
      </c>
      <c r="AM115" s="126">
        <f ca="1">SUMIFS(Амортизация!AL$25:AL$223,Амортизация!$F$25:$F$223,$F115,Амортизация!$AC$25:$AC$223,"Сумма амортизационных отчислений")</f>
        <v>0</v>
      </c>
      <c r="AN115" s="126">
        <f ca="1">SUMIFS(Амортизация!AM$25:AM$223,Амортизация!$F$25:$F$223,$F115,Амортизация!$AC$25:$AC$223,"Сумма амортизационных отчислений")</f>
        <v>0</v>
      </c>
      <c r="AO115" s="126">
        <f ca="1">SUMIFS(Амортизация!AN$25:AN$223,Амортизация!$F$25:$F$223,$F115,Амортизация!$AC$25:$AC$223,"Сумма амортизационных отчислений")</f>
        <v>0</v>
      </c>
      <c r="AP115" s="126">
        <f ca="1">SUMIFS(Амортизация!AO$25:AO$223,Амортизация!$F$25:$F$223,$F115,Амортизация!$AC$25:$AC$223,"Сумма амортизационных отчислений")</f>
        <v>0</v>
      </c>
      <c r="AQ115" s="126">
        <f ca="1">SUMIFS(Амортизация!AP$25:AP$223,Амортизация!$F$25:$F$223,$F115,Амортизация!$AC$25:$AC$223,"Сумма амортизационных отчислений")</f>
        <v>0</v>
      </c>
      <c r="AR115" s="126">
        <f ca="1">SUMIFS(Амортизация!AQ$25:AQ$223,Амортизация!$F$25:$F$223,$F115,Амортизация!$AC$25:$AC$223,"Сумма амортизационных отчислений")</f>
        <v>0</v>
      </c>
      <c r="AS115" s="126">
        <f ca="1">SUMIFS(Амортизация!AR$25:AR$223,Амортизация!$F$25:$F$223,$F115,Амортизация!$AC$25:$AC$223,"Сумма амортизационных отчислений")</f>
        <v>0</v>
      </c>
      <c r="AT115" s="126">
        <f ca="1">SUMIFS(Амортизация!AS$25:AS$223,Амортизация!$F$25:$F$223,$F115,Амортизация!$AC$25:$AC$223,"Сумма амортизационных отчислений")</f>
        <v>0</v>
      </c>
      <c r="AU115" s="126">
        <f ca="1">SUMIFS(Амортизация!AT$25:AT$223,Амортизация!$F$25:$F$223,$F115,Амортизация!$AC$25:$AC$223,"Сумма амортизационных отчислений")</f>
        <v>0</v>
      </c>
      <c r="AV115" s="126">
        <f ca="1">SUMIFS(Амортизация!AU$25:AU$223,Амортизация!$F$25:$F$223,$F115,Амортизация!$AC$25:$AC$223,"Сумма амортизационных отчислений")</f>
        <v>0</v>
      </c>
      <c r="AW115" s="126">
        <f ca="1">SUMIFS(Амортизация!AV$25:AV$223,Амортизация!$F$25:$F$223,$F115,Амортизация!$AC$25:$AC$223,"Сумма амортизационных отчислений")</f>
        <v>0</v>
      </c>
      <c r="AX115" s="126">
        <f ca="1">SUMIFS(Амортизация!AW$25:AW$223,Амортизация!$F$25:$F$223,$F115,Амортизация!$AC$25:$AC$223,"Сумма амортизационных отчислений")</f>
        <v>0</v>
      </c>
      <c r="AY115" s="126">
        <f ca="1">SUMIFS(Амортизация!AX$25:AX$223,Амортизация!$F$25:$F$223,$F115,Амортизация!$AC$25:$AC$223,"Сумма амортизационных отчислений")</f>
        <v>0</v>
      </c>
      <c r="AZ115" s="126">
        <f ca="1">SUMIFS(Амортизация!AY$25:AY$223,Амортизация!$F$25:$F$223,$F115,Амортизация!$AC$25:$AC$223,"Сумма амортизационных отчислений")</f>
        <v>0</v>
      </c>
      <c r="BA115" s="126">
        <f ca="1">SUMIFS(Амортизация!AZ$25:AZ$223,Амортизация!$F$25:$F$223,$F115,Амортизация!$AC$25:$AC$223,"Сумма амортизационных отчислений")</f>
        <v>0</v>
      </c>
      <c r="BB115" s="126">
        <f ca="1">SUMIFS(Амортизация!BA$25:BA$223,Амортизация!$F$25:$F$223,$F115,Амортизация!$AC$25:$AC$223,"Сумма амортизационных отчислений")</f>
        <v>0</v>
      </c>
      <c r="BC115" s="126">
        <f ca="1">SUMIFS(Амортизация!BB$25:BB$223,Амортизация!$F$25:$F$223,$F115,Амортизация!$AC$25:$AC$223,"Сумма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5"/>
      <c r="BO115" s="779" t="str">
        <f ca="1">IF(IFERROR(INDEX(Амортизация!$K$26:$L$223,MATCH($F115&amp;"komm",Амортизация!$K$26:$K$223,0),2),"")=0,"",IFERROR(INDEX(Амортизация!$K$26:$L$223,MATCH($F115&amp;"komm",Амортизация!$K$26:$K$223,0),2),""))</f>
        <v/>
      </c>
      <c r="BP115" s="775"/>
      <c r="BS115" s="702" t="s">
        <v>1247</v>
      </c>
      <c r="BT115" s="702"/>
      <c r="BU115" s="702"/>
      <c r="BV115" s="511"/>
      <c r="BW115" s="511"/>
    </row>
    <row r="116" spans="2:75" ht="14.65" hidden="1" customHeight="1" x14ac:dyDescent="0.15">
      <c r="B116" s="329" t="b" cm="1">
        <f t="array" ref="B116">B115</f>
        <v>1</v>
      </c>
      <c r="E116" s="507">
        <v>15</v>
      </c>
      <c r="F116" s="3" cm="1">
        <f t="array" aca="1" ref="F116" ca="1">OFFSET(E116,-1,1)</f>
        <v>0</v>
      </c>
      <c r="I116" s="72" t="s">
        <v>560</v>
      </c>
      <c r="K116" s="72" t="s">
        <v>560</v>
      </c>
      <c r="L116" s="25" t="s">
        <v>574</v>
      </c>
      <c r="M116" s="25"/>
      <c r="T116" s="353" t="b" cm="1">
        <f t="array" aca="1" ref="T116" ca="1">T115</f>
        <v>0</v>
      </c>
      <c r="X116" s="990"/>
      <c r="Z116" s="967"/>
      <c r="AB116" s="133" t="s">
        <v>697</v>
      </c>
      <c r="AC116" s="127" t="s">
        <v>1843</v>
      </c>
      <c r="AD116" s="7" t="s">
        <v>828</v>
      </c>
      <c r="AE116" s="778">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78">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78">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1">
        <f t="shared" ca="1" si="7"/>
        <v>0</v>
      </c>
      <c r="AI116" s="778">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8">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78">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78">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78">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78">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78">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78">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78">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78">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78">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8">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78">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78">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78">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78">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78">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78">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78">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78">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78">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5"/>
      <c r="BO116" s="775"/>
      <c r="BP116" s="775"/>
      <c r="BS116" s="696" t="s">
        <v>1844</v>
      </c>
    </row>
    <row r="117" spans="2:75" s="76" customFormat="1" ht="20.45" hidden="1" customHeight="1" x14ac:dyDescent="0.25">
      <c r="B117" s="329" t="b" cm="1">
        <f t="array" ref="B117">B116</f>
        <v>1</v>
      </c>
      <c r="E117" s="511">
        <v>21</v>
      </c>
      <c r="F117" s="3" cm="1">
        <f t="array" aca="1" ref="F117" ca="1">OFFSET(E117,-1,1)</f>
        <v>0</v>
      </c>
      <c r="G117" s="72" t="s">
        <v>1513</v>
      </c>
      <c r="H117" s="72"/>
      <c r="I117" s="72" t="s">
        <v>334</v>
      </c>
      <c r="K117" s="72" t="s">
        <v>334</v>
      </c>
      <c r="L117" s="27" t="s">
        <v>586</v>
      </c>
      <c r="M117" s="27"/>
      <c r="T117" s="353" t="b" cm="1">
        <f t="array" aca="1" ref="T117" ca="1">T116</f>
        <v>0</v>
      </c>
      <c r="X117" s="990"/>
      <c r="Z117" s="967"/>
      <c r="AB117" s="131" t="s">
        <v>460</v>
      </c>
      <c r="AC117" s="125" t="s">
        <v>1513</v>
      </c>
      <c r="AD117" s="147" t="s">
        <v>828</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5"/>
      <c r="BO117" s="775"/>
      <c r="BP117" s="775"/>
      <c r="BS117" s="695" t="s">
        <v>1517</v>
      </c>
      <c r="BT117" s="702"/>
      <c r="BU117" s="702"/>
      <c r="BV117" s="511"/>
      <c r="BW117" s="511"/>
    </row>
    <row r="118" spans="2:75" ht="14.65" hidden="1" customHeight="1" x14ac:dyDescent="0.15">
      <c r="B118" s="329" t="b" cm="1">
        <f t="array" ref="B118">B117</f>
        <v>1</v>
      </c>
      <c r="E118" s="507">
        <v>15</v>
      </c>
      <c r="F118" s="3" cm="1">
        <f t="array" aca="1" ref="F118" ca="1">OFFSET(E118,-1,1)</f>
        <v>0</v>
      </c>
      <c r="I118" s="72" t="s">
        <v>574</v>
      </c>
      <c r="K118" s="72" t="s">
        <v>574</v>
      </c>
      <c r="L118" s="25"/>
      <c r="M118" s="25"/>
      <c r="T118" s="353" t="b" cm="1">
        <f t="array" aca="1" ref="T118" ca="1">T117</f>
        <v>0</v>
      </c>
      <c r="X118" s="990"/>
      <c r="Z118" s="967"/>
      <c r="AB118" s="133" t="s">
        <v>704</v>
      </c>
      <c r="AC118" s="127" t="s">
        <v>2146</v>
      </c>
      <c r="AD118" s="7" t="s">
        <v>828</v>
      </c>
      <c r="AE118" s="778">
        <f ca="1">SUMIFS('ИП + источники'!AF$27:AF$145,'ИП + источники'!$F$27:$F$145,$F118,'ИП + источники'!$AC$27:$AC$145,"погашение займов и кредитов из нормативной прибыли")</f>
        <v>0</v>
      </c>
      <c r="AF118" s="778">
        <f ca="1">SUMIFS('ИП + источники'!AG$27:AG$145,'ИП + источники'!$F$27:$F$145,$F118,'ИП + источники'!$AC$27:$AC$145,"погашение займов и кредитов из нормативной прибыли")</f>
        <v>0</v>
      </c>
      <c r="AG118" s="778">
        <f ca="1">SUMIFS('ИП + источники'!AH$27:AH$145,'ИП + источники'!$F$27:$F$145,$F118,'ИП + источники'!$AC$27:$AC$145,"погашение займов и кредитов из нормативной прибыли")</f>
        <v>0</v>
      </c>
      <c r="AH118" s="171">
        <f t="shared" ca="1" si="7"/>
        <v>0</v>
      </c>
      <c r="AI118" s="778">
        <f ca="1">SUMIFS('ИП + источники'!AJ$27:AJ$145,'ИП + источники'!$F$27:$F$145,$F118,'ИП + источники'!$AC$27:$AC$145,"погашение займов и кредитов из нормативной прибыли")</f>
        <v>0</v>
      </c>
      <c r="AJ118" s="128">
        <f ca="1">SUMIFS('ИП + источники'!AK$27:AK$145,'ИП + источники'!$F$27:$F$145,$F118,'ИП + источники'!$AC$27:$AC$145,"погашение займов и кредитов из нормативной прибыли")</f>
        <v>0</v>
      </c>
      <c r="AK118" s="778">
        <f ca="1">SUMIFS('ИП + источники'!AL$27:AL$145,'ИП + источники'!$F$27:$F$145,$F118,'ИП + источники'!$AC$27:$AC$145,"погашение займов и кредитов из нормативной прибыли")</f>
        <v>0</v>
      </c>
      <c r="AL118" s="778">
        <f ca="1">SUMIFS('ИП + источники'!AM$27:AM$145,'ИП + источники'!$F$27:$F$145,$F118,'ИП + источники'!$AC$27:$AC$145,"погашение займов и кредитов из нормативной прибыли")</f>
        <v>0</v>
      </c>
      <c r="AM118" s="778">
        <f ca="1">SUMIFS('ИП + источники'!AN$27:AN$145,'ИП + источники'!$F$27:$F$145,$F118,'ИП + источники'!$AC$27:$AC$145,"погашение займов и кредитов из нормативной прибыли")</f>
        <v>0</v>
      </c>
      <c r="AN118" s="778">
        <f ca="1">SUMIFS('ИП + источники'!AO$27:AO$145,'ИП + источники'!$F$27:$F$145,$F118,'ИП + источники'!$AC$27:$AC$145,"погашение займов и кредитов из нормативной прибыли")</f>
        <v>0</v>
      </c>
      <c r="AO118" s="778">
        <f ca="1">SUMIFS('ИП + источники'!AP$27:AP$145,'ИП + источники'!$F$27:$F$145,$F118,'ИП + источники'!$AC$27:$AC$145,"погашение займов и кредитов из нормативной прибыли")</f>
        <v>0</v>
      </c>
      <c r="AP118" s="778">
        <f ca="1">SUMIFS('ИП + источники'!AQ$27:AQ$145,'ИП + источники'!$F$27:$F$145,$F118,'ИП + источники'!$AC$27:$AC$145,"погашение займов и кредитов из нормативной прибыли")</f>
        <v>0</v>
      </c>
      <c r="AQ118" s="778">
        <f ca="1">SUMIFS('ИП + источники'!AR$27:AR$145,'ИП + источники'!$F$27:$F$145,$F118,'ИП + источники'!$AC$27:$AC$145,"погашение займов и кредитов из нормативной прибыли")</f>
        <v>0</v>
      </c>
      <c r="AR118" s="778">
        <f ca="1">SUMIFS('ИП + источники'!AS$27:AS$145,'ИП + источники'!$F$27:$F$145,$F118,'ИП + источники'!$AC$27:$AC$145,"погашение займов и кредитов из нормативной прибыли")</f>
        <v>0</v>
      </c>
      <c r="AS118" s="778">
        <f ca="1">SUMIFS('ИП + источники'!AT$27:AT$145,'ИП + источники'!$F$27:$F$145,$F118,'ИП + источники'!$AC$27:$AC$145,"погашение займов и кредитов из нормативной прибыли")</f>
        <v>0</v>
      </c>
      <c r="AT118" s="128">
        <f ca="1">SUMIFS('ИП + источники'!AU$27:AU$145,'ИП + источники'!$F$27:$F$145,$F118,'ИП + источники'!$AC$27:$AC$145,"погашение займов и кредитов из нормативной прибыли")</f>
        <v>0</v>
      </c>
      <c r="AU118" s="778">
        <f ca="1">SUMIFS('ИП + источники'!AV$27:AV$145,'ИП + источники'!$F$27:$F$145,$F118,'ИП + источники'!$AC$27:$AC$145,"погашение займов и кредитов из нормативной прибыли")</f>
        <v>0</v>
      </c>
      <c r="AV118" s="778">
        <f ca="1">SUMIFS('ИП + источники'!AW$27:AW$145,'ИП + источники'!$F$27:$F$145,$F118,'ИП + источники'!$AC$27:$AC$145,"погашение займов и кредитов из нормативной прибыли")</f>
        <v>0</v>
      </c>
      <c r="AW118" s="778">
        <f ca="1">SUMIFS('ИП + источники'!AX$27:AX$145,'ИП + источники'!$F$27:$F$145,$F118,'ИП + источники'!$AC$27:$AC$145,"погашение займов и кредитов из нормативной прибыли")</f>
        <v>0</v>
      </c>
      <c r="AX118" s="778">
        <f ca="1">SUMIFS('ИП + источники'!AY$27:AY$145,'ИП + источники'!$F$27:$F$145,$F118,'ИП + источники'!$AC$27:$AC$145,"погашение займов и кредитов из нормативной прибыли")</f>
        <v>0</v>
      </c>
      <c r="AY118" s="778">
        <f ca="1">SUMIFS('ИП + источники'!AZ$27:AZ$145,'ИП + источники'!$F$27:$F$145,$F118,'ИП + источники'!$AC$27:$AC$145,"погашение займов и кредитов из нормативной прибыли")</f>
        <v>0</v>
      </c>
      <c r="AZ118" s="778">
        <f ca="1">SUMIFS('ИП + источники'!BA$27:BA$145,'ИП + источники'!$F$27:$F$145,$F118,'ИП + источники'!$AC$27:$AC$145,"погашение займов и кредитов из нормативной прибыли")</f>
        <v>0</v>
      </c>
      <c r="BA118" s="778">
        <f ca="1">SUMIFS('ИП + источники'!BB$27:BB$145,'ИП + источники'!$F$27:$F$145,$F118,'ИП + источники'!$AC$27:$AC$145,"погашение займов и кредитов из нормативной прибыли")</f>
        <v>0</v>
      </c>
      <c r="BB118" s="778">
        <f ca="1">SUMIFS('ИП + источники'!BC$27:BC$145,'ИП + источники'!$F$27:$F$145,$F118,'ИП + источники'!$AC$27:$AC$145,"погашение займов и кредитов из нормативной прибыли")</f>
        <v>0</v>
      </c>
      <c r="BC118" s="778">
        <f ca="1">SUMIFS('ИП + источники'!BD$27:BD$145,'ИП + источники'!$F$27:$F$145,$F118,'ИП + источники'!$AC$27:$AC$145,"погашение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5"/>
      <c r="BO118" s="779" t="str">
        <f ca="1">IF(IFERROR(INDEX('ИП + источники'!$K$28:$L$145,MATCH($F118&amp;"2komm",'ИП + источники'!$K$28:$K$145,0),2),"")=0,"",IFERROR(INDEX('ИП + источники'!$K$28:$L$145,MATCH($F118&amp;"2komm",'ИП + источники'!$K$28:$K$145,0),2),""))</f>
        <v/>
      </c>
      <c r="BP118" s="775"/>
      <c r="BS118" s="696" t="s">
        <v>2147</v>
      </c>
    </row>
    <row r="119" spans="2:75" ht="14.65" hidden="1" customHeight="1" x14ac:dyDescent="0.15">
      <c r="B119" s="329" t="b" cm="1">
        <f t="array" ref="B119">B118</f>
        <v>1</v>
      </c>
      <c r="E119" s="507">
        <v>15</v>
      </c>
      <c r="F119" s="3" cm="1">
        <f t="array" aca="1" ref="F119" ca="1">OFFSET(E119,-1,1)</f>
        <v>0</v>
      </c>
      <c r="I119" s="72" t="s">
        <v>578</v>
      </c>
      <c r="K119" s="72" t="s">
        <v>578</v>
      </c>
      <c r="L119" s="25"/>
      <c r="M119" s="25"/>
      <c r="T119" s="353" t="b" cm="1">
        <f t="array" aca="1" ref="T119" ca="1">T118</f>
        <v>0</v>
      </c>
      <c r="X119" s="990"/>
      <c r="Z119" s="967"/>
      <c r="AB119" s="133" t="s">
        <v>707</v>
      </c>
      <c r="AC119" s="127" t="s">
        <v>2148</v>
      </c>
      <c r="AD119" s="7" t="s">
        <v>828</v>
      </c>
      <c r="AE119" s="778">
        <f ca="1">SUMIFS('ИП + источники'!AF$27:AF$145,'ИП + источники'!$F$27:$F$145,$F119,'ИП + источники'!$AC$27:$AC$145,"уплата процентов по кредитам из нормативной прибыли")</f>
        <v>0</v>
      </c>
      <c r="AF119" s="778">
        <f ca="1">SUMIFS('ИП + источники'!AG$27:AG$145,'ИП + источники'!$F$27:$F$145,$F119,'ИП + источники'!$AC$27:$AC$145,"уплата процентов по кредитам из нормативной прибыли")</f>
        <v>0</v>
      </c>
      <c r="AG119" s="778">
        <f ca="1">SUMIFS('ИП + источники'!AH$27:AH$145,'ИП + источники'!$F$27:$F$145,$F119,'ИП + источники'!$AC$27:$AC$145,"уплата процентов по кредитам из нормативной прибыли")</f>
        <v>0</v>
      </c>
      <c r="AH119" s="171">
        <f t="shared" ca="1" si="7"/>
        <v>0</v>
      </c>
      <c r="AI119" s="778">
        <f ca="1">SUMIFS('ИП + источники'!AJ$27:AJ$145,'ИП + источники'!$F$27:$F$145,$F119,'ИП + источники'!$AC$27:$AC$145,"уплата процентов по кредитам из нормативной прибыли")</f>
        <v>0</v>
      </c>
      <c r="AJ119" s="128">
        <f ca="1">SUMIFS('ИП + источники'!AK$27:AK$145,'ИП + источники'!$F$27:$F$145,$F119,'ИП + источники'!$AC$27:$AC$145,"уплата процентов по кредитам из нормативной прибыли")</f>
        <v>0</v>
      </c>
      <c r="AK119" s="778">
        <f ca="1">SUMIFS('ИП + источники'!AL$27:AL$145,'ИП + источники'!$F$27:$F$145,$F119,'ИП + источники'!$AC$27:$AC$145,"уплата процентов по кредитам из нормативной прибыли")</f>
        <v>0</v>
      </c>
      <c r="AL119" s="778">
        <f ca="1">SUMIFS('ИП + источники'!AM$27:AM$145,'ИП + источники'!$F$27:$F$145,$F119,'ИП + источники'!$AC$27:$AC$145,"уплата процентов по кредитам из нормативной прибыли")</f>
        <v>0</v>
      </c>
      <c r="AM119" s="778">
        <f ca="1">SUMIFS('ИП + источники'!AN$27:AN$145,'ИП + источники'!$F$27:$F$145,$F119,'ИП + источники'!$AC$27:$AC$145,"уплата процентов по кредитам из нормативной прибыли")</f>
        <v>0</v>
      </c>
      <c r="AN119" s="778">
        <f ca="1">SUMIFS('ИП + источники'!AO$27:AO$145,'ИП + источники'!$F$27:$F$145,$F119,'ИП + источники'!$AC$27:$AC$145,"уплата процентов по кредитам из нормативной прибыли")</f>
        <v>0</v>
      </c>
      <c r="AO119" s="778">
        <f ca="1">SUMIFS('ИП + источники'!AP$27:AP$145,'ИП + источники'!$F$27:$F$145,$F119,'ИП + источники'!$AC$27:$AC$145,"уплата процентов по кредитам из нормативной прибыли")</f>
        <v>0</v>
      </c>
      <c r="AP119" s="778">
        <f ca="1">SUMIFS('ИП + источники'!AQ$27:AQ$145,'ИП + источники'!$F$27:$F$145,$F119,'ИП + источники'!$AC$27:$AC$145,"уплата процентов по кредитам из нормативной прибыли")</f>
        <v>0</v>
      </c>
      <c r="AQ119" s="778">
        <f ca="1">SUMIFS('ИП + источники'!AR$27:AR$145,'ИП + источники'!$F$27:$F$145,$F119,'ИП + источники'!$AC$27:$AC$145,"уплата процентов по кредитам из нормативной прибыли")</f>
        <v>0</v>
      </c>
      <c r="AR119" s="778">
        <f ca="1">SUMIFS('ИП + источники'!AS$27:AS$145,'ИП + источники'!$F$27:$F$145,$F119,'ИП + источники'!$AC$27:$AC$145,"уплата процентов по кредитам из нормативной прибыли")</f>
        <v>0</v>
      </c>
      <c r="AS119" s="778">
        <f ca="1">SUMIFS('ИП + источники'!AT$27:AT$145,'ИП + источники'!$F$27:$F$145,$F119,'ИП + источники'!$AC$27:$AC$145,"уплата процентов по кредитам из нормативной прибыли")</f>
        <v>0</v>
      </c>
      <c r="AT119" s="128">
        <f ca="1">SUMIFS('ИП + источники'!AU$27:AU$145,'ИП + источники'!$F$27:$F$145,$F119,'ИП + источники'!$AC$27:$AC$145,"уплата процентов по кредитам из нормативной прибыли")</f>
        <v>0</v>
      </c>
      <c r="AU119" s="778">
        <f ca="1">SUMIFS('ИП + источники'!AV$27:AV$145,'ИП + источники'!$F$27:$F$145,$F119,'ИП + источники'!$AC$27:$AC$145,"уплата процентов по кредитам из нормативной прибыли")</f>
        <v>0</v>
      </c>
      <c r="AV119" s="778">
        <f ca="1">SUMIFS('ИП + источники'!AW$27:AW$145,'ИП + источники'!$F$27:$F$145,$F119,'ИП + источники'!$AC$27:$AC$145,"уплата процентов по кредитам из нормативной прибыли")</f>
        <v>0</v>
      </c>
      <c r="AW119" s="778">
        <f ca="1">SUMIFS('ИП + источники'!AX$27:AX$145,'ИП + источники'!$F$27:$F$145,$F119,'ИП + источники'!$AC$27:$AC$145,"уплата процентов по кредитам из нормативной прибыли")</f>
        <v>0</v>
      </c>
      <c r="AX119" s="778">
        <f ca="1">SUMIFS('ИП + источники'!AY$27:AY$145,'ИП + источники'!$F$27:$F$145,$F119,'ИП + источники'!$AC$27:$AC$145,"уплата процентов по кредитам из нормативной прибыли")</f>
        <v>0</v>
      </c>
      <c r="AY119" s="778">
        <f ca="1">SUMIFS('ИП + источники'!AZ$27:AZ$145,'ИП + источники'!$F$27:$F$145,$F119,'ИП + источники'!$AC$27:$AC$145,"уплата процентов по кредитам из нормативной прибыли")</f>
        <v>0</v>
      </c>
      <c r="AZ119" s="778">
        <f ca="1">SUMIFS('ИП + источники'!BA$27:BA$145,'ИП + источники'!$F$27:$F$145,$F119,'ИП + источники'!$AC$27:$AC$145,"уплата процентов по кредитам из нормативной прибыли")</f>
        <v>0</v>
      </c>
      <c r="BA119" s="778">
        <f ca="1">SUMIFS('ИП + источники'!BB$27:BB$145,'ИП + источники'!$F$27:$F$145,$F119,'ИП + источники'!$AC$27:$AC$145,"уплата процентов по кредитам из нормативной прибыли")</f>
        <v>0</v>
      </c>
      <c r="BB119" s="778">
        <f ca="1">SUMIFS('ИП + источники'!BC$27:BC$145,'ИП + источники'!$F$27:$F$145,$F119,'ИП + источники'!$AC$27:$AC$145,"уплата процентов по кредитам из нормативной прибыли")</f>
        <v>0</v>
      </c>
      <c r="BC119" s="778">
        <f ca="1">SUMIFS('ИП + источники'!BD$27:BD$145,'ИП + источники'!$F$27:$F$145,$F119,'ИП + источники'!$AC$27:$AC$145,"уплата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5"/>
      <c r="BO119" s="779" t="str">
        <f ca="1">IF(IFERROR(INDEX('ИП + источники'!$K$28:$L$145,MATCH($F119&amp;"3komm",'ИП + источники'!$K$28:$K$145,0),2),"")=0,"",IFERROR(INDEX('ИП + источники'!$K$28:$L$145,MATCH($F119&amp;"3komm",'ИП + источники'!$K$28:$K$145,0),2),""))</f>
        <v/>
      </c>
      <c r="BP119" s="775"/>
      <c r="BS119" s="696" t="s">
        <v>2149</v>
      </c>
    </row>
    <row r="120" spans="2:75" ht="14.65" hidden="1" customHeight="1" x14ac:dyDescent="0.15">
      <c r="B120" s="329" t="b" cm="1">
        <f t="array" ref="B120">B119</f>
        <v>1</v>
      </c>
      <c r="E120" s="507">
        <v>15</v>
      </c>
      <c r="F120" s="3" cm="1">
        <f t="array" aca="1" ref="F120" ca="1">OFFSET(E120,-1,1)</f>
        <v>0</v>
      </c>
      <c r="I120" s="72" t="s">
        <v>794</v>
      </c>
      <c r="K120" s="72" t="s">
        <v>794</v>
      </c>
      <c r="L120" s="25" t="s">
        <v>593</v>
      </c>
      <c r="M120" s="25"/>
      <c r="T120" s="353" t="b" cm="1">
        <f t="array" aca="1" ref="T120" ca="1">T119</f>
        <v>0</v>
      </c>
      <c r="X120" s="990"/>
      <c r="Z120" s="967"/>
      <c r="AB120" s="133" t="s">
        <v>994</v>
      </c>
      <c r="AC120" s="127" t="s">
        <v>2150</v>
      </c>
      <c r="AD120" s="7" t="s">
        <v>828</v>
      </c>
      <c r="AE120" s="778">
        <f ca="1">SUMIFS('ИП + источники'!AF$27:AF$145,'ИП + источники'!$F$27:$F$145,$F120,'ИП + источники'!$AC$27:$AC$145,"Прибыль на капвложения")</f>
        <v>0</v>
      </c>
      <c r="AF120" s="778">
        <f ca="1">SUMIFS('ИП + источники'!AG$27:AG$145,'ИП + источники'!$F$27:$F$145,$F120,'ИП + источники'!$AC$27:$AC$145,"Прибыль на капвложения")</f>
        <v>0</v>
      </c>
      <c r="AG120" s="778">
        <f ca="1">SUMIFS('ИП + источники'!AH$27:AH$145,'ИП + источники'!$F$27:$F$145,$F120,'ИП + источники'!$AC$27:$AC$145,"Прибыль на капвложения")</f>
        <v>0</v>
      </c>
      <c r="AH120" s="171">
        <f t="shared" ca="1" si="7"/>
        <v>0</v>
      </c>
      <c r="AI120" s="778">
        <f ca="1">SUMIFS('ИП + источники'!AJ$27:AJ$145,'ИП + источники'!$F$27:$F$145,$F120,'ИП + источники'!$AC$27:$AC$145,"Прибыль на капвложения")</f>
        <v>0</v>
      </c>
      <c r="AJ120" s="128">
        <f ca="1">SUMIFS('ИП + источники'!AK$27:AK$145,'ИП + источники'!$F$27:$F$145,$F120,'ИП + источники'!$AC$27:$AC$145,"Прибыль на капвложения")</f>
        <v>0</v>
      </c>
      <c r="AK120" s="778">
        <f ca="1">SUMIFS('ИП + источники'!AL$27:AL$145,'ИП + источники'!$F$27:$F$145,$F120,'ИП + источники'!$AC$27:$AC$145,"Прибыль на капвложения")</f>
        <v>0</v>
      </c>
      <c r="AL120" s="778">
        <f ca="1">SUMIFS('ИП + источники'!AM$27:AM$145,'ИП + источники'!$F$27:$F$145,$F120,'ИП + источники'!$AC$27:$AC$145,"Прибыль на капвложения")</f>
        <v>0</v>
      </c>
      <c r="AM120" s="778">
        <f ca="1">SUMIFS('ИП + источники'!AN$27:AN$145,'ИП + источники'!$F$27:$F$145,$F120,'ИП + источники'!$AC$27:$AC$145,"Прибыль на капвложения")</f>
        <v>0</v>
      </c>
      <c r="AN120" s="778">
        <f ca="1">SUMIFS('ИП + источники'!AO$27:AO$145,'ИП + источники'!$F$27:$F$145,$F120,'ИП + источники'!$AC$27:$AC$145,"Прибыль на капвложения")</f>
        <v>0</v>
      </c>
      <c r="AO120" s="778">
        <f ca="1">SUMIFS('ИП + источники'!AP$27:AP$145,'ИП + источники'!$F$27:$F$145,$F120,'ИП + источники'!$AC$27:$AC$145,"Прибыль на капвложения")</f>
        <v>0</v>
      </c>
      <c r="AP120" s="778">
        <f ca="1">SUMIFS('ИП + источники'!AQ$27:AQ$145,'ИП + источники'!$F$27:$F$145,$F120,'ИП + источники'!$AC$27:$AC$145,"Прибыль на капвложения")</f>
        <v>0</v>
      </c>
      <c r="AQ120" s="778">
        <f ca="1">SUMIFS('ИП + источники'!AR$27:AR$145,'ИП + источники'!$F$27:$F$145,$F120,'ИП + источники'!$AC$27:$AC$145,"Прибыль на капвложения")</f>
        <v>0</v>
      </c>
      <c r="AR120" s="778">
        <f ca="1">SUMIFS('ИП + источники'!AS$27:AS$145,'ИП + источники'!$F$27:$F$145,$F120,'ИП + источники'!$AC$27:$AC$145,"Прибыль на капвложения")</f>
        <v>0</v>
      </c>
      <c r="AS120" s="778">
        <f ca="1">SUMIFS('ИП + источники'!AT$27:AT$145,'ИП + источники'!$F$27:$F$145,$F120,'ИП + источники'!$AC$27:$AC$145,"Прибыль на капвложения")</f>
        <v>0</v>
      </c>
      <c r="AT120" s="128">
        <f ca="1">SUMIFS('ИП + источники'!AU$27:AU$145,'ИП + источники'!$F$27:$F$145,$F120,'ИП + источники'!$AC$27:$AC$145,"Прибыль на капвложения")</f>
        <v>0</v>
      </c>
      <c r="AU120" s="778">
        <f ca="1">SUMIFS('ИП + источники'!AV$27:AV$145,'ИП + источники'!$F$27:$F$145,$F120,'ИП + источники'!$AC$27:$AC$145,"Прибыль на капвложения")</f>
        <v>0</v>
      </c>
      <c r="AV120" s="778">
        <f ca="1">SUMIFS('ИП + источники'!AW$27:AW$145,'ИП + источники'!$F$27:$F$145,$F120,'ИП + источники'!$AC$27:$AC$145,"Прибыль на капвложения")</f>
        <v>0</v>
      </c>
      <c r="AW120" s="778">
        <f ca="1">SUMIFS('ИП + источники'!AX$27:AX$145,'ИП + источники'!$F$27:$F$145,$F120,'ИП + источники'!$AC$27:$AC$145,"Прибыль на капвложения")</f>
        <v>0</v>
      </c>
      <c r="AX120" s="778">
        <f ca="1">SUMIFS('ИП + источники'!AY$27:AY$145,'ИП + источники'!$F$27:$F$145,$F120,'ИП + источники'!$AC$27:$AC$145,"Прибыль на капвложения")</f>
        <v>0</v>
      </c>
      <c r="AY120" s="778">
        <f ca="1">SUMIFS('ИП + источники'!AZ$27:AZ$145,'ИП + источники'!$F$27:$F$145,$F120,'ИП + источники'!$AC$27:$AC$145,"Прибыль на капвложения")</f>
        <v>0</v>
      </c>
      <c r="AZ120" s="778">
        <f ca="1">SUMIFS('ИП + источники'!BA$27:BA$145,'ИП + источники'!$F$27:$F$145,$F120,'ИП + источники'!$AC$27:$AC$145,"Прибыль на капвложения")</f>
        <v>0</v>
      </c>
      <c r="BA120" s="778">
        <f ca="1">SUMIFS('ИП + источники'!BB$27:BB$145,'ИП + источники'!$F$27:$F$145,$F120,'ИП + источники'!$AC$27:$AC$145,"Прибыль на капвложения")</f>
        <v>0</v>
      </c>
      <c r="BB120" s="778">
        <f ca="1">SUMIFS('ИП + источники'!BC$27:BC$145,'ИП + источники'!$F$27:$F$145,$F120,'ИП + источники'!$AC$27:$AC$145,"Прибыль на капвложения")</f>
        <v>0</v>
      </c>
      <c r="BC120" s="778">
        <f ca="1">SUMIFS('ИП + источники'!BD$27:BD$145,'ИП + источники'!$F$27:$F$145,$F120,'ИП + источники'!$AC$27:$AC$145,"Прибыль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5"/>
      <c r="BO120" s="779" t="str">
        <f ca="1">IF(IFERROR(INDEX('ИП + источники'!$K$28:$L$145,MATCH($F120&amp;"1komm",'ИП + источники'!$K$28:$K$145,0),2),"")=0,"",IFERROR(INDEX('ИП + источники'!$K$28:$L$145,MATCH($F120&amp;"1komm",'ИП + источники'!$K$28:$K$145,0),2),""))</f>
        <v/>
      </c>
      <c r="BP120" s="775"/>
      <c r="BS120" s="696" t="s">
        <v>1851</v>
      </c>
    </row>
    <row r="121" spans="2:75" ht="21.95" hidden="1" customHeight="1" x14ac:dyDescent="0.15">
      <c r="B121" s="329" t="b" cm="1">
        <f t="array" ref="B121">B120</f>
        <v>1</v>
      </c>
      <c r="E121" s="507">
        <v>22.5</v>
      </c>
      <c r="F121" s="3" cm="1">
        <f t="array" aca="1" ref="F121" ca="1">OFFSET(E121,-1,1)</f>
        <v>0</v>
      </c>
      <c r="G121" s="72" t="s">
        <v>2151</v>
      </c>
      <c r="I121" s="72" t="s">
        <v>996</v>
      </c>
      <c r="K121" s="72" t="s">
        <v>996</v>
      </c>
      <c r="L121" s="25" t="s">
        <v>597</v>
      </c>
      <c r="M121" s="25"/>
      <c r="T121" s="353" t="b" cm="1">
        <f t="array" aca="1" ref="T121" ca="1">T120</f>
        <v>0</v>
      </c>
      <c r="X121" s="990"/>
      <c r="Z121" s="967"/>
      <c r="AB121" s="133" t="s">
        <v>997</v>
      </c>
      <c r="AC121" s="127" t="s">
        <v>2152</v>
      </c>
      <c r="AD121" s="7" t="s">
        <v>828</v>
      </c>
      <c r="AE121" s="778"/>
      <c r="AF121" s="778"/>
      <c r="AG121" s="778"/>
      <c r="AH121" s="171">
        <f t="shared" si="7"/>
        <v>0</v>
      </c>
      <c r="AI121" s="778"/>
      <c r="AJ121" s="128"/>
      <c r="AK121" s="778"/>
      <c r="AL121" s="778"/>
      <c r="AM121" s="778"/>
      <c r="AN121" s="778"/>
      <c r="AO121" s="778"/>
      <c r="AP121" s="778"/>
      <c r="AQ121" s="778"/>
      <c r="AR121" s="778"/>
      <c r="AS121" s="778"/>
      <c r="AT121" s="128"/>
      <c r="AU121" s="778"/>
      <c r="AV121" s="778"/>
      <c r="AW121" s="778"/>
      <c r="AX121" s="778"/>
      <c r="AY121" s="778"/>
      <c r="AZ121" s="778"/>
      <c r="BA121" s="778"/>
      <c r="BB121" s="778"/>
      <c r="BC121" s="778"/>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5"/>
      <c r="BO121" s="775"/>
      <c r="BP121" s="775"/>
      <c r="BS121" s="696" t="s">
        <v>2153</v>
      </c>
    </row>
    <row r="122" spans="2:75" ht="14.65" hidden="1" customHeight="1" x14ac:dyDescent="0.15">
      <c r="B122" s="329" t="b">
        <f>AND(method_reg="Метод индексации",STATUS_GO="да")</f>
        <v>0</v>
      </c>
      <c r="E122" s="507">
        <v>15</v>
      </c>
      <c r="F122" s="3" cm="1">
        <f t="array" aca="1" ref="F122" ca="1">OFFSET(E122,-1,1)</f>
        <v>0</v>
      </c>
      <c r="G122" s="72" t="s">
        <v>1854</v>
      </c>
      <c r="I122" s="72" t="s">
        <v>532</v>
      </c>
      <c r="K122" s="72" t="s">
        <v>532</v>
      </c>
      <c r="L122" s="25" t="s">
        <v>601</v>
      </c>
      <c r="M122" s="25"/>
      <c r="T122" s="353" t="b" cm="1">
        <f t="array" aca="1" ref="T122" ca="1">T121</f>
        <v>0</v>
      </c>
      <c r="X122" s="990"/>
      <c r="Z122" s="967"/>
      <c r="AB122" s="133" t="s">
        <v>536</v>
      </c>
      <c r="AC122" s="346" t="s">
        <v>1854</v>
      </c>
      <c r="AD122" s="7" t="s">
        <v>828</v>
      </c>
      <c r="AE122" s="778"/>
      <c r="AF122" s="778"/>
      <c r="AG122" s="778"/>
      <c r="AH122" s="171">
        <f t="shared" si="7"/>
        <v>0</v>
      </c>
      <c r="AI122" s="778"/>
      <c r="AJ122" s="128"/>
      <c r="AK122" s="778"/>
      <c r="AL122" s="778"/>
      <c r="AM122" s="778"/>
      <c r="AN122" s="778"/>
      <c r="AO122" s="778"/>
      <c r="AP122" s="778"/>
      <c r="AQ122" s="778"/>
      <c r="AR122" s="778"/>
      <c r="AS122" s="778"/>
      <c r="AT122" s="128"/>
      <c r="AU122" s="778"/>
      <c r="AV122" s="778"/>
      <c r="AW122" s="778"/>
      <c r="AX122" s="778"/>
      <c r="AY122" s="778"/>
      <c r="AZ122" s="778"/>
      <c r="BA122" s="778"/>
      <c r="BB122" s="778"/>
      <c r="BC122" s="778"/>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5"/>
      <c r="BO122" s="775"/>
      <c r="BP122" s="775"/>
      <c r="BS122" s="696" t="s">
        <v>1855</v>
      </c>
    </row>
    <row r="123" spans="2:75" ht="14.65" hidden="1" customHeight="1" x14ac:dyDescent="0.15">
      <c r="B123" s="644" t="b">
        <f>method_reg="Метод обеспечения доходности инвестированного капитала"</f>
        <v>0</v>
      </c>
      <c r="E123" s="507">
        <v>15</v>
      </c>
      <c r="F123" s="3" cm="1">
        <f t="array" aca="1" ref="F123" ca="1">OFFSET(E123,-1,1)</f>
        <v>0</v>
      </c>
      <c r="K123" s="25" t="s">
        <v>335</v>
      </c>
      <c r="L123" s="25"/>
      <c r="M123" s="25"/>
      <c r="T123" s="353" t="b" cm="1">
        <f t="array" aca="1" ref="T123" ca="1">T122</f>
        <v>0</v>
      </c>
      <c r="X123" s="990"/>
      <c r="Z123" s="967"/>
      <c r="AB123" s="131" t="s">
        <v>454</v>
      </c>
      <c r="AC123" s="132" t="s">
        <v>2154</v>
      </c>
      <c r="AD123" s="124" t="s">
        <v>828</v>
      </c>
      <c r="AE123" s="774"/>
      <c r="AF123" s="774"/>
      <c r="AG123" s="774"/>
      <c r="AH123" s="126">
        <f t="shared" si="7"/>
        <v>0</v>
      </c>
      <c r="AI123" s="774"/>
      <c r="AJ123" s="138"/>
      <c r="AK123" s="774"/>
      <c r="AL123" s="774"/>
      <c r="AM123" s="774"/>
      <c r="AN123" s="774"/>
      <c r="AO123" s="774"/>
      <c r="AP123" s="774"/>
      <c r="AQ123" s="774"/>
      <c r="AR123" s="774"/>
      <c r="AS123" s="774"/>
      <c r="AT123" s="138"/>
      <c r="AU123" s="774"/>
      <c r="AV123" s="774"/>
      <c r="AW123" s="774"/>
      <c r="AX123" s="774"/>
      <c r="AY123" s="774"/>
      <c r="AZ123" s="774"/>
      <c r="BA123" s="774"/>
      <c r="BB123" s="774"/>
      <c r="BC123" s="774"/>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7"/>
      <c r="BO123" s="777"/>
      <c r="BP123" s="777"/>
      <c r="BS123" s="696" t="s">
        <v>2155</v>
      </c>
    </row>
    <row r="124" spans="2:75" ht="14.65" hidden="1" customHeight="1" x14ac:dyDescent="0.15">
      <c r="B124" s="644" t="b" cm="1">
        <f t="array" ref="B124">B123</f>
        <v>0</v>
      </c>
      <c r="E124" s="507">
        <v>15</v>
      </c>
      <c r="F124" s="3" cm="1">
        <f t="array" aca="1" ref="F124" ca="1">OFFSET(E124,-1,1)</f>
        <v>0</v>
      </c>
      <c r="K124" s="25" t="s">
        <v>560</v>
      </c>
      <c r="L124" s="25"/>
      <c r="M124" s="25"/>
      <c r="T124" s="353" t="b" cm="1">
        <f t="array" aca="1" ref="T124" ca="1">T123</f>
        <v>0</v>
      </c>
      <c r="X124" s="990"/>
      <c r="Z124" s="967"/>
      <c r="AB124" s="133" t="s">
        <v>697</v>
      </c>
      <c r="AC124" s="127" t="s">
        <v>2156</v>
      </c>
      <c r="AD124" s="7" t="s">
        <v>828</v>
      </c>
      <c r="AE124" s="778"/>
      <c r="AF124" s="778"/>
      <c r="AG124" s="778"/>
      <c r="AH124" s="542"/>
      <c r="AI124" s="778"/>
      <c r="AJ124" s="128"/>
      <c r="AK124" s="778"/>
      <c r="AL124" s="778"/>
      <c r="AM124" s="778"/>
      <c r="AN124" s="778"/>
      <c r="AO124" s="778"/>
      <c r="AP124" s="778"/>
      <c r="AQ124" s="778"/>
      <c r="AR124" s="778"/>
      <c r="AS124" s="778"/>
      <c r="AT124" s="128"/>
      <c r="AU124" s="778"/>
      <c r="AV124" s="778"/>
      <c r="AW124" s="778"/>
      <c r="AX124" s="778"/>
      <c r="AY124" s="778"/>
      <c r="AZ124" s="778"/>
      <c r="BA124" s="778"/>
      <c r="BB124" s="778"/>
      <c r="BC124" s="778"/>
      <c r="BD124" s="542"/>
      <c r="BE124" s="542"/>
      <c r="BF124" s="542"/>
      <c r="BG124" s="542"/>
      <c r="BH124" s="542"/>
      <c r="BI124" s="542"/>
      <c r="BJ124" s="542"/>
      <c r="BK124" s="542"/>
      <c r="BL124" s="542"/>
      <c r="BM124" s="542"/>
      <c r="BN124" s="775"/>
      <c r="BO124" s="775"/>
      <c r="BP124" s="775"/>
      <c r="BS124" s="696" t="s">
        <v>2157</v>
      </c>
    </row>
    <row r="125" spans="2:75" ht="14.65" hidden="1" customHeight="1" x14ac:dyDescent="0.15">
      <c r="B125" s="644" t="b" cm="1">
        <f t="array" ref="B125">B124</f>
        <v>0</v>
      </c>
      <c r="E125" s="507">
        <v>15</v>
      </c>
      <c r="F125" s="3" cm="1">
        <f t="array" aca="1" ref="F125" ca="1">OFFSET(E125,-1,1)</f>
        <v>0</v>
      </c>
      <c r="K125" s="25" t="s">
        <v>564</v>
      </c>
      <c r="L125" s="25"/>
      <c r="M125" s="25"/>
      <c r="T125" s="353" t="b" cm="1">
        <f t="array" aca="1" ref="T125" ca="1">T124</f>
        <v>0</v>
      </c>
      <c r="X125" s="990"/>
      <c r="Z125" s="967"/>
      <c r="AB125" s="133" t="s">
        <v>700</v>
      </c>
      <c r="AC125" s="127" t="s">
        <v>2158</v>
      </c>
      <c r="AD125" s="7" t="s">
        <v>2159</v>
      </c>
      <c r="AE125" s="778"/>
      <c r="AF125" s="778"/>
      <c r="AG125" s="778"/>
      <c r="AH125" s="542"/>
      <c r="AI125" s="778"/>
      <c r="AJ125" s="128"/>
      <c r="AK125" s="778"/>
      <c r="AL125" s="778"/>
      <c r="AM125" s="778"/>
      <c r="AN125" s="778"/>
      <c r="AO125" s="778"/>
      <c r="AP125" s="778"/>
      <c r="AQ125" s="778"/>
      <c r="AR125" s="778"/>
      <c r="AS125" s="778"/>
      <c r="AT125" s="128"/>
      <c r="AU125" s="778"/>
      <c r="AV125" s="778"/>
      <c r="AW125" s="778"/>
      <c r="AX125" s="778"/>
      <c r="AY125" s="778"/>
      <c r="AZ125" s="778"/>
      <c r="BA125" s="778"/>
      <c r="BB125" s="778"/>
      <c r="BC125" s="778"/>
      <c r="BD125" s="542"/>
      <c r="BE125" s="542"/>
      <c r="BF125" s="542"/>
      <c r="BG125" s="542"/>
      <c r="BH125" s="542"/>
      <c r="BI125" s="542"/>
      <c r="BJ125" s="542"/>
      <c r="BK125" s="542"/>
      <c r="BL125" s="542"/>
      <c r="BM125" s="542"/>
      <c r="BN125" s="775"/>
      <c r="BO125" s="775"/>
      <c r="BP125" s="775"/>
      <c r="BS125" s="696" t="s">
        <v>2160</v>
      </c>
    </row>
    <row r="126" spans="2:75" ht="14.65" hidden="1" customHeight="1" x14ac:dyDescent="0.15">
      <c r="B126" s="644" t="b" cm="1">
        <f t="array" ref="B126">B125</f>
        <v>0</v>
      </c>
      <c r="E126" s="507">
        <v>15</v>
      </c>
      <c r="F126" s="3" cm="1">
        <f t="array" aca="1" ref="F126" ca="1">OFFSET(E126,-1,1)</f>
        <v>0</v>
      </c>
      <c r="K126" s="25" t="s">
        <v>334</v>
      </c>
      <c r="L126" s="25"/>
      <c r="M126" s="25"/>
      <c r="T126" s="353" t="b" cm="1">
        <f t="array" aca="1" ref="T126" ca="1">T125</f>
        <v>0</v>
      </c>
      <c r="X126" s="990"/>
      <c r="Z126" s="967"/>
      <c r="AB126" s="131" t="s">
        <v>460</v>
      </c>
      <c r="AC126" s="132" t="s">
        <v>2161</v>
      </c>
      <c r="AD126" s="124" t="s">
        <v>828</v>
      </c>
      <c r="AE126" s="774"/>
      <c r="AF126" s="774"/>
      <c r="AG126" s="774"/>
      <c r="AH126" s="126">
        <f>AG126-AF126</f>
        <v>0</v>
      </c>
      <c r="AI126" s="774"/>
      <c r="AJ126" s="138"/>
      <c r="AK126" s="774"/>
      <c r="AL126" s="774"/>
      <c r="AM126" s="774"/>
      <c r="AN126" s="774"/>
      <c r="AO126" s="774"/>
      <c r="AP126" s="774"/>
      <c r="AQ126" s="774"/>
      <c r="AR126" s="774"/>
      <c r="AS126" s="774"/>
      <c r="AT126" s="138"/>
      <c r="AU126" s="774"/>
      <c r="AV126" s="774"/>
      <c r="AW126" s="774"/>
      <c r="AX126" s="774"/>
      <c r="AY126" s="774"/>
      <c r="AZ126" s="774"/>
      <c r="BA126" s="774"/>
      <c r="BB126" s="774"/>
      <c r="BC126" s="774"/>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7"/>
      <c r="BO126" s="777"/>
      <c r="BP126" s="777"/>
      <c r="BS126" s="696" t="s">
        <v>2162</v>
      </c>
    </row>
    <row r="127" spans="2:75" ht="14.65" hidden="1" customHeight="1" x14ac:dyDescent="0.15">
      <c r="B127" s="644" t="b" cm="1">
        <f t="array" ref="B127">B126</f>
        <v>0</v>
      </c>
      <c r="E127" s="507">
        <v>15</v>
      </c>
      <c r="F127" s="3" cm="1">
        <f t="array" aca="1" ref="F127" ca="1">OFFSET(E127,-1,1)</f>
        <v>0</v>
      </c>
      <c r="K127" s="25" t="s">
        <v>574</v>
      </c>
      <c r="L127" s="25"/>
      <c r="M127" s="25"/>
      <c r="T127" s="353" t="b" cm="1">
        <f t="array" aca="1" ref="T127" ca="1">T126</f>
        <v>0</v>
      </c>
      <c r="X127" s="990"/>
      <c r="Z127" s="967"/>
      <c r="AB127" s="133" t="s">
        <v>704</v>
      </c>
      <c r="AC127" s="127" t="s">
        <v>2163</v>
      </c>
      <c r="AD127" s="7" t="s">
        <v>828</v>
      </c>
      <c r="AE127" s="778"/>
      <c r="AF127" s="778"/>
      <c r="AG127" s="778"/>
      <c r="AH127" s="542"/>
      <c r="AI127" s="778"/>
      <c r="AJ127" s="128"/>
      <c r="AK127" s="778"/>
      <c r="AL127" s="778"/>
      <c r="AM127" s="778"/>
      <c r="AN127" s="778"/>
      <c r="AO127" s="778"/>
      <c r="AP127" s="778"/>
      <c r="AQ127" s="778"/>
      <c r="AR127" s="778"/>
      <c r="AS127" s="778"/>
      <c r="AT127" s="128"/>
      <c r="AU127" s="778"/>
      <c r="AV127" s="778"/>
      <c r="AW127" s="778"/>
      <c r="AX127" s="778"/>
      <c r="AY127" s="778"/>
      <c r="AZ127" s="778"/>
      <c r="BA127" s="778"/>
      <c r="BB127" s="778"/>
      <c r="BC127" s="778"/>
      <c r="BD127" s="542"/>
      <c r="BE127" s="542"/>
      <c r="BF127" s="542"/>
      <c r="BG127" s="542"/>
      <c r="BH127" s="542"/>
      <c r="BI127" s="542"/>
      <c r="BJ127" s="542"/>
      <c r="BK127" s="542"/>
      <c r="BL127" s="542"/>
      <c r="BM127" s="542"/>
      <c r="BN127" s="775"/>
      <c r="BO127" s="775"/>
      <c r="BP127" s="775"/>
      <c r="BS127" s="696" t="s">
        <v>2164</v>
      </c>
    </row>
    <row r="128" spans="2:75" ht="14.65" hidden="1" customHeight="1" x14ac:dyDescent="0.15">
      <c r="B128" s="644" t="b" cm="1">
        <f t="array" ref="B128">B127</f>
        <v>0</v>
      </c>
      <c r="E128" s="507">
        <v>15</v>
      </c>
      <c r="F128" s="3" cm="1">
        <f t="array" aca="1" ref="F128" ca="1">OFFSET(E128,-1,1)</f>
        <v>0</v>
      </c>
      <c r="K128" s="25" t="s">
        <v>578</v>
      </c>
      <c r="L128" s="25"/>
      <c r="M128" s="25"/>
      <c r="T128" s="353" t="b" cm="1">
        <f t="array" aca="1" ref="T128" ca="1">T127</f>
        <v>0</v>
      </c>
      <c r="X128" s="990"/>
      <c r="Z128" s="967"/>
      <c r="AB128" s="133" t="s">
        <v>707</v>
      </c>
      <c r="AC128" s="127" t="s">
        <v>2165</v>
      </c>
      <c r="AD128" s="7" t="s">
        <v>476</v>
      </c>
      <c r="AE128" s="778"/>
      <c r="AF128" s="778"/>
      <c r="AG128" s="778"/>
      <c r="AH128" s="542"/>
      <c r="AI128" s="778"/>
      <c r="AJ128" s="128"/>
      <c r="AK128" s="778"/>
      <c r="AL128" s="778"/>
      <c r="AM128" s="778"/>
      <c r="AN128" s="778"/>
      <c r="AO128" s="778"/>
      <c r="AP128" s="778"/>
      <c r="AQ128" s="778"/>
      <c r="AR128" s="778"/>
      <c r="AS128" s="778"/>
      <c r="AT128" s="128"/>
      <c r="AU128" s="778"/>
      <c r="AV128" s="778"/>
      <c r="AW128" s="778"/>
      <c r="AX128" s="778"/>
      <c r="AY128" s="778"/>
      <c r="AZ128" s="778"/>
      <c r="BA128" s="778"/>
      <c r="BB128" s="778"/>
      <c r="BC128" s="778"/>
      <c r="BD128" s="542"/>
      <c r="BE128" s="542"/>
      <c r="BF128" s="542"/>
      <c r="BG128" s="542"/>
      <c r="BH128" s="542"/>
      <c r="BI128" s="542"/>
      <c r="BJ128" s="542"/>
      <c r="BK128" s="542"/>
      <c r="BL128" s="542"/>
      <c r="BM128" s="542"/>
      <c r="BN128" s="775"/>
      <c r="BO128" s="775"/>
      <c r="BP128" s="775"/>
      <c r="BS128" s="696" t="s">
        <v>2166</v>
      </c>
    </row>
    <row r="129" spans="2:75" ht="14.65" hidden="1" customHeight="1" x14ac:dyDescent="0.15">
      <c r="B129" s="644" t="b" cm="1">
        <f t="array" ref="B129">B128</f>
        <v>0</v>
      </c>
      <c r="E129" s="507">
        <v>15</v>
      </c>
      <c r="F129" s="3" cm="1">
        <f t="array" aca="1" ref="F129" ca="1">OFFSET(E129,-1,1)</f>
        <v>0</v>
      </c>
      <c r="K129" s="25" t="s">
        <v>794</v>
      </c>
      <c r="L129" s="25"/>
      <c r="M129" s="25"/>
      <c r="T129" s="353" t="b" cm="1">
        <f t="array" aca="1" ref="T129" ca="1">T128</f>
        <v>0</v>
      </c>
      <c r="X129" s="990"/>
      <c r="Z129" s="967"/>
      <c r="AB129" s="133" t="s">
        <v>994</v>
      </c>
      <c r="AC129" s="127" t="s">
        <v>2167</v>
      </c>
      <c r="AD129" s="7" t="s">
        <v>828</v>
      </c>
      <c r="AE129" s="778"/>
      <c r="AF129" s="778"/>
      <c r="AG129" s="778"/>
      <c r="AH129" s="542"/>
      <c r="AI129" s="778"/>
      <c r="AJ129" s="128"/>
      <c r="AK129" s="778"/>
      <c r="AL129" s="778"/>
      <c r="AM129" s="778"/>
      <c r="AN129" s="778"/>
      <c r="AO129" s="778"/>
      <c r="AP129" s="778"/>
      <c r="AQ129" s="778"/>
      <c r="AR129" s="778"/>
      <c r="AS129" s="778"/>
      <c r="AT129" s="128"/>
      <c r="AU129" s="778"/>
      <c r="AV129" s="778"/>
      <c r="AW129" s="778"/>
      <c r="AX129" s="778"/>
      <c r="AY129" s="778"/>
      <c r="AZ129" s="778"/>
      <c r="BA129" s="778"/>
      <c r="BB129" s="778"/>
      <c r="BC129" s="778"/>
      <c r="BD129" s="542"/>
      <c r="BE129" s="542"/>
      <c r="BF129" s="542"/>
      <c r="BG129" s="542"/>
      <c r="BH129" s="542"/>
      <c r="BI129" s="542"/>
      <c r="BJ129" s="542"/>
      <c r="BK129" s="542"/>
      <c r="BL129" s="542"/>
      <c r="BM129" s="542"/>
      <c r="BN129" s="775"/>
      <c r="BO129" s="775"/>
      <c r="BP129" s="775"/>
      <c r="BS129" s="696" t="s">
        <v>2168</v>
      </c>
    </row>
    <row r="130" spans="2:75" ht="14.65" hidden="1" customHeight="1" x14ac:dyDescent="0.15">
      <c r="B130" s="644" t="b" cm="1">
        <f t="array" ref="B130">B129</f>
        <v>0</v>
      </c>
      <c r="E130" s="507">
        <v>15</v>
      </c>
      <c r="F130" s="3" cm="1">
        <f t="array" aca="1" ref="F130" ca="1">OFFSET(E130,-1,1)</f>
        <v>0</v>
      </c>
      <c r="K130" s="25" t="s">
        <v>996</v>
      </c>
      <c r="L130" s="25"/>
      <c r="M130" s="25"/>
      <c r="T130" s="353" t="b" cm="1">
        <f t="array" aca="1" ref="T130" ca="1">T129</f>
        <v>0</v>
      </c>
      <c r="X130" s="990"/>
      <c r="Z130" s="967"/>
      <c r="AB130" s="133" t="s">
        <v>997</v>
      </c>
      <c r="AC130" s="127" t="s">
        <v>2169</v>
      </c>
      <c r="AD130" s="7" t="s">
        <v>828</v>
      </c>
      <c r="AE130" s="778"/>
      <c r="AF130" s="778"/>
      <c r="AG130" s="778"/>
      <c r="AH130" s="542"/>
      <c r="AI130" s="778"/>
      <c r="AJ130" s="128"/>
      <c r="AK130" s="778"/>
      <c r="AL130" s="778"/>
      <c r="AM130" s="778"/>
      <c r="AN130" s="778"/>
      <c r="AO130" s="778"/>
      <c r="AP130" s="778"/>
      <c r="AQ130" s="778"/>
      <c r="AR130" s="778"/>
      <c r="AS130" s="778"/>
      <c r="AT130" s="128"/>
      <c r="AU130" s="778"/>
      <c r="AV130" s="778"/>
      <c r="AW130" s="778"/>
      <c r="AX130" s="778"/>
      <c r="AY130" s="778"/>
      <c r="AZ130" s="778"/>
      <c r="BA130" s="778"/>
      <c r="BB130" s="778"/>
      <c r="BC130" s="778"/>
      <c r="BD130" s="542"/>
      <c r="BE130" s="542"/>
      <c r="BF130" s="542"/>
      <c r="BG130" s="542"/>
      <c r="BH130" s="542"/>
      <c r="BI130" s="542"/>
      <c r="BJ130" s="542"/>
      <c r="BK130" s="542"/>
      <c r="BL130" s="542"/>
      <c r="BM130" s="542"/>
      <c r="BN130" s="775"/>
      <c r="BO130" s="775"/>
      <c r="BP130" s="775"/>
      <c r="BS130" s="696" t="s">
        <v>2170</v>
      </c>
    </row>
    <row r="131" spans="2:75" ht="14.65" hidden="1" customHeight="1" x14ac:dyDescent="0.15">
      <c r="B131" s="644" t="b" cm="1">
        <f t="array" ref="B131">B130</f>
        <v>0</v>
      </c>
      <c r="E131" s="507">
        <v>15</v>
      </c>
      <c r="F131" s="3" cm="1">
        <f t="array" aca="1" ref="F131" ca="1">OFFSET(E131,-1,1)</f>
        <v>0</v>
      </c>
      <c r="K131" s="25" t="s">
        <v>2171</v>
      </c>
      <c r="L131" s="25"/>
      <c r="M131" s="25"/>
      <c r="T131" s="353" t="b" cm="1">
        <f t="array" aca="1" ref="T131" ca="1">T130</f>
        <v>0</v>
      </c>
      <c r="X131" s="990"/>
      <c r="Z131" s="967"/>
      <c r="AB131" s="133" t="s">
        <v>2172</v>
      </c>
      <c r="AC131" s="134" t="s">
        <v>2173</v>
      </c>
      <c r="AD131" s="7" t="s">
        <v>476</v>
      </c>
      <c r="AE131" s="778"/>
      <c r="AF131" s="778"/>
      <c r="AG131" s="778"/>
      <c r="AH131" s="542"/>
      <c r="AI131" s="778"/>
      <c r="AJ131" s="128"/>
      <c r="AK131" s="778"/>
      <c r="AL131" s="778"/>
      <c r="AM131" s="778"/>
      <c r="AN131" s="778"/>
      <c r="AO131" s="778"/>
      <c r="AP131" s="778"/>
      <c r="AQ131" s="778"/>
      <c r="AR131" s="778"/>
      <c r="AS131" s="778"/>
      <c r="AT131" s="128"/>
      <c r="AU131" s="778"/>
      <c r="AV131" s="778"/>
      <c r="AW131" s="778"/>
      <c r="AX131" s="778"/>
      <c r="AY131" s="778"/>
      <c r="AZ131" s="778"/>
      <c r="BA131" s="778"/>
      <c r="BB131" s="778"/>
      <c r="BC131" s="778"/>
      <c r="BD131" s="542"/>
      <c r="BE131" s="542"/>
      <c r="BF131" s="542"/>
      <c r="BG131" s="542"/>
      <c r="BH131" s="542"/>
      <c r="BI131" s="542"/>
      <c r="BJ131" s="542"/>
      <c r="BK131" s="542"/>
      <c r="BL131" s="542"/>
      <c r="BM131" s="542"/>
      <c r="BN131" s="775"/>
      <c r="BO131" s="775"/>
      <c r="BP131" s="775"/>
      <c r="BS131" s="696" t="s">
        <v>2174</v>
      </c>
    </row>
    <row r="132" spans="2:75" ht="14.65" hidden="1" customHeight="1" x14ac:dyDescent="0.15">
      <c r="B132" s="644" t="b" cm="1">
        <f t="array" ref="B132">B131</f>
        <v>0</v>
      </c>
      <c r="E132" s="507">
        <v>15</v>
      </c>
      <c r="F132" s="3" cm="1">
        <f t="array" aca="1" ref="F132" ca="1">OFFSET(E132,-1,1)</f>
        <v>0</v>
      </c>
      <c r="K132" s="25" t="s">
        <v>999</v>
      </c>
      <c r="L132" s="25"/>
      <c r="M132" s="25"/>
      <c r="T132" s="353" t="b" cm="1">
        <f t="array" aca="1" ref="T132" ca="1">T131</f>
        <v>0</v>
      </c>
      <c r="X132" s="990"/>
      <c r="Z132" s="967"/>
      <c r="AB132" s="133" t="s">
        <v>1000</v>
      </c>
      <c r="AC132" s="127" t="s">
        <v>2175</v>
      </c>
      <c r="AD132" s="7" t="s">
        <v>476</v>
      </c>
      <c r="AE132" s="778"/>
      <c r="AF132" s="778"/>
      <c r="AG132" s="778"/>
      <c r="AH132" s="542"/>
      <c r="AI132" s="778"/>
      <c r="AJ132" s="128"/>
      <c r="AK132" s="778"/>
      <c r="AL132" s="778"/>
      <c r="AM132" s="778"/>
      <c r="AN132" s="778"/>
      <c r="AO132" s="778"/>
      <c r="AP132" s="778"/>
      <c r="AQ132" s="778"/>
      <c r="AR132" s="778"/>
      <c r="AS132" s="778"/>
      <c r="AT132" s="128"/>
      <c r="AU132" s="778"/>
      <c r="AV132" s="778"/>
      <c r="AW132" s="778"/>
      <c r="AX132" s="778"/>
      <c r="AY132" s="778"/>
      <c r="AZ132" s="778"/>
      <c r="BA132" s="778"/>
      <c r="BB132" s="778"/>
      <c r="BC132" s="778"/>
      <c r="BD132" s="542"/>
      <c r="BE132" s="542"/>
      <c r="BF132" s="542"/>
      <c r="BG132" s="542"/>
      <c r="BH132" s="542"/>
      <c r="BI132" s="542"/>
      <c r="BJ132" s="542"/>
      <c r="BK132" s="542"/>
      <c r="BL132" s="542"/>
      <c r="BM132" s="542"/>
      <c r="BN132" s="775"/>
      <c r="BO132" s="775"/>
      <c r="BP132" s="775"/>
      <c r="BS132" s="696" t="s">
        <v>2176</v>
      </c>
    </row>
    <row r="133" spans="2:75" ht="14.65" hidden="1" customHeight="1" x14ac:dyDescent="0.15">
      <c r="B133" s="644" t="b" cm="1">
        <f t="array" ref="B133">B132</f>
        <v>0</v>
      </c>
      <c r="E133" s="507">
        <v>15</v>
      </c>
      <c r="F133" s="3" cm="1">
        <f t="array" aca="1" ref="F133" ca="1">OFFSET(E133,-1,1)</f>
        <v>0</v>
      </c>
      <c r="K133" s="25" t="s">
        <v>2177</v>
      </c>
      <c r="L133" s="25"/>
      <c r="M133" s="25"/>
      <c r="T133" s="353" t="b" cm="1">
        <f t="array" aca="1" ref="T133" ca="1">T132</f>
        <v>0</v>
      </c>
      <c r="X133" s="990"/>
      <c r="Z133" s="967"/>
      <c r="AB133" s="133" t="s">
        <v>2178</v>
      </c>
      <c r="AC133" s="134" t="s">
        <v>2179</v>
      </c>
      <c r="AD133" s="7" t="s">
        <v>476</v>
      </c>
      <c r="AE133" s="778"/>
      <c r="AF133" s="778"/>
      <c r="AG133" s="778"/>
      <c r="AH133" s="542"/>
      <c r="AI133" s="778"/>
      <c r="AJ133" s="128"/>
      <c r="AK133" s="778"/>
      <c r="AL133" s="778"/>
      <c r="AM133" s="778"/>
      <c r="AN133" s="778"/>
      <c r="AO133" s="778"/>
      <c r="AP133" s="778"/>
      <c r="AQ133" s="778"/>
      <c r="AR133" s="778"/>
      <c r="AS133" s="778"/>
      <c r="AT133" s="128"/>
      <c r="AU133" s="778"/>
      <c r="AV133" s="778"/>
      <c r="AW133" s="778"/>
      <c r="AX133" s="778"/>
      <c r="AY133" s="778"/>
      <c r="AZ133" s="778"/>
      <c r="BA133" s="778"/>
      <c r="BB133" s="778"/>
      <c r="BC133" s="778"/>
      <c r="BD133" s="542"/>
      <c r="BE133" s="542"/>
      <c r="BF133" s="542"/>
      <c r="BG133" s="542"/>
      <c r="BH133" s="542"/>
      <c r="BI133" s="542"/>
      <c r="BJ133" s="542"/>
      <c r="BK133" s="542"/>
      <c r="BL133" s="542"/>
      <c r="BM133" s="542"/>
      <c r="BN133" s="775"/>
      <c r="BO133" s="775"/>
      <c r="BP133" s="775"/>
      <c r="BS133" s="696" t="s">
        <v>2180</v>
      </c>
    </row>
    <row r="134" spans="2:75" ht="14.65" hidden="1" customHeight="1" x14ac:dyDescent="0.15">
      <c r="B134" s="644" t="b" cm="1">
        <f t="array" ref="B134">B133</f>
        <v>0</v>
      </c>
      <c r="E134" s="507">
        <v>15</v>
      </c>
      <c r="F134" s="3" cm="1">
        <f t="array" aca="1" ref="F134" ca="1">OFFSET(E134,-1,1)</f>
        <v>0</v>
      </c>
      <c r="K134" s="25" t="s">
        <v>2181</v>
      </c>
      <c r="L134" s="25"/>
      <c r="M134" s="25"/>
      <c r="T134" s="353" t="b" cm="1">
        <f t="array" aca="1" ref="T134" ca="1">T133</f>
        <v>0</v>
      </c>
      <c r="X134" s="990"/>
      <c r="Z134" s="967"/>
      <c r="AB134" s="133" t="s">
        <v>2182</v>
      </c>
      <c r="AC134" s="134" t="s">
        <v>2183</v>
      </c>
      <c r="AD134" s="7" t="s">
        <v>476</v>
      </c>
      <c r="AE134" s="778"/>
      <c r="AF134" s="778"/>
      <c r="AG134" s="778"/>
      <c r="AH134" s="542"/>
      <c r="AI134" s="778"/>
      <c r="AJ134" s="128"/>
      <c r="AK134" s="778"/>
      <c r="AL134" s="778"/>
      <c r="AM134" s="778"/>
      <c r="AN134" s="778"/>
      <c r="AO134" s="778"/>
      <c r="AP134" s="778"/>
      <c r="AQ134" s="778"/>
      <c r="AR134" s="778"/>
      <c r="AS134" s="778"/>
      <c r="AT134" s="128"/>
      <c r="AU134" s="778"/>
      <c r="AV134" s="778"/>
      <c r="AW134" s="778"/>
      <c r="AX134" s="778"/>
      <c r="AY134" s="778"/>
      <c r="AZ134" s="778"/>
      <c r="BA134" s="778"/>
      <c r="BB134" s="778"/>
      <c r="BC134" s="778"/>
      <c r="BD134" s="542"/>
      <c r="BE134" s="542"/>
      <c r="BF134" s="542"/>
      <c r="BG134" s="542"/>
      <c r="BH134" s="542"/>
      <c r="BI134" s="542"/>
      <c r="BJ134" s="542"/>
      <c r="BK134" s="542"/>
      <c r="BL134" s="542"/>
      <c r="BM134" s="542"/>
      <c r="BN134" s="775"/>
      <c r="BO134" s="775"/>
      <c r="BP134" s="775"/>
      <c r="BS134" s="696" t="s">
        <v>2184</v>
      </c>
    </row>
    <row r="135" spans="2:75" s="76" customFormat="1" ht="20.45" hidden="1" customHeight="1" x14ac:dyDescent="0.15">
      <c r="B135" s="332"/>
      <c r="D135" s="27" t="str">
        <f>IF(B134,"6","7")</f>
        <v>7</v>
      </c>
      <c r="E135" s="511">
        <v>21</v>
      </c>
      <c r="F135" s="3" cm="1">
        <f t="array" aca="1" ref="F135" ca="1">OFFSET(E135,-1,1)</f>
        <v>0</v>
      </c>
      <c r="G135" s="72" t="s">
        <v>2185</v>
      </c>
      <c r="H135" s="72"/>
      <c r="I135" s="279" t="s">
        <v>2186</v>
      </c>
      <c r="K135" s="279" t="s">
        <v>2186</v>
      </c>
      <c r="L135" s="27"/>
      <c r="M135" s="27"/>
      <c r="T135" s="353" t="b" cm="1">
        <f t="array" aca="1" ref="T135" ca="1">T134</f>
        <v>0</v>
      </c>
      <c r="X135" s="990"/>
      <c r="Z135" s="967"/>
      <c r="AB135" s="124" t="str" cm="1">
        <f t="array" ref="AB135">D135</f>
        <v>7</v>
      </c>
      <c r="AC135" s="132" t="s">
        <v>1598</v>
      </c>
      <c r="AD135" s="124" t="s">
        <v>828</v>
      </c>
      <c r="AE135" s="774"/>
      <c r="AF135" s="774"/>
      <c r="AG135" s="774"/>
      <c r="AH135" s="126">
        <f>AG135-AF135</f>
        <v>0</v>
      </c>
      <c r="AI135" s="774"/>
      <c r="AJ135" s="128">
        <f ca="1">SUMIFS('Корректировка НВВ'!$AF$25:$AF$231,'Корректировка НВВ'!$F$25:$F$231,$F135,'Корректировка НВВ'!$I$25:$I$231,$G135)</f>
        <v>0</v>
      </c>
      <c r="AK135" s="774"/>
      <c r="AL135" s="774"/>
      <c r="AM135" s="774"/>
      <c r="AN135" s="774"/>
      <c r="AO135" s="774"/>
      <c r="AP135" s="774"/>
      <c r="AQ135" s="774"/>
      <c r="AR135" s="774"/>
      <c r="AS135" s="774"/>
      <c r="AT135" s="128">
        <f ca="1">SUMIFS('Корректировка НВВ'!$AG$25:$AG$231,'Корректировка НВВ'!$F$25:$F$231,$F135,'Корректировка НВВ'!$I$25:$I$231,$G135)</f>
        <v>0</v>
      </c>
      <c r="AU135" s="774"/>
      <c r="AV135" s="774"/>
      <c r="AW135" s="774"/>
      <c r="AX135" s="774"/>
      <c r="AY135" s="774"/>
      <c r="AZ135" s="774"/>
      <c r="BA135" s="774"/>
      <c r="BB135" s="774"/>
      <c r="BC135" s="774"/>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7"/>
      <c r="BO135" s="779" t="str">
        <f ca="1">IF(IFERROR(INDEX('Корректировка НВВ'!$K$26:$L$231,MATCH($F135&amp;"11komm",'Корректировка НВВ'!$K$26:$K$231,0),2),"")=0,"",IFERROR(INDEX('Корректировка НВВ'!$K$26:$L$231,MATCH($F135&amp;"11komm",'Корректировка НВВ'!$K$26:$K$231,0),2),""))</f>
        <v/>
      </c>
      <c r="BP135" s="777"/>
      <c r="BS135" s="702" t="s">
        <v>2187</v>
      </c>
      <c r="BT135" s="702"/>
      <c r="BU135" s="702"/>
      <c r="BV135" s="511"/>
      <c r="BW135" s="511"/>
    </row>
    <row r="136" spans="2:75" ht="14.65" hidden="1" customHeight="1" x14ac:dyDescent="0.15">
      <c r="D136" s="25" t="str" cm="1">
        <f t="array" ref="D136">D135</f>
        <v>7</v>
      </c>
      <c r="E136" s="507">
        <v>15</v>
      </c>
      <c r="F136" s="3" cm="1">
        <f t="array" aca="1" ref="F136" ca="1">OFFSET(E136,-1,1)</f>
        <v>0</v>
      </c>
      <c r="L136" s="25"/>
      <c r="M136" s="25"/>
      <c r="T136" s="353" t="b" cm="1">
        <f t="array" aca="1" ref="T136" ca="1">T135</f>
        <v>0</v>
      </c>
      <c r="X136" s="990"/>
      <c r="Z136" s="967"/>
      <c r="AB136" s="7"/>
      <c r="AC136" s="346" t="s">
        <v>2188</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x14ac:dyDescent="0.15">
      <c r="D137" s="25" t="str" cm="1">
        <f t="array" ref="D137">D136</f>
        <v>7</v>
      </c>
      <c r="E137" s="507">
        <v>22.5</v>
      </c>
      <c r="F137" s="3" cm="1">
        <f t="array" aca="1" ref="F137" ca="1">OFFSET(E137,-1,1)</f>
        <v>0</v>
      </c>
      <c r="G137" s="72" t="s">
        <v>373</v>
      </c>
      <c r="I137" s="72" t="s">
        <v>535</v>
      </c>
      <c r="K137" s="72" t="s">
        <v>535</v>
      </c>
      <c r="L137" s="25"/>
      <c r="M137" s="25"/>
      <c r="T137" s="353" t="b" cm="1">
        <f t="array" aca="1" ref="T137" ca="1">T136</f>
        <v>0</v>
      </c>
      <c r="X137" s="990"/>
      <c r="Z137" s="967"/>
      <c r="AB137" s="7" t="str">
        <f>D137&amp;".1"</f>
        <v>7.1</v>
      </c>
      <c r="AC137" s="127" t="s">
        <v>2189</v>
      </c>
      <c r="AD137" s="7" t="s">
        <v>828</v>
      </c>
      <c r="AE137" s="778"/>
      <c r="AF137" s="778"/>
      <c r="AG137" s="778"/>
      <c r="AH137" s="171">
        <f t="shared" ref="AH137:AH150" si="25">AG137-AF137</f>
        <v>0</v>
      </c>
      <c r="AI137" s="778"/>
      <c r="AJ137" s="128">
        <f ca="1">SUMIFS('Корректировка НВВ'!$AF$25:$AF$231,'Корректировка НВВ'!$F$25:$F$231,$F137,'Корректировка НВВ'!$I$25:$I$231,$G137)</f>
        <v>0</v>
      </c>
      <c r="AK137" s="778"/>
      <c r="AL137" s="778"/>
      <c r="AM137" s="778"/>
      <c r="AN137" s="778"/>
      <c r="AO137" s="778"/>
      <c r="AP137" s="778"/>
      <c r="AQ137" s="778"/>
      <c r="AR137" s="778"/>
      <c r="AS137" s="778"/>
      <c r="AT137" s="128">
        <f ca="1">SUMIFS('Корректировка НВВ'!$AG$25:$AG$231,'Корректировка НВВ'!$F$25:$F$231,$F137,'Корректировка НВВ'!$I$25:$I$231,$G137)</f>
        <v>0</v>
      </c>
      <c r="AU137" s="778"/>
      <c r="AV137" s="778"/>
      <c r="AW137" s="778"/>
      <c r="AX137" s="778"/>
      <c r="AY137" s="778"/>
      <c r="AZ137" s="778"/>
      <c r="BA137" s="778"/>
      <c r="BB137" s="778"/>
      <c r="BC137" s="778"/>
      <c r="BD137" s="542"/>
      <c r="BE137" s="542"/>
      <c r="BF137" s="542"/>
      <c r="BG137" s="542"/>
      <c r="BH137" s="542"/>
      <c r="BI137" s="542"/>
      <c r="BJ137" s="542"/>
      <c r="BK137" s="542"/>
      <c r="BL137" s="542"/>
      <c r="BM137" s="542"/>
      <c r="BN137" s="775"/>
      <c r="BO137" s="779" t="str">
        <f ca="1">IF(IFERROR(INDEX('Корректировка НВВ'!$K$26:$L$231,MATCH($F137&amp;"1komm",'Корректировка НВВ'!$K$26:$K$231,0),2),"")=0,"",IFERROR(INDEX('Корректировка НВВ'!$K$26:$L$231,MATCH($F137&amp;"1komm",'Корректировка НВВ'!$K$26:$K$231,0),2),""))</f>
        <v/>
      </c>
      <c r="BP137" s="775"/>
      <c r="BS137" s="696" t="s">
        <v>2190</v>
      </c>
    </row>
    <row r="138" spans="2:75" ht="98.65" hidden="1" customHeight="1" x14ac:dyDescent="0.15">
      <c r="D138" s="25" t="str" cm="1">
        <f t="array" ref="D138">D137</f>
        <v>7</v>
      </c>
      <c r="E138" s="507">
        <v>101.25</v>
      </c>
      <c r="F138" s="3" cm="1">
        <f t="array" aca="1" ref="F138" ca="1">OFFSET(E138,-1,1)</f>
        <v>0</v>
      </c>
      <c r="G138" s="72" t="s">
        <v>2191</v>
      </c>
      <c r="I138" s="72" t="s">
        <v>586</v>
      </c>
      <c r="K138" s="72" t="s">
        <v>586</v>
      </c>
      <c r="L138" s="25"/>
      <c r="M138" s="25"/>
      <c r="T138" s="353" t="b" cm="1">
        <f t="array" aca="1" ref="T138" ca="1">T137</f>
        <v>0</v>
      </c>
      <c r="X138" s="990"/>
      <c r="Z138" s="967"/>
      <c r="AB138" s="7" t="str">
        <f>D138&amp;".2"</f>
        <v>7.2</v>
      </c>
      <c r="AC138" s="127" t="s">
        <v>2192</v>
      </c>
      <c r="AD138" s="7" t="s">
        <v>828</v>
      </c>
      <c r="AE138" s="778"/>
      <c r="AF138" s="778"/>
      <c r="AG138" s="778"/>
      <c r="AH138" s="171">
        <f t="shared" si="25"/>
        <v>0</v>
      </c>
      <c r="AI138" s="778"/>
      <c r="AJ138" s="128">
        <f ca="1">SUMIFS('Корректировка НВВ'!$AF$25:$AF$231,'Корректировка НВВ'!$F$25:$F$231,$F138,'Корректировка НВВ'!$I$25:$I$231,$G138)</f>
        <v>0</v>
      </c>
      <c r="AK138" s="778"/>
      <c r="AL138" s="778"/>
      <c r="AM138" s="778"/>
      <c r="AN138" s="778"/>
      <c r="AO138" s="778"/>
      <c r="AP138" s="778"/>
      <c r="AQ138" s="778"/>
      <c r="AR138" s="778"/>
      <c r="AS138" s="778"/>
      <c r="AT138" s="128">
        <f ca="1">SUMIFS('Корректировка НВВ'!$AG$25:$AG$231,'Корректировка НВВ'!$F$25:$F$231,$F138,'Корректировка НВВ'!$I$25:$I$231,$G138)</f>
        <v>0</v>
      </c>
      <c r="AU138" s="778"/>
      <c r="AV138" s="778"/>
      <c r="AW138" s="778"/>
      <c r="AX138" s="778"/>
      <c r="AY138" s="778"/>
      <c r="AZ138" s="778"/>
      <c r="BA138" s="778"/>
      <c r="BB138" s="778"/>
      <c r="BC138" s="778"/>
      <c r="BD138" s="542"/>
      <c r="BE138" s="542"/>
      <c r="BF138" s="542"/>
      <c r="BG138" s="542"/>
      <c r="BH138" s="542"/>
      <c r="BI138" s="542"/>
      <c r="BJ138" s="542"/>
      <c r="BK138" s="542"/>
      <c r="BL138" s="542"/>
      <c r="BM138" s="542"/>
      <c r="BN138" s="775"/>
      <c r="BO138" s="779" t="str">
        <f ca="1">IF(IFERROR(INDEX('Корректировка НВВ'!$K$26:$L$231,MATCH($F138&amp;"2komm",'Корректировка НВВ'!$K$26:$K$231,0),2),"")=0,"",IFERROR(INDEX('Корректировка НВВ'!$K$26:$L$231,MATCH($F138&amp;"2komm",'Корректировка НВВ'!$K$26:$K$231,0),2),""))</f>
        <v/>
      </c>
      <c r="BP138" s="775"/>
      <c r="BS138" s="696" t="s">
        <v>2193</v>
      </c>
    </row>
    <row r="139" spans="2:75" ht="43.9" hidden="1" customHeight="1" x14ac:dyDescent="0.15">
      <c r="D139" s="25" t="str" cm="1">
        <f t="array" ref="D139">D138</f>
        <v>7</v>
      </c>
      <c r="E139" s="507">
        <v>45</v>
      </c>
      <c r="F139" s="3" cm="1">
        <f t="array" aca="1" ref="F139" ca="1">OFFSET(E139,-1,1)</f>
        <v>0</v>
      </c>
      <c r="I139" s="72" t="s">
        <v>601</v>
      </c>
      <c r="K139" s="72" t="s">
        <v>601</v>
      </c>
      <c r="L139" s="25"/>
      <c r="M139" s="25"/>
      <c r="T139" s="353" t="b" cm="1">
        <f t="array" aca="1" ref="T139" ca="1">T138</f>
        <v>0</v>
      </c>
      <c r="X139" s="990"/>
      <c r="Z139" s="967"/>
      <c r="AB139" s="7" t="str">
        <f>D139&amp;".3"</f>
        <v>7.3</v>
      </c>
      <c r="AC139" s="127" t="s">
        <v>2194</v>
      </c>
      <c r="AD139" s="7" t="s">
        <v>828</v>
      </c>
      <c r="AE139" s="778"/>
      <c r="AF139" s="778"/>
      <c r="AG139" s="778"/>
      <c r="AH139" s="171">
        <f t="shared" si="25"/>
        <v>0</v>
      </c>
      <c r="AI139" s="778"/>
      <c r="AJ139" s="128">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78"/>
      <c r="AL139" s="778"/>
      <c r="AM139" s="778"/>
      <c r="AN139" s="778"/>
      <c r="AO139" s="778"/>
      <c r="AP139" s="778"/>
      <c r="AQ139" s="778"/>
      <c r="AR139" s="778"/>
      <c r="AS139" s="778"/>
      <c r="AT139" s="128">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78"/>
      <c r="AV139" s="778"/>
      <c r="AW139" s="778"/>
      <c r="AX139" s="778"/>
      <c r="AY139" s="778"/>
      <c r="AZ139" s="778"/>
      <c r="BA139" s="778"/>
      <c r="BB139" s="778"/>
      <c r="BC139" s="778"/>
      <c r="BD139" s="542"/>
      <c r="BE139" s="542"/>
      <c r="BF139" s="542"/>
      <c r="BG139" s="542"/>
      <c r="BH139" s="542"/>
      <c r="BI139" s="542"/>
      <c r="BJ139" s="542"/>
      <c r="BK139" s="542"/>
      <c r="BL139" s="542"/>
      <c r="BM139" s="542"/>
      <c r="BN139" s="775"/>
      <c r="BO139" s="779"/>
      <c r="BP139" s="775"/>
      <c r="BS139" s="696" t="s">
        <v>2195</v>
      </c>
    </row>
    <row r="140" spans="2:75" ht="87.75" hidden="1" customHeight="1" x14ac:dyDescent="0.25">
      <c r="B140" s="341" t="b">
        <f>S27="Водоотведение"</f>
        <v>0</v>
      </c>
      <c r="D140" s="25" t="str" cm="1">
        <f t="array" ref="D140">D139</f>
        <v>7</v>
      </c>
      <c r="E140" s="507">
        <v>90</v>
      </c>
      <c r="F140" s="3" cm="1">
        <f t="array" aca="1" ref="F140" ca="1">OFFSET(E140,-1,1)</f>
        <v>0</v>
      </c>
      <c r="G140" s="72" t="s">
        <v>2196</v>
      </c>
      <c r="H140" s="2"/>
      <c r="I140" s="72" t="s">
        <v>770</v>
      </c>
      <c r="K140" s="72" t="s">
        <v>770</v>
      </c>
      <c r="L140" s="25" t="s">
        <v>767</v>
      </c>
      <c r="M140" s="25"/>
      <c r="T140" s="353" t="b" cm="1">
        <f t="array" aca="1" ref="T140" ca="1">T139</f>
        <v>0</v>
      </c>
      <c r="X140" s="990"/>
      <c r="Z140" s="967"/>
      <c r="AB140" s="7" t="str">
        <f>D140&amp;".4"</f>
        <v>7.4</v>
      </c>
      <c r="AC140" s="127" t="s">
        <v>1857</v>
      </c>
      <c r="AD140" s="9" t="s">
        <v>828</v>
      </c>
      <c r="AE140" s="778"/>
      <c r="AF140" s="778"/>
      <c r="AG140" s="778"/>
      <c r="AH140" s="171">
        <f t="shared" si="25"/>
        <v>0</v>
      </c>
      <c r="AI140" s="778"/>
      <c r="AJ140" s="128">
        <f ca="1">SUMIFS('Корректировка НВВ'!$AF$25:$AF$231,'Корректировка НВВ'!$F$25:$F$231,$F140,'Корректировка НВВ'!$I$25:$I$231,$G140)</f>
        <v>0</v>
      </c>
      <c r="AK140" s="778"/>
      <c r="AL140" s="778"/>
      <c r="AM140" s="778"/>
      <c r="AN140" s="778"/>
      <c r="AO140" s="778"/>
      <c r="AP140" s="778"/>
      <c r="AQ140" s="778"/>
      <c r="AR140" s="778"/>
      <c r="AS140" s="778"/>
      <c r="AT140" s="128">
        <f ca="1">SUMIFS('Корректировка НВВ'!$AG$25:$AG$231,'Корректировка НВВ'!$F$25:$F$231,$F140,'Корректировка НВВ'!$I$25:$I$231,$G140)</f>
        <v>0</v>
      </c>
      <c r="AU140" s="778"/>
      <c r="AV140" s="778"/>
      <c r="AW140" s="778"/>
      <c r="AX140" s="778"/>
      <c r="AY140" s="778"/>
      <c r="AZ140" s="778"/>
      <c r="BA140" s="778"/>
      <c r="BB140" s="778"/>
      <c r="BC140" s="778"/>
      <c r="BD140" s="542"/>
      <c r="BE140" s="542"/>
      <c r="BF140" s="542"/>
      <c r="BG140" s="542"/>
      <c r="BH140" s="542"/>
      <c r="BI140" s="542"/>
      <c r="BJ140" s="542"/>
      <c r="BK140" s="542"/>
      <c r="BL140" s="542"/>
      <c r="BM140" s="542"/>
      <c r="BN140" s="775"/>
      <c r="BO140" s="779" t="str">
        <f ca="1">IF(IFERROR(INDEX('Корректировка НВВ'!$K$26:$L$231,MATCH($F140&amp;"3komm",'Корректировка НВВ'!$K$26:$K$231,0),2),"")=0,"",IFERROR(INDEX('Корректировка НВВ'!$K$26:$L$231,MATCH($F140&amp;"3komm",'Корректировка НВВ'!$K$26:$K$231,0),2),""))</f>
        <v/>
      </c>
      <c r="BP140" s="775"/>
      <c r="BS140" s="696" t="s">
        <v>1374</v>
      </c>
    </row>
    <row r="141" spans="2:75" ht="54.75" hidden="1" customHeight="1" x14ac:dyDescent="0.25">
      <c r="B141" s="341" t="b" cm="1">
        <f t="array" ref="B141">B140</f>
        <v>0</v>
      </c>
      <c r="D141" s="25" t="str" cm="1">
        <f t="array" ref="D141">D140</f>
        <v>7</v>
      </c>
      <c r="E141" s="507">
        <v>56.25</v>
      </c>
      <c r="F141" s="3" cm="1">
        <f t="array" aca="1" ref="F141" ca="1">OFFSET(E141,-1,1)</f>
        <v>0</v>
      </c>
      <c r="G141" s="72" t="s">
        <v>2197</v>
      </c>
      <c r="H141" s="2"/>
      <c r="I141" s="72" t="s">
        <v>806</v>
      </c>
      <c r="K141" s="72" t="s">
        <v>806</v>
      </c>
      <c r="L141" s="25" t="s">
        <v>770</v>
      </c>
      <c r="M141" s="25"/>
      <c r="T141" s="353" t="b" cm="1">
        <f t="array" aca="1" ref="T141" ca="1">T140</f>
        <v>0</v>
      </c>
      <c r="X141" s="990"/>
      <c r="Z141" s="967"/>
      <c r="AB141" s="7" t="str">
        <f>D141&amp;".5"</f>
        <v>7.5</v>
      </c>
      <c r="AC141" s="127" t="s">
        <v>1859</v>
      </c>
      <c r="AD141" s="9" t="s">
        <v>828</v>
      </c>
      <c r="AE141" s="778"/>
      <c r="AF141" s="778"/>
      <c r="AG141" s="778"/>
      <c r="AH141" s="171">
        <f t="shared" si="25"/>
        <v>0</v>
      </c>
      <c r="AI141" s="778"/>
      <c r="AJ141" s="128">
        <f ca="1">SUMIFS('Корректировка НВВ'!$AF$25:$AF$231,'Корректировка НВВ'!$F$25:$F$231,$F141,'Корректировка НВВ'!$I$25:$I$231,$G141)</f>
        <v>0</v>
      </c>
      <c r="AK141" s="778"/>
      <c r="AL141" s="778"/>
      <c r="AM141" s="778"/>
      <c r="AN141" s="778"/>
      <c r="AO141" s="778"/>
      <c r="AP141" s="778"/>
      <c r="AQ141" s="778"/>
      <c r="AR141" s="778"/>
      <c r="AS141" s="778"/>
      <c r="AT141" s="128">
        <f ca="1">SUMIFS('Корректировка НВВ'!$AG$25:$AG$231,'Корректировка НВВ'!$F$25:$F$231,$F141,'Корректировка НВВ'!$I$25:$I$231,$G141)</f>
        <v>0</v>
      </c>
      <c r="AU141" s="778"/>
      <c r="AV141" s="778"/>
      <c r="AW141" s="778"/>
      <c r="AX141" s="778"/>
      <c r="AY141" s="778"/>
      <c r="AZ141" s="778"/>
      <c r="BA141" s="778"/>
      <c r="BB141" s="778"/>
      <c r="BC141" s="778"/>
      <c r="BD141" s="542"/>
      <c r="BE141" s="542"/>
      <c r="BF141" s="542"/>
      <c r="BG141" s="542"/>
      <c r="BH141" s="542"/>
      <c r="BI141" s="542"/>
      <c r="BJ141" s="542"/>
      <c r="BK141" s="542"/>
      <c r="BL141" s="542"/>
      <c r="BM141" s="542"/>
      <c r="BN141" s="775"/>
      <c r="BO141" s="779" t="str">
        <f ca="1">IF(IFERROR(INDEX('Корректировка НВВ'!$K$26:$L$231,MATCH($F141&amp;"4komm",'Корректировка НВВ'!$K$26:$K$231,0),2),"")=0,"",IFERROR(INDEX('Корректировка НВВ'!$K$26:$L$231,MATCH($F141&amp;"4komm",'Корректировка НВВ'!$K$26:$K$231,0),2),""))</f>
        <v/>
      </c>
      <c r="BP141" s="775"/>
      <c r="BS141" s="696" t="s">
        <v>1378</v>
      </c>
    </row>
    <row r="142" spans="2:75" ht="14.65" hidden="1" customHeight="1" x14ac:dyDescent="0.15">
      <c r="D142" s="25" t="str" cm="1">
        <f t="array" ref="D142">D141</f>
        <v>7</v>
      </c>
      <c r="E142" s="507">
        <v>15</v>
      </c>
      <c r="F142" s="3" cm="1">
        <f t="array" aca="1" ref="F142" ca="1">OFFSET(E142,-1,1)</f>
        <v>0</v>
      </c>
      <c r="G142" s="72" t="s">
        <v>2198</v>
      </c>
      <c r="I142" s="72" t="s">
        <v>807</v>
      </c>
      <c r="K142" s="72" t="s">
        <v>807</v>
      </c>
      <c r="L142" s="25" t="s">
        <v>806</v>
      </c>
      <c r="M142" s="25"/>
      <c r="T142" s="353" t="b" cm="1">
        <f t="array" aca="1" ref="T142" ca="1">T141</f>
        <v>0</v>
      </c>
      <c r="X142" s="990"/>
      <c r="Z142" s="967"/>
      <c r="AB142" s="7" t="str">
        <f>IF(B141,D142&amp;".6",D142&amp;".4")</f>
        <v>7.4</v>
      </c>
      <c r="AC142" s="127" t="s">
        <v>1591</v>
      </c>
      <c r="AD142" s="7" t="s">
        <v>828</v>
      </c>
      <c r="AE142" s="778"/>
      <c r="AF142" s="778"/>
      <c r="AG142" s="778"/>
      <c r="AH142" s="171">
        <f t="shared" si="25"/>
        <v>0</v>
      </c>
      <c r="AI142" s="778"/>
      <c r="AJ142" s="128">
        <f ca="1">SUMIFS('Корректировка НВВ'!$AF$25:$AF$231,'Корректировка НВВ'!$F$25:$F$231,$F142,'Корректировка НВВ'!$I$25:$I$231,$G142)</f>
        <v>0</v>
      </c>
      <c r="AK142" s="778"/>
      <c r="AL142" s="778"/>
      <c r="AM142" s="778"/>
      <c r="AN142" s="778"/>
      <c r="AO142" s="778"/>
      <c r="AP142" s="778"/>
      <c r="AQ142" s="778"/>
      <c r="AR142" s="778"/>
      <c r="AS142" s="778"/>
      <c r="AT142" s="128">
        <f ca="1">SUMIFS('Корректировка НВВ'!$AG$25:$AG$231,'Корректировка НВВ'!$F$25:$F$231,$F142,'Корректировка НВВ'!$I$25:$I$231,$G142)</f>
        <v>0</v>
      </c>
      <c r="AU142" s="778"/>
      <c r="AV142" s="778"/>
      <c r="AW142" s="778"/>
      <c r="AX142" s="778"/>
      <c r="AY142" s="778"/>
      <c r="AZ142" s="778"/>
      <c r="BA142" s="778"/>
      <c r="BB142" s="778"/>
      <c r="BC142" s="778"/>
      <c r="BD142" s="542"/>
      <c r="BE142" s="542"/>
      <c r="BF142" s="542"/>
      <c r="BG142" s="542"/>
      <c r="BH142" s="542"/>
      <c r="BI142" s="542"/>
      <c r="BJ142" s="542"/>
      <c r="BK142" s="542"/>
      <c r="BL142" s="542"/>
      <c r="BM142" s="542"/>
      <c r="BN142" s="775"/>
      <c r="BO142" s="779" t="str">
        <f ca="1">IF(IFERROR(INDEX('Корректировка НВВ'!$K$26:$L$231,MATCH($F142&amp;"5komm",'Корректировка НВВ'!$K$26:$K$231,0),2),"")=0,"",IFERROR(INDEX('Корректировка НВВ'!$K$26:$L$231,MATCH($F142&amp;"5komm",'Корректировка НВВ'!$K$26:$K$231,0),2),""))</f>
        <v/>
      </c>
      <c r="BP142" s="775"/>
      <c r="BS142" s="696" t="s">
        <v>2199</v>
      </c>
    </row>
    <row r="143" spans="2:75" ht="14.65" hidden="1" customHeight="1" x14ac:dyDescent="0.15">
      <c r="D143" s="25" t="str" cm="1">
        <f t="array" ref="D143">D142</f>
        <v>7</v>
      </c>
      <c r="E143" s="507">
        <v>15</v>
      </c>
      <c r="F143" s="3" cm="1">
        <f t="array" aca="1" ref="F143" ca="1">OFFSET(E143,-1,1)</f>
        <v>0</v>
      </c>
      <c r="G143" s="72" t="s">
        <v>2200</v>
      </c>
      <c r="I143" s="72" t="s">
        <v>1869</v>
      </c>
      <c r="K143" s="72" t="s">
        <v>1869</v>
      </c>
      <c r="L143" s="25" t="s">
        <v>807</v>
      </c>
      <c r="M143" s="25"/>
      <c r="T143" s="353" t="b" cm="1">
        <f t="array" aca="1" ref="T143" ca="1">T142</f>
        <v>0</v>
      </c>
      <c r="X143" s="990"/>
      <c r="Z143" s="967"/>
      <c r="AB143" s="7" t="str">
        <f>IF(B141,D142&amp;".7",D142&amp;".5")</f>
        <v>7.5</v>
      </c>
      <c r="AC143" s="127" t="s">
        <v>1553</v>
      </c>
      <c r="AD143" s="7" t="s">
        <v>828</v>
      </c>
      <c r="AE143" s="778">
        <f>AE144+AE145</f>
        <v>0</v>
      </c>
      <c r="AF143" s="778">
        <f>AF144+AF145</f>
        <v>0</v>
      </c>
      <c r="AG143" s="778">
        <f>AG144+AG145</f>
        <v>0</v>
      </c>
      <c r="AH143" s="171">
        <f t="shared" si="25"/>
        <v>0</v>
      </c>
      <c r="AI143" s="778">
        <f>AI144+AI145</f>
        <v>0</v>
      </c>
      <c r="AJ143" s="128">
        <f ca="1">SUMIFS('Корректировка НВВ'!$AF$25:$AF$231,'Корректировка НВВ'!$F$25:$F$231,$F143,'Корректировка НВВ'!$I$25:$I$231,$G143)</f>
        <v>0</v>
      </c>
      <c r="AK143" s="778">
        <f t="shared" ref="AK143:AS143" si="26">AK144+AK145</f>
        <v>0</v>
      </c>
      <c r="AL143" s="778">
        <f t="shared" si="26"/>
        <v>0</v>
      </c>
      <c r="AM143" s="778">
        <f t="shared" si="26"/>
        <v>0</v>
      </c>
      <c r="AN143" s="778">
        <f t="shared" si="26"/>
        <v>0</v>
      </c>
      <c r="AO143" s="778">
        <f t="shared" si="26"/>
        <v>0</v>
      </c>
      <c r="AP143" s="778">
        <f t="shared" si="26"/>
        <v>0</v>
      </c>
      <c r="AQ143" s="778">
        <f t="shared" si="26"/>
        <v>0</v>
      </c>
      <c r="AR143" s="778">
        <f t="shared" si="26"/>
        <v>0</v>
      </c>
      <c r="AS143" s="778">
        <f t="shared" si="26"/>
        <v>0</v>
      </c>
      <c r="AT143" s="128">
        <f ca="1">SUMIFS('Корректировка НВВ'!$AG$25:$AG$231,'Корректировка НВВ'!$F$25:$F$231,$F143,'Корректировка НВВ'!$I$25:$I$231,$G143)</f>
        <v>0</v>
      </c>
      <c r="AU143" s="778">
        <f t="shared" ref="AU143:BC143" si="27">AU144+AU145</f>
        <v>0</v>
      </c>
      <c r="AV143" s="778">
        <f t="shared" si="27"/>
        <v>0</v>
      </c>
      <c r="AW143" s="778">
        <f t="shared" si="27"/>
        <v>0</v>
      </c>
      <c r="AX143" s="778">
        <f t="shared" si="27"/>
        <v>0</v>
      </c>
      <c r="AY143" s="778">
        <f t="shared" si="27"/>
        <v>0</v>
      </c>
      <c r="AZ143" s="778">
        <f t="shared" si="27"/>
        <v>0</v>
      </c>
      <c r="BA143" s="778">
        <f t="shared" si="27"/>
        <v>0</v>
      </c>
      <c r="BB143" s="778">
        <f t="shared" si="27"/>
        <v>0</v>
      </c>
      <c r="BC143" s="778">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5"/>
      <c r="BO143" s="779" t="str">
        <f ca="1">IF(IFERROR(INDEX('Корректировка НВВ'!$K$26:$L$231,MATCH($F143&amp;"6komm",'Корректировка НВВ'!$K$26:$K$231,0),2),"")=0,"",IFERROR(INDEX('Корректировка НВВ'!$K$26:$L$231,MATCH($F143&amp;"6komm",'Корректировка НВВ'!$K$26:$K$231,0),2),""))</f>
        <v/>
      </c>
      <c r="BP143" s="775"/>
      <c r="BS143" s="696" t="s">
        <v>1555</v>
      </c>
    </row>
    <row r="144" spans="2:75" ht="21.95" hidden="1" customHeight="1" x14ac:dyDescent="0.15">
      <c r="D144" s="25" t="str" cm="1">
        <f t="array" ref="D144">D143</f>
        <v>7</v>
      </c>
      <c r="E144" s="507">
        <v>22.5</v>
      </c>
      <c r="F144" s="3" cm="1">
        <f t="array" aca="1" ref="F144" ca="1">OFFSET(E144,-1,1)</f>
        <v>0</v>
      </c>
      <c r="G144" s="72" t="s">
        <v>2201</v>
      </c>
      <c r="I144" s="72" t="s">
        <v>2202</v>
      </c>
      <c r="K144" s="72" t="s">
        <v>2202</v>
      </c>
      <c r="L144" s="25" t="s">
        <v>1864</v>
      </c>
      <c r="M144" s="25"/>
      <c r="T144" s="353" t="b" cm="1">
        <f t="array" aca="1" ref="T144" ca="1">T143</f>
        <v>0</v>
      </c>
      <c r="X144" s="990"/>
      <c r="Z144" s="967"/>
      <c r="AB144" s="7" t="str">
        <f>AB143&amp;".1"</f>
        <v>7.5.1</v>
      </c>
      <c r="AC144" s="549" t="s">
        <v>1556</v>
      </c>
      <c r="AD144" s="7" t="s">
        <v>828</v>
      </c>
      <c r="AE144" s="778"/>
      <c r="AF144" s="778"/>
      <c r="AG144" s="778"/>
      <c r="AH144" s="171">
        <f t="shared" si="25"/>
        <v>0</v>
      </c>
      <c r="AI144" s="778"/>
      <c r="AJ144" s="128">
        <f ca="1">SUMIFS('Корректировка НВВ'!$AF$25:$AF$231,'Корректировка НВВ'!$F$25:$F$231,$F144,'Корректировка НВВ'!$I$25:$I$231,$G144)</f>
        <v>0</v>
      </c>
      <c r="AK144" s="778"/>
      <c r="AL144" s="778"/>
      <c r="AM144" s="778"/>
      <c r="AN144" s="778"/>
      <c r="AO144" s="778"/>
      <c r="AP144" s="778"/>
      <c r="AQ144" s="778"/>
      <c r="AR144" s="778"/>
      <c r="AS144" s="778"/>
      <c r="AT144" s="128">
        <f ca="1">SUMIFS('Корректировка НВВ'!$AG$25:$AG$231,'Корректировка НВВ'!$F$25:$F$231,$F144,'Корректировка НВВ'!$I$25:$I$231,$G144)</f>
        <v>0</v>
      </c>
      <c r="AU144" s="778"/>
      <c r="AV144" s="778"/>
      <c r="AW144" s="778"/>
      <c r="AX144" s="778"/>
      <c r="AY144" s="778"/>
      <c r="AZ144" s="778"/>
      <c r="BA144" s="778"/>
      <c r="BB144" s="778"/>
      <c r="BC144" s="778"/>
      <c r="BD144" s="542"/>
      <c r="BE144" s="542"/>
      <c r="BF144" s="542"/>
      <c r="BG144" s="542"/>
      <c r="BH144" s="542"/>
      <c r="BI144" s="542"/>
      <c r="BJ144" s="542"/>
      <c r="BK144" s="542"/>
      <c r="BL144" s="542"/>
      <c r="BM144" s="542"/>
      <c r="BN144" s="775"/>
      <c r="BO144" s="779" t="str">
        <f ca="1">IF(IFERROR(INDEX('Корректировка НВВ'!$K$26:$L$231,MATCH($F144&amp;"7komm",'Корректировка НВВ'!$K$26:$K$231,0),2),"")=0,"",IFERROR(INDEX('Корректировка НВВ'!$K$26:$L$231,MATCH($F144&amp;"7komm",'Корректировка НВВ'!$K$26:$K$231,0),2),""))</f>
        <v/>
      </c>
      <c r="BP144" s="775"/>
      <c r="BS144" s="696" t="s">
        <v>1557</v>
      </c>
    </row>
    <row r="145" spans="2:75" ht="21.95" hidden="1" customHeight="1" x14ac:dyDescent="0.15">
      <c r="D145" s="25" t="str" cm="1">
        <f t="array" ref="D145">D144</f>
        <v>7</v>
      </c>
      <c r="E145" s="507">
        <v>22.5</v>
      </c>
      <c r="F145" s="3" cm="1">
        <f t="array" aca="1" ref="F145" ca="1">OFFSET(E145,-1,1)</f>
        <v>0</v>
      </c>
      <c r="G145" s="72" t="s">
        <v>2203</v>
      </c>
      <c r="I145" s="72" t="s">
        <v>2204</v>
      </c>
      <c r="K145" s="72" t="s">
        <v>2204</v>
      </c>
      <c r="L145" s="25" t="s">
        <v>1866</v>
      </c>
      <c r="M145" s="25"/>
      <c r="T145" s="353" t="b" cm="1">
        <f t="array" aca="1" ref="T145" ca="1">T144</f>
        <v>0</v>
      </c>
      <c r="X145" s="990"/>
      <c r="Z145" s="967"/>
      <c r="AB145" s="7" t="str">
        <f>AB143&amp;".2"</f>
        <v>7.5.2</v>
      </c>
      <c r="AC145" s="549" t="s">
        <v>1558</v>
      </c>
      <c r="AD145" s="7" t="s">
        <v>828</v>
      </c>
      <c r="AE145" s="778"/>
      <c r="AF145" s="778"/>
      <c r="AG145" s="778"/>
      <c r="AH145" s="171">
        <f t="shared" si="25"/>
        <v>0</v>
      </c>
      <c r="AI145" s="778"/>
      <c r="AJ145" s="128">
        <f ca="1">SUMIFS('Корректировка НВВ'!$AF$25:$AF$231,'Корректировка НВВ'!$F$25:$F$231,$F145,'Корректировка НВВ'!$I$25:$I$231,$G145)</f>
        <v>0</v>
      </c>
      <c r="AK145" s="778"/>
      <c r="AL145" s="778"/>
      <c r="AM145" s="778"/>
      <c r="AN145" s="778"/>
      <c r="AO145" s="778"/>
      <c r="AP145" s="778"/>
      <c r="AQ145" s="778"/>
      <c r="AR145" s="778"/>
      <c r="AS145" s="778"/>
      <c r="AT145" s="128">
        <f ca="1">SUMIFS('Корректировка НВВ'!$AG$25:$AG$231,'Корректировка НВВ'!$F$25:$F$231,$F145,'Корректировка НВВ'!$I$25:$I$231,$G145)</f>
        <v>0</v>
      </c>
      <c r="AU145" s="778"/>
      <c r="AV145" s="778"/>
      <c r="AW145" s="778"/>
      <c r="AX145" s="778"/>
      <c r="AY145" s="778"/>
      <c r="AZ145" s="778"/>
      <c r="BA145" s="778"/>
      <c r="BB145" s="778"/>
      <c r="BC145" s="778"/>
      <c r="BD145" s="542"/>
      <c r="BE145" s="542"/>
      <c r="BF145" s="542"/>
      <c r="BG145" s="542"/>
      <c r="BH145" s="542"/>
      <c r="BI145" s="542"/>
      <c r="BJ145" s="542"/>
      <c r="BK145" s="542"/>
      <c r="BL145" s="542"/>
      <c r="BM145" s="542"/>
      <c r="BN145" s="775"/>
      <c r="BO145" s="779" t="str">
        <f ca="1">IF(IFERROR(INDEX('Корректировка НВВ'!$K$26:$L$231,MATCH($F145&amp;"8komm",'Корректировка НВВ'!$K$26:$K$231,0),2),"")=0,"",IFERROR(INDEX('Корректировка НВВ'!$K$26:$L$231,MATCH($F145&amp;"8komm",'Корректировка НВВ'!$K$26:$K$231,0),2),""))</f>
        <v/>
      </c>
      <c r="BP145" s="775"/>
      <c r="BS145" s="696" t="s">
        <v>1559</v>
      </c>
    </row>
    <row r="146" spans="2:75" ht="14.65" hidden="1" customHeight="1" x14ac:dyDescent="0.15">
      <c r="D146" s="25" t="str" cm="1">
        <f t="array" ref="D146">D145</f>
        <v>7</v>
      </c>
      <c r="E146" s="507">
        <v>15</v>
      </c>
      <c r="F146" s="3" cm="1">
        <f t="array" aca="1" ref="F146" ca="1">OFFSET(E146,-1,1)</f>
        <v>0</v>
      </c>
      <c r="G146" s="72" t="s">
        <v>319</v>
      </c>
      <c r="I146" s="72" t="s">
        <v>1870</v>
      </c>
      <c r="K146" s="72" t="s">
        <v>1870</v>
      </c>
      <c r="L146" s="25" t="s">
        <v>1869</v>
      </c>
      <c r="M146" s="25"/>
      <c r="T146" s="353" t="b" cm="1">
        <f t="array" aca="1" ref="T146" ca="1">T145</f>
        <v>0</v>
      </c>
      <c r="X146" s="990"/>
      <c r="Z146" s="967"/>
      <c r="AB146" s="7" t="str">
        <f>IF(B141,D142&amp;".8",D142&amp;".6")</f>
        <v>7.6</v>
      </c>
      <c r="AC146" s="550" t="s">
        <v>1560</v>
      </c>
      <c r="AD146" s="7" t="s">
        <v>828</v>
      </c>
      <c r="AE146" s="778"/>
      <c r="AF146" s="778"/>
      <c r="AG146" s="778"/>
      <c r="AH146" s="171">
        <f t="shared" si="25"/>
        <v>0</v>
      </c>
      <c r="AI146" s="778"/>
      <c r="AJ146" s="128">
        <f ca="1">SUMIFS('Корректировка НВВ'!$AF$25:$AF$231,'Корректировка НВВ'!$F$25:$F$231,$F146,'Корректировка НВВ'!$I$25:$I$231,$G146)</f>
        <v>0</v>
      </c>
      <c r="AK146" s="778"/>
      <c r="AL146" s="778"/>
      <c r="AM146" s="778"/>
      <c r="AN146" s="778"/>
      <c r="AO146" s="778"/>
      <c r="AP146" s="778"/>
      <c r="AQ146" s="778"/>
      <c r="AR146" s="778"/>
      <c r="AS146" s="778"/>
      <c r="AT146" s="128">
        <f ca="1">SUMIFS('Корректировка НВВ'!$AG$25:$AG$231,'Корректировка НВВ'!$F$25:$F$231,$F146,'Корректировка НВВ'!$I$25:$I$231,$G146)</f>
        <v>0</v>
      </c>
      <c r="AU146" s="778"/>
      <c r="AV146" s="778"/>
      <c r="AW146" s="778"/>
      <c r="AX146" s="778"/>
      <c r="AY146" s="778"/>
      <c r="AZ146" s="778"/>
      <c r="BA146" s="778"/>
      <c r="BB146" s="778"/>
      <c r="BC146" s="778"/>
      <c r="BD146" s="542"/>
      <c r="BE146" s="542"/>
      <c r="BF146" s="542"/>
      <c r="BG146" s="542"/>
      <c r="BH146" s="542"/>
      <c r="BI146" s="542"/>
      <c r="BJ146" s="542"/>
      <c r="BK146" s="542"/>
      <c r="BL146" s="542"/>
      <c r="BM146" s="542"/>
      <c r="BN146" s="775"/>
      <c r="BO146" s="779" t="str">
        <f ca="1">IF(IFERROR(INDEX('Корректировка НВВ'!$K$26:$L$231,MATCH($F146&amp;"9komm",'Корректировка НВВ'!$K$26:$K$231,0),2),"")=0,"",IFERROR(INDEX('Корректировка НВВ'!$K$26:$L$231,MATCH($F146&amp;"9komm",'Корректировка НВВ'!$K$26:$K$231,0),2),""))</f>
        <v/>
      </c>
      <c r="BP146" s="775"/>
      <c r="BS146" s="696" t="s">
        <v>2205</v>
      </c>
    </row>
    <row r="147" spans="2:75" ht="14.65" hidden="1" customHeight="1" x14ac:dyDescent="0.15">
      <c r="D147" s="25" t="str" cm="1">
        <f t="array" ref="D147">D146</f>
        <v>7</v>
      </c>
      <c r="E147" s="507">
        <v>15</v>
      </c>
      <c r="F147" s="3" cm="1">
        <f t="array" aca="1" ref="F147" ca="1">OFFSET(E147,-1,1)</f>
        <v>0</v>
      </c>
      <c r="G147" s="72" t="s">
        <v>2206</v>
      </c>
      <c r="I147" s="72" t="s">
        <v>1872</v>
      </c>
      <c r="K147" s="72" t="s">
        <v>1872</v>
      </c>
      <c r="L147" s="25" t="s">
        <v>1870</v>
      </c>
      <c r="M147" s="25"/>
      <c r="T147" s="353" t="b" cm="1">
        <f t="array" aca="1" ref="T147" ca="1">T146</f>
        <v>0</v>
      </c>
      <c r="X147" s="990"/>
      <c r="Z147" s="967"/>
      <c r="AB147" s="7" t="str">
        <f>IF(B141,D142&amp;".9",D142&amp;".7")</f>
        <v>7.7</v>
      </c>
      <c r="AC147" s="550" t="s">
        <v>1562</v>
      </c>
      <c r="AD147" s="7" t="s">
        <v>828</v>
      </c>
      <c r="AE147" s="778"/>
      <c r="AF147" s="778"/>
      <c r="AG147" s="778"/>
      <c r="AH147" s="171">
        <f t="shared" si="25"/>
        <v>0</v>
      </c>
      <c r="AI147" s="778"/>
      <c r="AJ147" s="128">
        <f ca="1">SUMIFS('Корректировка НВВ'!$AF$25:$AF$231,'Корректировка НВВ'!$F$25:$F$231,$F147,'Корректировка НВВ'!$I$25:$I$231,$G147)</f>
        <v>0</v>
      </c>
      <c r="AK147" s="778"/>
      <c r="AL147" s="778"/>
      <c r="AM147" s="778"/>
      <c r="AN147" s="778"/>
      <c r="AO147" s="778"/>
      <c r="AP147" s="778"/>
      <c r="AQ147" s="778"/>
      <c r="AR147" s="778"/>
      <c r="AS147" s="778"/>
      <c r="AT147" s="128">
        <f ca="1">SUMIFS('Корректировка НВВ'!$AG$25:$AG$231,'Корректировка НВВ'!$F$25:$F$231,$F147,'Корректировка НВВ'!$I$25:$I$231,$G147)</f>
        <v>0</v>
      </c>
      <c r="AU147" s="778"/>
      <c r="AV147" s="778"/>
      <c r="AW147" s="778"/>
      <c r="AX147" s="778"/>
      <c r="AY147" s="778"/>
      <c r="AZ147" s="778"/>
      <c r="BA147" s="778"/>
      <c r="BB147" s="778"/>
      <c r="BC147" s="778"/>
      <c r="BD147" s="542"/>
      <c r="BE147" s="542"/>
      <c r="BF147" s="542"/>
      <c r="BG147" s="542"/>
      <c r="BH147" s="542"/>
      <c r="BI147" s="542"/>
      <c r="BJ147" s="542"/>
      <c r="BK147" s="542"/>
      <c r="BL147" s="542"/>
      <c r="BM147" s="542"/>
      <c r="BN147" s="775"/>
      <c r="BO147" s="779" t="str">
        <f ca="1">IF(IFERROR(INDEX('Корректировка НВВ'!$K$26:$L$231,MATCH($F147&amp;"10komm",'Корректировка НВВ'!$K$26:$K$231,0),2),"")=0,"",IFERROR(INDEX('Корректировка НВВ'!$K$26:$L$231,MATCH($F147&amp;"10komm",'Корректировка НВВ'!$K$26:$K$231,0),2),""))</f>
        <v/>
      </c>
      <c r="BP147" s="775"/>
      <c r="BS147" s="696" t="s">
        <v>1563</v>
      </c>
    </row>
    <row r="148" spans="2:75" s="76" customFormat="1" ht="20.45" hidden="1" customHeight="1" x14ac:dyDescent="0.15">
      <c r="B148" s="332"/>
      <c r="D148" s="27">
        <f>D147+1</f>
        <v>8</v>
      </c>
      <c r="E148" s="511">
        <v>21</v>
      </c>
      <c r="F148" s="3" cm="1">
        <f t="array" aca="1" ref="F148" ca="1">OFFSET(E148,-1,1)</f>
        <v>0</v>
      </c>
      <c r="I148" s="76" t="s">
        <v>609</v>
      </c>
      <c r="K148" s="76" t="s">
        <v>609</v>
      </c>
      <c r="L148" s="27"/>
      <c r="M148" s="27"/>
      <c r="T148" s="353" t="b" cm="1">
        <f t="array" aca="1" ref="T148" ca="1">T147</f>
        <v>0</v>
      </c>
      <c r="X148" s="990"/>
      <c r="Z148" s="967"/>
      <c r="AB148" s="124" cm="1">
        <f t="array" ref="AB148">D148</f>
        <v>8</v>
      </c>
      <c r="AC148" s="125" t="s">
        <v>2207</v>
      </c>
      <c r="AD148" s="124" t="s">
        <v>828</v>
      </c>
      <c r="AE148" s="774"/>
      <c r="AF148" s="774"/>
      <c r="AG148" s="774"/>
      <c r="AH148" s="126">
        <f t="shared" si="25"/>
        <v>0</v>
      </c>
      <c r="AI148" s="774"/>
      <c r="AJ148" s="138"/>
      <c r="AK148" s="774"/>
      <c r="AL148" s="774"/>
      <c r="AM148" s="774"/>
      <c r="AN148" s="774"/>
      <c r="AO148" s="774"/>
      <c r="AP148" s="774"/>
      <c r="AQ148" s="774"/>
      <c r="AR148" s="774"/>
      <c r="AS148" s="774"/>
      <c r="AT148" s="138"/>
      <c r="AU148" s="774"/>
      <c r="AV148" s="774"/>
      <c r="AW148" s="774"/>
      <c r="AX148" s="774"/>
      <c r="AY148" s="774"/>
      <c r="AZ148" s="774"/>
      <c r="BA148" s="774"/>
      <c r="BB148" s="774"/>
      <c r="BC148" s="774"/>
      <c r="BD148" s="129"/>
      <c r="BE148" s="129"/>
      <c r="BF148" s="129"/>
      <c r="BG148" s="129"/>
      <c r="BH148" s="129"/>
      <c r="BI148" s="129"/>
      <c r="BJ148" s="129"/>
      <c r="BK148" s="129"/>
      <c r="BL148" s="129"/>
      <c r="BM148" s="129"/>
      <c r="BN148" s="777"/>
      <c r="BO148" s="777"/>
      <c r="BP148" s="777"/>
      <c r="BS148" s="702" t="s">
        <v>2208</v>
      </c>
      <c r="BT148" s="702"/>
      <c r="BU148" s="702"/>
      <c r="BV148" s="511"/>
      <c r="BW148" s="511"/>
    </row>
    <row r="149" spans="2:75" ht="14.65" hidden="1" customHeight="1" x14ac:dyDescent="0.15">
      <c r="D149" s="27" cm="1">
        <f t="array" ref="D149">D148</f>
        <v>8</v>
      </c>
      <c r="E149" s="507">
        <v>15</v>
      </c>
      <c r="F149" s="3" cm="1">
        <f t="array" aca="1" ref="F149" ca="1">OFFSET(E149,-1,1)</f>
        <v>0</v>
      </c>
      <c r="I149" s="72" t="s">
        <v>613</v>
      </c>
      <c r="K149" s="72" t="s">
        <v>613</v>
      </c>
      <c r="L149" s="25"/>
      <c r="M149" s="25"/>
      <c r="T149" s="353" t="b" cm="1">
        <f t="array" aca="1" ref="T149" ca="1">T148</f>
        <v>0</v>
      </c>
      <c r="X149" s="990"/>
      <c r="Z149" s="967"/>
      <c r="AB149" s="7" t="str">
        <f>D149&amp;".1"</f>
        <v>8.1</v>
      </c>
      <c r="AC149" s="127" t="s">
        <v>2209</v>
      </c>
      <c r="AD149" s="7" t="s">
        <v>476</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2"/>
      <c r="BE149" s="542"/>
      <c r="BF149" s="542"/>
      <c r="BG149" s="542"/>
      <c r="BH149" s="542"/>
      <c r="BI149" s="542"/>
      <c r="BJ149" s="542"/>
      <c r="BK149" s="542"/>
      <c r="BL149" s="542"/>
      <c r="BM149" s="542"/>
      <c r="BN149" s="775"/>
      <c r="BO149" s="775"/>
      <c r="BP149" s="775"/>
      <c r="BS149" s="696" t="s">
        <v>2210</v>
      </c>
    </row>
    <row r="150" spans="2:75" s="76" customFormat="1" ht="20.45" hidden="1" customHeight="1" x14ac:dyDescent="0.15">
      <c r="B150" s="332"/>
      <c r="D150" s="27">
        <f>D149+1</f>
        <v>9</v>
      </c>
      <c r="E150" s="511">
        <v>21</v>
      </c>
      <c r="F150" s="3" cm="1">
        <f t="array" aca="1" ref="F150" ca="1">OFFSET(E150,-1,1)</f>
        <v>0</v>
      </c>
      <c r="H150" s="72"/>
      <c r="I150" s="72" t="s">
        <v>767</v>
      </c>
      <c r="K150" s="72" t="s">
        <v>767</v>
      </c>
      <c r="L150" s="27" t="s">
        <v>1872</v>
      </c>
      <c r="M150" s="27"/>
      <c r="T150" s="353" t="b" cm="1">
        <f t="array" aca="1" ref="T150" ca="1">T149</f>
        <v>0</v>
      </c>
      <c r="X150" s="990"/>
      <c r="Z150" s="967"/>
      <c r="AB150" s="124" cm="1">
        <f t="array" ref="AB150">D150</f>
        <v>9</v>
      </c>
      <c r="AC150" s="125" t="s">
        <v>1874</v>
      </c>
      <c r="AD150" s="147" t="s">
        <v>828</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5"/>
      <c r="BO150" s="775"/>
      <c r="BP150" s="775"/>
      <c r="BS150" s="702" t="s">
        <v>1875</v>
      </c>
      <c r="BT150" s="702"/>
      <c r="BU150" s="702"/>
      <c r="BV150" s="511"/>
      <c r="BW150" s="511"/>
    </row>
    <row r="151" spans="2:75" s="76" customFormat="1" ht="20.45" hidden="1" customHeight="1" x14ac:dyDescent="0.15">
      <c r="B151" s="332"/>
      <c r="D151" s="27">
        <f>D150+1</f>
        <v>10</v>
      </c>
      <c r="E151" s="511">
        <v>21</v>
      </c>
      <c r="F151" s="3" cm="1">
        <f t="array" aca="1" ref="F151" ca="1">OFFSET(E151,-1,1)</f>
        <v>0</v>
      </c>
      <c r="H151" s="72"/>
      <c r="I151" s="72" t="s">
        <v>1884</v>
      </c>
      <c r="K151" s="72" t="s">
        <v>1884</v>
      </c>
      <c r="L151" s="27"/>
      <c r="M151" s="27"/>
      <c r="T151" s="353" t="b" cm="1">
        <f t="array" aca="1" ref="T151" ca="1">T150</f>
        <v>0</v>
      </c>
      <c r="X151" s="990"/>
      <c r="Z151" s="967"/>
      <c r="AB151" s="124" cm="1">
        <f t="array" ref="AB151">D151</f>
        <v>10</v>
      </c>
      <c r="AC151" s="125" t="s">
        <v>2211</v>
      </c>
      <c r="AD151" s="124" t="s">
        <v>828</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5"/>
      <c r="BO151" s="775"/>
      <c r="BP151" s="775"/>
      <c r="BS151" s="702" t="s">
        <v>2212</v>
      </c>
      <c r="BT151" s="702"/>
      <c r="BU151" s="702"/>
      <c r="BV151" s="511"/>
      <c r="BW151" s="511"/>
    </row>
    <row r="152" spans="2:75" ht="14.65" hidden="1" customHeight="1" x14ac:dyDescent="0.25">
      <c r="B152" s="341" t="b">
        <f>A27="двухставочный"</f>
        <v>0</v>
      </c>
      <c r="D152" s="25" cm="1">
        <f t="array" ref="D152">D151</f>
        <v>10</v>
      </c>
      <c r="E152" s="507">
        <v>15</v>
      </c>
      <c r="F152" s="3" cm="1">
        <f t="array" aca="1" ref="F152" ca="1">OFFSET(E152,-1,1)</f>
        <v>0</v>
      </c>
      <c r="H152" s="2"/>
      <c r="I152" s="278" t="s">
        <v>1888</v>
      </c>
      <c r="K152" s="278" t="s">
        <v>1888</v>
      </c>
      <c r="L152" s="25" t="s">
        <v>1876</v>
      </c>
      <c r="M152" s="25"/>
      <c r="T152" s="353" t="b" cm="1">
        <f t="array" aca="1" ref="T152" ca="1">T151</f>
        <v>0</v>
      </c>
      <c r="X152" s="990"/>
      <c r="Z152" s="967"/>
      <c r="AB152" s="7" t="str">
        <f>D152&amp;".1"</f>
        <v>10.1</v>
      </c>
      <c r="AC152" s="550" t="s">
        <v>1878</v>
      </c>
      <c r="AD152" s="7" t="s">
        <v>828</v>
      </c>
      <c r="AE152" s="778"/>
      <c r="AF152" s="778"/>
      <c r="AG152" s="778"/>
      <c r="AH152" s="171">
        <f t="shared" ref="AH152:AH158" si="33">AG152-AF152</f>
        <v>0</v>
      </c>
      <c r="AI152" s="778"/>
      <c r="AJ152" s="128"/>
      <c r="AK152" s="778"/>
      <c r="AL152" s="778"/>
      <c r="AM152" s="778"/>
      <c r="AN152" s="778"/>
      <c r="AO152" s="778"/>
      <c r="AP152" s="778"/>
      <c r="AQ152" s="778"/>
      <c r="AR152" s="778"/>
      <c r="AS152" s="778"/>
      <c r="AT152" s="128"/>
      <c r="AU152" s="778"/>
      <c r="AV152" s="778"/>
      <c r="AW152" s="778"/>
      <c r="AX152" s="778"/>
      <c r="AY152" s="778"/>
      <c r="AZ152" s="778"/>
      <c r="BA152" s="778"/>
      <c r="BB152" s="778"/>
      <c r="BC152" s="778"/>
      <c r="BD152" s="542"/>
      <c r="BE152" s="542"/>
      <c r="BF152" s="542"/>
      <c r="BG152" s="542"/>
      <c r="BH152" s="542"/>
      <c r="BI152" s="542"/>
      <c r="BJ152" s="542"/>
      <c r="BK152" s="542"/>
      <c r="BL152" s="542"/>
      <c r="BM152" s="542"/>
      <c r="BN152" s="775"/>
      <c r="BO152" s="775"/>
      <c r="BP152" s="775"/>
      <c r="BS152" s="694" t="s">
        <v>1879</v>
      </c>
    </row>
    <row r="153" spans="2:75" ht="14.65" hidden="1" customHeight="1" x14ac:dyDescent="0.25">
      <c r="B153" s="341" t="b">
        <f>A27="двухставочный"</f>
        <v>0</v>
      </c>
      <c r="D153" s="25" cm="1">
        <f t="array" ref="D153">D152</f>
        <v>10</v>
      </c>
      <c r="E153" s="507">
        <v>15</v>
      </c>
      <c r="F153" s="3" cm="1">
        <f t="array" aca="1" ref="F153" ca="1">OFFSET(E153,-1,1)</f>
        <v>0</v>
      </c>
      <c r="H153" s="2"/>
      <c r="I153" s="278" t="s">
        <v>1892</v>
      </c>
      <c r="K153" s="278" t="s">
        <v>1892</v>
      </c>
      <c r="L153" s="25" t="s">
        <v>1880</v>
      </c>
      <c r="M153" s="25"/>
      <c r="T153" s="353" t="b" cm="1">
        <f t="array" aca="1" ref="T153" ca="1">T152</f>
        <v>0</v>
      </c>
      <c r="X153" s="990"/>
      <c r="Z153" s="967"/>
      <c r="AB153" s="7" t="str">
        <f>D153&amp;".2"</f>
        <v>10.2</v>
      </c>
      <c r="AC153" s="550" t="s">
        <v>1882</v>
      </c>
      <c r="AD153" s="7" t="s">
        <v>828</v>
      </c>
      <c r="AE153" s="778"/>
      <c r="AF153" s="778"/>
      <c r="AG153" s="778"/>
      <c r="AH153" s="171">
        <f t="shared" si="33"/>
        <v>0</v>
      </c>
      <c r="AI153" s="778"/>
      <c r="AJ153" s="128"/>
      <c r="AK153" s="778"/>
      <c r="AL153" s="778"/>
      <c r="AM153" s="778"/>
      <c r="AN153" s="778"/>
      <c r="AO153" s="778"/>
      <c r="AP153" s="778"/>
      <c r="AQ153" s="778"/>
      <c r="AR153" s="778"/>
      <c r="AS153" s="778"/>
      <c r="AT153" s="128"/>
      <c r="AU153" s="778"/>
      <c r="AV153" s="778"/>
      <c r="AW153" s="778"/>
      <c r="AX153" s="778"/>
      <c r="AY153" s="778"/>
      <c r="AZ153" s="778"/>
      <c r="BA153" s="778"/>
      <c r="BB153" s="778"/>
      <c r="BC153" s="778"/>
      <c r="BD153" s="542"/>
      <c r="BE153" s="542"/>
      <c r="BF153" s="542"/>
      <c r="BG153" s="542"/>
      <c r="BH153" s="542"/>
      <c r="BI153" s="542"/>
      <c r="BJ153" s="542"/>
      <c r="BK153" s="542"/>
      <c r="BL153" s="542"/>
      <c r="BM153" s="542"/>
      <c r="BN153" s="775"/>
      <c r="BO153" s="775"/>
      <c r="BP153" s="775"/>
      <c r="BS153" s="694" t="s">
        <v>1883</v>
      </c>
    </row>
    <row r="154" spans="2:75" s="76" customFormat="1" ht="20.45" hidden="1" customHeight="1" x14ac:dyDescent="0.25">
      <c r="B154" s="332"/>
      <c r="D154" s="27">
        <f>D153+1</f>
        <v>11</v>
      </c>
      <c r="E154" s="511">
        <v>21</v>
      </c>
      <c r="F154" s="3" cm="1">
        <f t="array" aca="1" ref="F154" ca="1">OFFSET(E154,-1,1)</f>
        <v>0</v>
      </c>
      <c r="G154" s="72" t="s">
        <v>1653</v>
      </c>
      <c r="H154" s="72"/>
      <c r="I154" s="72" t="s">
        <v>1912</v>
      </c>
      <c r="K154" s="72" t="s">
        <v>1912</v>
      </c>
      <c r="L154" s="27" t="s">
        <v>1884</v>
      </c>
      <c r="M154" s="27"/>
      <c r="T154" s="353" t="b" cm="1">
        <f t="array" aca="1" ref="T154" ca="1">T153</f>
        <v>0</v>
      </c>
      <c r="X154" s="990"/>
      <c r="Z154" s="967"/>
      <c r="AB154" s="124" cm="1">
        <f t="array" ref="AB154">D154</f>
        <v>11</v>
      </c>
      <c r="AC154" s="125" t="s">
        <v>1886</v>
      </c>
      <c r="AD154" s="124" t="s">
        <v>558</v>
      </c>
      <c r="AE154" s="552">
        <f ca="1">SUMIFS(Баланс!AE$26:AE$391,Баланс!$F$26:$F$391,$F154,Баланс!$G$26:$G$391,"ПО")</f>
        <v>0</v>
      </c>
      <c r="AF154" s="552">
        <f ca="1">SUMIFS(Баланс!AF$26:AF$391,Баланс!$F$26:$F$391,$F154,Баланс!$G$26:$G$391,"ПО")</f>
        <v>0</v>
      </c>
      <c r="AG154" s="552">
        <f ca="1">SUMIFS(Баланс!AG$26:AG$391,Баланс!$F$26:$F$391,$F154,Баланс!$G$26:$G$391,"ПО")</f>
        <v>0</v>
      </c>
      <c r="AH154" s="552">
        <f t="shared" ca="1" si="33"/>
        <v>0</v>
      </c>
      <c r="AI154" s="552">
        <f ca="1">SUMIFS(Баланс!AH$26:AH$391,Баланс!$F$26:$F$391,$F154,Баланс!$G$26:$G$391,"ПО")</f>
        <v>0</v>
      </c>
      <c r="AJ154" s="552">
        <f ca="1">SUMIFS(Баланс!AI$26:AI$391,Баланс!$F$26:$F$391,$F154,Баланс!$G$26:$G$391,"ПО")</f>
        <v>0</v>
      </c>
      <c r="AK154" s="552">
        <f ca="1">SUMIFS(Баланс!AJ$26:AJ$391,Баланс!$F$26:$F$391,$F154,Баланс!$G$26:$G$391,"ПО")</f>
        <v>0</v>
      </c>
      <c r="AL154" s="552">
        <f ca="1">SUMIFS(Баланс!AK$26:AK$391,Баланс!$F$26:$F$391,$F154,Баланс!$G$26:$G$391,"ПО")</f>
        <v>0</v>
      </c>
      <c r="AM154" s="552">
        <f ca="1">SUMIFS(Баланс!AL$26:AL$391,Баланс!$F$26:$F$391,$F154,Баланс!$G$26:$G$391,"ПО")</f>
        <v>0</v>
      </c>
      <c r="AN154" s="552">
        <f ca="1">SUMIFS(Баланс!AM$26:AM$391,Баланс!$F$26:$F$391,$F154,Баланс!$G$26:$G$391,"ПО")</f>
        <v>0</v>
      </c>
      <c r="AO154" s="552">
        <f ca="1">SUMIFS(Баланс!AN$26:AN$391,Баланс!$F$26:$F$391,$F154,Баланс!$G$26:$G$391,"ПО")</f>
        <v>0</v>
      </c>
      <c r="AP154" s="552">
        <f ca="1">SUMIFS(Баланс!AO$26:AO$391,Баланс!$F$26:$F$391,$F154,Баланс!$G$26:$G$391,"ПО")</f>
        <v>0</v>
      </c>
      <c r="AQ154" s="552">
        <f ca="1">SUMIFS(Баланс!AP$26:AP$391,Баланс!$F$26:$F$391,$F154,Баланс!$G$26:$G$391,"ПО")</f>
        <v>0</v>
      </c>
      <c r="AR154" s="552">
        <f ca="1">SUMIFS(Баланс!AQ$26:AQ$391,Баланс!$F$26:$F$391,$F154,Баланс!$G$26:$G$391,"ПО")</f>
        <v>0</v>
      </c>
      <c r="AS154" s="552">
        <f ca="1">SUMIFS(Баланс!AR$26:AR$391,Баланс!$F$26:$F$391,$F154,Баланс!$G$26:$G$391,"ПО")</f>
        <v>0</v>
      </c>
      <c r="AT154" s="552">
        <f ca="1">SUMIFS(Баланс!AS$26:AS$391,Баланс!$F$26:$F$391,$F154,Баланс!$G$26:$G$391,"ПО")</f>
        <v>0</v>
      </c>
      <c r="AU154" s="552">
        <f ca="1">SUMIFS(Баланс!AT$26:AT$391,Баланс!$F$26:$F$391,$F154,Баланс!$G$26:$G$391,"ПО")</f>
        <v>0</v>
      </c>
      <c r="AV154" s="552">
        <f ca="1">SUMIFS(Баланс!AU$26:AU$391,Баланс!$F$26:$F$391,$F154,Баланс!$G$26:$G$391,"ПО")</f>
        <v>0</v>
      </c>
      <c r="AW154" s="552">
        <f ca="1">SUMIFS(Баланс!AV$26:AV$391,Баланс!$F$26:$F$391,$F154,Баланс!$G$26:$G$391,"ПО")</f>
        <v>0</v>
      </c>
      <c r="AX154" s="552">
        <f ca="1">SUMIFS(Баланс!AW$26:AW$391,Баланс!$F$26:$F$391,$F154,Баланс!$G$26:$G$391,"ПО")</f>
        <v>0</v>
      </c>
      <c r="AY154" s="552">
        <f ca="1">SUMIFS(Баланс!AX$26:AX$391,Баланс!$F$26:$F$391,$F154,Баланс!$G$26:$G$391,"ПО")</f>
        <v>0</v>
      </c>
      <c r="AZ154" s="552">
        <f ca="1">SUMIFS(Баланс!AY$26:AY$391,Баланс!$F$26:$F$391,$F154,Баланс!$G$26:$G$391,"ПО")</f>
        <v>0</v>
      </c>
      <c r="BA154" s="552">
        <f ca="1">SUMIFS(Баланс!AZ$26:AZ$391,Баланс!$F$26:$F$391,$F154,Баланс!$G$26:$G$391,"ПО")</f>
        <v>0</v>
      </c>
      <c r="BB154" s="552">
        <f ca="1">SUMIFS(Баланс!BA$26:BA$391,Баланс!$F$26:$F$391,$F154,Баланс!$G$26:$G$391,"ПО")</f>
        <v>0</v>
      </c>
      <c r="BC154" s="552">
        <f ca="1">SUMIFS(Баланс!BB$26:BB$391,Баланс!$F$26:$F$391,$F154,Баланс!$G$26:$G$391,"ПО")</f>
        <v>0</v>
      </c>
      <c r="BD154" s="129"/>
      <c r="BE154" s="129"/>
      <c r="BF154" s="129"/>
      <c r="BG154" s="129"/>
      <c r="BH154" s="129"/>
      <c r="BI154" s="129"/>
      <c r="BJ154" s="129"/>
      <c r="BK154" s="129"/>
      <c r="BL154" s="129"/>
      <c r="BM154" s="129"/>
      <c r="BN154" s="775"/>
      <c r="BO154" s="775"/>
      <c r="BP154" s="775"/>
      <c r="BS154" s="695" t="s">
        <v>1887</v>
      </c>
      <c r="BT154" s="702"/>
      <c r="BU154" s="702"/>
      <c r="BV154" s="511"/>
      <c r="BW154" s="511"/>
    </row>
    <row r="155" spans="2:75" ht="14.65" hidden="1" customHeight="1" x14ac:dyDescent="0.25">
      <c r="D155" s="25" cm="1">
        <f t="array" ref="D155">D154</f>
        <v>11</v>
      </c>
      <c r="E155" s="507">
        <v>15</v>
      </c>
      <c r="F155" s="3" cm="1">
        <f t="array" aca="1" ref="F155" ca="1">OFFSET(E155,-1,1)</f>
        <v>0</v>
      </c>
      <c r="G155" s="72" t="s">
        <v>1680</v>
      </c>
      <c r="I155" s="72" t="s">
        <v>2213</v>
      </c>
      <c r="K155" s="72" t="s">
        <v>2213</v>
      </c>
      <c r="L155" s="25" t="s">
        <v>1888</v>
      </c>
      <c r="M155" s="25"/>
      <c r="T155" s="353" t="b" cm="1">
        <f t="array" aca="1" ref="T155" ca="1">T154</f>
        <v>0</v>
      </c>
      <c r="X155" s="990"/>
      <c r="Z155" s="967"/>
      <c r="AB155" s="7" t="str">
        <f>D155&amp;".1"</f>
        <v>11.1</v>
      </c>
      <c r="AC155" s="127" t="s">
        <v>1890</v>
      </c>
      <c r="AD155" s="7" t="s">
        <v>558</v>
      </c>
      <c r="AE155" s="776">
        <f ca="1">AE154/2</f>
        <v>0</v>
      </c>
      <c r="AF155" s="776">
        <f ca="1">AF154/2</f>
        <v>0</v>
      </c>
      <c r="AG155" s="776">
        <f ca="1">AG154/2</f>
        <v>0</v>
      </c>
      <c r="AH155" s="558">
        <f t="shared" ca="1" si="33"/>
        <v>0</v>
      </c>
      <c r="AI155" s="776">
        <f ca="1">AI154/2</f>
        <v>0</v>
      </c>
      <c r="AJ155" s="444">
        <f ca="1">IF(god=2026,AJ154/12*9,AJ154/2)</f>
        <v>0</v>
      </c>
      <c r="AK155" s="776">
        <f ca="1">IF(god=2025,AK154/12*9,AK154/2)</f>
        <v>0</v>
      </c>
      <c r="AL155" s="776">
        <f t="shared" ref="AL155:AS155" ca="1" si="34">AL154/2</f>
        <v>0</v>
      </c>
      <c r="AM155" s="776">
        <f t="shared" ca="1" si="34"/>
        <v>0</v>
      </c>
      <c r="AN155" s="776">
        <f t="shared" ca="1" si="34"/>
        <v>0</v>
      </c>
      <c r="AO155" s="776">
        <f t="shared" ca="1" si="34"/>
        <v>0</v>
      </c>
      <c r="AP155" s="776">
        <f t="shared" ca="1" si="34"/>
        <v>0</v>
      </c>
      <c r="AQ155" s="776">
        <f t="shared" ca="1" si="34"/>
        <v>0</v>
      </c>
      <c r="AR155" s="776">
        <f t="shared" ca="1" si="34"/>
        <v>0</v>
      </c>
      <c r="AS155" s="776">
        <f t="shared" ca="1" si="34"/>
        <v>0</v>
      </c>
      <c r="AT155" s="444">
        <f ca="1">IF(god=2026,AT154/12*9,AT154/2)</f>
        <v>0</v>
      </c>
      <c r="AU155" s="776">
        <f ca="1">IF(god=2025,AU154/12*9,AU154/2)</f>
        <v>0</v>
      </c>
      <c r="AV155" s="776">
        <f t="shared" ref="AV155:BC155" ca="1" si="35">AV154/2</f>
        <v>0</v>
      </c>
      <c r="AW155" s="776">
        <f t="shared" ca="1" si="35"/>
        <v>0</v>
      </c>
      <c r="AX155" s="776">
        <f t="shared" ca="1" si="35"/>
        <v>0</v>
      </c>
      <c r="AY155" s="776">
        <f t="shared" ca="1" si="35"/>
        <v>0</v>
      </c>
      <c r="AZ155" s="776">
        <f t="shared" ca="1" si="35"/>
        <v>0</v>
      </c>
      <c r="BA155" s="776">
        <f t="shared" ca="1" si="35"/>
        <v>0</v>
      </c>
      <c r="BB155" s="776">
        <f t="shared" ca="1" si="35"/>
        <v>0</v>
      </c>
      <c r="BC155" s="776">
        <f t="shared" ca="1" si="35"/>
        <v>0</v>
      </c>
      <c r="BD155" s="542"/>
      <c r="BE155" s="542"/>
      <c r="BF155" s="542"/>
      <c r="BG155" s="542"/>
      <c r="BH155" s="542"/>
      <c r="BI155" s="542"/>
      <c r="BJ155" s="542"/>
      <c r="BK155" s="542"/>
      <c r="BL155" s="542"/>
      <c r="BM155" s="542"/>
      <c r="BN155" s="775"/>
      <c r="BO155" s="775"/>
      <c r="BP155" s="775"/>
      <c r="BS155" s="694" t="s">
        <v>1891</v>
      </c>
    </row>
    <row r="156" spans="2:75" ht="14.65" hidden="1" customHeight="1" x14ac:dyDescent="0.25">
      <c r="D156" s="25" cm="1">
        <f t="array" ref="D156">D155</f>
        <v>11</v>
      </c>
      <c r="E156" s="507">
        <v>15</v>
      </c>
      <c r="F156" s="3" cm="1">
        <f t="array" aca="1" ref="F156" ca="1">OFFSET(E156,-1,1)</f>
        <v>0</v>
      </c>
      <c r="G156" s="72" t="s">
        <v>1641</v>
      </c>
      <c r="I156" s="72" t="s">
        <v>2214</v>
      </c>
      <c r="K156" s="72" t="s">
        <v>2214</v>
      </c>
      <c r="L156" s="25" t="s">
        <v>1892</v>
      </c>
      <c r="M156" s="25"/>
      <c r="T156" s="353" t="b" cm="1">
        <f t="array" aca="1" ref="T156" ca="1">T155</f>
        <v>0</v>
      </c>
      <c r="X156" s="990"/>
      <c r="Z156" s="967"/>
      <c r="AB156" s="7" t="str">
        <f>D156&amp;".2"</f>
        <v>11.2</v>
      </c>
      <c r="AC156" s="127" t="s">
        <v>1894</v>
      </c>
      <c r="AD156" s="7" t="s">
        <v>1644</v>
      </c>
      <c r="AE156" s="778"/>
      <c r="AF156" s="778"/>
      <c r="AG156" s="778"/>
      <c r="AH156" s="171">
        <f t="shared" si="33"/>
        <v>0</v>
      </c>
      <c r="AI156" s="778"/>
      <c r="AJ156" s="128"/>
      <c r="AK156" s="778"/>
      <c r="AL156" s="778"/>
      <c r="AM156" s="778"/>
      <c r="AN156" s="778"/>
      <c r="AO156" s="778"/>
      <c r="AP156" s="778"/>
      <c r="AQ156" s="778"/>
      <c r="AR156" s="778"/>
      <c r="AS156" s="778"/>
      <c r="AT156" s="128"/>
      <c r="AU156" s="778" cm="1">
        <f t="array" aca="1" ref="AU156" ca="1">AT158</f>
        <v>0</v>
      </c>
      <c r="AV156" s="778" cm="1">
        <f t="array" aca="1" ref="AV156" ca="1">AU158</f>
        <v>0</v>
      </c>
      <c r="AW156" s="778" cm="1">
        <f t="array" aca="1" ref="AW156" ca="1">AV158</f>
        <v>0</v>
      </c>
      <c r="AX156" s="778" cm="1">
        <f t="array" aca="1" ref="AX156" ca="1">AW158</f>
        <v>0</v>
      </c>
      <c r="AY156" s="778" cm="1">
        <f t="array" aca="1" ref="AY156" ca="1">AX158</f>
        <v>0</v>
      </c>
      <c r="AZ156" s="778" cm="1">
        <f t="array" aca="1" ref="AZ156" ca="1">AY158</f>
        <v>0</v>
      </c>
      <c r="BA156" s="778" cm="1">
        <f t="array" aca="1" ref="BA156" ca="1">AZ158</f>
        <v>0</v>
      </c>
      <c r="BB156" s="778" cm="1">
        <f t="array" aca="1" ref="BB156" ca="1">BA158</f>
        <v>0</v>
      </c>
      <c r="BC156" s="778" cm="1">
        <f t="array" aca="1" ref="BC156" ca="1">BB158</f>
        <v>0</v>
      </c>
      <c r="BD156" s="542"/>
      <c r="BE156" s="542"/>
      <c r="BF156" s="542"/>
      <c r="BG156" s="542"/>
      <c r="BH156" s="542"/>
      <c r="BI156" s="542"/>
      <c r="BJ156" s="542"/>
      <c r="BK156" s="542"/>
      <c r="BL156" s="542"/>
      <c r="BM156" s="542"/>
      <c r="BN156" s="775"/>
      <c r="BO156" s="775"/>
      <c r="BP156" s="775"/>
      <c r="BS156" s="694" t="s">
        <v>1895</v>
      </c>
    </row>
    <row r="157" spans="2:75" ht="14.65" hidden="1" customHeight="1" x14ac:dyDescent="0.25">
      <c r="D157" s="25" cm="1">
        <f t="array" ref="D157">D156</f>
        <v>11</v>
      </c>
      <c r="E157" s="507">
        <v>15</v>
      </c>
      <c r="F157" s="3" cm="1">
        <f t="array" aca="1" ref="F157" ca="1">OFFSET(E157,-1,1)</f>
        <v>0</v>
      </c>
      <c r="G157" s="72" t="s">
        <v>1693</v>
      </c>
      <c r="I157" s="72" t="s">
        <v>2215</v>
      </c>
      <c r="K157" s="72" t="s">
        <v>2215</v>
      </c>
      <c r="L157" s="25" t="s">
        <v>1896</v>
      </c>
      <c r="M157" s="25"/>
      <c r="T157" s="353" t="b" cm="1">
        <f t="array" aca="1" ref="T157" ca="1">T156</f>
        <v>0</v>
      </c>
      <c r="X157" s="990"/>
      <c r="Z157" s="967"/>
      <c r="AB157" s="7" t="str">
        <f>D157&amp;".3"</f>
        <v>11.3</v>
      </c>
      <c r="AC157" s="127" t="s">
        <v>2216</v>
      </c>
      <c r="AD157" s="7" t="s">
        <v>558</v>
      </c>
      <c r="AE157" s="558">
        <f ca="1">AE154-AE155</f>
        <v>0</v>
      </c>
      <c r="AF157" s="558">
        <f ca="1">AF154-AF155</f>
        <v>0</v>
      </c>
      <c r="AG157" s="558">
        <f ca="1">AG154-AG155</f>
        <v>0</v>
      </c>
      <c r="AH157" s="558">
        <f t="shared" ca="1" si="33"/>
        <v>0</v>
      </c>
      <c r="AI157" s="558">
        <f t="shared" ref="AI157:BC157" ca="1" si="36">AI154-AI155</f>
        <v>0</v>
      </c>
      <c r="AJ157" s="558">
        <f t="shared" ca="1" si="36"/>
        <v>0</v>
      </c>
      <c r="AK157" s="558">
        <f t="shared" ca="1" si="36"/>
        <v>0</v>
      </c>
      <c r="AL157" s="558">
        <f t="shared" ca="1" si="36"/>
        <v>0</v>
      </c>
      <c r="AM157" s="558">
        <f t="shared" ca="1" si="36"/>
        <v>0</v>
      </c>
      <c r="AN157" s="558">
        <f t="shared" ca="1" si="36"/>
        <v>0</v>
      </c>
      <c r="AO157" s="558">
        <f t="shared" ca="1" si="36"/>
        <v>0</v>
      </c>
      <c r="AP157" s="558">
        <f t="shared" ca="1" si="36"/>
        <v>0</v>
      </c>
      <c r="AQ157" s="558">
        <f t="shared" ca="1" si="36"/>
        <v>0</v>
      </c>
      <c r="AR157" s="558">
        <f t="shared" ca="1" si="36"/>
        <v>0</v>
      </c>
      <c r="AS157" s="558">
        <f t="shared" ca="1" si="36"/>
        <v>0</v>
      </c>
      <c r="AT157" s="558">
        <f t="shared" ca="1" si="36"/>
        <v>0</v>
      </c>
      <c r="AU157" s="558">
        <f t="shared" ca="1" si="36"/>
        <v>0</v>
      </c>
      <c r="AV157" s="558">
        <f t="shared" ca="1" si="36"/>
        <v>0</v>
      </c>
      <c r="AW157" s="558">
        <f t="shared" ca="1" si="36"/>
        <v>0</v>
      </c>
      <c r="AX157" s="558">
        <f t="shared" ca="1" si="36"/>
        <v>0</v>
      </c>
      <c r="AY157" s="558">
        <f t="shared" ca="1" si="36"/>
        <v>0</v>
      </c>
      <c r="AZ157" s="558">
        <f t="shared" ca="1" si="36"/>
        <v>0</v>
      </c>
      <c r="BA157" s="558">
        <f t="shared" ca="1" si="36"/>
        <v>0</v>
      </c>
      <c r="BB157" s="558">
        <f t="shared" ca="1" si="36"/>
        <v>0</v>
      </c>
      <c r="BC157" s="558">
        <f t="shared" ca="1" si="36"/>
        <v>0</v>
      </c>
      <c r="BD157" s="542"/>
      <c r="BE157" s="542"/>
      <c r="BF157" s="542"/>
      <c r="BG157" s="542"/>
      <c r="BH157" s="542"/>
      <c r="BI157" s="542"/>
      <c r="BJ157" s="542"/>
      <c r="BK157" s="542"/>
      <c r="BL157" s="542"/>
      <c r="BM157" s="542"/>
      <c r="BN157" s="775"/>
      <c r="BO157" s="775"/>
      <c r="BP157" s="775"/>
      <c r="BS157" s="694" t="s">
        <v>1899</v>
      </c>
    </row>
    <row r="158" spans="2:75" ht="14.65" hidden="1" customHeight="1" x14ac:dyDescent="0.25">
      <c r="D158" s="25" cm="1">
        <f t="array" ref="D158">D157</f>
        <v>11</v>
      </c>
      <c r="E158" s="507">
        <v>15</v>
      </c>
      <c r="F158" s="3" cm="1">
        <f t="array" aca="1" ref="F158" ca="1">OFFSET(E158,-1,1)</f>
        <v>0</v>
      </c>
      <c r="G158" s="72" t="s">
        <v>1646</v>
      </c>
      <c r="I158" s="72" t="s">
        <v>2217</v>
      </c>
      <c r="K158" s="72" t="s">
        <v>2217</v>
      </c>
      <c r="L158" s="25" t="s">
        <v>1900</v>
      </c>
      <c r="M158" s="25"/>
      <c r="T158" s="353" t="b" cm="1">
        <f t="array" aca="1" ref="T158" ca="1">T157</f>
        <v>0</v>
      </c>
      <c r="X158" s="990"/>
      <c r="Z158" s="967"/>
      <c r="AB158" s="7" t="str">
        <f>D158&amp;".4"</f>
        <v>11.4</v>
      </c>
      <c r="AC158" s="127" t="s">
        <v>1902</v>
      </c>
      <c r="AD158" s="7" t="s">
        <v>1644</v>
      </c>
      <c r="AE158" s="778">
        <f ca="1">IF(AE157=0,0,(AE151-AE155*AE156)/AE157)</f>
        <v>0</v>
      </c>
      <c r="AF158" s="778">
        <f ca="1">IF(AF157=0,0,(AF151-AF155*AF156)/AF157)</f>
        <v>0</v>
      </c>
      <c r="AG158" s="778">
        <f ca="1">IF(AG157=0,0,(AG151-AG155*AG156)/AG157)</f>
        <v>0</v>
      </c>
      <c r="AH158" s="171">
        <f t="shared" ca="1" si="33"/>
        <v>0</v>
      </c>
      <c r="AI158" s="778">
        <f t="shared" ref="AI158:BC158" ca="1" si="37">IF(AI157=0,0,(AI151-AI155*AI156)/AI157)</f>
        <v>0</v>
      </c>
      <c r="AJ158" s="128">
        <f t="shared" ca="1" si="37"/>
        <v>0</v>
      </c>
      <c r="AK158" s="778">
        <f t="shared" ca="1" si="37"/>
        <v>0</v>
      </c>
      <c r="AL158" s="778">
        <f t="shared" ca="1" si="37"/>
        <v>0</v>
      </c>
      <c r="AM158" s="778">
        <f t="shared" ca="1" si="37"/>
        <v>0</v>
      </c>
      <c r="AN158" s="778">
        <f t="shared" ca="1" si="37"/>
        <v>0</v>
      </c>
      <c r="AO158" s="778">
        <f t="shared" ca="1" si="37"/>
        <v>0</v>
      </c>
      <c r="AP158" s="778">
        <f t="shared" ca="1" si="37"/>
        <v>0</v>
      </c>
      <c r="AQ158" s="778">
        <f t="shared" ca="1" si="37"/>
        <v>0</v>
      </c>
      <c r="AR158" s="778">
        <f t="shared" ca="1" si="37"/>
        <v>0</v>
      </c>
      <c r="AS158" s="778">
        <f t="shared" ca="1" si="37"/>
        <v>0</v>
      </c>
      <c r="AT158" s="128">
        <f t="shared" ca="1" si="37"/>
        <v>0</v>
      </c>
      <c r="AU158" s="778">
        <f t="shared" ca="1" si="37"/>
        <v>0</v>
      </c>
      <c r="AV158" s="778">
        <f t="shared" ca="1" si="37"/>
        <v>0</v>
      </c>
      <c r="AW158" s="778">
        <f t="shared" ca="1" si="37"/>
        <v>0</v>
      </c>
      <c r="AX158" s="778">
        <f t="shared" ca="1" si="37"/>
        <v>0</v>
      </c>
      <c r="AY158" s="778">
        <f t="shared" ca="1" si="37"/>
        <v>0</v>
      </c>
      <c r="AZ158" s="778">
        <f t="shared" ca="1" si="37"/>
        <v>0</v>
      </c>
      <c r="BA158" s="778">
        <f t="shared" ca="1" si="37"/>
        <v>0</v>
      </c>
      <c r="BB158" s="778">
        <f t="shared" ca="1" si="37"/>
        <v>0</v>
      </c>
      <c r="BC158" s="778">
        <f t="shared" ca="1" si="37"/>
        <v>0</v>
      </c>
      <c r="BD158" s="542"/>
      <c r="BE158" s="542"/>
      <c r="BF158" s="542"/>
      <c r="BG158" s="542"/>
      <c r="BH158" s="542"/>
      <c r="BI158" s="542"/>
      <c r="BJ158" s="542"/>
      <c r="BK158" s="542"/>
      <c r="BL158" s="542"/>
      <c r="BM158" s="542"/>
      <c r="BN158" s="775"/>
      <c r="BO158" s="775"/>
      <c r="BP158" s="775"/>
      <c r="BS158" s="694" t="s">
        <v>1903</v>
      </c>
    </row>
    <row r="159" spans="2:75" ht="14.65" hidden="1" customHeight="1" x14ac:dyDescent="0.25">
      <c r="D159" s="25" cm="1">
        <f t="array" ref="D159">D158</f>
        <v>11</v>
      </c>
      <c r="E159" s="507">
        <v>15</v>
      </c>
      <c r="F159" s="3" cm="1">
        <f t="array" aca="1" ref="F159" ca="1">OFFSET(E159,-1,1)</f>
        <v>0</v>
      </c>
      <c r="I159" s="72" t="s">
        <v>2218</v>
      </c>
      <c r="K159" s="72" t="s">
        <v>2218</v>
      </c>
      <c r="L159" s="25" t="s">
        <v>1904</v>
      </c>
      <c r="M159" s="25"/>
      <c r="T159" s="353" t="b" cm="1">
        <f t="array" aca="1" ref="T159" ca="1">T158</f>
        <v>0</v>
      </c>
      <c r="X159" s="990"/>
      <c r="Z159" s="967"/>
      <c r="AB159" s="7" t="str">
        <f>D159&amp;".5"</f>
        <v>11.5</v>
      </c>
      <c r="AC159" s="127" t="s">
        <v>1906</v>
      </c>
      <c r="AD159" s="7" t="s">
        <v>476</v>
      </c>
      <c r="AE159" s="171">
        <f>IF(AE156=0,0,AE158/AE156*100)</f>
        <v>0</v>
      </c>
      <c r="AF159" s="171">
        <f>IF(AF156=0,0,AF158/AF156*100)</f>
        <v>0</v>
      </c>
      <c r="AG159" s="171">
        <f>IF(AG156=0,0,AG158/AG156*100)</f>
        <v>0</v>
      </c>
      <c r="AH159" s="542"/>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2"/>
      <c r="BE159" s="542"/>
      <c r="BF159" s="542"/>
      <c r="BG159" s="542"/>
      <c r="BH159" s="542"/>
      <c r="BI159" s="542"/>
      <c r="BJ159" s="542"/>
      <c r="BK159" s="542"/>
      <c r="BL159" s="542"/>
      <c r="BM159" s="542"/>
      <c r="BN159" s="775"/>
      <c r="BO159" s="775"/>
      <c r="BP159" s="775"/>
      <c r="BS159" s="694" t="s">
        <v>1907</v>
      </c>
    </row>
    <row r="160" spans="2:75" ht="14.65" hidden="1" customHeight="1" x14ac:dyDescent="0.25">
      <c r="D160" s="25" cm="1">
        <f t="array" ref="D160">D159</f>
        <v>11</v>
      </c>
      <c r="E160" s="507">
        <v>15</v>
      </c>
      <c r="F160" s="3" cm="1">
        <f t="array" aca="1" ref="F160" ca="1">OFFSET(E160,-1,1)</f>
        <v>0</v>
      </c>
      <c r="I160" s="72" t="s">
        <v>2219</v>
      </c>
      <c r="K160" s="72" t="s">
        <v>2219</v>
      </c>
      <c r="L160" s="25" t="s">
        <v>1908</v>
      </c>
      <c r="M160" s="25"/>
      <c r="T160" s="353" t="b" cm="1">
        <f t="array" aca="1" ref="T160" ca="1">T159</f>
        <v>0</v>
      </c>
      <c r="X160" s="990"/>
      <c r="Z160" s="967"/>
      <c r="AB160" s="7" t="str">
        <f>D160&amp;".6"</f>
        <v>11.6</v>
      </c>
      <c r="AC160" s="127" t="s">
        <v>1910</v>
      </c>
      <c r="AD160" s="7" t="s">
        <v>1644</v>
      </c>
      <c r="AE160" s="778">
        <f ca="1">IF(AE154=0,0,AE151/AE154)</f>
        <v>0</v>
      </c>
      <c r="AF160" s="778">
        <f ca="1">IF(AF154=0,0,AF151/AF154)</f>
        <v>0</v>
      </c>
      <c r="AG160" s="778">
        <f ca="1">IF(AG154=0,0,AG151/AG154)</f>
        <v>0</v>
      </c>
      <c r="AH160" s="171">
        <f ca="1">AG160-AF160</f>
        <v>0</v>
      </c>
      <c r="AI160" s="778">
        <f t="shared" ref="AI160:BC160" ca="1" si="39">IF(AI154=0,0,AI151/AI154)</f>
        <v>0</v>
      </c>
      <c r="AJ160" s="128">
        <f t="shared" ca="1" si="39"/>
        <v>0</v>
      </c>
      <c r="AK160" s="778">
        <f t="shared" ca="1" si="39"/>
        <v>0</v>
      </c>
      <c r="AL160" s="778">
        <f t="shared" ca="1" si="39"/>
        <v>0</v>
      </c>
      <c r="AM160" s="778">
        <f t="shared" ca="1" si="39"/>
        <v>0</v>
      </c>
      <c r="AN160" s="778">
        <f t="shared" ca="1" si="39"/>
        <v>0</v>
      </c>
      <c r="AO160" s="778">
        <f t="shared" ca="1" si="39"/>
        <v>0</v>
      </c>
      <c r="AP160" s="778">
        <f t="shared" ca="1" si="39"/>
        <v>0</v>
      </c>
      <c r="AQ160" s="778">
        <f t="shared" ca="1" si="39"/>
        <v>0</v>
      </c>
      <c r="AR160" s="778">
        <f t="shared" ca="1" si="39"/>
        <v>0</v>
      </c>
      <c r="AS160" s="778">
        <f t="shared" ca="1" si="39"/>
        <v>0</v>
      </c>
      <c r="AT160" s="128">
        <f t="shared" ca="1" si="39"/>
        <v>0</v>
      </c>
      <c r="AU160" s="778">
        <f t="shared" ca="1" si="39"/>
        <v>0</v>
      </c>
      <c r="AV160" s="778">
        <f t="shared" ca="1" si="39"/>
        <v>0</v>
      </c>
      <c r="AW160" s="778">
        <f t="shared" ca="1" si="39"/>
        <v>0</v>
      </c>
      <c r="AX160" s="778">
        <f t="shared" ca="1" si="39"/>
        <v>0</v>
      </c>
      <c r="AY160" s="778">
        <f t="shared" ca="1" si="39"/>
        <v>0</v>
      </c>
      <c r="AZ160" s="778">
        <f t="shared" ca="1" si="39"/>
        <v>0</v>
      </c>
      <c r="BA160" s="778">
        <f t="shared" ca="1" si="39"/>
        <v>0</v>
      </c>
      <c r="BB160" s="778">
        <f t="shared" ca="1" si="39"/>
        <v>0</v>
      </c>
      <c r="BC160" s="778">
        <f t="shared" ca="1" si="39"/>
        <v>0</v>
      </c>
      <c r="BD160" s="542"/>
      <c r="BE160" s="542"/>
      <c r="BF160" s="542"/>
      <c r="BG160" s="542"/>
      <c r="BH160" s="542"/>
      <c r="BI160" s="542"/>
      <c r="BJ160" s="542"/>
      <c r="BK160" s="542"/>
      <c r="BL160" s="542"/>
      <c r="BM160" s="542"/>
      <c r="BN160" s="775"/>
      <c r="BO160" s="775"/>
      <c r="BP160" s="775"/>
      <c r="BS160" s="694" t="s">
        <v>1911</v>
      </c>
    </row>
    <row r="161" spans="1:75" s="76" customFormat="1" ht="20.45" hidden="1" customHeight="1" x14ac:dyDescent="0.25">
      <c r="B161" s="332"/>
      <c r="D161" s="27">
        <f>D160+1</f>
        <v>12</v>
      </c>
      <c r="E161" s="511">
        <v>21</v>
      </c>
      <c r="F161" s="3" cm="1">
        <f t="array" aca="1" ref="F161" ca="1">OFFSET(E161,-1,1)</f>
        <v>0</v>
      </c>
      <c r="H161" s="72"/>
      <c r="I161" s="72" t="s">
        <v>1916</v>
      </c>
      <c r="K161" s="72" t="s">
        <v>1916</v>
      </c>
      <c r="L161" s="27" t="s">
        <v>1912</v>
      </c>
      <c r="M161" s="27"/>
      <c r="T161" s="353" t="b" cm="1">
        <f t="array" aca="1" ref="T161" ca="1">T160</f>
        <v>0</v>
      </c>
      <c r="X161" s="990"/>
      <c r="Z161" s="967"/>
      <c r="AB161" s="124" cm="1">
        <f t="array" ref="AB161">D161</f>
        <v>12</v>
      </c>
      <c r="AC161" s="125" t="s">
        <v>1914</v>
      </c>
      <c r="AD161" s="124" t="s">
        <v>828</v>
      </c>
      <c r="AE161" s="774">
        <f ca="1">IF(AE154=0,0,AE151/AE154*AE162)</f>
        <v>0</v>
      </c>
      <c r="AF161" s="774">
        <f ca="1">IF(AF154=0,0,AF151/AF154*AF162)</f>
        <v>0</v>
      </c>
      <c r="AG161" s="774">
        <f ca="1">IF(AG154=0,0,AG151/AG154*AG162)</f>
        <v>0</v>
      </c>
      <c r="AH161" s="126">
        <f ca="1">AH163*AH164+AH165*AH166</f>
        <v>0</v>
      </c>
      <c r="AI161" s="774">
        <f t="shared" ref="AI161:BC161" ca="1" si="40">IF(AI154=0,0,AI151/AI154*AI162)</f>
        <v>0</v>
      </c>
      <c r="AJ161" s="138">
        <f t="shared" ca="1" si="40"/>
        <v>0</v>
      </c>
      <c r="AK161" s="774">
        <f t="shared" ca="1" si="40"/>
        <v>0</v>
      </c>
      <c r="AL161" s="774">
        <f t="shared" ca="1" si="40"/>
        <v>0</v>
      </c>
      <c r="AM161" s="774">
        <f t="shared" ca="1" si="40"/>
        <v>0</v>
      </c>
      <c r="AN161" s="774">
        <f t="shared" ca="1" si="40"/>
        <v>0</v>
      </c>
      <c r="AO161" s="774">
        <f t="shared" ca="1" si="40"/>
        <v>0</v>
      </c>
      <c r="AP161" s="774">
        <f t="shared" ca="1" si="40"/>
        <v>0</v>
      </c>
      <c r="AQ161" s="774">
        <f t="shared" ca="1" si="40"/>
        <v>0</v>
      </c>
      <c r="AR161" s="774">
        <f t="shared" ca="1" si="40"/>
        <v>0</v>
      </c>
      <c r="AS161" s="774">
        <f t="shared" ca="1" si="40"/>
        <v>0</v>
      </c>
      <c r="AT161" s="138">
        <f t="shared" ca="1" si="40"/>
        <v>0</v>
      </c>
      <c r="AU161" s="774">
        <f t="shared" ca="1" si="40"/>
        <v>0</v>
      </c>
      <c r="AV161" s="774">
        <f t="shared" ca="1" si="40"/>
        <v>0</v>
      </c>
      <c r="AW161" s="774">
        <f t="shared" ca="1" si="40"/>
        <v>0</v>
      </c>
      <c r="AX161" s="774">
        <f t="shared" ca="1" si="40"/>
        <v>0</v>
      </c>
      <c r="AY161" s="774">
        <f t="shared" ca="1" si="40"/>
        <v>0</v>
      </c>
      <c r="AZ161" s="774">
        <f t="shared" ca="1" si="40"/>
        <v>0</v>
      </c>
      <c r="BA161" s="774">
        <f t="shared" ca="1" si="40"/>
        <v>0</v>
      </c>
      <c r="BB161" s="774">
        <f t="shared" ca="1" si="40"/>
        <v>0</v>
      </c>
      <c r="BC161" s="774">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5"/>
      <c r="BO161" s="775"/>
      <c r="BP161" s="775"/>
      <c r="BS161" s="695" t="s">
        <v>1915</v>
      </c>
      <c r="BT161" s="702"/>
      <c r="BU161" s="702"/>
      <c r="BV161" s="511"/>
      <c r="BW161" s="511"/>
    </row>
    <row r="162" spans="1:75" s="76" customFormat="1" ht="20.45" hidden="1" customHeight="1" x14ac:dyDescent="0.25">
      <c r="B162" s="332"/>
      <c r="D162" s="27">
        <f>D161+1</f>
        <v>13</v>
      </c>
      <c r="E162" s="511">
        <v>21</v>
      </c>
      <c r="F162" s="3" cm="1">
        <f t="array" aca="1" ref="F162" ca="1">OFFSET(E162,-1,1)</f>
        <v>0</v>
      </c>
      <c r="G162" s="72" t="s">
        <v>1666</v>
      </c>
      <c r="H162" s="72"/>
      <c r="I162" s="72" t="s">
        <v>2220</v>
      </c>
      <c r="K162" s="72" t="s">
        <v>2220</v>
      </c>
      <c r="L162" s="27" t="s">
        <v>1916</v>
      </c>
      <c r="M162" s="27"/>
      <c r="T162" s="353" t="b" cm="1">
        <f t="array" aca="1" ref="T162" ca="1">T161</f>
        <v>0</v>
      </c>
      <c r="X162" s="990"/>
      <c r="Z162" s="967"/>
      <c r="AB162" s="124" cm="1">
        <f t="array" ref="AB162">D162</f>
        <v>13</v>
      </c>
      <c r="AC162" s="125" t="s">
        <v>1918</v>
      </c>
      <c r="AD162" s="124" t="s">
        <v>558</v>
      </c>
      <c r="AE162" s="552">
        <f ca="1">SUMIFS(Баланс!AE$26:AE$391,Баланс!$F$26:$F$391,$F162,Баланс!$G$26:$G$391,"население")</f>
        <v>0</v>
      </c>
      <c r="AF162" s="552">
        <f ca="1">SUMIFS(Баланс!AF$26:AF$391,Баланс!$F$26:$F$391,$F162,Баланс!$G$26:$G$391,"население")</f>
        <v>0</v>
      </c>
      <c r="AG162" s="552">
        <f ca="1">SUMIFS(Баланс!AG$26:AG$391,Баланс!$F$26:$F$391,$F162,Баланс!$G$26:$G$391,"население")</f>
        <v>0</v>
      </c>
      <c r="AH162" s="552">
        <f ca="1">AG162-AF162</f>
        <v>0</v>
      </c>
      <c r="AI162" s="552">
        <f ca="1">SUMIFS(Баланс!AH$26:AH$391,Баланс!$F$26:$F$391,$F162,Баланс!$G$26:$G$391,"население")</f>
        <v>0</v>
      </c>
      <c r="AJ162" s="552">
        <f ca="1">SUMIFS(Баланс!AI$26:AI$391,Баланс!$F$26:$F$391,$F162,Баланс!$G$26:$G$391,"население")</f>
        <v>0</v>
      </c>
      <c r="AK162" s="552">
        <f ca="1">SUMIFS(Баланс!AJ$26:AJ$391,Баланс!$F$26:$F$391,$F162,Баланс!$G$26:$G$391,"население")</f>
        <v>0</v>
      </c>
      <c r="AL162" s="552">
        <f ca="1">SUMIFS(Баланс!AK$26:AK$391,Баланс!$F$26:$F$391,$F162,Баланс!$G$26:$G$391,"население")</f>
        <v>0</v>
      </c>
      <c r="AM162" s="552">
        <f ca="1">SUMIFS(Баланс!AL$26:AL$391,Баланс!$F$26:$F$391,$F162,Баланс!$G$26:$G$391,"население")</f>
        <v>0</v>
      </c>
      <c r="AN162" s="552">
        <f ca="1">SUMIFS(Баланс!AM$26:AM$391,Баланс!$F$26:$F$391,$F162,Баланс!$G$26:$G$391,"население")</f>
        <v>0</v>
      </c>
      <c r="AO162" s="552">
        <f ca="1">SUMIFS(Баланс!AN$26:AN$391,Баланс!$F$26:$F$391,$F162,Баланс!$G$26:$G$391,"население")</f>
        <v>0</v>
      </c>
      <c r="AP162" s="552">
        <f ca="1">SUMIFS(Баланс!AO$26:AO$391,Баланс!$F$26:$F$391,$F162,Баланс!$G$26:$G$391,"население")</f>
        <v>0</v>
      </c>
      <c r="AQ162" s="552">
        <f ca="1">SUMIFS(Баланс!AP$26:AP$391,Баланс!$F$26:$F$391,$F162,Баланс!$G$26:$G$391,"население")</f>
        <v>0</v>
      </c>
      <c r="AR162" s="552">
        <f ca="1">SUMIFS(Баланс!AQ$26:AQ$391,Баланс!$F$26:$F$391,$F162,Баланс!$G$26:$G$391,"население")</f>
        <v>0</v>
      </c>
      <c r="AS162" s="552">
        <f ca="1">SUMIFS(Баланс!AR$26:AR$391,Баланс!$F$26:$F$391,$F162,Баланс!$G$26:$G$391,"население")</f>
        <v>0</v>
      </c>
      <c r="AT162" s="552">
        <f ca="1">SUMIFS(Баланс!AS$26:AS$391,Баланс!$F$26:$F$391,$F162,Баланс!$G$26:$G$391,"население")</f>
        <v>0</v>
      </c>
      <c r="AU162" s="552">
        <f ca="1">SUMIFS(Баланс!AT$26:AT$391,Баланс!$F$26:$F$391,$F162,Баланс!$G$26:$G$391,"население")</f>
        <v>0</v>
      </c>
      <c r="AV162" s="552">
        <f ca="1">SUMIFS(Баланс!AU$26:AU$391,Баланс!$F$26:$F$391,$F162,Баланс!$G$26:$G$391,"население")</f>
        <v>0</v>
      </c>
      <c r="AW162" s="552">
        <f ca="1">SUMIFS(Баланс!AV$26:AV$391,Баланс!$F$26:$F$391,$F162,Баланс!$G$26:$G$391,"население")</f>
        <v>0</v>
      </c>
      <c r="AX162" s="552">
        <f ca="1">SUMIFS(Баланс!AW$26:AW$391,Баланс!$F$26:$F$391,$F162,Баланс!$G$26:$G$391,"население")</f>
        <v>0</v>
      </c>
      <c r="AY162" s="552">
        <f ca="1">SUMIFS(Баланс!AX$26:AX$391,Баланс!$F$26:$F$391,$F162,Баланс!$G$26:$G$391,"население")</f>
        <v>0</v>
      </c>
      <c r="AZ162" s="552">
        <f ca="1">SUMIFS(Баланс!AY$26:AY$391,Баланс!$F$26:$F$391,$F162,Баланс!$G$26:$G$391,"население")</f>
        <v>0</v>
      </c>
      <c r="BA162" s="552">
        <f ca="1">SUMIFS(Баланс!AZ$26:AZ$391,Баланс!$F$26:$F$391,$F162,Баланс!$G$26:$G$391,"население")</f>
        <v>0</v>
      </c>
      <c r="BB162" s="552">
        <f ca="1">SUMIFS(Баланс!BA$26:BA$391,Баланс!$F$26:$F$391,$F162,Баланс!$G$26:$G$391,"население")</f>
        <v>0</v>
      </c>
      <c r="BC162" s="552">
        <f ca="1">SUMIFS(Баланс!BB$26:BB$391,Баланс!$F$26:$F$391,$F162,Баланс!$G$26:$G$391,"население")</f>
        <v>0</v>
      </c>
      <c r="BD162" s="129"/>
      <c r="BE162" s="129"/>
      <c r="BF162" s="129"/>
      <c r="BG162" s="129"/>
      <c r="BH162" s="129"/>
      <c r="BI162" s="129"/>
      <c r="BJ162" s="129"/>
      <c r="BK162" s="129"/>
      <c r="BL162" s="129"/>
      <c r="BM162" s="129"/>
      <c r="BN162" s="775"/>
      <c r="BO162" s="775"/>
      <c r="BP162" s="775"/>
      <c r="BS162" s="695" t="s">
        <v>1919</v>
      </c>
      <c r="BT162" s="702"/>
      <c r="BU162" s="702"/>
      <c r="BV162" s="511"/>
      <c r="BW162" s="511"/>
    </row>
    <row r="163" spans="1:75" ht="14.65" hidden="1" customHeight="1" x14ac:dyDescent="0.25">
      <c r="D163" s="25" cm="1">
        <f t="array" ref="D163">D162</f>
        <v>13</v>
      </c>
      <c r="E163" s="507">
        <v>15</v>
      </c>
      <c r="F163" s="3" cm="1">
        <f t="array" aca="1" ref="F163" ca="1">OFFSET(E163,-1,1)</f>
        <v>0</v>
      </c>
      <c r="G163" s="72" t="s">
        <v>1700</v>
      </c>
      <c r="I163" s="72" t="s">
        <v>2221</v>
      </c>
      <c r="K163" s="72" t="s">
        <v>2221</v>
      </c>
      <c r="L163" s="25" t="s">
        <v>1920</v>
      </c>
      <c r="M163" s="25"/>
      <c r="T163" s="353" t="b" cm="1">
        <f t="array" aca="1" ref="T163" ca="1">T162</f>
        <v>0</v>
      </c>
      <c r="X163" s="990"/>
      <c r="Z163" s="967"/>
      <c r="AB163" s="7" t="str">
        <f>D163&amp;".1"</f>
        <v>13.1</v>
      </c>
      <c r="AC163" s="127" t="s">
        <v>1922</v>
      </c>
      <c r="AD163" s="7" t="s">
        <v>558</v>
      </c>
      <c r="AE163" s="776">
        <f ca="1">AE162/2</f>
        <v>0</v>
      </c>
      <c r="AF163" s="776">
        <f ca="1">AF162/2</f>
        <v>0</v>
      </c>
      <c r="AG163" s="776">
        <f ca="1">AG162/2</f>
        <v>0</v>
      </c>
      <c r="AH163" s="558">
        <f ca="1">AG163-AF163</f>
        <v>0</v>
      </c>
      <c r="AI163" s="776">
        <f ca="1">AI162/2</f>
        <v>0</v>
      </c>
      <c r="AJ163" s="444">
        <f ca="1">IF(god=2026,AJ162/12*9,AJ162/2)</f>
        <v>0</v>
      </c>
      <c r="AK163" s="776">
        <f ca="1">IF(god=2025,AK162/12*9,AK162/2)</f>
        <v>0</v>
      </c>
      <c r="AL163" s="776">
        <f t="shared" ref="AL163:AS163" ca="1" si="42">AL162/2</f>
        <v>0</v>
      </c>
      <c r="AM163" s="776">
        <f t="shared" ca="1" si="42"/>
        <v>0</v>
      </c>
      <c r="AN163" s="776">
        <f t="shared" ca="1" si="42"/>
        <v>0</v>
      </c>
      <c r="AO163" s="776">
        <f t="shared" ca="1" si="42"/>
        <v>0</v>
      </c>
      <c r="AP163" s="776">
        <f t="shared" ca="1" si="42"/>
        <v>0</v>
      </c>
      <c r="AQ163" s="776">
        <f t="shared" ca="1" si="42"/>
        <v>0</v>
      </c>
      <c r="AR163" s="776">
        <f t="shared" ca="1" si="42"/>
        <v>0</v>
      </c>
      <c r="AS163" s="776">
        <f t="shared" ca="1" si="42"/>
        <v>0</v>
      </c>
      <c r="AT163" s="444">
        <f ca="1">IF(god=2026,AT162/12*9,AT162/2)</f>
        <v>0</v>
      </c>
      <c r="AU163" s="776">
        <f ca="1">IF(god=2025,AU162/12*9,AU162/2)</f>
        <v>0</v>
      </c>
      <c r="AV163" s="776">
        <f t="shared" ref="AV163:BC163" ca="1" si="43">AV162/2</f>
        <v>0</v>
      </c>
      <c r="AW163" s="776">
        <f t="shared" ca="1" si="43"/>
        <v>0</v>
      </c>
      <c r="AX163" s="776">
        <f t="shared" ca="1" si="43"/>
        <v>0</v>
      </c>
      <c r="AY163" s="776">
        <f t="shared" ca="1" si="43"/>
        <v>0</v>
      </c>
      <c r="AZ163" s="776">
        <f t="shared" ca="1" si="43"/>
        <v>0</v>
      </c>
      <c r="BA163" s="776">
        <f t="shared" ca="1" si="43"/>
        <v>0</v>
      </c>
      <c r="BB163" s="776">
        <f t="shared" ca="1" si="43"/>
        <v>0</v>
      </c>
      <c r="BC163" s="776">
        <f t="shared" ca="1" si="43"/>
        <v>0</v>
      </c>
      <c r="BD163" s="542"/>
      <c r="BE163" s="542"/>
      <c r="BF163" s="542"/>
      <c r="BG163" s="542"/>
      <c r="BH163" s="542"/>
      <c r="BI163" s="542"/>
      <c r="BJ163" s="542"/>
      <c r="BK163" s="542"/>
      <c r="BL163" s="542"/>
      <c r="BM163" s="542"/>
      <c r="BN163" s="775"/>
      <c r="BO163" s="775"/>
      <c r="BP163" s="775"/>
      <c r="BS163" s="694" t="s">
        <v>1923</v>
      </c>
    </row>
    <row r="164" spans="1:75" ht="14.65" hidden="1" customHeight="1" x14ac:dyDescent="0.25">
      <c r="D164" s="25" cm="1">
        <f t="array" ref="D164">D163</f>
        <v>13</v>
      </c>
      <c r="E164" s="507">
        <v>15</v>
      </c>
      <c r="F164" s="3" cm="1">
        <f t="array" aca="1" ref="F164" ca="1">OFFSET(E164,-1,1)</f>
        <v>0</v>
      </c>
      <c r="G164" s="72" t="s">
        <v>1656</v>
      </c>
      <c r="I164" s="72" t="s">
        <v>2222</v>
      </c>
      <c r="K164" s="72" t="s">
        <v>2222</v>
      </c>
      <c r="L164" s="25" t="s">
        <v>1924</v>
      </c>
      <c r="M164" s="25"/>
      <c r="T164" s="353" t="b" cm="1">
        <f t="array" aca="1" ref="T164" ca="1">T163</f>
        <v>0</v>
      </c>
      <c r="X164" s="990"/>
      <c r="Z164" s="967"/>
      <c r="AB164" s="7" t="str">
        <f>D164&amp;".2"</f>
        <v>13.2</v>
      </c>
      <c r="AC164" s="127" t="s">
        <v>1926</v>
      </c>
      <c r="AD164" s="7" t="s">
        <v>1644</v>
      </c>
      <c r="AE164" s="778">
        <f ca="1">IF(AE162=0,0,AE156*(1+Сценарии!AE$26))</f>
        <v>0</v>
      </c>
      <c r="AF164" s="778">
        <f ca="1">IF(AF162=0,0,AF156*(1+Сценарии!AF$26))</f>
        <v>0</v>
      </c>
      <c r="AG164" s="778">
        <f ca="1">IF(AG162=0,0,AG156*(1+Сценарии!AG$26))</f>
        <v>0</v>
      </c>
      <c r="AH164" s="171">
        <f ca="1">AG164-AF164</f>
        <v>0</v>
      </c>
      <c r="AI164" s="778">
        <f ca="1">IF(AI162=0,0,AI156*(1+Сценарии!AI$26))</f>
        <v>0</v>
      </c>
      <c r="AJ164" s="128">
        <f ca="1">IF(AJ162=0,0,AJ156*(1+Сценарии!AJ$26))</f>
        <v>0</v>
      </c>
      <c r="AK164" s="778">
        <f ca="1">IF(AK162=0,0,AK156*(1+Сценарии!AO$26))</f>
        <v>0</v>
      </c>
      <c r="AL164" s="778">
        <f ca="1">IF(AL162=0,0,AL156*(1+Сценарии!AP$26))</f>
        <v>0</v>
      </c>
      <c r="AM164" s="778">
        <f ca="1">IF(AM162=0,0,AM156*(1+Сценарии!AQ$26))</f>
        <v>0</v>
      </c>
      <c r="AN164" s="778">
        <f ca="1">IF(AN162=0,0,AN156*(1+Сценарии!AR$26))</f>
        <v>0</v>
      </c>
      <c r="AO164" s="778">
        <f ca="1">IF(AO162=0,0,AO156*(1+Сценарии!AS$26))</f>
        <v>0</v>
      </c>
      <c r="AP164" s="778">
        <f ca="1">IF(AP162=0,0,AP156*(1+Сценарии!AT$26))</f>
        <v>0</v>
      </c>
      <c r="AQ164" s="778">
        <f ca="1">IF(AQ162=0,0,AQ156*(1+Сценарии!AU$26))</f>
        <v>0</v>
      </c>
      <c r="AR164" s="778">
        <f ca="1">IF(AR162=0,0,AR156*(1+Сценарии!AV$26))</f>
        <v>0</v>
      </c>
      <c r="AS164" s="778">
        <f ca="1">IF(AS162=0,0,AS156*(1+Сценарии!AW$26))</f>
        <v>0</v>
      </c>
      <c r="AT164" s="128">
        <f ca="1">IF(AT162=0,0,AT156*(1+Сценарии!AK$26))</f>
        <v>0</v>
      </c>
      <c r="AU164" s="778">
        <f ca="1">IF(AU162=0,0,AU156*(1+Сценарии!AX$26))</f>
        <v>0</v>
      </c>
      <c r="AV164" s="778">
        <f ca="1">IF(AV162=0,0,AV156*(1+Сценарии!AY$26))</f>
        <v>0</v>
      </c>
      <c r="AW164" s="778">
        <f ca="1">IF(AW162=0,0,AW156*(1+Сценарии!AZ$26))</f>
        <v>0</v>
      </c>
      <c r="AX164" s="778">
        <f ca="1">IF(AX162=0,0,AX156*(1+Сценарии!BA$26))</f>
        <v>0</v>
      </c>
      <c r="AY164" s="778">
        <f ca="1">IF(AY162=0,0,AY156*(1+Сценарии!BB$26))</f>
        <v>0</v>
      </c>
      <c r="AZ164" s="778">
        <f ca="1">IF(AZ162=0,0,AZ156*(1+Сценарии!BC$26))</f>
        <v>0</v>
      </c>
      <c r="BA164" s="778">
        <f ca="1">IF(BA162=0,0,BA156*(1+Сценарии!BD$26))</f>
        <v>0</v>
      </c>
      <c r="BB164" s="778">
        <f ca="1">IF(BB162=0,0,BB156*(1+Сценарии!BE$26))</f>
        <v>0</v>
      </c>
      <c r="BC164" s="778">
        <f ca="1">IF(BC162=0,0,BC156*(1+Сценарии!BF$26))</f>
        <v>0</v>
      </c>
      <c r="BD164" s="542"/>
      <c r="BE164" s="542"/>
      <c r="BF164" s="542"/>
      <c r="BG164" s="542"/>
      <c r="BH164" s="542"/>
      <c r="BI164" s="542"/>
      <c r="BJ164" s="542"/>
      <c r="BK164" s="542"/>
      <c r="BL164" s="542"/>
      <c r="BM164" s="542"/>
      <c r="BN164" s="775"/>
      <c r="BO164" s="775"/>
      <c r="BP164" s="775"/>
      <c r="BS164" s="694" t="s">
        <v>1927</v>
      </c>
    </row>
    <row r="165" spans="1:75" ht="14.65" hidden="1" customHeight="1" x14ac:dyDescent="0.25">
      <c r="B165" s="15"/>
      <c r="C165" s="25"/>
      <c r="D165" s="25" cm="1">
        <f t="array" ref="D165">D164</f>
        <v>13</v>
      </c>
      <c r="E165" s="451">
        <v>15</v>
      </c>
      <c r="F165" s="3" cm="1">
        <f t="array" aca="1" ref="F165" ca="1">OFFSET(E165,-1,1)</f>
        <v>0</v>
      </c>
      <c r="G165" s="25" t="s">
        <v>1707</v>
      </c>
      <c r="H165" s="25"/>
      <c r="I165" s="25" t="s">
        <v>2223</v>
      </c>
      <c r="J165" s="25"/>
      <c r="K165" s="25" t="s">
        <v>2223</v>
      </c>
      <c r="L165" s="25" t="s">
        <v>1928</v>
      </c>
      <c r="M165" s="25"/>
      <c r="N165" s="25"/>
      <c r="O165" s="25"/>
      <c r="P165" s="25"/>
      <c r="Q165" s="25"/>
      <c r="R165" s="25"/>
      <c r="S165" s="25"/>
      <c r="T165" s="353" t="b" cm="1">
        <f t="array" aca="1" ref="T165" ca="1">T164</f>
        <v>0</v>
      </c>
      <c r="U165" s="25"/>
      <c r="V165" s="25"/>
      <c r="W165" s="25"/>
      <c r="X165" s="990"/>
      <c r="Z165" s="967"/>
      <c r="AB165" s="7" t="str">
        <f>D165&amp;".3"</f>
        <v>13.3</v>
      </c>
      <c r="AC165" s="127" t="s">
        <v>1898</v>
      </c>
      <c r="AD165" s="7" t="s">
        <v>558</v>
      </c>
      <c r="AE165" s="558">
        <f ca="1">AE162-AE163</f>
        <v>0</v>
      </c>
      <c r="AF165" s="558">
        <f ca="1">AF162-AF163</f>
        <v>0</v>
      </c>
      <c r="AG165" s="558">
        <f ca="1">AG162-AG163</f>
        <v>0</v>
      </c>
      <c r="AH165" s="558">
        <f ca="1">AG165-AF165</f>
        <v>0</v>
      </c>
      <c r="AI165" s="558">
        <f t="shared" ref="AI165:BC165" ca="1" si="44">AI162-AI163</f>
        <v>0</v>
      </c>
      <c r="AJ165" s="558">
        <f t="shared" ca="1" si="44"/>
        <v>0</v>
      </c>
      <c r="AK165" s="558">
        <f t="shared" ca="1" si="44"/>
        <v>0</v>
      </c>
      <c r="AL165" s="558">
        <f t="shared" ca="1" si="44"/>
        <v>0</v>
      </c>
      <c r="AM165" s="558">
        <f t="shared" ca="1" si="44"/>
        <v>0</v>
      </c>
      <c r="AN165" s="558">
        <f t="shared" ca="1" si="44"/>
        <v>0</v>
      </c>
      <c r="AO165" s="558">
        <f t="shared" ca="1" si="44"/>
        <v>0</v>
      </c>
      <c r="AP165" s="558">
        <f t="shared" ca="1" si="44"/>
        <v>0</v>
      </c>
      <c r="AQ165" s="558">
        <f t="shared" ca="1" si="44"/>
        <v>0</v>
      </c>
      <c r="AR165" s="558">
        <f t="shared" ca="1" si="44"/>
        <v>0</v>
      </c>
      <c r="AS165" s="558">
        <f t="shared" ca="1" si="44"/>
        <v>0</v>
      </c>
      <c r="AT165" s="558">
        <f t="shared" ca="1" si="44"/>
        <v>0</v>
      </c>
      <c r="AU165" s="558">
        <f t="shared" ca="1" si="44"/>
        <v>0</v>
      </c>
      <c r="AV165" s="558">
        <f t="shared" ca="1" si="44"/>
        <v>0</v>
      </c>
      <c r="AW165" s="558">
        <f t="shared" ca="1" si="44"/>
        <v>0</v>
      </c>
      <c r="AX165" s="558">
        <f t="shared" ca="1" si="44"/>
        <v>0</v>
      </c>
      <c r="AY165" s="558">
        <f t="shared" ca="1" si="44"/>
        <v>0</v>
      </c>
      <c r="AZ165" s="558">
        <f t="shared" ca="1" si="44"/>
        <v>0</v>
      </c>
      <c r="BA165" s="558">
        <f t="shared" ca="1" si="44"/>
        <v>0</v>
      </c>
      <c r="BB165" s="558">
        <f t="shared" ca="1" si="44"/>
        <v>0</v>
      </c>
      <c r="BC165" s="558">
        <f t="shared" ca="1" si="44"/>
        <v>0</v>
      </c>
      <c r="BD165" s="542"/>
      <c r="BE165" s="542"/>
      <c r="BF165" s="542"/>
      <c r="BG165" s="542"/>
      <c r="BH165" s="542"/>
      <c r="BI165" s="542"/>
      <c r="BJ165" s="542"/>
      <c r="BK165" s="542"/>
      <c r="BL165" s="542"/>
      <c r="BM165" s="542"/>
      <c r="BN165" s="775"/>
      <c r="BO165" s="775"/>
      <c r="BP165" s="775"/>
      <c r="BS165" s="694" t="s">
        <v>1930</v>
      </c>
    </row>
    <row r="166" spans="1:75" ht="14.65" hidden="1" customHeight="1" x14ac:dyDescent="0.25">
      <c r="B166" s="15"/>
      <c r="C166" s="25"/>
      <c r="D166" s="25" cm="1">
        <f t="array" ref="D166">D165</f>
        <v>13</v>
      </c>
      <c r="E166" s="451">
        <v>15</v>
      </c>
      <c r="F166" s="3" cm="1">
        <f t="array" aca="1" ref="F166" ca="1">OFFSET(E166,-1,1)</f>
        <v>0</v>
      </c>
      <c r="G166" s="25" t="s">
        <v>1660</v>
      </c>
      <c r="H166" s="25"/>
      <c r="I166" s="25" t="s">
        <v>2224</v>
      </c>
      <c r="J166" s="25"/>
      <c r="K166" s="25" t="s">
        <v>2224</v>
      </c>
      <c r="L166" s="25" t="s">
        <v>1931</v>
      </c>
      <c r="M166" s="25"/>
      <c r="N166" s="25"/>
      <c r="O166" s="25"/>
      <c r="P166" s="25"/>
      <c r="Q166" s="25"/>
      <c r="R166" s="25"/>
      <c r="S166" s="25"/>
      <c r="T166" s="353" t="b" cm="1">
        <f t="array" aca="1" ref="T166" ca="1">T165</f>
        <v>0</v>
      </c>
      <c r="U166" s="25"/>
      <c r="V166" s="25"/>
      <c r="W166" s="25"/>
      <c r="X166" s="990"/>
      <c r="Z166" s="967"/>
      <c r="AB166" s="7" t="str">
        <f>D166&amp;".4"</f>
        <v>13.4</v>
      </c>
      <c r="AC166" s="127" t="s">
        <v>1902</v>
      </c>
      <c r="AD166" s="7" t="s">
        <v>1644</v>
      </c>
      <c r="AE166" s="778">
        <f ca="1">IF(AE162=0,0,AE158*(1+Сценарии!AE$26))</f>
        <v>0</v>
      </c>
      <c r="AF166" s="778">
        <f ca="1">IF(AF162=0,0,AF158*(1+Сценарии!AF$26))</f>
        <v>0</v>
      </c>
      <c r="AG166" s="778">
        <f ca="1">IF(AG162=0,0,AG158*(1+Сценарии!AG$26))</f>
        <v>0</v>
      </c>
      <c r="AH166" s="171">
        <f ca="1">AG166-AF166</f>
        <v>0</v>
      </c>
      <c r="AI166" s="778">
        <f ca="1">IF(AI162=0,0,AI158*(1+Сценарии!AI$26))</f>
        <v>0</v>
      </c>
      <c r="AJ166" s="128">
        <f ca="1">IF(AJ162=0,0,AJ158*(1+Сценарии!AJ$26))</f>
        <v>0</v>
      </c>
      <c r="AK166" s="778">
        <f ca="1">IF(AK162=0,0,AK158*(1+Сценарии!AO$26))</f>
        <v>0</v>
      </c>
      <c r="AL166" s="778">
        <f ca="1">IF(AL162=0,0,AL158*(1+Сценарии!AP$26))</f>
        <v>0</v>
      </c>
      <c r="AM166" s="778">
        <f ca="1">IF(AM162=0,0,AM158*(1+Сценарии!AQ$26))</f>
        <v>0</v>
      </c>
      <c r="AN166" s="778">
        <f ca="1">IF(AN162=0,0,AN158*(1+Сценарии!AR$26))</f>
        <v>0</v>
      </c>
      <c r="AO166" s="778">
        <f ca="1">IF(AO162=0,0,AO158*(1+Сценарии!AS$26))</f>
        <v>0</v>
      </c>
      <c r="AP166" s="778">
        <f ca="1">IF(AP162=0,0,AP158*(1+Сценарии!AT$26))</f>
        <v>0</v>
      </c>
      <c r="AQ166" s="778">
        <f ca="1">IF(AQ162=0,0,AQ158*(1+Сценарии!AU$26))</f>
        <v>0</v>
      </c>
      <c r="AR166" s="778">
        <f ca="1">IF(AR162=0,0,AR158*(1+Сценарии!AV$26))</f>
        <v>0</v>
      </c>
      <c r="AS166" s="778">
        <f ca="1">IF(AS162=0,0,AS158*(1+Сценарии!AW$26))</f>
        <v>0</v>
      </c>
      <c r="AT166" s="128">
        <f ca="1">IF(AT162=0,0,AT158*(1+Сценарии!AK$26))</f>
        <v>0</v>
      </c>
      <c r="AU166" s="778">
        <f ca="1">IF(AU162=0,0,AU158*(1+Сценарии!AX$26))</f>
        <v>0</v>
      </c>
      <c r="AV166" s="778">
        <f ca="1">IF(AV162=0,0,AV158*(1+Сценарии!AY$26))</f>
        <v>0</v>
      </c>
      <c r="AW166" s="778">
        <f ca="1">IF(AW162=0,0,AW158*(1+Сценарии!AZ$26))</f>
        <v>0</v>
      </c>
      <c r="AX166" s="778">
        <f ca="1">IF(AX162=0,0,AX158*(1+Сценарии!BA$26))</f>
        <v>0</v>
      </c>
      <c r="AY166" s="778">
        <f ca="1">IF(AY162=0,0,AY158*(1+Сценарии!BB$26))</f>
        <v>0</v>
      </c>
      <c r="AZ166" s="778">
        <f ca="1">IF(AZ162=0,0,AZ158*(1+Сценарии!BC$26))</f>
        <v>0</v>
      </c>
      <c r="BA166" s="778">
        <f ca="1">IF(BA162=0,0,BA158*(1+Сценарии!BD$26))</f>
        <v>0</v>
      </c>
      <c r="BB166" s="778">
        <f ca="1">IF(BB162=0,0,BB158*(1+Сценарии!BE$26))</f>
        <v>0</v>
      </c>
      <c r="BC166" s="778">
        <f ca="1">IF(BC162=0,0,BC158*(1+Сценарии!BF$26))</f>
        <v>0</v>
      </c>
      <c r="BD166" s="542"/>
      <c r="BE166" s="542"/>
      <c r="BF166" s="542"/>
      <c r="BG166" s="542"/>
      <c r="BH166" s="542"/>
      <c r="BI166" s="542"/>
      <c r="BJ166" s="542"/>
      <c r="BK166" s="542"/>
      <c r="BL166" s="542"/>
      <c r="BM166" s="542"/>
      <c r="BN166" s="775"/>
      <c r="BO166" s="775"/>
      <c r="BP166" s="775"/>
      <c r="BS166" s="694" t="s">
        <v>1934</v>
      </c>
    </row>
    <row r="167" spans="1:75" ht="14.65" hidden="1" customHeight="1" x14ac:dyDescent="0.25">
      <c r="B167" s="15"/>
      <c r="C167" s="25"/>
      <c r="D167" s="25">
        <f>D166+1</f>
        <v>14</v>
      </c>
      <c r="E167" s="451">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990"/>
      <c r="Z167" s="967"/>
      <c r="AB167" s="124" cm="1">
        <f t="array" ref="AB167">D167</f>
        <v>14</v>
      </c>
      <c r="AC167" s="125" t="s">
        <v>1936</v>
      </c>
      <c r="AD167" s="124" t="s">
        <v>828</v>
      </c>
      <c r="AE167" s="778"/>
      <c r="AF167" s="778"/>
      <c r="AG167" s="778"/>
      <c r="AH167" s="171"/>
      <c r="AI167" s="778"/>
      <c r="AJ167" s="128"/>
      <c r="AK167" s="778"/>
      <c r="AL167" s="778"/>
      <c r="AM167" s="778"/>
      <c r="AN167" s="778"/>
      <c r="AO167" s="778"/>
      <c r="AP167" s="778"/>
      <c r="AQ167" s="778"/>
      <c r="AR167" s="778"/>
      <c r="AS167" s="778"/>
      <c r="AT167" s="128"/>
      <c r="AU167" s="778"/>
      <c r="AV167" s="778"/>
      <c r="AW167" s="778"/>
      <c r="AX167" s="778"/>
      <c r="AY167" s="778"/>
      <c r="AZ167" s="778"/>
      <c r="BA167" s="778"/>
      <c r="BB167" s="778"/>
      <c r="BC167" s="778"/>
      <c r="BD167" s="542"/>
      <c r="BE167" s="542"/>
      <c r="BF167" s="542"/>
      <c r="BG167" s="542"/>
      <c r="BH167" s="542"/>
      <c r="BI167" s="542"/>
      <c r="BJ167" s="542"/>
      <c r="BK167" s="542"/>
      <c r="BL167" s="542"/>
      <c r="BM167" s="542"/>
      <c r="BN167" s="775"/>
      <c r="BO167" s="775"/>
      <c r="BP167" s="775"/>
      <c r="BS167" s="694" t="s">
        <v>1937</v>
      </c>
    </row>
    <row r="168" spans="1:75" ht="20.45" hidden="1" customHeight="1" x14ac:dyDescent="0.25">
      <c r="B168" s="15"/>
      <c r="C168" s="25"/>
      <c r="D168" s="25" cm="1">
        <f t="array" ref="D168">D167</f>
        <v>14</v>
      </c>
      <c r="E168" s="451">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990"/>
      <c r="Z168" s="967"/>
      <c r="AB168" s="7" t="str">
        <f>D168&amp;".1"</f>
        <v>14.1</v>
      </c>
      <c r="AC168" s="127" t="s">
        <v>1939</v>
      </c>
      <c r="AD168" s="7" t="s">
        <v>828</v>
      </c>
      <c r="AE168" s="778"/>
      <c r="AF168" s="778"/>
      <c r="AG168" s="778"/>
      <c r="AH168" s="171">
        <f>AG168-AF168</f>
        <v>0</v>
      </c>
      <c r="AI168" s="778"/>
      <c r="AJ168" s="128"/>
      <c r="AK168" s="778"/>
      <c r="AL168" s="778"/>
      <c r="AM168" s="778"/>
      <c r="AN168" s="778"/>
      <c r="AO168" s="778"/>
      <c r="AP168" s="778"/>
      <c r="AQ168" s="778"/>
      <c r="AR168" s="778"/>
      <c r="AS168" s="778"/>
      <c r="AT168" s="128"/>
      <c r="AU168" s="778"/>
      <c r="AV168" s="778"/>
      <c r="AW168" s="778"/>
      <c r="AX168" s="778"/>
      <c r="AY168" s="778"/>
      <c r="AZ168" s="778"/>
      <c r="BA168" s="778"/>
      <c r="BB168" s="778"/>
      <c r="BC168" s="778"/>
      <c r="BD168" s="542"/>
      <c r="BE168" s="542"/>
      <c r="BF168" s="542"/>
      <c r="BG168" s="542"/>
      <c r="BH168" s="542"/>
      <c r="BI168" s="542"/>
      <c r="BJ168" s="542"/>
      <c r="BK168" s="542"/>
      <c r="BL168" s="542"/>
      <c r="BM168" s="542"/>
      <c r="BN168" s="775"/>
      <c r="BO168" s="775"/>
      <c r="BP168" s="775"/>
      <c r="BS168" s="694" t="s">
        <v>1940</v>
      </c>
      <c r="BT168" s="703"/>
      <c r="BU168" s="703"/>
      <c r="BV168" s="704"/>
      <c r="BW168" s="704"/>
    </row>
    <row r="169" spans="1:75" ht="64.900000000000006" hidden="1" customHeight="1" x14ac:dyDescent="0.25">
      <c r="B169" s="15"/>
      <c r="C169" s="25"/>
      <c r="D169" s="25" cm="1">
        <f t="array" ref="D169">D168</f>
        <v>14</v>
      </c>
      <c r="E169" s="451">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990"/>
      <c r="Z169" s="967"/>
      <c r="AB169" s="7" t="str">
        <f>D169&amp;".2"</f>
        <v>14.2</v>
      </c>
      <c r="AC169" s="127" t="s">
        <v>1942</v>
      </c>
      <c r="AD169" s="7" t="s">
        <v>828</v>
      </c>
      <c r="AE169" s="778"/>
      <c r="AF169" s="778"/>
      <c r="AG169" s="778"/>
      <c r="AH169" s="171">
        <f>AG169-AF169</f>
        <v>0</v>
      </c>
      <c r="AI169" s="778"/>
      <c r="AJ169" s="128"/>
      <c r="AK169" s="778"/>
      <c r="AL169" s="778"/>
      <c r="AM169" s="778"/>
      <c r="AN169" s="778"/>
      <c r="AO169" s="778"/>
      <c r="AP169" s="778"/>
      <c r="AQ169" s="778"/>
      <c r="AR169" s="778"/>
      <c r="AS169" s="778"/>
      <c r="AT169" s="128"/>
      <c r="AU169" s="778"/>
      <c r="AV169" s="778"/>
      <c r="AW169" s="778"/>
      <c r="AX169" s="778"/>
      <c r="AY169" s="778"/>
      <c r="AZ169" s="778"/>
      <c r="BA169" s="778"/>
      <c r="BB169" s="778"/>
      <c r="BC169" s="778"/>
      <c r="BD169" s="542"/>
      <c r="BE169" s="542"/>
      <c r="BF169" s="542"/>
      <c r="BG169" s="542"/>
      <c r="BH169" s="542"/>
      <c r="BI169" s="542"/>
      <c r="BJ169" s="542"/>
      <c r="BK169" s="542"/>
      <c r="BL169" s="542"/>
      <c r="BM169" s="542"/>
      <c r="BN169" s="775"/>
      <c r="BO169" s="775"/>
      <c r="BP169" s="775"/>
      <c r="BS169" s="694" t="s">
        <v>1943</v>
      </c>
      <c r="BT169" s="703"/>
      <c r="BU169" s="703"/>
      <c r="BV169" s="704"/>
      <c r="BW169" s="704"/>
    </row>
    <row r="170" spans="1:75" ht="44.45" hidden="1" customHeight="1" x14ac:dyDescent="0.15">
      <c r="A170" s="376"/>
      <c r="B170" s="537"/>
      <c r="C170" s="25"/>
      <c r="D170" s="25" cm="1">
        <f t="array" ref="D170">D169</f>
        <v>14</v>
      </c>
      <c r="E170" s="451">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990"/>
      <c r="Y170" s="376"/>
      <c r="Z170" s="967"/>
      <c r="AA170" s="376"/>
      <c r="AB170" s="7" t="str">
        <f>D170&amp;".3"</f>
        <v>14.3</v>
      </c>
      <c r="AC170" s="127" t="s">
        <v>2225</v>
      </c>
      <c r="AD170" s="7" t="s">
        <v>828</v>
      </c>
      <c r="AE170" s="542"/>
      <c r="AF170" s="778"/>
      <c r="AG170" s="778"/>
      <c r="AH170" s="171">
        <f>AG170-AF170</f>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75"/>
      <c r="BO170" s="775"/>
      <c r="BP170" s="775"/>
      <c r="BS170" s="703" t="s">
        <v>2226</v>
      </c>
      <c r="BT170" s="703"/>
      <c r="BU170" s="703"/>
      <c r="BV170" s="704"/>
      <c r="BW170" s="704"/>
    </row>
    <row r="171" spans="1:75" s="396" customFormat="1" ht="30.6" customHeight="1" x14ac:dyDescent="0.15">
      <c r="A171" s="38"/>
      <c r="B171" s="43"/>
      <c r="C171" s="38"/>
      <c r="D171" s="38"/>
      <c r="E171" s="448">
        <v>15</v>
      </c>
      <c r="F171" s="17" t="str" cm="1">
        <f t="array" ref="F171">X171</f>
        <v>1</v>
      </c>
      <c r="G171" s="17" t="str" cm="1">
        <f t="array" ref="G171">INDEX('Общие сведения'!$AK$179:$AK$236,MATCH($X171,'Общие сведения'!$Z$179:$Z$236,0))</f>
        <v>одноставочный</v>
      </c>
      <c r="H171" s="38"/>
      <c r="I171" s="17"/>
      <c r="J171" s="38"/>
      <c r="K171" s="38"/>
      <c r="L171" s="22"/>
      <c r="M171" s="22"/>
      <c r="N171" s="38"/>
      <c r="O171" s="38"/>
      <c r="P171" s="38"/>
      <c r="Q171" s="38"/>
      <c r="R171" s="38"/>
      <c r="S171" s="38" t="str" cm="1">
        <f t="array" ref="S171">INDEX('Общие сведения'!$AE$179:$AE$236,MATCH($X171,'Общие сведения'!$Z$179:$Z$236,0))</f>
        <v>Водоснабжение</v>
      </c>
      <c r="T171" s="353" t="b">
        <f>X171&gt;0</f>
        <v>1</v>
      </c>
      <c r="U171" s="38"/>
      <c r="V171" s="38" t="str" cm="1">
        <f t="array" ref="V171">'Калькуляция (МИ)'!$AB$171</f>
        <v>Тариф 1 (Водоснабжение) - тариф на техническую воду</v>
      </c>
      <c r="W171" s="38"/>
      <c r="X171" s="990" t="s">
        <v>275</v>
      </c>
      <c r="Y171" s="38"/>
      <c r="Z171" s="967"/>
      <c r="AA171" s="38"/>
      <c r="AB171" s="280" t="str" cm="1">
        <f t="array" ref="AB171">'Калькуляция (МИ)'!$AB$171</f>
        <v>Тариф 1 (Водоснабжение) - тариф на техническую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6"/>
      <c r="BT171" s="656"/>
      <c r="BU171" s="656"/>
      <c r="BV171" s="448"/>
      <c r="BW171" s="448"/>
    </row>
    <row r="172" spans="1:75" s="869" customFormat="1" ht="125.25" customHeight="1" x14ac:dyDescent="0.15">
      <c r="A172" s="75"/>
      <c r="B172" s="331"/>
      <c r="C172" s="75"/>
      <c r="D172" s="75"/>
      <c r="E172" s="509">
        <v>21</v>
      </c>
      <c r="F172" s="3" t="str" cm="1">
        <f t="array" aca="1" ref="F172" ca="1">OFFSET(E172,-1,1)</f>
        <v>1</v>
      </c>
      <c r="G172" s="75"/>
      <c r="H172" s="276"/>
      <c r="I172" s="276" t="s">
        <v>331</v>
      </c>
      <c r="J172" s="75"/>
      <c r="K172" s="276" t="s">
        <v>331</v>
      </c>
      <c r="L172" s="575"/>
      <c r="M172" s="575"/>
      <c r="N172" s="75"/>
      <c r="O172" s="75"/>
      <c r="P172" s="75"/>
      <c r="Q172" s="75"/>
      <c r="R172" s="75" t="s">
        <v>2324</v>
      </c>
      <c r="S172" s="75"/>
      <c r="T172" s="353" t="b" cm="1">
        <f t="array" ref="T172">T171</f>
        <v>1</v>
      </c>
      <c r="U172" s="75"/>
      <c r="V172" s="75"/>
      <c r="W172" s="75"/>
      <c r="X172" s="990"/>
      <c r="Y172" s="75"/>
      <c r="Z172" s="967"/>
      <c r="AA172" s="75"/>
      <c r="AB172" s="160" t="s">
        <v>275</v>
      </c>
      <c r="AC172" s="125" t="s">
        <v>1950</v>
      </c>
      <c r="AD172" s="147" t="s">
        <v>828</v>
      </c>
      <c r="AE172" s="126">
        <f ca="1">SUM(AE174,AE191,AE197,AE217,AE218,AE219)</f>
        <v>14876.252151271499</v>
      </c>
      <c r="AF172" s="126">
        <f ca="1">SUM(AF174,AF191,AF197,AF217,AF218,AF219)</f>
        <v>33993.201151739799</v>
      </c>
      <c r="AG172" s="126">
        <f ca="1">SUM(AG174,AG191,AG197,AG217,AG218,AG219)</f>
        <v>14876.252151271499</v>
      </c>
      <c r="AH172" s="126">
        <f t="shared" ref="AH172:AH203" ca="1" si="45">AG172-AF172</f>
        <v>-19116.949000468299</v>
      </c>
      <c r="AI172" s="138">
        <v>15346.04</v>
      </c>
      <c r="AJ172" s="138">
        <v>39381.593131378097</v>
      </c>
      <c r="AK172" s="774">
        <f t="shared" ref="AK172:AS172" ca="1" si="46">AJ172*AK173</f>
        <v>39381.593131378097</v>
      </c>
      <c r="AL172" s="774">
        <f t="shared" ca="1" si="46"/>
        <v>39381.593131378097</v>
      </c>
      <c r="AM172" s="138">
        <f t="shared" ca="1" si="46"/>
        <v>39381.593131378097</v>
      </c>
      <c r="AN172" s="138">
        <f t="shared" ca="1" si="46"/>
        <v>39381.593131378097</v>
      </c>
      <c r="AO172" s="138">
        <f t="shared" ca="1" si="46"/>
        <v>39381.593131378097</v>
      </c>
      <c r="AP172" s="138">
        <f t="shared" ca="1" si="46"/>
        <v>39381.593131378097</v>
      </c>
      <c r="AQ172" s="138">
        <f t="shared" ca="1" si="46"/>
        <v>39381.593131378097</v>
      </c>
      <c r="AR172" s="138">
        <f t="shared" ca="1" si="46"/>
        <v>39381.593131378097</v>
      </c>
      <c r="AS172" s="138">
        <f t="shared" ca="1" si="46"/>
        <v>39381.593131378097</v>
      </c>
      <c r="AT172" s="138">
        <v>16089.18</v>
      </c>
      <c r="AU172" s="774">
        <f t="shared" ref="AU172:BC172" ca="1" si="47">AT172*AU173</f>
        <v>16089.18</v>
      </c>
      <c r="AV172" s="774">
        <f t="shared" ca="1" si="47"/>
        <v>16089.18</v>
      </c>
      <c r="AW172" s="138">
        <f t="shared" ca="1" si="47"/>
        <v>16089.18</v>
      </c>
      <c r="AX172" s="138">
        <f t="shared" ca="1" si="47"/>
        <v>16089.18</v>
      </c>
      <c r="AY172" s="138">
        <f t="shared" ca="1" si="47"/>
        <v>16089.18</v>
      </c>
      <c r="AZ172" s="138">
        <f t="shared" ca="1" si="47"/>
        <v>16089.18</v>
      </c>
      <c r="BA172" s="138">
        <f t="shared" ca="1" si="47"/>
        <v>16089.18</v>
      </c>
      <c r="BB172" s="138">
        <f t="shared" ca="1" si="47"/>
        <v>16089.18</v>
      </c>
      <c r="BC172" s="138">
        <f t="shared" ca="1" si="47"/>
        <v>16089.18</v>
      </c>
      <c r="BD172" s="126">
        <f>IF(AI172=0,0,(AT172-AI172)/AI172*100)</f>
        <v>4.8425522154249521</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196"/>
      <c r="BO172" s="196" t="s">
        <v>2228</v>
      </c>
      <c r="BP172" s="196" t="s">
        <v>2229</v>
      </c>
      <c r="BQ172" s="74"/>
      <c r="BR172" s="75"/>
      <c r="BS172" s="700" t="s">
        <v>550</v>
      </c>
      <c r="BT172" s="700"/>
      <c r="BU172" s="700"/>
      <c r="BV172" s="509"/>
      <c r="BW172" s="509"/>
    </row>
    <row r="173" spans="1:75" ht="14.65" customHeight="1" x14ac:dyDescent="0.15">
      <c r="E173" s="507">
        <v>15</v>
      </c>
      <c r="F173" s="3" t="str" cm="1">
        <f t="array" aca="1" ref="F173" ca="1">OFFSET(E173,-1,1)</f>
        <v>1</v>
      </c>
      <c r="H173" s="277"/>
      <c r="I173" s="277" t="s">
        <v>482</v>
      </c>
      <c r="K173" s="277" t="s">
        <v>482</v>
      </c>
      <c r="L173" s="25"/>
      <c r="M173" s="25"/>
      <c r="R173" s="75" t="s">
        <v>2324</v>
      </c>
      <c r="T173" s="353" t="b" cm="1">
        <f t="array" ref="T173">T172</f>
        <v>1</v>
      </c>
      <c r="X173" s="990"/>
      <c r="Z173" s="967"/>
      <c r="AB173" s="133" t="s">
        <v>939</v>
      </c>
      <c r="AC173" s="127" t="s">
        <v>1951</v>
      </c>
      <c r="AD173" s="7"/>
      <c r="AE173" s="444"/>
      <c r="AF173" s="444"/>
      <c r="AG173" s="444"/>
      <c r="AH173" s="558">
        <f t="shared" si="45"/>
        <v>0</v>
      </c>
      <c r="AI173" s="444">
        <v>1.0315797180999999</v>
      </c>
      <c r="AJ173" s="444">
        <v>2.6472792159999998</v>
      </c>
      <c r="AK173" s="776">
        <f ca="1">SUMIFS(INDEX(Сценарии!$AE$25:$BF$136,,MATCH(AK$8,Сценарии!$AE$8:$BF$8,0)),Сценарии!$F$25:$F$136,$F173,Сценарии!$G$25:$G$136,"ИОР")</f>
        <v>1</v>
      </c>
      <c r="AL173" s="776">
        <f ca="1">SUMIFS(INDEX(Сценарии!$AE$25:$BF$136,,MATCH(AL$8,Сценарии!$AE$8:$BF$8,0)),Сценарии!$F$25:$F$136,$F173,Сценарии!$G$25:$G$136,"ИОР")</f>
        <v>1</v>
      </c>
      <c r="AM173" s="444">
        <f ca="1">SUMIFS(INDEX(Сценарии!$AE$25:$BF$136,,MATCH(AM$8,Сценарии!$AE$8:$BF$8,0)),Сценарии!$F$25:$F$136,$F173,Сценарии!$G$25:$G$136,"ИОР")</f>
        <v>1</v>
      </c>
      <c r="AN173" s="444">
        <f ca="1">SUMIFS(INDEX(Сценарии!$AE$25:$BF$136,,MATCH(AN$8,Сценарии!$AE$8:$BF$8,0)),Сценарии!$F$25:$F$136,$F173,Сценарии!$G$25:$G$136,"ИОР")</f>
        <v>1</v>
      </c>
      <c r="AO173" s="444">
        <f ca="1">SUMIFS(INDEX(Сценарии!$AE$25:$BF$136,,MATCH(AO$8,Сценарии!$AE$8:$BF$8,0)),Сценарии!$F$25:$F$136,$F173,Сценарии!$G$25:$G$136,"ИОР")</f>
        <v>1</v>
      </c>
      <c r="AP173" s="444">
        <f ca="1">SUMIFS(INDEX(Сценарии!$AE$25:$BF$136,,MATCH(AP$8,Сценарии!$AE$8:$BF$8,0)),Сценарии!$F$25:$F$136,$F173,Сценарии!$G$25:$G$136,"ИОР")</f>
        <v>1</v>
      </c>
      <c r="AQ173" s="444">
        <f ca="1">SUMIFS(INDEX(Сценарии!$AE$25:$BF$136,,MATCH(AQ$8,Сценарии!$AE$8:$BF$8,0)),Сценарии!$F$25:$F$136,$F173,Сценарии!$G$25:$G$136,"ИОР")</f>
        <v>1</v>
      </c>
      <c r="AR173" s="444">
        <f ca="1">SUMIFS(INDEX(Сценарии!$AE$25:$BF$136,,MATCH(AR$8,Сценарии!$AE$8:$BF$8,0)),Сценарии!$F$25:$F$136,$F173,Сценарии!$G$25:$G$136,"ИОР")</f>
        <v>1</v>
      </c>
      <c r="AS173" s="444">
        <f ca="1">SUMIFS(INDEX(Сценарии!$AE$25:$BF$136,,MATCH(AS$8,Сценарии!$AE$8:$BF$8,0)),Сценарии!$F$25:$F$136,$F173,Сценарии!$G$25:$G$136,"ИОР")</f>
        <v>1</v>
      </c>
      <c r="AT173" s="444">
        <v>1.03257</v>
      </c>
      <c r="AU173" s="776">
        <f ca="1">SUMIFS(INDEX(Сценарии!$AE$25:$BF$136,,MATCH(AU$8,Сценарии!$AE$8:$BF$8,0)),Сценарии!$F$25:$F$136,$F173,Сценарии!$G$25:$G$136,"ИОР")</f>
        <v>1</v>
      </c>
      <c r="AV173" s="776">
        <f ca="1">SUMIFS(INDEX(Сценарии!$AE$25:$BF$136,,MATCH(AV$8,Сценарии!$AE$8:$BF$8,0)),Сценарии!$F$25:$F$136,$F173,Сценарии!$G$25:$G$136,"ИОР")</f>
        <v>1</v>
      </c>
      <c r="AW173" s="444">
        <f ca="1">SUMIFS(INDEX(Сценарии!$AE$25:$BF$136,,MATCH(AW$8,Сценарии!$AE$8:$BF$8,0)),Сценарии!$F$25:$F$136,$F173,Сценарии!$G$25:$G$136,"ИОР")</f>
        <v>1</v>
      </c>
      <c r="AX173" s="444">
        <f ca="1">SUMIFS(INDEX(Сценарии!$AE$25:$BF$136,,MATCH(AX$8,Сценарии!$AE$8:$BF$8,0)),Сценарии!$F$25:$F$136,$F173,Сценарии!$G$25:$G$136,"ИОР")</f>
        <v>1</v>
      </c>
      <c r="AY173" s="444">
        <f ca="1">SUMIFS(INDEX(Сценарии!$AE$25:$BF$136,,MATCH(AY$8,Сценарии!$AE$8:$BF$8,0)),Сценарии!$F$25:$F$136,$F173,Сценарии!$G$25:$G$136,"ИОР")</f>
        <v>1</v>
      </c>
      <c r="AZ173" s="444">
        <f ca="1">SUMIFS(INDEX(Сценарии!$AE$25:$BF$136,,MATCH(AZ$8,Сценарии!$AE$8:$BF$8,0)),Сценарии!$F$25:$F$136,$F173,Сценарии!$G$25:$G$136,"ИОР")</f>
        <v>1</v>
      </c>
      <c r="BA173" s="444">
        <f ca="1">SUMIFS(INDEX(Сценарии!$AE$25:$BF$136,,MATCH(BA$8,Сценарии!$AE$8:$BF$8,0)),Сценарии!$F$25:$F$136,$F173,Сценарии!$G$25:$G$136,"ИОР")</f>
        <v>1</v>
      </c>
      <c r="BB173" s="444">
        <f ca="1">SUMIFS(INDEX(Сценарии!$AE$25:$BF$136,,MATCH(BB$8,Сценарии!$AE$8:$BF$8,0)),Сценарии!$F$25:$F$136,$F173,Сценарии!$G$25:$G$136,"ИОР")</f>
        <v>1</v>
      </c>
      <c r="BC173" s="444">
        <f ca="1">SUMIFS(INDEX(Сценарии!$AE$25:$BF$136,,MATCH(BC$8,Сценарии!$AE$8:$BF$8,0)),Сценарии!$F$25:$F$136,$F173,Сценарии!$G$25:$G$136,"ИОР")</f>
        <v>1</v>
      </c>
      <c r="BD173" s="542"/>
      <c r="BE173" s="542"/>
      <c r="BF173" s="542"/>
      <c r="BG173" s="542"/>
      <c r="BH173" s="542"/>
      <c r="BI173" s="542"/>
      <c r="BJ173" s="542"/>
      <c r="BK173" s="542"/>
      <c r="BL173" s="542"/>
      <c r="BM173" s="542"/>
      <c r="BN173" s="196"/>
      <c r="BO173" s="196"/>
      <c r="BP173" s="196"/>
      <c r="BS173" s="696" t="s">
        <v>1952</v>
      </c>
    </row>
    <row r="174" spans="1:75" s="331" customFormat="1" ht="20.25" customHeight="1" x14ac:dyDescent="0.25">
      <c r="A174" s="74"/>
      <c r="C174" s="74"/>
      <c r="D174" s="74"/>
      <c r="E174" s="510">
        <v>21</v>
      </c>
      <c r="F174" s="3" t="str" cm="1">
        <f t="array" aca="1" ref="F174" ca="1">OFFSET(E174,-1,1)</f>
        <v>1</v>
      </c>
      <c r="G174" s="74"/>
      <c r="H174" s="276"/>
      <c r="I174" s="276" t="s">
        <v>486</v>
      </c>
      <c r="J174" s="74"/>
      <c r="K174" s="276" t="s">
        <v>486</v>
      </c>
      <c r="L174" s="578" t="s">
        <v>331</v>
      </c>
      <c r="M174" s="578"/>
      <c r="N174" s="74"/>
      <c r="O174" s="74"/>
      <c r="P174" s="74"/>
      <c r="Q174" s="72" t="s">
        <v>2324</v>
      </c>
      <c r="R174" s="75" t="s">
        <v>2324</v>
      </c>
      <c r="S174" s="74"/>
      <c r="T174" s="353" t="b" cm="1">
        <f t="array" ref="T174">T173</f>
        <v>1</v>
      </c>
      <c r="U174" s="74"/>
      <c r="V174" s="74"/>
      <c r="W174" s="74"/>
      <c r="X174" s="990"/>
      <c r="Y174" s="74"/>
      <c r="Z174" s="967"/>
      <c r="AA174" s="74"/>
      <c r="AB174" s="160" t="s">
        <v>942</v>
      </c>
      <c r="AC174" s="263" t="s">
        <v>1738</v>
      </c>
      <c r="AD174" s="147" t="s">
        <v>828</v>
      </c>
      <c r="AE174" s="126">
        <f>SUM(AE175,AE178,AE179,AE182,AE183)</f>
        <v>10952.0421512715</v>
      </c>
      <c r="AF174" s="126">
        <f>SUM(AF175,AF178,AF179,AF182,AF183)</f>
        <v>22434.063065615701</v>
      </c>
      <c r="AG174" s="126">
        <f>SUM(AG175,AG178,AG179,AG182,AG183)</f>
        <v>10952.0421512715</v>
      </c>
      <c r="AH174" s="126">
        <f t="shared" si="45"/>
        <v>-11482.020914344201</v>
      </c>
      <c r="AI174" s="871">
        <f ca="1">SUM(AI175,AI178,AI179,AI182,AI183)</f>
        <v>0</v>
      </c>
      <c r="AJ174" s="444"/>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6"/>
      <c r="BO174" s="556"/>
      <c r="BP174" s="556"/>
      <c r="BQ174" s="74"/>
      <c r="BR174" s="74"/>
      <c r="BS174" s="694" t="s">
        <v>538</v>
      </c>
      <c r="BT174" s="701"/>
      <c r="BU174" s="701"/>
      <c r="BV174" s="510"/>
      <c r="BW174" s="510"/>
    </row>
    <row r="175" spans="1:75" ht="50.25" customHeight="1" x14ac:dyDescent="0.25">
      <c r="E175" s="507">
        <v>15</v>
      </c>
      <c r="F175" s="3" t="str" cm="1">
        <f t="array" aca="1" ref="F175" ca="1">OFFSET(E175,-1,1)</f>
        <v>1</v>
      </c>
      <c r="H175" s="277"/>
      <c r="I175" s="277" t="s">
        <v>1344</v>
      </c>
      <c r="K175" s="277" t="s">
        <v>1344</v>
      </c>
      <c r="L175" s="25" t="s">
        <v>482</v>
      </c>
      <c r="M175" s="25"/>
      <c r="Q175" s="72" t="s">
        <v>2324</v>
      </c>
      <c r="R175" s="75" t="s">
        <v>2324</v>
      </c>
      <c r="T175" s="353" t="b" cm="1">
        <f t="array" ref="T175">T174</f>
        <v>1</v>
      </c>
      <c r="X175" s="990"/>
      <c r="Z175" s="967"/>
      <c r="AB175" s="133" t="s">
        <v>1345</v>
      </c>
      <c r="AC175" s="134" t="s">
        <v>1953</v>
      </c>
      <c r="AD175" s="9" t="s">
        <v>828</v>
      </c>
      <c r="AE175" s="171">
        <f>SUM(AE176,AE177)</f>
        <v>183.44642784210001</v>
      </c>
      <c r="AF175" s="171">
        <f>SUM(AF176,AF177)</f>
        <v>288.03192966939997</v>
      </c>
      <c r="AG175" s="171">
        <f>SUM(AG176,AG177)</f>
        <v>183.44642784210001</v>
      </c>
      <c r="AH175" s="171">
        <f t="shared" si="45"/>
        <v>-104.58550182729996</v>
      </c>
      <c r="AI175" s="872">
        <f>SUM(AI176,AI177)</f>
        <v>0</v>
      </c>
      <c r="AJ175" s="444"/>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196"/>
      <c r="BO175" s="196"/>
      <c r="BP175" s="196"/>
      <c r="BQ175" s="28"/>
      <c r="BS175" s="695" t="s">
        <v>1740</v>
      </c>
    </row>
    <row r="176" spans="1:75" ht="24" customHeight="1" x14ac:dyDescent="0.25">
      <c r="E176" s="507">
        <v>15</v>
      </c>
      <c r="F176" s="3" t="str" cm="1">
        <f t="array" aca="1" ref="F176" ca="1">OFFSET(E176,-1,1)</f>
        <v>1</v>
      </c>
      <c r="H176" s="277"/>
      <c r="I176" s="277" t="s">
        <v>1954</v>
      </c>
      <c r="K176" s="277" t="s">
        <v>1954</v>
      </c>
      <c r="L176" s="25" t="s">
        <v>1074</v>
      </c>
      <c r="M176" s="25"/>
      <c r="Q176" s="72" t="s">
        <v>2324</v>
      </c>
      <c r="R176" s="75" t="s">
        <v>2324</v>
      </c>
      <c r="T176" s="353" t="b" cm="1">
        <f t="array" ref="T176">T175</f>
        <v>1</v>
      </c>
      <c r="X176" s="990"/>
      <c r="Z176" s="967"/>
      <c r="AB176" s="133" t="s">
        <v>1955</v>
      </c>
      <c r="AC176" s="543" t="s">
        <v>1743</v>
      </c>
      <c r="AD176" s="9" t="s">
        <v>828</v>
      </c>
      <c r="AE176" s="128"/>
      <c r="AF176" s="128"/>
      <c r="AG176" s="128"/>
      <c r="AH176" s="171">
        <f t="shared" si="45"/>
        <v>0</v>
      </c>
      <c r="AI176" s="872"/>
      <c r="AJ176" s="444"/>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196"/>
      <c r="BO176" s="196"/>
      <c r="BP176" s="196"/>
      <c r="BS176" s="694" t="s">
        <v>1744</v>
      </c>
    </row>
    <row r="177" spans="1:75" ht="40.5" customHeight="1" x14ac:dyDescent="0.25">
      <c r="E177" s="507">
        <v>15</v>
      </c>
      <c r="F177" s="3" t="str" cm="1">
        <f t="array" aca="1" ref="F177" ca="1">OFFSET(E177,-1,1)</f>
        <v>1</v>
      </c>
      <c r="H177" s="277"/>
      <c r="I177" s="277" t="s">
        <v>1956</v>
      </c>
      <c r="K177" s="277" t="s">
        <v>1956</v>
      </c>
      <c r="L177" s="25" t="s">
        <v>1319</v>
      </c>
      <c r="M177" s="25"/>
      <c r="Q177" s="72" t="s">
        <v>2324</v>
      </c>
      <c r="R177" s="75" t="s">
        <v>2324</v>
      </c>
      <c r="T177" s="353" t="b" cm="1">
        <f t="array" ref="T177">T176</f>
        <v>1</v>
      </c>
      <c r="X177" s="990"/>
      <c r="Z177" s="967"/>
      <c r="AB177" s="133" t="s">
        <v>1957</v>
      </c>
      <c r="AC177" s="543" t="s">
        <v>1745</v>
      </c>
      <c r="AD177" s="9" t="s">
        <v>828</v>
      </c>
      <c r="AE177" s="128">
        <v>183.44642784210001</v>
      </c>
      <c r="AF177" s="128">
        <v>288.03192966939997</v>
      </c>
      <c r="AG177" s="128">
        <v>183.44642784210001</v>
      </c>
      <c r="AH177" s="171">
        <f t="shared" si="45"/>
        <v>-104.58550182729996</v>
      </c>
      <c r="AI177" s="872"/>
      <c r="AJ177" s="444"/>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196"/>
      <c r="BO177" s="196"/>
      <c r="BP177" s="196"/>
      <c r="BS177" s="694" t="s">
        <v>1746</v>
      </c>
    </row>
    <row r="178" spans="1:75" ht="70.5" customHeight="1" x14ac:dyDescent="0.25">
      <c r="E178" s="507">
        <v>22.5</v>
      </c>
      <c r="F178" s="3" t="str" cm="1">
        <f t="array" aca="1" ref="F178" ca="1">OFFSET(E178,-1,1)</f>
        <v>1</v>
      </c>
      <c r="H178" s="277"/>
      <c r="I178" s="277" t="s">
        <v>1347</v>
      </c>
      <c r="K178" s="277" t="s">
        <v>1347</v>
      </c>
      <c r="L178" s="25" t="s">
        <v>489</v>
      </c>
      <c r="M178" s="25"/>
      <c r="Q178" s="72" t="s">
        <v>2324</v>
      </c>
      <c r="R178" s="75" t="s">
        <v>2324</v>
      </c>
      <c r="T178" s="353" t="b" cm="1">
        <f t="array" ref="T178">T177</f>
        <v>1</v>
      </c>
      <c r="X178" s="990"/>
      <c r="Z178" s="967"/>
      <c r="AB178" s="133" t="s">
        <v>1348</v>
      </c>
      <c r="AC178" s="134" t="s">
        <v>1958</v>
      </c>
      <c r="AD178" s="9" t="s">
        <v>828</v>
      </c>
      <c r="AE178" s="128">
        <v>869.35212000000001</v>
      </c>
      <c r="AF178" s="128">
        <v>834.26103438739995</v>
      </c>
      <c r="AG178" s="128">
        <v>869.35212000000001</v>
      </c>
      <c r="AH178" s="171">
        <f t="shared" si="45"/>
        <v>35.091085612600068</v>
      </c>
      <c r="AI178" s="872"/>
      <c r="AJ178" s="444"/>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196"/>
      <c r="BO178" s="196"/>
      <c r="BP178" s="196"/>
      <c r="BS178" s="695" t="s">
        <v>1771</v>
      </c>
    </row>
    <row r="179" spans="1:75" ht="71.25" customHeight="1" x14ac:dyDescent="0.25">
      <c r="E179" s="507">
        <v>22.5</v>
      </c>
      <c r="F179" s="3" t="str" cm="1">
        <f t="array" aca="1" ref="F179" ca="1">OFFSET(E179,-1,1)</f>
        <v>1</v>
      </c>
      <c r="H179" s="277"/>
      <c r="I179" s="277" t="s">
        <v>1351</v>
      </c>
      <c r="K179" s="277" t="s">
        <v>1351</v>
      </c>
      <c r="L179" s="25" t="s">
        <v>493</v>
      </c>
      <c r="M179" s="25"/>
      <c r="Q179" s="72" t="s">
        <v>2324</v>
      </c>
      <c r="R179" s="75" t="s">
        <v>2324</v>
      </c>
      <c r="T179" s="353" t="b" cm="1">
        <f t="array" ref="T179">T178</f>
        <v>1</v>
      </c>
      <c r="X179" s="990"/>
      <c r="Z179" s="967"/>
      <c r="AB179" s="133" t="s">
        <v>1352</v>
      </c>
      <c r="AC179" s="134" t="s">
        <v>1959</v>
      </c>
      <c r="AD179" s="9" t="s">
        <v>828</v>
      </c>
      <c r="AE179" s="171">
        <f>AE180+AE181</f>
        <v>5243.8600394293999</v>
      </c>
      <c r="AF179" s="171">
        <f>AF180+AF181</f>
        <v>7220.8306375519005</v>
      </c>
      <c r="AG179" s="171">
        <f>AG180+AG181</f>
        <v>5243.8600394293999</v>
      </c>
      <c r="AH179" s="171">
        <f t="shared" si="45"/>
        <v>-1976.9705981225006</v>
      </c>
      <c r="AI179" s="872">
        <f ca="1">AI180+AI181</f>
        <v>0</v>
      </c>
      <c r="AJ179" s="444"/>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196"/>
      <c r="BO179" s="196"/>
      <c r="BP179" s="196"/>
      <c r="BS179" s="695" t="s">
        <v>1960</v>
      </c>
    </row>
    <row r="180" spans="1:75" ht="60" customHeight="1" x14ac:dyDescent="0.25">
      <c r="E180" s="507">
        <v>15</v>
      </c>
      <c r="F180" s="3" t="str" cm="1">
        <f t="array" aca="1" ref="F180" ca="1">OFFSET(E180,-1,1)</f>
        <v>1</v>
      </c>
      <c r="G180" s="253" t="s">
        <v>1162</v>
      </c>
      <c r="H180" s="277"/>
      <c r="I180" s="277" t="s">
        <v>1495</v>
      </c>
      <c r="K180" s="277" t="s">
        <v>1495</v>
      </c>
      <c r="L180" s="25" t="s">
        <v>1371</v>
      </c>
      <c r="M180" s="25"/>
      <c r="Q180" s="72" t="s">
        <v>2324</v>
      </c>
      <c r="R180" s="75" t="s">
        <v>2324</v>
      </c>
      <c r="T180" s="353" t="b" cm="1">
        <f t="array" ref="T180">T179</f>
        <v>1</v>
      </c>
      <c r="X180" s="990"/>
      <c r="Z180" s="967"/>
      <c r="AB180" s="133" t="s">
        <v>1961</v>
      </c>
      <c r="AC180" s="543" t="s">
        <v>1774</v>
      </c>
      <c r="AD180" s="9" t="s">
        <v>828</v>
      </c>
      <c r="AE180" s="128">
        <v>4015.8217486823</v>
      </c>
      <c r="AF180" s="128">
        <v>5535.7001911911002</v>
      </c>
      <c r="AG180" s="128">
        <v>4015.8217486823</v>
      </c>
      <c r="AH180" s="171">
        <f t="shared" si="45"/>
        <v>-1519.8784425088002</v>
      </c>
      <c r="AI180" s="872"/>
      <c r="AJ180" s="444"/>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196"/>
      <c r="BO180" s="601" t="str">
        <f ca="1">IF(IFERROR(INDEX(ФОТ!$K$26:$L$127,MATCH($F180&amp;"1komm",ФОТ!$K$26:$K$127,0),2),"")=0,"",IFERROR(INDEX(ФОТ!$K$26:$L$127,MATCH($F180&amp;"1komm",ФОТ!$K$26:$K$127,0),2),""))</f>
        <v/>
      </c>
      <c r="BP180" s="196"/>
      <c r="BS180" s="694" t="s">
        <v>1775</v>
      </c>
    </row>
    <row r="181" spans="1:75" ht="60.75" customHeight="1" x14ac:dyDescent="0.25">
      <c r="E181" s="507">
        <v>22.5</v>
      </c>
      <c r="F181" s="3" t="str" cm="1">
        <f t="array" aca="1" ref="F181" ca="1">OFFSET(E181,-1,1)</f>
        <v>1</v>
      </c>
      <c r="G181" s="253" t="s">
        <v>1174</v>
      </c>
      <c r="H181" s="277"/>
      <c r="I181" s="277" t="s">
        <v>1499</v>
      </c>
      <c r="K181" s="277" t="s">
        <v>1499</v>
      </c>
      <c r="L181" s="25" t="s">
        <v>1372</v>
      </c>
      <c r="M181" s="25"/>
      <c r="Q181" s="72" t="s">
        <v>2324</v>
      </c>
      <c r="R181" s="75" t="s">
        <v>2324</v>
      </c>
      <c r="T181" s="353" t="b" cm="1">
        <f t="array" ref="T181">T180</f>
        <v>1</v>
      </c>
      <c r="X181" s="990"/>
      <c r="Z181" s="967"/>
      <c r="AB181" s="133" t="s">
        <v>1962</v>
      </c>
      <c r="AC181" s="543" t="s">
        <v>1963</v>
      </c>
      <c r="AD181" s="9" t="s">
        <v>828</v>
      </c>
      <c r="AE181" s="128">
        <v>1228.0382907471001</v>
      </c>
      <c r="AF181" s="128">
        <v>1685.1304463608001</v>
      </c>
      <c r="AG181" s="128">
        <v>1228.0382907471001</v>
      </c>
      <c r="AH181" s="171">
        <f t="shared" si="45"/>
        <v>-457.09215561370002</v>
      </c>
      <c r="AI181" s="872">
        <f ca="1">AI180*SUMIFS(INDEX(Сценарии!$AE$25:$BF$136,,MATCH(AG$8,Сценарии!$AE$8:$BF$8,0)),Сценарии!$F$25:$F$136,$F181,Сценарии!$G$25:$G$136,"СВФОТ")/100</f>
        <v>0</v>
      </c>
      <c r="AJ181" s="444"/>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196"/>
      <c r="BO181" s="601" t="str">
        <f ca="1">IF(IFERROR(INDEX(ФОТ!$K$26:$L$127,MATCH($F181&amp;"2komm",ФОТ!$K$26:$K$127,0),2),"")=0,"",IFERROR(INDEX(ФОТ!$K$26:$L$127,MATCH($F181&amp;"2komm",ФОТ!$K$26:$K$127,0),2),""))</f>
        <v/>
      </c>
      <c r="BP181" s="196"/>
      <c r="BS181" s="694" t="s">
        <v>1777</v>
      </c>
    </row>
    <row r="182" spans="1:75" ht="30.75" customHeight="1" x14ac:dyDescent="0.25">
      <c r="E182" s="507">
        <v>15</v>
      </c>
      <c r="F182" s="3" t="str" cm="1">
        <f t="array" aca="1" ref="F182" ca="1">OFFSET(E182,-1,1)</f>
        <v>1</v>
      </c>
      <c r="H182" s="277"/>
      <c r="I182" s="277" t="s">
        <v>1510</v>
      </c>
      <c r="K182" s="277" t="s">
        <v>1510</v>
      </c>
      <c r="L182" s="25" t="s">
        <v>1779</v>
      </c>
      <c r="M182" s="25"/>
      <c r="Q182" s="72" t="s">
        <v>2324</v>
      </c>
      <c r="R182" s="75" t="s">
        <v>2324</v>
      </c>
      <c r="T182" s="353" t="b" cm="1">
        <f t="array" ref="T182">T181</f>
        <v>1</v>
      </c>
      <c r="X182" s="990"/>
      <c r="Z182" s="967"/>
      <c r="AB182" s="133" t="s">
        <v>1753</v>
      </c>
      <c r="AC182" s="134" t="s">
        <v>1964</v>
      </c>
      <c r="AD182" s="9" t="s">
        <v>828</v>
      </c>
      <c r="AE182" s="128">
        <v>119.92874399999999</v>
      </c>
      <c r="AF182" s="128"/>
      <c r="AG182" s="128">
        <v>119.92874399999999</v>
      </c>
      <c r="AH182" s="171">
        <f t="shared" si="45"/>
        <v>119.92874399999999</v>
      </c>
      <c r="AI182" s="872"/>
      <c r="AJ182" s="444"/>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196"/>
      <c r="BO182" s="196"/>
      <c r="BP182" s="196"/>
      <c r="BS182" s="695" t="s">
        <v>1782</v>
      </c>
    </row>
    <row r="183" spans="1:75" ht="14.25" customHeight="1" x14ac:dyDescent="0.25">
      <c r="E183" s="507">
        <v>15</v>
      </c>
      <c r="F183" s="3" t="str" cm="1">
        <f t="array" aca="1" ref="F183" ca="1">OFFSET(E183,-1,1)</f>
        <v>1</v>
      </c>
      <c r="H183" s="277"/>
      <c r="I183" s="277" t="s">
        <v>1514</v>
      </c>
      <c r="K183" s="277" t="s">
        <v>1514</v>
      </c>
      <c r="L183" s="25" t="s">
        <v>1783</v>
      </c>
      <c r="Q183" s="72" t="s">
        <v>2324</v>
      </c>
      <c r="R183" s="75" t="s">
        <v>2324</v>
      </c>
      <c r="T183" s="353" t="b" cm="1">
        <f t="array" ref="T183">T182</f>
        <v>1</v>
      </c>
      <c r="X183" s="990"/>
      <c r="Z183" s="967"/>
      <c r="AB183" s="133" t="s">
        <v>1755</v>
      </c>
      <c r="AC183" s="134" t="s">
        <v>1965</v>
      </c>
      <c r="AD183" s="7" t="s">
        <v>828</v>
      </c>
      <c r="AE183" s="171">
        <f>SUM(AE184:AE190)</f>
        <v>4535.4548199999999</v>
      </c>
      <c r="AF183" s="171">
        <f>SUM(AF184:AF190)</f>
        <v>14090.939464007</v>
      </c>
      <c r="AG183" s="171">
        <f>SUM(AG184:AG190)</f>
        <v>4535.4548199999999</v>
      </c>
      <c r="AH183" s="171">
        <f t="shared" si="45"/>
        <v>-9555.4846440069996</v>
      </c>
      <c r="AI183" s="872">
        <f>SUM(AI184:AI190)</f>
        <v>0</v>
      </c>
      <c r="AJ183" s="444"/>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196"/>
      <c r="BO183" s="196"/>
      <c r="BP183" s="196"/>
      <c r="BS183" s="695" t="s">
        <v>1966</v>
      </c>
    </row>
    <row r="184" spans="1:75" ht="14.25" customHeight="1" x14ac:dyDescent="0.25">
      <c r="E184" s="507">
        <v>15</v>
      </c>
      <c r="F184" s="3" t="str" cm="1">
        <f t="array" aca="1" ref="F184" ca="1">OFFSET(E184,-1,1)</f>
        <v>1</v>
      </c>
      <c r="H184" s="277"/>
      <c r="I184" s="277" t="s">
        <v>1967</v>
      </c>
      <c r="K184" s="277" t="s">
        <v>1967</v>
      </c>
      <c r="L184" s="25" t="s">
        <v>1783</v>
      </c>
      <c r="M184" s="25" t="s">
        <v>1791</v>
      </c>
      <c r="Q184" s="72" t="s">
        <v>2324</v>
      </c>
      <c r="R184" s="75" t="s">
        <v>2324</v>
      </c>
      <c r="T184" s="353" t="b" cm="1">
        <f t="array" ref="T184">T183</f>
        <v>1</v>
      </c>
      <c r="X184" s="990"/>
      <c r="Z184" s="967"/>
      <c r="AB184" s="133" t="s">
        <v>1968</v>
      </c>
      <c r="AC184" s="543" t="s">
        <v>1969</v>
      </c>
      <c r="AD184" s="7" t="s">
        <v>828</v>
      </c>
      <c r="AE184" s="128"/>
      <c r="AF184" s="128"/>
      <c r="AG184" s="128"/>
      <c r="AH184" s="171">
        <f t="shared" si="45"/>
        <v>0</v>
      </c>
      <c r="AI184" s="872"/>
      <c r="AJ184" s="444"/>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196"/>
      <c r="BO184" s="196"/>
      <c r="BP184" s="196"/>
      <c r="BS184" s="694" t="s">
        <v>1794</v>
      </c>
    </row>
    <row r="185" spans="1:75" ht="21.75" customHeight="1" x14ac:dyDescent="0.15">
      <c r="E185" s="507">
        <v>22.5</v>
      </c>
      <c r="F185" s="3" t="str" cm="1">
        <f t="array" aca="1" ref="F185" ca="1">OFFSET(E185,-1,1)</f>
        <v>1</v>
      </c>
      <c r="H185" s="277"/>
      <c r="I185" s="277" t="s">
        <v>1970</v>
      </c>
      <c r="K185" s="277" t="s">
        <v>1970</v>
      </c>
      <c r="L185" s="25" t="s">
        <v>1783</v>
      </c>
      <c r="M185" s="25" t="s">
        <v>1787</v>
      </c>
      <c r="Q185" s="72" t="s">
        <v>2324</v>
      </c>
      <c r="R185" s="75" t="s">
        <v>2324</v>
      </c>
      <c r="T185" s="353" t="b" cm="1">
        <f t="array" ref="T185">T184</f>
        <v>1</v>
      </c>
      <c r="X185" s="990"/>
      <c r="Z185" s="967"/>
      <c r="AB185" s="133" t="s">
        <v>1971</v>
      </c>
      <c r="AC185" s="543" t="s">
        <v>1972</v>
      </c>
      <c r="AD185" s="7" t="s">
        <v>828</v>
      </c>
      <c r="AE185" s="128"/>
      <c r="AF185" s="128"/>
      <c r="AG185" s="128"/>
      <c r="AH185" s="171">
        <f t="shared" si="45"/>
        <v>0</v>
      </c>
      <c r="AI185" s="872"/>
      <c r="AJ185" s="444"/>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196"/>
      <c r="BO185" s="196"/>
      <c r="BP185" s="196"/>
      <c r="BS185" s="696" t="s">
        <v>1973</v>
      </c>
    </row>
    <row r="186" spans="1:75" ht="21.75" customHeight="1" x14ac:dyDescent="0.15">
      <c r="E186" s="507">
        <v>22.5</v>
      </c>
      <c r="F186" s="3" t="str" cm="1">
        <f t="array" aca="1" ref="F186" ca="1">OFFSET(E186,-1,1)</f>
        <v>1</v>
      </c>
      <c r="H186" s="277"/>
      <c r="I186" s="277" t="s">
        <v>1974</v>
      </c>
      <c r="K186" s="277" t="s">
        <v>1974</v>
      </c>
      <c r="Q186" s="72" t="s">
        <v>2324</v>
      </c>
      <c r="R186" s="75" t="s">
        <v>2324</v>
      </c>
      <c r="T186" s="353" t="b" cm="1">
        <f t="array" ref="T186">T185</f>
        <v>1</v>
      </c>
      <c r="X186" s="990"/>
      <c r="Z186" s="967"/>
      <c r="AB186" s="133" t="s">
        <v>1975</v>
      </c>
      <c r="AC186" s="544" t="s">
        <v>1976</v>
      </c>
      <c r="AD186" s="7" t="s">
        <v>828</v>
      </c>
      <c r="AE186" s="128"/>
      <c r="AF186" s="128"/>
      <c r="AG186" s="128"/>
      <c r="AH186" s="171">
        <f t="shared" si="45"/>
        <v>0</v>
      </c>
      <c r="AI186" s="872"/>
      <c r="AJ186" s="444"/>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196"/>
      <c r="BO186" s="196"/>
      <c r="BP186" s="196"/>
      <c r="BS186" s="696" t="s">
        <v>1977</v>
      </c>
    </row>
    <row r="187" spans="1:75" ht="21.75" customHeight="1" x14ac:dyDescent="0.15">
      <c r="E187" s="507">
        <v>22.5</v>
      </c>
      <c r="F187" s="3" t="str" cm="1">
        <f t="array" aca="1" ref="F187" ca="1">OFFSET(E187,-1,1)</f>
        <v>1</v>
      </c>
      <c r="H187" s="277"/>
      <c r="I187" s="277" t="s">
        <v>1978</v>
      </c>
      <c r="K187" s="277" t="s">
        <v>1978</v>
      </c>
      <c r="L187" s="25"/>
      <c r="Q187" s="72" t="s">
        <v>2324</v>
      </c>
      <c r="R187" s="75" t="s">
        <v>2324</v>
      </c>
      <c r="T187" s="353" t="b" cm="1">
        <f t="array" ref="T187">T186</f>
        <v>1</v>
      </c>
      <c r="X187" s="990"/>
      <c r="Z187" s="967"/>
      <c r="AB187" s="133" t="s">
        <v>1979</v>
      </c>
      <c r="AC187" s="544" t="s">
        <v>1980</v>
      </c>
      <c r="AD187" s="7" t="s">
        <v>828</v>
      </c>
      <c r="AE187" s="128"/>
      <c r="AF187" s="128"/>
      <c r="AG187" s="128"/>
      <c r="AH187" s="171">
        <f t="shared" si="45"/>
        <v>0</v>
      </c>
      <c r="AI187" s="872"/>
      <c r="AJ187" s="444"/>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196"/>
      <c r="BO187" s="196"/>
      <c r="BP187" s="196"/>
      <c r="BS187" s="696" t="s">
        <v>1981</v>
      </c>
    </row>
    <row r="188" spans="1:75" ht="43.5" customHeight="1" x14ac:dyDescent="0.15">
      <c r="E188" s="507">
        <v>45</v>
      </c>
      <c r="F188" s="3" t="str" cm="1">
        <f t="array" aca="1" ref="F188" ca="1">OFFSET(E188,-1,1)</f>
        <v>1</v>
      </c>
      <c r="H188" s="277"/>
      <c r="I188" s="277" t="s">
        <v>1982</v>
      </c>
      <c r="K188" s="277" t="s">
        <v>1982</v>
      </c>
      <c r="L188" s="25" t="s">
        <v>1783</v>
      </c>
      <c r="M188" s="25" t="s">
        <v>1795</v>
      </c>
      <c r="Q188" s="72" t="s">
        <v>2324</v>
      </c>
      <c r="R188" s="75" t="s">
        <v>2324</v>
      </c>
      <c r="T188" s="353" t="b" cm="1">
        <f t="array" ref="T188">T187</f>
        <v>1</v>
      </c>
      <c r="X188" s="990"/>
      <c r="Z188" s="967"/>
      <c r="AB188" s="133" t="s">
        <v>1983</v>
      </c>
      <c r="AC188" s="543" t="s">
        <v>1984</v>
      </c>
      <c r="AD188" s="7" t="s">
        <v>828</v>
      </c>
      <c r="AE188" s="128"/>
      <c r="AF188" s="128"/>
      <c r="AG188" s="128"/>
      <c r="AH188" s="171">
        <f t="shared" si="45"/>
        <v>0</v>
      </c>
      <c r="AI188" s="872"/>
      <c r="AJ188" s="444"/>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196"/>
      <c r="BO188" s="196"/>
      <c r="BP188" s="196"/>
      <c r="BS188" s="696" t="s">
        <v>1798</v>
      </c>
    </row>
    <row r="189" spans="1:75" ht="14.25" customHeight="1" x14ac:dyDescent="0.15">
      <c r="E189" s="507">
        <v>15</v>
      </c>
      <c r="F189" s="3" t="str" cm="1">
        <f t="array" aca="1" ref="F189" ca="1">OFFSET(E189,-1,1)</f>
        <v>1</v>
      </c>
      <c r="H189" s="277"/>
      <c r="I189" s="277" t="s">
        <v>1985</v>
      </c>
      <c r="K189" s="277" t="s">
        <v>1985</v>
      </c>
      <c r="L189" s="25" t="s">
        <v>1783</v>
      </c>
      <c r="M189" s="25" t="s">
        <v>1799</v>
      </c>
      <c r="Q189" s="72" t="s">
        <v>2324</v>
      </c>
      <c r="R189" s="75" t="s">
        <v>2324</v>
      </c>
      <c r="T189" s="353" t="b" cm="1">
        <f t="array" ref="T189">T188</f>
        <v>1</v>
      </c>
      <c r="X189" s="990"/>
      <c r="Z189" s="967"/>
      <c r="AB189" s="133" t="s">
        <v>1986</v>
      </c>
      <c r="AC189" s="543" t="s">
        <v>1801</v>
      </c>
      <c r="AD189" s="7" t="s">
        <v>828</v>
      </c>
      <c r="AE189" s="128"/>
      <c r="AF189" s="128"/>
      <c r="AG189" s="128"/>
      <c r="AH189" s="171">
        <f t="shared" si="45"/>
        <v>0</v>
      </c>
      <c r="AI189" s="872"/>
      <c r="AJ189" s="444"/>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196"/>
      <c r="BO189" s="196"/>
      <c r="BP189" s="196"/>
      <c r="BS189" s="696" t="s">
        <v>1802</v>
      </c>
    </row>
    <row r="190" spans="1:75" ht="72" customHeight="1" x14ac:dyDescent="0.15">
      <c r="E190" s="507">
        <v>15</v>
      </c>
      <c r="F190" s="3" t="str" cm="1">
        <f t="array" aca="1" ref="F190" ca="1">OFFSET(E190,-1,1)</f>
        <v>1</v>
      </c>
      <c r="H190" s="277"/>
      <c r="I190" s="277" t="s">
        <v>1987</v>
      </c>
      <c r="K190" s="277" t="s">
        <v>1987</v>
      </c>
      <c r="L190" s="25"/>
      <c r="M190" s="25"/>
      <c r="Q190" s="72" t="s">
        <v>2324</v>
      </c>
      <c r="R190" s="75" t="s">
        <v>2324</v>
      </c>
      <c r="T190" s="353" t="b" cm="1">
        <f t="array" ref="T190">T189</f>
        <v>1</v>
      </c>
      <c r="X190" s="990"/>
      <c r="Z190" s="967"/>
      <c r="AB190" s="133" t="s">
        <v>1988</v>
      </c>
      <c r="AC190" s="543" t="s">
        <v>1989</v>
      </c>
      <c r="AD190" s="7" t="s">
        <v>828</v>
      </c>
      <c r="AE190" s="128">
        <v>4535.4548199999999</v>
      </c>
      <c r="AF190" s="128">
        <v>14090.939464007</v>
      </c>
      <c r="AG190" s="128">
        <v>4535.4548199999999</v>
      </c>
      <c r="AH190" s="171">
        <f t="shared" si="45"/>
        <v>-9555.4846440069996</v>
      </c>
      <c r="AI190" s="872"/>
      <c r="AJ190" s="444"/>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196"/>
      <c r="BO190" s="196"/>
      <c r="BP190" s="196"/>
      <c r="BS190" s="696" t="s">
        <v>1786</v>
      </c>
    </row>
    <row r="191" spans="1:75" s="870" customFormat="1" ht="54.75" customHeight="1" x14ac:dyDescent="0.25">
      <c r="A191" s="76"/>
      <c r="B191" s="332"/>
      <c r="C191" s="76"/>
      <c r="D191" s="76"/>
      <c r="E191" s="511">
        <v>21</v>
      </c>
      <c r="F191" s="3" t="str" cm="1">
        <f t="array" aca="1" ref="F191" ca="1">OFFSET(E191,-1,1)</f>
        <v>1</v>
      </c>
      <c r="G191" s="76"/>
      <c r="H191" s="277"/>
      <c r="I191" s="277" t="s">
        <v>489</v>
      </c>
      <c r="J191" s="76"/>
      <c r="K191" s="277" t="s">
        <v>489</v>
      </c>
      <c r="L191" s="27"/>
      <c r="M191" s="27"/>
      <c r="N191" s="76"/>
      <c r="O191" s="76"/>
      <c r="P191" s="76"/>
      <c r="Q191" s="72" t="s">
        <v>2324</v>
      </c>
      <c r="R191" s="75" t="s">
        <v>2324</v>
      </c>
      <c r="S191" s="76"/>
      <c r="T191" s="353" t="b" cm="1">
        <f t="array" ref="T191">T190</f>
        <v>1</v>
      </c>
      <c r="U191" s="76"/>
      <c r="V191" s="76"/>
      <c r="W191" s="76"/>
      <c r="X191" s="990"/>
      <c r="Y191" s="76"/>
      <c r="Z191" s="967"/>
      <c r="AA191" s="76"/>
      <c r="AB191" s="131" t="s">
        <v>945</v>
      </c>
      <c r="AC191" s="263" t="s">
        <v>1806</v>
      </c>
      <c r="AD191" s="124" t="s">
        <v>828</v>
      </c>
      <c r="AE191" s="126">
        <f>AE192+AE193+AE194</f>
        <v>3924.21</v>
      </c>
      <c r="AF191" s="126">
        <f>AF192+AF193+AF194</f>
        <v>11559.1380861241</v>
      </c>
      <c r="AG191" s="126">
        <f>AG192+AG193+AG194</f>
        <v>3924.21</v>
      </c>
      <c r="AH191" s="126">
        <f t="shared" si="45"/>
        <v>-7634.9280861240995</v>
      </c>
      <c r="AI191" s="871">
        <f>AI192+AI193+AI194</f>
        <v>0</v>
      </c>
      <c r="AJ191" s="444"/>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6"/>
      <c r="BO191" s="556"/>
      <c r="BP191" s="556"/>
      <c r="BQ191" s="76"/>
      <c r="BR191" s="76"/>
      <c r="BS191" s="695" t="s">
        <v>1807</v>
      </c>
      <c r="BT191" s="702"/>
      <c r="BU191" s="702"/>
      <c r="BV191" s="511"/>
      <c r="BW191" s="511"/>
    </row>
    <row r="192" spans="1:75" ht="69.75" customHeight="1" x14ac:dyDescent="0.25">
      <c r="E192" s="507">
        <v>22.5</v>
      </c>
      <c r="F192" s="3" t="str" cm="1">
        <f t="array" aca="1" ref="F192" ca="1">OFFSET(E192,-1,1)</f>
        <v>1</v>
      </c>
      <c r="H192" s="277"/>
      <c r="I192" s="277" t="s">
        <v>1357</v>
      </c>
      <c r="K192" s="277" t="s">
        <v>1357</v>
      </c>
      <c r="L192" s="25"/>
      <c r="M192" s="25"/>
      <c r="Q192" s="72" t="s">
        <v>2324</v>
      </c>
      <c r="R192" s="75" t="s">
        <v>2324</v>
      </c>
      <c r="T192" s="353" t="b" cm="1">
        <f t="array" ref="T192">T191</f>
        <v>1</v>
      </c>
      <c r="X192" s="990"/>
      <c r="Z192" s="967"/>
      <c r="AB192" s="133" t="s">
        <v>1358</v>
      </c>
      <c r="AC192" s="134" t="s">
        <v>1990</v>
      </c>
      <c r="AD192" s="7" t="s">
        <v>828</v>
      </c>
      <c r="AE192" s="128">
        <v>2400.56</v>
      </c>
      <c r="AF192" s="128">
        <v>2429.7967691582999</v>
      </c>
      <c r="AG192" s="128">
        <v>2400.56</v>
      </c>
      <c r="AH192" s="171">
        <f t="shared" si="45"/>
        <v>-29.236769158299921</v>
      </c>
      <c r="AI192" s="872"/>
      <c r="AJ192" s="444"/>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196"/>
      <c r="BO192" s="196"/>
      <c r="BP192" s="196"/>
      <c r="BS192" s="694" t="s">
        <v>1809</v>
      </c>
    </row>
    <row r="193" spans="1:75" ht="76.5" customHeight="1" x14ac:dyDescent="0.15">
      <c r="E193" s="507">
        <v>22.5</v>
      </c>
      <c r="F193" s="3" t="str" cm="1">
        <f t="array" aca="1" ref="F193" ca="1">OFFSET(E193,-1,1)</f>
        <v>1</v>
      </c>
      <c r="H193" s="277"/>
      <c r="I193" s="277" t="s">
        <v>1361</v>
      </c>
      <c r="K193" s="277" t="s">
        <v>1361</v>
      </c>
      <c r="L193" s="25"/>
      <c r="M193" s="25"/>
      <c r="Q193" s="72" t="s">
        <v>2324</v>
      </c>
      <c r="R193" s="75" t="s">
        <v>2324</v>
      </c>
      <c r="T193" s="353" t="b" cm="1">
        <f t="array" ref="T193">T192</f>
        <v>1</v>
      </c>
      <c r="X193" s="990"/>
      <c r="Z193" s="967"/>
      <c r="AB193" s="133" t="s">
        <v>1362</v>
      </c>
      <c r="AC193" s="134" t="s">
        <v>1991</v>
      </c>
      <c r="AD193" s="7" t="s">
        <v>828</v>
      </c>
      <c r="AE193" s="128">
        <v>1523.65</v>
      </c>
      <c r="AF193" s="128">
        <v>9129.3413169657997</v>
      </c>
      <c r="AG193" s="128">
        <v>1523.65</v>
      </c>
      <c r="AH193" s="171">
        <f t="shared" si="45"/>
        <v>-7605.6913169658001</v>
      </c>
      <c r="AI193" s="872"/>
      <c r="AJ193" s="444"/>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196"/>
      <c r="BO193" s="196"/>
      <c r="BP193" s="196"/>
      <c r="BS193" s="696" t="s">
        <v>1992</v>
      </c>
    </row>
    <row r="194" spans="1:75" ht="23.25" customHeight="1" x14ac:dyDescent="0.25">
      <c r="E194" s="507">
        <v>22.5</v>
      </c>
      <c r="F194" s="3" t="str" cm="1">
        <f t="array" aca="1" ref="F194" ca="1">OFFSET(E194,-1,1)</f>
        <v>1</v>
      </c>
      <c r="H194" s="277"/>
      <c r="I194" s="277" t="s">
        <v>1365</v>
      </c>
      <c r="K194" s="277" t="s">
        <v>1365</v>
      </c>
      <c r="L194" s="25" t="s">
        <v>503</v>
      </c>
      <c r="M194" s="25"/>
      <c r="Q194" s="72" t="s">
        <v>2324</v>
      </c>
      <c r="R194" s="75" t="s">
        <v>2324</v>
      </c>
      <c r="T194" s="353" t="b" cm="1">
        <f t="array" ref="T194">T193</f>
        <v>1</v>
      </c>
      <c r="X194" s="990"/>
      <c r="Z194" s="967"/>
      <c r="AB194" s="133" t="s">
        <v>1366</v>
      </c>
      <c r="AC194" s="134" t="s">
        <v>1993</v>
      </c>
      <c r="AD194" s="7" t="s">
        <v>828</v>
      </c>
      <c r="AE194" s="128">
        <v>0</v>
      </c>
      <c r="AF194" s="128"/>
      <c r="AG194" s="128"/>
      <c r="AH194" s="171">
        <f t="shared" si="45"/>
        <v>0</v>
      </c>
      <c r="AI194" s="872"/>
      <c r="AJ194" s="444"/>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196"/>
      <c r="BO194" s="196"/>
      <c r="BP194" s="196"/>
      <c r="BS194" s="694" t="s">
        <v>1811</v>
      </c>
    </row>
    <row r="195" spans="1:75" ht="14.65" customHeight="1" x14ac:dyDescent="0.25">
      <c r="E195" s="507">
        <v>15</v>
      </c>
      <c r="F195" s="3" t="str" cm="1">
        <f t="array" aca="1" ref="F195" ca="1">OFFSET(E195,-1,1)</f>
        <v>1</v>
      </c>
      <c r="G195" s="2" t="s">
        <v>1177</v>
      </c>
      <c r="H195" s="277"/>
      <c r="I195" s="277" t="s">
        <v>1994</v>
      </c>
      <c r="K195" s="277" t="s">
        <v>1994</v>
      </c>
      <c r="L195" s="25" t="s">
        <v>1812</v>
      </c>
      <c r="M195" s="25"/>
      <c r="Q195" s="72" t="s">
        <v>2324</v>
      </c>
      <c r="R195" s="75" t="s">
        <v>2324</v>
      </c>
      <c r="T195" s="353" t="b" cm="1">
        <f t="array" ref="T195">T194</f>
        <v>1</v>
      </c>
      <c r="X195" s="990"/>
      <c r="Z195" s="967"/>
      <c r="AB195" s="133" t="s">
        <v>1995</v>
      </c>
      <c r="AC195" s="543" t="s">
        <v>1813</v>
      </c>
      <c r="AD195" s="7" t="s">
        <v>828</v>
      </c>
      <c r="AE195" s="128">
        <v>0</v>
      </c>
      <c r="AF195" s="128"/>
      <c r="AG195" s="128"/>
      <c r="AH195" s="171">
        <f t="shared" si="45"/>
        <v>0</v>
      </c>
      <c r="AI195" s="872"/>
      <c r="AJ195" s="444"/>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196"/>
      <c r="BO195" s="601" t="str">
        <f ca="1">IF(IFERROR(INDEX(ФОТ!$K$26:$L$127,MATCH($F195&amp;"3komm",ФОТ!$K$26:$K$127,0),2),"")=0,"",IFERROR(INDEX(ФОТ!$K$26:$L$127,MATCH($F195&amp;"3komm",ФОТ!$K$26:$K$127,0),2),""))</f>
        <v/>
      </c>
      <c r="BP195" s="196"/>
      <c r="BS195" s="694" t="s">
        <v>1814</v>
      </c>
    </row>
    <row r="196" spans="1:75" ht="21.75" customHeight="1" x14ac:dyDescent="0.25">
      <c r="E196" s="507">
        <v>22.5</v>
      </c>
      <c r="F196" s="3" t="str" cm="1">
        <f t="array" aca="1" ref="F196" ca="1">OFFSET(E196,-1,1)</f>
        <v>1</v>
      </c>
      <c r="G196" s="2" t="s">
        <v>1182</v>
      </c>
      <c r="H196" s="277"/>
      <c r="I196" s="277" t="s">
        <v>1996</v>
      </c>
      <c r="K196" s="277" t="s">
        <v>1996</v>
      </c>
      <c r="L196" s="25" t="s">
        <v>1815</v>
      </c>
      <c r="M196" s="25"/>
      <c r="Q196" s="72" t="s">
        <v>2324</v>
      </c>
      <c r="R196" s="75" t="s">
        <v>2324</v>
      </c>
      <c r="T196" s="353" t="b" cm="1">
        <f t="array" ref="T196">T195</f>
        <v>1</v>
      </c>
      <c r="X196" s="990"/>
      <c r="Z196" s="967"/>
      <c r="AB196" s="133" t="s">
        <v>1997</v>
      </c>
      <c r="AC196" s="543" t="s">
        <v>1998</v>
      </c>
      <c r="AD196" s="7" t="s">
        <v>828</v>
      </c>
      <c r="AE196" s="128">
        <f ca="1">AE195*SUMIFS(INDEX(Сценарии!$AE$25:$BF$136,,MATCH(AE$8,Сценарии!$AE$8:$BF$8,0)),Сценарии!$F$25:$F$136,$F196,Сценарии!$G$25:$G$136,"СВФОТ")/100</f>
        <v>0</v>
      </c>
      <c r="AF196" s="128">
        <f ca="1">AF195*SUMIFS(INDEX(Сценарии!$AE$25:$BF$136,,MATCH(AF$8,Сценарии!$AE$8:$BF$8,0)),Сценарии!$F$25:$F$136,$F196,Сценарии!$G$25:$G$136,"СВФОТ")/100</f>
        <v>0</v>
      </c>
      <c r="AG196" s="128">
        <f ca="1">AG195*SUMIFS(INDEX(Сценарии!$AE$25:$BF$136,,MATCH(AG$8,Сценарии!$AE$8:$BF$8,0)),Сценарии!$F$25:$F$136,$F196,Сценарии!$G$25:$G$136,"СВФОТ")/100</f>
        <v>0</v>
      </c>
      <c r="AH196" s="171">
        <f t="shared" ca="1" si="45"/>
        <v>0</v>
      </c>
      <c r="AI196" s="872">
        <f ca="1">AI195*SUMIFS(INDEX(Сценарии!$AE$25:$BF$136,,MATCH(AG$8,Сценарии!$AE$8:$BF$8,0)),Сценарии!$F$25:$F$136,$F196,Сценарии!$G$25:$G$136,"СВФОТ")/100</f>
        <v>0</v>
      </c>
      <c r="AJ196" s="444"/>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196"/>
      <c r="BO196" s="601" t="str">
        <f ca="1">IF(IFERROR(INDEX(ФОТ!$K$26:$L$127,MATCH($F196&amp;"4komm",ФОТ!$K$26:$K$127,0),2),"")=0,"",IFERROR(INDEX(ФОТ!$K$26:$L$127,MATCH($F196&amp;"4komm",ФОТ!$K$26:$K$127,0),2),""))</f>
        <v/>
      </c>
      <c r="BP196" s="196"/>
      <c r="BS196" s="694" t="s">
        <v>1817</v>
      </c>
    </row>
    <row r="197" spans="1:75" s="870" customFormat="1" ht="20.25" customHeight="1" x14ac:dyDescent="0.25">
      <c r="A197" s="76"/>
      <c r="B197" s="332"/>
      <c r="C197" s="76"/>
      <c r="D197" s="76"/>
      <c r="E197" s="511">
        <v>21</v>
      </c>
      <c r="F197" s="3" t="str" cm="1">
        <f t="array" aca="1" ref="F197" ca="1">OFFSET(E197,-1,1)</f>
        <v>1</v>
      </c>
      <c r="G197" s="76"/>
      <c r="H197" s="277"/>
      <c r="I197" s="277" t="s">
        <v>493</v>
      </c>
      <c r="J197" s="76"/>
      <c r="K197" s="277" t="s">
        <v>493</v>
      </c>
      <c r="L197" s="27" t="s">
        <v>333</v>
      </c>
      <c r="M197" s="27"/>
      <c r="N197" s="76"/>
      <c r="O197" s="76"/>
      <c r="P197" s="76"/>
      <c r="Q197" s="72" t="s">
        <v>2324</v>
      </c>
      <c r="R197" s="75" t="s">
        <v>2324</v>
      </c>
      <c r="S197" s="76"/>
      <c r="T197" s="353" t="b" cm="1">
        <f t="array" ref="T197">T196</f>
        <v>1</v>
      </c>
      <c r="U197" s="76"/>
      <c r="V197" s="76"/>
      <c r="W197" s="76"/>
      <c r="X197" s="990"/>
      <c r="Y197" s="76"/>
      <c r="Z197" s="967"/>
      <c r="AA197" s="76"/>
      <c r="AB197" s="131" t="s">
        <v>948</v>
      </c>
      <c r="AC197" s="263" t="s">
        <v>1999</v>
      </c>
      <c r="AD197" s="124" t="s">
        <v>828</v>
      </c>
      <c r="AE197" s="126">
        <f ca="1">AE198+AE206+AE209+AE210+AE211+AE212+AE213</f>
        <v>0</v>
      </c>
      <c r="AF197" s="126">
        <f ca="1">AF198+AF206+AF209+AF210+AF211+AF212+AF213</f>
        <v>0</v>
      </c>
      <c r="AG197" s="126">
        <f ca="1">AG198+AG206+AG209+AG210+AG211+AG212+AG213</f>
        <v>0</v>
      </c>
      <c r="AH197" s="126">
        <f t="shared" ca="1" si="45"/>
        <v>0</v>
      </c>
      <c r="AI197" s="871">
        <f ca="1">AI198+AI206+AI209+AI210+AI211+AI212+AI213</f>
        <v>0</v>
      </c>
      <c r="AJ197" s="444"/>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6"/>
      <c r="BO197" s="556"/>
      <c r="BP197" s="556"/>
      <c r="BQ197" s="76"/>
      <c r="BR197" s="76"/>
      <c r="BS197" s="695" t="s">
        <v>1819</v>
      </c>
      <c r="BT197" s="702"/>
      <c r="BU197" s="702"/>
      <c r="BV197" s="511"/>
      <c r="BW197" s="511"/>
    </row>
    <row r="198" spans="1:75" ht="21.75" customHeight="1" x14ac:dyDescent="0.25">
      <c r="E198" s="507">
        <v>22.5</v>
      </c>
      <c r="F198" s="3" t="str" cm="1">
        <f t="array" aca="1" ref="F198" ca="1">OFFSET(E198,-1,1)</f>
        <v>1</v>
      </c>
      <c r="G198" s="72" t="s">
        <v>1203</v>
      </c>
      <c r="H198" s="277"/>
      <c r="I198" s="277" t="s">
        <v>1371</v>
      </c>
      <c r="K198" s="277" t="s">
        <v>1371</v>
      </c>
      <c r="L198" s="25" t="s">
        <v>969</v>
      </c>
      <c r="M198" s="25"/>
      <c r="Q198" s="72" t="s">
        <v>2324</v>
      </c>
      <c r="R198" s="75" t="s">
        <v>2324</v>
      </c>
      <c r="T198" s="353" t="b" cm="1">
        <f t="array" ref="T198">T197</f>
        <v>1</v>
      </c>
      <c r="X198" s="990"/>
      <c r="Z198" s="967"/>
      <c r="AB198" s="133" t="s">
        <v>1087</v>
      </c>
      <c r="AC198" s="134" t="s">
        <v>2000</v>
      </c>
      <c r="AD198" s="7" t="s">
        <v>828</v>
      </c>
      <c r="AE198" s="171">
        <f>SUM(AE199:AE205)</f>
        <v>0</v>
      </c>
      <c r="AF198" s="171">
        <f>SUM(AF199:AF205)</f>
        <v>0</v>
      </c>
      <c r="AG198" s="171">
        <f>SUM(AG199:AG205)</f>
        <v>0</v>
      </c>
      <c r="AH198" s="171">
        <f t="shared" si="45"/>
        <v>0</v>
      </c>
      <c r="AI198" s="872">
        <f>SUM(AI199:AI205)</f>
        <v>0</v>
      </c>
      <c r="AJ198" s="444"/>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196"/>
      <c r="BO198" s="601" t="str">
        <f ca="1">IF(IFERROR(INDEX(Административные!$K$26:$L$103,MATCH($F198&amp;"17komm",Административные!$K$26:$K$103,0),2),"")=0,"",IFERROR(INDEX(Административные!$K$26:$L$103,MATCH($F198&amp;"17komm",Административные!$K$26:$K$103,0),2),""))</f>
        <v/>
      </c>
      <c r="BP198" s="196"/>
      <c r="BS198" s="694" t="s">
        <v>1205</v>
      </c>
    </row>
    <row r="199" spans="1:75" ht="14.65" customHeight="1" x14ac:dyDescent="0.15">
      <c r="E199" s="507">
        <v>15</v>
      </c>
      <c r="F199" s="3" t="str" cm="1">
        <f t="array" aca="1" ref="F199" ca="1">OFFSET(E199,-1,1)</f>
        <v>1</v>
      </c>
      <c r="G199" s="72" t="s">
        <v>1206</v>
      </c>
      <c r="H199" s="277"/>
      <c r="I199" s="277" t="s">
        <v>2001</v>
      </c>
      <c r="K199" s="277" t="s">
        <v>2001</v>
      </c>
      <c r="L199" s="25"/>
      <c r="M199" s="25"/>
      <c r="Q199" s="72" t="s">
        <v>2324</v>
      </c>
      <c r="R199" s="75" t="s">
        <v>2324</v>
      </c>
      <c r="T199" s="353" t="b" cm="1">
        <f t="array" ref="T199">T198</f>
        <v>1</v>
      </c>
      <c r="X199" s="990"/>
      <c r="Z199" s="967"/>
      <c r="AB199" s="133" t="s">
        <v>2002</v>
      </c>
      <c r="AC199" s="543" t="s">
        <v>1207</v>
      </c>
      <c r="AD199" s="7" t="s">
        <v>828</v>
      </c>
      <c r="AE199" s="128">
        <v>0</v>
      </c>
      <c r="AF199" s="128"/>
      <c r="AG199" s="128"/>
      <c r="AH199" s="171">
        <f t="shared" si="45"/>
        <v>0</v>
      </c>
      <c r="AI199" s="872"/>
      <c r="AJ199" s="444"/>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196"/>
      <c r="BO199" s="601" t="str">
        <f ca="1">IF(IFERROR(INDEX(Административные!$K$26:$L$103,MATCH($F199&amp;"18komm",Административные!$K$26:$K$103,0),2),"")=0,"",IFERROR(INDEX(Административные!$K$26:$L$103,MATCH($F199&amp;"18komm",Административные!$K$26:$K$103,0),2),""))</f>
        <v/>
      </c>
      <c r="BP199" s="196"/>
      <c r="BS199" s="696" t="s">
        <v>1208</v>
      </c>
    </row>
    <row r="200" spans="1:75" ht="14.65" customHeight="1" x14ac:dyDescent="0.15">
      <c r="E200" s="507">
        <v>15</v>
      </c>
      <c r="F200" s="3" t="str" cm="1">
        <f t="array" aca="1" ref="F200" ca="1">OFFSET(E200,-1,1)</f>
        <v>1</v>
      </c>
      <c r="G200" s="72" t="s">
        <v>1209</v>
      </c>
      <c r="H200" s="277"/>
      <c r="I200" s="277" t="s">
        <v>2003</v>
      </c>
      <c r="K200" s="277" t="s">
        <v>2003</v>
      </c>
      <c r="L200" s="25"/>
      <c r="M200" s="25"/>
      <c r="Q200" s="72" t="s">
        <v>2324</v>
      </c>
      <c r="R200" s="75" t="s">
        <v>2324</v>
      </c>
      <c r="T200" s="353" t="b" cm="1">
        <f t="array" ref="T200">T199</f>
        <v>1</v>
      </c>
      <c r="X200" s="990"/>
      <c r="Z200" s="967"/>
      <c r="AB200" s="133" t="s">
        <v>2004</v>
      </c>
      <c r="AC200" s="543" t="s">
        <v>1210</v>
      </c>
      <c r="AD200" s="7" t="s">
        <v>828</v>
      </c>
      <c r="AE200" s="128">
        <v>0</v>
      </c>
      <c r="AF200" s="128"/>
      <c r="AG200" s="128"/>
      <c r="AH200" s="171">
        <f t="shared" si="45"/>
        <v>0</v>
      </c>
      <c r="AI200" s="872"/>
      <c r="AJ200" s="444"/>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196"/>
      <c r="BO200" s="601" t="str">
        <f ca="1">IF(IFERROR(INDEX(Административные!$K$26:$L$103,MATCH($F200&amp;"11komm",Административные!$K$26:$K$103,0),2),"")=0,"",IFERROR(INDEX(Административные!$K$26:$L$103,MATCH($F200&amp;"11komm",Административные!$K$26:$K$103,0),2),""))</f>
        <v/>
      </c>
      <c r="BP200" s="196"/>
      <c r="BS200" s="696" t="s">
        <v>1211</v>
      </c>
    </row>
    <row r="201" spans="1:75" ht="14.65" customHeight="1" x14ac:dyDescent="0.15">
      <c r="E201" s="507">
        <v>15</v>
      </c>
      <c r="F201" s="3" t="str" cm="1">
        <f t="array" aca="1" ref="F201" ca="1">OFFSET(E201,-1,1)</f>
        <v>1</v>
      </c>
      <c r="G201" s="72" t="s">
        <v>1212</v>
      </c>
      <c r="H201" s="277"/>
      <c r="I201" s="277" t="s">
        <v>2005</v>
      </c>
      <c r="K201" s="277" t="s">
        <v>2005</v>
      </c>
      <c r="L201" s="25"/>
      <c r="M201" s="25"/>
      <c r="Q201" s="72" t="s">
        <v>2324</v>
      </c>
      <c r="R201" s="75" t="s">
        <v>2324</v>
      </c>
      <c r="T201" s="353" t="b" cm="1">
        <f t="array" ref="T201">T200</f>
        <v>1</v>
      </c>
      <c r="X201" s="990"/>
      <c r="Z201" s="967"/>
      <c r="AB201" s="133" t="s">
        <v>2006</v>
      </c>
      <c r="AC201" s="543" t="s">
        <v>1213</v>
      </c>
      <c r="AD201" s="7" t="s">
        <v>828</v>
      </c>
      <c r="AE201" s="128">
        <v>0</v>
      </c>
      <c r="AF201" s="128"/>
      <c r="AG201" s="128"/>
      <c r="AH201" s="171">
        <f t="shared" si="45"/>
        <v>0</v>
      </c>
      <c r="AI201" s="872"/>
      <c r="AJ201" s="444"/>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196"/>
      <c r="BO201" s="601" t="str">
        <f ca="1">IF(IFERROR(INDEX(Административные!$K$26:$L$103,MATCH($F201&amp;"12komm",Административные!$K$26:$K$103,0),2),"")=0,"",IFERROR(INDEX(Административные!$K$26:$L$103,MATCH($F201&amp;"12komm",Административные!$K$26:$K$103,0),2),""))</f>
        <v/>
      </c>
      <c r="BP201" s="196"/>
      <c r="BS201" s="696" t="s">
        <v>1214</v>
      </c>
    </row>
    <row r="202" spans="1:75" ht="14.65" customHeight="1" x14ac:dyDescent="0.15">
      <c r="E202" s="507">
        <v>15</v>
      </c>
      <c r="F202" s="3" t="str" cm="1">
        <f t="array" aca="1" ref="F202" ca="1">OFFSET(E202,-1,1)</f>
        <v>1</v>
      </c>
      <c r="G202" s="72" t="s">
        <v>1215</v>
      </c>
      <c r="H202" s="277"/>
      <c r="I202" s="277" t="s">
        <v>2007</v>
      </c>
      <c r="K202" s="277" t="s">
        <v>2007</v>
      </c>
      <c r="L202" s="25"/>
      <c r="M202" s="25"/>
      <c r="Q202" s="72" t="s">
        <v>2324</v>
      </c>
      <c r="R202" s="75" t="s">
        <v>2324</v>
      </c>
      <c r="T202" s="353" t="b" cm="1">
        <f t="array" ref="T202">T201</f>
        <v>1</v>
      </c>
      <c r="X202" s="990"/>
      <c r="Z202" s="967"/>
      <c r="AB202" s="133" t="s">
        <v>2008</v>
      </c>
      <c r="AC202" s="543" t="s">
        <v>1216</v>
      </c>
      <c r="AD202" s="7" t="s">
        <v>828</v>
      </c>
      <c r="AE202" s="128">
        <v>0</v>
      </c>
      <c r="AF202" s="128"/>
      <c r="AG202" s="128"/>
      <c r="AH202" s="171">
        <f t="shared" si="45"/>
        <v>0</v>
      </c>
      <c r="AI202" s="872"/>
      <c r="AJ202" s="444"/>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196"/>
      <c r="BO202" s="601" t="str">
        <f ca="1">IF(IFERROR(INDEX(Административные!$K$26:$L$103,MATCH($F202&amp;"13komm",Административные!$K$26:$K$103,0),2),"")=0,"",IFERROR(INDEX(Административные!$K$26:$L$103,MATCH($F202&amp;"13komm",Административные!$K$26:$K$103,0),2),""))</f>
        <v/>
      </c>
      <c r="BP202" s="196"/>
      <c r="BS202" s="696" t="s">
        <v>1217</v>
      </c>
    </row>
    <row r="203" spans="1:75" ht="14.65" customHeight="1" x14ac:dyDescent="0.15">
      <c r="E203" s="507">
        <v>15</v>
      </c>
      <c r="F203" s="3" t="str" cm="1">
        <f t="array" aca="1" ref="F203" ca="1">OFFSET(E203,-1,1)</f>
        <v>1</v>
      </c>
      <c r="G203" s="72" t="s">
        <v>1218</v>
      </c>
      <c r="H203" s="277"/>
      <c r="I203" s="277" t="s">
        <v>2009</v>
      </c>
      <c r="K203" s="277" t="s">
        <v>2009</v>
      </c>
      <c r="L203" s="25"/>
      <c r="M203" s="25"/>
      <c r="Q203" s="72" t="s">
        <v>2324</v>
      </c>
      <c r="R203" s="75" t="s">
        <v>2324</v>
      </c>
      <c r="T203" s="353" t="b" cm="1">
        <f t="array" ref="T203">T202</f>
        <v>1</v>
      </c>
      <c r="X203" s="990"/>
      <c r="Z203" s="967"/>
      <c r="AB203" s="133" t="s">
        <v>2010</v>
      </c>
      <c r="AC203" s="543" t="s">
        <v>1219</v>
      </c>
      <c r="AD203" s="7" t="s">
        <v>828</v>
      </c>
      <c r="AE203" s="128">
        <v>0</v>
      </c>
      <c r="AF203" s="128"/>
      <c r="AG203" s="128"/>
      <c r="AH203" s="171">
        <f t="shared" si="45"/>
        <v>0</v>
      </c>
      <c r="AI203" s="872"/>
      <c r="AJ203" s="444"/>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196"/>
      <c r="BO203" s="601" t="str">
        <f ca="1">IF(IFERROR(INDEX(Административные!$K$26:$L$103,MATCH($F203&amp;"14komm",Административные!$K$26:$K$103,0),2),"")=0,"",IFERROR(INDEX(Административные!$K$26:$L$103,MATCH($F203&amp;"14komm",Административные!$K$26:$K$103,0),2),""))</f>
        <v/>
      </c>
      <c r="BP203" s="196"/>
      <c r="BS203" s="696" t="s">
        <v>2011</v>
      </c>
    </row>
    <row r="204" spans="1:75" ht="14.65" customHeight="1" x14ac:dyDescent="0.15">
      <c r="E204" s="507">
        <v>15</v>
      </c>
      <c r="F204" s="3" t="str" cm="1">
        <f t="array" aca="1" ref="F204" ca="1">OFFSET(E204,-1,1)</f>
        <v>1</v>
      </c>
      <c r="G204" s="72" t="s">
        <v>1221</v>
      </c>
      <c r="H204" s="277"/>
      <c r="I204" s="277" t="s">
        <v>2012</v>
      </c>
      <c r="K204" s="277" t="s">
        <v>2012</v>
      </c>
      <c r="L204" s="25"/>
      <c r="M204" s="25"/>
      <c r="Q204" s="72" t="s">
        <v>2324</v>
      </c>
      <c r="R204" s="75" t="s">
        <v>2324</v>
      </c>
      <c r="T204" s="353" t="b" cm="1">
        <f t="array" ref="T204">T203</f>
        <v>1</v>
      </c>
      <c r="X204" s="990"/>
      <c r="Z204" s="967"/>
      <c r="AB204" s="133" t="s">
        <v>2013</v>
      </c>
      <c r="AC204" s="543" t="s">
        <v>1224</v>
      </c>
      <c r="AD204" s="7" t="s">
        <v>828</v>
      </c>
      <c r="AE204" s="128">
        <v>0</v>
      </c>
      <c r="AF204" s="128"/>
      <c r="AG204" s="128"/>
      <c r="AH204" s="171">
        <f t="shared" ref="AH204:AH235" si="49">AG204-AF204</f>
        <v>0</v>
      </c>
      <c r="AI204" s="872"/>
      <c r="AJ204" s="444"/>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196"/>
      <c r="BO204" s="601" t="str">
        <f ca="1">IF(IFERROR(INDEX(Административные!$K$26:$L$103,MATCH($F204&amp;"15komm",Административные!$K$26:$K$103,0),2),"")=0,"",IFERROR(INDEX(Административные!$K$26:$L$103,MATCH($F204&amp;"15komm",Административные!$K$26:$K$103,0),2),""))</f>
        <v/>
      </c>
      <c r="BP204" s="196"/>
      <c r="BS204" s="696" t="s">
        <v>1225</v>
      </c>
    </row>
    <row r="205" spans="1:75" ht="14.65" customHeight="1" x14ac:dyDescent="0.15">
      <c r="E205" s="507">
        <v>15</v>
      </c>
      <c r="F205" s="3" t="str" cm="1">
        <f t="array" aca="1" ref="F205" ca="1">OFFSET(E205,-1,1)</f>
        <v>1</v>
      </c>
      <c r="G205" s="72" t="s">
        <v>1226</v>
      </c>
      <c r="H205" s="277"/>
      <c r="I205" s="277" t="s">
        <v>2014</v>
      </c>
      <c r="K205" s="277" t="s">
        <v>2014</v>
      </c>
      <c r="L205" s="25"/>
      <c r="M205" s="25"/>
      <c r="Q205" s="72" t="s">
        <v>2324</v>
      </c>
      <c r="R205" s="75" t="s">
        <v>2324</v>
      </c>
      <c r="T205" s="353" t="b" cm="1">
        <f t="array" ref="T205">T204</f>
        <v>1</v>
      </c>
      <c r="X205" s="990"/>
      <c r="Z205" s="967"/>
      <c r="AB205" s="133" t="s">
        <v>2015</v>
      </c>
      <c r="AC205" s="543" t="s">
        <v>1229</v>
      </c>
      <c r="AD205" s="7" t="s">
        <v>828</v>
      </c>
      <c r="AE205" s="128">
        <v>0</v>
      </c>
      <c r="AF205" s="128"/>
      <c r="AG205" s="128"/>
      <c r="AH205" s="171">
        <f t="shared" si="49"/>
        <v>0</v>
      </c>
      <c r="AI205" s="872"/>
      <c r="AJ205" s="444"/>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196"/>
      <c r="BO205" s="601" t="str">
        <f ca="1">IF(IFERROR(INDEX(Административные!$K$26:$L$103,MATCH($F205&amp;"16komm",Административные!$K$26:$K$103,0),2),"")=0,"",IFERROR(INDEX(Административные!$K$26:$L$103,MATCH($F205&amp;"16komm",Административные!$K$26:$K$103,0),2),""))</f>
        <v/>
      </c>
      <c r="BP205" s="196"/>
      <c r="BS205" s="696" t="s">
        <v>2016</v>
      </c>
    </row>
    <row r="206" spans="1:75" ht="21.75" customHeight="1" x14ac:dyDescent="0.25">
      <c r="E206" s="507">
        <v>22.5</v>
      </c>
      <c r="F206" s="3" t="str" cm="1">
        <f t="array" aca="1" ref="F206" ca="1">OFFSET(E206,-1,1)</f>
        <v>1</v>
      </c>
      <c r="H206" s="277"/>
      <c r="I206" s="277" t="s">
        <v>1372</v>
      </c>
      <c r="K206" s="277" t="s">
        <v>1372</v>
      </c>
      <c r="L206" s="25" t="s">
        <v>971</v>
      </c>
      <c r="M206" s="25"/>
      <c r="Q206" s="72" t="s">
        <v>2324</v>
      </c>
      <c r="R206" s="75" t="s">
        <v>2324</v>
      </c>
      <c r="T206" s="353" t="b" cm="1">
        <f t="array" ref="T206">T205</f>
        <v>1</v>
      </c>
      <c r="X206" s="990"/>
      <c r="Z206" s="967"/>
      <c r="AB206" s="133" t="s">
        <v>1090</v>
      </c>
      <c r="AC206" s="134" t="s">
        <v>2017</v>
      </c>
      <c r="AD206" s="7" t="s">
        <v>828</v>
      </c>
      <c r="AE206" s="171">
        <f ca="1">AE207+AE208</f>
        <v>0</v>
      </c>
      <c r="AF206" s="171">
        <f ca="1">AF207+AF208</f>
        <v>0</v>
      </c>
      <c r="AG206" s="171">
        <f ca="1">AG207+AG208</f>
        <v>0</v>
      </c>
      <c r="AH206" s="171">
        <f t="shared" ca="1" si="49"/>
        <v>0</v>
      </c>
      <c r="AI206" s="872">
        <f ca="1">AI207+AI208</f>
        <v>0</v>
      </c>
      <c r="AJ206" s="444"/>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196"/>
      <c r="BO206" s="196"/>
      <c r="BP206" s="196"/>
      <c r="BS206" s="694" t="s">
        <v>1822</v>
      </c>
    </row>
    <row r="207" spans="1:75" ht="14.65" customHeight="1" x14ac:dyDescent="0.25">
      <c r="E207" s="507">
        <v>15</v>
      </c>
      <c r="F207" s="3" t="str" cm="1">
        <f t="array" aca="1" ref="F207" ca="1">OFFSET(E207,-1,1)</f>
        <v>1</v>
      </c>
      <c r="G207" s="72" t="s">
        <v>1185</v>
      </c>
      <c r="H207" s="277"/>
      <c r="I207" s="277" t="s">
        <v>2018</v>
      </c>
      <c r="K207" s="277" t="s">
        <v>2018</v>
      </c>
      <c r="L207" s="25" t="s">
        <v>518</v>
      </c>
      <c r="M207" s="25"/>
      <c r="Q207" s="72" t="s">
        <v>2324</v>
      </c>
      <c r="R207" s="75" t="s">
        <v>2324</v>
      </c>
      <c r="T207" s="353" t="b" cm="1">
        <f t="array" ref="T207">T206</f>
        <v>1</v>
      </c>
      <c r="X207" s="990"/>
      <c r="Z207" s="967"/>
      <c r="AB207" s="133" t="s">
        <v>2019</v>
      </c>
      <c r="AC207" s="543" t="s">
        <v>1823</v>
      </c>
      <c r="AD207" s="545" t="s">
        <v>828</v>
      </c>
      <c r="AE207" s="128">
        <v>0</v>
      </c>
      <c r="AF207" s="128"/>
      <c r="AG207" s="128"/>
      <c r="AH207" s="171">
        <f t="shared" si="49"/>
        <v>0</v>
      </c>
      <c r="AI207" s="872"/>
      <c r="AJ207" s="444"/>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196"/>
      <c r="BO207" s="601" t="str">
        <f ca="1">IF(IFERROR(INDEX(ФОТ!$K$26:$L$127,MATCH($F207&amp;"5komm",ФОТ!$K$26:$K$127,0),2),"")=0,"",IFERROR(INDEX(ФОТ!$K$26:$L$127,MATCH($F207&amp;"5komm",ФОТ!$K$26:$K$127,0),2),""))</f>
        <v/>
      </c>
      <c r="BP207" s="196"/>
      <c r="BS207" s="694" t="s">
        <v>1202</v>
      </c>
    </row>
    <row r="208" spans="1:75" ht="21.75" customHeight="1" x14ac:dyDescent="0.25">
      <c r="E208" s="507">
        <v>22.5</v>
      </c>
      <c r="F208" s="3" t="str" cm="1">
        <f t="array" aca="1" ref="F208" ca="1">OFFSET(E208,-1,1)</f>
        <v>1</v>
      </c>
      <c r="G208" s="72" t="s">
        <v>1190</v>
      </c>
      <c r="H208" s="277"/>
      <c r="I208" s="277" t="s">
        <v>2020</v>
      </c>
      <c r="K208" s="277" t="s">
        <v>2020</v>
      </c>
      <c r="L208" s="25" t="s">
        <v>523</v>
      </c>
      <c r="M208" s="25"/>
      <c r="Q208" s="72" t="s">
        <v>2324</v>
      </c>
      <c r="R208" s="75" t="s">
        <v>2324</v>
      </c>
      <c r="T208" s="353" t="b" cm="1">
        <f t="array" ref="T208">T207</f>
        <v>1</v>
      </c>
      <c r="X208" s="990"/>
      <c r="Z208" s="967"/>
      <c r="AB208" s="133" t="s">
        <v>2021</v>
      </c>
      <c r="AC208" s="543" t="s">
        <v>2022</v>
      </c>
      <c r="AD208" s="7" t="s">
        <v>828</v>
      </c>
      <c r="AE208" s="128">
        <f ca="1">AE207*SUMIFS(INDEX(Сценарии!$AE$25:$BF$136,,MATCH(AE$8,Сценарии!$AE$8:$BF$8,0)),Сценарии!$F$25:$F$136,$F208,Сценарии!$G$25:$G$136,"СВФОТ")/100</f>
        <v>0</v>
      </c>
      <c r="AF208" s="128">
        <f ca="1">AF207*SUMIFS(INDEX(Сценарии!$AE$25:$BF$136,,MATCH(AF$8,Сценарии!$AE$8:$BF$8,0)),Сценарии!$F$25:$F$136,$F208,Сценарии!$G$25:$G$136,"СВФОТ")/100</f>
        <v>0</v>
      </c>
      <c r="AG208" s="128">
        <f ca="1">AG207*SUMIFS(INDEX(Сценарии!$AE$25:$BF$136,,MATCH(AG$8,Сценарии!$AE$8:$BF$8,0)),Сценарии!$F$25:$F$136,$F208,Сценарии!$G$25:$G$136,"СВФОТ")/100</f>
        <v>0</v>
      </c>
      <c r="AH208" s="171">
        <f t="shared" ca="1" si="49"/>
        <v>0</v>
      </c>
      <c r="AI208" s="872">
        <f ca="1">AI207*SUMIFS(INDEX(Сценарии!$AE$25:$BF$136,,MATCH(AG$8,Сценарии!$AE$8:$BF$8,0)),Сценарии!$F$25:$F$136,$F208,Сценарии!$G$25:$G$136,"СВФОТ")/100</f>
        <v>0</v>
      </c>
      <c r="AJ208" s="444"/>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196"/>
      <c r="BO208" s="601" t="str">
        <f ca="1">IF(IFERROR(INDEX(ФОТ!$K$26:$L$127,MATCH($F208&amp;"6komm",ФОТ!$K$26:$K$127,0),2),"")=0,"",IFERROR(INDEX(ФОТ!$K$26:$L$127,MATCH($F208&amp;"6komm",ФОТ!$K$26:$K$127,0),2),""))</f>
        <v/>
      </c>
      <c r="BP208" s="196"/>
      <c r="BS208" s="694" t="s">
        <v>1825</v>
      </c>
    </row>
    <row r="209" spans="1:75" ht="33.75" customHeight="1" x14ac:dyDescent="0.25">
      <c r="E209" s="507">
        <v>33.75</v>
      </c>
      <c r="F209" s="3" t="str" cm="1">
        <f t="array" aca="1" ref="F209" ca="1">OFFSET(E209,-1,1)</f>
        <v>1</v>
      </c>
      <c r="G209" s="2" t="s">
        <v>1231</v>
      </c>
      <c r="H209" s="277"/>
      <c r="I209" s="277" t="s">
        <v>1375</v>
      </c>
      <c r="K209" s="277" t="s">
        <v>1375</v>
      </c>
      <c r="L209" s="25" t="s">
        <v>973</v>
      </c>
      <c r="M209" s="25"/>
      <c r="Q209" s="72" t="s">
        <v>2324</v>
      </c>
      <c r="R209" s="75" t="s">
        <v>2324</v>
      </c>
      <c r="T209" s="353" t="b" cm="1">
        <f t="array" ref="T209">T208</f>
        <v>1</v>
      </c>
      <c r="X209" s="990"/>
      <c r="Z209" s="967"/>
      <c r="AB209" s="133" t="s">
        <v>1376</v>
      </c>
      <c r="AC209" s="134" t="s">
        <v>2023</v>
      </c>
      <c r="AD209" s="7" t="s">
        <v>828</v>
      </c>
      <c r="AE209" s="128">
        <v>0</v>
      </c>
      <c r="AF209" s="128"/>
      <c r="AG209" s="128"/>
      <c r="AH209" s="171">
        <f t="shared" si="49"/>
        <v>0</v>
      </c>
      <c r="AI209" s="872"/>
      <c r="AJ209" s="444"/>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196"/>
      <c r="BO209" s="601" t="str">
        <f ca="1">IF(IFERROR(INDEX(Административные!$K$26:$L$103,MATCH($F209&amp;"2komm",Административные!$K$26:$K$103,0),2),"")=0,"",IFERROR(INDEX(Административные!$K$26:$L$103,MATCH($F209&amp;"2komm",Административные!$K$26:$K$103,0),2),""))</f>
        <v/>
      </c>
      <c r="BP209" s="196"/>
      <c r="BS209" s="694" t="s">
        <v>1233</v>
      </c>
    </row>
    <row r="210" spans="1:75" ht="14.65" customHeight="1" x14ac:dyDescent="0.25">
      <c r="E210" s="507">
        <v>15</v>
      </c>
      <c r="F210" s="3" t="str" cm="1">
        <f t="array" aca="1" ref="F210" ca="1">OFFSET(E210,-1,1)</f>
        <v>1</v>
      </c>
      <c r="G210" s="2" t="s">
        <v>1234</v>
      </c>
      <c r="H210" s="277"/>
      <c r="I210" s="277" t="s">
        <v>1379</v>
      </c>
      <c r="K210" s="277" t="s">
        <v>1379</v>
      </c>
      <c r="L210" s="25" t="s">
        <v>975</v>
      </c>
      <c r="M210" s="25"/>
      <c r="Q210" s="72" t="s">
        <v>2324</v>
      </c>
      <c r="R210" s="75" t="s">
        <v>2324</v>
      </c>
      <c r="T210" s="353" t="b" cm="1">
        <f t="array" ref="T210">T209</f>
        <v>1</v>
      </c>
      <c r="X210" s="990"/>
      <c r="Z210" s="967"/>
      <c r="AB210" s="133" t="s">
        <v>1380</v>
      </c>
      <c r="AC210" s="134" t="s">
        <v>2024</v>
      </c>
      <c r="AD210" s="7" t="s">
        <v>828</v>
      </c>
      <c r="AE210" s="128">
        <v>0</v>
      </c>
      <c r="AF210" s="128"/>
      <c r="AG210" s="128"/>
      <c r="AH210" s="171">
        <f t="shared" si="49"/>
        <v>0</v>
      </c>
      <c r="AI210" s="872"/>
      <c r="AJ210" s="444"/>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196"/>
      <c r="BO210" s="601" t="str">
        <f ca="1">IF(IFERROR(INDEX(Административные!$K$26:$L$103,MATCH($F210&amp;"3komm",Административные!$K$26:$K$103,0),2),"")=0,"",IFERROR(INDEX(Административные!$K$26:$L$103,MATCH($F210&amp;"3komm",Административные!$K$26:$K$103,0),2),""))</f>
        <v/>
      </c>
      <c r="BP210" s="196"/>
      <c r="BS210" s="694" t="s">
        <v>1236</v>
      </c>
    </row>
    <row r="211" spans="1:75" ht="14.65" customHeight="1" x14ac:dyDescent="0.25">
      <c r="E211" s="507">
        <v>15</v>
      </c>
      <c r="F211" s="3" t="str" cm="1">
        <f t="array" aca="1" ref="F211" ca="1">OFFSET(E211,-1,1)</f>
        <v>1</v>
      </c>
      <c r="G211" s="2" t="s">
        <v>1237</v>
      </c>
      <c r="H211" s="277"/>
      <c r="I211" s="277" t="s">
        <v>2025</v>
      </c>
      <c r="K211" s="277" t="s">
        <v>2025</v>
      </c>
      <c r="L211" s="25" t="s">
        <v>978</v>
      </c>
      <c r="M211" s="25"/>
      <c r="Q211" s="72" t="s">
        <v>2324</v>
      </c>
      <c r="R211" s="75" t="s">
        <v>2324</v>
      </c>
      <c r="T211" s="353" t="b" cm="1">
        <f t="array" ref="T211">T210</f>
        <v>1</v>
      </c>
      <c r="X211" s="990"/>
      <c r="Z211" s="967"/>
      <c r="AB211" s="133" t="s">
        <v>2026</v>
      </c>
      <c r="AC211" s="134" t="s">
        <v>2027</v>
      </c>
      <c r="AD211" s="7" t="s">
        <v>828</v>
      </c>
      <c r="AE211" s="128">
        <v>0</v>
      </c>
      <c r="AF211" s="128"/>
      <c r="AG211" s="128"/>
      <c r="AH211" s="171">
        <f t="shared" si="49"/>
        <v>0</v>
      </c>
      <c r="AI211" s="872"/>
      <c r="AJ211" s="444"/>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c r="BG211" s="542"/>
      <c r="BH211" s="542"/>
      <c r="BI211" s="542"/>
      <c r="BJ211" s="542"/>
      <c r="BK211" s="542"/>
      <c r="BL211" s="542"/>
      <c r="BM211" s="542"/>
      <c r="BN211" s="196"/>
      <c r="BO211" s="601" t="str">
        <f ca="1">IF(IFERROR(INDEX(Административные!$K$26:$L$103,MATCH($F211&amp;"4komm",Административные!$K$26:$K$103,0),2),"")=0,"",IFERROR(INDEX(Административные!$K$26:$L$103,MATCH($F211&amp;"4komm",Административные!$K$26:$K$103,0),2),""))</f>
        <v/>
      </c>
      <c r="BP211" s="196"/>
      <c r="BS211" s="694" t="s">
        <v>1239</v>
      </c>
    </row>
    <row r="212" spans="1:75" ht="14.65" customHeight="1" x14ac:dyDescent="0.25">
      <c r="E212" s="507">
        <v>15</v>
      </c>
      <c r="F212" s="3" t="str" cm="1">
        <f t="array" aca="1" ref="F212" ca="1">OFFSET(E212,-1,1)</f>
        <v>1</v>
      </c>
      <c r="G212" s="2" t="s">
        <v>1240</v>
      </c>
      <c r="H212" s="277"/>
      <c r="I212" s="277" t="s">
        <v>2028</v>
      </c>
      <c r="K212" s="277" t="s">
        <v>2028</v>
      </c>
      <c r="L212" s="25" t="s">
        <v>1222</v>
      </c>
      <c r="M212" s="25"/>
      <c r="Q212" s="72" t="s">
        <v>2324</v>
      </c>
      <c r="R212" s="75" t="s">
        <v>2324</v>
      </c>
      <c r="T212" s="353" t="b" cm="1">
        <f t="array" ref="T212">T211</f>
        <v>1</v>
      </c>
      <c r="X212" s="990"/>
      <c r="Z212" s="967"/>
      <c r="AB212" s="133" t="s">
        <v>2029</v>
      </c>
      <c r="AC212" s="134" t="s">
        <v>2030</v>
      </c>
      <c r="AD212" s="7" t="s">
        <v>828</v>
      </c>
      <c r="AE212" s="128">
        <v>0</v>
      </c>
      <c r="AF212" s="128"/>
      <c r="AG212" s="128"/>
      <c r="AH212" s="171">
        <f t="shared" si="49"/>
        <v>0</v>
      </c>
      <c r="AI212" s="872"/>
      <c r="AJ212" s="444"/>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196"/>
      <c r="BO212" s="601" t="str">
        <f ca="1">IF(IFERROR(INDEX(Административные!$K$26:$L$103,MATCH($F212&amp;"5komm",Административные!$K$26:$K$103,0),2),"")=0,"",IFERROR(INDEX(Административные!$K$26:$L$103,MATCH($F212&amp;"5komm",Административные!$K$26:$K$103,0),2),""))</f>
        <v/>
      </c>
      <c r="BP212" s="196"/>
      <c r="BS212" s="694" t="s">
        <v>1827</v>
      </c>
    </row>
    <row r="213" spans="1:75" ht="14.25" customHeight="1" x14ac:dyDescent="0.25">
      <c r="E213" s="507">
        <v>15</v>
      </c>
      <c r="F213" s="3" t="str" cm="1">
        <f t="array" aca="1" ref="F213" ca="1">OFFSET(E213,-1,1)</f>
        <v>1</v>
      </c>
      <c r="G213" s="2" t="s">
        <v>1243</v>
      </c>
      <c r="H213" s="277"/>
      <c r="I213" s="277" t="s">
        <v>2031</v>
      </c>
      <c r="K213" s="277" t="s">
        <v>2031</v>
      </c>
      <c r="L213" s="25" t="s">
        <v>1227</v>
      </c>
      <c r="M213" s="25"/>
      <c r="Q213" s="72" t="s">
        <v>2324</v>
      </c>
      <c r="R213" s="75" t="s">
        <v>2324</v>
      </c>
      <c r="T213" s="353" t="b" cm="1">
        <f t="array" ref="T213">T212</f>
        <v>1</v>
      </c>
      <c r="X213" s="990"/>
      <c r="Z213" s="967"/>
      <c r="AB213" s="133" t="s">
        <v>2032</v>
      </c>
      <c r="AC213" s="134" t="s">
        <v>2033</v>
      </c>
      <c r="AD213" s="7" t="s">
        <v>828</v>
      </c>
      <c r="AE213" s="171">
        <f>SUM(AE214:AE216)</f>
        <v>0</v>
      </c>
      <c r="AF213" s="171">
        <f>SUM(AF214:AF216)</f>
        <v>0</v>
      </c>
      <c r="AG213" s="171">
        <f>SUM(AG214:AG216)</f>
        <v>0</v>
      </c>
      <c r="AH213" s="171">
        <f t="shared" si="49"/>
        <v>0</v>
      </c>
      <c r="AI213" s="872">
        <f>SUM(AI214:AI216)</f>
        <v>0</v>
      </c>
      <c r="AJ213" s="444"/>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196"/>
      <c r="BO213" s="601" t="str">
        <f ca="1">IF(IFERROR(INDEX(Административные!$K$26:$L$103,MATCH($F213&amp;"6komm",Административные!$K$26:$K$103,0),2),"")=0,"",IFERROR(INDEX(Административные!$K$26:$L$103,MATCH($F213&amp;"6komm",Административные!$K$26:$K$103,0),2),""))</f>
        <v/>
      </c>
      <c r="BP213" s="196"/>
      <c r="BS213" s="694" t="s">
        <v>1829</v>
      </c>
    </row>
    <row r="214" spans="1:75" ht="14.65" customHeight="1" x14ac:dyDescent="0.25">
      <c r="E214" s="507">
        <v>15</v>
      </c>
      <c r="F214" s="3" t="str" cm="1">
        <f t="array" aca="1" ref="F214" ca="1">OFFSET(E214,-1,1)</f>
        <v>1</v>
      </c>
      <c r="G214" s="2" t="s">
        <v>1245</v>
      </c>
      <c r="H214" s="277"/>
      <c r="I214" s="277" t="s">
        <v>2034</v>
      </c>
      <c r="K214" s="277" t="s">
        <v>2034</v>
      </c>
      <c r="L214" s="25" t="s">
        <v>1830</v>
      </c>
      <c r="M214" s="25"/>
      <c r="Q214" s="72" t="s">
        <v>2324</v>
      </c>
      <c r="R214" s="75" t="s">
        <v>2324</v>
      </c>
      <c r="T214" s="353" t="b" cm="1">
        <f t="array" ref="T214">T213</f>
        <v>1</v>
      </c>
      <c r="X214" s="990"/>
      <c r="Z214" s="967"/>
      <c r="AB214" s="133" t="s">
        <v>2035</v>
      </c>
      <c r="AC214" s="543" t="s">
        <v>1832</v>
      </c>
      <c r="AD214" s="7" t="s">
        <v>828</v>
      </c>
      <c r="AE214" s="128">
        <v>0</v>
      </c>
      <c r="AF214" s="128"/>
      <c r="AG214" s="128"/>
      <c r="AH214" s="171">
        <f t="shared" si="49"/>
        <v>0</v>
      </c>
      <c r="AI214" s="872"/>
      <c r="AJ214" s="444"/>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196"/>
      <c r="BO214" s="601" t="str">
        <f ca="1">IF(IFERROR(INDEX(Административные!$K$26:$L$103,MATCH($F214&amp;"7komm",Административные!$K$26:$K$103,0),2),"")=0,"",IFERROR(INDEX(Административные!$K$26:$L$103,MATCH($F214&amp;"7komm",Административные!$K$26:$K$103,0),2),""))</f>
        <v/>
      </c>
      <c r="BP214" s="196"/>
      <c r="BS214" s="694" t="s">
        <v>1833</v>
      </c>
    </row>
    <row r="215" spans="1:75" ht="14.65" customHeight="1" x14ac:dyDescent="0.25">
      <c r="E215" s="507">
        <v>15</v>
      </c>
      <c r="F215" s="3" t="str" cm="1">
        <f t="array" aca="1" ref="F215" ca="1">OFFSET(E215,-1,1)</f>
        <v>1</v>
      </c>
      <c r="G215" s="2" t="s">
        <v>1248</v>
      </c>
      <c r="H215" s="277"/>
      <c r="I215" s="277" t="s">
        <v>2036</v>
      </c>
      <c r="K215" s="277" t="s">
        <v>2036</v>
      </c>
      <c r="L215" s="25" t="s">
        <v>1834</v>
      </c>
      <c r="M215" s="25"/>
      <c r="Q215" s="72" t="s">
        <v>2324</v>
      </c>
      <c r="R215" s="75" t="s">
        <v>2324</v>
      </c>
      <c r="T215" s="353" t="b" cm="1">
        <f t="array" ref="T215">T214</f>
        <v>1</v>
      </c>
      <c r="X215" s="990"/>
      <c r="Z215" s="967"/>
      <c r="AB215" s="133" t="s">
        <v>2037</v>
      </c>
      <c r="AC215" s="543" t="s">
        <v>1249</v>
      </c>
      <c r="AD215" s="7" t="s">
        <v>828</v>
      </c>
      <c r="AE215" s="128">
        <v>0</v>
      </c>
      <c r="AF215" s="128"/>
      <c r="AG215" s="128"/>
      <c r="AH215" s="171">
        <f t="shared" si="49"/>
        <v>0</v>
      </c>
      <c r="AI215" s="872"/>
      <c r="AJ215" s="444"/>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196"/>
      <c r="BO215" s="601" t="str">
        <f ca="1">IF(IFERROR(INDEX(Административные!$K$26:$L$103,MATCH($F215&amp;"8komm",Административные!$K$26:$K$103,0),2),"")=0,"",IFERROR(INDEX(Административные!$K$26:$L$103,MATCH($F215&amp;"8komm",Административные!$K$26:$K$103,0),2),""))</f>
        <v/>
      </c>
      <c r="BP215" s="196"/>
      <c r="BS215" s="694" t="s">
        <v>1836</v>
      </c>
    </row>
    <row r="216" spans="1:75" ht="14.65" customHeight="1" x14ac:dyDescent="0.25">
      <c r="E216" s="507">
        <v>15</v>
      </c>
      <c r="F216" s="3" t="str" cm="1">
        <f t="array" aca="1" ref="F216" ca="1">OFFSET(E216,-1,1)</f>
        <v>1</v>
      </c>
      <c r="G216" s="72" t="s">
        <v>1251</v>
      </c>
      <c r="H216" s="277"/>
      <c r="I216" s="277" t="s">
        <v>2038</v>
      </c>
      <c r="K216" s="277" t="s">
        <v>2038</v>
      </c>
      <c r="L216" s="25" t="s">
        <v>1837</v>
      </c>
      <c r="M216" s="25"/>
      <c r="Q216" s="72" t="s">
        <v>2324</v>
      </c>
      <c r="R216" s="75" t="s">
        <v>2324</v>
      </c>
      <c r="T216" s="353" t="b" cm="1">
        <f t="array" ref="T216">T215</f>
        <v>1</v>
      </c>
      <c r="X216" s="990"/>
      <c r="Z216" s="967"/>
      <c r="AB216" s="133" t="s">
        <v>2039</v>
      </c>
      <c r="AC216" s="543" t="s">
        <v>1252</v>
      </c>
      <c r="AD216" s="7" t="s">
        <v>828</v>
      </c>
      <c r="AE216" s="128">
        <v>0</v>
      </c>
      <c r="AF216" s="128"/>
      <c r="AG216" s="128"/>
      <c r="AH216" s="171">
        <f t="shared" si="49"/>
        <v>0</v>
      </c>
      <c r="AI216" s="872"/>
      <c r="AJ216" s="444"/>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196"/>
      <c r="BO216" s="601" t="str">
        <f ca="1">IF(IFERROR(INDEX(Административные!$K$26:$L$103,MATCH($F216&amp;"9komm",Административные!$K$26:$K$103,0),2),"")=0,"",IFERROR(INDEX(Административные!$K$26:$L$103,MATCH($F216&amp;"9komm",Административные!$K$26:$K$103,0),2),""))</f>
        <v/>
      </c>
      <c r="BP216" s="196"/>
      <c r="BS216" s="694" t="s">
        <v>1839</v>
      </c>
    </row>
    <row r="217" spans="1:75" ht="21.75" hidden="1" customHeight="1" x14ac:dyDescent="0.25">
      <c r="B217" s="329" t="b">
        <f>STATUS_GO="да"</f>
        <v>0</v>
      </c>
      <c r="E217" s="507">
        <v>22.5</v>
      </c>
      <c r="F217" s="3" t="str" cm="1">
        <f t="array" aca="1" ref="F217" ca="1">OFFSET(E217,-1,1)</f>
        <v>1</v>
      </c>
      <c r="H217" s="277"/>
      <c r="I217" s="277" t="s">
        <v>951</v>
      </c>
      <c r="K217" s="277" t="s">
        <v>951</v>
      </c>
      <c r="L217" s="25" t="s">
        <v>335</v>
      </c>
      <c r="M217" s="25"/>
      <c r="Q217" s="72" t="s">
        <v>2324</v>
      </c>
      <c r="R217" s="75" t="s">
        <v>2324</v>
      </c>
      <c r="T217" s="353" t="b" cm="1">
        <f t="array" ref="T217">T216</f>
        <v>1</v>
      </c>
      <c r="X217" s="990"/>
      <c r="Z217" s="967"/>
      <c r="AB217" s="133" t="s">
        <v>952</v>
      </c>
      <c r="AC217" s="127" t="s">
        <v>2040</v>
      </c>
      <c r="AD217" s="7" t="s">
        <v>828</v>
      </c>
      <c r="AE217" s="778"/>
      <c r="AF217" s="778"/>
      <c r="AG217" s="778"/>
      <c r="AH217" s="171">
        <f t="shared" si="49"/>
        <v>0</v>
      </c>
      <c r="AI217" s="872"/>
      <c r="AJ217" s="444"/>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775"/>
      <c r="BO217" s="775"/>
      <c r="BP217" s="775"/>
      <c r="BS217" s="695" t="s">
        <v>1841</v>
      </c>
    </row>
    <row r="218" spans="1:75" ht="33.75" customHeight="1" x14ac:dyDescent="0.15">
      <c r="E218" s="507">
        <v>15</v>
      </c>
      <c r="F218" s="3" t="str" cm="1">
        <f t="array" aca="1" ref="F218" ca="1">OFFSET(E218,-1,1)</f>
        <v>1</v>
      </c>
      <c r="H218" s="277"/>
      <c r="I218" s="277" t="s">
        <v>1779</v>
      </c>
      <c r="K218" s="277" t="s">
        <v>1779</v>
      </c>
      <c r="L218" s="25"/>
      <c r="M218" s="25"/>
      <c r="Q218" s="72" t="s">
        <v>2324</v>
      </c>
      <c r="R218" s="75" t="s">
        <v>2324</v>
      </c>
      <c r="T218" s="353" t="b" cm="1">
        <f t="array" ref="T218">T217</f>
        <v>1</v>
      </c>
      <c r="X218" s="990"/>
      <c r="Z218" s="967"/>
      <c r="AB218" s="133" t="s">
        <v>1780</v>
      </c>
      <c r="AC218" s="127" t="s">
        <v>2041</v>
      </c>
      <c r="AD218" s="7" t="s">
        <v>828</v>
      </c>
      <c r="AE218" s="128"/>
      <c r="AF218" s="128"/>
      <c r="AG218" s="128"/>
      <c r="AH218" s="171">
        <f t="shared" si="49"/>
        <v>0</v>
      </c>
      <c r="AI218" s="872"/>
      <c r="AJ218" s="444"/>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196"/>
      <c r="BO218" s="196" t="s">
        <v>2241</v>
      </c>
      <c r="BP218" s="196"/>
      <c r="BS218" s="696" t="s">
        <v>2042</v>
      </c>
    </row>
    <row r="219" spans="1:75" s="870" customFormat="1" ht="26.1" customHeight="1" x14ac:dyDescent="0.15">
      <c r="A219" s="76"/>
      <c r="B219" s="332"/>
      <c r="C219" s="76"/>
      <c r="D219" s="76"/>
      <c r="E219" s="511">
        <v>21</v>
      </c>
      <c r="F219" s="3" t="str" cm="1">
        <f t="array" aca="1" ref="F219" ca="1">OFFSET(E219,-1,1)</f>
        <v>1</v>
      </c>
      <c r="G219" s="76"/>
      <c r="H219" s="277"/>
      <c r="I219" s="277" t="s">
        <v>1783</v>
      </c>
      <c r="J219" s="76"/>
      <c r="K219" s="277" t="s">
        <v>1783</v>
      </c>
      <c r="L219" s="27"/>
      <c r="M219" s="27"/>
      <c r="N219" s="76"/>
      <c r="O219" s="76"/>
      <c r="P219" s="76"/>
      <c r="Q219" s="72" t="s">
        <v>2324</v>
      </c>
      <c r="R219" s="75" t="s">
        <v>2324</v>
      </c>
      <c r="S219" s="76"/>
      <c r="T219" s="353" t="b" cm="1">
        <f t="array" ref="T219">T218</f>
        <v>1</v>
      </c>
      <c r="U219" s="76"/>
      <c r="V219" s="76"/>
      <c r="W219" s="76"/>
      <c r="X219" s="990"/>
      <c r="Y219" s="76"/>
      <c r="Z219" s="967"/>
      <c r="AA219" s="76"/>
      <c r="AB219" s="131" t="s">
        <v>1784</v>
      </c>
      <c r="AC219" s="263" t="s">
        <v>2043</v>
      </c>
      <c r="AD219" s="124" t="s">
        <v>828</v>
      </c>
      <c r="AE219" s="126">
        <f>SUM(AE220:AE221)</f>
        <v>0</v>
      </c>
      <c r="AF219" s="126">
        <f>SUM(AF220:AF221)</f>
        <v>0</v>
      </c>
      <c r="AG219" s="126">
        <f>SUM(AG220:AG221)</f>
        <v>0</v>
      </c>
      <c r="AH219" s="126">
        <f t="shared" si="49"/>
        <v>0</v>
      </c>
      <c r="AI219" s="871">
        <f>SUM(AI220:AI221)</f>
        <v>0</v>
      </c>
      <c r="AJ219" s="444"/>
      <c r="AK219" s="129"/>
      <c r="AL219" s="129"/>
      <c r="AM219" s="129"/>
      <c r="AN219" s="129"/>
      <c r="AO219" s="129"/>
      <c r="AP219" s="129"/>
      <c r="AQ219" s="129"/>
      <c r="AR219" s="129"/>
      <c r="AS219" s="129"/>
      <c r="AT219" s="542"/>
      <c r="AU219" s="542"/>
      <c r="AV219" s="129"/>
      <c r="AW219" s="129"/>
      <c r="AX219" s="129"/>
      <c r="AY219" s="129"/>
      <c r="AZ219" s="129"/>
      <c r="BA219" s="129"/>
      <c r="BB219" s="129"/>
      <c r="BC219" s="129"/>
      <c r="BD219" s="129"/>
      <c r="BE219" s="129"/>
      <c r="BF219" s="129"/>
      <c r="BG219" s="129"/>
      <c r="BH219" s="129"/>
      <c r="BI219" s="129"/>
      <c r="BJ219" s="129"/>
      <c r="BK219" s="129"/>
      <c r="BL219" s="129"/>
      <c r="BM219" s="129"/>
      <c r="BN219" s="556"/>
      <c r="BO219" s="556"/>
      <c r="BP219" s="556"/>
      <c r="BQ219" s="76"/>
      <c r="BR219" s="76"/>
      <c r="BS219" s="702" t="s">
        <v>2044</v>
      </c>
      <c r="BT219" s="702"/>
      <c r="BU219" s="702"/>
      <c r="BV219" s="511"/>
      <c r="BW219" s="511"/>
    </row>
    <row r="220" spans="1:75" ht="14.25" hidden="1" customHeight="1" x14ac:dyDescent="0.15">
      <c r="E220" s="507">
        <v>15</v>
      </c>
      <c r="F220" s="3" t="str" cm="1">
        <f t="array" aca="1" ref="F220" ca="1">OFFSET(E220,-1,1)</f>
        <v>1</v>
      </c>
      <c r="I220" s="277" t="s">
        <v>1783</v>
      </c>
      <c r="J220" s="72" cm="1">
        <f t="array" ref="J220">AC220</f>
        <v>0</v>
      </c>
      <c r="K220" s="277" t="s">
        <v>1783</v>
      </c>
      <c r="L220" s="25"/>
      <c r="M220" s="25"/>
      <c r="Q220" s="72" t="s">
        <v>2324</v>
      </c>
      <c r="R220" s="75" t="s">
        <v>2324</v>
      </c>
      <c r="T220" s="353" t="b">
        <f ca="1">AND(F220&gt;0,Y220&gt;0)</f>
        <v>0</v>
      </c>
      <c r="W220" s="72" t="s">
        <v>172</v>
      </c>
      <c r="X220" s="990"/>
      <c r="Y220" s="72">
        <v>0</v>
      </c>
      <c r="Z220" s="967"/>
      <c r="AA220" s="320" t="s">
        <v>173</v>
      </c>
      <c r="AB220" s="7" t="str">
        <f>"1.7."&amp;Y220</f>
        <v>1.7.0</v>
      </c>
      <c r="AC220" s="780"/>
      <c r="AD220" s="7" t="s">
        <v>828</v>
      </c>
      <c r="AE220" s="778"/>
      <c r="AF220" s="778"/>
      <c r="AG220" s="778"/>
      <c r="AH220" s="171">
        <f t="shared" si="49"/>
        <v>0</v>
      </c>
      <c r="AI220" s="872"/>
      <c r="AJ220" s="128"/>
      <c r="AK220" s="542"/>
      <c r="AL220" s="542"/>
      <c r="AM220" s="542"/>
      <c r="AN220" s="542"/>
      <c r="AO220" s="542"/>
      <c r="AP220" s="542"/>
      <c r="AQ220" s="542"/>
      <c r="AR220" s="542"/>
      <c r="AS220" s="542"/>
      <c r="AT220" s="542"/>
      <c r="AU220" s="542"/>
      <c r="AV220" s="542"/>
      <c r="AW220" s="542"/>
      <c r="AX220" s="542"/>
      <c r="AY220" s="542"/>
      <c r="AZ220" s="542"/>
      <c r="BA220" s="542"/>
      <c r="BB220" s="542"/>
      <c r="BC220" s="542"/>
      <c r="BD220" s="129"/>
      <c r="BE220" s="542"/>
      <c r="BF220" s="542"/>
      <c r="BG220" s="542"/>
      <c r="BH220" s="542"/>
      <c r="BI220" s="542"/>
      <c r="BJ220" s="542"/>
      <c r="BK220" s="542"/>
      <c r="BL220" s="542"/>
      <c r="BM220" s="542"/>
      <c r="BN220" s="775"/>
      <c r="BO220" s="775"/>
      <c r="BP220" s="775"/>
      <c r="BS220" s="696" t="s">
        <v>2044</v>
      </c>
      <c r="BT220" s="696" t="s">
        <v>2045</v>
      </c>
      <c r="BU220" s="696" cm="1">
        <f t="array" ref="BU220">AC220</f>
        <v>0</v>
      </c>
      <c r="BW220" s="507" t="b">
        <v>1</v>
      </c>
    </row>
    <row r="221" spans="1:75" ht="14.25" customHeight="1" x14ac:dyDescent="0.15">
      <c r="E221" s="507">
        <v>15</v>
      </c>
      <c r="F221" s="3" t="str" cm="1">
        <f t="array" aca="1" ref="F221" ca="1">OFFSET(E221,-1,1)</f>
        <v>1</v>
      </c>
      <c r="G221" s="266"/>
      <c r="J221" s="72" t="s">
        <v>2046</v>
      </c>
      <c r="L221" s="25"/>
      <c r="M221" s="25"/>
      <c r="T221" s="353" t="b">
        <f ca="1">F221&gt;0</f>
        <v>1</v>
      </c>
      <c r="W221" s="506" t="s">
        <v>2325</v>
      </c>
      <c r="X221" s="990"/>
      <c r="Z221" s="967"/>
      <c r="AB221" s="546"/>
      <c r="AC221" s="172" t="s">
        <v>176</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7" t="s">
        <v>2045</v>
      </c>
    </row>
    <row r="222" spans="1:75" s="870" customFormat="1" ht="33.75" customHeight="1" x14ac:dyDescent="0.15">
      <c r="A222" s="76"/>
      <c r="B222" s="332"/>
      <c r="C222" s="76"/>
      <c r="D222" s="76"/>
      <c r="E222" s="511">
        <v>21</v>
      </c>
      <c r="F222" s="3" t="str" cm="1">
        <f t="array" aca="1" ref="F222" ca="1">OFFSET(E222,-1,1)</f>
        <v>1</v>
      </c>
      <c r="G222" s="76"/>
      <c r="H222" s="72"/>
      <c r="I222" s="72" t="s">
        <v>332</v>
      </c>
      <c r="J222" s="76"/>
      <c r="K222" s="72" t="s">
        <v>332</v>
      </c>
      <c r="L222" s="27"/>
      <c r="M222" s="27"/>
      <c r="N222" s="76"/>
      <c r="O222" s="76"/>
      <c r="P222" s="76"/>
      <c r="Q222" s="76"/>
      <c r="R222" s="76"/>
      <c r="S222" s="76"/>
      <c r="T222" s="353" t="b" cm="1">
        <f t="array" aca="1" ref="T222" ca="1">T221</f>
        <v>1</v>
      </c>
      <c r="U222" s="76"/>
      <c r="V222" s="76"/>
      <c r="W222" s="76"/>
      <c r="X222" s="990"/>
      <c r="Y222" s="76"/>
      <c r="Z222" s="967"/>
      <c r="AA222" s="76"/>
      <c r="AB222" s="160" t="s">
        <v>285</v>
      </c>
      <c r="AC222" s="125" t="s">
        <v>2047</v>
      </c>
      <c r="AD222" s="147" t="s">
        <v>828</v>
      </c>
      <c r="AE222" s="126">
        <f ca="1">AE223+AE235+AE236++AE247+AE248+AE249+AE251+AE252+AE253+AE254+AE257</f>
        <v>20795.345512704</v>
      </c>
      <c r="AF222" s="126">
        <f ca="1">AF223+AF235+AF236++AF247+AF248+AF249+AF251+AF252+AF253+AF254+AF257</f>
        <v>22162.023786154896</v>
      </c>
      <c r="AG222" s="126">
        <f ca="1">AG223+AG235+AG236++AG247+AG248+AG249+AG251+AG252+AG253+AG254+AG257</f>
        <v>22162.037385540698</v>
      </c>
      <c r="AH222" s="126">
        <f t="shared" ref="AH222:AH267" ca="1" si="50">AG222-AF222</f>
        <v>1.3599385802081088E-2</v>
      </c>
      <c r="AI222" s="126">
        <f t="shared" ref="AI222:BC222" ca="1" si="51">AI223+AI235+AI236++AI247+AI248+AI249+AI251+AI252+AI253+AI254+AI257</f>
        <v>27465.921578960002</v>
      </c>
      <c r="AJ222" s="126">
        <f t="shared" ca="1" si="51"/>
        <v>34988.478379646105</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28242.859506169101</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2.828734236990849</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196"/>
      <c r="BO222" s="196" t="s">
        <v>2242</v>
      </c>
      <c r="BP222" s="196"/>
      <c r="BQ222" s="74"/>
      <c r="BR222" s="76"/>
      <c r="BS222" s="702" t="s">
        <v>2048</v>
      </c>
      <c r="BT222" s="702"/>
      <c r="BU222" s="702"/>
      <c r="BV222" s="511"/>
      <c r="BW222" s="511"/>
    </row>
    <row r="223" spans="1:75" s="870" customFormat="1" ht="47.25" customHeight="1" x14ac:dyDescent="0.15">
      <c r="A223" s="76"/>
      <c r="B223" s="332"/>
      <c r="C223" s="76"/>
      <c r="D223" s="76"/>
      <c r="E223" s="511">
        <v>22.5</v>
      </c>
      <c r="F223" s="3" t="str" cm="1">
        <f t="array" aca="1" ref="F223" ca="1">OFFSET(E223,-1,1)</f>
        <v>1</v>
      </c>
      <c r="G223" s="76"/>
      <c r="H223" s="72"/>
      <c r="I223" s="72" t="s">
        <v>500</v>
      </c>
      <c r="J223" s="76"/>
      <c r="K223" s="72" t="s">
        <v>500</v>
      </c>
      <c r="L223" s="27" t="s">
        <v>486</v>
      </c>
      <c r="M223" s="27"/>
      <c r="N223" s="76"/>
      <c r="O223" s="76"/>
      <c r="P223" s="76"/>
      <c r="Q223" s="76"/>
      <c r="R223" s="76"/>
      <c r="S223" s="76"/>
      <c r="T223" s="353" t="b" cm="1">
        <f t="array" aca="1" ref="T223" ca="1">T222</f>
        <v>1</v>
      </c>
      <c r="U223" s="76"/>
      <c r="V223" s="76"/>
      <c r="W223" s="76"/>
      <c r="X223" s="990"/>
      <c r="Y223" s="76"/>
      <c r="Z223" s="967"/>
      <c r="AA223" s="76"/>
      <c r="AB223" s="131" t="s">
        <v>561</v>
      </c>
      <c r="AC223" s="263" t="s">
        <v>2049</v>
      </c>
      <c r="AD223" s="124" t="s">
        <v>828</v>
      </c>
      <c r="AE223" s="126">
        <f ca="1">SUM(AE224:AE234)</f>
        <v>0</v>
      </c>
      <c r="AF223" s="126">
        <f ca="1">SUM(AF224:AF234)</f>
        <v>0</v>
      </c>
      <c r="AG223" s="126">
        <f ca="1">SUM(AG224:AG234)</f>
        <v>0</v>
      </c>
      <c r="AH223" s="126">
        <f t="shared" ca="1" si="50"/>
        <v>0</v>
      </c>
      <c r="AI223" s="126">
        <f t="shared" ref="AI223:BC223" ca="1" si="62">SUM(AI224:AI234)</f>
        <v>0</v>
      </c>
      <c r="AJ223" s="126">
        <f t="shared" ca="1" si="62"/>
        <v>0</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0</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0</v>
      </c>
      <c r="BE223" s="126">
        <f t="shared" ca="1" si="53"/>
        <v>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6"/>
      <c r="BO223" s="556"/>
      <c r="BP223" s="556"/>
      <c r="BQ223" s="76"/>
      <c r="BR223" s="76"/>
      <c r="BS223" s="702" t="s">
        <v>2050</v>
      </c>
      <c r="BT223" s="702"/>
      <c r="BU223" s="702"/>
      <c r="BV223" s="511"/>
      <c r="BW223" s="511"/>
    </row>
    <row r="224" spans="1:75" ht="14.25" customHeight="1" x14ac:dyDescent="0.15">
      <c r="E224" s="507">
        <v>15</v>
      </c>
      <c r="F224" s="3" t="str" cm="1">
        <f t="array" aca="1" ref="F224" ca="1">OFFSET(E224,-1,1)</f>
        <v>1</v>
      </c>
      <c r="G224" s="72" t="s">
        <v>1148</v>
      </c>
      <c r="I224" s="72" t="s">
        <v>1570</v>
      </c>
      <c r="K224" s="72" t="s">
        <v>1570</v>
      </c>
      <c r="L224" s="25" t="s">
        <v>1347</v>
      </c>
      <c r="M224" s="25"/>
      <c r="T224" s="353" t="b" cm="1">
        <f t="array" aca="1" ref="T224" ca="1">T223</f>
        <v>1</v>
      </c>
      <c r="X224" s="990"/>
      <c r="Z224" s="967"/>
      <c r="AB224" s="133" t="s">
        <v>508</v>
      </c>
      <c r="AC224" s="134" t="s">
        <v>2051</v>
      </c>
      <c r="AD224" s="7" t="s">
        <v>828</v>
      </c>
      <c r="AE224" s="171">
        <f ca="1">SUMIFS(Покупка!AE$25:AE$150,Покупка!$F$25:$F$150,$F224,Покупка!$AC$25:$AC$150,$G224)</f>
        <v>0</v>
      </c>
      <c r="AF224" s="171">
        <f ca="1">SUMIFS(Покупка!AF$25:AF$150,Покупка!$F$25:$F$150,$F224,Покупка!$AC$25:$AC$150,$G224)</f>
        <v>0</v>
      </c>
      <c r="AG224" s="171">
        <f ca="1">SUMIFS(Покупка!AG$25:AG$150,Покупка!$F$25:$F$150,$F224,Покупка!$AC$25:$AC$150,$G224)</f>
        <v>0</v>
      </c>
      <c r="AH224" s="171">
        <f t="shared" ca="1" si="50"/>
        <v>0</v>
      </c>
      <c r="AI224" s="171">
        <f ca="1">SUMIFS(Покупка!AH$25:AH$150,Покупка!$F$25:$F$150,$F224,Покупка!$AC$25:$AC$150,$G224)</f>
        <v>0</v>
      </c>
      <c r="AJ224" s="171">
        <f ca="1">SUMIFS(Покупка!AI$25:AI$150,Покупка!$F$25:$F$150,$F224,Покупка!$AC$25:$AC$150,$G224)</f>
        <v>0</v>
      </c>
      <c r="AK224" s="171">
        <f ca="1">SUMIFS(Покупка!AJ$25:AJ$150,Покупка!$F$25:$F$150,$F224,Покупка!$AC$25:$AC$150,$G224)</f>
        <v>0</v>
      </c>
      <c r="AL224" s="171">
        <f ca="1">SUMIFS(Покупка!AK$25:AK$150,Покупка!$F$25:$F$150,$F224,Покупка!$AC$25:$AC$150,$G224)</f>
        <v>0</v>
      </c>
      <c r="AM224" s="171">
        <f ca="1">SUMIFS(Покупка!AL$25:AL$150,Покупка!$F$25:$F$150,$F224,Покупка!$AC$25:$AC$150,$G224)</f>
        <v>0</v>
      </c>
      <c r="AN224" s="171">
        <f ca="1">SUMIFS(Покупка!AM$25:AM$150,Покупка!$F$25:$F$150,$F224,Покупка!$AC$25:$AC$150,$G224)</f>
        <v>0</v>
      </c>
      <c r="AO224" s="171">
        <f ca="1">SUMIFS(Покупка!AN$25:AN$150,Покупка!$F$25:$F$150,$F224,Покупка!$AC$25:$AC$150,$G224)</f>
        <v>0</v>
      </c>
      <c r="AP224" s="171">
        <f ca="1">SUMIFS(Покупка!AO$25:AO$150,Покупка!$F$25:$F$150,$F224,Покупка!$AC$25:$AC$150,$G224)</f>
        <v>0</v>
      </c>
      <c r="AQ224" s="171">
        <f ca="1">SUMIFS(Покупка!AP$25:AP$150,Покупка!$F$25:$F$150,$F224,Покупка!$AC$25:$AC$150,$G224)</f>
        <v>0</v>
      </c>
      <c r="AR224" s="171">
        <f ca="1">SUMIFS(Покупка!AQ$25:AQ$150,Покупка!$F$25:$F$150,$F224,Покупка!$AC$25:$AC$150,$G224)</f>
        <v>0</v>
      </c>
      <c r="AS224" s="171">
        <f ca="1">SUMIFS(Покупка!AR$25:AR$150,Покупка!$F$25:$F$150,$F224,Покупка!$AC$25:$AC$150,$G224)</f>
        <v>0</v>
      </c>
      <c r="AT224" s="171">
        <f ca="1">SUMIFS(Покупка!AS$25:AS$150,Покупка!$F$25:$F$150,$F224,Покупка!$AC$25:$AC$150,$G224)</f>
        <v>0</v>
      </c>
      <c r="AU224" s="171">
        <f ca="1">SUMIFS(Покупка!AT$25:AT$150,Покупка!$F$25:$F$150,$F224,Покупка!$AC$25:$AC$150,$G224)</f>
        <v>0</v>
      </c>
      <c r="AV224" s="171">
        <f ca="1">SUMIFS(Покупка!AU$25:AU$150,Покупка!$F$25:$F$150,$F224,Покупка!$AC$25:$AC$150,$G224)</f>
        <v>0</v>
      </c>
      <c r="AW224" s="171">
        <f ca="1">SUMIFS(Покупка!AV$25:AV$150,Покупка!$F$25:$F$150,$F224,Покупка!$AC$25:$AC$150,$G224)</f>
        <v>0</v>
      </c>
      <c r="AX224" s="171">
        <f ca="1">SUMIFS(Покупка!AW$25:AW$150,Покупка!$F$25:$F$150,$F224,Покупка!$AC$25:$AC$150,$G224)</f>
        <v>0</v>
      </c>
      <c r="AY224" s="171">
        <f ca="1">SUMIFS(Покупка!AX$25:AX$150,Покупка!$F$25:$F$150,$F224,Покупка!$AC$25:$AC$150,$G224)</f>
        <v>0</v>
      </c>
      <c r="AZ224" s="171">
        <f ca="1">SUMIFS(Покупка!AY$25:AY$150,Покупка!$F$25:$F$150,$F224,Покупка!$AC$25:$AC$150,$G224)</f>
        <v>0</v>
      </c>
      <c r="BA224" s="171">
        <f ca="1">SUMIFS(Покупка!AZ$25:AZ$150,Покупка!$F$25:$F$150,$F224,Покупка!$AC$25:$AC$150,$G224)</f>
        <v>0</v>
      </c>
      <c r="BB224" s="171">
        <f ca="1">SUMIFS(Покупка!BA$25:BA$150,Покупка!$F$25:$F$150,$F224,Покупка!$AC$25:$AC$150,$G224)</f>
        <v>0</v>
      </c>
      <c r="BC224" s="171">
        <f ca="1">SUMIFS(Покупка!BB$25:BB$150,Покупка!$F$25:$F$150,$F224,Покупка!$AC$25:$AC$150,$G224)</f>
        <v>0</v>
      </c>
      <c r="BD224" s="171">
        <f t="shared" ca="1" si="52"/>
        <v>0</v>
      </c>
      <c r="BE224" s="171">
        <f t="shared" ca="1" si="53"/>
        <v>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196"/>
      <c r="BO224" s="601" t="str">
        <f ca="1">IF(IFERROR(INDEX(Покупка!$K$26:$L$150,MATCH($F224&amp;"6komm",Покупка!$K$26:$K$150,0),2),"")=0,"",IFERROR(INDEX(Покупка!$K$26:$L$150,MATCH($F224&amp;"6komm",Покупка!$K$26:$K$150,0),2),""))</f>
        <v/>
      </c>
      <c r="BP224" s="196"/>
      <c r="BS224" s="696" t="s">
        <v>1149</v>
      </c>
    </row>
    <row r="225" spans="1:75" ht="14.25" customHeight="1" x14ac:dyDescent="0.15">
      <c r="B225" s="15"/>
      <c r="C225" s="25"/>
      <c r="D225" s="25"/>
      <c r="E225" s="451">
        <v>15</v>
      </c>
      <c r="F225" s="3" t="str" cm="1">
        <f t="array" aca="1" ref="F225" ca="1">OFFSET(E225,-1,1)</f>
        <v>1</v>
      </c>
      <c r="G225" s="25" t="s">
        <v>1150</v>
      </c>
      <c r="H225" s="25"/>
      <c r="I225" s="25" t="s">
        <v>1574</v>
      </c>
      <c r="J225" s="25"/>
      <c r="K225" s="25" t="s">
        <v>1574</v>
      </c>
      <c r="L225" s="25" t="s">
        <v>1351</v>
      </c>
      <c r="M225" s="25"/>
      <c r="N225" s="25"/>
      <c r="O225" s="25"/>
      <c r="P225" s="25"/>
      <c r="Q225" s="25"/>
      <c r="R225" s="25"/>
      <c r="S225" s="25"/>
      <c r="T225" s="353" t="b" cm="1">
        <f t="array" aca="1" ref="T225" ca="1">T224</f>
        <v>1</v>
      </c>
      <c r="U225" s="25"/>
      <c r="V225" s="25"/>
      <c r="X225" s="990"/>
      <c r="Z225" s="967"/>
      <c r="AB225" s="133" t="s">
        <v>2052</v>
      </c>
      <c r="AC225" s="134" t="s">
        <v>2053</v>
      </c>
      <c r="AD225" s="7" t="s">
        <v>828</v>
      </c>
      <c r="AE225" s="171">
        <f ca="1">SUMIFS(Покупка!AE$25:AE$150,Покупка!$F$25:$F$150,$F225,Покупка!$AC$25:$AC$150,$G225)</f>
        <v>0</v>
      </c>
      <c r="AF225" s="171">
        <f ca="1">SUMIFS(Покупка!AF$25:AF$150,Покупка!$F$25:$F$150,$F225,Покупка!$AC$25:$AC$150,$G225)</f>
        <v>0</v>
      </c>
      <c r="AG225" s="171">
        <f ca="1">SUMIFS(Покупка!AG$25:AG$150,Покупка!$F$25:$F$150,$F225,Покупка!$AC$25:$AC$150,$G225)</f>
        <v>0</v>
      </c>
      <c r="AH225" s="171">
        <f t="shared" ca="1" si="50"/>
        <v>0</v>
      </c>
      <c r="AI225" s="171">
        <f ca="1">SUMIFS(Покупка!AH$25:AH$150,Покупка!$F$25:$F$150,$F225,Покупка!$AC$25:$AC$150,$G225)</f>
        <v>0</v>
      </c>
      <c r="AJ225" s="171">
        <f ca="1">SUMIFS(Покупка!AI$25:AI$150,Покупка!$F$25:$F$150,$F225,Покупка!$AC$25:$AC$150,$G225)</f>
        <v>0</v>
      </c>
      <c r="AK225" s="171">
        <f ca="1">SUMIFS(Покупка!AJ$25:AJ$150,Покупка!$F$25:$F$150,$F225,Покупка!$AC$25:$AC$150,$G225)</f>
        <v>0</v>
      </c>
      <c r="AL225" s="171">
        <f ca="1">SUMIFS(Покупка!AK$25:AK$150,Покупка!$F$25:$F$150,$F225,Покупка!$AC$25:$AC$150,$G225)</f>
        <v>0</v>
      </c>
      <c r="AM225" s="171">
        <f ca="1">SUMIFS(Покупка!AL$25:AL$150,Покупка!$F$25:$F$150,$F225,Покупка!$AC$25:$AC$150,$G225)</f>
        <v>0</v>
      </c>
      <c r="AN225" s="171">
        <f ca="1">SUMIFS(Покупка!AM$25:AM$150,Покупка!$F$25:$F$150,$F225,Покупка!$AC$25:$AC$150,$G225)</f>
        <v>0</v>
      </c>
      <c r="AO225" s="171">
        <f ca="1">SUMIFS(Покупка!AN$25:AN$150,Покупка!$F$25:$F$150,$F225,Покупка!$AC$25:$AC$150,$G225)</f>
        <v>0</v>
      </c>
      <c r="AP225" s="171">
        <f ca="1">SUMIFS(Покупка!AO$25:AO$150,Покупка!$F$25:$F$150,$F225,Покупка!$AC$25:$AC$150,$G225)</f>
        <v>0</v>
      </c>
      <c r="AQ225" s="171">
        <f ca="1">SUMIFS(Покупка!AP$25:AP$150,Покупка!$F$25:$F$150,$F225,Покупка!$AC$25:$AC$150,$G225)</f>
        <v>0</v>
      </c>
      <c r="AR225" s="171">
        <f ca="1">SUMIFS(Покупка!AQ$25:AQ$150,Покупка!$F$25:$F$150,$F225,Покупка!$AC$25:$AC$150,$G225)</f>
        <v>0</v>
      </c>
      <c r="AS225" s="171">
        <f ca="1">SUMIFS(Покупка!AR$25:AR$150,Покупка!$F$25:$F$150,$F225,Покупка!$AC$25:$AC$150,$G225)</f>
        <v>0</v>
      </c>
      <c r="AT225" s="171">
        <f ca="1">SUMIFS(Покупка!AS$25:AS$150,Покупка!$F$25:$F$150,$F225,Покупка!$AC$25:$AC$150,$G225)</f>
        <v>0</v>
      </c>
      <c r="AU225" s="171">
        <f ca="1">SUMIFS(Покупка!AT$25:AT$150,Покупка!$F$25:$F$150,$F225,Покупка!$AC$25:$AC$150,$G225)</f>
        <v>0</v>
      </c>
      <c r="AV225" s="171">
        <f ca="1">SUMIFS(Покупка!AU$25:AU$150,Покупка!$F$25:$F$150,$F225,Покупка!$AC$25:$AC$150,$G225)</f>
        <v>0</v>
      </c>
      <c r="AW225" s="171">
        <f ca="1">SUMIFS(Покупка!AV$25:AV$150,Покупка!$F$25:$F$150,$F225,Покупка!$AC$25:$AC$150,$G225)</f>
        <v>0</v>
      </c>
      <c r="AX225" s="171">
        <f ca="1">SUMIFS(Покупка!AW$25:AW$150,Покупка!$F$25:$F$150,$F225,Покупка!$AC$25:$AC$150,$G225)</f>
        <v>0</v>
      </c>
      <c r="AY225" s="171">
        <f ca="1">SUMIFS(Покупка!AX$25:AX$150,Покупка!$F$25:$F$150,$F225,Покупка!$AC$25:$AC$150,$G225)</f>
        <v>0</v>
      </c>
      <c r="AZ225" s="171">
        <f ca="1">SUMIFS(Покупка!AY$25:AY$150,Покупка!$F$25:$F$150,$F225,Покупка!$AC$25:$AC$150,$G225)</f>
        <v>0</v>
      </c>
      <c r="BA225" s="171">
        <f ca="1">SUMIFS(Покупка!AZ$25:AZ$150,Покупка!$F$25:$F$150,$F225,Покупка!$AC$25:$AC$150,$G225)</f>
        <v>0</v>
      </c>
      <c r="BB225" s="171">
        <f ca="1">SUMIFS(Покупка!BA$25:BA$150,Покупка!$F$25:$F$150,$F225,Покупка!$AC$25:$AC$150,$G225)</f>
        <v>0</v>
      </c>
      <c r="BC225" s="171">
        <f ca="1">SUMIFS(Покупка!BB$25:BB$150,Покупка!$F$25:$F$150,$F225,Покупка!$AC$25:$AC$150,$G225)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1" t="str">
        <f ca="1">IF(IFERROR(INDEX(Покупка!$K$26:$L$150,MATCH($F225&amp;"7komm",Покупка!$K$26:$K$150,0),2),"")=0,"",IFERROR(INDEX(Покупка!$K$26:$L$150,MATCH($F225&amp;"7komm",Покупка!$K$26:$K$150,0),2),""))</f>
        <v/>
      </c>
      <c r="BP225" s="196"/>
      <c r="BS225" s="696" t="s">
        <v>1151</v>
      </c>
    </row>
    <row r="226" spans="1:75" ht="14.25" customHeight="1" x14ac:dyDescent="0.15">
      <c r="B226" s="15"/>
      <c r="C226" s="25"/>
      <c r="D226" s="25"/>
      <c r="E226" s="451">
        <v>15</v>
      </c>
      <c r="F226" s="3" t="str" cm="1">
        <f t="array" aca="1" ref="F226" ca="1">OFFSET(E226,-1,1)</f>
        <v>1</v>
      </c>
      <c r="G226" s="25" t="s">
        <v>1125</v>
      </c>
      <c r="H226" s="25"/>
      <c r="I226" s="25" t="s">
        <v>1681</v>
      </c>
      <c r="J226" s="25"/>
      <c r="K226" s="25" t="s">
        <v>1681</v>
      </c>
      <c r="L226" s="25" t="s">
        <v>1519</v>
      </c>
      <c r="M226" s="25"/>
      <c r="N226" s="25"/>
      <c r="O226" s="25"/>
      <c r="P226" s="25"/>
      <c r="Q226" s="25"/>
      <c r="R226" s="25"/>
      <c r="S226" s="25"/>
      <c r="T226" s="353" t="b" cm="1">
        <f t="array" aca="1" ref="T226" ca="1">T225</f>
        <v>1</v>
      </c>
      <c r="U226" s="25"/>
      <c r="V226" s="25"/>
      <c r="X226" s="990"/>
      <c r="Z226" s="967"/>
      <c r="AB226" s="133" t="s">
        <v>2054</v>
      </c>
      <c r="AC226" s="134" t="s">
        <v>2055</v>
      </c>
      <c r="AD226" s="7" t="s">
        <v>828</v>
      </c>
      <c r="AE226" s="171">
        <f ca="1">SUMIFS(Покупка!AE$25:AE$150,Покупка!$F$25:$F$150,$F226,Покупка!$AC$25:$AC$150,$G226)</f>
        <v>0</v>
      </c>
      <c r="AF226" s="171">
        <f ca="1">SUMIFS(Покупка!AF$25:AF$150,Покупка!$F$25:$F$150,$F226,Покупка!$AC$25:$AC$150,$G226)</f>
        <v>0</v>
      </c>
      <c r="AG226" s="171">
        <f ca="1">SUMIFS(Покупка!AG$25:AG$150,Покупка!$F$25:$F$150,$F226,Покупка!$AC$25:$AC$150,$G226)</f>
        <v>0</v>
      </c>
      <c r="AH226" s="171">
        <f t="shared" ca="1" si="50"/>
        <v>0</v>
      </c>
      <c r="AI226" s="171">
        <f ca="1">SUMIFS(Покупка!AH$25:AH$150,Покупка!$F$25:$F$150,$F226,Покупка!$AC$25:$AC$150,$G226)</f>
        <v>0</v>
      </c>
      <c r="AJ226" s="171">
        <f ca="1">SUMIFS(Покупка!AI$25:AI$150,Покупка!$F$25:$F$150,$F226,Покупка!$AC$25:$AC$150,$G226)</f>
        <v>0</v>
      </c>
      <c r="AK226" s="171">
        <f ca="1">SUMIFS(Покупка!AJ$25:AJ$150,Покупка!$F$25:$F$150,$F226,Покупка!$AC$25:$AC$150,$G226)</f>
        <v>0</v>
      </c>
      <c r="AL226" s="171">
        <f ca="1">SUMIFS(Покупка!AK$25:AK$150,Покупка!$F$25:$F$150,$F226,Покупка!$AC$25:$AC$150,$G226)</f>
        <v>0</v>
      </c>
      <c r="AM226" s="171">
        <f ca="1">SUMIFS(Покупка!AL$25:AL$150,Покупка!$F$25:$F$150,$F226,Покупка!$AC$25:$AC$150,$G226)</f>
        <v>0</v>
      </c>
      <c r="AN226" s="171">
        <f ca="1">SUMIFS(Покупка!AM$25:AM$150,Покупка!$F$25:$F$150,$F226,Покупка!$AC$25:$AC$150,$G226)</f>
        <v>0</v>
      </c>
      <c r="AO226" s="171">
        <f ca="1">SUMIFS(Покупка!AN$25:AN$150,Покупка!$F$25:$F$150,$F226,Покупка!$AC$25:$AC$150,$G226)</f>
        <v>0</v>
      </c>
      <c r="AP226" s="171">
        <f ca="1">SUMIFS(Покупка!AO$25:AO$150,Покупка!$F$25:$F$150,$F226,Покупка!$AC$25:$AC$150,$G226)</f>
        <v>0</v>
      </c>
      <c r="AQ226" s="171">
        <f ca="1">SUMIFS(Покупка!AP$25:AP$150,Покупка!$F$25:$F$150,$F226,Покупка!$AC$25:$AC$150,$G226)</f>
        <v>0</v>
      </c>
      <c r="AR226" s="171">
        <f ca="1">SUMIFS(Покупка!AQ$25:AQ$150,Покупка!$F$25:$F$150,$F226,Покупка!$AC$25:$AC$150,$G226)</f>
        <v>0</v>
      </c>
      <c r="AS226" s="171">
        <f ca="1">SUMIFS(Покупка!AR$25:AR$150,Покупка!$F$25:$F$150,$F226,Покупка!$AC$25:$AC$150,$G226)</f>
        <v>0</v>
      </c>
      <c r="AT226" s="171">
        <f ca="1">SUMIFS(Покупка!AS$25:AS$150,Покупка!$F$25:$F$150,$F226,Покупка!$AC$25:$AC$150,$G226)</f>
        <v>0</v>
      </c>
      <c r="AU226" s="171">
        <f ca="1">SUMIFS(Покупка!AT$25:AT$150,Покупка!$F$25:$F$150,$F226,Покупка!$AC$25:$AC$150,$G226)</f>
        <v>0</v>
      </c>
      <c r="AV226" s="171">
        <f ca="1">SUMIFS(Покупка!AU$25:AU$150,Покупка!$F$25:$F$150,$F226,Покупка!$AC$25:$AC$150,$G226)</f>
        <v>0</v>
      </c>
      <c r="AW226" s="171">
        <f ca="1">SUMIFS(Покупка!AV$25:AV$150,Покупка!$F$25:$F$150,$F226,Покупка!$AC$25:$AC$150,$G226)</f>
        <v>0</v>
      </c>
      <c r="AX226" s="171">
        <f ca="1">SUMIFS(Покупка!AW$25:AW$150,Покупка!$F$25:$F$150,$F226,Покупка!$AC$25:$AC$150,$G226)</f>
        <v>0</v>
      </c>
      <c r="AY226" s="171">
        <f ca="1">SUMIFS(Покупка!AX$25:AX$150,Покупка!$F$25:$F$150,$F226,Покупка!$AC$25:$AC$150,$G226)</f>
        <v>0</v>
      </c>
      <c r="AZ226" s="171">
        <f ca="1">SUMIFS(Покупка!AY$25:AY$150,Покупка!$F$25:$F$150,$F226,Покупка!$AC$25:$AC$150,$G226)</f>
        <v>0</v>
      </c>
      <c r="BA226" s="171">
        <f ca="1">SUMIFS(Покупка!AZ$25:AZ$150,Покупка!$F$25:$F$150,$F226,Покупка!$AC$25:$AC$150,$G226)</f>
        <v>0</v>
      </c>
      <c r="BB226" s="171">
        <f ca="1">SUMIFS(Покупка!BA$25:BA$150,Покупка!$F$25:$F$150,$F226,Покупка!$AC$25:$AC$150,$G226)</f>
        <v>0</v>
      </c>
      <c r="BC226" s="171">
        <f ca="1">SUMIFS(Покупка!BB$25:BB$150,Покупка!$F$25:$F$150,$F226,Покупка!$AC$25:$AC$150,$G226)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1" t="str">
        <f ca="1">IF(IFERROR(INDEX(Покупка!$K$26:$L$150,MATCH($F226&amp;"2komm",Покупка!$K$26:$K$150,0),2),"")=0,"",IFERROR(INDEX(Покупка!$K$26:$L$150,MATCH($F226&amp;"2komm",Покупка!$K$26:$K$150,0),2),""))</f>
        <v/>
      </c>
      <c r="BP226" s="196"/>
      <c r="BS226" s="696" t="s">
        <v>2056</v>
      </c>
    </row>
    <row r="227" spans="1:75" ht="14.25" customHeight="1" x14ac:dyDescent="0.15">
      <c r="B227" s="15"/>
      <c r="C227" s="25"/>
      <c r="D227" s="25"/>
      <c r="E227" s="451">
        <v>15</v>
      </c>
      <c r="F227" s="3" t="str" cm="1">
        <f t="array" aca="1" ref="F227" ca="1">OFFSET(E227,-1,1)</f>
        <v>1</v>
      </c>
      <c r="G227" s="25" t="s">
        <v>1116</v>
      </c>
      <c r="H227" s="25"/>
      <c r="I227" s="25" t="s">
        <v>1683</v>
      </c>
      <c r="J227" s="25"/>
      <c r="K227" s="25" t="s">
        <v>1683</v>
      </c>
      <c r="L227" s="25" t="s">
        <v>1514</v>
      </c>
      <c r="M227" s="25"/>
      <c r="N227" s="25"/>
      <c r="O227" s="25"/>
      <c r="P227" s="25"/>
      <c r="Q227" s="25"/>
      <c r="R227" s="25"/>
      <c r="S227" s="25"/>
      <c r="T227" s="353" t="b" cm="1">
        <f t="array" aca="1" ref="T227" ca="1">T226</f>
        <v>1</v>
      </c>
      <c r="U227" s="25"/>
      <c r="V227" s="25"/>
      <c r="X227" s="990"/>
      <c r="Z227" s="967"/>
      <c r="AB227" s="133" t="s">
        <v>2057</v>
      </c>
      <c r="AC227" s="134" t="s">
        <v>2058</v>
      </c>
      <c r="AD227" s="7" t="s">
        <v>828</v>
      </c>
      <c r="AE227" s="171">
        <f ca="1">SUMIFS(Покупка!AE$25:AE$150,Покупка!$F$25:$F$150,$F227,Покупка!$AC$25:$AC$150,$G227)</f>
        <v>0</v>
      </c>
      <c r="AF227" s="171">
        <f ca="1">SUMIFS(Покупка!AF$25:AF$150,Покупка!$F$25:$F$150,$F227,Покупка!$AC$25:$AC$150,$G227)</f>
        <v>0</v>
      </c>
      <c r="AG227" s="171">
        <f ca="1">SUMIFS(Покупка!AG$25:AG$150,Покупка!$F$25:$F$150,$F227,Покупка!$AC$25:$AC$150,$G227)</f>
        <v>0</v>
      </c>
      <c r="AH227" s="171">
        <f t="shared" ca="1" si="50"/>
        <v>0</v>
      </c>
      <c r="AI227" s="171">
        <f ca="1">SUMIFS(Покупка!AH$25:AH$150,Покупка!$F$25:$F$150,$F227,Покупка!$AC$25:$AC$150,$G227)</f>
        <v>0</v>
      </c>
      <c r="AJ227" s="171">
        <f ca="1">SUMIFS(Покупка!AI$25:AI$150,Покупка!$F$25:$F$150,$F227,Покупка!$AC$25:$AC$150,$G227)</f>
        <v>0</v>
      </c>
      <c r="AK227" s="171">
        <f ca="1">SUMIFS(Покупка!AJ$25:AJ$150,Покупка!$F$25:$F$150,$F227,Покупка!$AC$25:$AC$150,$G227)</f>
        <v>0</v>
      </c>
      <c r="AL227" s="171">
        <f ca="1">SUMIFS(Покупка!AK$25:AK$150,Покупка!$F$25:$F$150,$F227,Покупка!$AC$25:$AC$150,$G227)</f>
        <v>0</v>
      </c>
      <c r="AM227" s="171">
        <f ca="1">SUMIFS(Покупка!AL$25:AL$150,Покупка!$F$25:$F$150,$F227,Покупка!$AC$25:$AC$150,$G227)</f>
        <v>0</v>
      </c>
      <c r="AN227" s="171">
        <f ca="1">SUMIFS(Покупка!AM$25:AM$150,Покупка!$F$25:$F$150,$F227,Покупка!$AC$25:$AC$150,$G227)</f>
        <v>0</v>
      </c>
      <c r="AO227" s="171">
        <f ca="1">SUMIFS(Покупка!AN$25:AN$150,Покупка!$F$25:$F$150,$F227,Покупка!$AC$25:$AC$150,$G227)</f>
        <v>0</v>
      </c>
      <c r="AP227" s="171">
        <f ca="1">SUMIFS(Покупка!AO$25:AO$150,Покупка!$F$25:$F$150,$F227,Покупка!$AC$25:$AC$150,$G227)</f>
        <v>0</v>
      </c>
      <c r="AQ227" s="171">
        <f ca="1">SUMIFS(Покупка!AP$25:AP$150,Покупка!$F$25:$F$150,$F227,Покупка!$AC$25:$AC$150,$G227)</f>
        <v>0</v>
      </c>
      <c r="AR227" s="171">
        <f ca="1">SUMIFS(Покупка!AQ$25:AQ$150,Покупка!$F$25:$F$150,$F227,Покупка!$AC$25:$AC$150,$G227)</f>
        <v>0</v>
      </c>
      <c r="AS227" s="171">
        <f ca="1">SUMIFS(Покупка!AR$25:AR$150,Покупка!$F$25:$F$150,$F227,Покупка!$AC$25:$AC$150,$G227)</f>
        <v>0</v>
      </c>
      <c r="AT227" s="171">
        <f ca="1">SUMIFS(Покупка!AS$25:AS$150,Покупка!$F$25:$F$150,$F227,Покупка!$AC$25:$AC$150,$G227)</f>
        <v>0</v>
      </c>
      <c r="AU227" s="171">
        <f ca="1">SUMIFS(Покупка!AT$25:AT$150,Покупка!$F$25:$F$150,$F227,Покупка!$AC$25:$AC$150,$G227)</f>
        <v>0</v>
      </c>
      <c r="AV227" s="171">
        <f ca="1">SUMIFS(Покупка!AU$25:AU$150,Покупка!$F$25:$F$150,$F227,Покупка!$AC$25:$AC$150,$G227)</f>
        <v>0</v>
      </c>
      <c r="AW227" s="171">
        <f ca="1">SUMIFS(Покупка!AV$25:AV$150,Покупка!$F$25:$F$150,$F227,Покупка!$AC$25:$AC$150,$G227)</f>
        <v>0</v>
      </c>
      <c r="AX227" s="171">
        <f ca="1">SUMIFS(Покупка!AW$25:AW$150,Покупка!$F$25:$F$150,$F227,Покупка!$AC$25:$AC$150,$G227)</f>
        <v>0</v>
      </c>
      <c r="AY227" s="171">
        <f ca="1">SUMIFS(Покупка!AX$25:AX$150,Покупка!$F$25:$F$150,$F227,Покупка!$AC$25:$AC$150,$G227)</f>
        <v>0</v>
      </c>
      <c r="AZ227" s="171">
        <f ca="1">SUMIFS(Покупка!AY$25:AY$150,Покупка!$F$25:$F$150,$F227,Покупка!$AC$25:$AC$150,$G227)</f>
        <v>0</v>
      </c>
      <c r="BA227" s="171">
        <f ca="1">SUMIFS(Покупка!AZ$25:AZ$150,Покупка!$F$25:$F$150,$F227,Покупка!$AC$25:$AC$150,$G227)</f>
        <v>0</v>
      </c>
      <c r="BB227" s="171">
        <f ca="1">SUMIFS(Покупка!BA$25:BA$150,Покупка!$F$25:$F$150,$F227,Покупка!$AC$25:$AC$150,$G227)</f>
        <v>0</v>
      </c>
      <c r="BC227" s="171">
        <f ca="1">SUMIFS(Покупка!BB$25:BB$150,Покупка!$F$25:$F$150,$F227,Покупка!$AC$25:$AC$150,$G227)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1" t="str">
        <f ca="1">IF(IFERROR(INDEX(Покупка!$K$26:$L$150,MATCH($F227&amp;"1komm",Покупка!$K$26:$K$150,0),2),"")=0,"",IFERROR(INDEX(Покупка!$K$26:$L$150,MATCH($F227&amp;"1komm",Покупка!$K$26:$K$150,0),2),""))</f>
        <v/>
      </c>
      <c r="BP227" s="196"/>
      <c r="BS227" s="696" t="s">
        <v>2059</v>
      </c>
    </row>
    <row r="228" spans="1:75" ht="14.25" customHeight="1" x14ac:dyDescent="0.15">
      <c r="B228" s="15"/>
      <c r="C228" s="25"/>
      <c r="D228" s="25"/>
      <c r="E228" s="451">
        <v>15</v>
      </c>
      <c r="F228" s="3" t="str" cm="1">
        <f t="array" aca="1" ref="F228" ca="1">OFFSET(E228,-1,1)</f>
        <v>1</v>
      </c>
      <c r="G228" s="25" t="s">
        <v>1152</v>
      </c>
      <c r="H228" s="25"/>
      <c r="I228" s="25" t="s">
        <v>1686</v>
      </c>
      <c r="J228" s="25"/>
      <c r="K228" s="25" t="s">
        <v>1686</v>
      </c>
      <c r="L228" s="25"/>
      <c r="M228" s="25"/>
      <c r="N228" s="25"/>
      <c r="O228" s="25"/>
      <c r="P228" s="25"/>
      <c r="Q228" s="25"/>
      <c r="R228" s="25"/>
      <c r="S228" s="25"/>
      <c r="T228" s="353" t="b" cm="1">
        <f t="array" aca="1" ref="T228" ca="1">T227</f>
        <v>1</v>
      </c>
      <c r="U228" s="25"/>
      <c r="V228" s="25"/>
      <c r="X228" s="990"/>
      <c r="Z228" s="967"/>
      <c r="AB228" s="133" t="s">
        <v>2060</v>
      </c>
      <c r="AC228" s="134" t="s">
        <v>2061</v>
      </c>
      <c r="AD228" s="7" t="s">
        <v>828</v>
      </c>
      <c r="AE228" s="171">
        <f ca="1">SUMIFS(Покупка!AE$25:AE$150,Покупка!$F$25:$F$150,$F228,Покупка!$AC$25:$AC$150,$G228)</f>
        <v>0</v>
      </c>
      <c r="AF228" s="171">
        <f ca="1">SUMIFS(Покупка!AF$25:AF$150,Покупка!$F$25:$F$150,$F228,Покупка!$AC$25:$AC$150,$G228)</f>
        <v>0</v>
      </c>
      <c r="AG228" s="171">
        <f ca="1">SUMIFS(Покупка!AG$25:AG$150,Покупка!$F$25:$F$150,$F228,Покупка!$AC$25:$AC$150,$G228)</f>
        <v>0</v>
      </c>
      <c r="AH228" s="171">
        <f t="shared" ca="1" si="50"/>
        <v>0</v>
      </c>
      <c r="AI228" s="171">
        <f ca="1">SUMIFS(Покупка!AH$25:AH$150,Покупка!$F$25:$F$150,$F228,Покупка!$AC$25:$AC$150,$G228)</f>
        <v>0</v>
      </c>
      <c r="AJ228" s="171">
        <f ca="1">SUMIFS(Покупка!AI$25:AI$150,Покупка!$F$25:$F$150,$F228,Покупка!$AC$25:$AC$150,$G228)</f>
        <v>0</v>
      </c>
      <c r="AK228" s="171">
        <f ca="1">SUMIFS(Покупка!AJ$25:AJ$150,Покупка!$F$25:$F$150,$F228,Покупка!$AC$25:$AC$150,$G228)</f>
        <v>0</v>
      </c>
      <c r="AL228" s="171">
        <f ca="1">SUMIFS(Покупка!AK$25:AK$150,Покупка!$F$25:$F$150,$F228,Покупка!$AC$25:$AC$150,$G228)</f>
        <v>0</v>
      </c>
      <c r="AM228" s="171">
        <f ca="1">SUMIFS(Покупка!AL$25:AL$150,Покупка!$F$25:$F$150,$F228,Покупка!$AC$25:$AC$150,$G228)</f>
        <v>0</v>
      </c>
      <c r="AN228" s="171">
        <f ca="1">SUMIFS(Покупка!AM$25:AM$150,Покупка!$F$25:$F$150,$F228,Покупка!$AC$25:$AC$150,$G228)</f>
        <v>0</v>
      </c>
      <c r="AO228" s="171">
        <f ca="1">SUMIFS(Покупка!AN$25:AN$150,Покупка!$F$25:$F$150,$F228,Покупка!$AC$25:$AC$150,$G228)</f>
        <v>0</v>
      </c>
      <c r="AP228" s="171">
        <f ca="1">SUMIFS(Покупка!AO$25:AO$150,Покупка!$F$25:$F$150,$F228,Покупка!$AC$25:$AC$150,$G228)</f>
        <v>0</v>
      </c>
      <c r="AQ228" s="171">
        <f ca="1">SUMIFS(Покупка!AP$25:AP$150,Покупка!$F$25:$F$150,$F228,Покупка!$AC$25:$AC$150,$G228)</f>
        <v>0</v>
      </c>
      <c r="AR228" s="171">
        <f ca="1">SUMIFS(Покупка!AQ$25:AQ$150,Покупка!$F$25:$F$150,$F228,Покупка!$AC$25:$AC$150,$G228)</f>
        <v>0</v>
      </c>
      <c r="AS228" s="171">
        <f ca="1">SUMIFS(Покупка!AR$25:AR$150,Покупка!$F$25:$F$150,$F228,Покупка!$AC$25:$AC$150,$G228)</f>
        <v>0</v>
      </c>
      <c r="AT228" s="171">
        <f ca="1">SUMIFS(Покупка!AS$25:AS$150,Покупка!$F$25:$F$150,$F228,Покупка!$AC$25:$AC$150,$G228)</f>
        <v>0</v>
      </c>
      <c r="AU228" s="171">
        <f ca="1">SUMIFS(Покупка!AT$25:AT$150,Покупка!$F$25:$F$150,$F228,Покупка!$AC$25:$AC$150,$G228)</f>
        <v>0</v>
      </c>
      <c r="AV228" s="171">
        <f ca="1">SUMIFS(Покупка!AU$25:AU$150,Покупка!$F$25:$F$150,$F228,Покупка!$AC$25:$AC$150,$G228)</f>
        <v>0</v>
      </c>
      <c r="AW228" s="171">
        <f ca="1">SUMIFS(Покупка!AV$25:AV$150,Покупка!$F$25:$F$150,$F228,Покупка!$AC$25:$AC$150,$G228)</f>
        <v>0</v>
      </c>
      <c r="AX228" s="171">
        <f ca="1">SUMIFS(Покупка!AW$25:AW$150,Покупка!$F$25:$F$150,$F228,Покупка!$AC$25:$AC$150,$G228)</f>
        <v>0</v>
      </c>
      <c r="AY228" s="171">
        <f ca="1">SUMIFS(Покупка!AX$25:AX$150,Покупка!$F$25:$F$150,$F228,Покупка!$AC$25:$AC$150,$G228)</f>
        <v>0</v>
      </c>
      <c r="AZ228" s="171">
        <f ca="1">SUMIFS(Покупка!AY$25:AY$150,Покупка!$F$25:$F$150,$F228,Покупка!$AC$25:$AC$150,$G228)</f>
        <v>0</v>
      </c>
      <c r="BA228" s="171">
        <f ca="1">SUMIFS(Покупка!AZ$25:AZ$150,Покупка!$F$25:$F$150,$F228,Покупка!$AC$25:$AC$150,$G228)</f>
        <v>0</v>
      </c>
      <c r="BB228" s="171">
        <f ca="1">SUMIFS(Покупка!BA$25:BA$150,Покупка!$F$25:$F$150,$F228,Покупка!$AC$25:$AC$150,$G228)</f>
        <v>0</v>
      </c>
      <c r="BC228" s="171">
        <f ca="1">SUMIFS(Покупка!BB$25:BB$150,Покупка!$F$25:$F$150,$F228,Покупка!$AC$25:$AC$150,$G228)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1" t="str">
        <f ca="1">IF(IFERROR(INDEX(Покупка!$K$26:$L$150,MATCH($F228&amp;"8komm",Покупка!$K$26:$K$150,0),2),"")=0,"",IFERROR(INDEX(Покупка!$K$26:$L$150,MATCH($F228&amp;"8komm",Покупка!$K$26:$K$150,0),2),""))</f>
        <v/>
      </c>
      <c r="BP228" s="196"/>
      <c r="BS228" s="696" t="s">
        <v>1153</v>
      </c>
    </row>
    <row r="229" spans="1:75" ht="14.25" customHeight="1" x14ac:dyDescent="0.15">
      <c r="B229" s="15"/>
      <c r="C229" s="25"/>
      <c r="D229" s="25"/>
      <c r="E229" s="451">
        <v>15</v>
      </c>
      <c r="F229" s="3" t="str" cm="1">
        <f t="array" aca="1" ref="F229" ca="1">OFFSET(E229,-1,1)</f>
        <v>1</v>
      </c>
      <c r="G229" s="25"/>
      <c r="H229" s="25"/>
      <c r="I229" s="25" t="s">
        <v>2062</v>
      </c>
      <c r="J229" s="25"/>
      <c r="K229" s="25" t="s">
        <v>2062</v>
      </c>
      <c r="L229" s="25"/>
      <c r="M229" s="25"/>
      <c r="N229" s="25"/>
      <c r="O229" s="25"/>
      <c r="P229" s="25"/>
      <c r="Q229" s="25"/>
      <c r="R229" s="25"/>
      <c r="S229" s="25"/>
      <c r="T229" s="353" t="b" cm="1">
        <f t="array" aca="1" ref="T229" ca="1">T228</f>
        <v>1</v>
      </c>
      <c r="U229" s="25"/>
      <c r="V229" s="25"/>
      <c r="X229" s="990"/>
      <c r="Z229" s="967"/>
      <c r="AB229" s="133" t="s">
        <v>2063</v>
      </c>
      <c r="AC229" s="134" t="s">
        <v>2064</v>
      </c>
      <c r="AD229" s="7" t="s">
        <v>828</v>
      </c>
      <c r="AE229" s="128"/>
      <c r="AF229" s="128"/>
      <c r="AG229" s="128"/>
      <c r="AH229" s="171">
        <f t="shared" si="50"/>
        <v>0</v>
      </c>
      <c r="AI229" s="128"/>
      <c r="AJ229" s="128"/>
      <c r="AK229" s="778"/>
      <c r="AL229" s="778"/>
      <c r="AM229" s="128"/>
      <c r="AN229" s="128"/>
      <c r="AO229" s="128"/>
      <c r="AP229" s="128"/>
      <c r="AQ229" s="128"/>
      <c r="AR229" s="128"/>
      <c r="AS229" s="128"/>
      <c r="AT229" s="128"/>
      <c r="AU229" s="778"/>
      <c r="AV229" s="778"/>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6" t="s">
        <v>2065</v>
      </c>
    </row>
    <row r="230" spans="1:75" ht="14.25" customHeight="1" x14ac:dyDescent="0.15">
      <c r="B230" s="15"/>
      <c r="C230" s="25"/>
      <c r="D230" s="25"/>
      <c r="E230" s="451">
        <v>15</v>
      </c>
      <c r="F230" s="3" t="str" cm="1">
        <f t="array" aca="1" ref="F230" ca="1">OFFSET(E230,-1,1)</f>
        <v>1</v>
      </c>
      <c r="G230" s="25"/>
      <c r="H230" s="25"/>
      <c r="I230" s="25" t="s">
        <v>2066</v>
      </c>
      <c r="J230" s="25"/>
      <c r="K230" s="25" t="s">
        <v>2066</v>
      </c>
      <c r="L230" s="25"/>
      <c r="M230" s="25"/>
      <c r="N230" s="25"/>
      <c r="O230" s="25"/>
      <c r="P230" s="25"/>
      <c r="Q230" s="25"/>
      <c r="R230" s="25"/>
      <c r="S230" s="25"/>
      <c r="T230" s="353" t="b" cm="1">
        <f t="array" aca="1" ref="T230" ca="1">T229</f>
        <v>1</v>
      </c>
      <c r="U230" s="25"/>
      <c r="V230" s="25"/>
      <c r="X230" s="990"/>
      <c r="Z230" s="967"/>
      <c r="AB230" s="133" t="s">
        <v>2067</v>
      </c>
      <c r="AC230" s="134" t="s">
        <v>2068</v>
      </c>
      <c r="AD230" s="7" t="s">
        <v>828</v>
      </c>
      <c r="AE230" s="128"/>
      <c r="AF230" s="128"/>
      <c r="AG230" s="128"/>
      <c r="AH230" s="171">
        <f t="shared" si="50"/>
        <v>0</v>
      </c>
      <c r="AI230" s="128"/>
      <c r="AJ230" s="128"/>
      <c r="AK230" s="778"/>
      <c r="AL230" s="778"/>
      <c r="AM230" s="128"/>
      <c r="AN230" s="128"/>
      <c r="AO230" s="128"/>
      <c r="AP230" s="128"/>
      <c r="AQ230" s="128"/>
      <c r="AR230" s="128"/>
      <c r="AS230" s="128"/>
      <c r="AT230" s="128"/>
      <c r="AU230" s="778"/>
      <c r="AV230" s="778"/>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6" t="s">
        <v>2069</v>
      </c>
    </row>
    <row r="231" spans="1:75" ht="14.25" customHeight="1" x14ac:dyDescent="0.15">
      <c r="B231" s="15"/>
      <c r="C231" s="25"/>
      <c r="D231" s="25"/>
      <c r="E231" s="451">
        <v>15</v>
      </c>
      <c r="F231" s="3" t="str" cm="1">
        <f t="array" aca="1" ref="F231" ca="1">OFFSET(E231,-1,1)</f>
        <v>1</v>
      </c>
      <c r="G231" s="25" t="s">
        <v>1130</v>
      </c>
      <c r="H231" s="25"/>
      <c r="I231" s="25" t="s">
        <v>2070</v>
      </c>
      <c r="J231" s="25"/>
      <c r="K231" s="25" t="s">
        <v>2070</v>
      </c>
      <c r="L231" s="25" t="s">
        <v>1528</v>
      </c>
      <c r="M231" s="25"/>
      <c r="N231" s="25"/>
      <c r="O231" s="25"/>
      <c r="P231" s="25"/>
      <c r="Q231" s="25"/>
      <c r="R231" s="25"/>
      <c r="S231" s="25"/>
      <c r="T231" s="353" t="b" cm="1">
        <f t="array" aca="1" ref="T231" ca="1">T230</f>
        <v>1</v>
      </c>
      <c r="U231" s="25"/>
      <c r="V231" s="25"/>
      <c r="X231" s="990"/>
      <c r="Z231" s="967"/>
      <c r="AB231" s="133" t="s">
        <v>2071</v>
      </c>
      <c r="AC231" s="134" t="s">
        <v>2072</v>
      </c>
      <c r="AD231" s="7" t="s">
        <v>828</v>
      </c>
      <c r="AE231" s="171">
        <f ca="1">SUMIFS(Покупка!AE$25:AE$150,Покупка!$F$25:$F$150,$F231,Покупка!$AC$25:$AC$150,$G231)</f>
        <v>0</v>
      </c>
      <c r="AF231" s="171">
        <f ca="1">SUMIFS(Покупка!AF$25:AF$150,Покупка!$F$25:$F$150,$F231,Покупка!$AC$25:$AC$150,$G231)</f>
        <v>0</v>
      </c>
      <c r="AG231" s="171">
        <f ca="1">SUMIFS(Покупка!AG$25:AG$150,Покупка!$F$25:$F$150,$F231,Покупка!$AC$25:$AC$150,$G231)</f>
        <v>0</v>
      </c>
      <c r="AH231" s="171">
        <f t="shared" ca="1" si="50"/>
        <v>0</v>
      </c>
      <c r="AI231" s="171">
        <f ca="1">SUMIFS(Покупка!AH$25:AH$150,Покупка!$F$25:$F$150,$F231,Покупка!$AC$25:$AC$150,$G231)</f>
        <v>0</v>
      </c>
      <c r="AJ231" s="171">
        <f ca="1">SUMIFS(Покупка!AI$25:AI$150,Покупка!$F$25:$F$150,$F231,Покупка!$AC$25:$AC$150,$G231)</f>
        <v>0</v>
      </c>
      <c r="AK231" s="171">
        <f ca="1">SUMIFS(Покупка!AJ$25:AJ$150,Покупка!$F$25:$F$150,$F231,Покупка!$AC$25:$AC$150,$G231)</f>
        <v>0</v>
      </c>
      <c r="AL231" s="171">
        <f ca="1">SUMIFS(Покупка!AK$25:AK$150,Покупка!$F$25:$F$150,$F231,Покупка!$AC$25:$AC$150,$G231)</f>
        <v>0</v>
      </c>
      <c r="AM231" s="171">
        <f ca="1">SUMIFS(Покупка!AL$25:AL$150,Покупка!$F$25:$F$150,$F231,Покупка!$AC$25:$AC$150,$G231)</f>
        <v>0</v>
      </c>
      <c r="AN231" s="171">
        <f ca="1">SUMIFS(Покупка!AM$25:AM$150,Покупка!$F$25:$F$150,$F231,Покупка!$AC$25:$AC$150,$G231)</f>
        <v>0</v>
      </c>
      <c r="AO231" s="171">
        <f ca="1">SUMIFS(Покупка!AN$25:AN$150,Покупка!$F$25:$F$150,$F231,Покупка!$AC$25:$AC$150,$G231)</f>
        <v>0</v>
      </c>
      <c r="AP231" s="171">
        <f ca="1">SUMIFS(Покупка!AO$25:AO$150,Покупка!$F$25:$F$150,$F231,Покупка!$AC$25:$AC$150,$G231)</f>
        <v>0</v>
      </c>
      <c r="AQ231" s="171">
        <f ca="1">SUMIFS(Покупка!AP$25:AP$150,Покупка!$F$25:$F$150,$F231,Покупка!$AC$25:$AC$150,$G231)</f>
        <v>0</v>
      </c>
      <c r="AR231" s="171">
        <f ca="1">SUMIFS(Покупка!AQ$25:AQ$150,Покупка!$F$25:$F$150,$F231,Покупка!$AC$25:$AC$150,$G231)</f>
        <v>0</v>
      </c>
      <c r="AS231" s="171">
        <f ca="1">SUMIFS(Покупка!AR$25:AR$150,Покупка!$F$25:$F$150,$F231,Покупка!$AC$25:$AC$150,$G231)</f>
        <v>0</v>
      </c>
      <c r="AT231" s="171">
        <f ca="1">SUMIFS(Покупка!AS$25:AS$150,Покупка!$F$25:$F$150,$F231,Покупка!$AC$25:$AC$150,$G231)</f>
        <v>0</v>
      </c>
      <c r="AU231" s="171">
        <f ca="1">SUMIFS(Покупка!AT$25:AT$150,Покупка!$F$25:$F$150,$F231,Покупка!$AC$25:$AC$150,$G231)</f>
        <v>0</v>
      </c>
      <c r="AV231" s="171">
        <f ca="1">SUMIFS(Покупка!AU$25:AU$150,Покупка!$F$25:$F$150,$F231,Покупка!$AC$25:$AC$150,$G231)</f>
        <v>0</v>
      </c>
      <c r="AW231" s="171">
        <f ca="1">SUMIFS(Покупка!AV$25:AV$150,Покупка!$F$25:$F$150,$F231,Покупка!$AC$25:$AC$150,$G231)</f>
        <v>0</v>
      </c>
      <c r="AX231" s="171">
        <f ca="1">SUMIFS(Покупка!AW$25:AW$150,Покупка!$F$25:$F$150,$F231,Покупка!$AC$25:$AC$150,$G231)</f>
        <v>0</v>
      </c>
      <c r="AY231" s="171">
        <f ca="1">SUMIFS(Покупка!AX$25:AX$150,Покупка!$F$25:$F$150,$F231,Покупка!$AC$25:$AC$150,$G231)</f>
        <v>0</v>
      </c>
      <c r="AZ231" s="171">
        <f ca="1">SUMIFS(Покупка!AY$25:AY$150,Покупка!$F$25:$F$150,$F231,Покупка!$AC$25:$AC$150,$G231)</f>
        <v>0</v>
      </c>
      <c r="BA231" s="171">
        <f ca="1">SUMIFS(Покупка!AZ$25:AZ$150,Покупка!$F$25:$F$150,$F231,Покупка!$AC$25:$AC$150,$G231)</f>
        <v>0</v>
      </c>
      <c r="BB231" s="171">
        <f ca="1">SUMIFS(Покупка!BA$25:BA$150,Покупка!$F$25:$F$150,$F231,Покупка!$AC$25:$AC$150,$G231)</f>
        <v>0</v>
      </c>
      <c r="BC231" s="171">
        <f ca="1">SUMIFS(Покупка!BB$25:BB$150,Покупка!$F$25:$F$150,$F231,Покупка!$AC$25:$AC$150,$G231)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601" t="str">
        <f ca="1">IF(IFERROR(INDEX(Покупка!$K$26:$L$150,MATCH($F231&amp;"3komm",Покупка!$K$26:$K$150,0),2),"")=0,"",IFERROR(INDEX(Покупка!$K$26:$L$150,MATCH($F231&amp;"3komm",Покупка!$K$26:$K$150,0),2),""))</f>
        <v/>
      </c>
      <c r="BP231" s="196"/>
      <c r="BS231" s="696" t="s">
        <v>1763</v>
      </c>
    </row>
    <row r="232" spans="1:75" ht="14.25" customHeight="1" x14ac:dyDescent="0.15">
      <c r="B232" s="15"/>
      <c r="C232" s="25"/>
      <c r="D232" s="25"/>
      <c r="E232" s="451">
        <v>15</v>
      </c>
      <c r="F232" s="3" t="str" cm="1">
        <f t="array" aca="1" ref="F232" ca="1">OFFSET(E232,-1,1)</f>
        <v>1</v>
      </c>
      <c r="G232" s="25" t="s">
        <v>1136</v>
      </c>
      <c r="H232" s="25"/>
      <c r="I232" s="25" t="s">
        <v>2073</v>
      </c>
      <c r="J232" s="25"/>
      <c r="K232" s="25" t="s">
        <v>2073</v>
      </c>
      <c r="L232" s="25" t="s">
        <v>1533</v>
      </c>
      <c r="M232" s="25"/>
      <c r="N232" s="25"/>
      <c r="O232" s="25"/>
      <c r="P232" s="25"/>
      <c r="Q232" s="25"/>
      <c r="R232" s="25"/>
      <c r="S232" s="25"/>
      <c r="T232" s="353" t="b" cm="1">
        <f t="array" aca="1" ref="T232" ca="1">T231</f>
        <v>1</v>
      </c>
      <c r="U232" s="25"/>
      <c r="V232" s="25"/>
      <c r="X232" s="990"/>
      <c r="Z232" s="967"/>
      <c r="AB232" s="133" t="s">
        <v>2074</v>
      </c>
      <c r="AC232" s="134" t="s">
        <v>2075</v>
      </c>
      <c r="AD232" s="7" t="s">
        <v>828</v>
      </c>
      <c r="AE232" s="171">
        <f ca="1">SUMIFS(Покупка!AE$25:AE$150,Покупка!$F$25:$F$150,$F232,Покупка!$AC$25:$AC$150,$G232)</f>
        <v>0</v>
      </c>
      <c r="AF232" s="171">
        <f ca="1">SUMIFS(Покупка!AF$25:AF$150,Покупка!$F$25:$F$150,$F232,Покупка!$AC$25:$AC$150,$G232)</f>
        <v>0</v>
      </c>
      <c r="AG232" s="171">
        <f ca="1">SUMIFS(Покупка!AG$25:AG$150,Покупка!$F$25:$F$150,$F232,Покупка!$AC$25:$AC$150,$G232)</f>
        <v>0</v>
      </c>
      <c r="AH232" s="171">
        <f t="shared" ca="1" si="50"/>
        <v>0</v>
      </c>
      <c r="AI232" s="171">
        <f ca="1">SUMIFS(Покупка!AH$25:AH$150,Покупка!$F$25:$F$150,$F232,Покупка!$AC$25:$AC$150,$G232)</f>
        <v>0</v>
      </c>
      <c r="AJ232" s="171">
        <f ca="1">SUMIFS(Покупка!AI$25:AI$150,Покупка!$F$25:$F$150,$F232,Покупка!$AC$25:$AC$150,$G232)</f>
        <v>0</v>
      </c>
      <c r="AK232" s="171">
        <f ca="1">SUMIFS(Покупка!AJ$25:AJ$150,Покупка!$F$25:$F$150,$F232,Покупка!$AC$25:$AC$150,$G232)</f>
        <v>0</v>
      </c>
      <c r="AL232" s="171">
        <f ca="1">SUMIFS(Покупка!AK$25:AK$150,Покупка!$F$25:$F$150,$F232,Покупка!$AC$25:$AC$150,$G232)</f>
        <v>0</v>
      </c>
      <c r="AM232" s="171">
        <f ca="1">SUMIFS(Покупка!AL$25:AL$150,Покупка!$F$25:$F$150,$F232,Покупка!$AC$25:$AC$150,$G232)</f>
        <v>0</v>
      </c>
      <c r="AN232" s="171">
        <f ca="1">SUMIFS(Покупка!AM$25:AM$150,Покупка!$F$25:$F$150,$F232,Покупка!$AC$25:$AC$150,$G232)</f>
        <v>0</v>
      </c>
      <c r="AO232" s="171">
        <f ca="1">SUMIFS(Покупка!AN$25:AN$150,Покупка!$F$25:$F$150,$F232,Покупка!$AC$25:$AC$150,$G232)</f>
        <v>0</v>
      </c>
      <c r="AP232" s="171">
        <f ca="1">SUMIFS(Покупка!AO$25:AO$150,Покупка!$F$25:$F$150,$F232,Покупка!$AC$25:$AC$150,$G232)</f>
        <v>0</v>
      </c>
      <c r="AQ232" s="171">
        <f ca="1">SUMIFS(Покупка!AP$25:AP$150,Покупка!$F$25:$F$150,$F232,Покупка!$AC$25:$AC$150,$G232)</f>
        <v>0</v>
      </c>
      <c r="AR232" s="171">
        <f ca="1">SUMIFS(Покупка!AQ$25:AQ$150,Покупка!$F$25:$F$150,$F232,Покупка!$AC$25:$AC$150,$G232)</f>
        <v>0</v>
      </c>
      <c r="AS232" s="171">
        <f ca="1">SUMIFS(Покупка!AR$25:AR$150,Покупка!$F$25:$F$150,$F232,Покупка!$AC$25:$AC$150,$G232)</f>
        <v>0</v>
      </c>
      <c r="AT232" s="171">
        <f ca="1">SUMIFS(Покупка!AS$25:AS$150,Покупка!$F$25:$F$150,$F232,Покупка!$AC$25:$AC$150,$G232)</f>
        <v>0</v>
      </c>
      <c r="AU232" s="171">
        <f ca="1">SUMIFS(Покупка!AT$25:AT$150,Покупка!$F$25:$F$150,$F232,Покупка!$AC$25:$AC$150,$G232)</f>
        <v>0</v>
      </c>
      <c r="AV232" s="171">
        <f ca="1">SUMIFS(Покупка!AU$25:AU$150,Покупка!$F$25:$F$150,$F232,Покупка!$AC$25:$AC$150,$G232)</f>
        <v>0</v>
      </c>
      <c r="AW232" s="171">
        <f ca="1">SUMIFS(Покупка!AV$25:AV$150,Покупка!$F$25:$F$150,$F232,Покупка!$AC$25:$AC$150,$G232)</f>
        <v>0</v>
      </c>
      <c r="AX232" s="171">
        <f ca="1">SUMIFS(Покупка!AW$25:AW$150,Покупка!$F$25:$F$150,$F232,Покупка!$AC$25:$AC$150,$G232)</f>
        <v>0</v>
      </c>
      <c r="AY232" s="171">
        <f ca="1">SUMIFS(Покупка!AX$25:AX$150,Покупка!$F$25:$F$150,$F232,Покупка!$AC$25:$AC$150,$G232)</f>
        <v>0</v>
      </c>
      <c r="AZ232" s="171">
        <f ca="1">SUMIFS(Покупка!AY$25:AY$150,Покупка!$F$25:$F$150,$F232,Покупка!$AC$25:$AC$150,$G232)</f>
        <v>0</v>
      </c>
      <c r="BA232" s="171">
        <f ca="1">SUMIFS(Покупка!AZ$25:AZ$150,Покупка!$F$25:$F$150,$F232,Покупка!$AC$25:$AC$150,$G232)</f>
        <v>0</v>
      </c>
      <c r="BB232" s="171">
        <f ca="1">SUMIFS(Покупка!BA$25:BA$150,Покупка!$F$25:$F$150,$F232,Покупка!$AC$25:$AC$150,$G232)</f>
        <v>0</v>
      </c>
      <c r="BC232" s="171">
        <f ca="1">SUMIFS(Покупка!BB$25:BB$150,Покупка!$F$25:$F$150,$F232,Покупка!$AC$25:$AC$150,$G232)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1" t="str">
        <f ca="1">IF(IFERROR(INDEX(Покупка!$K$26:$L$150,MATCH($F232&amp;"4komm",Покупка!$K$26:$K$150,0),2),"")=0,"",IFERROR(INDEX(Покупка!$K$26:$L$150,MATCH($F231&amp;"3komm",Покупка!$K$26:$K$150,0),2),""))</f>
        <v/>
      </c>
      <c r="BP232" s="196"/>
      <c r="BS232" s="696" t="s">
        <v>1766</v>
      </c>
    </row>
    <row r="233" spans="1:75" ht="14.25" customHeight="1" x14ac:dyDescent="0.15">
      <c r="B233" s="15"/>
      <c r="C233" s="25"/>
      <c r="D233" s="25"/>
      <c r="E233" s="451">
        <v>15</v>
      </c>
      <c r="F233" s="3" t="str" cm="1">
        <f t="array" aca="1" ref="F233" ca="1">OFFSET(E233,-1,1)</f>
        <v>1</v>
      </c>
      <c r="G233" s="25" t="s">
        <v>1142</v>
      </c>
      <c r="H233" s="25"/>
      <c r="I233" s="25" t="s">
        <v>2076</v>
      </c>
      <c r="J233" s="25"/>
      <c r="K233" s="25" t="s">
        <v>2076</v>
      </c>
      <c r="L233" s="25" t="s">
        <v>1543</v>
      </c>
      <c r="M233" s="25"/>
      <c r="N233" s="25"/>
      <c r="O233" s="25"/>
      <c r="P233" s="25"/>
      <c r="Q233" s="25"/>
      <c r="R233" s="25"/>
      <c r="S233" s="25"/>
      <c r="T233" s="353" t="b" cm="1">
        <f t="array" aca="1" ref="T233" ca="1">T232</f>
        <v>1</v>
      </c>
      <c r="U233" s="25"/>
      <c r="V233" s="25"/>
      <c r="X233" s="990"/>
      <c r="Z233" s="967"/>
      <c r="AB233" s="133" t="s">
        <v>2077</v>
      </c>
      <c r="AC233" s="134" t="s">
        <v>2078</v>
      </c>
      <c r="AD233" s="7" t="s">
        <v>828</v>
      </c>
      <c r="AE233" s="171">
        <f ca="1">SUMIFS(Покупка!AE$25:AE$150,Покупка!$F$25:$F$150,$F233,Покупка!$AC$25:$AC$150,$G233)</f>
        <v>0</v>
      </c>
      <c r="AF233" s="171">
        <f ca="1">SUMIFS(Покупка!AF$25:AF$150,Покупка!$F$25:$F$150,$F233,Покупка!$AC$25:$AC$150,$G233)</f>
        <v>0</v>
      </c>
      <c r="AG233" s="171">
        <f ca="1">SUMIFS(Покупка!AG$25:AG$150,Покупка!$F$25:$F$150,$F233,Покупка!$AC$25:$AC$150,$G233)</f>
        <v>0</v>
      </c>
      <c r="AH233" s="171">
        <f t="shared" ca="1" si="50"/>
        <v>0</v>
      </c>
      <c r="AI233" s="171">
        <f ca="1">SUMIFS(Покупка!AH$25:AH$150,Покупка!$F$25:$F$150,$F233,Покупка!$AC$25:$AC$150,$G233)</f>
        <v>0</v>
      </c>
      <c r="AJ233" s="171">
        <f ca="1">SUMIFS(Покупка!AI$25:AI$150,Покупка!$F$25:$F$150,$F233,Покупка!$AC$25:$AC$150,$G233)</f>
        <v>0</v>
      </c>
      <c r="AK233" s="171">
        <f ca="1">SUMIFS(Покупка!AJ$25:AJ$150,Покупка!$F$25:$F$150,$F233,Покупка!$AC$25:$AC$150,$G233)</f>
        <v>0</v>
      </c>
      <c r="AL233" s="171">
        <f ca="1">SUMIFS(Покупка!AK$25:AK$150,Покупка!$F$25:$F$150,$F233,Покупка!$AC$25:$AC$150,$G233)</f>
        <v>0</v>
      </c>
      <c r="AM233" s="171">
        <f ca="1">SUMIFS(Покупка!AL$25:AL$150,Покупка!$F$25:$F$150,$F233,Покупка!$AC$25:$AC$150,$G233)</f>
        <v>0</v>
      </c>
      <c r="AN233" s="171">
        <f ca="1">SUMIFS(Покупка!AM$25:AM$150,Покупка!$F$25:$F$150,$F233,Покупка!$AC$25:$AC$150,$G233)</f>
        <v>0</v>
      </c>
      <c r="AO233" s="171">
        <f ca="1">SUMIFS(Покупка!AN$25:AN$150,Покупка!$F$25:$F$150,$F233,Покупка!$AC$25:$AC$150,$G233)</f>
        <v>0</v>
      </c>
      <c r="AP233" s="171">
        <f ca="1">SUMIFS(Покупка!AO$25:AO$150,Покупка!$F$25:$F$150,$F233,Покупка!$AC$25:$AC$150,$G233)</f>
        <v>0</v>
      </c>
      <c r="AQ233" s="171">
        <f ca="1">SUMIFS(Покупка!AP$25:AP$150,Покупка!$F$25:$F$150,$F233,Покупка!$AC$25:$AC$150,$G233)</f>
        <v>0</v>
      </c>
      <c r="AR233" s="171">
        <f ca="1">SUMIFS(Покупка!AQ$25:AQ$150,Покупка!$F$25:$F$150,$F233,Покупка!$AC$25:$AC$150,$G233)</f>
        <v>0</v>
      </c>
      <c r="AS233" s="171">
        <f ca="1">SUMIFS(Покупка!AR$25:AR$150,Покупка!$F$25:$F$150,$F233,Покупка!$AC$25:$AC$150,$G233)</f>
        <v>0</v>
      </c>
      <c r="AT233" s="171">
        <f ca="1">SUMIFS(Покупка!AS$25:AS$150,Покупка!$F$25:$F$150,$F233,Покупка!$AC$25:$AC$150,$G233)</f>
        <v>0</v>
      </c>
      <c r="AU233" s="171">
        <f ca="1">SUMIFS(Покупка!AT$25:AT$150,Покупка!$F$25:$F$150,$F233,Покупка!$AC$25:$AC$150,$G233)</f>
        <v>0</v>
      </c>
      <c r="AV233" s="171">
        <f ca="1">SUMIFS(Покупка!AU$25:AU$150,Покупка!$F$25:$F$150,$F233,Покупка!$AC$25:$AC$150,$G233)</f>
        <v>0</v>
      </c>
      <c r="AW233" s="171">
        <f ca="1">SUMIFS(Покупка!AV$25:AV$150,Покупка!$F$25:$F$150,$F233,Покупка!$AC$25:$AC$150,$G233)</f>
        <v>0</v>
      </c>
      <c r="AX233" s="171">
        <f ca="1">SUMIFS(Покупка!AW$25:AW$150,Покупка!$F$25:$F$150,$F233,Покупка!$AC$25:$AC$150,$G233)</f>
        <v>0</v>
      </c>
      <c r="AY233" s="171">
        <f ca="1">SUMIFS(Покупка!AX$25:AX$150,Покупка!$F$25:$F$150,$F233,Покупка!$AC$25:$AC$150,$G233)</f>
        <v>0</v>
      </c>
      <c r="AZ233" s="171">
        <f ca="1">SUMIFS(Покупка!AY$25:AY$150,Покупка!$F$25:$F$150,$F233,Покупка!$AC$25:$AC$150,$G233)</f>
        <v>0</v>
      </c>
      <c r="BA233" s="171">
        <f ca="1">SUMIFS(Покупка!AZ$25:AZ$150,Покупка!$F$25:$F$150,$F233,Покупка!$AC$25:$AC$150,$G233)</f>
        <v>0</v>
      </c>
      <c r="BB233" s="171">
        <f ca="1">SUMIFS(Покупка!BA$25:BA$150,Покупка!$F$25:$F$150,$F233,Покупка!$AC$25:$AC$150,$G233)</f>
        <v>0</v>
      </c>
      <c r="BC233" s="171">
        <f ca="1">SUMIFS(Покупка!BB$25:BB$150,Покупка!$F$25:$F$150,$F233,Покупка!$AC$25:$AC$150,$G233)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1" t="str">
        <f ca="1">IF(IFERROR(INDEX(Покупка!$K$26:$L$150,MATCH($F233&amp;"5komm",Покупка!$K$26:$K$150,0),2),"")=0,"",IFERROR(INDEX(Покупка!$K$26:$L$150,MATCH($F233&amp;"5komm",Покупка!$K$26:$K$150,0),2),""))</f>
        <v/>
      </c>
      <c r="BP233" s="196"/>
      <c r="BS233" s="696" t="s">
        <v>1769</v>
      </c>
    </row>
    <row r="234" spans="1:75" s="376" customFormat="1" ht="14.25" customHeight="1" x14ac:dyDescent="0.15">
      <c r="B234" s="15"/>
      <c r="C234" s="25"/>
      <c r="D234" s="25"/>
      <c r="E234" s="451">
        <v>15</v>
      </c>
      <c r="F234" s="3" t="str" cm="1">
        <f t="array" aca="1" ref="F234" ca="1">OFFSET(E234,-1,1)</f>
        <v>1</v>
      </c>
      <c r="G234" s="25" t="s">
        <v>1154</v>
      </c>
      <c r="H234" s="25"/>
      <c r="I234" s="25"/>
      <c r="J234" s="25"/>
      <c r="K234" s="25"/>
      <c r="L234" s="25" t="s">
        <v>1510</v>
      </c>
      <c r="M234" s="25"/>
      <c r="N234" s="25"/>
      <c r="O234" s="25"/>
      <c r="P234" s="25"/>
      <c r="Q234" s="25"/>
      <c r="R234" s="25"/>
      <c r="S234" s="25"/>
      <c r="T234" s="353" t="b" cm="1">
        <f t="array" aca="1" ref="T234" ca="1">T233</f>
        <v>1</v>
      </c>
      <c r="U234" s="25"/>
      <c r="V234" s="25"/>
      <c r="X234" s="990"/>
      <c r="Z234" s="967"/>
      <c r="AB234" s="133" t="s">
        <v>2079</v>
      </c>
      <c r="AC234" s="134" t="s">
        <v>2080</v>
      </c>
      <c r="AD234" s="7" t="s">
        <v>828</v>
      </c>
      <c r="AE234" s="171">
        <f ca="1">SUMIFS(Покупка!AE$25:AE$150,Покупка!$F$25:$F$150,$F234,Покупка!$AC$25:$AC$150,$G234)</f>
        <v>0</v>
      </c>
      <c r="AF234" s="171">
        <f ca="1">SUMIFS(Покупка!AF$25:AF$150,Покупка!$F$25:$F$150,$F234,Покупка!$AC$25:$AC$150,$G234)</f>
        <v>0</v>
      </c>
      <c r="AG234" s="171">
        <f ca="1">SUMIFS(Покупка!AG$25:AG$150,Покупка!$F$25:$F$150,$F234,Покупка!$AC$25:$AC$150,$G234)</f>
        <v>0</v>
      </c>
      <c r="AH234" s="171">
        <f t="shared" ca="1" si="50"/>
        <v>0</v>
      </c>
      <c r="AI234" s="171">
        <f ca="1">SUMIFS(Покупка!AH$25:AH$150,Покупка!$F$25:$F$150,$F234,Покупка!$AC$25:$AC$150,$G234)</f>
        <v>0</v>
      </c>
      <c r="AJ234" s="171">
        <f ca="1">SUMIFS(Покупка!AI$25:AI$150,Покупка!$F$25:$F$150,$F234,Покупка!$AC$25:$AC$150,$G234)</f>
        <v>0</v>
      </c>
      <c r="AK234" s="171">
        <f ca="1">SUMIFS(Покупка!AJ$25:AJ$150,Покупка!$F$25:$F$150,$F234,Покупка!$AC$25:$AC$150,$G234)</f>
        <v>0</v>
      </c>
      <c r="AL234" s="171">
        <f ca="1">SUMIFS(Покупка!AK$25:AK$150,Покупка!$F$25:$F$150,$F234,Покупка!$AC$25:$AC$150,$G234)</f>
        <v>0</v>
      </c>
      <c r="AM234" s="171">
        <f ca="1">SUMIFS(Покупка!AL$25:AL$150,Покупка!$F$25:$F$150,$F234,Покупка!$AC$25:$AC$150,$G234)</f>
        <v>0</v>
      </c>
      <c r="AN234" s="171">
        <f ca="1">SUMIFS(Покупка!AM$25:AM$150,Покупка!$F$25:$F$150,$F234,Покупка!$AC$25:$AC$150,$G234)</f>
        <v>0</v>
      </c>
      <c r="AO234" s="171">
        <f ca="1">SUMIFS(Покупка!AN$25:AN$150,Покупка!$F$25:$F$150,$F234,Покупка!$AC$25:$AC$150,$G234)</f>
        <v>0</v>
      </c>
      <c r="AP234" s="171">
        <f ca="1">SUMIFS(Покупка!AO$25:AO$150,Покупка!$F$25:$F$150,$F234,Покупка!$AC$25:$AC$150,$G234)</f>
        <v>0</v>
      </c>
      <c r="AQ234" s="171">
        <f ca="1">SUMIFS(Покупка!AP$25:AP$150,Покупка!$F$25:$F$150,$F234,Покупка!$AC$25:$AC$150,$G234)</f>
        <v>0</v>
      </c>
      <c r="AR234" s="171">
        <f ca="1">SUMIFS(Покупка!AQ$25:AQ$150,Покупка!$F$25:$F$150,$F234,Покупка!$AC$25:$AC$150,$G234)</f>
        <v>0</v>
      </c>
      <c r="AS234" s="171">
        <f ca="1">SUMIFS(Покупка!AR$25:AR$150,Покупка!$F$25:$F$150,$F234,Покупка!$AC$25:$AC$150,$G234)</f>
        <v>0</v>
      </c>
      <c r="AT234" s="171">
        <f ca="1">SUMIFS(Покупка!AS$25:AS$150,Покупка!$F$25:$F$150,$F234,Покупка!$AC$25:$AC$150,$G234)</f>
        <v>0</v>
      </c>
      <c r="AU234" s="171">
        <f ca="1">SUMIFS(Покупка!AT$25:AT$150,Покупка!$F$25:$F$150,$F234,Покупка!$AC$25:$AC$150,$G234)</f>
        <v>0</v>
      </c>
      <c r="AV234" s="171">
        <f ca="1">SUMIFS(Покупка!AU$25:AU$150,Покупка!$F$25:$F$150,$F234,Покупка!$AC$25:$AC$150,$G234)</f>
        <v>0</v>
      </c>
      <c r="AW234" s="171">
        <f ca="1">SUMIFS(Покупка!AV$25:AV$150,Покупка!$F$25:$F$150,$F234,Покупка!$AC$25:$AC$150,$G234)</f>
        <v>0</v>
      </c>
      <c r="AX234" s="171">
        <f ca="1">SUMIFS(Покупка!AW$25:AW$150,Покупка!$F$25:$F$150,$F234,Покупка!$AC$25:$AC$150,$G234)</f>
        <v>0</v>
      </c>
      <c r="AY234" s="171">
        <f ca="1">SUMIFS(Покупка!AX$25:AX$150,Покупка!$F$25:$F$150,$F234,Покупка!$AC$25:$AC$150,$G234)</f>
        <v>0</v>
      </c>
      <c r="AZ234" s="171">
        <f ca="1">SUMIFS(Покупка!AY$25:AY$150,Покупка!$F$25:$F$150,$F234,Покупка!$AC$25:$AC$150,$G234)</f>
        <v>0</v>
      </c>
      <c r="BA234" s="171">
        <f ca="1">SUMIFS(Покупка!AZ$25:AZ$150,Покупка!$F$25:$F$150,$F234,Покупка!$AC$25:$AC$150,$G234)</f>
        <v>0</v>
      </c>
      <c r="BB234" s="171">
        <f ca="1">SUMIFS(Покупка!BA$25:BA$150,Покупка!$F$25:$F$150,$F234,Покупка!$AC$25:$AC$150,$G234)</f>
        <v>0</v>
      </c>
      <c r="BC234" s="171">
        <f ca="1">SUMIFS(Покупка!BB$25:BB$150,Покупка!$F$25:$F$150,$F234,Покупка!$AC$25:$AC$150,$G234)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1" t="str">
        <f ca="1">IF(IFERROR(INDEX(Покупка!$K$26:$L$150,MATCH($F234&amp;"9komm",Покупка!$K$26:$K$150,0),2),"")=0,"",IFERROR(INDEX(Покупка!$K$26:$L$150,MATCH($F234&amp;"9komm",Покупка!$K$26:$K$150,0),2),""))</f>
        <v/>
      </c>
      <c r="BP234" s="196"/>
      <c r="BS234" s="696" t="s">
        <v>1155</v>
      </c>
      <c r="BT234" s="696"/>
      <c r="BU234" s="696"/>
      <c r="BV234" s="507"/>
      <c r="BW234" s="507"/>
    </row>
    <row r="235" spans="1:75" ht="48" customHeight="1" x14ac:dyDescent="0.15">
      <c r="B235" s="15"/>
      <c r="C235" s="25"/>
      <c r="D235" s="25"/>
      <c r="E235" s="451">
        <v>15</v>
      </c>
      <c r="F235" s="3" t="str" cm="1">
        <f t="array" aca="1" ref="F235" ca="1">OFFSET(E235,-1,1)</f>
        <v>1</v>
      </c>
      <c r="G235" s="25"/>
      <c r="H235" s="25"/>
      <c r="I235" s="25" t="s">
        <v>503</v>
      </c>
      <c r="J235" s="25"/>
      <c r="K235" s="25" t="s">
        <v>503</v>
      </c>
      <c r="L235" s="25"/>
      <c r="M235" s="25"/>
      <c r="N235" s="25"/>
      <c r="O235" s="25"/>
      <c r="P235" s="25"/>
      <c r="Q235" s="25"/>
      <c r="R235" s="25"/>
      <c r="S235" s="25"/>
      <c r="T235" s="353" t="b" cm="1">
        <f t="array" aca="1" ref="T235" ca="1">T234</f>
        <v>1</v>
      </c>
      <c r="U235" s="25"/>
      <c r="V235" s="25"/>
      <c r="X235" s="990"/>
      <c r="Z235" s="967"/>
      <c r="AB235" s="133" t="s">
        <v>565</v>
      </c>
      <c r="AC235" s="127" t="s">
        <v>2081</v>
      </c>
      <c r="AD235" s="99" t="s">
        <v>828</v>
      </c>
      <c r="AE235" s="171">
        <f ca="1">SUMIFS('Сырье и материалы'!AE$25:AE$48,'Сырье и материалы'!$F$25:$F$48,$F235,'Сырье и материалы'!$AC$25:$AC$48,"Всего по тарифу")</f>
        <v>1270.56673555</v>
      </c>
      <c r="AF235" s="171">
        <f ca="1">SUMIFS('Сырье и материалы'!AF$25:AF$48,'Сырье и материалы'!$F$25:$F$48,$F235,'Сырье и материалы'!$AC$25:$AC$48,"Всего по тарифу")</f>
        <v>2049.0230507280003</v>
      </c>
      <c r="AG235" s="171">
        <f ca="1">SUMIFS('Сырье и материалы'!AG$25:AG$48,'Сырье и материалы'!$F$25:$F$48,$F235,'Сырье и материалы'!$AC$25:$AC$48,"Всего по тарифу")</f>
        <v>2049.0230507280003</v>
      </c>
      <c r="AH235" s="171">
        <f t="shared" ca="1" si="50"/>
        <v>0</v>
      </c>
      <c r="AI235" s="171">
        <f ca="1">SUMIFS('Сырье и материалы'!AH$25:AH$48,'Сырье и материалы'!$F$25:$F$48,$F235,'Сырье и материалы'!$AC$25:$AC$48,"Всего по тарифу")</f>
        <v>1559.75</v>
      </c>
      <c r="AJ235" s="171">
        <f ca="1">SUMIFS('Сырье и материалы'!AI$25:AI$48,'Сырье и материалы'!$F$25:$F$48,$F235,'Сырье и материалы'!$AC$25:$AC$48,"Всего по тарифу")</f>
        <v>2908.8658071249997</v>
      </c>
      <c r="AK235" s="171">
        <f ca="1">SUMIFS('Сырье и материалы'!AJ$25:AJ$48,'Сырье и материалы'!$F$25:$F$48,$F235,'Сырье и материалы'!$AC$25:$AC$48,"Всего по тарифу")</f>
        <v>0</v>
      </c>
      <c r="AL235" s="171">
        <f ca="1">SUMIFS('Сырье и материалы'!AK$25:AK$48,'Сырье и материалы'!$F$25:$F$48,$F235,'Сырье и материалы'!$AC$25:$AC$48,"Всего по тарифу")</f>
        <v>0</v>
      </c>
      <c r="AM235" s="171">
        <f ca="1">SUMIFS('Сырье и материалы'!AL$25:AL$48,'Сырье и материалы'!$F$25:$F$48,$F235,'Сырье и материалы'!$AC$25:$AC$48,"Всего по тарифу")</f>
        <v>0</v>
      </c>
      <c r="AN235" s="171">
        <f ca="1">SUMIFS('Сырье и материалы'!AM$25:AM$48,'Сырье и материалы'!$F$25:$F$48,$F235,'Сырье и материалы'!$AC$25:$AC$48,"Всего по тарифу")</f>
        <v>0</v>
      </c>
      <c r="AO235" s="171">
        <f ca="1">SUMIFS('Сырье и материалы'!AN$25:AN$48,'Сырье и материалы'!$F$25:$F$48,$F235,'Сырье и материалы'!$AC$25:$AC$48,"Всего по тарифу")</f>
        <v>0</v>
      </c>
      <c r="AP235" s="171">
        <f ca="1">SUMIFS('Сырье и материалы'!AO$25:AO$48,'Сырье и материалы'!$F$25:$F$48,$F235,'Сырье и материалы'!$AC$25:$AC$48,"Всего по тарифу")</f>
        <v>0</v>
      </c>
      <c r="AQ235" s="171">
        <f ca="1">SUMIFS('Сырье и материалы'!AP$25:AP$48,'Сырье и материалы'!$F$25:$F$48,$F235,'Сырье и материалы'!$AC$25:$AC$48,"Всего по тарифу")</f>
        <v>0</v>
      </c>
      <c r="AR235" s="171">
        <f ca="1">SUMIFS('Сырье и материалы'!AQ$25:AQ$48,'Сырье и материалы'!$F$25:$F$48,$F235,'Сырье и материалы'!$AC$25:$AC$48,"Всего по тарифу")</f>
        <v>0</v>
      </c>
      <c r="AS235" s="171">
        <f ca="1">SUMIFS('Сырье и материалы'!AR$25:AR$48,'Сырье и материалы'!$F$25:$F$48,$F235,'Сырье и материалы'!$AC$25:$AC$48,"Всего по тарифу")</f>
        <v>0</v>
      </c>
      <c r="AT235" s="171">
        <f ca="1">SUMIFS('Сырье и материалы'!AS$25:AS$48,'Сырье и материалы'!$F$25:$F$48,$F235,'Сырье и материалы'!$AC$25:$AC$48,"Всего по тарифу")</f>
        <v>1727.3738144867002</v>
      </c>
      <c r="AU235" s="171">
        <f ca="1">SUMIFS('Сырье и материалы'!AT$25:AT$48,'Сырье и материалы'!$F$25:$F$48,$F235,'Сырье и материалы'!$AC$25:$AC$48,"Всего по тарифу")</f>
        <v>0</v>
      </c>
      <c r="AV235" s="171">
        <f ca="1">SUMIFS('Сырье и материалы'!AU$25:AU$48,'Сырье и материалы'!$F$25:$F$48,$F235,'Сырье и материалы'!$AC$25:$AC$48,"Всего по тарифу")</f>
        <v>0</v>
      </c>
      <c r="AW235" s="171">
        <f ca="1">SUMIFS('Сырье и материалы'!AV$25:AV$48,'Сырье и материалы'!$F$25:$F$48,$F235,'Сырье и материалы'!$AC$25:$AC$48,"Всего по тарифу")</f>
        <v>0</v>
      </c>
      <c r="AX235" s="171">
        <f ca="1">SUMIFS('Сырье и материалы'!AW$25:AW$48,'Сырье и материалы'!$F$25:$F$48,$F235,'Сырье и материалы'!$AC$25:$AC$48,"Всего по тарифу")</f>
        <v>0</v>
      </c>
      <c r="AY235" s="171">
        <f ca="1">SUMIFS('Сырье и материалы'!AX$25:AX$48,'Сырье и материалы'!$F$25:$F$48,$F235,'Сырье и материалы'!$AC$25:$AC$48,"Всего по тарифу")</f>
        <v>0</v>
      </c>
      <c r="AZ235" s="171">
        <f ca="1">SUMIFS('Сырье и материалы'!AY$25:AY$48,'Сырье и материалы'!$F$25:$F$48,$F235,'Сырье и материалы'!$AC$25:$AC$48,"Всего по тарифу")</f>
        <v>0</v>
      </c>
      <c r="BA235" s="171">
        <f ca="1">SUMIFS('Сырье и материалы'!AZ$25:AZ$48,'Сырье и материалы'!$F$25:$F$48,$F235,'Сырье и материалы'!$AC$25:$AC$48,"Всего по тарифу")</f>
        <v>0</v>
      </c>
      <c r="BB235" s="171">
        <f ca="1">SUMIFS('Сырье и материалы'!BA$25:BA$48,'Сырье и материалы'!$F$25:$F$48,$F235,'Сырье и материалы'!$AC$25:$AC$48,"Всего по тарифу")</f>
        <v>0</v>
      </c>
      <c r="BC235" s="171">
        <f ca="1">SUMIFS('Сырье и материалы'!BB$25:BB$48,'Сырье и материалы'!$F$25:$F$48,$F235,'Сырье и материалы'!$AC$25:$AC$48,"Всего по тарифу")</f>
        <v>0</v>
      </c>
      <c r="BD235" s="171">
        <f t="shared" ca="1" si="52"/>
        <v>10.746838563019729</v>
      </c>
      <c r="BE235" s="171">
        <f t="shared" ca="1" si="53"/>
        <v>-100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601" t="s">
        <v>833</v>
      </c>
      <c r="BP235" s="196" t="s">
        <v>2244</v>
      </c>
      <c r="BS235" s="696" t="s">
        <v>1742</v>
      </c>
    </row>
    <row r="236" spans="1:75" s="870" customFormat="1" ht="41.25" customHeight="1" x14ac:dyDescent="0.15">
      <c r="A236" s="76"/>
      <c r="B236" s="29"/>
      <c r="C236" s="27"/>
      <c r="D236" s="27"/>
      <c r="E236" s="559">
        <v>21</v>
      </c>
      <c r="F236" s="3" t="str" cm="1">
        <f t="array" aca="1" ref="F236" ca="1">OFFSET(E236,-1,1)</f>
        <v>1</v>
      </c>
      <c r="G236" s="27"/>
      <c r="H236" s="25"/>
      <c r="I236" s="25" t="s">
        <v>959</v>
      </c>
      <c r="J236" s="27"/>
      <c r="K236" s="25" t="s">
        <v>959</v>
      </c>
      <c r="L236" s="27" t="s">
        <v>535</v>
      </c>
      <c r="M236" s="27"/>
      <c r="N236" s="27"/>
      <c r="O236" s="27"/>
      <c r="P236" s="27"/>
      <c r="Q236" s="27"/>
      <c r="R236" s="27"/>
      <c r="S236" s="27"/>
      <c r="T236" s="353" t="b" cm="1">
        <f t="array" aca="1" ref="T236" ca="1">T235</f>
        <v>1</v>
      </c>
      <c r="U236" s="27"/>
      <c r="V236" s="27"/>
      <c r="W236" s="76"/>
      <c r="X236" s="990"/>
      <c r="Y236" s="76"/>
      <c r="Z236" s="967"/>
      <c r="AA236" s="76"/>
      <c r="AB236" s="131" t="s">
        <v>569</v>
      </c>
      <c r="AC236" s="263" t="s">
        <v>2082</v>
      </c>
      <c r="AD236" s="124" t="s">
        <v>828</v>
      </c>
      <c r="AE236" s="126">
        <f ca="1">SUM(AE237:AE246)</f>
        <v>19524.778777153999</v>
      </c>
      <c r="AF236" s="126">
        <f ca="1">SUM(AF237:AF246)</f>
        <v>20113.000735426896</v>
      </c>
      <c r="AG236" s="126">
        <f ca="1">SUM(AG237:AG246)</f>
        <v>20113.014334812699</v>
      </c>
      <c r="AH236" s="126">
        <f t="shared" ca="1" si="50"/>
        <v>1.3599385802081088E-2</v>
      </c>
      <c r="AI236" s="126">
        <f t="shared" ref="AI236:BC236" ca="1" si="63">SUM(AI237:AI246)</f>
        <v>25906.171578960002</v>
      </c>
      <c r="AJ236" s="126">
        <f t="shared" ca="1" si="63"/>
        <v>32079.612572521102</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26515.485691682399</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2.3520036948155578</v>
      </c>
      <c r="BE236" s="126">
        <f t="shared" ca="1" si="53"/>
        <v>-100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6"/>
      <c r="BO236" s="601" t="s">
        <v>2245</v>
      </c>
      <c r="BP236" s="556"/>
      <c r="BQ236" s="76"/>
      <c r="BR236" s="76"/>
      <c r="BS236" s="702" t="s">
        <v>1275</v>
      </c>
      <c r="BT236" s="702"/>
      <c r="BU236" s="702"/>
      <c r="BV236" s="511"/>
      <c r="BW236" s="511"/>
    </row>
    <row r="237" spans="1:75" ht="33" customHeight="1" x14ac:dyDescent="0.15">
      <c r="B237" s="15"/>
      <c r="C237" s="25"/>
      <c r="D237" s="25"/>
      <c r="E237" s="451">
        <v>15</v>
      </c>
      <c r="F237" s="3" t="str" cm="1">
        <f t="array" aca="1" ref="F237" ca="1">OFFSET(E237,-1,1)</f>
        <v>1</v>
      </c>
      <c r="G237" s="611">
        <v>7</v>
      </c>
      <c r="H237" s="25"/>
      <c r="I237" s="25" t="s">
        <v>2083</v>
      </c>
      <c r="J237" s="25"/>
      <c r="K237" s="25" t="s">
        <v>2083</v>
      </c>
      <c r="L237" s="25"/>
      <c r="M237" s="25"/>
      <c r="N237" s="25"/>
      <c r="O237" s="25"/>
      <c r="P237" s="25"/>
      <c r="Q237" s="25"/>
      <c r="R237" s="25"/>
      <c r="S237" s="25"/>
      <c r="T237" s="353" t="b" cm="1">
        <f t="array" aca="1" ref="T237" ca="1">T236</f>
        <v>1</v>
      </c>
      <c r="U237" s="25"/>
      <c r="V237" s="25"/>
      <c r="X237" s="990"/>
      <c r="Z237" s="967"/>
      <c r="AB237" s="133" t="s">
        <v>519</v>
      </c>
      <c r="AC237" s="134" t="s">
        <v>1289</v>
      </c>
      <c r="AD237" s="7" t="s">
        <v>828</v>
      </c>
      <c r="AE237" s="171">
        <f ca="1">SUMIFS(Налоги!AE$25:AE$83,Налоги!$F$25:$F$83,$F237,Налоги!$AB$25:$AB$83,$G237)</f>
        <v>0</v>
      </c>
      <c r="AF237" s="171">
        <f ca="1">SUMIFS(Налоги!AF$25:AF$83,Налоги!$F$25:$F$83,$F237,Налоги!$AB$25:$AB$83,$G237)</f>
        <v>0</v>
      </c>
      <c r="AG237" s="171">
        <f ca="1">SUMIFS(Налоги!AG$25:AG$83,Налоги!$F$25:$F$83,$F237,Налоги!$AB$25:$AB$83,$G237)</f>
        <v>0</v>
      </c>
      <c r="AH237" s="171">
        <f t="shared" ca="1" si="50"/>
        <v>0</v>
      </c>
      <c r="AI237" s="171">
        <f ca="1">SUMIFS(Налоги!AH$25:AH$83,Налоги!$F$25:$F$83,$F237,Налоги!$AB$25:$AB$83,$G237)</f>
        <v>0</v>
      </c>
      <c r="AJ237" s="171">
        <f ca="1">SUMIFS(Налоги!AI$25:AI$83,Налоги!$F$25:$F$83,$F237,Налоги!$AB$25:$AB$83,$G237)</f>
        <v>0</v>
      </c>
      <c r="AK237" s="171">
        <f ca="1">SUMIFS(Налоги!AJ$25:AJ$83,Налоги!$F$25:$F$83,$F237,Налоги!$AB$25:$AB$83,$G237)</f>
        <v>0</v>
      </c>
      <c r="AL237" s="171">
        <f ca="1">SUMIFS(Налоги!AK$25:AK$83,Налоги!$F$25:$F$83,$F237,Налоги!$AB$25:$AB$83,$G237)</f>
        <v>0</v>
      </c>
      <c r="AM237" s="171">
        <f ca="1">SUMIFS(Налоги!AL$25:AL$83,Налоги!$F$25:$F$83,$F237,Налоги!$AB$25:$AB$83,$G237)</f>
        <v>0</v>
      </c>
      <c r="AN237" s="171">
        <f ca="1">SUMIFS(Налоги!AM$25:AM$83,Налоги!$F$25:$F$83,$F237,Налоги!$AB$25:$AB$83,$G237)</f>
        <v>0</v>
      </c>
      <c r="AO237" s="171">
        <f ca="1">SUMIFS(Налоги!AN$25:AN$83,Налоги!$F$25:$F$83,$F237,Налоги!$AB$25:$AB$83,$G237)</f>
        <v>0</v>
      </c>
      <c r="AP237" s="171">
        <f ca="1">SUMIFS(Налоги!AO$25:AO$83,Налоги!$F$25:$F$83,$F237,Налоги!$AB$25:$AB$83,$G237)</f>
        <v>0</v>
      </c>
      <c r="AQ237" s="171">
        <f ca="1">SUMIFS(Налоги!AP$25:AP$83,Налоги!$F$25:$F$83,$F237,Налоги!$AB$25:$AB$83,$G237)</f>
        <v>0</v>
      </c>
      <c r="AR237" s="171">
        <f ca="1">SUMIFS(Налоги!AQ$25:AQ$83,Налоги!$F$25:$F$83,$F237,Налоги!$AB$25:$AB$83,$G237)</f>
        <v>0</v>
      </c>
      <c r="AS237" s="171">
        <f ca="1">SUMIFS(Налоги!AR$25:AR$83,Налоги!$F$25:$F$83,$F237,Налоги!$AB$25:$AB$83,$G237)</f>
        <v>0</v>
      </c>
      <c r="AT237" s="171">
        <f ca="1">SUMIFS(Налоги!AS$25:AS$83,Налоги!$F$25:$F$83,$F237,Налоги!$AB$25:$AB$83,$G237)</f>
        <v>0</v>
      </c>
      <c r="AU237" s="171">
        <f ca="1">SUMIFS(Налоги!AT$25:AT$83,Налоги!$F$25:$F$83,$F237,Налоги!$AB$25:$AB$83,$G237)</f>
        <v>0</v>
      </c>
      <c r="AV237" s="171">
        <f ca="1">SUMIFS(Налоги!AU$25:AU$83,Налоги!$F$25:$F$83,$F237,Налоги!$AB$25:$AB$83,$G237)</f>
        <v>0</v>
      </c>
      <c r="AW237" s="171">
        <f ca="1">SUMIFS(Налоги!AV$25:AV$83,Налоги!$F$25:$F$83,$F237,Налоги!$AB$25:$AB$83,$G237)</f>
        <v>0</v>
      </c>
      <c r="AX237" s="171">
        <f ca="1">SUMIFS(Налоги!AW$25:AW$83,Налоги!$F$25:$F$83,$F237,Налоги!$AB$25:$AB$83,$G237)</f>
        <v>0</v>
      </c>
      <c r="AY237" s="171">
        <f ca="1">SUMIFS(Налоги!AX$25:AX$83,Налоги!$F$25:$F$83,$F237,Налоги!$AB$25:$AB$83,$G237)</f>
        <v>0</v>
      </c>
      <c r="AZ237" s="171">
        <f ca="1">SUMIFS(Налоги!AY$25:AY$83,Налоги!$F$25:$F$83,$F237,Налоги!$AB$25:$AB$83,$G237)</f>
        <v>0</v>
      </c>
      <c r="BA237" s="171">
        <f ca="1">SUMIFS(Налоги!AZ$25:AZ$83,Налоги!$F$25:$F$83,$F237,Налоги!$AB$25:$AB$83,$G237)</f>
        <v>0</v>
      </c>
      <c r="BB237" s="171">
        <f ca="1">SUMIFS(Налоги!BA$25:BA$83,Налоги!$F$25:$F$83,$F237,Налоги!$AB$25:$AB$83,$G237)</f>
        <v>0</v>
      </c>
      <c r="BC237" s="171">
        <f ca="1">SUMIFS(Налоги!BB$25:BB$83,Налоги!$F$25:$F$83,$F237,Налоги!$AB$25:$AB$83,$G237)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601" t="str">
        <f ca="1">IF(IFERROR(INDEX(Налоги!$K$26:$L$83,MATCH($F237&amp;"7komm",Налоги!$K$26:$K$83,0),2),"")=0,"",IFERROR(INDEX(Налоги!$K$26:$L$83,MATCH($F237&amp;"7komm",Налоги!$K$26:$K$83,0),2),""))</f>
        <v/>
      </c>
      <c r="BP237" s="196"/>
      <c r="BS237" s="696" t="s">
        <v>2084</v>
      </c>
    </row>
    <row r="238" spans="1:75" ht="106.5" customHeight="1" x14ac:dyDescent="0.15">
      <c r="B238" s="15"/>
      <c r="C238" s="25"/>
      <c r="D238" s="25"/>
      <c r="E238" s="451">
        <v>15</v>
      </c>
      <c r="F238" s="3" t="str" cm="1">
        <f t="array" aca="1" ref="F238" ca="1">OFFSET(E238,-1,1)</f>
        <v>1</v>
      </c>
      <c r="G238" s="611">
        <v>6</v>
      </c>
      <c r="H238" s="25"/>
      <c r="I238" s="25" t="s">
        <v>2085</v>
      </c>
      <c r="J238" s="25"/>
      <c r="K238" s="25" t="s">
        <v>2085</v>
      </c>
      <c r="L238" s="25"/>
      <c r="M238" s="25"/>
      <c r="N238" s="25"/>
      <c r="O238" s="25"/>
      <c r="P238" s="25"/>
      <c r="Q238" s="25"/>
      <c r="R238" s="25"/>
      <c r="S238" s="25"/>
      <c r="T238" s="353" t="b" cm="1">
        <f t="array" aca="1" ref="T238" ca="1">T237</f>
        <v>1</v>
      </c>
      <c r="U238" s="25"/>
      <c r="V238" s="25"/>
      <c r="X238" s="990"/>
      <c r="Z238" s="967"/>
      <c r="AB238" s="133" t="s">
        <v>1500</v>
      </c>
      <c r="AC238" s="134" t="s">
        <v>2086</v>
      </c>
      <c r="AD238" s="7" t="s">
        <v>828</v>
      </c>
      <c r="AE238" s="171">
        <f ca="1">SUMIFS(Налоги!AE$25:AE$83,Налоги!$F$25:$F$83,$F238,Налоги!$AB$25:$AB$83,$G238)</f>
        <v>750.02557315399997</v>
      </c>
      <c r="AF238" s="171">
        <f ca="1">SUMIFS(Налоги!AF$25:AF$83,Налоги!$F$25:$F$83,$F238,Налоги!$AB$25:$AB$83,$G238)</f>
        <v>480.66640061419997</v>
      </c>
      <c r="AG238" s="171">
        <f ca="1">SUMIFS(Налоги!AG$25:AG$83,Налоги!$F$25:$F$83,$F238,Налоги!$AB$25:$AB$83,$G238)</f>
        <v>480.68</v>
      </c>
      <c r="AH238" s="171">
        <f t="shared" ca="1" si="50"/>
        <v>1.3599385800034725E-2</v>
      </c>
      <c r="AI238" s="171">
        <f ca="1">SUMIFS(Налоги!AH$25:AH$83,Налоги!$F$25:$F$83,$F238,Налоги!$AB$25:$AB$83,$G238)</f>
        <v>435.41861999999998</v>
      </c>
      <c r="AJ238" s="171">
        <f ca="1">SUMIFS(Налоги!AI$25:AI$83,Налоги!$F$25:$F$83,$F238,Налоги!$AB$25:$AB$83,$G238)</f>
        <v>613.8353725211</v>
      </c>
      <c r="AK238" s="171">
        <f ca="1">SUMIFS(Налоги!AJ$25:AJ$83,Налоги!$F$25:$F$83,$F238,Налоги!$AB$25:$AB$83,$G238)</f>
        <v>0</v>
      </c>
      <c r="AL238" s="171">
        <f ca="1">SUMIFS(Налоги!AK$25:AK$83,Налоги!$F$25:$F$83,$F238,Налоги!$AB$25:$AB$83,$G238)</f>
        <v>0</v>
      </c>
      <c r="AM238" s="171">
        <f ca="1">SUMIFS(Налоги!AL$25:AL$83,Налоги!$F$25:$F$83,$F238,Налоги!$AB$25:$AB$83,$G238)</f>
        <v>0</v>
      </c>
      <c r="AN238" s="171">
        <f ca="1">SUMIFS(Налоги!AM$25:AM$83,Налоги!$F$25:$F$83,$F238,Налоги!$AB$25:$AB$83,$G238)</f>
        <v>0</v>
      </c>
      <c r="AO238" s="171">
        <f ca="1">SUMIFS(Налоги!AN$25:AN$83,Налоги!$F$25:$F$83,$F238,Налоги!$AB$25:$AB$83,$G238)</f>
        <v>0</v>
      </c>
      <c r="AP238" s="171">
        <f ca="1">SUMIFS(Налоги!AO$25:AO$83,Налоги!$F$25:$F$83,$F238,Налоги!$AB$25:$AB$83,$G238)</f>
        <v>0</v>
      </c>
      <c r="AQ238" s="171">
        <f ca="1">SUMIFS(Налоги!AP$25:AP$83,Налоги!$F$25:$F$83,$F238,Налоги!$AB$25:$AB$83,$G238)</f>
        <v>0</v>
      </c>
      <c r="AR238" s="171">
        <f ca="1">SUMIFS(Налоги!AQ$25:AQ$83,Налоги!$F$25:$F$83,$F238,Налоги!$AB$25:$AB$83,$G238)</f>
        <v>0</v>
      </c>
      <c r="AS238" s="171">
        <f ca="1">SUMIFS(Налоги!AR$25:AR$83,Налоги!$F$25:$F$83,$F238,Налоги!$AB$25:$AB$83,$G238)</f>
        <v>0</v>
      </c>
      <c r="AT238" s="171">
        <f ca="1">SUMIFS(Налоги!AS$25:AS$83,Налоги!$F$25:$F$83,$F238,Налоги!$AB$25:$AB$83,$G238)</f>
        <v>272.71044723440002</v>
      </c>
      <c r="AU238" s="171">
        <f ca="1">SUMIFS(Налоги!AT$25:AT$83,Налоги!$F$25:$F$83,$F238,Налоги!$AB$25:$AB$83,$G238)</f>
        <v>0</v>
      </c>
      <c r="AV238" s="171">
        <f ca="1">SUMIFS(Налоги!AU$25:AU$83,Налоги!$F$25:$F$83,$F238,Налоги!$AB$25:$AB$83,$G238)</f>
        <v>0</v>
      </c>
      <c r="AW238" s="171">
        <f ca="1">SUMIFS(Налоги!AV$25:AV$83,Налоги!$F$25:$F$83,$F238,Налоги!$AB$25:$AB$83,$G238)</f>
        <v>0</v>
      </c>
      <c r="AX238" s="171">
        <f ca="1">SUMIFS(Налоги!AW$25:AW$83,Налоги!$F$25:$F$83,$F238,Налоги!$AB$25:$AB$83,$G238)</f>
        <v>0</v>
      </c>
      <c r="AY238" s="171">
        <f ca="1">SUMIFS(Налоги!AX$25:AX$83,Налоги!$F$25:$F$83,$F238,Налоги!$AB$25:$AB$83,$G238)</f>
        <v>0</v>
      </c>
      <c r="AZ238" s="171">
        <f ca="1">SUMIFS(Налоги!AY$25:AY$83,Налоги!$F$25:$F$83,$F238,Налоги!$AB$25:$AB$83,$G238)</f>
        <v>0</v>
      </c>
      <c r="BA238" s="171">
        <f ca="1">SUMIFS(Налоги!AZ$25:AZ$83,Налоги!$F$25:$F$83,$F238,Налоги!$AB$25:$AB$83,$G238)</f>
        <v>0</v>
      </c>
      <c r="BB238" s="171">
        <f ca="1">SUMIFS(Налоги!BA$25:BA$83,Налоги!$F$25:$F$83,$F238,Налоги!$AB$25:$AB$83,$G238)</f>
        <v>0</v>
      </c>
      <c r="BC238" s="171">
        <f ca="1">SUMIFS(Налоги!BB$25:BB$83,Налоги!$F$25:$F$83,$F238,Налоги!$AB$25:$AB$83,$G238)</f>
        <v>0</v>
      </c>
      <c r="BD238" s="171">
        <f t="shared" ca="1" si="52"/>
        <v>-37.368216537363509</v>
      </c>
      <c r="BE238" s="171">
        <f t="shared" ca="1" si="53"/>
        <v>-100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1" t="s">
        <v>2247</v>
      </c>
      <c r="BP238" s="196" t="s">
        <v>2248</v>
      </c>
      <c r="BS238" s="696" t="s">
        <v>2087</v>
      </c>
    </row>
    <row r="239" spans="1:75" ht="14.25" customHeight="1" x14ac:dyDescent="0.15">
      <c r="B239" s="15"/>
      <c r="C239" s="25"/>
      <c r="D239" s="25"/>
      <c r="E239" s="451">
        <v>15</v>
      </c>
      <c r="F239" s="3" t="str" cm="1">
        <f t="array" aca="1" ref="F239" ca="1">OFFSET(E239,-1,1)</f>
        <v>1</v>
      </c>
      <c r="G239" s="611">
        <v>2</v>
      </c>
      <c r="H239" s="25"/>
      <c r="I239" s="25" t="s">
        <v>2088</v>
      </c>
      <c r="J239" s="25"/>
      <c r="K239" s="25" t="s">
        <v>2088</v>
      </c>
      <c r="L239" s="25"/>
      <c r="M239" s="25"/>
      <c r="N239" s="25"/>
      <c r="O239" s="25"/>
      <c r="P239" s="25"/>
      <c r="Q239" s="25"/>
      <c r="R239" s="25"/>
      <c r="S239" s="25"/>
      <c r="T239" s="353" t="b" cm="1">
        <f t="array" aca="1" ref="T239" ca="1">T238</f>
        <v>1</v>
      </c>
      <c r="U239" s="25"/>
      <c r="V239" s="25"/>
      <c r="X239" s="990"/>
      <c r="Z239" s="967"/>
      <c r="AB239" s="133" t="s">
        <v>1505</v>
      </c>
      <c r="AC239" s="134" t="s">
        <v>2089</v>
      </c>
      <c r="AD239" s="7" t="s">
        <v>828</v>
      </c>
      <c r="AE239" s="171">
        <f ca="1">SUMIFS(Налоги!AE$25:AE$83,Налоги!$F$25:$F$83,$F239,Налоги!$AB$25:$AB$83,$G239)</f>
        <v>0</v>
      </c>
      <c r="AF239" s="171">
        <f ca="1">SUMIFS(Налоги!AF$25:AF$83,Налоги!$F$25:$F$83,$F239,Налоги!$AB$25:$AB$83,$G239)</f>
        <v>0</v>
      </c>
      <c r="AG239" s="171">
        <f ca="1">SUMIFS(Налоги!AG$25:AG$83,Налоги!$F$25:$F$83,$F239,Налоги!$AB$25:$AB$83,$G239)</f>
        <v>0</v>
      </c>
      <c r="AH239" s="171">
        <f t="shared" ca="1" si="50"/>
        <v>0</v>
      </c>
      <c r="AI239" s="171">
        <f ca="1">SUMIFS(Налоги!AH$25:AH$83,Налоги!$F$25:$F$83,$F239,Налоги!$AB$25:$AB$83,$G239)</f>
        <v>0</v>
      </c>
      <c r="AJ239" s="171">
        <f ca="1">SUMIFS(Налоги!AI$25:AI$83,Налоги!$F$25:$F$83,$F239,Налоги!$AB$25:$AB$83,$G239)</f>
        <v>0</v>
      </c>
      <c r="AK239" s="171">
        <f ca="1">SUMIFS(Налоги!AJ$25:AJ$83,Налоги!$F$25:$F$83,$F239,Налоги!$AB$25:$AB$83,$G239)</f>
        <v>0</v>
      </c>
      <c r="AL239" s="171">
        <f ca="1">SUMIFS(Налоги!AK$25:AK$83,Налоги!$F$25:$F$83,$F239,Налоги!$AB$25:$AB$83,$G239)</f>
        <v>0</v>
      </c>
      <c r="AM239" s="171">
        <f ca="1">SUMIFS(Налоги!AL$25:AL$83,Налоги!$F$25:$F$83,$F239,Налоги!$AB$25:$AB$83,$G239)</f>
        <v>0</v>
      </c>
      <c r="AN239" s="171">
        <f ca="1">SUMIFS(Налоги!AM$25:AM$83,Налоги!$F$25:$F$83,$F239,Налоги!$AB$25:$AB$83,$G239)</f>
        <v>0</v>
      </c>
      <c r="AO239" s="171">
        <f ca="1">SUMIFS(Налоги!AN$25:AN$83,Налоги!$F$25:$F$83,$F239,Налоги!$AB$25:$AB$83,$G239)</f>
        <v>0</v>
      </c>
      <c r="AP239" s="171">
        <f ca="1">SUMIFS(Налоги!AO$25:AO$83,Налоги!$F$25:$F$83,$F239,Налоги!$AB$25:$AB$83,$G239)</f>
        <v>0</v>
      </c>
      <c r="AQ239" s="171">
        <f ca="1">SUMIFS(Налоги!AP$25:AP$83,Налоги!$F$25:$F$83,$F239,Налоги!$AB$25:$AB$83,$G239)</f>
        <v>0</v>
      </c>
      <c r="AR239" s="171">
        <f ca="1">SUMIFS(Налоги!AQ$25:AQ$83,Налоги!$F$25:$F$83,$F239,Налоги!$AB$25:$AB$83,$G239)</f>
        <v>0</v>
      </c>
      <c r="AS239" s="171">
        <f ca="1">SUMIFS(Налоги!AR$25:AR$83,Налоги!$F$25:$F$83,$F239,Налоги!$AB$25:$AB$83,$G239)</f>
        <v>0</v>
      </c>
      <c r="AT239" s="171">
        <f ca="1">SUMIFS(Налоги!AS$25:AS$83,Налоги!$F$25:$F$83,$F239,Налоги!$AB$25:$AB$83,$G239)</f>
        <v>0</v>
      </c>
      <c r="AU239" s="171">
        <f ca="1">SUMIFS(Налоги!AT$25:AT$83,Налоги!$F$25:$F$83,$F239,Налоги!$AB$25:$AB$83,$G239)</f>
        <v>0</v>
      </c>
      <c r="AV239" s="171">
        <f ca="1">SUMIFS(Налоги!AU$25:AU$83,Налоги!$F$25:$F$83,$F239,Налоги!$AB$25:$AB$83,$G239)</f>
        <v>0</v>
      </c>
      <c r="AW239" s="171">
        <f ca="1">SUMIFS(Налоги!AV$25:AV$83,Налоги!$F$25:$F$83,$F239,Налоги!$AB$25:$AB$83,$G239)</f>
        <v>0</v>
      </c>
      <c r="AX239" s="171">
        <f ca="1">SUMIFS(Налоги!AW$25:AW$83,Налоги!$F$25:$F$83,$F239,Налоги!$AB$25:$AB$83,$G239)</f>
        <v>0</v>
      </c>
      <c r="AY239" s="171">
        <f ca="1">SUMIFS(Налоги!AX$25:AX$83,Налоги!$F$25:$F$83,$F239,Налоги!$AB$25:$AB$83,$G239)</f>
        <v>0</v>
      </c>
      <c r="AZ239" s="171">
        <f ca="1">SUMIFS(Налоги!AY$25:AY$83,Налоги!$F$25:$F$83,$F239,Налоги!$AB$25:$AB$83,$G239)</f>
        <v>0</v>
      </c>
      <c r="BA239" s="171">
        <f ca="1">SUMIFS(Налоги!AZ$25:AZ$83,Налоги!$F$25:$F$83,$F239,Налоги!$AB$25:$AB$83,$G239)</f>
        <v>0</v>
      </c>
      <c r="BB239" s="171">
        <f ca="1">SUMIFS(Налоги!BA$25:BA$83,Налоги!$F$25:$F$83,$F239,Налоги!$AB$25:$AB$83,$G239)</f>
        <v>0</v>
      </c>
      <c r="BC239" s="171">
        <f ca="1">SUMIFS(Налоги!BB$25:BB$83,Налоги!$F$25:$F$83,$F239,Налоги!$AB$25:$AB$83,$G239)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1" t="str">
        <f ca="1">IF(IFERROR(INDEX(Налоги!$K$26:$L$83,MATCH($F239&amp;"2komm",Налоги!$K$26:$K$83,0),2),"")=0,"",IFERROR(INDEX(Налоги!$K$26:$L$83,MATCH($F239&amp;"2komm",Налоги!$K$26:$K$83,0),2),""))</f>
        <v/>
      </c>
      <c r="BP239" s="196"/>
      <c r="BS239" s="696" t="s">
        <v>2090</v>
      </c>
    </row>
    <row r="240" spans="1:75" ht="14.25" customHeight="1" x14ac:dyDescent="0.15">
      <c r="B240" s="15"/>
      <c r="C240" s="25"/>
      <c r="D240" s="25"/>
      <c r="E240" s="451">
        <v>15</v>
      </c>
      <c r="F240" s="3" t="str" cm="1">
        <f t="array" aca="1" ref="F240" ca="1">OFFSET(E240,-1,1)</f>
        <v>1</v>
      </c>
      <c r="G240" s="611">
        <v>4</v>
      </c>
      <c r="H240" s="25"/>
      <c r="I240" s="25" t="s">
        <v>2091</v>
      </c>
      <c r="J240" s="25"/>
      <c r="K240" s="25" t="s">
        <v>2091</v>
      </c>
      <c r="L240" s="25"/>
      <c r="M240" s="25"/>
      <c r="N240" s="25"/>
      <c r="O240" s="25"/>
      <c r="P240" s="25"/>
      <c r="Q240" s="25"/>
      <c r="R240" s="25"/>
      <c r="S240" s="25"/>
      <c r="T240" s="353" t="b" cm="1">
        <f t="array" aca="1" ref="T240" ca="1">T239</f>
        <v>1</v>
      </c>
      <c r="U240" s="25"/>
      <c r="V240" s="25"/>
      <c r="X240" s="990"/>
      <c r="Z240" s="967"/>
      <c r="AB240" s="133" t="s">
        <v>2092</v>
      </c>
      <c r="AC240" s="134" t="s">
        <v>2093</v>
      </c>
      <c r="AD240" s="7" t="s">
        <v>828</v>
      </c>
      <c r="AE240" s="171">
        <f ca="1">SUMIFS(Налоги!AE$25:AE$83,Налоги!$F$25:$F$83,$F240,Налоги!$AB$25:$AB$83,$G240)</f>
        <v>0</v>
      </c>
      <c r="AF240" s="171">
        <f ca="1">SUMIFS(Налоги!AF$25:AF$83,Налоги!$F$25:$F$83,$F240,Налоги!$AB$25:$AB$83,$G240)</f>
        <v>0</v>
      </c>
      <c r="AG240" s="171">
        <f ca="1">SUMIFS(Налоги!AG$25:AG$83,Налоги!$F$25:$F$83,$F240,Налоги!$AB$25:$AB$83,$G240)</f>
        <v>0</v>
      </c>
      <c r="AH240" s="171">
        <f t="shared" ca="1" si="50"/>
        <v>0</v>
      </c>
      <c r="AI240" s="171">
        <f ca="1">SUMIFS(Налоги!AH$25:AH$83,Налоги!$F$25:$F$83,$F240,Налоги!$AB$25:$AB$83,$G240)</f>
        <v>0</v>
      </c>
      <c r="AJ240" s="171">
        <f ca="1">SUMIFS(Налоги!AI$25:AI$83,Налоги!$F$25:$F$83,$F240,Налоги!$AB$25:$AB$83,$G240)</f>
        <v>0</v>
      </c>
      <c r="AK240" s="171">
        <f ca="1">SUMIFS(Налоги!AJ$25:AJ$83,Налоги!$F$25:$F$83,$F240,Налоги!$AB$25:$AB$83,$G240)</f>
        <v>0</v>
      </c>
      <c r="AL240" s="171">
        <f ca="1">SUMIFS(Налоги!AK$25:AK$83,Налоги!$F$25:$F$83,$F240,Налоги!$AB$25:$AB$83,$G240)</f>
        <v>0</v>
      </c>
      <c r="AM240" s="171">
        <f ca="1">SUMIFS(Налоги!AL$25:AL$83,Налоги!$F$25:$F$83,$F240,Налоги!$AB$25:$AB$83,$G240)</f>
        <v>0</v>
      </c>
      <c r="AN240" s="171">
        <f ca="1">SUMIFS(Налоги!AM$25:AM$83,Налоги!$F$25:$F$83,$F240,Налоги!$AB$25:$AB$83,$G240)</f>
        <v>0</v>
      </c>
      <c r="AO240" s="171">
        <f ca="1">SUMIFS(Налоги!AN$25:AN$83,Налоги!$F$25:$F$83,$F240,Налоги!$AB$25:$AB$83,$G240)</f>
        <v>0</v>
      </c>
      <c r="AP240" s="171">
        <f ca="1">SUMIFS(Налоги!AO$25:AO$83,Налоги!$F$25:$F$83,$F240,Налоги!$AB$25:$AB$83,$G240)</f>
        <v>0</v>
      </c>
      <c r="AQ240" s="171">
        <f ca="1">SUMIFS(Налоги!AP$25:AP$83,Налоги!$F$25:$F$83,$F240,Налоги!$AB$25:$AB$83,$G240)</f>
        <v>0</v>
      </c>
      <c r="AR240" s="171">
        <f ca="1">SUMIFS(Налоги!AQ$25:AQ$83,Налоги!$F$25:$F$83,$F240,Налоги!$AB$25:$AB$83,$G240)</f>
        <v>0</v>
      </c>
      <c r="AS240" s="171">
        <f ca="1">SUMIFS(Налоги!AR$25:AR$83,Налоги!$F$25:$F$83,$F240,Налоги!$AB$25:$AB$83,$G240)</f>
        <v>0</v>
      </c>
      <c r="AT240" s="171">
        <f ca="1">SUMIFS(Налоги!AS$25:AS$83,Налоги!$F$25:$F$83,$F240,Налоги!$AB$25:$AB$83,$G240)</f>
        <v>0</v>
      </c>
      <c r="AU240" s="171">
        <f ca="1">SUMIFS(Налоги!AT$25:AT$83,Налоги!$F$25:$F$83,$F240,Налоги!$AB$25:$AB$83,$G240)</f>
        <v>0</v>
      </c>
      <c r="AV240" s="171">
        <f ca="1">SUMIFS(Налоги!AU$25:AU$83,Налоги!$F$25:$F$83,$F240,Налоги!$AB$25:$AB$83,$G240)</f>
        <v>0</v>
      </c>
      <c r="AW240" s="171">
        <f ca="1">SUMIFS(Налоги!AV$25:AV$83,Налоги!$F$25:$F$83,$F240,Налоги!$AB$25:$AB$83,$G240)</f>
        <v>0</v>
      </c>
      <c r="AX240" s="171">
        <f ca="1">SUMIFS(Налоги!AW$25:AW$83,Налоги!$F$25:$F$83,$F240,Налоги!$AB$25:$AB$83,$G240)</f>
        <v>0</v>
      </c>
      <c r="AY240" s="171">
        <f ca="1">SUMIFS(Налоги!AX$25:AX$83,Налоги!$F$25:$F$83,$F240,Налоги!$AB$25:$AB$83,$G240)</f>
        <v>0</v>
      </c>
      <c r="AZ240" s="171">
        <f ca="1">SUMIFS(Налоги!AY$25:AY$83,Налоги!$F$25:$F$83,$F240,Налоги!$AB$25:$AB$83,$G240)</f>
        <v>0</v>
      </c>
      <c r="BA240" s="171">
        <f ca="1">SUMIFS(Налоги!AZ$25:AZ$83,Налоги!$F$25:$F$83,$F240,Налоги!$AB$25:$AB$83,$G240)</f>
        <v>0</v>
      </c>
      <c r="BB240" s="171">
        <f ca="1">SUMIFS(Налоги!BA$25:BA$83,Налоги!$F$25:$F$83,$F240,Налоги!$AB$25:$AB$83,$G240)</f>
        <v>0</v>
      </c>
      <c r="BC240" s="171">
        <f ca="1">SUMIFS(Налоги!BB$25:BB$83,Налоги!$F$25:$F$83,$F240,Налоги!$AB$25:$AB$83,$G240)</f>
        <v>0</v>
      </c>
      <c r="BD240" s="171">
        <f t="shared" ca="1" si="52"/>
        <v>0</v>
      </c>
      <c r="BE240" s="171">
        <f t="shared" ca="1" si="53"/>
        <v>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196"/>
      <c r="BO240" s="601" t="str">
        <f ca="1">IF(IFERROR(INDEX(Налоги!$K$26:$L$83,MATCH($F240&amp;"4komm",Налоги!$K$26:$K$83,0),2),"")=0,"",IFERROR(INDEX(Налоги!$K$26:$L$83,MATCH($F240&amp;"4komm",Налоги!$K$26:$K$83,0),2),""))</f>
        <v/>
      </c>
      <c r="BP240" s="196"/>
      <c r="BS240" s="696" t="s">
        <v>2094</v>
      </c>
    </row>
    <row r="241" spans="2:75" ht="169.5" customHeight="1" x14ac:dyDescent="0.15">
      <c r="B241" s="15"/>
      <c r="C241" s="25"/>
      <c r="D241" s="25"/>
      <c r="E241" s="451">
        <v>15</v>
      </c>
      <c r="F241" s="3" t="str" cm="1">
        <f t="array" aca="1" ref="F241" ca="1">OFFSET(E241,-1,1)</f>
        <v>1</v>
      </c>
      <c r="G241" s="611">
        <v>5</v>
      </c>
      <c r="H241" s="25"/>
      <c r="I241" s="25" t="s">
        <v>2095</v>
      </c>
      <c r="J241" s="25"/>
      <c r="K241" s="25" t="s">
        <v>2095</v>
      </c>
      <c r="L241" s="25"/>
      <c r="M241" s="25"/>
      <c r="N241" s="25"/>
      <c r="O241" s="25"/>
      <c r="P241" s="25"/>
      <c r="Q241" s="25"/>
      <c r="R241" s="25"/>
      <c r="S241" s="25"/>
      <c r="T241" s="353" t="b" cm="1">
        <f t="array" aca="1" ref="T241" ca="1">T240</f>
        <v>1</v>
      </c>
      <c r="U241" s="25"/>
      <c r="V241" s="25"/>
      <c r="X241" s="990"/>
      <c r="Z241" s="967"/>
      <c r="AB241" s="133" t="s">
        <v>2096</v>
      </c>
      <c r="AC241" s="134" t="s">
        <v>2097</v>
      </c>
      <c r="AD241" s="7" t="s">
        <v>828</v>
      </c>
      <c r="AE241" s="171">
        <f ca="1">SUMIFS(Налоги!AE$25:AE$83,Налоги!$F$25:$F$83,$F241,Налоги!$AB$25:$AB$83,$G241)</f>
        <v>18774.753204000001</v>
      </c>
      <c r="AF241" s="171">
        <f ca="1">SUMIFS(Налоги!AF$25:AF$83,Налоги!$F$25:$F$83,$F241,Налоги!$AB$25:$AB$83,$G241)</f>
        <v>19632.334334812698</v>
      </c>
      <c r="AG241" s="171">
        <f ca="1">SUMIFS(Налоги!AG$25:AG$83,Налоги!$F$25:$F$83,$F241,Налоги!$AB$25:$AB$83,$G241)</f>
        <v>19632.334334812698</v>
      </c>
      <c r="AH241" s="171">
        <f t="shared" ca="1" si="50"/>
        <v>0</v>
      </c>
      <c r="AI241" s="171">
        <f ca="1">SUMIFS(Налоги!AH$25:AH$83,Налоги!$F$25:$F$83,$F241,Налоги!$AB$25:$AB$83,$G241)</f>
        <v>25470.752958960002</v>
      </c>
      <c r="AJ241" s="171">
        <f ca="1">SUMIFS(Налоги!AI$25:AI$83,Налоги!$F$25:$F$83,$F241,Налоги!$AB$25:$AB$83,$G241)</f>
        <v>31465.7772</v>
      </c>
      <c r="AK241" s="171">
        <f ca="1">SUMIFS(Налоги!AJ$25:AJ$83,Налоги!$F$25:$F$83,$F241,Налоги!$AB$25:$AB$83,$G241)</f>
        <v>0</v>
      </c>
      <c r="AL241" s="171">
        <f ca="1">SUMIFS(Налоги!AK$25:AK$83,Налоги!$F$25:$F$83,$F241,Налоги!$AB$25:$AB$83,$G241)</f>
        <v>0</v>
      </c>
      <c r="AM241" s="171">
        <f ca="1">SUMIFS(Налоги!AL$25:AL$83,Налоги!$F$25:$F$83,$F241,Налоги!$AB$25:$AB$83,$G241)</f>
        <v>0</v>
      </c>
      <c r="AN241" s="171">
        <f ca="1">SUMIFS(Налоги!AM$25:AM$83,Налоги!$F$25:$F$83,$F241,Налоги!$AB$25:$AB$83,$G241)</f>
        <v>0</v>
      </c>
      <c r="AO241" s="171">
        <f ca="1">SUMIFS(Налоги!AN$25:AN$83,Налоги!$F$25:$F$83,$F241,Налоги!$AB$25:$AB$83,$G241)</f>
        <v>0</v>
      </c>
      <c r="AP241" s="171">
        <f ca="1">SUMIFS(Налоги!AO$25:AO$83,Налоги!$F$25:$F$83,$F241,Налоги!$AB$25:$AB$83,$G241)</f>
        <v>0</v>
      </c>
      <c r="AQ241" s="171">
        <f ca="1">SUMIFS(Налоги!AP$25:AP$83,Налоги!$F$25:$F$83,$F241,Налоги!$AB$25:$AB$83,$G241)</f>
        <v>0</v>
      </c>
      <c r="AR241" s="171">
        <f ca="1">SUMIFS(Налоги!AQ$25:AQ$83,Налоги!$F$25:$F$83,$F241,Налоги!$AB$25:$AB$83,$G241)</f>
        <v>0</v>
      </c>
      <c r="AS241" s="171">
        <f ca="1">SUMIFS(Налоги!AR$25:AR$83,Налоги!$F$25:$F$83,$F241,Налоги!$AB$25:$AB$83,$G241)</f>
        <v>0</v>
      </c>
      <c r="AT241" s="171">
        <f ca="1">SUMIFS(Налоги!AS$25:AS$83,Налоги!$F$25:$F$83,$F241,Налоги!$AB$25:$AB$83,$G241)</f>
        <v>26242.775244447999</v>
      </c>
      <c r="AU241" s="171">
        <f ca="1">SUMIFS(Налоги!AT$25:AT$83,Налоги!$F$25:$F$83,$F241,Налоги!$AB$25:$AB$83,$G241)</f>
        <v>0</v>
      </c>
      <c r="AV241" s="171">
        <f ca="1">SUMIFS(Налоги!AU$25:AU$83,Налоги!$F$25:$F$83,$F241,Налоги!$AB$25:$AB$83,$G241)</f>
        <v>0</v>
      </c>
      <c r="AW241" s="171">
        <f ca="1">SUMIFS(Налоги!AV$25:AV$83,Налоги!$F$25:$F$83,$F241,Налоги!$AB$25:$AB$83,$G241)</f>
        <v>0</v>
      </c>
      <c r="AX241" s="171">
        <f ca="1">SUMIFS(Налоги!AW$25:AW$83,Налоги!$F$25:$F$83,$F241,Налоги!$AB$25:$AB$83,$G241)</f>
        <v>0</v>
      </c>
      <c r="AY241" s="171">
        <f ca="1">SUMIFS(Налоги!AX$25:AX$83,Налоги!$F$25:$F$83,$F241,Налоги!$AB$25:$AB$83,$G241)</f>
        <v>0</v>
      </c>
      <c r="AZ241" s="171">
        <f ca="1">SUMIFS(Налоги!AY$25:AY$83,Налоги!$F$25:$F$83,$F241,Налоги!$AB$25:$AB$83,$G241)</f>
        <v>0</v>
      </c>
      <c r="BA241" s="171">
        <f ca="1">SUMIFS(Налоги!AZ$25:AZ$83,Налоги!$F$25:$F$83,$F241,Налоги!$AB$25:$AB$83,$G241)</f>
        <v>0</v>
      </c>
      <c r="BB241" s="171">
        <f ca="1">SUMIFS(Налоги!BA$25:BA$83,Налоги!$F$25:$F$83,$F241,Налоги!$AB$25:$AB$83,$G241)</f>
        <v>0</v>
      </c>
      <c r="BC241" s="171">
        <f ca="1">SUMIFS(Налоги!BB$25:BB$83,Налоги!$F$25:$F$83,$F241,Налоги!$AB$25:$AB$83,$G241)</f>
        <v>0</v>
      </c>
      <c r="BD241" s="171">
        <f t="shared" ca="1" si="52"/>
        <v>3.0310147749928165</v>
      </c>
      <c r="BE241" s="171">
        <f t="shared" ca="1" si="53"/>
        <v>-100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1" t="s">
        <v>2250</v>
      </c>
      <c r="BP241" s="196" t="s">
        <v>2248</v>
      </c>
      <c r="BS241" s="696" t="s">
        <v>2098</v>
      </c>
    </row>
    <row r="242" spans="2:75" ht="14.25" customHeight="1" x14ac:dyDescent="0.15">
      <c r="B242" s="15"/>
      <c r="C242" s="25"/>
      <c r="D242" s="25"/>
      <c r="E242" s="451">
        <v>15</v>
      </c>
      <c r="F242" s="3" t="str" cm="1">
        <f t="array" aca="1" ref="F242" ca="1">OFFSET(E242,-1,1)</f>
        <v>1</v>
      </c>
      <c r="G242" s="611">
        <v>1</v>
      </c>
      <c r="H242" s="25"/>
      <c r="I242" s="25" t="s">
        <v>2099</v>
      </c>
      <c r="J242" s="25"/>
      <c r="K242" s="25" t="s">
        <v>2099</v>
      </c>
      <c r="L242" s="25"/>
      <c r="M242" s="25"/>
      <c r="N242" s="25"/>
      <c r="O242" s="25"/>
      <c r="P242" s="25"/>
      <c r="Q242" s="25"/>
      <c r="R242" s="25"/>
      <c r="S242" s="25"/>
      <c r="T242" s="353" t="b" cm="1">
        <f t="array" aca="1" ref="T242" ca="1">T241</f>
        <v>1</v>
      </c>
      <c r="U242" s="25"/>
      <c r="V242" s="25"/>
      <c r="X242" s="990"/>
      <c r="Z242" s="967"/>
      <c r="AB242" s="133" t="s">
        <v>2100</v>
      </c>
      <c r="AC242" s="134" t="s">
        <v>2101</v>
      </c>
      <c r="AD242" s="7" t="s">
        <v>828</v>
      </c>
      <c r="AE242" s="171">
        <f ca="1">SUMIFS(Налоги!AE$25:AE$83,Налоги!$F$25:$F$83,$F242,Налоги!$AB$25:$AB$83,$G242)</f>
        <v>0</v>
      </c>
      <c r="AF242" s="171">
        <f ca="1">SUMIFS(Налоги!AF$25:AF$83,Налоги!$F$25:$F$83,$F242,Налоги!$AB$25:$AB$83,$G242)</f>
        <v>0</v>
      </c>
      <c r="AG242" s="171">
        <f ca="1">SUMIFS(Налоги!AG$25:AG$83,Налоги!$F$25:$F$83,$F242,Налоги!$AB$25:$AB$83,$G242)</f>
        <v>0</v>
      </c>
      <c r="AH242" s="171">
        <f t="shared" ca="1" si="50"/>
        <v>0</v>
      </c>
      <c r="AI242" s="171">
        <f ca="1">SUMIFS(Налоги!AH$25:AH$83,Налоги!$F$25:$F$83,$F242,Налоги!$AB$25:$AB$83,$G242)</f>
        <v>0</v>
      </c>
      <c r="AJ242" s="171">
        <f ca="1">SUMIFS(Налоги!AI$25:AI$83,Налоги!$F$25:$F$83,$F242,Налоги!$AB$25:$AB$83,$G242)</f>
        <v>0</v>
      </c>
      <c r="AK242" s="171">
        <f ca="1">SUMIFS(Налоги!AJ$25:AJ$83,Налоги!$F$25:$F$83,$F242,Налоги!$AB$25:$AB$83,$G242)</f>
        <v>0</v>
      </c>
      <c r="AL242" s="171">
        <f ca="1">SUMIFS(Налоги!AK$25:AK$83,Налоги!$F$25:$F$83,$F242,Налоги!$AB$25:$AB$83,$G242)</f>
        <v>0</v>
      </c>
      <c r="AM242" s="171">
        <f ca="1">SUMIFS(Налоги!AL$25:AL$83,Налоги!$F$25:$F$83,$F242,Налоги!$AB$25:$AB$83,$G242)</f>
        <v>0</v>
      </c>
      <c r="AN242" s="171">
        <f ca="1">SUMIFS(Налоги!AM$25:AM$83,Налоги!$F$25:$F$83,$F242,Налоги!$AB$25:$AB$83,$G242)</f>
        <v>0</v>
      </c>
      <c r="AO242" s="171">
        <f ca="1">SUMIFS(Налоги!AN$25:AN$83,Налоги!$F$25:$F$83,$F242,Налоги!$AB$25:$AB$83,$G242)</f>
        <v>0</v>
      </c>
      <c r="AP242" s="171">
        <f ca="1">SUMIFS(Налоги!AO$25:AO$83,Налоги!$F$25:$F$83,$F242,Налоги!$AB$25:$AB$83,$G242)</f>
        <v>0</v>
      </c>
      <c r="AQ242" s="171">
        <f ca="1">SUMIFS(Налоги!AP$25:AP$83,Налоги!$F$25:$F$83,$F242,Налоги!$AB$25:$AB$83,$G242)</f>
        <v>0</v>
      </c>
      <c r="AR242" s="171">
        <f ca="1">SUMIFS(Налоги!AQ$25:AQ$83,Налоги!$F$25:$F$83,$F242,Налоги!$AB$25:$AB$83,$G242)</f>
        <v>0</v>
      </c>
      <c r="AS242" s="171">
        <f ca="1">SUMIFS(Налоги!AR$25:AR$83,Налоги!$F$25:$F$83,$F242,Налоги!$AB$25:$AB$83,$G242)</f>
        <v>0</v>
      </c>
      <c r="AT242" s="171">
        <f ca="1">SUMIFS(Налоги!AS$25:AS$83,Налоги!$F$25:$F$83,$F242,Налоги!$AB$25:$AB$83,$G242)</f>
        <v>0</v>
      </c>
      <c r="AU242" s="171">
        <f ca="1">SUMIFS(Налоги!AT$25:AT$83,Налоги!$F$25:$F$83,$F242,Налоги!$AB$25:$AB$83,$G242)</f>
        <v>0</v>
      </c>
      <c r="AV242" s="171">
        <f ca="1">SUMIFS(Налоги!AU$25:AU$83,Налоги!$F$25:$F$83,$F242,Налоги!$AB$25:$AB$83,$G242)</f>
        <v>0</v>
      </c>
      <c r="AW242" s="171">
        <f ca="1">SUMIFS(Налоги!AV$25:AV$83,Налоги!$F$25:$F$83,$F242,Налоги!$AB$25:$AB$83,$G242)</f>
        <v>0</v>
      </c>
      <c r="AX242" s="171">
        <f ca="1">SUMIFS(Налоги!AW$25:AW$83,Налоги!$F$25:$F$83,$F242,Налоги!$AB$25:$AB$83,$G242)</f>
        <v>0</v>
      </c>
      <c r="AY242" s="171">
        <f ca="1">SUMIFS(Налоги!AX$25:AX$83,Налоги!$F$25:$F$83,$F242,Налоги!$AB$25:$AB$83,$G242)</f>
        <v>0</v>
      </c>
      <c r="AZ242" s="171">
        <f ca="1">SUMIFS(Налоги!AY$25:AY$83,Налоги!$F$25:$F$83,$F242,Налоги!$AB$25:$AB$83,$G242)</f>
        <v>0</v>
      </c>
      <c r="BA242" s="171">
        <f ca="1">SUMIFS(Налоги!AZ$25:AZ$83,Налоги!$F$25:$F$83,$F242,Налоги!$AB$25:$AB$83,$G242)</f>
        <v>0</v>
      </c>
      <c r="BB242" s="171">
        <f ca="1">SUMIFS(Налоги!BA$25:BA$83,Налоги!$F$25:$F$83,$F242,Налоги!$AB$25:$AB$83,$G242)</f>
        <v>0</v>
      </c>
      <c r="BC242" s="171">
        <f ca="1">SUMIFS(Налоги!BB$25:BB$83,Налоги!$F$25:$F$83,$F242,Налоги!$AB$25:$AB$83,$G242)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1" t="str">
        <f ca="1">IF(IFERROR(INDEX(Налоги!$K$26:$L$83,MATCH($F242&amp;"1komm",Налоги!$K$26:$K$83,0),2),"")=0,"",IFERROR(INDEX(Налоги!$K$26:$L$83,MATCH($F242&amp;"1komm",Налоги!$K$26:$K$83,0),2),""))</f>
        <v/>
      </c>
      <c r="BP242" s="196"/>
      <c r="BS242" s="696" t="s">
        <v>2102</v>
      </c>
    </row>
    <row r="243" spans="2:75" ht="138" customHeight="1" x14ac:dyDescent="0.15">
      <c r="B243" s="15"/>
      <c r="C243" s="25"/>
      <c r="D243" s="25"/>
      <c r="E243" s="451">
        <v>15</v>
      </c>
      <c r="F243" s="3" t="str" cm="1">
        <f t="array" aca="1" ref="F243" ca="1">OFFSET(E243,-1,1)</f>
        <v>1</v>
      </c>
      <c r="G243" s="611">
        <v>3</v>
      </c>
      <c r="H243" s="25"/>
      <c r="I243" s="25" t="s">
        <v>2103</v>
      </c>
      <c r="J243" s="25"/>
      <c r="K243" s="25" t="s">
        <v>2103</v>
      </c>
      <c r="L243" s="25"/>
      <c r="M243" s="25"/>
      <c r="N243" s="25"/>
      <c r="O243" s="25"/>
      <c r="P243" s="25"/>
      <c r="Q243" s="25"/>
      <c r="R243" s="25"/>
      <c r="S243" s="25"/>
      <c r="T243" s="353" t="b" cm="1">
        <f t="array" aca="1" ref="T243" ca="1">T242</f>
        <v>1</v>
      </c>
      <c r="U243" s="25"/>
      <c r="V243" s="25"/>
      <c r="X243" s="990"/>
      <c r="Z243" s="967"/>
      <c r="AB243" s="133" t="s">
        <v>2104</v>
      </c>
      <c r="AC243" s="134" t="s">
        <v>2105</v>
      </c>
      <c r="AD243" s="7" t="s">
        <v>828</v>
      </c>
      <c r="AE243" s="128">
        <f ca="1">SUMIFS(Налоги!AE$25:AE$83,Налоги!$F$25:$F$83,$F243,Налоги!$AB$25:$AB$83,$G243)</f>
        <v>0</v>
      </c>
      <c r="AF243" s="128">
        <f ca="1">SUMIFS(Налоги!AF$25:AF$83,Налоги!$F$25:$F$83,$F243,Налоги!$AB$25:$AB$83,$G243)</f>
        <v>0</v>
      </c>
      <c r="AG243" s="128">
        <f ca="1">SUMIFS(Налоги!AG$25:AG$83,Налоги!$F$25:$F$83,$F243,Налоги!$AB$25:$AB$83,$G243)</f>
        <v>0</v>
      </c>
      <c r="AH243" s="171">
        <f t="shared" ca="1" si="50"/>
        <v>0</v>
      </c>
      <c r="AI243" s="128">
        <f ca="1">SUMIFS(Налоги!AH$25:AH$83,Налоги!$F$25:$F$83,$F243,Налоги!$AB$25:$AB$83,$G243)</f>
        <v>0</v>
      </c>
      <c r="AJ243" s="128">
        <f ca="1">SUMIFS(Налоги!AI$25:AI$83,Налоги!$F$25:$F$83,$F243,Налоги!$AB$25:$AB$83,$G243)</f>
        <v>0</v>
      </c>
      <c r="AK243" s="778">
        <f ca="1">SUMIFS(Налоги!AJ$25:AJ$83,Налоги!$F$25:$F$83,$F243,Налоги!$AB$25:$AB$83,$G243)</f>
        <v>0</v>
      </c>
      <c r="AL243" s="778">
        <f ca="1">SUMIFS(Налоги!AK$25:AK$83,Налоги!$F$25:$F$83,$F243,Налоги!$AB$25:$AB$83,$G243)</f>
        <v>0</v>
      </c>
      <c r="AM243" s="128">
        <f ca="1">SUMIFS(Налоги!AL$25:AL$83,Налоги!$F$25:$F$83,$F243,Налоги!$AB$25:$AB$83,$G243)</f>
        <v>0</v>
      </c>
      <c r="AN243" s="128">
        <f ca="1">SUMIFS(Налоги!AM$25:AM$83,Налоги!$F$25:$F$83,$F243,Налоги!$AB$25:$AB$83,$G243)</f>
        <v>0</v>
      </c>
      <c r="AO243" s="128">
        <f ca="1">SUMIFS(Налоги!AN$25:AN$83,Налоги!$F$25:$F$83,$F243,Налоги!$AB$25:$AB$83,$G243)</f>
        <v>0</v>
      </c>
      <c r="AP243" s="128">
        <f ca="1">SUMIFS(Налоги!AO$25:AO$83,Налоги!$F$25:$F$83,$F243,Налоги!$AB$25:$AB$83,$G243)</f>
        <v>0</v>
      </c>
      <c r="AQ243" s="128">
        <f ca="1">SUMIFS(Налоги!AP$25:AP$83,Налоги!$F$25:$F$83,$F243,Налоги!$AB$25:$AB$83,$G243)</f>
        <v>0</v>
      </c>
      <c r="AR243" s="128">
        <f ca="1">SUMIFS(Налоги!AQ$25:AQ$83,Налоги!$F$25:$F$83,$F243,Налоги!$AB$25:$AB$83,$G243)</f>
        <v>0</v>
      </c>
      <c r="AS243" s="128">
        <f ca="1">SUMIFS(Налоги!AR$25:AR$83,Налоги!$F$25:$F$83,$F243,Налоги!$AB$25:$AB$83,$G243)</f>
        <v>0</v>
      </c>
      <c r="AT243" s="128">
        <f ca="1">SUMIFS(Налоги!AS$25:AS$83,Налоги!$F$25:$F$83,$F243,Налоги!$AB$25:$AB$83,$G243)</f>
        <v>0</v>
      </c>
      <c r="AU243" s="778">
        <f ca="1">SUMIFS(Налоги!AT$25:AT$83,Налоги!$F$25:$F$83,$F243,Налоги!$AB$25:$AB$83,$G243)</f>
        <v>0</v>
      </c>
      <c r="AV243" s="778">
        <f ca="1">SUMIFS(Налоги!AU$25:AU$83,Налоги!$F$25:$F$83,$F243,Налоги!$AB$25:$AB$83,$G243)</f>
        <v>0</v>
      </c>
      <c r="AW243" s="128">
        <f ca="1">SUMIFS(Налоги!AV$25:AV$83,Налоги!$F$25:$F$83,$F243,Налоги!$AB$25:$AB$83,$G243)</f>
        <v>0</v>
      </c>
      <c r="AX243" s="128">
        <f ca="1">SUMIFS(Налоги!AW$25:AW$83,Налоги!$F$25:$F$83,$F243,Налоги!$AB$25:$AB$83,$G243)</f>
        <v>0</v>
      </c>
      <c r="AY243" s="128">
        <f ca="1">SUMIFS(Налоги!AX$25:AX$83,Налоги!$F$25:$F$83,$F243,Налоги!$AB$25:$AB$83,$G243)</f>
        <v>0</v>
      </c>
      <c r="AZ243" s="128">
        <f ca="1">SUMIFS(Налоги!AY$25:AY$83,Налоги!$F$25:$F$83,$F243,Налоги!$AB$25:$AB$83,$G243)</f>
        <v>0</v>
      </c>
      <c r="BA243" s="128">
        <f ca="1">SUMIFS(Налоги!AZ$25:AZ$83,Налоги!$F$25:$F$83,$F243,Налоги!$AB$25:$AB$83,$G243)</f>
        <v>0</v>
      </c>
      <c r="BB243" s="128">
        <f ca="1">SUMIFS(Налоги!BA$25:BA$83,Налоги!$F$25:$F$83,$F243,Налоги!$AB$25:$AB$83,$G243)</f>
        <v>0</v>
      </c>
      <c r="BC243" s="128">
        <f ca="1">SUMIFS(Налоги!BB$25:BB$83,Налоги!$F$25:$F$83,$F243,Налоги!$AB$25:$AB$83,$G243)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1" t="str">
        <f ca="1">IF(IFERROR(INDEX(Налоги!$K$26:$L$83,MATCH($F243&amp;"5komm",Налоги!$K$26:$K$83,0),2),"")=0,"",IFERROR(INDEX(Налоги!$K$26:$L$83,MATCH($F243&amp;"5komm",Налоги!$K$26:$K$83,0),2),""))</f>
        <v>Рассчитано, исходя из принятого планового объема забора воды из р. Томь  (в целях реализации на сторону) и ставки  270,00 руб./тыс. м3 согласно Постановлению Правительства РФ от 30.12.2006 г. № 876 "О СТАВКАХ ПЛАТЫ ЗА ПОЛЬЗОВАНИЕ ВОДНЫМИ ОБЪЕКТАМИ, НАХОДЯЩИМИСЯ В ФЕДЕРАЛЬНОЙ СОБСТВЕННОСТИ", с учетом коэффициента  4,84, установленного Постановлением Правительства РФ от  от 21.12.2024 N 1847, с учетом  ИПЦ Минэкономразвития России  104,3% на 2026 год.</v>
      </c>
      <c r="BP243" s="196"/>
      <c r="BS243" s="696" t="s">
        <v>2106</v>
      </c>
    </row>
    <row r="244" spans="2:75" ht="14.25" customHeight="1" x14ac:dyDescent="0.15">
      <c r="B244" s="15"/>
      <c r="C244" s="25"/>
      <c r="D244" s="25"/>
      <c r="E244" s="451">
        <v>15</v>
      </c>
      <c r="F244" s="3" t="str" cm="1">
        <f t="array" aca="1" ref="F244" ca="1">OFFSET(E244,-1,1)</f>
        <v>1</v>
      </c>
      <c r="G244" s="611">
        <v>8</v>
      </c>
      <c r="H244" s="25"/>
      <c r="I244" s="25" t="s">
        <v>2107</v>
      </c>
      <c r="J244" s="25"/>
      <c r="K244" s="25" t="s">
        <v>2107</v>
      </c>
      <c r="L244" s="25"/>
      <c r="M244" s="25"/>
      <c r="N244" s="25"/>
      <c r="O244" s="25"/>
      <c r="P244" s="25"/>
      <c r="Q244" s="25"/>
      <c r="R244" s="25"/>
      <c r="S244" s="25"/>
      <c r="T244" s="353" t="b" cm="1">
        <f t="array" aca="1" ref="T244" ca="1">T243</f>
        <v>1</v>
      </c>
      <c r="U244" s="25"/>
      <c r="V244" s="25"/>
      <c r="X244" s="990"/>
      <c r="Z244" s="967"/>
      <c r="AB244" s="133" t="s">
        <v>2108</v>
      </c>
      <c r="AC244" s="134" t="s">
        <v>2109</v>
      </c>
      <c r="AD244" s="7" t="s">
        <v>828</v>
      </c>
      <c r="AE244" s="171">
        <f ca="1">SUMIFS(Налоги!AE$25:AE$83,Налоги!$F$25:$F$83,$F244,Налоги!$AB$25:$AB$83,$G244)</f>
        <v>0</v>
      </c>
      <c r="AF244" s="171">
        <f ca="1">SUMIFS(Налоги!AF$25:AF$83,Налоги!$F$25:$F$83,$F244,Налоги!$AB$25:$AB$83,$G244)</f>
        <v>0</v>
      </c>
      <c r="AG244" s="171">
        <f ca="1">SUMIFS(Налоги!AG$25:AG$83,Налоги!$F$25:$F$83,$F244,Налоги!$AB$25:$AB$83,$G244)</f>
        <v>0</v>
      </c>
      <c r="AH244" s="171">
        <f t="shared" ca="1" si="50"/>
        <v>0</v>
      </c>
      <c r="AI244" s="171">
        <f ca="1">SUMIFS(Налоги!AH$25:AH$83,Налоги!$F$25:$F$83,$F244,Налоги!$AB$25:$AB$83,$G244)</f>
        <v>0</v>
      </c>
      <c r="AJ244" s="171">
        <f ca="1">SUMIFS(Налоги!AI$25:AI$83,Налоги!$F$25:$F$83,$F244,Налоги!$AB$25:$AB$83,$G244)</f>
        <v>0</v>
      </c>
      <c r="AK244" s="171">
        <f ca="1">SUMIFS(Налоги!AJ$25:AJ$83,Налоги!$F$25:$F$83,$F244,Налоги!$AB$25:$AB$83,$G244)</f>
        <v>0</v>
      </c>
      <c r="AL244" s="171">
        <f ca="1">SUMIFS(Налоги!AK$25:AK$83,Налоги!$F$25:$F$83,$F244,Налоги!$AB$25:$AB$83,$G244)</f>
        <v>0</v>
      </c>
      <c r="AM244" s="171">
        <f ca="1">SUMIFS(Налоги!AL$25:AL$83,Налоги!$F$25:$F$83,$F244,Налоги!$AB$25:$AB$83,$G244)</f>
        <v>0</v>
      </c>
      <c r="AN244" s="171">
        <f ca="1">SUMIFS(Налоги!AM$25:AM$83,Налоги!$F$25:$F$83,$F244,Налоги!$AB$25:$AB$83,$G244)</f>
        <v>0</v>
      </c>
      <c r="AO244" s="171">
        <f ca="1">SUMIFS(Налоги!AN$25:AN$83,Налоги!$F$25:$F$83,$F244,Налоги!$AB$25:$AB$83,$G244)</f>
        <v>0</v>
      </c>
      <c r="AP244" s="171">
        <f ca="1">SUMIFS(Налоги!AO$25:AO$83,Налоги!$F$25:$F$83,$F244,Налоги!$AB$25:$AB$83,$G244)</f>
        <v>0</v>
      </c>
      <c r="AQ244" s="171">
        <f ca="1">SUMIFS(Налоги!AP$25:AP$83,Налоги!$F$25:$F$83,$F244,Налоги!$AB$25:$AB$83,$G244)</f>
        <v>0</v>
      </c>
      <c r="AR244" s="171">
        <f ca="1">SUMIFS(Налоги!AQ$25:AQ$83,Налоги!$F$25:$F$83,$F244,Налоги!$AB$25:$AB$83,$G244)</f>
        <v>0</v>
      </c>
      <c r="AS244" s="171">
        <f ca="1">SUMIFS(Налоги!AR$25:AR$83,Налоги!$F$25:$F$83,$F244,Налоги!$AB$25:$AB$83,$G244)</f>
        <v>0</v>
      </c>
      <c r="AT244" s="171">
        <f ca="1">SUMIFS(Налоги!AS$25:AS$83,Налоги!$F$25:$F$83,$F244,Налоги!$AB$25:$AB$83,$G244)</f>
        <v>0</v>
      </c>
      <c r="AU244" s="171">
        <f ca="1">SUMIFS(Налоги!AT$25:AT$83,Налоги!$F$25:$F$83,$F244,Налоги!$AB$25:$AB$83,$G244)</f>
        <v>0</v>
      </c>
      <c r="AV244" s="171">
        <f ca="1">SUMIFS(Налоги!AU$25:AU$83,Налоги!$F$25:$F$83,$F244,Налоги!$AB$25:$AB$83,$G244)</f>
        <v>0</v>
      </c>
      <c r="AW244" s="171">
        <f ca="1">SUMIFS(Налоги!AV$25:AV$83,Налоги!$F$25:$F$83,$F244,Налоги!$AB$25:$AB$83,$G244)</f>
        <v>0</v>
      </c>
      <c r="AX244" s="171">
        <f ca="1">SUMIFS(Налоги!AW$25:AW$83,Налоги!$F$25:$F$83,$F244,Налоги!$AB$25:$AB$83,$G244)</f>
        <v>0</v>
      </c>
      <c r="AY244" s="171">
        <f ca="1">SUMIFS(Налоги!AX$25:AX$83,Налоги!$F$25:$F$83,$F244,Налоги!$AB$25:$AB$83,$G244)</f>
        <v>0</v>
      </c>
      <c r="AZ244" s="171">
        <f ca="1">SUMIFS(Налоги!AY$25:AY$83,Налоги!$F$25:$F$83,$F244,Налоги!$AB$25:$AB$83,$G244)</f>
        <v>0</v>
      </c>
      <c r="BA244" s="171">
        <f ca="1">SUMIFS(Налоги!AZ$25:AZ$83,Налоги!$F$25:$F$83,$F244,Налоги!$AB$25:$AB$83,$G244)</f>
        <v>0</v>
      </c>
      <c r="BB244" s="171">
        <f ca="1">SUMIFS(Налоги!BA$25:BA$83,Налоги!$F$25:$F$83,$F244,Налоги!$AB$25:$AB$83,$G244)</f>
        <v>0</v>
      </c>
      <c r="BC244" s="171">
        <f ca="1">SUMIFS(Налоги!BB$25:BB$83,Налоги!$F$25:$F$83,$F244,Налоги!$AB$25:$AB$83,$G244)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1" t="str">
        <f ca="1">IF(IFERROR(INDEX(Налоги!$K$26:$L$83,MATCH($F244&amp;"8komm",Налоги!$K$26:$K$83,0),2),"")=0,"",IFERROR(INDEX(Налоги!$K$26:$L$83,MATCH($F244&amp;"8komm",Налоги!$K$26:$K$83,0),2),""))</f>
        <v/>
      </c>
      <c r="BP244" s="196"/>
      <c r="BS244" s="696" t="s">
        <v>1293</v>
      </c>
    </row>
    <row r="245" spans="2:75" s="376" customFormat="1" ht="14.25" customHeight="1" x14ac:dyDescent="0.15">
      <c r="B245" s="15"/>
      <c r="C245" s="25"/>
      <c r="D245" s="25"/>
      <c r="E245" s="451">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X245" s="990"/>
      <c r="Z245" s="967"/>
      <c r="AB245" s="133" t="s">
        <v>2110</v>
      </c>
      <c r="AC245" s="549" t="s">
        <v>2111</v>
      </c>
      <c r="AD245" s="7" t="s">
        <v>828</v>
      </c>
      <c r="AE245" s="171">
        <f ca="1">SUMIFS(Налоги!AE$25:AE$83,Налоги!$F$25:$F$83,$F245,Налоги!$AB$25:$AB$83,$G245)</f>
        <v>0</v>
      </c>
      <c r="AF245" s="171">
        <f ca="1">SUMIFS(Налоги!AF$25:AF$83,Налоги!$F$25:$F$83,$F245,Налоги!$AB$25:$AB$83,$G245)</f>
        <v>0</v>
      </c>
      <c r="AG245" s="171">
        <f ca="1">SUMIFS(Налоги!AG$25:AG$83,Налоги!$F$25:$F$83,$F245,Налоги!$AB$25:$AB$83,$G245)</f>
        <v>0</v>
      </c>
      <c r="AH245" s="171">
        <f t="shared" ca="1" si="50"/>
        <v>0</v>
      </c>
      <c r="AI245" s="171">
        <f ca="1">SUMIFS(Налоги!AH$25:AH$83,Налоги!$F$25:$F$83,$F245,Налоги!$AB$25:$AB$83,$G245)</f>
        <v>0</v>
      </c>
      <c r="AJ245" s="171">
        <f ca="1">SUMIFS(Налоги!AI$25:AI$83,Налоги!$F$25:$F$83,$F245,Налоги!$AB$25:$AB$83,$G245)</f>
        <v>0</v>
      </c>
      <c r="AK245" s="171">
        <f ca="1">SUMIFS(Налоги!AJ$25:AJ$83,Налоги!$F$25:$F$83,$F245,Налоги!$AB$25:$AB$83,$G245)</f>
        <v>0</v>
      </c>
      <c r="AL245" s="171">
        <f ca="1">SUMIFS(Налоги!AK$25:AK$83,Налоги!$F$25:$F$83,$F245,Налоги!$AB$25:$AB$83,$G245)</f>
        <v>0</v>
      </c>
      <c r="AM245" s="171">
        <f ca="1">SUMIFS(Налоги!AL$25:AL$83,Налоги!$F$25:$F$83,$F245,Налоги!$AB$25:$AB$83,$G245)</f>
        <v>0</v>
      </c>
      <c r="AN245" s="171">
        <f ca="1">SUMIFS(Налоги!AM$25:AM$83,Налоги!$F$25:$F$83,$F245,Налоги!$AB$25:$AB$83,$G245)</f>
        <v>0</v>
      </c>
      <c r="AO245" s="171">
        <f ca="1">SUMIFS(Налоги!AN$25:AN$83,Налоги!$F$25:$F$83,$F245,Налоги!$AB$25:$AB$83,$G245)</f>
        <v>0</v>
      </c>
      <c r="AP245" s="171">
        <f ca="1">SUMIFS(Налоги!AO$25:AO$83,Налоги!$F$25:$F$83,$F245,Налоги!$AB$25:$AB$83,$G245)</f>
        <v>0</v>
      </c>
      <c r="AQ245" s="171">
        <f ca="1">SUMIFS(Налоги!AP$25:AP$83,Налоги!$F$25:$F$83,$F245,Налоги!$AB$25:$AB$83,$G245)</f>
        <v>0</v>
      </c>
      <c r="AR245" s="171">
        <f ca="1">SUMIFS(Налоги!AQ$25:AQ$83,Налоги!$F$25:$F$83,$F245,Налоги!$AB$25:$AB$83,$G245)</f>
        <v>0</v>
      </c>
      <c r="AS245" s="171">
        <f ca="1">SUMIFS(Налоги!AR$25:AR$83,Налоги!$F$25:$F$83,$F245,Налоги!$AB$25:$AB$83,$G245)</f>
        <v>0</v>
      </c>
      <c r="AT245" s="171">
        <f ca="1">SUMIFS(Налоги!AS$25:AS$83,Налоги!$F$25:$F$83,$F245,Налоги!$AB$25:$AB$83,$G245)</f>
        <v>0</v>
      </c>
      <c r="AU245" s="171">
        <f ca="1">SUMIFS(Налоги!AT$25:AT$83,Налоги!$F$25:$F$83,$F245,Налоги!$AB$25:$AB$83,$G245)</f>
        <v>0</v>
      </c>
      <c r="AV245" s="171">
        <f ca="1">SUMIFS(Налоги!AU$25:AU$83,Налоги!$F$25:$F$83,$F245,Налоги!$AB$25:$AB$83,$G245)</f>
        <v>0</v>
      </c>
      <c r="AW245" s="171">
        <f ca="1">SUMIFS(Налоги!AV$25:AV$83,Налоги!$F$25:$F$83,$F245,Налоги!$AB$25:$AB$83,$G245)</f>
        <v>0</v>
      </c>
      <c r="AX245" s="171">
        <f ca="1">SUMIFS(Налоги!AW$25:AW$83,Налоги!$F$25:$F$83,$F245,Налоги!$AB$25:$AB$83,$G245)</f>
        <v>0</v>
      </c>
      <c r="AY245" s="171">
        <f ca="1">SUMIFS(Налоги!AX$25:AX$83,Налоги!$F$25:$F$83,$F245,Налоги!$AB$25:$AB$83,$G245)</f>
        <v>0</v>
      </c>
      <c r="AZ245" s="171">
        <f ca="1">SUMIFS(Налоги!AY$25:AY$83,Налоги!$F$25:$F$83,$F245,Налоги!$AB$25:$AB$83,$G245)</f>
        <v>0</v>
      </c>
      <c r="BA245" s="171">
        <f ca="1">SUMIFS(Налоги!AZ$25:AZ$83,Налоги!$F$25:$F$83,$F245,Налоги!$AB$25:$AB$83,$G245)</f>
        <v>0</v>
      </c>
      <c r="BB245" s="171">
        <f ca="1">SUMIFS(Налоги!BA$25:BA$83,Налоги!$F$25:$F$83,$F245,Налоги!$AB$25:$AB$83,$G245)</f>
        <v>0</v>
      </c>
      <c r="BC245" s="171">
        <f ca="1">SUMIFS(Налоги!BB$25:BB$83,Налоги!$F$25:$F$83,$F245,Налоги!$AB$25:$AB$83,$G245)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1" t="str">
        <f ca="1">IF(IFERROR(INDEX(Налоги!$K$26:$L$83,MATCH($F245&amp;"9komm",Налоги!$K$26:$K$83,0),2),"")=0,"",IFERROR(INDEX(Налоги!$K$26:$L$83,MATCH($F245&amp;"9komm",Налоги!$K$26:$K$83,0),2),""))</f>
        <v/>
      </c>
      <c r="BP245" s="196"/>
      <c r="BS245" s="703" t="s">
        <v>2112</v>
      </c>
      <c r="BT245" s="703"/>
      <c r="BU245" s="703"/>
      <c r="BV245" s="704"/>
      <c r="BW245" s="704"/>
    </row>
    <row r="246" spans="2:75" ht="14.25" customHeight="1" x14ac:dyDescent="0.15">
      <c r="B246" s="15"/>
      <c r="C246" s="25"/>
      <c r="D246" s="25"/>
      <c r="E246" s="451">
        <v>15</v>
      </c>
      <c r="F246" s="3" t="str" cm="1">
        <f t="array" aca="1" ref="F246" ca="1">OFFSET(E246,-1,1)</f>
        <v>1</v>
      </c>
      <c r="G246" s="611">
        <v>10</v>
      </c>
      <c r="H246" s="25"/>
      <c r="I246" s="25" t="s">
        <v>2113</v>
      </c>
      <c r="J246" s="25"/>
      <c r="K246" s="25" t="s">
        <v>2113</v>
      </c>
      <c r="L246" s="25"/>
      <c r="M246" s="25"/>
      <c r="N246" s="25"/>
      <c r="O246" s="25"/>
      <c r="P246" s="25"/>
      <c r="Q246" s="25"/>
      <c r="R246" s="25"/>
      <c r="S246" s="25"/>
      <c r="T246" s="353" t="b" cm="1">
        <f t="array" aca="1" ref="T246" ca="1">T245</f>
        <v>1</v>
      </c>
      <c r="U246" s="25"/>
      <c r="V246" s="25"/>
      <c r="X246" s="990"/>
      <c r="Z246" s="967"/>
      <c r="AB246" s="133" t="s">
        <v>2114</v>
      </c>
      <c r="AC246" s="549" t="s">
        <v>2115</v>
      </c>
      <c r="AD246" s="7" t="s">
        <v>828</v>
      </c>
      <c r="AE246" s="171">
        <f ca="1">SUMIFS(Налоги!AE$25:AE$83,Налоги!$F$25:$F$83,$F246,Налоги!$AB$25:$AB$83,$G246)</f>
        <v>0</v>
      </c>
      <c r="AF246" s="171">
        <f ca="1">SUMIFS(Налоги!AF$25:AF$83,Налоги!$F$25:$F$83,$F246,Налоги!$AB$25:$AB$83,$G246)</f>
        <v>0</v>
      </c>
      <c r="AG246" s="171">
        <f ca="1">SUMIFS(Налоги!AG$25:AG$83,Налоги!$F$25:$F$83,$F246,Налоги!$AB$25:$AB$83,$G246)</f>
        <v>0</v>
      </c>
      <c r="AH246" s="171">
        <f t="shared" ca="1" si="50"/>
        <v>0</v>
      </c>
      <c r="AI246" s="171">
        <f ca="1">SUMIFS(Налоги!AH$25:AH$83,Налоги!$F$25:$F$83,$F246,Налоги!$AB$25:$AB$83,$G246)</f>
        <v>0</v>
      </c>
      <c r="AJ246" s="171">
        <f ca="1">SUMIFS(Налоги!AI$25:AI$83,Налоги!$F$25:$F$83,$F246,Налоги!$AB$25:$AB$83,$G246)</f>
        <v>0</v>
      </c>
      <c r="AK246" s="171">
        <f ca="1">SUMIFS(Налоги!AJ$25:AJ$83,Налоги!$F$25:$F$83,$F246,Налоги!$AB$25:$AB$83,$G246)</f>
        <v>0</v>
      </c>
      <c r="AL246" s="171">
        <f ca="1">SUMIFS(Налоги!AK$25:AK$83,Налоги!$F$25:$F$83,$F246,Налоги!$AB$25:$AB$83,$G246)</f>
        <v>0</v>
      </c>
      <c r="AM246" s="171">
        <f ca="1">SUMIFS(Налоги!AL$25:AL$83,Налоги!$F$25:$F$83,$F246,Налоги!$AB$25:$AB$83,$G246)</f>
        <v>0</v>
      </c>
      <c r="AN246" s="171">
        <f ca="1">SUMIFS(Налоги!AM$25:AM$83,Налоги!$F$25:$F$83,$F246,Налоги!$AB$25:$AB$83,$G246)</f>
        <v>0</v>
      </c>
      <c r="AO246" s="171">
        <f ca="1">SUMIFS(Налоги!AN$25:AN$83,Налоги!$F$25:$F$83,$F246,Налоги!$AB$25:$AB$83,$G246)</f>
        <v>0</v>
      </c>
      <c r="AP246" s="171">
        <f ca="1">SUMIFS(Налоги!AO$25:AO$83,Налоги!$F$25:$F$83,$F246,Налоги!$AB$25:$AB$83,$G246)</f>
        <v>0</v>
      </c>
      <c r="AQ246" s="171">
        <f ca="1">SUMIFS(Налоги!AP$25:AP$83,Налоги!$F$25:$F$83,$F246,Налоги!$AB$25:$AB$83,$G246)</f>
        <v>0</v>
      </c>
      <c r="AR246" s="171">
        <f ca="1">SUMIFS(Налоги!AQ$25:AQ$83,Налоги!$F$25:$F$83,$F246,Налоги!$AB$25:$AB$83,$G246)</f>
        <v>0</v>
      </c>
      <c r="AS246" s="171">
        <f ca="1">SUMIFS(Налоги!AR$25:AR$83,Налоги!$F$25:$F$83,$F246,Налоги!$AB$25:$AB$83,$G246)</f>
        <v>0</v>
      </c>
      <c r="AT246" s="171">
        <f ca="1">SUMIFS(Налоги!AS$25:AS$83,Налоги!$F$25:$F$83,$F246,Налоги!$AB$25:$AB$83,$G246)</f>
        <v>0</v>
      </c>
      <c r="AU246" s="171">
        <f ca="1">SUMIFS(Налоги!AT$25:AT$83,Налоги!$F$25:$F$83,$F246,Налоги!$AB$25:$AB$83,$G246)</f>
        <v>0</v>
      </c>
      <c r="AV246" s="171">
        <f ca="1">SUMIFS(Налоги!AU$25:AU$83,Налоги!$F$25:$F$83,$F246,Налоги!$AB$25:$AB$83,$G246)</f>
        <v>0</v>
      </c>
      <c r="AW246" s="171">
        <f ca="1">SUMIFS(Налоги!AV$25:AV$83,Налоги!$F$25:$F$83,$F246,Налоги!$AB$25:$AB$83,$G246)</f>
        <v>0</v>
      </c>
      <c r="AX246" s="171">
        <f ca="1">SUMIFS(Налоги!AW$25:AW$83,Налоги!$F$25:$F$83,$F246,Налоги!$AB$25:$AB$83,$G246)</f>
        <v>0</v>
      </c>
      <c r="AY246" s="171">
        <f ca="1">SUMIFS(Налоги!AX$25:AX$83,Налоги!$F$25:$F$83,$F246,Налоги!$AB$25:$AB$83,$G246)</f>
        <v>0</v>
      </c>
      <c r="AZ246" s="171">
        <f ca="1">SUMIFS(Налоги!AY$25:AY$83,Налоги!$F$25:$F$83,$F246,Налоги!$AB$25:$AB$83,$G246)</f>
        <v>0</v>
      </c>
      <c r="BA246" s="171">
        <f ca="1">SUMIFS(Налоги!AZ$25:AZ$83,Налоги!$F$25:$F$83,$F246,Налоги!$AB$25:$AB$83,$G246)</f>
        <v>0</v>
      </c>
      <c r="BB246" s="171">
        <f ca="1">SUMIFS(Налоги!BA$25:BA$83,Налоги!$F$25:$F$83,$F246,Налоги!$AB$25:$AB$83,$G246)</f>
        <v>0</v>
      </c>
      <c r="BC246" s="171">
        <f ca="1">SUMIFS(Налоги!BB$25:BB$83,Налоги!$F$25:$F$83,$F246,Налоги!$AB$25:$AB$83,$G246)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1" t="str">
        <f ca="1">IF(IFERROR(INDEX(Налоги!$K$26:$L$83,MATCH($F246&amp;"10komm",Налоги!$K$26:$K$83,0),2),"")=0,"",IFERROR(INDEX(Налоги!$K$26:$L$83,MATCH($F246&amp;"10komm",Налоги!$K$26:$K$83,0),2),""))</f>
        <v/>
      </c>
      <c r="BP246" s="196"/>
      <c r="BS246" s="696" t="s">
        <v>2116</v>
      </c>
    </row>
    <row r="247" spans="2:75" ht="65.25" customHeight="1" x14ac:dyDescent="0.15">
      <c r="E247" s="507">
        <v>67.5</v>
      </c>
      <c r="F247" s="3" t="str" cm="1">
        <f t="array" aca="1" ref="F247" ca="1">OFFSET(E247,-1,1)</f>
        <v>1</v>
      </c>
      <c r="G247" s="72" t="s">
        <v>1453</v>
      </c>
      <c r="I247" s="72" t="s">
        <v>961</v>
      </c>
      <c r="K247" s="72" t="s">
        <v>961</v>
      </c>
      <c r="L247" s="25"/>
      <c r="M247" s="25"/>
      <c r="T247" s="353" t="b" cm="1">
        <f t="array" aca="1" ref="T247" ca="1">T246</f>
        <v>1</v>
      </c>
      <c r="X247" s="990"/>
      <c r="Z247" s="967"/>
      <c r="AB247" s="133" t="s">
        <v>962</v>
      </c>
      <c r="AC247" s="550" t="s">
        <v>1456</v>
      </c>
      <c r="AD247" s="7" t="s">
        <v>828</v>
      </c>
      <c r="AE247" s="141"/>
      <c r="AF247" s="141"/>
      <c r="AG247" s="141"/>
      <c r="AH247" s="171">
        <f t="shared" si="50"/>
        <v>0</v>
      </c>
      <c r="AI247" s="141"/>
      <c r="AJ247" s="141"/>
      <c r="AK247" s="781"/>
      <c r="AL247" s="781"/>
      <c r="AM247" s="141"/>
      <c r="AN247" s="141"/>
      <c r="AO247" s="141"/>
      <c r="AP247" s="141"/>
      <c r="AQ247" s="141"/>
      <c r="AR247" s="141"/>
      <c r="AS247" s="141"/>
      <c r="AT247" s="141"/>
      <c r="AU247" s="781"/>
      <c r="AV247" s="781"/>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6" t="s">
        <v>2117</v>
      </c>
    </row>
    <row r="248" spans="2:75" ht="14.25" customHeight="1" x14ac:dyDescent="0.15">
      <c r="E248" s="507">
        <v>15</v>
      </c>
      <c r="F248" s="3" t="str" cm="1">
        <f t="array" aca="1" ref="F248" ca="1">OFFSET(E248,-1,1)</f>
        <v>1</v>
      </c>
      <c r="G248" s="72" t="s">
        <v>1065</v>
      </c>
      <c r="I248" s="72" t="s">
        <v>964</v>
      </c>
      <c r="K248" s="72" t="s">
        <v>964</v>
      </c>
      <c r="L248" s="25" t="s">
        <v>532</v>
      </c>
      <c r="M248" s="25"/>
      <c r="T248" s="353" t="b" cm="1">
        <f t="array" aca="1" ref="T248" ca="1">T247</f>
        <v>1</v>
      </c>
      <c r="X248" s="990"/>
      <c r="Z248" s="967"/>
      <c r="AB248" s="133" t="s">
        <v>965</v>
      </c>
      <c r="AC248" s="127" t="s">
        <v>1065</v>
      </c>
      <c r="AD248" s="7" t="s">
        <v>828</v>
      </c>
      <c r="AE248" s="171">
        <f ca="1">SUMIFS(Аренда!AE$25:AE$67,Аренда!$F$25:$F$67,$F248,Аренда!$G$25:$G$67,"Арендная и концессионная плата, лизинговые платежи")</f>
        <v>0</v>
      </c>
      <c r="AF248" s="171">
        <f ca="1">SUMIFS(Аренда!AF$25:AF$67,Аренда!$F$25:$F$67,$F248,Аренда!$G$25:$G$67,"Арендная и концессионная плата, лизинговые платежи")</f>
        <v>0</v>
      </c>
      <c r="AG248" s="171">
        <f ca="1">SUMIFS(Аренда!AG$25:AG$67,Аренда!$F$25:$F$67,$F248,Аренда!$G$25:$G$67,"Арендная и концессионная плата, лизинговые платежи")</f>
        <v>0</v>
      </c>
      <c r="AH248" s="171">
        <f t="shared" ca="1" si="50"/>
        <v>0</v>
      </c>
      <c r="AI248" s="171">
        <f ca="1">SUMIFS(Аренда!AH$25:AH$67,Аренда!$F$25:$F$67,$F248,Аренда!$G$25:$G$67,"Арендная и концессионная плата, лизинговые платежи")</f>
        <v>0</v>
      </c>
      <c r="AJ248" s="171">
        <f ca="1">SUMIFS(Аренда!AI$25:AI$67,Аренда!$F$25:$F$67,$F248,Аренда!$G$25:$G$67,"Арендная и концессионная плата, лизинговые платежи")</f>
        <v>0</v>
      </c>
      <c r="AK248" s="171">
        <f ca="1">SUMIFS(Аренда!AJ$25:AJ$67,Аренда!$F$25:$F$67,$F248,Аренда!$G$25:$G$67,"Арендная и концессионная плата, лизинговые платежи")</f>
        <v>0</v>
      </c>
      <c r="AL248" s="171">
        <f ca="1">SUMIFS(Аренда!AK$25:AK$67,Аренда!$F$25:$F$67,$F248,Аренда!$G$25:$G$67,"Арендная и концессионная плата, лизинговые платежи")</f>
        <v>0</v>
      </c>
      <c r="AM248" s="171">
        <f ca="1">SUMIFS(Аренда!AL$25:AL$67,Аренда!$F$25:$F$67,$F248,Аренда!$G$25:$G$67,"Арендная и концессионная плата, лизинговые платежи")</f>
        <v>0</v>
      </c>
      <c r="AN248" s="171">
        <f ca="1">SUMIFS(Аренда!AM$25:AM$67,Аренда!$F$25:$F$67,$F248,Аренда!$G$25:$G$67,"Арендная и концессионная плата, лизинговые платежи")</f>
        <v>0</v>
      </c>
      <c r="AO248" s="171">
        <f ca="1">SUMIFS(Аренда!AN$25:AN$67,Аренда!$F$25:$F$67,$F248,Аренда!$G$25:$G$67,"Арендная и концессионная плата, лизинговые платежи")</f>
        <v>0</v>
      </c>
      <c r="AP248" s="171">
        <f ca="1">SUMIFS(Аренда!AO$25:AO$67,Аренда!$F$25:$F$67,$F248,Аренда!$G$25:$G$67,"Арендная и концессионная плата, лизинговые платежи")</f>
        <v>0</v>
      </c>
      <c r="AQ248" s="171">
        <f ca="1">SUMIFS(Аренда!AP$25:AP$67,Аренда!$F$25:$F$67,$F248,Аренда!$G$25:$G$67,"Арендная и концессионная плата, лизинговые платежи")</f>
        <v>0</v>
      </c>
      <c r="AR248" s="171">
        <f ca="1">SUMIFS(Аренда!AQ$25:AQ$67,Аренда!$F$25:$F$67,$F248,Аренда!$G$25:$G$67,"Арендная и концессионная плата, лизинговые платежи")</f>
        <v>0</v>
      </c>
      <c r="AS248" s="171">
        <f ca="1">SUMIFS(Аренда!AR$25:AR$67,Аренда!$F$25:$F$67,$F248,Аренда!$G$25:$G$67,"Арендная и концессионная плата, лизинговые платежи")</f>
        <v>0</v>
      </c>
      <c r="AT248" s="171">
        <f ca="1">SUMIFS(Аренда!AS$25:AS$67,Аренда!$F$25:$F$67,$F248,Аренда!$G$25:$G$67,"Арендная и концессионная плата, лизинговые платежи")</f>
        <v>0</v>
      </c>
      <c r="AU248" s="171">
        <f ca="1">SUMIFS(Аренда!AT$25:AT$67,Аренда!$F$25:$F$67,$F248,Аренда!$G$25:$G$67,"Арендная и концессионная плата, лизинговые платежи")</f>
        <v>0</v>
      </c>
      <c r="AV248" s="171">
        <f ca="1">SUMIFS(Аренда!AU$25:AU$67,Аренда!$F$25:$F$67,$F248,Аренда!$G$25:$G$67,"Арендная и концессионная плата, лизинговые платежи")</f>
        <v>0</v>
      </c>
      <c r="AW248" s="171">
        <f ca="1">SUMIFS(Аренда!AV$25:AV$67,Аренда!$F$25:$F$67,$F248,Аренда!$G$25:$G$67,"Арендная и концессионная плата, лизинговые платежи")</f>
        <v>0</v>
      </c>
      <c r="AX248" s="171">
        <f ca="1">SUMIFS(Аренда!AW$25:AW$67,Аренда!$F$25:$F$67,$F248,Аренда!$G$25:$G$67,"Арендная и концессионная плата, лизинговые платежи")</f>
        <v>0</v>
      </c>
      <c r="AY248" s="171">
        <f ca="1">SUMIFS(Аренда!AX$25:AX$67,Аренда!$F$25:$F$67,$F248,Аренда!$G$25:$G$67,"Арендная и концессионная плата, лизинговые платежи")</f>
        <v>0</v>
      </c>
      <c r="AZ248" s="171">
        <f ca="1">SUMIFS(Аренда!AY$25:AY$67,Аренда!$F$25:$F$67,$F248,Аренда!$G$25:$G$67,"Арендная и концессионная плата, лизинговые платежи")</f>
        <v>0</v>
      </c>
      <c r="BA248" s="171">
        <f ca="1">SUMIFS(Аренда!AZ$25:AZ$67,Аренда!$F$25:$F$67,$F248,Аренда!$G$25:$G$67,"Арендная и концессионная плата, лизинговые платежи")</f>
        <v>0</v>
      </c>
      <c r="BB248" s="171">
        <f ca="1">SUMIFS(Аренда!BA$25:BA$67,Аренда!$F$25:$F$67,$F248,Аренда!$G$25:$G$67,"Арендная и концессионная плата, лизинговые платежи")</f>
        <v>0</v>
      </c>
      <c r="BC248" s="171">
        <f ca="1">SUMIFS(Аренда!BB$25:BB$67,Аренда!$F$25:$F$67,$F248,Аренда!$G$25:$G$67,"Арендная и концессионная плата, лизинговые платежи")</f>
        <v>0</v>
      </c>
      <c r="BD248" s="171">
        <f t="shared" ca="1" si="52"/>
        <v>0</v>
      </c>
      <c r="BE248" s="171">
        <f t="shared" ca="1" si="53"/>
        <v>0</v>
      </c>
      <c r="BF248" s="171">
        <f t="shared" ca="1" si="54"/>
        <v>0</v>
      </c>
      <c r="BG248" s="171">
        <f t="shared" ca="1" si="55"/>
        <v>0</v>
      </c>
      <c r="BH248" s="171">
        <f t="shared" ca="1" si="56"/>
        <v>0</v>
      </c>
      <c r="BI248" s="171">
        <f t="shared" ca="1" si="57"/>
        <v>0</v>
      </c>
      <c r="BJ248" s="171">
        <f t="shared" ca="1" si="58"/>
        <v>0</v>
      </c>
      <c r="BK248" s="171">
        <f t="shared" ca="1" si="59"/>
        <v>0</v>
      </c>
      <c r="BL248" s="171">
        <f t="shared" ca="1" si="60"/>
        <v>0</v>
      </c>
      <c r="BM248" s="171">
        <f t="shared" ca="1" si="61"/>
        <v>0</v>
      </c>
      <c r="BN248" s="196"/>
      <c r="BO248" s="601" t="str">
        <f ca="1">IF(IFERROR(INDEX(Аренда!$K$26:$L$67,MATCH($F248&amp;"komm",Аренда!$K$26:$K$67,0),2),"")=0,"",IFERROR(INDEX(Аренда!$K$26:$L$67,MATCH($F248&amp;"komm",Аренда!$K$26:$K$67,0),2),""))</f>
        <v/>
      </c>
      <c r="BP248" s="196"/>
      <c r="BS248" s="696" t="s">
        <v>2118</v>
      </c>
    </row>
    <row r="249" spans="2:75" ht="14.25" hidden="1" customHeight="1" x14ac:dyDescent="0.15">
      <c r="B249" s="329" t="b">
        <f>STATUS_GO="да"</f>
        <v>0</v>
      </c>
      <c r="E249" s="507">
        <v>15</v>
      </c>
      <c r="F249" s="3" t="str" cm="1">
        <f t="array" aca="1" ref="F249" ca="1">OFFSET(E249,-1,1)</f>
        <v>1</v>
      </c>
      <c r="I249" s="72" t="s">
        <v>2119</v>
      </c>
      <c r="K249" s="72" t="s">
        <v>2119</v>
      </c>
      <c r="L249" s="25"/>
      <c r="M249" s="25"/>
      <c r="T249" s="353" t="b" cm="1">
        <f t="array" aca="1" ref="T249" ca="1">T248</f>
        <v>1</v>
      </c>
      <c r="X249" s="990"/>
      <c r="Z249" s="967"/>
      <c r="AB249" s="133" t="s">
        <v>1520</v>
      </c>
      <c r="AC249" s="127" t="s">
        <v>2120</v>
      </c>
      <c r="AD249" s="7" t="s">
        <v>828</v>
      </c>
      <c r="AE249" s="778"/>
      <c r="AF249" s="778"/>
      <c r="AG249" s="778"/>
      <c r="AH249" s="171">
        <f t="shared" si="50"/>
        <v>0</v>
      </c>
      <c r="AI249" s="778"/>
      <c r="AJ249" s="128"/>
      <c r="AK249" s="778"/>
      <c r="AL249" s="778"/>
      <c r="AM249" s="778"/>
      <c r="AN249" s="778"/>
      <c r="AO249" s="778"/>
      <c r="AP249" s="778"/>
      <c r="AQ249" s="778"/>
      <c r="AR249" s="778"/>
      <c r="AS249" s="778"/>
      <c r="AT249" s="128"/>
      <c r="AU249" s="778"/>
      <c r="AV249" s="778"/>
      <c r="AW249" s="778"/>
      <c r="AX249" s="778"/>
      <c r="AY249" s="778"/>
      <c r="AZ249" s="778"/>
      <c r="BA249" s="778"/>
      <c r="BB249" s="778"/>
      <c r="BC249" s="778"/>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775"/>
      <c r="BO249" s="775"/>
      <c r="BP249" s="775"/>
      <c r="BS249" s="696" t="s">
        <v>2121</v>
      </c>
    </row>
    <row r="250" spans="2:75" ht="14.25" hidden="1" customHeight="1" x14ac:dyDescent="0.15">
      <c r="B250" s="329" t="b">
        <f>STATUS_GO="да"</f>
        <v>0</v>
      </c>
      <c r="E250" s="507">
        <v>15</v>
      </c>
      <c r="F250" s="3" t="str" cm="1">
        <f t="array" aca="1" ref="F250" ca="1">OFFSET(E250,-1,1)</f>
        <v>1</v>
      </c>
      <c r="G250" s="72" t="s">
        <v>1462</v>
      </c>
      <c r="I250" s="72" t="s">
        <v>2122</v>
      </c>
      <c r="K250" s="72" t="s">
        <v>2122</v>
      </c>
      <c r="L250" s="25"/>
      <c r="M250" s="25"/>
      <c r="T250" s="353" t="b" cm="1">
        <f t="array" aca="1" ref="T250" ca="1">T249</f>
        <v>1</v>
      </c>
      <c r="X250" s="990"/>
      <c r="Z250" s="967"/>
      <c r="AB250" s="133" t="s">
        <v>2123</v>
      </c>
      <c r="AC250" s="134" t="s">
        <v>1462</v>
      </c>
      <c r="AD250" s="7" t="s">
        <v>828</v>
      </c>
      <c r="AE250" s="778"/>
      <c r="AF250" s="778"/>
      <c r="AG250" s="778"/>
      <c r="AH250" s="171">
        <f t="shared" si="50"/>
        <v>0</v>
      </c>
      <c r="AI250" s="778"/>
      <c r="AJ250" s="128"/>
      <c r="AK250" s="778"/>
      <c r="AL250" s="778"/>
      <c r="AM250" s="778"/>
      <c r="AN250" s="778"/>
      <c r="AO250" s="778"/>
      <c r="AP250" s="778"/>
      <c r="AQ250" s="778"/>
      <c r="AR250" s="778"/>
      <c r="AS250" s="778"/>
      <c r="AT250" s="128"/>
      <c r="AU250" s="778"/>
      <c r="AV250" s="778"/>
      <c r="AW250" s="778"/>
      <c r="AX250" s="778"/>
      <c r="AY250" s="778"/>
      <c r="AZ250" s="778"/>
      <c r="BA250" s="778"/>
      <c r="BB250" s="778"/>
      <c r="BC250" s="77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775"/>
      <c r="BO250" s="779" t="str">
        <f ca="1">IF(IFERROR(INDEX('Сбытовые расходы ГО'!$K$26:$M$75,MATCH($F250&amp;"komm",'Сбытовые расходы ГО'!$K$26:$K$75,0),2),"")=0,"",IFERROR(INDEX('Сбытовые расходы ГО'!$K$26:$M$75,MATCH($F250&amp;"komm",'Сбытовые расходы ГО'!$K$26:$K$75,0),2),""))</f>
        <v/>
      </c>
      <c r="BP250" s="775"/>
      <c r="BS250" s="696" t="s">
        <v>2124</v>
      </c>
    </row>
    <row r="251" spans="2:75" ht="14.65" customHeight="1" x14ac:dyDescent="0.15">
      <c r="E251" s="507">
        <v>15</v>
      </c>
      <c r="F251" s="3" t="str" cm="1">
        <f t="array" aca="1" ref="F251" ca="1">OFFSET(E251,-1,1)</f>
        <v>1</v>
      </c>
      <c r="G251" s="72" t="s">
        <v>1467</v>
      </c>
      <c r="I251" s="72" t="s">
        <v>2125</v>
      </c>
      <c r="K251" s="72" t="s">
        <v>2125</v>
      </c>
      <c r="L251" s="25"/>
      <c r="M251" s="25"/>
      <c r="T251" s="353" t="b" cm="1">
        <f t="array" aca="1" ref="T251" ca="1">T250</f>
        <v>1</v>
      </c>
      <c r="X251" s="990"/>
      <c r="Z251" s="967"/>
      <c r="AB251" s="133" t="s">
        <v>1525</v>
      </c>
      <c r="AC251" s="127" t="s">
        <v>1467</v>
      </c>
      <c r="AD251" s="7" t="s">
        <v>828</v>
      </c>
      <c r="AE251" s="128">
        <v>0</v>
      </c>
      <c r="AF251" s="128"/>
      <c r="AG251" s="128"/>
      <c r="AH251" s="171">
        <f t="shared" si="50"/>
        <v>0</v>
      </c>
      <c r="AI251" s="128">
        <v>0</v>
      </c>
      <c r="AJ251" s="128">
        <f ca="1">SUMIFS(Экономия_корр!AE$25:AE$59,Экономия_корр!$F$25:$F$59,$F251,Экономия_корр!$AC$25:$AC$59,"Экономия расходов с учетом ИПЦ")</f>
        <v>0</v>
      </c>
      <c r="AK251" s="778">
        <f ca="1">SUMIFS(Экономия_корр!AF$25:AF$59,Экономия_корр!$F$25:$F$59,$F251,Экономия_корр!$AC$25:$AC$59,"Экономия расходов с учетом ИПЦ")</f>
        <v>0</v>
      </c>
      <c r="AL251" s="778">
        <f ca="1">SUMIFS(Экономия_корр!AG$25:AG$59,Экономия_корр!$F$25:$F$59,$F251,Экономия_корр!$AC$25:$AC$59,"Экономия расходов с учетом ИПЦ")</f>
        <v>0</v>
      </c>
      <c r="AM251" s="128">
        <f ca="1">SUMIFS(Экономия_корр!AH$25:AH$59,Экономия_корр!$F$25:$F$59,$F251,Экономия_корр!$AC$25:$AC$59,"Экономия расходов с учетом ИПЦ")</f>
        <v>0</v>
      </c>
      <c r="AN251" s="128">
        <f ca="1">SUMIFS(Экономия_корр!AI$25:AI$59,Экономия_корр!$F$25:$F$59,$F251,Экономия_корр!$AC$25:$AC$59,"Экономия расходов с учетом ИПЦ")</f>
        <v>0</v>
      </c>
      <c r="AO251" s="128">
        <f ca="1">SUMIFS(Экономия_корр!AJ$25:AJ$59,Экономия_корр!$F$25:$F$59,$F251,Экономия_корр!$AC$25:$AC$59,"Экономия расходов с учетом ИПЦ")</f>
        <v>0</v>
      </c>
      <c r="AP251" s="128">
        <f ca="1">SUMIFS(Экономия_корр!AK$25:AK$59,Экономия_корр!$F$25:$F$59,$F251,Экономия_корр!$AC$25:$AC$59,"Экономия расходов с учетом ИПЦ")</f>
        <v>0</v>
      </c>
      <c r="AQ251" s="128">
        <f ca="1">SUMIFS(Экономия_корр!AL$25:AL$59,Экономия_корр!$F$25:$F$59,$F251,Экономия_корр!$AC$25:$AC$59,"Экономия расходов с учетом ИПЦ")</f>
        <v>0</v>
      </c>
      <c r="AR251" s="128">
        <f ca="1">SUMIFS(Экономия_корр!AM$25:AM$59,Экономия_корр!$F$25:$F$59,$F251,Экономия_корр!$AC$25:$AC$59,"Экономия расходов с учетом ИПЦ")</f>
        <v>0</v>
      </c>
      <c r="AS251" s="128">
        <f ca="1">SUMIFS(Экономия_корр!AN$25:AN$59,Экономия_корр!$F$25:$F$59,$F251,Экономия_корр!$AC$25:$AC$59,"Экономия расходов с учетом ИПЦ")</f>
        <v>0</v>
      </c>
      <c r="AT251" s="128">
        <f ca="1">SUMIFS(Экономия_корр!AO$25:AO$59,Экономия_корр!$F$25:$F$59,$F251,Экономия_корр!$AC$25:$AC$59,"Экономия расходов с учетом ИПЦ")</f>
        <v>0</v>
      </c>
      <c r="AU251" s="778">
        <f ca="1">SUMIFS(Экономия_корр!AP$25:AP$59,Экономия_корр!$F$25:$F$59,$F251,Экономия_корр!$AC$25:$AC$59,"Экономия расходов с учетом ИПЦ")</f>
        <v>0</v>
      </c>
      <c r="AV251" s="778">
        <f ca="1">SUMIFS(Экономия_корр!AQ$25:AQ$59,Экономия_корр!$F$25:$F$59,$F251,Экономия_корр!$AC$25:$AC$59,"Экономия расходов с учетом ИПЦ")</f>
        <v>0</v>
      </c>
      <c r="AW251" s="128">
        <f ca="1">SUMIFS(Экономия_корр!AR$25:AR$59,Экономия_корр!$F$25:$F$59,$F251,Экономия_корр!$AC$25:$AC$59,"Экономия расходов с учетом ИПЦ")</f>
        <v>0</v>
      </c>
      <c r="AX251" s="128">
        <f ca="1">SUMIFS(Экономия_корр!AS$25:AS$59,Экономия_корр!$F$25:$F$59,$F251,Экономия_корр!$AC$25:$AC$59,"Экономия расходов с учетом ИПЦ")</f>
        <v>0</v>
      </c>
      <c r="AY251" s="128">
        <f ca="1">SUMIFS(Экономия_корр!AT$25:AT$59,Экономия_корр!$F$25:$F$59,$F251,Экономия_корр!$AC$25:$AC$59,"Экономия расходов с учетом ИПЦ")</f>
        <v>0</v>
      </c>
      <c r="AZ251" s="128">
        <f ca="1">SUMIFS(Экономия_корр!AU$25:AU$59,Экономия_корр!$F$25:$F$59,$F251,Экономия_корр!$AC$25:$AC$59,"Экономия расходов с учетом ИПЦ")</f>
        <v>0</v>
      </c>
      <c r="BA251" s="128">
        <f ca="1">SUMIFS(Экономия_корр!AV$25:AV$59,Экономия_корр!$F$25:$F$59,$F251,Экономия_корр!$AC$25:$AC$59,"Экономия расходов с учетом ИПЦ")</f>
        <v>0</v>
      </c>
      <c r="BB251" s="128">
        <f ca="1">SUMIFS(Экономия_корр!AW$25:AW$59,Экономия_корр!$F$25:$F$59,$F251,Экономия_корр!$AC$25:$AC$59,"Экономия расходов с учетом ИПЦ")</f>
        <v>0</v>
      </c>
      <c r="BC251" s="128">
        <f ca="1">SUMIFS(Экономия_корр!AX$25:AX$59,Экономия_корр!$F$25:$F$59,$F251,Экономия_корр!$AC$25:$AC$59,"Экономия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6" t="s">
        <v>2126</v>
      </c>
    </row>
    <row r="252" spans="2:75" ht="14.25" customHeight="1" x14ac:dyDescent="0.15">
      <c r="E252" s="507">
        <v>15</v>
      </c>
      <c r="F252" s="3" t="str" cm="1">
        <f t="array" aca="1" ref="F252" ca="1">OFFSET(E252,-1,1)</f>
        <v>1</v>
      </c>
      <c r="G252" s="72" t="s">
        <v>1472</v>
      </c>
      <c r="I252" s="72" t="s">
        <v>2127</v>
      </c>
      <c r="K252" s="72" t="s">
        <v>2127</v>
      </c>
      <c r="L252" s="25"/>
      <c r="M252" s="25"/>
      <c r="T252" s="353" t="b" cm="1">
        <f t="array" aca="1" ref="T252" ca="1">T251</f>
        <v>1</v>
      </c>
      <c r="X252" s="990"/>
      <c r="Z252" s="967"/>
      <c r="AB252" s="133" t="s">
        <v>2128</v>
      </c>
      <c r="AC252" s="127" t="s">
        <v>1472</v>
      </c>
      <c r="AD252" s="7" t="s">
        <v>828</v>
      </c>
      <c r="AE252" s="128"/>
      <c r="AF252" s="128"/>
      <c r="AG252" s="128"/>
      <c r="AH252" s="171">
        <f t="shared" si="50"/>
        <v>0</v>
      </c>
      <c r="AI252" s="128"/>
      <c r="AJ252" s="128"/>
      <c r="AK252" s="778"/>
      <c r="AL252" s="778"/>
      <c r="AM252" s="128"/>
      <c r="AN252" s="128"/>
      <c r="AO252" s="128"/>
      <c r="AP252" s="128"/>
      <c r="AQ252" s="128"/>
      <c r="AR252" s="128"/>
      <c r="AS252" s="128"/>
      <c r="AT252" s="128"/>
      <c r="AU252" s="778"/>
      <c r="AV252" s="778"/>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6" t="s">
        <v>1856</v>
      </c>
    </row>
    <row r="253" spans="2:75" ht="14.25" customHeight="1" x14ac:dyDescent="0.15">
      <c r="E253" s="507">
        <v>15</v>
      </c>
      <c r="F253" s="3" t="str" cm="1">
        <f t="array" aca="1" ref="F253" ca="1">OFFSET(E253,-1,1)</f>
        <v>1</v>
      </c>
      <c r="G253" s="72" t="s">
        <v>1477</v>
      </c>
      <c r="I253" s="72" t="s">
        <v>2129</v>
      </c>
      <c r="K253" s="72" t="s">
        <v>2129</v>
      </c>
      <c r="L253" s="25"/>
      <c r="M253" s="25"/>
      <c r="T253" s="353" t="b" cm="1">
        <f t="array" aca="1" ref="T253" ca="1">T252</f>
        <v>1</v>
      </c>
      <c r="X253" s="990"/>
      <c r="Z253" s="967"/>
      <c r="AB253" s="133" t="s">
        <v>1544</v>
      </c>
      <c r="AC253" s="127" t="s">
        <v>1477</v>
      </c>
      <c r="AD253" s="7" t="s">
        <v>828</v>
      </c>
      <c r="AE253" s="128"/>
      <c r="AF253" s="128"/>
      <c r="AG253" s="128"/>
      <c r="AH253" s="171">
        <f t="shared" si="50"/>
        <v>0</v>
      </c>
      <c r="AI253" s="128"/>
      <c r="AJ253" s="128"/>
      <c r="AK253" s="778"/>
      <c r="AL253" s="778"/>
      <c r="AM253" s="128"/>
      <c r="AN253" s="128"/>
      <c r="AO253" s="128"/>
      <c r="AP253" s="128"/>
      <c r="AQ253" s="128"/>
      <c r="AR253" s="128"/>
      <c r="AS253" s="128"/>
      <c r="AT253" s="128"/>
      <c r="AU253" s="778"/>
      <c r="AV253" s="778"/>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6" t="s">
        <v>2130</v>
      </c>
    </row>
    <row r="254" spans="2:75" ht="14.25" customHeight="1" x14ac:dyDescent="0.15">
      <c r="E254" s="507">
        <v>15</v>
      </c>
      <c r="F254" s="3" t="str" cm="1">
        <f t="array" aca="1" ref="F254" ca="1">OFFSET(E254,-1,1)</f>
        <v>1</v>
      </c>
      <c r="G254" s="72" t="s">
        <v>1482</v>
      </c>
      <c r="I254" s="72" t="s">
        <v>2131</v>
      </c>
      <c r="K254" s="72" t="s">
        <v>2131</v>
      </c>
      <c r="L254" s="25"/>
      <c r="M254" s="25"/>
      <c r="T254" s="353" t="b" cm="1">
        <f t="array" aca="1" ref="T254" ca="1">T253</f>
        <v>1</v>
      </c>
      <c r="X254" s="990"/>
      <c r="Z254" s="967"/>
      <c r="AB254" s="133" t="s">
        <v>1548</v>
      </c>
      <c r="AC254" s="127" t="s">
        <v>1482</v>
      </c>
      <c r="AD254" s="7" t="s">
        <v>828</v>
      </c>
      <c r="AE254" s="171">
        <f>SUM(AE255,AE256)</f>
        <v>0</v>
      </c>
      <c r="AF254" s="171">
        <f>SUM(AF255,AF256)</f>
        <v>0</v>
      </c>
      <c r="AG254" s="171">
        <f>SUM(AG255,AG256)</f>
        <v>0</v>
      </c>
      <c r="AH254" s="171">
        <f t="shared" si="50"/>
        <v>0</v>
      </c>
      <c r="AI254" s="171">
        <f t="shared" ref="AI254:BC254" si="64">SUM(AI255,AI256)</f>
        <v>0</v>
      </c>
      <c r="AJ254" s="171">
        <f t="shared" si="64"/>
        <v>0</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6" t="s">
        <v>2132</v>
      </c>
    </row>
    <row r="255" spans="2:75" ht="14.25" customHeight="1" x14ac:dyDescent="0.15">
      <c r="E255" s="507">
        <v>15</v>
      </c>
      <c r="F255" s="3" t="str" cm="1">
        <f t="array" aca="1" ref="F255" ca="1">OFFSET(E255,-1,1)</f>
        <v>1</v>
      </c>
      <c r="I255" s="72" t="s">
        <v>2133</v>
      </c>
      <c r="K255" s="72" t="s">
        <v>2133</v>
      </c>
      <c r="L255" s="25"/>
      <c r="M255" s="25"/>
      <c r="T255" s="353" t="b" cm="1">
        <f t="array" aca="1" ref="T255" ca="1">T254</f>
        <v>1</v>
      </c>
      <c r="X255" s="990"/>
      <c r="Z255" s="967"/>
      <c r="AB255" s="133" t="s">
        <v>2134</v>
      </c>
      <c r="AC255" s="134" t="s">
        <v>2135</v>
      </c>
      <c r="AD255" s="7" t="s">
        <v>828</v>
      </c>
      <c r="AE255" s="128"/>
      <c r="AF255" s="128"/>
      <c r="AG255" s="128"/>
      <c r="AH255" s="171">
        <f t="shared" si="50"/>
        <v>0</v>
      </c>
      <c r="AI255" s="128"/>
      <c r="AJ255" s="128"/>
      <c r="AK255" s="778"/>
      <c r="AL255" s="778"/>
      <c r="AM255" s="128"/>
      <c r="AN255" s="128"/>
      <c r="AO255" s="128"/>
      <c r="AP255" s="128"/>
      <c r="AQ255" s="128"/>
      <c r="AR255" s="128"/>
      <c r="AS255" s="128"/>
      <c r="AT255" s="128"/>
      <c r="AU255" s="778"/>
      <c r="AV255" s="778"/>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6" t="s">
        <v>1268</v>
      </c>
    </row>
    <row r="256" spans="2:75" ht="14.25" customHeight="1" x14ac:dyDescent="0.15">
      <c r="E256" s="507">
        <v>15</v>
      </c>
      <c r="F256" s="3" t="str" cm="1">
        <f t="array" aca="1" ref="F256" ca="1">OFFSET(E256,-1,1)</f>
        <v>1</v>
      </c>
      <c r="I256" s="72" t="s">
        <v>2136</v>
      </c>
      <c r="K256" s="72" t="s">
        <v>2136</v>
      </c>
      <c r="L256" s="25" t="s">
        <v>951</v>
      </c>
      <c r="M256" s="25"/>
      <c r="T256" s="353" t="b" cm="1">
        <f t="array" aca="1" ref="T256" ca="1">T255</f>
        <v>1</v>
      </c>
      <c r="X256" s="990"/>
      <c r="Z256" s="967"/>
      <c r="AB256" s="133" t="s">
        <v>2137</v>
      </c>
      <c r="AC256" s="134" t="s">
        <v>2138</v>
      </c>
      <c r="AD256" s="7" t="s">
        <v>828</v>
      </c>
      <c r="AE256" s="128"/>
      <c r="AF256" s="128"/>
      <c r="AG256" s="128"/>
      <c r="AH256" s="171">
        <f t="shared" si="50"/>
        <v>0</v>
      </c>
      <c r="AI256" s="128"/>
      <c r="AJ256" s="128"/>
      <c r="AK256" s="778"/>
      <c r="AL256" s="778"/>
      <c r="AM256" s="128"/>
      <c r="AN256" s="128"/>
      <c r="AO256" s="128"/>
      <c r="AP256" s="128"/>
      <c r="AQ256" s="128"/>
      <c r="AR256" s="128"/>
      <c r="AS256" s="128"/>
      <c r="AT256" s="128"/>
      <c r="AU256" s="778"/>
      <c r="AV256" s="778"/>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6" t="s">
        <v>2139</v>
      </c>
    </row>
    <row r="257" spans="1:75" ht="21.75" customHeight="1" x14ac:dyDescent="0.15">
      <c r="E257" s="507">
        <v>22.5</v>
      </c>
      <c r="F257" s="3" t="str" cm="1">
        <f t="array" aca="1" ref="F257" ca="1">OFFSET(E257,-1,1)</f>
        <v>1</v>
      </c>
      <c r="G257" s="72" t="s">
        <v>1487</v>
      </c>
      <c r="I257" s="72" t="s">
        <v>2140</v>
      </c>
      <c r="K257" s="72" t="s">
        <v>2140</v>
      </c>
      <c r="L257" s="25"/>
      <c r="M257" s="25"/>
      <c r="T257" s="353" t="b" cm="1">
        <f t="array" aca="1" ref="T257" ca="1">T256</f>
        <v>1</v>
      </c>
      <c r="X257" s="990"/>
      <c r="Z257" s="967"/>
      <c r="AB257" s="133" t="s">
        <v>1551</v>
      </c>
      <c r="AC257" s="127" t="s">
        <v>2141</v>
      </c>
      <c r="AD257" s="7" t="s">
        <v>828</v>
      </c>
      <c r="AE257" s="128"/>
      <c r="AF257" s="128"/>
      <c r="AG257" s="128"/>
      <c r="AH257" s="171">
        <f t="shared" si="50"/>
        <v>0</v>
      </c>
      <c r="AI257" s="128"/>
      <c r="AJ257" s="128"/>
      <c r="AK257" s="778"/>
      <c r="AL257" s="778"/>
      <c r="AM257" s="128"/>
      <c r="AN257" s="128"/>
      <c r="AO257" s="128"/>
      <c r="AP257" s="128"/>
      <c r="AQ257" s="128"/>
      <c r="AR257" s="128"/>
      <c r="AS257" s="128"/>
      <c r="AT257" s="128"/>
      <c r="AU257" s="778"/>
      <c r="AV257" s="778"/>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6" t="s">
        <v>2142</v>
      </c>
    </row>
    <row r="258" spans="1:75" s="870" customFormat="1" ht="133.5" customHeight="1" x14ac:dyDescent="0.15">
      <c r="A258" s="76"/>
      <c r="B258" s="332"/>
      <c r="C258" s="76"/>
      <c r="D258" s="76"/>
      <c r="E258" s="511">
        <v>21</v>
      </c>
      <c r="F258" s="3" t="str" cm="1">
        <f t="array" aca="1" ref="F258" ca="1">OFFSET(E258,-1,1)</f>
        <v>1</v>
      </c>
      <c r="G258" s="72" t="s">
        <v>2143</v>
      </c>
      <c r="H258" s="72"/>
      <c r="I258" s="72" t="s">
        <v>333</v>
      </c>
      <c r="J258" s="76"/>
      <c r="K258" s="72" t="s">
        <v>333</v>
      </c>
      <c r="L258" s="27" t="s">
        <v>1344</v>
      </c>
      <c r="M258" s="27"/>
      <c r="N258" s="76"/>
      <c r="O258" s="76"/>
      <c r="P258" s="76"/>
      <c r="Q258" s="76"/>
      <c r="R258" s="76"/>
      <c r="S258" s="76"/>
      <c r="T258" s="353" t="b" cm="1">
        <f t="array" aca="1" ref="T258" ca="1">T257</f>
        <v>1</v>
      </c>
      <c r="U258" s="76"/>
      <c r="V258" s="76"/>
      <c r="W258" s="76"/>
      <c r="X258" s="990"/>
      <c r="Y258" s="76"/>
      <c r="Z258" s="967"/>
      <c r="AA258" s="76"/>
      <c r="AB258" s="131" t="s">
        <v>291</v>
      </c>
      <c r="AC258" s="125" t="s">
        <v>2144</v>
      </c>
      <c r="AD258" s="124" t="s">
        <v>828</v>
      </c>
      <c r="AE258" s="126">
        <f ca="1">SUMIFS(ЭЭ!AE$25:AE$116,ЭЭ!$F$25:$F$116,$F258,ЭЭ!$AC$25:$AC$116,"Всего по тарифу")</f>
        <v>21218.07</v>
      </c>
      <c r="AF258" s="126">
        <f ca="1">SUMIFS(ЭЭ!AF$25:AF$116,ЭЭ!$F$25:$F$116,$F258,ЭЭ!$AC$25:$AC$116,"Всего по тарифу")</f>
        <v>21918.191888597499</v>
      </c>
      <c r="AG258" s="126">
        <f ca="1">SUMIFS(ЭЭ!AG$25:AG$116,ЭЭ!$F$25:$F$116,$F258,ЭЭ!$AC$25:$AC$116,"Всего по тарифу")</f>
        <v>21918.191888597499</v>
      </c>
      <c r="AH258" s="126">
        <f t="shared" ca="1" si="50"/>
        <v>0</v>
      </c>
      <c r="AI258" s="126">
        <f ca="1">SUMIFS(ЭЭ!AH$25:AH$116,ЭЭ!$F$25:$F$116,$F258,ЭЭ!$AC$25:$AC$116,"Всего по тарифу")</f>
        <v>25840.63</v>
      </c>
      <c r="AJ258" s="126">
        <f ca="1">SUMIFS(ЭЭ!AI$25:AI$116,ЭЭ!$F$25:$F$116,$F258,ЭЭ!$AC$25:$AC$116,"Всего по тарифу")</f>
        <v>30812.5764729933</v>
      </c>
      <c r="AK258" s="126">
        <f ca="1">SUMIFS(ЭЭ!AJ$25:AJ$116,ЭЭ!$F$25:$F$116,$F258,ЭЭ!$AC$25:$AC$116,"Всего по тарифу")</f>
        <v>0</v>
      </c>
      <c r="AL258" s="126">
        <f ca="1">SUMIFS(ЭЭ!AK$25:AK$116,ЭЭ!$F$25:$F$116,$F258,ЭЭ!$AC$25:$AC$116,"Всего по тарифу")</f>
        <v>0</v>
      </c>
      <c r="AM258" s="126">
        <f ca="1">SUMIFS(ЭЭ!AL$25:AL$116,ЭЭ!$F$25:$F$116,$F258,ЭЭ!$AC$25:$AC$116,"Всего по тарифу")</f>
        <v>0</v>
      </c>
      <c r="AN258" s="126">
        <f ca="1">SUMIFS(ЭЭ!AM$25:AM$116,ЭЭ!$F$25:$F$116,$F258,ЭЭ!$AC$25:$AC$116,"Всего по тарифу")</f>
        <v>0</v>
      </c>
      <c r="AO258" s="126">
        <f ca="1">SUMIFS(ЭЭ!AN$25:AN$116,ЭЭ!$F$25:$F$116,$F258,ЭЭ!$AC$25:$AC$116,"Всего по тарифу")</f>
        <v>0</v>
      </c>
      <c r="AP258" s="126">
        <f ca="1">SUMIFS(ЭЭ!AO$25:AO$116,ЭЭ!$F$25:$F$116,$F258,ЭЭ!$AC$25:$AC$116,"Всего по тарифу")</f>
        <v>0</v>
      </c>
      <c r="AQ258" s="126">
        <f ca="1">SUMIFS(ЭЭ!AP$25:AP$116,ЭЭ!$F$25:$F$116,$F258,ЭЭ!$AC$25:$AC$116,"Всего по тарифу")</f>
        <v>0</v>
      </c>
      <c r="AR258" s="126">
        <f ca="1">SUMIFS(ЭЭ!AQ$25:AQ$116,ЭЭ!$F$25:$F$116,$F258,ЭЭ!$AC$25:$AC$116,"Всего по тарифу")</f>
        <v>0</v>
      </c>
      <c r="AS258" s="126">
        <f ca="1">SUMIFS(ЭЭ!AR$25:AR$116,ЭЭ!$F$25:$F$116,$F258,ЭЭ!$AC$25:$AC$116,"Всего по тарифу")</f>
        <v>0</v>
      </c>
      <c r="AT258" s="126">
        <f ca="1">SUMIFS(ЭЭ!AS$25:AS$116,ЭЭ!$F$25:$F$116,$F258,ЭЭ!$AC$25:$AC$116,"Всего по тарифу")</f>
        <v>27100.16</v>
      </c>
      <c r="AU258" s="126">
        <f ca="1">SUMIFS(ЭЭ!AT$25:AT$116,ЭЭ!$F$25:$F$116,$F258,ЭЭ!$AC$25:$AC$116,"Всего по тарифу")</f>
        <v>0</v>
      </c>
      <c r="AV258" s="126">
        <f ca="1">SUMIFS(ЭЭ!AU$25:AU$116,ЭЭ!$F$25:$F$116,$F258,ЭЭ!$AC$25:$AC$116,"Всего по тарифу")</f>
        <v>0</v>
      </c>
      <c r="AW258" s="126">
        <f ca="1">SUMIFS(ЭЭ!AV$25:AV$116,ЭЭ!$F$25:$F$116,$F258,ЭЭ!$AC$25:$AC$116,"Всего по тарифу")</f>
        <v>0</v>
      </c>
      <c r="AX258" s="126">
        <f ca="1">SUMIFS(ЭЭ!AW$25:AW$116,ЭЭ!$F$25:$F$116,$F258,ЭЭ!$AC$25:$AC$116,"Всего по тарифу")</f>
        <v>0</v>
      </c>
      <c r="AY258" s="126">
        <f ca="1">SUMIFS(ЭЭ!AX$25:AX$116,ЭЭ!$F$25:$F$116,$F258,ЭЭ!$AC$25:$AC$116,"Всего по тарифу")</f>
        <v>0</v>
      </c>
      <c r="AZ258" s="126">
        <f ca="1">SUMIFS(ЭЭ!AY$25:AY$116,ЭЭ!$F$25:$F$116,$F258,ЭЭ!$AC$25:$AC$116,"Всего по тарифу")</f>
        <v>0</v>
      </c>
      <c r="BA258" s="126">
        <f ca="1">SUMIFS(ЭЭ!AZ$25:AZ$116,ЭЭ!$F$25:$F$116,$F258,ЭЭ!$AC$25:$AC$116,"Всего по тарифу")</f>
        <v>0</v>
      </c>
      <c r="BB258" s="126">
        <f ca="1">SUMIFS(ЭЭ!BA$25:BA$116,ЭЭ!$F$25:$F$116,$F258,ЭЭ!$AC$25:$AC$116,"Всего по тарифу")</f>
        <v>0</v>
      </c>
      <c r="BC258" s="126">
        <f ca="1">SUMIFS(ЭЭ!BB$25:BB$116,ЭЭ!$F$25:$F$116,$F258,ЭЭ!$AC$25:$AC$116,"Всего по тарифу")</f>
        <v>0</v>
      </c>
      <c r="BD258" s="126">
        <f t="shared" ca="1" si="52"/>
        <v>4.8742232677763608</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196"/>
      <c r="BO258" s="601" t="s">
        <v>2252</v>
      </c>
      <c r="BP258" s="196" t="s">
        <v>2253</v>
      </c>
      <c r="BQ258" s="76"/>
      <c r="BR258" s="76"/>
      <c r="BS258" s="702" t="s">
        <v>1750</v>
      </c>
      <c r="BT258" s="702"/>
      <c r="BU258" s="702"/>
      <c r="BV258" s="511"/>
      <c r="BW258" s="511"/>
    </row>
    <row r="259" spans="1:75" s="870" customFormat="1" ht="68.25" customHeight="1" x14ac:dyDescent="0.15">
      <c r="A259" s="76"/>
      <c r="B259" s="76" t="b">
        <f>method_reg="Метод индексации"</f>
        <v>1</v>
      </c>
      <c r="C259" s="76"/>
      <c r="D259" s="76"/>
      <c r="E259" s="511">
        <v>22.5</v>
      </c>
      <c r="F259" s="3" t="str" cm="1">
        <f t="array" aca="1" ref="F259" ca="1">OFFSET(E259,-1,1)</f>
        <v>1</v>
      </c>
      <c r="G259" s="72" t="s">
        <v>1509</v>
      </c>
      <c r="H259" s="72"/>
      <c r="I259" s="72" t="s">
        <v>335</v>
      </c>
      <c r="J259" s="76"/>
      <c r="K259" s="72" t="s">
        <v>335</v>
      </c>
      <c r="L259" s="27" t="s">
        <v>334</v>
      </c>
      <c r="M259" s="27"/>
      <c r="N259" s="76"/>
      <c r="O259" s="76"/>
      <c r="P259" s="76"/>
      <c r="Q259" s="76"/>
      <c r="R259" s="76"/>
      <c r="S259" s="76"/>
      <c r="T259" s="353" t="b" cm="1">
        <f t="array" aca="1" ref="T259" ca="1">T258</f>
        <v>1</v>
      </c>
      <c r="U259" s="76"/>
      <c r="V259" s="76"/>
      <c r="W259" s="76"/>
      <c r="X259" s="990"/>
      <c r="Y259" s="76"/>
      <c r="Z259" s="967"/>
      <c r="AA259" s="76"/>
      <c r="AB259" s="131" t="s">
        <v>454</v>
      </c>
      <c r="AC259" s="125" t="s">
        <v>2145</v>
      </c>
      <c r="AD259" s="124" t="s">
        <v>828</v>
      </c>
      <c r="AE259" s="126">
        <f ca="1">SUMIFS(Амортизация!AE$25:AE$223,Амортизация!$F$25:$F$223,$F259,Амортизация!$AC$25:$AC$223,"Сумма амортизационных отчислений")</f>
        <v>2216.9920940237998</v>
      </c>
      <c r="AF259" s="126">
        <f ca="1">SUMIFS(Амортизация!AF$25:AF$223,Амортизация!$F$25:$F$223,$F259,Амортизация!$AC$25:$AC$223,"Сумма амортизационных отчислений")</f>
        <v>5483.4794127398</v>
      </c>
      <c r="AG259" s="126">
        <f ca="1">SUMIFS(Амортизация!AG$25:AG$223,Амортизация!$F$25:$F$223,$F259,Амортизация!$AC$25:$AC$223,"Сумма амортизационных отчислений")</f>
        <v>3532.2318795599999</v>
      </c>
      <c r="AH259" s="126">
        <f t="shared" ca="1" si="50"/>
        <v>-1951.2475331798</v>
      </c>
      <c r="AI259" s="126">
        <f ca="1">SUMIFS(Амортизация!AH$25:AH$223,Амортизация!$F$25:$F$223,$F259,Амортизация!$AC$25:$AC$223,"Сумма амортизационных отчислений")</f>
        <v>2256.276065</v>
      </c>
      <c r="AJ259" s="126">
        <f ca="1">SUMIFS(Амортизация!AI$25:AI$223,Амортизация!$F$25:$F$223,$F259,Амортизация!$AC$25:$AC$223,"Сумма амортизационных отчислений")</f>
        <v>6250.4661400595996</v>
      </c>
      <c r="AK259" s="126">
        <f ca="1">SUMIFS(Амортизация!AJ$25:AJ$223,Амортизация!$F$25:$F$223,$F259,Амортизация!$AC$25:$AC$223,"Сумма амортизационных отчислений")</f>
        <v>0</v>
      </c>
      <c r="AL259" s="126">
        <f ca="1">SUMIFS(Амортизация!AK$25:AK$223,Амортизация!$F$25:$F$223,$F259,Амортизация!$AC$25:$AC$223,"Сумма амортизационных отчислений")</f>
        <v>0</v>
      </c>
      <c r="AM259" s="126">
        <f ca="1">SUMIFS(Амортизация!AL$25:AL$223,Амортизация!$F$25:$F$223,$F259,Амортизация!$AC$25:$AC$223,"Сумма амортизационных отчислений")</f>
        <v>0</v>
      </c>
      <c r="AN259" s="126">
        <f ca="1">SUMIFS(Амортизация!AM$25:AM$223,Амортизация!$F$25:$F$223,$F259,Амортизация!$AC$25:$AC$223,"Сумма амортизационных отчислений")</f>
        <v>0</v>
      </c>
      <c r="AO259" s="126">
        <f ca="1">SUMIFS(Амортизация!AN$25:AN$223,Амортизация!$F$25:$F$223,$F259,Амортизация!$AC$25:$AC$223,"Сумма амортизационных отчислений")</f>
        <v>0</v>
      </c>
      <c r="AP259" s="126">
        <f ca="1">SUMIFS(Амортизация!AO$25:AO$223,Амортизация!$F$25:$F$223,$F259,Амортизация!$AC$25:$AC$223,"Сумма амортизационных отчислений")</f>
        <v>0</v>
      </c>
      <c r="AQ259" s="126">
        <f ca="1">SUMIFS(Амортизация!AP$25:AP$223,Амортизация!$F$25:$F$223,$F259,Амортизация!$AC$25:$AC$223,"Сумма амортизационных отчислений")</f>
        <v>0</v>
      </c>
      <c r="AR259" s="126">
        <f ca="1">SUMIFS(Амортизация!AQ$25:AQ$223,Амортизация!$F$25:$F$223,$F259,Амортизация!$AC$25:$AC$223,"Сумма амортизационных отчислений")</f>
        <v>0</v>
      </c>
      <c r="AS259" s="126">
        <f ca="1">SUMIFS(Амортизация!AR$25:AR$223,Амортизация!$F$25:$F$223,$F259,Амортизация!$AC$25:$AC$223,"Сумма амортизационных отчислений")</f>
        <v>0</v>
      </c>
      <c r="AT259" s="126">
        <f ca="1">SUMIFS(Амортизация!AS$25:AS$223,Амортизация!$F$25:$F$223,$F259,Амортизация!$AC$25:$AC$223,"Сумма амортизационных отчислений")</f>
        <v>3456.8667285199999</v>
      </c>
      <c r="AU259" s="126">
        <f ca="1">SUMIFS(Амортизация!AT$25:AT$223,Амортизация!$F$25:$F$223,$F259,Амортизация!$AC$25:$AC$223,"Сумма амортизационных отчислений")</f>
        <v>0</v>
      </c>
      <c r="AV259" s="126">
        <f ca="1">SUMIFS(Амортизация!AU$25:AU$223,Амортизация!$F$25:$F$223,$F259,Амортизация!$AC$25:$AC$223,"Сумма амортизационных отчислений")</f>
        <v>0</v>
      </c>
      <c r="AW259" s="126">
        <f ca="1">SUMIFS(Амортизация!AV$25:AV$223,Амортизация!$F$25:$F$223,$F259,Амортизация!$AC$25:$AC$223,"Сумма амортизационных отчислений")</f>
        <v>0</v>
      </c>
      <c r="AX259" s="126">
        <f ca="1">SUMIFS(Амортизация!AW$25:AW$223,Амортизация!$F$25:$F$223,$F259,Амортизация!$AC$25:$AC$223,"Сумма амортизационных отчислений")</f>
        <v>0</v>
      </c>
      <c r="AY259" s="126">
        <f ca="1">SUMIFS(Амортизация!AX$25:AX$223,Амортизация!$F$25:$F$223,$F259,Амортизация!$AC$25:$AC$223,"Сумма амортизационных отчислений")</f>
        <v>0</v>
      </c>
      <c r="AZ259" s="126">
        <f ca="1">SUMIFS(Амортизация!AY$25:AY$223,Амортизация!$F$25:$F$223,$F259,Амортизация!$AC$25:$AC$223,"Сумма амортизационных отчислений")</f>
        <v>0</v>
      </c>
      <c r="BA259" s="126">
        <f ca="1">SUMIFS(Амортизация!AZ$25:AZ$223,Амортизация!$F$25:$F$223,$F259,Амортизация!$AC$25:$AC$223,"Сумма амортизационных отчислений")</f>
        <v>0</v>
      </c>
      <c r="BB259" s="126">
        <f ca="1">SUMIFS(Амортизация!BA$25:BA$223,Амортизация!$F$25:$F$223,$F259,Амортизация!$AC$25:$AC$223,"Сумма амортизационных отчислений")</f>
        <v>0</v>
      </c>
      <c r="BC259" s="126">
        <f ca="1">SUMIFS(Амортизация!BB$25:BB$223,Амортизация!$F$25:$F$223,$F259,Амортизация!$AC$25:$AC$223,"Сумма амортизационных отчислений")</f>
        <v>0</v>
      </c>
      <c r="BD259" s="126">
        <f t="shared" ca="1" si="52"/>
        <v>53.211159846257551</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601" t="s">
        <v>2255</v>
      </c>
      <c r="BP259" s="196" t="s">
        <v>2256</v>
      </c>
      <c r="BQ259" s="76"/>
      <c r="BR259" s="76"/>
      <c r="BS259" s="702" t="s">
        <v>1247</v>
      </c>
      <c r="BT259" s="702"/>
      <c r="BU259" s="702"/>
      <c r="BV259" s="511"/>
      <c r="BW259" s="511"/>
    </row>
    <row r="260" spans="1:75" ht="14.25" customHeight="1" x14ac:dyDescent="0.15">
      <c r="B260" s="329" t="b" cm="1">
        <f t="array" ref="B260">B259</f>
        <v>1</v>
      </c>
      <c r="E260" s="507">
        <v>15</v>
      </c>
      <c r="F260" s="3" t="str" cm="1">
        <f t="array" aca="1" ref="F260" ca="1">OFFSET(E260,-1,1)</f>
        <v>1</v>
      </c>
      <c r="I260" s="72" t="s">
        <v>560</v>
      </c>
      <c r="K260" s="72" t="s">
        <v>560</v>
      </c>
      <c r="L260" s="25" t="s">
        <v>574</v>
      </c>
      <c r="M260" s="25"/>
      <c r="T260" s="353" t="b" cm="1">
        <f t="array" aca="1" ref="T260" ca="1">T259</f>
        <v>1</v>
      </c>
      <c r="X260" s="990"/>
      <c r="Z260" s="967"/>
      <c r="AB260" s="133" t="s">
        <v>697</v>
      </c>
      <c r="AC260" s="127" t="s">
        <v>1843</v>
      </c>
      <c r="AD260" s="7" t="s">
        <v>828</v>
      </c>
      <c r="AE260" s="128">
        <f ca="1">SUMIFS('ИП + источники'!AF$27:AF$145,'ИП + источники'!$F$27:$F$145,$F260,'ИП + источники'!$AC$27:$AC$145,"Амортизационные отчисления")+SUMIFS('ИП + источники'!AF$27:AF$145,'ИП + источники'!$F$27:$F$145,$F260,'ИП + источники'!$AC$27:$AC$145,"погашение займов и кредитов из амортизации")</f>
        <v>0</v>
      </c>
      <c r="AF260" s="128">
        <f ca="1">SUMIFS('ИП + источники'!AG$27:AG$145,'ИП + источники'!$F$27:$F$145,$F260,'ИП + источники'!$AC$27:$AC$145,"Амортизационные отчисления")+SUMIFS('ИП + источники'!AG$27:AG$145,'ИП + источники'!$F$27:$F$145,$F260,'ИП + источники'!$AC$27:$AC$145,"погашение займов и кредитов из амортизации")</f>
        <v>0</v>
      </c>
      <c r="AG260" s="128">
        <f ca="1">SUMIFS('ИП + источники'!AH$27:AH$145,'ИП + источники'!$F$27:$F$145,$F260,'ИП + источники'!$AC$27:$AC$145,"Амортизационные отчисления")+SUMIFS('ИП + источники'!AH$27:AH$145,'ИП + источники'!$F$27:$F$145,$F260,'ИП + источники'!$AC$27:$AC$145,"погашение займов и кредитов из амортизации")</f>
        <v>0</v>
      </c>
      <c r="AH260" s="171">
        <f t="shared" ca="1" si="50"/>
        <v>0</v>
      </c>
      <c r="AI260" s="128">
        <f ca="1">SUMIFS('ИП + источники'!AJ$27:AJ$145,'ИП + источники'!$F$27:$F$145,$F260,'ИП + источники'!$AC$27:$AC$145,"Амортизационные отчисления")+SUMIFS('ИП + источники'!AJ$27:AJ$145,'ИП + источники'!$F$27:$F$145,$F260,'ИП + источники'!$AC$27:$AC$145,"погашение займов и кредитов из амортизации")</f>
        <v>0</v>
      </c>
      <c r="AJ260" s="128">
        <f ca="1">SUMIFS('ИП + источники'!AK$27:AK$145,'ИП + источники'!$F$27:$F$145,$F260,'ИП + источники'!$AC$27:$AC$145,"Амортизационные отчисления")+SUMIFS('ИП + источники'!AK$27:AK$145,'ИП + источники'!$F$27:$F$145,$F260,'ИП + источники'!$AC$27:$AC$145,"погашение займов и кредитов из амортизации")</f>
        <v>0</v>
      </c>
      <c r="AK260" s="778">
        <f ca="1">SUMIFS('ИП + источники'!AL$27:AL$145,'ИП + источники'!$F$27:$F$145,$F260,'ИП + источники'!$AC$27:$AC$145,"Амортизационные отчисления")+SUMIFS('ИП + источники'!AL$27:AL$145,'ИП + источники'!$F$27:$F$145,$F260,'ИП + источники'!$AC$27:$AC$145,"погашение займов и кредитов из амортизации")</f>
        <v>0</v>
      </c>
      <c r="AL260" s="778">
        <f ca="1">SUMIFS('ИП + источники'!AM$27:AM$145,'ИП + источники'!$F$27:$F$145,$F260,'ИП + источники'!$AC$27:$AC$145,"Амортизационные отчисления")+SUMIFS('ИП + источники'!AM$27:AM$145,'ИП + источники'!$F$27:$F$145,$F260,'ИП + источники'!$AC$27:$AC$145,"погашение займов и кредитов из амортизации")</f>
        <v>0</v>
      </c>
      <c r="AM260" s="128">
        <f ca="1">SUMIFS('ИП + источники'!AN$27:AN$145,'ИП + источники'!$F$27:$F$145,$F260,'ИП + источники'!$AC$27:$AC$145,"Амортизационные отчисления")+SUMIFS('ИП + источники'!AN$27:AN$145,'ИП + источники'!$F$27:$F$145,$F260,'ИП + источники'!$AC$27:$AC$145,"погашение займов и кредитов из амортизации")</f>
        <v>0</v>
      </c>
      <c r="AN260" s="128">
        <f ca="1">SUMIFS('ИП + источники'!AO$27:AO$145,'ИП + источники'!$F$27:$F$145,$F260,'ИП + источники'!$AC$27:$AC$145,"Амортизационные отчисления")+SUMIFS('ИП + источники'!AO$27:AO$145,'ИП + источники'!$F$27:$F$145,$F260,'ИП + источники'!$AC$27:$AC$145,"погашение займов и кредитов из амортизации")</f>
        <v>0</v>
      </c>
      <c r="AO260" s="128">
        <f ca="1">SUMIFS('ИП + источники'!AP$27:AP$145,'ИП + источники'!$F$27:$F$145,$F260,'ИП + источники'!$AC$27:$AC$145,"Амортизационные отчисления")+SUMIFS('ИП + источники'!AP$27:AP$145,'ИП + источники'!$F$27:$F$145,$F260,'ИП + источники'!$AC$27:$AC$145,"погашение займов и кредитов из амортизации")</f>
        <v>0</v>
      </c>
      <c r="AP260" s="128">
        <f ca="1">SUMIFS('ИП + источники'!AQ$27:AQ$145,'ИП + источники'!$F$27:$F$145,$F260,'ИП + источники'!$AC$27:$AC$145,"Амортизационные отчисления")+SUMIFS('ИП + источники'!AQ$27:AQ$145,'ИП + источники'!$F$27:$F$145,$F260,'ИП + источники'!$AC$27:$AC$145,"погашение займов и кредитов из амортизации")</f>
        <v>0</v>
      </c>
      <c r="AQ260" s="128">
        <f ca="1">SUMIFS('ИП + источники'!AR$27:AR$145,'ИП + источники'!$F$27:$F$145,$F260,'ИП + источники'!$AC$27:$AC$145,"Амортизационные отчисления")+SUMIFS('ИП + источники'!AR$27:AR$145,'ИП + источники'!$F$27:$F$145,$F260,'ИП + источники'!$AC$27:$AC$145,"погашение займов и кредитов из амортизации")</f>
        <v>0</v>
      </c>
      <c r="AR260" s="128">
        <f ca="1">SUMIFS('ИП + источники'!AS$27:AS$145,'ИП + источники'!$F$27:$F$145,$F260,'ИП + источники'!$AC$27:$AC$145,"Амортизационные отчисления")+SUMIFS('ИП + источники'!AS$27:AS$145,'ИП + источники'!$F$27:$F$145,$F260,'ИП + источники'!$AC$27:$AC$145,"погашение займов и кредитов из амортизации")</f>
        <v>0</v>
      </c>
      <c r="AS260" s="128">
        <f ca="1">SUMIFS('ИП + источники'!AT$27:AT$145,'ИП + источники'!$F$27:$F$145,$F260,'ИП + источники'!$AC$27:$AC$145,"Амортизационные отчисления")+SUMIFS('ИП + источники'!AT$27:AT$145,'ИП + источники'!$F$27:$F$145,$F260,'ИП + источники'!$AC$27:$AC$145,"погашение займов и кредитов из амортизации")</f>
        <v>0</v>
      </c>
      <c r="AT260" s="128">
        <f ca="1">SUMIFS('ИП + источники'!AU$27:AU$145,'ИП + источники'!$F$27:$F$145,$F260,'ИП + источники'!$AC$27:$AC$145,"Амортизационные отчисления")+SUMIFS('ИП + источники'!AU$27:AU$145,'ИП + источники'!$F$27:$F$145,$F260,'ИП + источники'!$AC$27:$AC$145,"погашение займов и кредитов из амортизации")</f>
        <v>0</v>
      </c>
      <c r="AU260" s="778">
        <f ca="1">SUMIFS('ИП + источники'!AV$27:AV$145,'ИП + источники'!$F$27:$F$145,$F260,'ИП + источники'!$AC$27:$AC$145,"Амортизационные отчисления")+SUMIFS('ИП + источники'!AV$27:AV$145,'ИП + источники'!$F$27:$F$145,$F260,'ИП + источники'!$AC$27:$AC$145,"погашение займов и кредитов из амортизации")</f>
        <v>0</v>
      </c>
      <c r="AV260" s="778">
        <f ca="1">SUMIFS('ИП + источники'!AW$27:AW$145,'ИП + источники'!$F$27:$F$145,$F260,'ИП + источники'!$AC$27:$AC$145,"Амортизационные отчисления")+SUMIFS('ИП + источники'!AW$27:AW$145,'ИП + источники'!$F$27:$F$145,$F260,'ИП + источники'!$AC$27:$AC$145,"погашение займов и кредитов из амортизации")</f>
        <v>0</v>
      </c>
      <c r="AW260" s="128">
        <f ca="1">SUMIFS('ИП + источники'!AX$27:AX$145,'ИП + источники'!$F$27:$F$145,$F260,'ИП + источники'!$AC$27:$AC$145,"Амортизационные отчисления")+SUMIFS('ИП + источники'!AX$27:AX$145,'ИП + источники'!$F$27:$F$145,$F260,'ИП + источники'!$AC$27:$AC$145,"погашение займов и кредитов из амортизации")</f>
        <v>0</v>
      </c>
      <c r="AX260" s="128">
        <f ca="1">SUMIFS('ИП + источники'!AY$27:AY$145,'ИП + источники'!$F$27:$F$145,$F260,'ИП + источники'!$AC$27:$AC$145,"Амортизационные отчисления")+SUMIFS('ИП + источники'!AY$27:AY$145,'ИП + источники'!$F$27:$F$145,$F260,'ИП + источники'!$AC$27:$AC$145,"погашение займов и кредитов из амортизации")</f>
        <v>0</v>
      </c>
      <c r="AY260" s="128">
        <f ca="1">SUMIFS('ИП + источники'!AZ$27:AZ$145,'ИП + источники'!$F$27:$F$145,$F260,'ИП + источники'!$AC$27:$AC$145,"Амортизационные отчисления")+SUMIFS('ИП + источники'!AZ$27:AZ$145,'ИП + источники'!$F$27:$F$145,$F260,'ИП + источники'!$AC$27:$AC$145,"погашение займов и кредитов из амортизации")</f>
        <v>0</v>
      </c>
      <c r="AZ260" s="128">
        <f ca="1">SUMIFS('ИП + источники'!BA$27:BA$145,'ИП + источники'!$F$27:$F$145,$F260,'ИП + источники'!$AC$27:$AC$145,"Амортизационные отчисления")+SUMIFS('ИП + источники'!BA$27:BA$145,'ИП + источники'!$F$27:$F$145,$F260,'ИП + источники'!$AC$27:$AC$145,"погашение займов и кредитов из амортизации")</f>
        <v>0</v>
      </c>
      <c r="BA260" s="128">
        <f ca="1">SUMIFS('ИП + источники'!BB$27:BB$145,'ИП + источники'!$F$27:$F$145,$F260,'ИП + источники'!$AC$27:$AC$145,"Амортизационные отчисления")+SUMIFS('ИП + источники'!BB$27:BB$145,'ИП + источники'!$F$27:$F$145,$F260,'ИП + источники'!$AC$27:$AC$145,"погашение займов и кредитов из амортизации")</f>
        <v>0</v>
      </c>
      <c r="BB260" s="128">
        <f ca="1">SUMIFS('ИП + источники'!BC$27:BC$145,'ИП + источники'!$F$27:$F$145,$F260,'ИП + источники'!$AC$27:$AC$145,"Амортизационные отчисления")+SUMIFS('ИП + источники'!BC$27:BC$145,'ИП + источники'!$F$27:$F$145,$F260,'ИП + источники'!$AC$27:$AC$145,"погашение займов и кредитов из амортизации")</f>
        <v>0</v>
      </c>
      <c r="BC260" s="128">
        <f ca="1">SUMIFS('ИП + источники'!BD$27:BD$145,'ИП + источники'!$F$27:$F$145,$F260,'ИП + источники'!$AC$27:$AC$145,"Амортизационные отчисления")+SUMIFS('ИП + источники'!BD$27:BD$145,'ИП + источники'!$F$27:$F$145,$F260,'ИП + источники'!$AC$27:$AC$145,"погашение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6" t="s">
        <v>1844</v>
      </c>
    </row>
    <row r="261" spans="1:75" s="870" customFormat="1" ht="33.75" customHeight="1" x14ac:dyDescent="0.25">
      <c r="A261" s="76"/>
      <c r="B261" s="329" t="b" cm="1">
        <f t="array" ref="B261">B260</f>
        <v>1</v>
      </c>
      <c r="C261" s="76"/>
      <c r="D261" s="76"/>
      <c r="E261" s="511">
        <v>21</v>
      </c>
      <c r="F261" s="3" t="str" cm="1">
        <f t="array" aca="1" ref="F261" ca="1">OFFSET(E261,-1,1)</f>
        <v>1</v>
      </c>
      <c r="G261" s="72" t="s">
        <v>1513</v>
      </c>
      <c r="H261" s="72"/>
      <c r="I261" s="72" t="s">
        <v>334</v>
      </c>
      <c r="J261" s="76"/>
      <c r="K261" s="72" t="s">
        <v>334</v>
      </c>
      <c r="L261" s="27" t="s">
        <v>586</v>
      </c>
      <c r="M261" s="27"/>
      <c r="N261" s="76"/>
      <c r="O261" s="76"/>
      <c r="P261" s="76"/>
      <c r="Q261" s="76"/>
      <c r="R261" s="76"/>
      <c r="S261" s="76"/>
      <c r="T261" s="353" t="b" cm="1">
        <f t="array" aca="1" ref="T261" ca="1">T260</f>
        <v>1</v>
      </c>
      <c r="U261" s="76"/>
      <c r="V261" s="76"/>
      <c r="W261" s="76"/>
      <c r="X261" s="990"/>
      <c r="Y261" s="76"/>
      <c r="Z261" s="967"/>
      <c r="AA261" s="76"/>
      <c r="AB261" s="131" t="s">
        <v>460</v>
      </c>
      <c r="AC261" s="125" t="s">
        <v>1513</v>
      </c>
      <c r="AD261" s="147" t="s">
        <v>828</v>
      </c>
      <c r="AE261" s="126">
        <f ca="1">AE262+AE263+AE264+AE265</f>
        <v>0</v>
      </c>
      <c r="AF261" s="126">
        <f ca="1">AF262+AF263+AF264+AF265</f>
        <v>0</v>
      </c>
      <c r="AG261" s="126">
        <f ca="1">AG262+AG263+AG264+AG265</f>
        <v>0</v>
      </c>
      <c r="AH261" s="126">
        <f t="shared" ca="1" si="50"/>
        <v>0</v>
      </c>
      <c r="AI261" s="126">
        <f t="shared" ref="AI261:BC261" ca="1" si="65">AI262+AI263+AI264+AI265</f>
        <v>0</v>
      </c>
      <c r="AJ261" s="126">
        <f t="shared" ca="1" si="65"/>
        <v>0</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t="s">
        <v>2257</v>
      </c>
      <c r="BP261" s="196"/>
      <c r="BQ261" s="76"/>
      <c r="BR261" s="76"/>
      <c r="BS261" s="695" t="s">
        <v>1517</v>
      </c>
      <c r="BT261" s="702"/>
      <c r="BU261" s="702"/>
      <c r="BV261" s="511"/>
      <c r="BW261" s="511"/>
    </row>
    <row r="262" spans="1:75" ht="14.25" customHeight="1" x14ac:dyDescent="0.15">
      <c r="B262" s="329" t="b" cm="1">
        <f t="array" ref="B262">B261</f>
        <v>1</v>
      </c>
      <c r="E262" s="507">
        <v>15</v>
      </c>
      <c r="F262" s="3" t="str" cm="1">
        <f t="array" aca="1" ref="F262" ca="1">OFFSET(E262,-1,1)</f>
        <v>1</v>
      </c>
      <c r="I262" s="72" t="s">
        <v>574</v>
      </c>
      <c r="K262" s="72" t="s">
        <v>574</v>
      </c>
      <c r="L262" s="25"/>
      <c r="M262" s="25"/>
      <c r="T262" s="353" t="b" cm="1">
        <f t="array" aca="1" ref="T262" ca="1">T261</f>
        <v>1</v>
      </c>
      <c r="X262" s="990"/>
      <c r="Z262" s="967"/>
      <c r="AB262" s="133" t="s">
        <v>704</v>
      </c>
      <c r="AC262" s="127" t="s">
        <v>2146</v>
      </c>
      <c r="AD262" s="7" t="s">
        <v>828</v>
      </c>
      <c r="AE262" s="128">
        <f ca="1">SUMIFS('ИП + источники'!AF$27:AF$145,'ИП + источники'!$F$27:$F$145,$F262,'ИП + источники'!$AC$27:$AC$145,"погашение займов и кредитов из нормативной прибыли")</f>
        <v>0</v>
      </c>
      <c r="AF262" s="128">
        <f ca="1">SUMIFS('ИП + источники'!AG$27:AG$145,'ИП + источники'!$F$27:$F$145,$F262,'ИП + источники'!$AC$27:$AC$145,"погашение займов и кредитов из нормативной прибыли")</f>
        <v>0</v>
      </c>
      <c r="AG262" s="128">
        <f ca="1">SUMIFS('ИП + источники'!AH$27:AH$145,'ИП + источники'!$F$27:$F$145,$F262,'ИП + источники'!$AC$27:$AC$145,"погашение займов и кредитов из нормативной прибыли")</f>
        <v>0</v>
      </c>
      <c r="AH262" s="171">
        <f t="shared" ca="1" si="50"/>
        <v>0</v>
      </c>
      <c r="AI262" s="128">
        <f ca="1">SUMIFS('ИП + источники'!AJ$27:AJ$145,'ИП + источники'!$F$27:$F$145,$F262,'ИП + источники'!$AC$27:$AC$145,"погашение займов и кредитов из нормативной прибыли")</f>
        <v>0</v>
      </c>
      <c r="AJ262" s="128">
        <f ca="1">SUMIFS('ИП + источники'!AK$27:AK$145,'ИП + источники'!$F$27:$F$145,$F262,'ИП + источники'!$AC$27:$AC$145,"погашение займов и кредитов из нормативной прибыли")</f>
        <v>0</v>
      </c>
      <c r="AK262" s="778">
        <f ca="1">SUMIFS('ИП + источники'!AL$27:AL$145,'ИП + источники'!$F$27:$F$145,$F262,'ИП + источники'!$AC$27:$AC$145,"погашение займов и кредитов из нормативной прибыли")</f>
        <v>0</v>
      </c>
      <c r="AL262" s="778">
        <f ca="1">SUMIFS('ИП + источники'!AM$27:AM$145,'ИП + источники'!$F$27:$F$145,$F262,'ИП + источники'!$AC$27:$AC$145,"погашение займов и кредитов из нормативной прибыли")</f>
        <v>0</v>
      </c>
      <c r="AM262" s="128">
        <f ca="1">SUMIFS('ИП + источники'!AN$27:AN$145,'ИП + источники'!$F$27:$F$145,$F262,'ИП + источники'!$AC$27:$AC$145,"погашение займов и кредитов из нормативной прибыли")</f>
        <v>0</v>
      </c>
      <c r="AN262" s="128">
        <f ca="1">SUMIFS('ИП + источники'!AO$27:AO$145,'ИП + источники'!$F$27:$F$145,$F262,'ИП + источники'!$AC$27:$AC$145,"погашение займов и кредитов из нормативной прибыли")</f>
        <v>0</v>
      </c>
      <c r="AO262" s="128">
        <f ca="1">SUMIFS('ИП + источники'!AP$27:AP$145,'ИП + источники'!$F$27:$F$145,$F262,'ИП + источники'!$AC$27:$AC$145,"погашение займов и кредитов из нормативной прибыли")</f>
        <v>0</v>
      </c>
      <c r="AP262" s="128">
        <f ca="1">SUMIFS('ИП + источники'!AQ$27:AQ$145,'ИП + источники'!$F$27:$F$145,$F262,'ИП + источники'!$AC$27:$AC$145,"погашение займов и кредитов из нормативной прибыли")</f>
        <v>0</v>
      </c>
      <c r="AQ262" s="128">
        <f ca="1">SUMIFS('ИП + источники'!AR$27:AR$145,'ИП + источники'!$F$27:$F$145,$F262,'ИП + источники'!$AC$27:$AC$145,"погашение займов и кредитов из нормативной прибыли")</f>
        <v>0</v>
      </c>
      <c r="AR262" s="128">
        <f ca="1">SUMIFS('ИП + источники'!AS$27:AS$145,'ИП + источники'!$F$27:$F$145,$F262,'ИП + источники'!$AC$27:$AC$145,"погашение займов и кредитов из нормативной прибыли")</f>
        <v>0</v>
      </c>
      <c r="AS262" s="128">
        <f ca="1">SUMIFS('ИП + источники'!AT$27:AT$145,'ИП + источники'!$F$27:$F$145,$F262,'ИП + источники'!$AC$27:$AC$145,"погашение займов и кредитов из нормативной прибыли")</f>
        <v>0</v>
      </c>
      <c r="AT262" s="128">
        <f ca="1">SUMIFS('ИП + источники'!AU$27:AU$145,'ИП + источники'!$F$27:$F$145,$F262,'ИП + источники'!$AC$27:$AC$145,"погашение займов и кредитов из нормативной прибыли")</f>
        <v>0</v>
      </c>
      <c r="AU262" s="778">
        <f ca="1">SUMIFS('ИП + источники'!AV$27:AV$145,'ИП + источники'!$F$27:$F$145,$F262,'ИП + источники'!$AC$27:$AC$145,"погашение займов и кредитов из нормативной прибыли")</f>
        <v>0</v>
      </c>
      <c r="AV262" s="778">
        <f ca="1">SUMIFS('ИП + источники'!AW$27:AW$145,'ИП + источники'!$F$27:$F$145,$F262,'ИП + источники'!$AC$27:$AC$145,"погашение займов и кредитов из нормативной прибыли")</f>
        <v>0</v>
      </c>
      <c r="AW262" s="128">
        <f ca="1">SUMIFS('ИП + источники'!AX$27:AX$145,'ИП + источники'!$F$27:$F$145,$F262,'ИП + источники'!$AC$27:$AC$145,"погашение займов и кредитов из нормативной прибыли")</f>
        <v>0</v>
      </c>
      <c r="AX262" s="128">
        <f ca="1">SUMIFS('ИП + источники'!AY$27:AY$145,'ИП + источники'!$F$27:$F$145,$F262,'ИП + источники'!$AC$27:$AC$145,"погашение займов и кредитов из нормативной прибыли")</f>
        <v>0</v>
      </c>
      <c r="AY262" s="128">
        <f ca="1">SUMIFS('ИП + источники'!AZ$27:AZ$145,'ИП + источники'!$F$27:$F$145,$F262,'ИП + источники'!$AC$27:$AC$145,"погашение займов и кредитов из нормативной прибыли")</f>
        <v>0</v>
      </c>
      <c r="AZ262" s="128">
        <f ca="1">SUMIFS('ИП + источники'!BA$27:BA$145,'ИП + источники'!$F$27:$F$145,$F262,'ИП + источники'!$AC$27:$AC$145,"погашение займов и кредитов из нормативной прибыли")</f>
        <v>0</v>
      </c>
      <c r="BA262" s="128">
        <f ca="1">SUMIFS('ИП + источники'!BB$27:BB$145,'ИП + источники'!$F$27:$F$145,$F262,'ИП + источники'!$AC$27:$AC$145,"погашение займов и кредитов из нормативной прибыли")</f>
        <v>0</v>
      </c>
      <c r="BB262" s="128">
        <f ca="1">SUMIFS('ИП + источники'!BC$27:BC$145,'ИП + источники'!$F$27:$F$145,$F262,'ИП + источники'!$AC$27:$AC$145,"погашение займов и кредитов из нормативной прибыли")</f>
        <v>0</v>
      </c>
      <c r="BC262" s="128">
        <f ca="1">SUMIFS('ИП + источники'!BD$27:BD$145,'ИП + источники'!$F$27:$F$145,$F262,'ИП + источники'!$AC$27:$AC$145,"погашение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601" t="str">
        <f ca="1">IF(IFERROR(INDEX('ИП + источники'!$K$28:$L$145,MATCH($F262&amp;"2komm",'ИП + источники'!$K$28:$K$145,0),2),"")=0,"",IFERROR(INDEX('ИП + источники'!$K$28:$L$145,MATCH($F262&amp;"2komm",'ИП + источники'!$K$28:$K$145,0),2),""))</f>
        <v/>
      </c>
      <c r="BP262" s="196"/>
      <c r="BS262" s="696" t="s">
        <v>2147</v>
      </c>
    </row>
    <row r="263" spans="1:75" ht="14.25" customHeight="1" x14ac:dyDescent="0.15">
      <c r="B263" s="329" t="b" cm="1">
        <f t="array" ref="B263">B262</f>
        <v>1</v>
      </c>
      <c r="E263" s="507">
        <v>15</v>
      </c>
      <c r="F263" s="3" t="str" cm="1">
        <f t="array" aca="1" ref="F263" ca="1">OFFSET(E263,-1,1)</f>
        <v>1</v>
      </c>
      <c r="I263" s="72" t="s">
        <v>578</v>
      </c>
      <c r="K263" s="72" t="s">
        <v>578</v>
      </c>
      <c r="L263" s="25"/>
      <c r="M263" s="25"/>
      <c r="T263" s="353" t="b" cm="1">
        <f t="array" aca="1" ref="T263" ca="1">T262</f>
        <v>1</v>
      </c>
      <c r="X263" s="990"/>
      <c r="Z263" s="967"/>
      <c r="AB263" s="133" t="s">
        <v>707</v>
      </c>
      <c r="AC263" s="127" t="s">
        <v>2148</v>
      </c>
      <c r="AD263" s="7" t="s">
        <v>828</v>
      </c>
      <c r="AE263" s="128">
        <f ca="1">SUMIFS('ИП + источники'!AF$27:AF$145,'ИП + источники'!$F$27:$F$145,$F263,'ИП + источники'!$AC$27:$AC$145,"уплата процентов по кредитам из нормативной прибыли")</f>
        <v>0</v>
      </c>
      <c r="AF263" s="128">
        <f ca="1">SUMIFS('ИП + источники'!AG$27:AG$145,'ИП + источники'!$F$27:$F$145,$F263,'ИП + источники'!$AC$27:$AC$145,"уплата процентов по кредитам из нормативной прибыли")</f>
        <v>0</v>
      </c>
      <c r="AG263" s="128">
        <f ca="1">SUMIFS('ИП + источники'!AH$27:AH$145,'ИП + источники'!$F$27:$F$145,$F263,'ИП + источники'!$AC$27:$AC$145,"уплата процентов по кредитам из нормативной прибыли")</f>
        <v>0</v>
      </c>
      <c r="AH263" s="171">
        <f t="shared" ca="1" si="50"/>
        <v>0</v>
      </c>
      <c r="AI263" s="128">
        <f ca="1">SUMIFS('ИП + источники'!AJ$27:AJ$145,'ИП + источники'!$F$27:$F$145,$F263,'ИП + источники'!$AC$27:$AC$145,"уплата процентов по кредитам из нормативной прибыли")</f>
        <v>0</v>
      </c>
      <c r="AJ263" s="128">
        <f ca="1">SUMIFS('ИП + источники'!AK$27:AK$145,'ИП + источники'!$F$27:$F$145,$F263,'ИП + источники'!$AC$27:$AC$145,"уплата процентов по кредитам из нормативной прибыли")</f>
        <v>0</v>
      </c>
      <c r="AK263" s="778">
        <f ca="1">SUMIFS('ИП + источники'!AL$27:AL$145,'ИП + источники'!$F$27:$F$145,$F263,'ИП + источники'!$AC$27:$AC$145,"уплата процентов по кредитам из нормативной прибыли")</f>
        <v>0</v>
      </c>
      <c r="AL263" s="778">
        <f ca="1">SUMIFS('ИП + источники'!AM$27:AM$145,'ИП + источники'!$F$27:$F$145,$F263,'ИП + источники'!$AC$27:$AC$145,"уплата процентов по кредитам из нормативной прибыли")</f>
        <v>0</v>
      </c>
      <c r="AM263" s="128">
        <f ca="1">SUMIFS('ИП + источники'!AN$27:AN$145,'ИП + источники'!$F$27:$F$145,$F263,'ИП + источники'!$AC$27:$AC$145,"уплата процентов по кредитам из нормативной прибыли")</f>
        <v>0</v>
      </c>
      <c r="AN263" s="128">
        <f ca="1">SUMIFS('ИП + источники'!AO$27:AO$145,'ИП + источники'!$F$27:$F$145,$F263,'ИП + источники'!$AC$27:$AC$145,"уплата процентов по кредитам из нормативной прибыли")</f>
        <v>0</v>
      </c>
      <c r="AO263" s="128">
        <f ca="1">SUMIFS('ИП + источники'!AP$27:AP$145,'ИП + источники'!$F$27:$F$145,$F263,'ИП + источники'!$AC$27:$AC$145,"уплата процентов по кредитам из нормативной прибыли")</f>
        <v>0</v>
      </c>
      <c r="AP263" s="128">
        <f ca="1">SUMIFS('ИП + источники'!AQ$27:AQ$145,'ИП + источники'!$F$27:$F$145,$F263,'ИП + источники'!$AC$27:$AC$145,"уплата процентов по кредитам из нормативной прибыли")</f>
        <v>0</v>
      </c>
      <c r="AQ263" s="128">
        <f ca="1">SUMIFS('ИП + источники'!AR$27:AR$145,'ИП + источники'!$F$27:$F$145,$F263,'ИП + источники'!$AC$27:$AC$145,"уплата процентов по кредитам из нормативной прибыли")</f>
        <v>0</v>
      </c>
      <c r="AR263" s="128">
        <f ca="1">SUMIFS('ИП + источники'!AS$27:AS$145,'ИП + источники'!$F$27:$F$145,$F263,'ИП + источники'!$AC$27:$AC$145,"уплата процентов по кредитам из нормативной прибыли")</f>
        <v>0</v>
      </c>
      <c r="AS263" s="128">
        <f ca="1">SUMIFS('ИП + источники'!AT$27:AT$145,'ИП + источники'!$F$27:$F$145,$F263,'ИП + источники'!$AC$27:$AC$145,"уплата процентов по кредитам из нормативной прибыли")</f>
        <v>0</v>
      </c>
      <c r="AT263" s="128">
        <f ca="1">SUMIFS('ИП + источники'!AU$27:AU$145,'ИП + источники'!$F$27:$F$145,$F263,'ИП + источники'!$AC$27:$AC$145,"уплата процентов по кредитам из нормативной прибыли")</f>
        <v>0</v>
      </c>
      <c r="AU263" s="778">
        <f ca="1">SUMIFS('ИП + источники'!AV$27:AV$145,'ИП + источники'!$F$27:$F$145,$F263,'ИП + источники'!$AC$27:$AC$145,"уплата процентов по кредитам из нормативной прибыли")</f>
        <v>0</v>
      </c>
      <c r="AV263" s="778">
        <f ca="1">SUMIFS('ИП + источники'!AW$27:AW$145,'ИП + источники'!$F$27:$F$145,$F263,'ИП + источники'!$AC$27:$AC$145,"уплата процентов по кредитам из нормативной прибыли")</f>
        <v>0</v>
      </c>
      <c r="AW263" s="128">
        <f ca="1">SUMIFS('ИП + источники'!AX$27:AX$145,'ИП + источники'!$F$27:$F$145,$F263,'ИП + источники'!$AC$27:$AC$145,"уплата процентов по кредитам из нормативной прибыли")</f>
        <v>0</v>
      </c>
      <c r="AX263" s="128">
        <f ca="1">SUMIFS('ИП + источники'!AY$27:AY$145,'ИП + источники'!$F$27:$F$145,$F263,'ИП + источники'!$AC$27:$AC$145,"уплата процентов по кредитам из нормативной прибыли")</f>
        <v>0</v>
      </c>
      <c r="AY263" s="128">
        <f ca="1">SUMIFS('ИП + источники'!AZ$27:AZ$145,'ИП + источники'!$F$27:$F$145,$F263,'ИП + источники'!$AC$27:$AC$145,"уплата процентов по кредитам из нормативной прибыли")</f>
        <v>0</v>
      </c>
      <c r="AZ263" s="128">
        <f ca="1">SUMIFS('ИП + источники'!BA$27:BA$145,'ИП + источники'!$F$27:$F$145,$F263,'ИП + источники'!$AC$27:$AC$145,"уплата процентов по кредитам из нормативной прибыли")</f>
        <v>0</v>
      </c>
      <c r="BA263" s="128">
        <f ca="1">SUMIFS('ИП + источники'!BB$27:BB$145,'ИП + источники'!$F$27:$F$145,$F263,'ИП + источники'!$AC$27:$AC$145,"уплата процентов по кредитам из нормативной прибыли")</f>
        <v>0</v>
      </c>
      <c r="BB263" s="128">
        <f ca="1">SUMIFS('ИП + источники'!BC$27:BC$145,'ИП + источники'!$F$27:$F$145,$F263,'ИП + источники'!$AC$27:$AC$145,"уплата процентов по кредитам из нормативной прибыли")</f>
        <v>0</v>
      </c>
      <c r="BC263" s="128">
        <f ca="1">SUMIFS('ИП + источники'!BD$27:BD$145,'ИП + источники'!$F$27:$F$145,$F263,'ИП + источники'!$AC$27:$AC$145,"уплата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1" t="str">
        <f ca="1">IF(IFERROR(INDEX('ИП + источники'!$K$28:$L$145,MATCH($F263&amp;"3komm",'ИП + источники'!$K$28:$K$145,0),2),"")=0,"",IFERROR(INDEX('ИП + источники'!$K$28:$L$145,MATCH($F263&amp;"3komm",'ИП + источники'!$K$28:$K$145,0),2),""))</f>
        <v/>
      </c>
      <c r="BP263" s="196"/>
      <c r="BS263" s="696" t="s">
        <v>2149</v>
      </c>
    </row>
    <row r="264" spans="1:75" ht="14.25" customHeight="1" x14ac:dyDescent="0.15">
      <c r="B264" s="329" t="b" cm="1">
        <f t="array" ref="B264">B263</f>
        <v>1</v>
      </c>
      <c r="E264" s="507">
        <v>15</v>
      </c>
      <c r="F264" s="3" t="str" cm="1">
        <f t="array" aca="1" ref="F264" ca="1">OFFSET(E264,-1,1)</f>
        <v>1</v>
      </c>
      <c r="I264" s="72" t="s">
        <v>794</v>
      </c>
      <c r="K264" s="72" t="s">
        <v>794</v>
      </c>
      <c r="L264" s="25" t="s">
        <v>593</v>
      </c>
      <c r="M264" s="25"/>
      <c r="T264" s="353" t="b" cm="1">
        <f t="array" aca="1" ref="T264" ca="1">T263</f>
        <v>1</v>
      </c>
      <c r="X264" s="990"/>
      <c r="Z264" s="967"/>
      <c r="AB264" s="133" t="s">
        <v>994</v>
      </c>
      <c r="AC264" s="127" t="s">
        <v>2150</v>
      </c>
      <c r="AD264" s="7" t="s">
        <v>828</v>
      </c>
      <c r="AE264" s="128">
        <f ca="1">SUMIFS('ИП + источники'!AF$27:AF$145,'ИП + источники'!$F$27:$F$145,$F264,'ИП + источники'!$AC$27:$AC$145,"Прибыль на капвложения")</f>
        <v>0</v>
      </c>
      <c r="AF264" s="128">
        <f ca="1">SUMIFS('ИП + источники'!AG$27:AG$145,'ИП + источники'!$F$27:$F$145,$F264,'ИП + источники'!$AC$27:$AC$145,"Прибыль на капвложения")</f>
        <v>0</v>
      </c>
      <c r="AG264" s="128">
        <f ca="1">SUMIFS('ИП + источники'!AH$27:AH$145,'ИП + источники'!$F$27:$F$145,$F264,'ИП + источники'!$AC$27:$AC$145,"Прибыль на капвложения")</f>
        <v>0</v>
      </c>
      <c r="AH264" s="171">
        <f t="shared" ca="1" si="50"/>
        <v>0</v>
      </c>
      <c r="AI264" s="128">
        <f ca="1">SUMIFS('ИП + источники'!AJ$27:AJ$145,'ИП + источники'!$F$27:$F$145,$F264,'ИП + источники'!$AC$27:$AC$145,"Прибыль на капвложения")</f>
        <v>0</v>
      </c>
      <c r="AJ264" s="128">
        <f ca="1">SUMIFS('ИП + источники'!AK$27:AK$145,'ИП + источники'!$F$27:$F$145,$F264,'ИП + источники'!$AC$27:$AC$145,"Прибыль на капвложения")</f>
        <v>0</v>
      </c>
      <c r="AK264" s="778">
        <f ca="1">SUMIFS('ИП + источники'!AL$27:AL$145,'ИП + источники'!$F$27:$F$145,$F264,'ИП + источники'!$AC$27:$AC$145,"Прибыль на капвложения")</f>
        <v>0</v>
      </c>
      <c r="AL264" s="778">
        <f ca="1">SUMIFS('ИП + источники'!AM$27:AM$145,'ИП + источники'!$F$27:$F$145,$F264,'ИП + источники'!$AC$27:$AC$145,"Прибыль на капвложения")</f>
        <v>0</v>
      </c>
      <c r="AM264" s="128">
        <f ca="1">SUMIFS('ИП + источники'!AN$27:AN$145,'ИП + источники'!$F$27:$F$145,$F264,'ИП + источники'!$AC$27:$AC$145,"Прибыль на капвложения")</f>
        <v>0</v>
      </c>
      <c r="AN264" s="128">
        <f ca="1">SUMIFS('ИП + источники'!AO$27:AO$145,'ИП + источники'!$F$27:$F$145,$F264,'ИП + источники'!$AC$27:$AC$145,"Прибыль на капвложения")</f>
        <v>0</v>
      </c>
      <c r="AO264" s="128">
        <f ca="1">SUMIFS('ИП + источники'!AP$27:AP$145,'ИП + источники'!$F$27:$F$145,$F264,'ИП + источники'!$AC$27:$AC$145,"Прибыль на капвложения")</f>
        <v>0</v>
      </c>
      <c r="AP264" s="128">
        <f ca="1">SUMIFS('ИП + источники'!AQ$27:AQ$145,'ИП + источники'!$F$27:$F$145,$F264,'ИП + источники'!$AC$27:$AC$145,"Прибыль на капвложения")</f>
        <v>0</v>
      </c>
      <c r="AQ264" s="128">
        <f ca="1">SUMIFS('ИП + источники'!AR$27:AR$145,'ИП + источники'!$F$27:$F$145,$F264,'ИП + источники'!$AC$27:$AC$145,"Прибыль на капвложения")</f>
        <v>0</v>
      </c>
      <c r="AR264" s="128">
        <f ca="1">SUMIFS('ИП + источники'!AS$27:AS$145,'ИП + источники'!$F$27:$F$145,$F264,'ИП + источники'!$AC$27:$AC$145,"Прибыль на капвложения")</f>
        <v>0</v>
      </c>
      <c r="AS264" s="128">
        <f ca="1">SUMIFS('ИП + источники'!AT$27:AT$145,'ИП + источники'!$F$27:$F$145,$F264,'ИП + источники'!$AC$27:$AC$145,"Прибыль на капвложения")</f>
        <v>0</v>
      </c>
      <c r="AT264" s="128">
        <f ca="1">SUMIFS('ИП + источники'!AU$27:AU$145,'ИП + источники'!$F$27:$F$145,$F264,'ИП + источники'!$AC$27:$AC$145,"Прибыль на капвложения")</f>
        <v>0</v>
      </c>
      <c r="AU264" s="778">
        <f ca="1">SUMIFS('ИП + источники'!AV$27:AV$145,'ИП + источники'!$F$27:$F$145,$F264,'ИП + источники'!$AC$27:$AC$145,"Прибыль на капвложения")</f>
        <v>0</v>
      </c>
      <c r="AV264" s="778">
        <f ca="1">SUMIFS('ИП + источники'!AW$27:AW$145,'ИП + источники'!$F$27:$F$145,$F264,'ИП + источники'!$AC$27:$AC$145,"Прибыль на капвложения")</f>
        <v>0</v>
      </c>
      <c r="AW264" s="128">
        <f ca="1">SUMIFS('ИП + источники'!AX$27:AX$145,'ИП + источники'!$F$27:$F$145,$F264,'ИП + источники'!$AC$27:$AC$145,"Прибыль на капвложения")</f>
        <v>0</v>
      </c>
      <c r="AX264" s="128">
        <f ca="1">SUMIFS('ИП + источники'!AY$27:AY$145,'ИП + источники'!$F$27:$F$145,$F264,'ИП + источники'!$AC$27:$AC$145,"Прибыль на капвложения")</f>
        <v>0</v>
      </c>
      <c r="AY264" s="128">
        <f ca="1">SUMIFS('ИП + источники'!AZ$27:AZ$145,'ИП + источники'!$F$27:$F$145,$F264,'ИП + источники'!$AC$27:$AC$145,"Прибыль на капвложения")</f>
        <v>0</v>
      </c>
      <c r="AZ264" s="128">
        <f ca="1">SUMIFS('ИП + источники'!BA$27:BA$145,'ИП + источники'!$F$27:$F$145,$F264,'ИП + источники'!$AC$27:$AC$145,"Прибыль на капвложения")</f>
        <v>0</v>
      </c>
      <c r="BA264" s="128">
        <f ca="1">SUMIFS('ИП + источники'!BB$27:BB$145,'ИП + источники'!$F$27:$F$145,$F264,'ИП + источники'!$AC$27:$AC$145,"Прибыль на капвложения")</f>
        <v>0</v>
      </c>
      <c r="BB264" s="128">
        <f ca="1">SUMIFS('ИП + источники'!BC$27:BC$145,'ИП + источники'!$F$27:$F$145,$F264,'ИП + источники'!$AC$27:$AC$145,"Прибыль на капвложения")</f>
        <v>0</v>
      </c>
      <c r="BC264" s="128">
        <f ca="1">SUMIFS('ИП + источники'!BD$27:BD$145,'ИП + источники'!$F$27:$F$145,$F264,'ИП + источники'!$AC$27:$AC$145,"Прибыль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1" t="str">
        <f ca="1">IF(IFERROR(INDEX('ИП + источники'!$K$28:$L$145,MATCH($F264&amp;"1komm",'ИП + источники'!$K$28:$K$145,0),2),"")=0,"",IFERROR(INDEX('ИП + источники'!$K$28:$L$145,MATCH($F264&amp;"1komm",'ИП + источники'!$K$28:$K$145,0),2),""))</f>
        <v/>
      </c>
      <c r="BP264" s="196"/>
      <c r="BS264" s="696" t="s">
        <v>1851</v>
      </c>
    </row>
    <row r="265" spans="1:75" ht="21.75" customHeight="1" x14ac:dyDescent="0.15">
      <c r="B265" s="329" t="b" cm="1">
        <f t="array" ref="B265">B264</f>
        <v>1</v>
      </c>
      <c r="E265" s="507">
        <v>22.5</v>
      </c>
      <c r="F265" s="3" t="str" cm="1">
        <f t="array" aca="1" ref="F265" ca="1">OFFSET(E265,-1,1)</f>
        <v>1</v>
      </c>
      <c r="G265" s="72" t="s">
        <v>2151</v>
      </c>
      <c r="I265" s="72" t="s">
        <v>996</v>
      </c>
      <c r="K265" s="72" t="s">
        <v>996</v>
      </c>
      <c r="L265" s="25" t="s">
        <v>597</v>
      </c>
      <c r="M265" s="25"/>
      <c r="T265" s="353" t="b" cm="1">
        <f t="array" aca="1" ref="T265" ca="1">T264</f>
        <v>1</v>
      </c>
      <c r="X265" s="990"/>
      <c r="Z265" s="967"/>
      <c r="AB265" s="133" t="s">
        <v>997</v>
      </c>
      <c r="AC265" s="127" t="s">
        <v>2152</v>
      </c>
      <c r="AD265" s="7" t="s">
        <v>828</v>
      </c>
      <c r="AE265" s="128"/>
      <c r="AF265" s="128"/>
      <c r="AG265" s="128"/>
      <c r="AH265" s="171">
        <f t="shared" si="50"/>
        <v>0</v>
      </c>
      <c r="AI265" s="128"/>
      <c r="AJ265" s="128"/>
      <c r="AK265" s="778"/>
      <c r="AL265" s="778"/>
      <c r="AM265" s="128"/>
      <c r="AN265" s="128"/>
      <c r="AO265" s="128"/>
      <c r="AP265" s="128"/>
      <c r="AQ265" s="128"/>
      <c r="AR265" s="128"/>
      <c r="AS265" s="128"/>
      <c r="AT265" s="128"/>
      <c r="AU265" s="778"/>
      <c r="AV265" s="778"/>
      <c r="AW265" s="128"/>
      <c r="AX265" s="128"/>
      <c r="AY265" s="128"/>
      <c r="AZ265" s="128"/>
      <c r="BA265" s="128"/>
      <c r="BB265" s="128"/>
      <c r="BC265" s="128"/>
      <c r="BD265" s="171">
        <f t="shared" si="52"/>
        <v>0</v>
      </c>
      <c r="BE265" s="171">
        <f t="shared" si="53"/>
        <v>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c r="BO265" s="196"/>
      <c r="BP265" s="196"/>
      <c r="BS265" s="696" t="s">
        <v>2153</v>
      </c>
    </row>
    <row r="266" spans="1:75" ht="14.25" hidden="1" customHeight="1" x14ac:dyDescent="0.15">
      <c r="B266" s="329" t="b">
        <f>AND(method_reg="Метод индексации",STATUS_GO="да")</f>
        <v>0</v>
      </c>
      <c r="E266" s="507">
        <v>15</v>
      </c>
      <c r="F266" s="3" t="str" cm="1">
        <f t="array" aca="1" ref="F266" ca="1">OFFSET(E266,-1,1)</f>
        <v>1</v>
      </c>
      <c r="G266" s="72" t="s">
        <v>1854</v>
      </c>
      <c r="I266" s="72" t="s">
        <v>532</v>
      </c>
      <c r="K266" s="72" t="s">
        <v>532</v>
      </c>
      <c r="L266" s="25" t="s">
        <v>601</v>
      </c>
      <c r="M266" s="25"/>
      <c r="T266" s="353" t="b" cm="1">
        <f t="array" aca="1" ref="T266" ca="1">T265</f>
        <v>1</v>
      </c>
      <c r="X266" s="990"/>
      <c r="Z266" s="967"/>
      <c r="AB266" s="133" t="s">
        <v>536</v>
      </c>
      <c r="AC266" s="346" t="s">
        <v>1854</v>
      </c>
      <c r="AD266" s="7" t="s">
        <v>828</v>
      </c>
      <c r="AE266" s="778"/>
      <c r="AF266" s="778"/>
      <c r="AG266" s="778"/>
      <c r="AH266" s="171">
        <f t="shared" si="50"/>
        <v>0</v>
      </c>
      <c r="AI266" s="778"/>
      <c r="AJ266" s="128"/>
      <c r="AK266" s="778"/>
      <c r="AL266" s="778"/>
      <c r="AM266" s="778"/>
      <c r="AN266" s="778"/>
      <c r="AO266" s="778"/>
      <c r="AP266" s="778"/>
      <c r="AQ266" s="778"/>
      <c r="AR266" s="778"/>
      <c r="AS266" s="778"/>
      <c r="AT266" s="128"/>
      <c r="AU266" s="778"/>
      <c r="AV266" s="778"/>
      <c r="AW266" s="778"/>
      <c r="AX266" s="778"/>
      <c r="AY266" s="778"/>
      <c r="AZ266" s="778"/>
      <c r="BA266" s="778"/>
      <c r="BB266" s="778"/>
      <c r="BC266" s="778"/>
      <c r="BD266" s="171">
        <f t="shared" si="52"/>
        <v>0</v>
      </c>
      <c r="BE266" s="171">
        <f t="shared" si="53"/>
        <v>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775"/>
      <c r="BO266" s="775"/>
      <c r="BP266" s="775"/>
      <c r="BS266" s="696" t="s">
        <v>1855</v>
      </c>
    </row>
    <row r="267" spans="1:75" ht="14.25" hidden="1" customHeight="1" x14ac:dyDescent="0.15">
      <c r="B267" s="644" t="b">
        <f>method_reg="Метод обеспечения доходности инвестированного капитала"</f>
        <v>0</v>
      </c>
      <c r="E267" s="507">
        <v>15</v>
      </c>
      <c r="F267" s="3" t="str" cm="1">
        <f t="array" aca="1" ref="F267" ca="1">OFFSET(E267,-1,1)</f>
        <v>1</v>
      </c>
      <c r="K267" s="25" t="s">
        <v>335</v>
      </c>
      <c r="L267" s="25"/>
      <c r="M267" s="25"/>
      <c r="T267" s="353" t="b" cm="1">
        <f t="array" aca="1" ref="T267" ca="1">T266</f>
        <v>1</v>
      </c>
      <c r="X267" s="990"/>
      <c r="Z267" s="967"/>
      <c r="AB267" s="131" t="s">
        <v>454</v>
      </c>
      <c r="AC267" s="132" t="s">
        <v>2154</v>
      </c>
      <c r="AD267" s="124" t="s">
        <v>828</v>
      </c>
      <c r="AE267" s="774"/>
      <c r="AF267" s="774"/>
      <c r="AG267" s="774"/>
      <c r="AH267" s="126">
        <f t="shared" si="50"/>
        <v>0</v>
      </c>
      <c r="AI267" s="774"/>
      <c r="AJ267" s="138"/>
      <c r="AK267" s="774"/>
      <c r="AL267" s="774"/>
      <c r="AM267" s="774"/>
      <c r="AN267" s="774"/>
      <c r="AO267" s="774"/>
      <c r="AP267" s="774"/>
      <c r="AQ267" s="774"/>
      <c r="AR267" s="774"/>
      <c r="AS267" s="774"/>
      <c r="AT267" s="138"/>
      <c r="AU267" s="774"/>
      <c r="AV267" s="774"/>
      <c r="AW267" s="774"/>
      <c r="AX267" s="774"/>
      <c r="AY267" s="774"/>
      <c r="AZ267" s="774"/>
      <c r="BA267" s="774"/>
      <c r="BB267" s="774"/>
      <c r="BC267" s="774"/>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7"/>
      <c r="BO267" s="777"/>
      <c r="BP267" s="777"/>
      <c r="BS267" s="696" t="s">
        <v>2155</v>
      </c>
    </row>
    <row r="268" spans="1:75" ht="14.25" hidden="1" customHeight="1" x14ac:dyDescent="0.15">
      <c r="B268" s="644" t="b" cm="1">
        <f t="array" ref="B268">B267</f>
        <v>0</v>
      </c>
      <c r="E268" s="507">
        <v>15</v>
      </c>
      <c r="F268" s="3" t="str" cm="1">
        <f t="array" aca="1" ref="F268" ca="1">OFFSET(E268,-1,1)</f>
        <v>1</v>
      </c>
      <c r="K268" s="25" t="s">
        <v>560</v>
      </c>
      <c r="L268" s="25"/>
      <c r="M268" s="25"/>
      <c r="T268" s="353" t="b" cm="1">
        <f t="array" aca="1" ref="T268" ca="1">T267</f>
        <v>1</v>
      </c>
      <c r="X268" s="990"/>
      <c r="Z268" s="967"/>
      <c r="AB268" s="133" t="s">
        <v>697</v>
      </c>
      <c r="AC268" s="127" t="s">
        <v>2156</v>
      </c>
      <c r="AD268" s="7" t="s">
        <v>828</v>
      </c>
      <c r="AE268" s="778"/>
      <c r="AF268" s="778"/>
      <c r="AG268" s="778"/>
      <c r="AH268" s="542"/>
      <c r="AI268" s="778"/>
      <c r="AJ268" s="128"/>
      <c r="AK268" s="778"/>
      <c r="AL268" s="778"/>
      <c r="AM268" s="778"/>
      <c r="AN268" s="778"/>
      <c r="AO268" s="778"/>
      <c r="AP268" s="778"/>
      <c r="AQ268" s="778"/>
      <c r="AR268" s="778"/>
      <c r="AS268" s="778"/>
      <c r="AT268" s="128"/>
      <c r="AU268" s="778"/>
      <c r="AV268" s="778"/>
      <c r="AW268" s="778"/>
      <c r="AX268" s="778"/>
      <c r="AY268" s="778"/>
      <c r="AZ268" s="778"/>
      <c r="BA268" s="778"/>
      <c r="BB268" s="778"/>
      <c r="BC268" s="778"/>
      <c r="BD268" s="542"/>
      <c r="BE268" s="542"/>
      <c r="BF268" s="542"/>
      <c r="BG268" s="542"/>
      <c r="BH268" s="542"/>
      <c r="BI268" s="542"/>
      <c r="BJ268" s="542"/>
      <c r="BK268" s="542"/>
      <c r="BL268" s="542"/>
      <c r="BM268" s="542"/>
      <c r="BN268" s="775"/>
      <c r="BO268" s="775"/>
      <c r="BP268" s="775"/>
      <c r="BS268" s="696" t="s">
        <v>2157</v>
      </c>
    </row>
    <row r="269" spans="1:75" ht="14.25" hidden="1" customHeight="1" x14ac:dyDescent="0.15">
      <c r="B269" s="644" t="b" cm="1">
        <f t="array" ref="B269">B268</f>
        <v>0</v>
      </c>
      <c r="E269" s="507">
        <v>15</v>
      </c>
      <c r="F269" s="3" t="str" cm="1">
        <f t="array" aca="1" ref="F269" ca="1">OFFSET(E269,-1,1)</f>
        <v>1</v>
      </c>
      <c r="K269" s="25" t="s">
        <v>564</v>
      </c>
      <c r="L269" s="25"/>
      <c r="M269" s="25"/>
      <c r="T269" s="353" t="b" cm="1">
        <f t="array" aca="1" ref="T269" ca="1">T268</f>
        <v>1</v>
      </c>
      <c r="X269" s="990"/>
      <c r="Z269" s="967"/>
      <c r="AB269" s="133" t="s">
        <v>700</v>
      </c>
      <c r="AC269" s="127" t="s">
        <v>2158</v>
      </c>
      <c r="AD269" s="7" t="s">
        <v>2159</v>
      </c>
      <c r="AE269" s="778"/>
      <c r="AF269" s="778"/>
      <c r="AG269" s="778"/>
      <c r="AH269" s="542"/>
      <c r="AI269" s="778"/>
      <c r="AJ269" s="128"/>
      <c r="AK269" s="778"/>
      <c r="AL269" s="778"/>
      <c r="AM269" s="778"/>
      <c r="AN269" s="778"/>
      <c r="AO269" s="778"/>
      <c r="AP269" s="778"/>
      <c r="AQ269" s="778"/>
      <c r="AR269" s="778"/>
      <c r="AS269" s="778"/>
      <c r="AT269" s="128"/>
      <c r="AU269" s="778"/>
      <c r="AV269" s="778"/>
      <c r="AW269" s="778"/>
      <c r="AX269" s="778"/>
      <c r="AY269" s="778"/>
      <c r="AZ269" s="778"/>
      <c r="BA269" s="778"/>
      <c r="BB269" s="778"/>
      <c r="BC269" s="778"/>
      <c r="BD269" s="542"/>
      <c r="BE269" s="542"/>
      <c r="BF269" s="542"/>
      <c r="BG269" s="542"/>
      <c r="BH269" s="542"/>
      <c r="BI269" s="542"/>
      <c r="BJ269" s="542"/>
      <c r="BK269" s="542"/>
      <c r="BL269" s="542"/>
      <c r="BM269" s="542"/>
      <c r="BN269" s="775"/>
      <c r="BO269" s="775"/>
      <c r="BP269" s="775"/>
      <c r="BS269" s="696" t="s">
        <v>2160</v>
      </c>
    </row>
    <row r="270" spans="1:75" ht="14.25" hidden="1" customHeight="1" x14ac:dyDescent="0.15">
      <c r="B270" s="644" t="b" cm="1">
        <f t="array" ref="B270">B269</f>
        <v>0</v>
      </c>
      <c r="E270" s="507">
        <v>15</v>
      </c>
      <c r="F270" s="3" t="str" cm="1">
        <f t="array" aca="1" ref="F270" ca="1">OFFSET(E270,-1,1)</f>
        <v>1</v>
      </c>
      <c r="K270" s="25" t="s">
        <v>334</v>
      </c>
      <c r="L270" s="25"/>
      <c r="M270" s="25"/>
      <c r="T270" s="353" t="b" cm="1">
        <f t="array" aca="1" ref="T270" ca="1">T269</f>
        <v>1</v>
      </c>
      <c r="X270" s="990"/>
      <c r="Z270" s="967"/>
      <c r="AB270" s="131" t="s">
        <v>460</v>
      </c>
      <c r="AC270" s="132" t="s">
        <v>2161</v>
      </c>
      <c r="AD270" s="124" t="s">
        <v>828</v>
      </c>
      <c r="AE270" s="774"/>
      <c r="AF270" s="774"/>
      <c r="AG270" s="774"/>
      <c r="AH270" s="126">
        <f>AG270-AF270</f>
        <v>0</v>
      </c>
      <c r="AI270" s="774"/>
      <c r="AJ270" s="138"/>
      <c r="AK270" s="774"/>
      <c r="AL270" s="774"/>
      <c r="AM270" s="774"/>
      <c r="AN270" s="774"/>
      <c r="AO270" s="774"/>
      <c r="AP270" s="774"/>
      <c r="AQ270" s="774"/>
      <c r="AR270" s="774"/>
      <c r="AS270" s="774"/>
      <c r="AT270" s="138"/>
      <c r="AU270" s="774"/>
      <c r="AV270" s="774"/>
      <c r="AW270" s="774"/>
      <c r="AX270" s="774"/>
      <c r="AY270" s="774"/>
      <c r="AZ270" s="774"/>
      <c r="BA270" s="774"/>
      <c r="BB270" s="774"/>
      <c r="BC270" s="774"/>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7"/>
      <c r="BO270" s="777"/>
      <c r="BP270" s="777"/>
      <c r="BS270" s="696" t="s">
        <v>2162</v>
      </c>
    </row>
    <row r="271" spans="1:75" ht="14.25" hidden="1" customHeight="1" x14ac:dyDescent="0.15">
      <c r="B271" s="644" t="b" cm="1">
        <f t="array" ref="B271">B270</f>
        <v>0</v>
      </c>
      <c r="E271" s="507">
        <v>15</v>
      </c>
      <c r="F271" s="3" t="str" cm="1">
        <f t="array" aca="1" ref="F271" ca="1">OFFSET(E271,-1,1)</f>
        <v>1</v>
      </c>
      <c r="K271" s="25" t="s">
        <v>574</v>
      </c>
      <c r="L271" s="25"/>
      <c r="M271" s="25"/>
      <c r="T271" s="353" t="b" cm="1">
        <f t="array" aca="1" ref="T271" ca="1">T270</f>
        <v>1</v>
      </c>
      <c r="X271" s="990"/>
      <c r="Z271" s="967"/>
      <c r="AB271" s="133" t="s">
        <v>704</v>
      </c>
      <c r="AC271" s="127" t="s">
        <v>2163</v>
      </c>
      <c r="AD271" s="7" t="s">
        <v>828</v>
      </c>
      <c r="AE271" s="778"/>
      <c r="AF271" s="778"/>
      <c r="AG271" s="778"/>
      <c r="AH271" s="542"/>
      <c r="AI271" s="778"/>
      <c r="AJ271" s="128"/>
      <c r="AK271" s="778"/>
      <c r="AL271" s="778"/>
      <c r="AM271" s="778"/>
      <c r="AN271" s="778"/>
      <c r="AO271" s="778"/>
      <c r="AP271" s="778"/>
      <c r="AQ271" s="778"/>
      <c r="AR271" s="778"/>
      <c r="AS271" s="778"/>
      <c r="AT271" s="128"/>
      <c r="AU271" s="778"/>
      <c r="AV271" s="778"/>
      <c r="AW271" s="778"/>
      <c r="AX271" s="778"/>
      <c r="AY271" s="778"/>
      <c r="AZ271" s="778"/>
      <c r="BA271" s="778"/>
      <c r="BB271" s="778"/>
      <c r="BC271" s="778"/>
      <c r="BD271" s="542"/>
      <c r="BE271" s="542"/>
      <c r="BF271" s="542"/>
      <c r="BG271" s="542"/>
      <c r="BH271" s="542"/>
      <c r="BI271" s="542"/>
      <c r="BJ271" s="542"/>
      <c r="BK271" s="542"/>
      <c r="BL271" s="542"/>
      <c r="BM271" s="542"/>
      <c r="BN271" s="775"/>
      <c r="BO271" s="775"/>
      <c r="BP271" s="775"/>
      <c r="BS271" s="696" t="s">
        <v>2164</v>
      </c>
    </row>
    <row r="272" spans="1:75" ht="14.25" hidden="1" customHeight="1" x14ac:dyDescent="0.15">
      <c r="B272" s="644" t="b" cm="1">
        <f t="array" ref="B272">B271</f>
        <v>0</v>
      </c>
      <c r="E272" s="507">
        <v>15</v>
      </c>
      <c r="F272" s="3" t="str" cm="1">
        <f t="array" aca="1" ref="F272" ca="1">OFFSET(E272,-1,1)</f>
        <v>1</v>
      </c>
      <c r="K272" s="25" t="s">
        <v>578</v>
      </c>
      <c r="L272" s="25"/>
      <c r="M272" s="25"/>
      <c r="T272" s="353" t="b" cm="1">
        <f t="array" aca="1" ref="T272" ca="1">T271</f>
        <v>1</v>
      </c>
      <c r="X272" s="990"/>
      <c r="Z272" s="967"/>
      <c r="AB272" s="133" t="s">
        <v>707</v>
      </c>
      <c r="AC272" s="127" t="s">
        <v>2165</v>
      </c>
      <c r="AD272" s="7" t="s">
        <v>476</v>
      </c>
      <c r="AE272" s="778"/>
      <c r="AF272" s="778"/>
      <c r="AG272" s="778"/>
      <c r="AH272" s="542"/>
      <c r="AI272" s="778"/>
      <c r="AJ272" s="128"/>
      <c r="AK272" s="778"/>
      <c r="AL272" s="778"/>
      <c r="AM272" s="778"/>
      <c r="AN272" s="778"/>
      <c r="AO272" s="778"/>
      <c r="AP272" s="778"/>
      <c r="AQ272" s="778"/>
      <c r="AR272" s="778"/>
      <c r="AS272" s="778"/>
      <c r="AT272" s="128"/>
      <c r="AU272" s="778"/>
      <c r="AV272" s="778"/>
      <c r="AW272" s="778"/>
      <c r="AX272" s="778"/>
      <c r="AY272" s="778"/>
      <c r="AZ272" s="778"/>
      <c r="BA272" s="778"/>
      <c r="BB272" s="778"/>
      <c r="BC272" s="778"/>
      <c r="BD272" s="542"/>
      <c r="BE272" s="542"/>
      <c r="BF272" s="542"/>
      <c r="BG272" s="542"/>
      <c r="BH272" s="542"/>
      <c r="BI272" s="542"/>
      <c r="BJ272" s="542"/>
      <c r="BK272" s="542"/>
      <c r="BL272" s="542"/>
      <c r="BM272" s="542"/>
      <c r="BN272" s="775"/>
      <c r="BO272" s="775"/>
      <c r="BP272" s="775"/>
      <c r="BS272" s="696" t="s">
        <v>2166</v>
      </c>
    </row>
    <row r="273" spans="1:75" ht="14.25" hidden="1" customHeight="1" x14ac:dyDescent="0.15">
      <c r="B273" s="644" t="b" cm="1">
        <f t="array" ref="B273">B272</f>
        <v>0</v>
      </c>
      <c r="E273" s="507">
        <v>15</v>
      </c>
      <c r="F273" s="3" t="str" cm="1">
        <f t="array" aca="1" ref="F273" ca="1">OFFSET(E273,-1,1)</f>
        <v>1</v>
      </c>
      <c r="K273" s="25" t="s">
        <v>794</v>
      </c>
      <c r="L273" s="25"/>
      <c r="M273" s="25"/>
      <c r="T273" s="353" t="b" cm="1">
        <f t="array" aca="1" ref="T273" ca="1">T272</f>
        <v>1</v>
      </c>
      <c r="X273" s="990"/>
      <c r="Z273" s="967"/>
      <c r="AB273" s="133" t="s">
        <v>994</v>
      </c>
      <c r="AC273" s="127" t="s">
        <v>2167</v>
      </c>
      <c r="AD273" s="7" t="s">
        <v>828</v>
      </c>
      <c r="AE273" s="778"/>
      <c r="AF273" s="778"/>
      <c r="AG273" s="778"/>
      <c r="AH273" s="542"/>
      <c r="AI273" s="778"/>
      <c r="AJ273" s="128"/>
      <c r="AK273" s="778"/>
      <c r="AL273" s="778"/>
      <c r="AM273" s="778"/>
      <c r="AN273" s="778"/>
      <c r="AO273" s="778"/>
      <c r="AP273" s="778"/>
      <c r="AQ273" s="778"/>
      <c r="AR273" s="778"/>
      <c r="AS273" s="778"/>
      <c r="AT273" s="128"/>
      <c r="AU273" s="778"/>
      <c r="AV273" s="778"/>
      <c r="AW273" s="778"/>
      <c r="AX273" s="778"/>
      <c r="AY273" s="778"/>
      <c r="AZ273" s="778"/>
      <c r="BA273" s="778"/>
      <c r="BB273" s="778"/>
      <c r="BC273" s="778"/>
      <c r="BD273" s="542"/>
      <c r="BE273" s="542"/>
      <c r="BF273" s="542"/>
      <c r="BG273" s="542"/>
      <c r="BH273" s="542"/>
      <c r="BI273" s="542"/>
      <c r="BJ273" s="542"/>
      <c r="BK273" s="542"/>
      <c r="BL273" s="542"/>
      <c r="BM273" s="542"/>
      <c r="BN273" s="775"/>
      <c r="BO273" s="775"/>
      <c r="BP273" s="775"/>
      <c r="BS273" s="696" t="s">
        <v>2168</v>
      </c>
    </row>
    <row r="274" spans="1:75" ht="14.25" hidden="1" customHeight="1" x14ac:dyDescent="0.15">
      <c r="B274" s="644" t="b" cm="1">
        <f t="array" ref="B274">B273</f>
        <v>0</v>
      </c>
      <c r="E274" s="507">
        <v>15</v>
      </c>
      <c r="F274" s="3" t="str" cm="1">
        <f t="array" aca="1" ref="F274" ca="1">OFFSET(E274,-1,1)</f>
        <v>1</v>
      </c>
      <c r="K274" s="25" t="s">
        <v>996</v>
      </c>
      <c r="L274" s="25"/>
      <c r="M274" s="25"/>
      <c r="T274" s="353" t="b" cm="1">
        <f t="array" aca="1" ref="T274" ca="1">T273</f>
        <v>1</v>
      </c>
      <c r="X274" s="990"/>
      <c r="Z274" s="967"/>
      <c r="AB274" s="133" t="s">
        <v>997</v>
      </c>
      <c r="AC274" s="127" t="s">
        <v>2169</v>
      </c>
      <c r="AD274" s="7" t="s">
        <v>828</v>
      </c>
      <c r="AE274" s="778"/>
      <c r="AF274" s="778"/>
      <c r="AG274" s="778"/>
      <c r="AH274" s="542"/>
      <c r="AI274" s="778"/>
      <c r="AJ274" s="128"/>
      <c r="AK274" s="778"/>
      <c r="AL274" s="778"/>
      <c r="AM274" s="778"/>
      <c r="AN274" s="778"/>
      <c r="AO274" s="778"/>
      <c r="AP274" s="778"/>
      <c r="AQ274" s="778"/>
      <c r="AR274" s="778"/>
      <c r="AS274" s="778"/>
      <c r="AT274" s="128"/>
      <c r="AU274" s="778"/>
      <c r="AV274" s="778"/>
      <c r="AW274" s="778"/>
      <c r="AX274" s="778"/>
      <c r="AY274" s="778"/>
      <c r="AZ274" s="778"/>
      <c r="BA274" s="778"/>
      <c r="BB274" s="778"/>
      <c r="BC274" s="778"/>
      <c r="BD274" s="542"/>
      <c r="BE274" s="542"/>
      <c r="BF274" s="542"/>
      <c r="BG274" s="542"/>
      <c r="BH274" s="542"/>
      <c r="BI274" s="542"/>
      <c r="BJ274" s="542"/>
      <c r="BK274" s="542"/>
      <c r="BL274" s="542"/>
      <c r="BM274" s="542"/>
      <c r="BN274" s="775"/>
      <c r="BO274" s="775"/>
      <c r="BP274" s="775"/>
      <c r="BS274" s="696" t="s">
        <v>2170</v>
      </c>
    </row>
    <row r="275" spans="1:75" ht="14.25" hidden="1" customHeight="1" x14ac:dyDescent="0.15">
      <c r="B275" s="644" t="b" cm="1">
        <f t="array" ref="B275">B274</f>
        <v>0</v>
      </c>
      <c r="E275" s="507">
        <v>15</v>
      </c>
      <c r="F275" s="3" t="str" cm="1">
        <f t="array" aca="1" ref="F275" ca="1">OFFSET(E275,-1,1)</f>
        <v>1</v>
      </c>
      <c r="K275" s="25" t="s">
        <v>2171</v>
      </c>
      <c r="L275" s="25"/>
      <c r="M275" s="25"/>
      <c r="T275" s="353" t="b" cm="1">
        <f t="array" aca="1" ref="T275" ca="1">T274</f>
        <v>1</v>
      </c>
      <c r="X275" s="990"/>
      <c r="Z275" s="967"/>
      <c r="AB275" s="133" t="s">
        <v>2172</v>
      </c>
      <c r="AC275" s="134" t="s">
        <v>2173</v>
      </c>
      <c r="AD275" s="7" t="s">
        <v>476</v>
      </c>
      <c r="AE275" s="778"/>
      <c r="AF275" s="778"/>
      <c r="AG275" s="778"/>
      <c r="AH275" s="542"/>
      <c r="AI275" s="778"/>
      <c r="AJ275" s="128"/>
      <c r="AK275" s="778"/>
      <c r="AL275" s="778"/>
      <c r="AM275" s="778"/>
      <c r="AN275" s="778"/>
      <c r="AO275" s="778"/>
      <c r="AP275" s="778"/>
      <c r="AQ275" s="778"/>
      <c r="AR275" s="778"/>
      <c r="AS275" s="778"/>
      <c r="AT275" s="128"/>
      <c r="AU275" s="778"/>
      <c r="AV275" s="778"/>
      <c r="AW275" s="778"/>
      <c r="AX275" s="778"/>
      <c r="AY275" s="778"/>
      <c r="AZ275" s="778"/>
      <c r="BA275" s="778"/>
      <c r="BB275" s="778"/>
      <c r="BC275" s="778"/>
      <c r="BD275" s="542"/>
      <c r="BE275" s="542"/>
      <c r="BF275" s="542"/>
      <c r="BG275" s="542"/>
      <c r="BH275" s="542"/>
      <c r="BI275" s="542"/>
      <c r="BJ275" s="542"/>
      <c r="BK275" s="542"/>
      <c r="BL275" s="542"/>
      <c r="BM275" s="542"/>
      <c r="BN275" s="775"/>
      <c r="BO275" s="775"/>
      <c r="BP275" s="775"/>
      <c r="BS275" s="696" t="s">
        <v>2174</v>
      </c>
    </row>
    <row r="276" spans="1:75" ht="14.25" hidden="1" customHeight="1" x14ac:dyDescent="0.15">
      <c r="B276" s="644" t="b" cm="1">
        <f t="array" ref="B276">B275</f>
        <v>0</v>
      </c>
      <c r="E276" s="507">
        <v>15</v>
      </c>
      <c r="F276" s="3" t="str" cm="1">
        <f t="array" aca="1" ref="F276" ca="1">OFFSET(E276,-1,1)</f>
        <v>1</v>
      </c>
      <c r="K276" s="25" t="s">
        <v>999</v>
      </c>
      <c r="L276" s="25"/>
      <c r="M276" s="25"/>
      <c r="T276" s="353" t="b" cm="1">
        <f t="array" aca="1" ref="T276" ca="1">T275</f>
        <v>1</v>
      </c>
      <c r="X276" s="990"/>
      <c r="Z276" s="967"/>
      <c r="AB276" s="133" t="s">
        <v>1000</v>
      </c>
      <c r="AC276" s="127" t="s">
        <v>2175</v>
      </c>
      <c r="AD276" s="7" t="s">
        <v>476</v>
      </c>
      <c r="AE276" s="778"/>
      <c r="AF276" s="778"/>
      <c r="AG276" s="778"/>
      <c r="AH276" s="542"/>
      <c r="AI276" s="778"/>
      <c r="AJ276" s="128"/>
      <c r="AK276" s="778"/>
      <c r="AL276" s="778"/>
      <c r="AM276" s="778"/>
      <c r="AN276" s="778"/>
      <c r="AO276" s="778"/>
      <c r="AP276" s="778"/>
      <c r="AQ276" s="778"/>
      <c r="AR276" s="778"/>
      <c r="AS276" s="778"/>
      <c r="AT276" s="128"/>
      <c r="AU276" s="778"/>
      <c r="AV276" s="778"/>
      <c r="AW276" s="778"/>
      <c r="AX276" s="778"/>
      <c r="AY276" s="778"/>
      <c r="AZ276" s="778"/>
      <c r="BA276" s="778"/>
      <c r="BB276" s="778"/>
      <c r="BC276" s="778"/>
      <c r="BD276" s="542"/>
      <c r="BE276" s="542"/>
      <c r="BF276" s="542"/>
      <c r="BG276" s="542"/>
      <c r="BH276" s="542"/>
      <c r="BI276" s="542"/>
      <c r="BJ276" s="542"/>
      <c r="BK276" s="542"/>
      <c r="BL276" s="542"/>
      <c r="BM276" s="542"/>
      <c r="BN276" s="775"/>
      <c r="BO276" s="775"/>
      <c r="BP276" s="775"/>
      <c r="BS276" s="696" t="s">
        <v>2176</v>
      </c>
    </row>
    <row r="277" spans="1:75" ht="14.25" hidden="1" customHeight="1" x14ac:dyDescent="0.15">
      <c r="B277" s="644" t="b" cm="1">
        <f t="array" ref="B277">B276</f>
        <v>0</v>
      </c>
      <c r="E277" s="507">
        <v>15</v>
      </c>
      <c r="F277" s="3" t="str" cm="1">
        <f t="array" aca="1" ref="F277" ca="1">OFFSET(E277,-1,1)</f>
        <v>1</v>
      </c>
      <c r="K277" s="25" t="s">
        <v>2177</v>
      </c>
      <c r="L277" s="25"/>
      <c r="M277" s="25"/>
      <c r="T277" s="353" t="b" cm="1">
        <f t="array" aca="1" ref="T277" ca="1">T276</f>
        <v>1</v>
      </c>
      <c r="X277" s="990"/>
      <c r="Z277" s="967"/>
      <c r="AB277" s="133" t="s">
        <v>2178</v>
      </c>
      <c r="AC277" s="134" t="s">
        <v>2179</v>
      </c>
      <c r="AD277" s="7" t="s">
        <v>476</v>
      </c>
      <c r="AE277" s="778"/>
      <c r="AF277" s="778"/>
      <c r="AG277" s="778"/>
      <c r="AH277" s="542"/>
      <c r="AI277" s="778"/>
      <c r="AJ277" s="128"/>
      <c r="AK277" s="778"/>
      <c r="AL277" s="778"/>
      <c r="AM277" s="778"/>
      <c r="AN277" s="778"/>
      <c r="AO277" s="778"/>
      <c r="AP277" s="778"/>
      <c r="AQ277" s="778"/>
      <c r="AR277" s="778"/>
      <c r="AS277" s="778"/>
      <c r="AT277" s="128"/>
      <c r="AU277" s="778"/>
      <c r="AV277" s="778"/>
      <c r="AW277" s="778"/>
      <c r="AX277" s="778"/>
      <c r="AY277" s="778"/>
      <c r="AZ277" s="778"/>
      <c r="BA277" s="778"/>
      <c r="BB277" s="778"/>
      <c r="BC277" s="778"/>
      <c r="BD277" s="542"/>
      <c r="BE277" s="542"/>
      <c r="BF277" s="542"/>
      <c r="BG277" s="542"/>
      <c r="BH277" s="542"/>
      <c r="BI277" s="542"/>
      <c r="BJ277" s="542"/>
      <c r="BK277" s="542"/>
      <c r="BL277" s="542"/>
      <c r="BM277" s="542"/>
      <c r="BN277" s="775"/>
      <c r="BO277" s="775"/>
      <c r="BP277" s="775"/>
      <c r="BS277" s="696" t="s">
        <v>2180</v>
      </c>
    </row>
    <row r="278" spans="1:75" ht="14.25" hidden="1" customHeight="1" x14ac:dyDescent="0.15">
      <c r="B278" s="644" t="b" cm="1">
        <f t="array" ref="B278">B277</f>
        <v>0</v>
      </c>
      <c r="E278" s="507">
        <v>15</v>
      </c>
      <c r="F278" s="3" t="str" cm="1">
        <f t="array" aca="1" ref="F278" ca="1">OFFSET(E278,-1,1)</f>
        <v>1</v>
      </c>
      <c r="K278" s="25" t="s">
        <v>2181</v>
      </c>
      <c r="L278" s="25"/>
      <c r="M278" s="25"/>
      <c r="T278" s="353" t="b" cm="1">
        <f t="array" aca="1" ref="T278" ca="1">T277</f>
        <v>1</v>
      </c>
      <c r="X278" s="990"/>
      <c r="Z278" s="967"/>
      <c r="AB278" s="133" t="s">
        <v>2182</v>
      </c>
      <c r="AC278" s="134" t="s">
        <v>2183</v>
      </c>
      <c r="AD278" s="7" t="s">
        <v>476</v>
      </c>
      <c r="AE278" s="778"/>
      <c r="AF278" s="778"/>
      <c r="AG278" s="778"/>
      <c r="AH278" s="542"/>
      <c r="AI278" s="778"/>
      <c r="AJ278" s="128"/>
      <c r="AK278" s="778"/>
      <c r="AL278" s="778"/>
      <c r="AM278" s="778"/>
      <c r="AN278" s="778"/>
      <c r="AO278" s="778"/>
      <c r="AP278" s="778"/>
      <c r="AQ278" s="778"/>
      <c r="AR278" s="778"/>
      <c r="AS278" s="778"/>
      <c r="AT278" s="128"/>
      <c r="AU278" s="778"/>
      <c r="AV278" s="778"/>
      <c r="AW278" s="778"/>
      <c r="AX278" s="778"/>
      <c r="AY278" s="778"/>
      <c r="AZ278" s="778"/>
      <c r="BA278" s="778"/>
      <c r="BB278" s="778"/>
      <c r="BC278" s="778"/>
      <c r="BD278" s="542"/>
      <c r="BE278" s="542"/>
      <c r="BF278" s="542"/>
      <c r="BG278" s="542"/>
      <c r="BH278" s="542"/>
      <c r="BI278" s="542"/>
      <c r="BJ278" s="542"/>
      <c r="BK278" s="542"/>
      <c r="BL278" s="542"/>
      <c r="BM278" s="542"/>
      <c r="BN278" s="775"/>
      <c r="BO278" s="775"/>
      <c r="BP278" s="775"/>
      <c r="BS278" s="696" t="s">
        <v>2184</v>
      </c>
    </row>
    <row r="279" spans="1:75" s="870" customFormat="1" ht="27.2" customHeight="1" x14ac:dyDescent="0.15">
      <c r="A279" s="76"/>
      <c r="B279" s="332"/>
      <c r="C279" s="76"/>
      <c r="D279" s="27" t="str">
        <f>IF(B278,"6","7")</f>
        <v>7</v>
      </c>
      <c r="E279" s="511">
        <v>21</v>
      </c>
      <c r="F279" s="3" t="str" cm="1">
        <f t="array" aca="1" ref="F279" ca="1">OFFSET(E279,-1,1)</f>
        <v>1</v>
      </c>
      <c r="G279" s="72" t="s">
        <v>2185</v>
      </c>
      <c r="H279" s="72"/>
      <c r="I279" s="279" t="s">
        <v>2186</v>
      </c>
      <c r="J279" s="76"/>
      <c r="K279" s="279" t="s">
        <v>2186</v>
      </c>
      <c r="L279" s="27"/>
      <c r="M279" s="27"/>
      <c r="N279" s="76"/>
      <c r="O279" s="76"/>
      <c r="P279" s="76"/>
      <c r="Q279" s="76"/>
      <c r="R279" s="76"/>
      <c r="S279" s="76"/>
      <c r="T279" s="353" t="b" cm="1">
        <f t="array" aca="1" ref="T279" ca="1">T278</f>
        <v>1</v>
      </c>
      <c r="U279" s="76"/>
      <c r="V279" s="76"/>
      <c r="W279" s="76"/>
      <c r="X279" s="990"/>
      <c r="Y279" s="76"/>
      <c r="Z279" s="967"/>
      <c r="AA279" s="76"/>
      <c r="AB279" s="124" t="str" cm="1">
        <f t="array" ref="AB279">D279</f>
        <v>7</v>
      </c>
      <c r="AC279" s="132" t="s">
        <v>1598</v>
      </c>
      <c r="AD279" s="124" t="s">
        <v>828</v>
      </c>
      <c r="AE279" s="138">
        <v>2717.8719999999998</v>
      </c>
      <c r="AF279" s="138"/>
      <c r="AG279" s="138">
        <v>2717.8719999999998</v>
      </c>
      <c r="AH279" s="126">
        <f>AG279-AF279</f>
        <v>2717.8719999999998</v>
      </c>
      <c r="AI279" s="138">
        <v>1873.7007224587001</v>
      </c>
      <c r="AJ279" s="128">
        <v>18816.875539232002</v>
      </c>
      <c r="AK279" s="774"/>
      <c r="AL279" s="774"/>
      <c r="AM279" s="138"/>
      <c r="AN279" s="138"/>
      <c r="AO279" s="138"/>
      <c r="AP279" s="138"/>
      <c r="AQ279" s="138"/>
      <c r="AR279" s="138"/>
      <c r="AS279" s="138"/>
      <c r="AT279" s="128">
        <v>558.04999999999995</v>
      </c>
      <c r="AU279" s="774"/>
      <c r="AV279" s="774"/>
      <c r="AW279" s="138"/>
      <c r="AX279" s="138"/>
      <c r="AY279" s="138"/>
      <c r="AZ279" s="138"/>
      <c r="BA279" s="138"/>
      <c r="BB279" s="138"/>
      <c r="BC279" s="138"/>
      <c r="BD279" s="126">
        <f>IF(AI279=0,0,(AT279-AI279)/AI279*100)</f>
        <v>-70.216695051079569</v>
      </c>
      <c r="BE279" s="126">
        <f t="shared" ref="BE279:BM279" si="67">IF(AT279=0,0,(AU279-AT279)/AT279*100)</f>
        <v>-100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6"/>
      <c r="BO279" s="601"/>
      <c r="BP279" s="556"/>
      <c r="BQ279" s="76"/>
      <c r="BR279" s="76"/>
      <c r="BS279" s="702" t="s">
        <v>2187</v>
      </c>
      <c r="BT279" s="702"/>
      <c r="BU279" s="702"/>
      <c r="BV279" s="511"/>
      <c r="BW279" s="511"/>
    </row>
    <row r="280" spans="1:75" ht="14.25" customHeight="1" x14ac:dyDescent="0.15">
      <c r="D280" s="25" t="str" cm="1">
        <f t="array" ref="D280">D279</f>
        <v>7</v>
      </c>
      <c r="E280" s="507">
        <v>15</v>
      </c>
      <c r="F280" s="3" t="str" cm="1">
        <f t="array" aca="1" ref="F280" ca="1">OFFSET(E280,-1,1)</f>
        <v>1</v>
      </c>
      <c r="L280" s="25"/>
      <c r="M280" s="25"/>
      <c r="T280" s="353" t="b" cm="1">
        <f t="array" aca="1" ref="T280" ca="1">T279</f>
        <v>1</v>
      </c>
      <c r="X280" s="990"/>
      <c r="Z280" s="967"/>
      <c r="AB280" s="7"/>
      <c r="AC280" s="346" t="s">
        <v>2188</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x14ac:dyDescent="0.15">
      <c r="D281" s="25" t="str" cm="1">
        <f t="array" ref="D281">D280</f>
        <v>7</v>
      </c>
      <c r="E281" s="507">
        <v>22.5</v>
      </c>
      <c r="F281" s="3" t="str" cm="1">
        <f t="array" aca="1" ref="F281" ca="1">OFFSET(E281,-1,1)</f>
        <v>1</v>
      </c>
      <c r="G281" s="72" t="s">
        <v>373</v>
      </c>
      <c r="I281" s="72" t="s">
        <v>535</v>
      </c>
      <c r="K281" s="72" t="s">
        <v>535</v>
      </c>
      <c r="L281" s="25"/>
      <c r="M281" s="25"/>
      <c r="T281" s="353" t="b" cm="1">
        <f t="array" aca="1" ref="T281" ca="1">T280</f>
        <v>1</v>
      </c>
      <c r="X281" s="990"/>
      <c r="Z281" s="967"/>
      <c r="AB281" s="7" t="str">
        <f>D281&amp;".1"</f>
        <v>7.1</v>
      </c>
      <c r="AC281" s="127" t="s">
        <v>2189</v>
      </c>
      <c r="AD281" s="7" t="s">
        <v>828</v>
      </c>
      <c r="AE281" s="128">
        <v>0</v>
      </c>
      <c r="AF281" s="128"/>
      <c r="AG281" s="128">
        <v>0</v>
      </c>
      <c r="AH281" s="171">
        <f t="shared" ref="AH281:AH294" si="68">AG281-AF281</f>
        <v>0</v>
      </c>
      <c r="AI281" s="128">
        <v>0</v>
      </c>
      <c r="AJ281" s="128">
        <f ca="1">SUMIFS('Корректировка НВВ'!$AF$25:$AF$231,'Корректировка НВВ'!$F$25:$F$231,$F281,'Корректировка НВВ'!$I$25:$I$231,$G281)</f>
        <v>0</v>
      </c>
      <c r="AK281" s="778"/>
      <c r="AL281" s="778"/>
      <c r="AM281" s="128"/>
      <c r="AN281" s="128"/>
      <c r="AO281" s="128"/>
      <c r="AP281" s="128"/>
      <c r="AQ281" s="128"/>
      <c r="AR281" s="128"/>
      <c r="AS281" s="128"/>
      <c r="AT281" s="128">
        <f ca="1">SUMIFS('Корректировка НВВ'!$AG$25:$AG$231,'Корректировка НВВ'!$F$25:$F$231,$F281,'Корректировка НВВ'!$I$25:$I$231,$G281)</f>
        <v>0</v>
      </c>
      <c r="AU281" s="778"/>
      <c r="AV281" s="778"/>
      <c r="AW281" s="128"/>
      <c r="AX281" s="128"/>
      <c r="AY281" s="128"/>
      <c r="AZ281" s="128"/>
      <c r="BA281" s="128"/>
      <c r="BB281" s="128"/>
      <c r="BC281" s="128"/>
      <c r="BD281" s="542"/>
      <c r="BE281" s="542"/>
      <c r="BF281" s="542"/>
      <c r="BG281" s="542"/>
      <c r="BH281" s="542"/>
      <c r="BI281" s="542"/>
      <c r="BJ281" s="542"/>
      <c r="BK281" s="542"/>
      <c r="BL281" s="542"/>
      <c r="BM281" s="542"/>
      <c r="BN281" s="196"/>
      <c r="BO281" s="601" t="str">
        <f ca="1">IF(IFERROR(INDEX('Корректировка НВВ'!$K$26:$L$231,MATCH($F281&amp;"1komm",'Корректировка НВВ'!$K$26:$K$231,0),2),"")=0,"",IFERROR(INDEX('Корректировка НВВ'!$K$26:$L$231,MATCH($F281&amp;"1komm",'Корректировка НВВ'!$K$26:$K$231,0),2),""))</f>
        <v/>
      </c>
      <c r="BP281" s="196"/>
      <c r="BS281" s="696" t="s">
        <v>2190</v>
      </c>
    </row>
    <row r="282" spans="1:75" ht="185.1" customHeight="1" x14ac:dyDescent="0.15">
      <c r="D282" s="25" t="str" cm="1">
        <f t="array" ref="D282">D281</f>
        <v>7</v>
      </c>
      <c r="E282" s="507">
        <v>101.25</v>
      </c>
      <c r="F282" s="3" t="str" cm="1">
        <f t="array" aca="1" ref="F282" ca="1">OFFSET(E282,-1,1)</f>
        <v>1</v>
      </c>
      <c r="G282" s="72" t="s">
        <v>2191</v>
      </c>
      <c r="I282" s="72" t="s">
        <v>586</v>
      </c>
      <c r="K282" s="72" t="s">
        <v>586</v>
      </c>
      <c r="L282" s="25"/>
      <c r="M282" s="25"/>
      <c r="T282" s="353" t="b" cm="1">
        <f t="array" aca="1" ref="T282" ca="1">T281</f>
        <v>1</v>
      </c>
      <c r="X282" s="990"/>
      <c r="Z282" s="967"/>
      <c r="AB282" s="7" t="str">
        <f>D282&amp;".2"</f>
        <v>7.2</v>
      </c>
      <c r="AC282" s="127" t="s">
        <v>2192</v>
      </c>
      <c r="AD282" s="7" t="s">
        <v>828</v>
      </c>
      <c r="AE282" s="128">
        <v>0</v>
      </c>
      <c r="AF282" s="128"/>
      <c r="AG282" s="128">
        <v>0</v>
      </c>
      <c r="AH282" s="171">
        <f t="shared" si="68"/>
        <v>0</v>
      </c>
      <c r="AI282" s="128">
        <v>0</v>
      </c>
      <c r="AJ282" s="128">
        <f ca="1">SUMIFS('Корректировка НВВ'!$AF$25:$AF$231,'Корректировка НВВ'!$F$25:$F$231,$F282,'Корректировка НВВ'!$I$25:$I$231,$G282)</f>
        <v>0</v>
      </c>
      <c r="AK282" s="778"/>
      <c r="AL282" s="778"/>
      <c r="AM282" s="128"/>
      <c r="AN282" s="128"/>
      <c r="AO282" s="128"/>
      <c r="AP282" s="128"/>
      <c r="AQ282" s="128"/>
      <c r="AR282" s="128"/>
      <c r="AS282" s="128"/>
      <c r="AT282" s="128">
        <f ca="1">SUMIFS('Корректировка НВВ'!$AG$25:$AG$231,'Корректировка НВВ'!$F$25:$F$231,$F282,'Корректировка НВВ'!$I$25:$I$231,$G282)</f>
        <v>0</v>
      </c>
      <c r="AU282" s="778"/>
      <c r="AV282" s="778"/>
      <c r="AW282" s="128"/>
      <c r="AX282" s="128"/>
      <c r="AY282" s="128"/>
      <c r="AZ282" s="128"/>
      <c r="BA282" s="128"/>
      <c r="BB282" s="128"/>
      <c r="BC282" s="128"/>
      <c r="BD282" s="542"/>
      <c r="BE282" s="542"/>
      <c r="BF282" s="542"/>
      <c r="BG282" s="542"/>
      <c r="BH282" s="542"/>
      <c r="BI282" s="542"/>
      <c r="BJ282" s="542"/>
      <c r="BK282" s="542"/>
      <c r="BL282" s="542"/>
      <c r="BM282" s="542"/>
      <c r="BN282" s="196"/>
      <c r="BO282" s="601" t="s">
        <v>2259</v>
      </c>
      <c r="BP282" s="196" t="s">
        <v>2260</v>
      </c>
      <c r="BS282" s="696" t="s">
        <v>2193</v>
      </c>
    </row>
    <row r="283" spans="1:75" ht="44.25" customHeight="1" x14ac:dyDescent="0.15">
      <c r="D283" s="25" t="str" cm="1">
        <f t="array" ref="D283">D282</f>
        <v>7</v>
      </c>
      <c r="E283" s="507">
        <v>45</v>
      </c>
      <c r="F283" s="3" t="str" cm="1">
        <f t="array" aca="1" ref="F283" ca="1">OFFSET(E283,-1,1)</f>
        <v>1</v>
      </c>
      <c r="I283" s="72" t="s">
        <v>601</v>
      </c>
      <c r="K283" s="72" t="s">
        <v>601</v>
      </c>
      <c r="L283" s="25"/>
      <c r="M283" s="25"/>
      <c r="T283" s="353" t="b" cm="1">
        <f t="array" aca="1" ref="T283" ca="1">T282</f>
        <v>1</v>
      </c>
      <c r="X283" s="990"/>
      <c r="Z283" s="967"/>
      <c r="AB283" s="7" t="str">
        <f>D283&amp;".3"</f>
        <v>7.3</v>
      </c>
      <c r="AC283" s="127" t="s">
        <v>2194</v>
      </c>
      <c r="AD283" s="7" t="s">
        <v>828</v>
      </c>
      <c r="AE283" s="128"/>
      <c r="AF283" s="128"/>
      <c r="AG283" s="128"/>
      <c r="AH283" s="171">
        <f t="shared" si="68"/>
        <v>0</v>
      </c>
      <c r="AI283" s="128">
        <v>-1444.0492775412999</v>
      </c>
      <c r="AJ283" s="128">
        <v>18816.875539232002</v>
      </c>
      <c r="AK283" s="778"/>
      <c r="AL283" s="778"/>
      <c r="AM283" s="128"/>
      <c r="AN283" s="128"/>
      <c r="AO283" s="128"/>
      <c r="AP283" s="128"/>
      <c r="AQ283" s="128"/>
      <c r="AR283" s="128"/>
      <c r="AS283" s="128"/>
      <c r="AT283" s="128">
        <v>558.04999999999995</v>
      </c>
      <c r="AU283" s="778"/>
      <c r="AV283" s="778"/>
      <c r="AW283" s="128"/>
      <c r="AX283" s="128"/>
      <c r="AY283" s="128"/>
      <c r="AZ283" s="128"/>
      <c r="BA283" s="128"/>
      <c r="BB283" s="128"/>
      <c r="BC283" s="128"/>
      <c r="BD283" s="542"/>
      <c r="BE283" s="542"/>
      <c r="BF283" s="542"/>
      <c r="BG283" s="542"/>
      <c r="BH283" s="542"/>
      <c r="BI283" s="542"/>
      <c r="BJ283" s="542"/>
      <c r="BK283" s="542"/>
      <c r="BL283" s="542"/>
      <c r="BM283" s="542"/>
      <c r="BN283" s="196"/>
      <c r="BO283" s="601" t="s">
        <v>2261</v>
      </c>
      <c r="BP283" s="196" t="s">
        <v>2262</v>
      </c>
      <c r="BS283" s="696" t="s">
        <v>2195</v>
      </c>
    </row>
    <row r="284" spans="1:75" ht="87.75" hidden="1" customHeight="1" x14ac:dyDescent="0.25">
      <c r="B284" s="341" t="b">
        <f>S171="Водоотведение"</f>
        <v>0</v>
      </c>
      <c r="D284" s="25" t="str" cm="1">
        <f t="array" ref="D284">D283</f>
        <v>7</v>
      </c>
      <c r="E284" s="507">
        <v>90</v>
      </c>
      <c r="F284" s="3" t="str" cm="1">
        <f t="array" aca="1" ref="F284" ca="1">OFFSET(E284,-1,1)</f>
        <v>1</v>
      </c>
      <c r="G284" s="72" t="s">
        <v>2196</v>
      </c>
      <c r="H284" s="2"/>
      <c r="I284" s="72" t="s">
        <v>770</v>
      </c>
      <c r="K284" s="72" t="s">
        <v>770</v>
      </c>
      <c r="L284" s="25" t="s">
        <v>767</v>
      </c>
      <c r="M284" s="25"/>
      <c r="T284" s="353" t="b" cm="1">
        <f t="array" aca="1" ref="T284" ca="1">T283</f>
        <v>1</v>
      </c>
      <c r="X284" s="990"/>
      <c r="Z284" s="967"/>
      <c r="AB284" s="7" t="str">
        <f>D284&amp;".4"</f>
        <v>7.4</v>
      </c>
      <c r="AC284" s="127" t="s">
        <v>1857</v>
      </c>
      <c r="AD284" s="9" t="s">
        <v>828</v>
      </c>
      <c r="AE284" s="778"/>
      <c r="AF284" s="778"/>
      <c r="AG284" s="778"/>
      <c r="AH284" s="171">
        <f t="shared" si="68"/>
        <v>0</v>
      </c>
      <c r="AI284" s="778"/>
      <c r="AJ284" s="128">
        <f ca="1">SUMIFS('Корректировка НВВ'!$AF$25:$AF$231,'Корректировка НВВ'!$F$25:$F$231,$F284,'Корректировка НВВ'!$I$25:$I$231,$G284)</f>
        <v>0</v>
      </c>
      <c r="AK284" s="778"/>
      <c r="AL284" s="778"/>
      <c r="AM284" s="778"/>
      <c r="AN284" s="778"/>
      <c r="AO284" s="778"/>
      <c r="AP284" s="778"/>
      <c r="AQ284" s="778"/>
      <c r="AR284" s="778"/>
      <c r="AS284" s="778"/>
      <c r="AT284" s="128">
        <f ca="1">SUMIFS('Корректировка НВВ'!$AG$25:$AG$231,'Корректировка НВВ'!$F$25:$F$231,$F284,'Корректировка НВВ'!$I$25:$I$231,$G284)</f>
        <v>0</v>
      </c>
      <c r="AU284" s="778"/>
      <c r="AV284" s="778"/>
      <c r="AW284" s="778"/>
      <c r="AX284" s="778"/>
      <c r="AY284" s="778"/>
      <c r="AZ284" s="778"/>
      <c r="BA284" s="778"/>
      <c r="BB284" s="778"/>
      <c r="BC284" s="778"/>
      <c r="BD284" s="542"/>
      <c r="BE284" s="542"/>
      <c r="BF284" s="542"/>
      <c r="BG284" s="542"/>
      <c r="BH284" s="542"/>
      <c r="BI284" s="542"/>
      <c r="BJ284" s="542"/>
      <c r="BK284" s="542"/>
      <c r="BL284" s="542"/>
      <c r="BM284" s="542"/>
      <c r="BN284" s="775"/>
      <c r="BO284" s="779" t="str">
        <f ca="1">IF(IFERROR(INDEX('Корректировка НВВ'!$K$26:$L$231,MATCH($F284&amp;"3komm",'Корректировка НВВ'!$K$26:$K$231,0),2),"")=0,"",IFERROR(INDEX('Корректировка НВВ'!$K$26:$L$231,MATCH($F284&amp;"3komm",'Корректировка НВВ'!$K$26:$K$231,0),2),""))</f>
        <v/>
      </c>
      <c r="BP284" s="775"/>
      <c r="BS284" s="696" t="s">
        <v>1374</v>
      </c>
    </row>
    <row r="285" spans="1:75" ht="54.75" hidden="1" customHeight="1" x14ac:dyDescent="0.25">
      <c r="B285" s="341" t="b" cm="1">
        <f t="array" ref="B285">B284</f>
        <v>0</v>
      </c>
      <c r="D285" s="25" t="str" cm="1">
        <f t="array" ref="D285">D284</f>
        <v>7</v>
      </c>
      <c r="E285" s="507">
        <v>56.25</v>
      </c>
      <c r="F285" s="3" t="str" cm="1">
        <f t="array" aca="1" ref="F285" ca="1">OFFSET(E285,-1,1)</f>
        <v>1</v>
      </c>
      <c r="G285" s="72" t="s">
        <v>2197</v>
      </c>
      <c r="H285" s="2"/>
      <c r="I285" s="72" t="s">
        <v>806</v>
      </c>
      <c r="K285" s="72" t="s">
        <v>806</v>
      </c>
      <c r="L285" s="25" t="s">
        <v>770</v>
      </c>
      <c r="M285" s="25"/>
      <c r="T285" s="353" t="b" cm="1">
        <f t="array" aca="1" ref="T285" ca="1">T284</f>
        <v>1</v>
      </c>
      <c r="X285" s="990"/>
      <c r="Z285" s="967"/>
      <c r="AB285" s="7" t="str">
        <f>D285&amp;".5"</f>
        <v>7.5</v>
      </c>
      <c r="AC285" s="127" t="s">
        <v>1859</v>
      </c>
      <c r="AD285" s="9" t="s">
        <v>828</v>
      </c>
      <c r="AE285" s="778"/>
      <c r="AF285" s="778"/>
      <c r="AG285" s="778"/>
      <c r="AH285" s="171">
        <f t="shared" si="68"/>
        <v>0</v>
      </c>
      <c r="AI285" s="778"/>
      <c r="AJ285" s="128">
        <f ca="1">SUMIFS('Корректировка НВВ'!$AF$25:$AF$231,'Корректировка НВВ'!$F$25:$F$231,$F285,'Корректировка НВВ'!$I$25:$I$231,$G285)</f>
        <v>0</v>
      </c>
      <c r="AK285" s="778"/>
      <c r="AL285" s="778"/>
      <c r="AM285" s="778"/>
      <c r="AN285" s="778"/>
      <c r="AO285" s="778"/>
      <c r="AP285" s="778"/>
      <c r="AQ285" s="778"/>
      <c r="AR285" s="778"/>
      <c r="AS285" s="778"/>
      <c r="AT285" s="128">
        <f ca="1">SUMIFS('Корректировка НВВ'!$AG$25:$AG$231,'Корректировка НВВ'!$F$25:$F$231,$F285,'Корректировка НВВ'!$I$25:$I$231,$G285)</f>
        <v>0</v>
      </c>
      <c r="AU285" s="778"/>
      <c r="AV285" s="778"/>
      <c r="AW285" s="778"/>
      <c r="AX285" s="778"/>
      <c r="AY285" s="778"/>
      <c r="AZ285" s="778"/>
      <c r="BA285" s="778"/>
      <c r="BB285" s="778"/>
      <c r="BC285" s="778"/>
      <c r="BD285" s="542"/>
      <c r="BE285" s="542"/>
      <c r="BF285" s="542"/>
      <c r="BG285" s="542"/>
      <c r="BH285" s="542"/>
      <c r="BI285" s="542"/>
      <c r="BJ285" s="542"/>
      <c r="BK285" s="542"/>
      <c r="BL285" s="542"/>
      <c r="BM285" s="542"/>
      <c r="BN285" s="775"/>
      <c r="BO285" s="779" t="str">
        <f ca="1">IF(IFERROR(INDEX('Корректировка НВВ'!$K$26:$L$231,MATCH($F285&amp;"4komm",'Корректировка НВВ'!$K$26:$K$231,0),2),"")=0,"",IFERROR(INDEX('Корректировка НВВ'!$K$26:$L$231,MATCH($F285&amp;"4komm",'Корректировка НВВ'!$K$26:$K$231,0),2),""))</f>
        <v/>
      </c>
      <c r="BP285" s="775"/>
      <c r="BS285" s="696" t="s">
        <v>1378</v>
      </c>
    </row>
    <row r="286" spans="1:75" ht="14.65" customHeight="1" x14ac:dyDescent="0.15">
      <c r="D286" s="25" t="str" cm="1">
        <f t="array" ref="D286">D285</f>
        <v>7</v>
      </c>
      <c r="E286" s="507">
        <v>15</v>
      </c>
      <c r="F286" s="3" t="str" cm="1">
        <f t="array" aca="1" ref="F286" ca="1">OFFSET(E286,-1,1)</f>
        <v>1</v>
      </c>
      <c r="G286" s="72" t="s">
        <v>2198</v>
      </c>
      <c r="I286" s="72" t="s">
        <v>807</v>
      </c>
      <c r="K286" s="72" t="s">
        <v>807</v>
      </c>
      <c r="L286" s="25" t="s">
        <v>806</v>
      </c>
      <c r="M286" s="25"/>
      <c r="T286" s="353" t="b" cm="1">
        <f t="array" aca="1" ref="T286" ca="1">T285</f>
        <v>1</v>
      </c>
      <c r="X286" s="990"/>
      <c r="Z286" s="967"/>
      <c r="AB286" s="7" t="str">
        <f>IF(B285,D286&amp;".6",D286&amp;".4")</f>
        <v>7.4</v>
      </c>
      <c r="AC286" s="127" t="s">
        <v>1591</v>
      </c>
      <c r="AD286" s="7" t="s">
        <v>828</v>
      </c>
      <c r="AE286" s="128">
        <v>9691.4</v>
      </c>
      <c r="AF286" s="128"/>
      <c r="AG286" s="128">
        <v>9691.4</v>
      </c>
      <c r="AH286" s="171">
        <f t="shared" si="68"/>
        <v>9691.4</v>
      </c>
      <c r="AI286" s="128">
        <v>3734.2</v>
      </c>
      <c r="AJ286" s="128">
        <f ca="1">SUMIFS('Корректировка НВВ'!$AF$25:$AF$231,'Корректировка НВВ'!$F$25:$F$231,$F286,'Корректировка НВВ'!$I$25:$I$231,$G286)</f>
        <v>0</v>
      </c>
      <c r="AK286" s="778"/>
      <c r="AL286" s="778"/>
      <c r="AM286" s="128"/>
      <c r="AN286" s="128"/>
      <c r="AO286" s="128"/>
      <c r="AP286" s="128"/>
      <c r="AQ286" s="128"/>
      <c r="AR286" s="128"/>
      <c r="AS286" s="128"/>
      <c r="AT286" s="128">
        <f ca="1">SUMIFS('Корректировка НВВ'!$AG$25:$AG$231,'Корректировка НВВ'!$F$25:$F$231,$F286,'Корректировка НВВ'!$I$25:$I$231,$G286)</f>
        <v>0</v>
      </c>
      <c r="AU286" s="778"/>
      <c r="AV286" s="778"/>
      <c r="AW286" s="128"/>
      <c r="AX286" s="128"/>
      <c r="AY286" s="128"/>
      <c r="AZ286" s="128"/>
      <c r="BA286" s="128"/>
      <c r="BB286" s="128"/>
      <c r="BC286" s="128"/>
      <c r="BD286" s="542"/>
      <c r="BE286" s="542"/>
      <c r="BF286" s="542"/>
      <c r="BG286" s="542"/>
      <c r="BH286" s="542"/>
      <c r="BI286" s="542"/>
      <c r="BJ286" s="542"/>
      <c r="BK286" s="542"/>
      <c r="BL286" s="542"/>
      <c r="BM286" s="542"/>
      <c r="BN286" s="196"/>
      <c r="BO286" s="601" t="str">
        <f ca="1">IF(IFERROR(INDEX('Корректировка НВВ'!$K$26:$L$231,MATCH($F286&amp;"5komm",'Корректировка НВВ'!$K$26:$K$231,0),2),"")=0,"",IFERROR(INDEX('Корректировка НВВ'!$K$26:$L$231,MATCH($F286&amp;"5komm",'Корректировка НВВ'!$K$26:$K$231,0),2),""))</f>
        <v/>
      </c>
      <c r="BP286" s="196"/>
      <c r="BS286" s="696" t="s">
        <v>2199</v>
      </c>
    </row>
    <row r="287" spans="1:75" ht="14.65" customHeight="1" x14ac:dyDescent="0.15">
      <c r="D287" s="25" t="str" cm="1">
        <f t="array" ref="D287">D286</f>
        <v>7</v>
      </c>
      <c r="E287" s="507">
        <v>15</v>
      </c>
      <c r="F287" s="3" t="str" cm="1">
        <f t="array" aca="1" ref="F287" ca="1">OFFSET(E287,-1,1)</f>
        <v>1</v>
      </c>
      <c r="G287" s="72" t="s">
        <v>2200</v>
      </c>
      <c r="I287" s="72" t="s">
        <v>1869</v>
      </c>
      <c r="K287" s="72" t="s">
        <v>1869</v>
      </c>
      <c r="L287" s="25" t="s">
        <v>807</v>
      </c>
      <c r="M287" s="25"/>
      <c r="T287" s="353" t="b" cm="1">
        <f t="array" aca="1" ref="T287" ca="1">T286</f>
        <v>1</v>
      </c>
      <c r="X287" s="990"/>
      <c r="Z287" s="967"/>
      <c r="AB287" s="7" t="str">
        <f>IF(B285,D286&amp;".7",D286&amp;".5")</f>
        <v>7.5</v>
      </c>
      <c r="AC287" s="127" t="s">
        <v>1553</v>
      </c>
      <c r="AD287" s="7" t="s">
        <v>828</v>
      </c>
      <c r="AE287" s="128">
        <v>-6973.5280000000002</v>
      </c>
      <c r="AF287" s="128">
        <f>AF288+AF289</f>
        <v>0</v>
      </c>
      <c r="AG287" s="128">
        <v>-6973.5280000000002</v>
      </c>
      <c r="AH287" s="171">
        <f t="shared" si="68"/>
        <v>-6973.5280000000002</v>
      </c>
      <c r="AI287" s="128">
        <v>-416.45</v>
      </c>
      <c r="AJ287" s="128">
        <f ca="1">SUMIFS('Корректировка НВВ'!$AF$25:$AF$231,'Корректировка НВВ'!$F$25:$F$231,$F287,'Корректировка НВВ'!$I$25:$I$231,$G287)</f>
        <v>0</v>
      </c>
      <c r="AK287" s="778">
        <f t="shared" ref="AK287:AS287" si="69">AK288+AK289</f>
        <v>0</v>
      </c>
      <c r="AL287" s="778">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f ca="1">SUMIFS('Корректировка НВВ'!$AG$25:$AG$231,'Корректировка НВВ'!$F$25:$F$231,$F287,'Корректировка НВВ'!$I$25:$I$231,$G287)</f>
        <v>0</v>
      </c>
      <c r="AU287" s="778">
        <f t="shared" ref="AU287:BC287" si="70">AU288+AU289</f>
        <v>0</v>
      </c>
      <c r="AV287" s="778">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 ca="1">IF(AI287=0,0,(AT287-AI287)/AI287*100)</f>
        <v>-100</v>
      </c>
      <c r="BE287" s="171">
        <f t="shared" ref="BE287:BM287" ca="1" si="71">IF(AT287=0,0,(AU287-AT287)/AT287*100)</f>
        <v>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601" t="str">
        <f ca="1">IF(IFERROR(INDEX('Корректировка НВВ'!$K$26:$L$231,MATCH($F287&amp;"6komm",'Корректировка НВВ'!$K$26:$K$231,0),2),"")=0,"",IFERROR(INDEX('Корректировка НВВ'!$K$26:$L$231,MATCH($F287&amp;"6komm",'Корректировка НВВ'!$K$26:$K$231,0),2),""))</f>
        <v/>
      </c>
      <c r="BP287" s="196"/>
      <c r="BS287" s="696" t="s">
        <v>1555</v>
      </c>
    </row>
    <row r="288" spans="1:75" ht="21.95" customHeight="1" x14ac:dyDescent="0.15">
      <c r="D288" s="25" t="str" cm="1">
        <f t="array" ref="D288">D287</f>
        <v>7</v>
      </c>
      <c r="E288" s="507">
        <v>22.5</v>
      </c>
      <c r="F288" s="3" t="str" cm="1">
        <f t="array" aca="1" ref="F288" ca="1">OFFSET(E288,-1,1)</f>
        <v>1</v>
      </c>
      <c r="G288" s="72" t="s">
        <v>2201</v>
      </c>
      <c r="I288" s="72" t="s">
        <v>2202</v>
      </c>
      <c r="K288" s="72" t="s">
        <v>2202</v>
      </c>
      <c r="L288" s="25" t="s">
        <v>1864</v>
      </c>
      <c r="M288" s="25"/>
      <c r="T288" s="353" t="b" cm="1">
        <f t="array" aca="1" ref="T288" ca="1">T287</f>
        <v>1</v>
      </c>
      <c r="X288" s="990"/>
      <c r="Z288" s="967"/>
      <c r="AB288" s="7" t="str">
        <f>AB287&amp;".1"</f>
        <v>7.5.1</v>
      </c>
      <c r="AC288" s="549" t="s">
        <v>1556</v>
      </c>
      <c r="AD288" s="7" t="s">
        <v>828</v>
      </c>
      <c r="AE288" s="128">
        <v>-6973.5280000000002</v>
      </c>
      <c r="AF288" s="128"/>
      <c r="AG288" s="128">
        <v>-6973.5280000000002</v>
      </c>
      <c r="AH288" s="171">
        <f t="shared" si="68"/>
        <v>-6973.5280000000002</v>
      </c>
      <c r="AI288" s="128">
        <v>-416.45</v>
      </c>
      <c r="AJ288" s="128">
        <f ca="1">SUMIFS('Корректировка НВВ'!$AF$25:$AF$231,'Корректировка НВВ'!$F$25:$F$231,$F288,'Корректировка НВВ'!$I$25:$I$231,$G288)</f>
        <v>0</v>
      </c>
      <c r="AK288" s="778"/>
      <c r="AL288" s="778"/>
      <c r="AM288" s="128"/>
      <c r="AN288" s="128"/>
      <c r="AO288" s="128"/>
      <c r="AP288" s="128"/>
      <c r="AQ288" s="128"/>
      <c r="AR288" s="128"/>
      <c r="AS288" s="128"/>
      <c r="AT288" s="128">
        <f ca="1">SUMIFS('Корректировка НВВ'!$AG$25:$AG$231,'Корректировка НВВ'!$F$25:$F$231,$F288,'Корректировка НВВ'!$I$25:$I$231,$G288)</f>
        <v>0</v>
      </c>
      <c r="AU288" s="778"/>
      <c r="AV288" s="778"/>
      <c r="AW288" s="128"/>
      <c r="AX288" s="128"/>
      <c r="AY288" s="128"/>
      <c r="AZ288" s="128"/>
      <c r="BA288" s="128"/>
      <c r="BB288" s="128"/>
      <c r="BC288" s="128"/>
      <c r="BD288" s="542"/>
      <c r="BE288" s="542"/>
      <c r="BF288" s="542"/>
      <c r="BG288" s="542"/>
      <c r="BH288" s="542"/>
      <c r="BI288" s="542"/>
      <c r="BJ288" s="542"/>
      <c r="BK288" s="542"/>
      <c r="BL288" s="542"/>
      <c r="BM288" s="542"/>
      <c r="BN288" s="196"/>
      <c r="BO288" s="601" t="str">
        <f ca="1">IF(IFERROR(INDEX('Корректировка НВВ'!$K$26:$L$231,MATCH($F288&amp;"7komm",'Корректировка НВВ'!$K$26:$K$231,0),2),"")=0,"",IFERROR(INDEX('Корректировка НВВ'!$K$26:$L$231,MATCH($F288&amp;"7komm",'Корректировка НВВ'!$K$26:$K$231,0),2),""))</f>
        <v/>
      </c>
      <c r="BP288" s="196"/>
      <c r="BS288" s="696" t="s">
        <v>1557</v>
      </c>
    </row>
    <row r="289" spans="1:75" ht="21.95" customHeight="1" x14ac:dyDescent="0.15">
      <c r="D289" s="25" t="str" cm="1">
        <f t="array" ref="D289">D288</f>
        <v>7</v>
      </c>
      <c r="E289" s="507">
        <v>22.5</v>
      </c>
      <c r="F289" s="3" t="str" cm="1">
        <f t="array" aca="1" ref="F289" ca="1">OFFSET(E289,-1,1)</f>
        <v>1</v>
      </c>
      <c r="G289" s="72" t="s">
        <v>2203</v>
      </c>
      <c r="I289" s="72" t="s">
        <v>2204</v>
      </c>
      <c r="K289" s="72" t="s">
        <v>2204</v>
      </c>
      <c r="L289" s="25" t="s">
        <v>1866</v>
      </c>
      <c r="M289" s="25"/>
      <c r="T289" s="353" t="b" cm="1">
        <f t="array" aca="1" ref="T289" ca="1">T288</f>
        <v>1</v>
      </c>
      <c r="X289" s="990"/>
      <c r="Z289" s="967"/>
      <c r="AB289" s="7" t="str">
        <f>AB287&amp;".2"</f>
        <v>7.5.2</v>
      </c>
      <c r="AC289" s="549" t="s">
        <v>1558</v>
      </c>
      <c r="AD289" s="7" t="s">
        <v>828</v>
      </c>
      <c r="AE289" s="128"/>
      <c r="AF289" s="128"/>
      <c r="AG289" s="128"/>
      <c r="AH289" s="171">
        <f t="shared" si="68"/>
        <v>0</v>
      </c>
      <c r="AI289" s="128">
        <v>0</v>
      </c>
      <c r="AJ289" s="128">
        <f ca="1">SUMIFS('Корректировка НВВ'!$AF$25:$AF$231,'Корректировка НВВ'!$F$25:$F$231,$F289,'Корректировка НВВ'!$I$25:$I$231,$G289)</f>
        <v>0</v>
      </c>
      <c r="AK289" s="778"/>
      <c r="AL289" s="778"/>
      <c r="AM289" s="128"/>
      <c r="AN289" s="128"/>
      <c r="AO289" s="128"/>
      <c r="AP289" s="128"/>
      <c r="AQ289" s="128"/>
      <c r="AR289" s="128"/>
      <c r="AS289" s="128"/>
      <c r="AT289" s="128">
        <f ca="1">SUMIFS('Корректировка НВВ'!$AG$25:$AG$231,'Корректировка НВВ'!$F$25:$F$231,$F289,'Корректировка НВВ'!$I$25:$I$231,$G289)</f>
        <v>0</v>
      </c>
      <c r="AU289" s="778"/>
      <c r="AV289" s="778"/>
      <c r="AW289" s="128"/>
      <c r="AX289" s="128"/>
      <c r="AY289" s="128"/>
      <c r="AZ289" s="128"/>
      <c r="BA289" s="128"/>
      <c r="BB289" s="128"/>
      <c r="BC289" s="128"/>
      <c r="BD289" s="542"/>
      <c r="BE289" s="542"/>
      <c r="BF289" s="542"/>
      <c r="BG289" s="542"/>
      <c r="BH289" s="542"/>
      <c r="BI289" s="542"/>
      <c r="BJ289" s="542"/>
      <c r="BK289" s="542"/>
      <c r="BL289" s="542"/>
      <c r="BM289" s="542"/>
      <c r="BN289" s="196"/>
      <c r="BO289" s="601" t="str">
        <f ca="1">IF(IFERROR(INDEX('Корректировка НВВ'!$K$26:$L$231,MATCH($F289&amp;"8komm",'Корректировка НВВ'!$K$26:$K$231,0),2),"")=0,"",IFERROR(INDEX('Корректировка НВВ'!$K$26:$L$231,MATCH($F289&amp;"8komm",'Корректировка НВВ'!$K$26:$K$231,0),2),""))</f>
        <v/>
      </c>
      <c r="BP289" s="196"/>
      <c r="BS289" s="696" t="s">
        <v>1559</v>
      </c>
    </row>
    <row r="290" spans="1:75" ht="14.65" customHeight="1" x14ac:dyDescent="0.15">
      <c r="D290" s="25" t="str" cm="1">
        <f t="array" ref="D290">D289</f>
        <v>7</v>
      </c>
      <c r="E290" s="507">
        <v>15</v>
      </c>
      <c r="F290" s="3" t="str" cm="1">
        <f t="array" aca="1" ref="F290" ca="1">OFFSET(E290,-1,1)</f>
        <v>1</v>
      </c>
      <c r="G290" s="72" t="s">
        <v>319</v>
      </c>
      <c r="I290" s="72" t="s">
        <v>1870</v>
      </c>
      <c r="K290" s="72" t="s">
        <v>1870</v>
      </c>
      <c r="L290" s="25" t="s">
        <v>1869</v>
      </c>
      <c r="M290" s="25"/>
      <c r="T290" s="353" t="b" cm="1">
        <f t="array" aca="1" ref="T290" ca="1">T289</f>
        <v>1</v>
      </c>
      <c r="X290" s="990"/>
      <c r="Z290" s="967"/>
      <c r="AB290" s="7" t="str">
        <f>IF(B285,D286&amp;".8",D286&amp;".6")</f>
        <v>7.6</v>
      </c>
      <c r="AC290" s="550" t="s">
        <v>1560</v>
      </c>
      <c r="AD290" s="7" t="s">
        <v>828</v>
      </c>
      <c r="AE290" s="128"/>
      <c r="AF290" s="128"/>
      <c r="AG290" s="128"/>
      <c r="AH290" s="171">
        <f t="shared" si="68"/>
        <v>0</v>
      </c>
      <c r="AI290" s="128">
        <v>0</v>
      </c>
      <c r="AJ290" s="128">
        <f ca="1">SUMIFS('Корректировка НВВ'!$AF$25:$AF$231,'Корректировка НВВ'!$F$25:$F$231,$F290,'Корректировка НВВ'!$I$25:$I$231,$G290)</f>
        <v>0</v>
      </c>
      <c r="AK290" s="778"/>
      <c r="AL290" s="778"/>
      <c r="AM290" s="128"/>
      <c r="AN290" s="128"/>
      <c r="AO290" s="128"/>
      <c r="AP290" s="128"/>
      <c r="AQ290" s="128"/>
      <c r="AR290" s="128"/>
      <c r="AS290" s="128"/>
      <c r="AT290" s="128">
        <f ca="1">SUMIFS('Корректировка НВВ'!$AG$25:$AG$231,'Корректировка НВВ'!$F$25:$F$231,$F290,'Корректировка НВВ'!$I$25:$I$231,$G290)</f>
        <v>0</v>
      </c>
      <c r="AU290" s="778"/>
      <c r="AV290" s="778"/>
      <c r="AW290" s="128"/>
      <c r="AX290" s="128"/>
      <c r="AY290" s="128"/>
      <c r="AZ290" s="128"/>
      <c r="BA290" s="128"/>
      <c r="BB290" s="128"/>
      <c r="BC290" s="128"/>
      <c r="BD290" s="542"/>
      <c r="BE290" s="542"/>
      <c r="BF290" s="542"/>
      <c r="BG290" s="542"/>
      <c r="BH290" s="542"/>
      <c r="BI290" s="542"/>
      <c r="BJ290" s="542"/>
      <c r="BK290" s="542"/>
      <c r="BL290" s="542"/>
      <c r="BM290" s="542"/>
      <c r="BN290" s="196"/>
      <c r="BO290" s="601" t="str">
        <f ca="1">IF(IFERROR(INDEX('Корректировка НВВ'!$K$26:$L$231,MATCH($F290&amp;"9komm",'Корректировка НВВ'!$K$26:$K$231,0),2),"")=0,"",IFERROR(INDEX('Корректировка НВВ'!$K$26:$L$231,MATCH($F290&amp;"9komm",'Корректировка НВВ'!$K$26:$K$231,0),2),""))</f>
        <v/>
      </c>
      <c r="BP290" s="196"/>
      <c r="BS290" s="696" t="s">
        <v>2205</v>
      </c>
    </row>
    <row r="291" spans="1:75" ht="14.65" customHeight="1" x14ac:dyDescent="0.15">
      <c r="D291" s="25" t="str" cm="1">
        <f t="array" ref="D291">D290</f>
        <v>7</v>
      </c>
      <c r="E291" s="507">
        <v>15</v>
      </c>
      <c r="F291" s="3" t="str" cm="1">
        <f t="array" aca="1" ref="F291" ca="1">OFFSET(E291,-1,1)</f>
        <v>1</v>
      </c>
      <c r="G291" s="72" t="s">
        <v>2206</v>
      </c>
      <c r="I291" s="72" t="s">
        <v>1872</v>
      </c>
      <c r="K291" s="72" t="s">
        <v>1872</v>
      </c>
      <c r="L291" s="25" t="s">
        <v>1870</v>
      </c>
      <c r="M291" s="25"/>
      <c r="T291" s="353" t="b" cm="1">
        <f t="array" aca="1" ref="T291" ca="1">T290</f>
        <v>1</v>
      </c>
      <c r="X291" s="990"/>
      <c r="Z291" s="967"/>
      <c r="AB291" s="7" t="str">
        <f>IF(B285,D286&amp;".9",D286&amp;".7")</f>
        <v>7.7</v>
      </c>
      <c r="AC291" s="550" t="s">
        <v>1562</v>
      </c>
      <c r="AD291" s="7" t="s">
        <v>828</v>
      </c>
      <c r="AE291" s="128"/>
      <c r="AF291" s="128"/>
      <c r="AG291" s="128"/>
      <c r="AH291" s="171">
        <f t="shared" si="68"/>
        <v>0</v>
      </c>
      <c r="AI291" s="128">
        <v>0</v>
      </c>
      <c r="AJ291" s="128">
        <f ca="1">SUMIFS('Корректировка НВВ'!$AF$25:$AF$231,'Корректировка НВВ'!$F$25:$F$231,$F291,'Корректировка НВВ'!$I$25:$I$231,$G291)</f>
        <v>0</v>
      </c>
      <c r="AK291" s="778"/>
      <c r="AL291" s="778"/>
      <c r="AM291" s="128"/>
      <c r="AN291" s="128"/>
      <c r="AO291" s="128"/>
      <c r="AP291" s="128"/>
      <c r="AQ291" s="128"/>
      <c r="AR291" s="128"/>
      <c r="AS291" s="128"/>
      <c r="AT291" s="128">
        <f ca="1">SUMIFS('Корректировка НВВ'!$AG$25:$AG$231,'Корректировка НВВ'!$F$25:$F$231,$F291,'Корректировка НВВ'!$I$25:$I$231,$G291)</f>
        <v>0</v>
      </c>
      <c r="AU291" s="778"/>
      <c r="AV291" s="778"/>
      <c r="AW291" s="128"/>
      <c r="AX291" s="128"/>
      <c r="AY291" s="128"/>
      <c r="AZ291" s="128"/>
      <c r="BA291" s="128"/>
      <c r="BB291" s="128"/>
      <c r="BC291" s="128"/>
      <c r="BD291" s="542"/>
      <c r="BE291" s="542"/>
      <c r="BF291" s="542"/>
      <c r="BG291" s="542"/>
      <c r="BH291" s="542"/>
      <c r="BI291" s="542"/>
      <c r="BJ291" s="542"/>
      <c r="BK291" s="542"/>
      <c r="BL291" s="542"/>
      <c r="BM291" s="542"/>
      <c r="BN291" s="196"/>
      <c r="BO291" s="601" t="str">
        <f ca="1">IF(IFERROR(INDEX('Корректировка НВВ'!$K$26:$L$231,MATCH($F291&amp;"10komm",'Корректировка НВВ'!$K$26:$K$231,0),2),"")=0,"",IFERROR(INDEX('Корректировка НВВ'!$K$26:$L$231,MATCH($F291&amp;"10komm",'Корректировка НВВ'!$K$26:$K$231,0),2),""))</f>
        <v/>
      </c>
      <c r="BP291" s="196"/>
      <c r="BS291" s="696" t="s">
        <v>1563</v>
      </c>
    </row>
    <row r="292" spans="1:75" s="870" customFormat="1" ht="33.75" customHeight="1" x14ac:dyDescent="0.15">
      <c r="A292" s="76"/>
      <c r="B292" s="332"/>
      <c r="C292" s="76"/>
      <c r="D292" s="27">
        <f>D291+1</f>
        <v>8</v>
      </c>
      <c r="E292" s="511">
        <v>21</v>
      </c>
      <c r="F292" s="3" t="str" cm="1">
        <f t="array" aca="1" ref="F292" ca="1">OFFSET(E292,-1,1)</f>
        <v>1</v>
      </c>
      <c r="G292" s="76"/>
      <c r="H292" s="76"/>
      <c r="I292" s="76" t="s">
        <v>609</v>
      </c>
      <c r="J292" s="76"/>
      <c r="K292" s="76" t="s">
        <v>609</v>
      </c>
      <c r="L292" s="27"/>
      <c r="M292" s="27"/>
      <c r="N292" s="76"/>
      <c r="O292" s="76"/>
      <c r="P292" s="76"/>
      <c r="Q292" s="76"/>
      <c r="R292" s="76"/>
      <c r="S292" s="76"/>
      <c r="T292" s="353" t="b" cm="1">
        <f t="array" aca="1" ref="T292" ca="1">T291</f>
        <v>1</v>
      </c>
      <c r="U292" s="76"/>
      <c r="V292" s="76"/>
      <c r="W292" s="76"/>
      <c r="X292" s="990"/>
      <c r="Y292" s="76"/>
      <c r="Z292" s="967"/>
      <c r="AA292" s="76"/>
      <c r="AB292" s="124" cm="1">
        <f t="array" ref="AB292">D292</f>
        <v>8</v>
      </c>
      <c r="AC292" s="125" t="s">
        <v>2207</v>
      </c>
      <c r="AD292" s="124" t="s">
        <v>828</v>
      </c>
      <c r="AE292" s="138">
        <v>0</v>
      </c>
      <c r="AF292" s="138"/>
      <c r="AG292" s="138"/>
      <c r="AH292" s="126">
        <f t="shared" si="68"/>
        <v>0</v>
      </c>
      <c r="AI292" s="138">
        <v>3670.25</v>
      </c>
      <c r="AJ292" s="138"/>
      <c r="AK292" s="774"/>
      <c r="AL292" s="774"/>
      <c r="AM292" s="138"/>
      <c r="AN292" s="138"/>
      <c r="AO292" s="138"/>
      <c r="AP292" s="138"/>
      <c r="AQ292" s="138"/>
      <c r="AR292" s="138"/>
      <c r="AS292" s="138"/>
      <c r="AT292" s="138">
        <v>-3.06</v>
      </c>
      <c r="AU292" s="774"/>
      <c r="AV292" s="774"/>
      <c r="AW292" s="138"/>
      <c r="AX292" s="138"/>
      <c r="AY292" s="138"/>
      <c r="AZ292" s="138"/>
      <c r="BA292" s="138"/>
      <c r="BB292" s="138"/>
      <c r="BC292" s="138"/>
      <c r="BD292" s="129"/>
      <c r="BE292" s="129"/>
      <c r="BF292" s="129"/>
      <c r="BG292" s="129"/>
      <c r="BH292" s="129"/>
      <c r="BI292" s="129"/>
      <c r="BJ292" s="129"/>
      <c r="BK292" s="129"/>
      <c r="BL292" s="129"/>
      <c r="BM292" s="129"/>
      <c r="BN292" s="556"/>
      <c r="BO292" s="556" t="s">
        <v>2263</v>
      </c>
      <c r="BP292" s="556" t="s">
        <v>2264</v>
      </c>
      <c r="BQ292" s="76"/>
      <c r="BR292" s="76"/>
      <c r="BS292" s="702" t="s">
        <v>2208</v>
      </c>
      <c r="BT292" s="702"/>
      <c r="BU292" s="702"/>
      <c r="BV292" s="511"/>
      <c r="BW292" s="511"/>
    </row>
    <row r="293" spans="1:75" ht="21.6" customHeight="1" x14ac:dyDescent="0.15">
      <c r="D293" s="27" cm="1">
        <f t="array" ref="D293">D292</f>
        <v>8</v>
      </c>
      <c r="E293" s="507">
        <v>15</v>
      </c>
      <c r="F293" s="3" t="str" cm="1">
        <f t="array" aca="1" ref="F293" ca="1">OFFSET(E293,-1,1)</f>
        <v>1</v>
      </c>
      <c r="I293" s="72" t="s">
        <v>613</v>
      </c>
      <c r="K293" s="72" t="s">
        <v>613</v>
      </c>
      <c r="L293" s="25"/>
      <c r="M293" s="25"/>
      <c r="T293" s="353" t="b" cm="1">
        <f t="array" aca="1" ref="T293" ca="1">T292</f>
        <v>1</v>
      </c>
      <c r="X293" s="990"/>
      <c r="Z293" s="967"/>
      <c r="AB293" s="7" t="str">
        <f>D293&amp;".1"</f>
        <v>8.1</v>
      </c>
      <c r="AC293" s="127" t="s">
        <v>2209</v>
      </c>
      <c r="AD293" s="7" t="s">
        <v>476</v>
      </c>
      <c r="AE293" s="171">
        <f ca="1">IF(AE294=0,0,AE292/(AE294+AE279)*100)</f>
        <v>0</v>
      </c>
      <c r="AF293" s="171">
        <f ca="1">IF(AF294=0,0,AF292/(AF294+AF279)*100)</f>
        <v>0</v>
      </c>
      <c r="AG293" s="171">
        <f ca="1">IF(AG294=0,0,AG292/(AG294+AG279)*100)</f>
        <v>0</v>
      </c>
      <c r="AH293" s="171">
        <f t="shared" ca="1" si="68"/>
        <v>0</v>
      </c>
      <c r="AI293" s="171">
        <f t="shared" ref="AI293:BC293" ca="1" si="72">IF(AI294=0,0,AI292/(AI294+AI279)*100)</f>
        <v>5.0427596639931487</v>
      </c>
      <c r="AJ293" s="171">
        <f t="shared" ca="1" si="72"/>
        <v>0</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-4.0558210210201139E-3</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2"/>
      <c r="BE293" s="542"/>
      <c r="BF293" s="542"/>
      <c r="BG293" s="542"/>
      <c r="BH293" s="542"/>
      <c r="BI293" s="542"/>
      <c r="BJ293" s="542"/>
      <c r="BK293" s="542"/>
      <c r="BL293" s="542"/>
      <c r="BM293" s="542"/>
      <c r="BN293" s="196"/>
      <c r="BO293" s="196"/>
      <c r="BP293" s="196"/>
      <c r="BS293" s="696" t="s">
        <v>2210</v>
      </c>
    </row>
    <row r="294" spans="1:75" s="870" customFormat="1" ht="77.849999999999994" customHeight="1" x14ac:dyDescent="0.15">
      <c r="A294" s="76"/>
      <c r="B294" s="332"/>
      <c r="C294" s="76"/>
      <c r="D294" s="27">
        <f>D293+1</f>
        <v>9</v>
      </c>
      <c r="E294" s="511">
        <v>21</v>
      </c>
      <c r="F294" s="3" t="str" cm="1">
        <f t="array" aca="1" ref="F294" ca="1">OFFSET(E294,-1,1)</f>
        <v>1</v>
      </c>
      <c r="G294" s="76"/>
      <c r="H294" s="72"/>
      <c r="I294" s="72" t="s">
        <v>767</v>
      </c>
      <c r="J294" s="76"/>
      <c r="K294" s="72" t="s">
        <v>767</v>
      </c>
      <c r="L294" s="27" t="s">
        <v>1872</v>
      </c>
      <c r="M294" s="27"/>
      <c r="N294" s="76"/>
      <c r="O294" s="76"/>
      <c r="P294" s="76"/>
      <c r="Q294" s="76"/>
      <c r="R294" s="76"/>
      <c r="S294" s="76"/>
      <c r="T294" s="353" t="b" cm="1">
        <f t="array" aca="1" ref="T294" ca="1">T293</f>
        <v>1</v>
      </c>
      <c r="U294" s="76"/>
      <c r="V294" s="76"/>
      <c r="W294" s="76"/>
      <c r="X294" s="990"/>
      <c r="Y294" s="76"/>
      <c r="Z294" s="967"/>
      <c r="AA294" s="76"/>
      <c r="AB294" s="124" cm="1">
        <f t="array" ref="AB294">D294</f>
        <v>9</v>
      </c>
      <c r="AC294" s="125" t="s">
        <v>1874</v>
      </c>
      <c r="AD294" s="147" t="s">
        <v>828</v>
      </c>
      <c r="AE294" s="126">
        <f ca="1">AE172+AE222+AE258+AE259+AE261+AE266+AE267+AE270</f>
        <v>59106.659757999296</v>
      </c>
      <c r="AF294" s="126">
        <f ca="1">AF172+AF222+AF258+AF259+AF261+AF266+AF267+AF270</f>
        <v>83556.896239231995</v>
      </c>
      <c r="AG294" s="126">
        <f ca="1">AG172+AG222+AG258+AG259+AG261+AG266+AG267+AG270</f>
        <v>62488.7133049697</v>
      </c>
      <c r="AH294" s="126">
        <f t="shared" ca="1" si="68"/>
        <v>-21068.182934262295</v>
      </c>
      <c r="AI294" s="126">
        <f t="shared" ref="AI294:BC294" ca="1" si="73">AI172+AI222+AI258+AI259+AI261+AI266+AI267+AI270</f>
        <v>70908.867643960009</v>
      </c>
      <c r="AJ294" s="126">
        <f t="shared" ca="1" si="73"/>
        <v>111433.1141240771</v>
      </c>
      <c r="AK294" s="126">
        <f t="shared" ca="1" si="73"/>
        <v>39381.593131378097</v>
      </c>
      <c r="AL294" s="126">
        <f t="shared" ca="1" si="73"/>
        <v>39381.593131378097</v>
      </c>
      <c r="AM294" s="126">
        <f t="shared" ca="1" si="73"/>
        <v>39381.593131378097</v>
      </c>
      <c r="AN294" s="126">
        <f t="shared" ca="1" si="73"/>
        <v>39381.593131378097</v>
      </c>
      <c r="AO294" s="126">
        <f t="shared" ca="1" si="73"/>
        <v>39381.593131378097</v>
      </c>
      <c r="AP294" s="126">
        <f t="shared" ca="1" si="73"/>
        <v>39381.593131378097</v>
      </c>
      <c r="AQ294" s="126">
        <f t="shared" ca="1" si="73"/>
        <v>39381.593131378097</v>
      </c>
      <c r="AR294" s="126">
        <f t="shared" ca="1" si="73"/>
        <v>39381.593131378097</v>
      </c>
      <c r="AS294" s="126">
        <f t="shared" ca="1" si="73"/>
        <v>39381.593131378097</v>
      </c>
      <c r="AT294" s="126">
        <f t="shared" ca="1" si="73"/>
        <v>74889.066234689104</v>
      </c>
      <c r="AU294" s="126">
        <f t="shared" ca="1" si="73"/>
        <v>16089.18</v>
      </c>
      <c r="AV294" s="126">
        <f t="shared" ca="1" si="73"/>
        <v>16089.18</v>
      </c>
      <c r="AW294" s="126">
        <f t="shared" ca="1" si="73"/>
        <v>16089.18</v>
      </c>
      <c r="AX294" s="126">
        <f t="shared" ca="1" si="73"/>
        <v>16089.18</v>
      </c>
      <c r="AY294" s="126">
        <f t="shared" ca="1" si="73"/>
        <v>16089.18</v>
      </c>
      <c r="AZ294" s="126">
        <f t="shared" ca="1" si="73"/>
        <v>16089.18</v>
      </c>
      <c r="BA294" s="126">
        <f t="shared" ca="1" si="73"/>
        <v>16089.18</v>
      </c>
      <c r="BB294" s="126">
        <f t="shared" ca="1" si="73"/>
        <v>16089.18</v>
      </c>
      <c r="BC294" s="126">
        <f t="shared" ca="1" si="73"/>
        <v>16089.18</v>
      </c>
      <c r="BD294" s="126">
        <f ca="1">IF(AI294=0,0,(AT294-AI294)/AI294*100)</f>
        <v>5.6131182501940948</v>
      </c>
      <c r="BE294" s="126">
        <f t="shared" ref="BE294:BM295" ca="1" si="74">IF(AT294=0,0,(AU294-AT294)/AT294*100)</f>
        <v>-78.515982627451436</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2" t="s">
        <v>1875</v>
      </c>
      <c r="BT294" s="702"/>
      <c r="BU294" s="702"/>
      <c r="BV294" s="511"/>
      <c r="BW294" s="511"/>
    </row>
    <row r="295" spans="1:75" s="870" customFormat="1" ht="22.7" customHeight="1" x14ac:dyDescent="0.15">
      <c r="A295" s="76"/>
      <c r="B295" s="332"/>
      <c r="C295" s="76"/>
      <c r="D295" s="27">
        <f>D294+1</f>
        <v>10</v>
      </c>
      <c r="E295" s="511">
        <v>21</v>
      </c>
      <c r="F295" s="3" t="str" cm="1">
        <f t="array" aca="1" ref="F295" ca="1">OFFSET(E295,-1,1)</f>
        <v>1</v>
      </c>
      <c r="G295" s="76"/>
      <c r="H295" s="72"/>
      <c r="I295" s="72" t="s">
        <v>1884</v>
      </c>
      <c r="J295" s="76"/>
      <c r="K295" s="72" t="s">
        <v>1884</v>
      </c>
      <c r="L295" s="27"/>
      <c r="M295" s="27"/>
      <c r="N295" s="76"/>
      <c r="O295" s="76"/>
      <c r="P295" s="76"/>
      <c r="Q295" s="76"/>
      <c r="R295" s="76"/>
      <c r="S295" s="76"/>
      <c r="T295" s="353" t="b" cm="1">
        <f t="array" aca="1" ref="T295" ca="1">T294</f>
        <v>1</v>
      </c>
      <c r="U295" s="76"/>
      <c r="V295" s="76"/>
      <c r="W295" s="76"/>
      <c r="X295" s="990"/>
      <c r="Y295" s="76"/>
      <c r="Z295" s="967"/>
      <c r="AA295" s="76"/>
      <c r="AB295" s="124" cm="1">
        <f t="array" ref="AB295">D295</f>
        <v>10</v>
      </c>
      <c r="AC295" s="125" t="s">
        <v>2211</v>
      </c>
      <c r="AD295" s="124" t="s">
        <v>828</v>
      </c>
      <c r="AE295" s="126">
        <f t="shared" ref="AE295:BC295" ca="1" si="75">AE294+AE279+AE292</f>
        <v>61824.531757999299</v>
      </c>
      <c r="AF295" s="126">
        <f t="shared" ca="1" si="75"/>
        <v>83556.896239231995</v>
      </c>
      <c r="AG295" s="126">
        <f t="shared" ca="1" si="75"/>
        <v>65206.585304969703</v>
      </c>
      <c r="AH295" s="126">
        <f t="shared" ca="1" si="75"/>
        <v>-18350.310934262296</v>
      </c>
      <c r="AI295" s="126">
        <f t="shared" ca="1" si="75"/>
        <v>76452.818366418709</v>
      </c>
      <c r="AJ295" s="126">
        <f t="shared" ca="1" si="75"/>
        <v>130249.9896633091</v>
      </c>
      <c r="AK295" s="126">
        <f t="shared" ca="1" si="75"/>
        <v>39381.593131378097</v>
      </c>
      <c r="AL295" s="126">
        <f t="shared" ca="1" si="75"/>
        <v>39381.593131378097</v>
      </c>
      <c r="AM295" s="126">
        <f t="shared" ca="1" si="75"/>
        <v>39381.593131378097</v>
      </c>
      <c r="AN295" s="126">
        <f t="shared" ca="1" si="75"/>
        <v>39381.593131378097</v>
      </c>
      <c r="AO295" s="126">
        <f t="shared" ca="1" si="75"/>
        <v>39381.593131378097</v>
      </c>
      <c r="AP295" s="126">
        <f t="shared" ca="1" si="75"/>
        <v>39381.593131378097</v>
      </c>
      <c r="AQ295" s="126">
        <f t="shared" ca="1" si="75"/>
        <v>39381.593131378097</v>
      </c>
      <c r="AR295" s="126">
        <f t="shared" ca="1" si="75"/>
        <v>39381.593131378097</v>
      </c>
      <c r="AS295" s="126">
        <f t="shared" ca="1" si="75"/>
        <v>39381.593131378097</v>
      </c>
      <c r="AT295" s="126">
        <f t="shared" ca="1" si="75"/>
        <v>75444.056234689109</v>
      </c>
      <c r="AU295" s="126">
        <f t="shared" ca="1" si="75"/>
        <v>16089.18</v>
      </c>
      <c r="AV295" s="126">
        <f t="shared" ca="1" si="75"/>
        <v>16089.18</v>
      </c>
      <c r="AW295" s="126">
        <f t="shared" ca="1" si="75"/>
        <v>16089.18</v>
      </c>
      <c r="AX295" s="126">
        <f t="shared" ca="1" si="75"/>
        <v>16089.18</v>
      </c>
      <c r="AY295" s="126">
        <f t="shared" ca="1" si="75"/>
        <v>16089.18</v>
      </c>
      <c r="AZ295" s="126">
        <f t="shared" ca="1" si="75"/>
        <v>16089.18</v>
      </c>
      <c r="BA295" s="126">
        <f t="shared" ca="1" si="75"/>
        <v>16089.18</v>
      </c>
      <c r="BB295" s="126">
        <f t="shared" ca="1" si="75"/>
        <v>16089.18</v>
      </c>
      <c r="BC295" s="126">
        <f t="shared" ca="1" si="75"/>
        <v>16089.18</v>
      </c>
      <c r="BD295" s="126">
        <f ca="1">IF(AI295=0,0,(AT295-AI295)/AI295*100)</f>
        <v>-1.319457089070101</v>
      </c>
      <c r="BE295" s="126">
        <f t="shared" ca="1" si="74"/>
        <v>-78.674025757641843</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2" t="s">
        <v>2212</v>
      </c>
      <c r="BT295" s="702"/>
      <c r="BU295" s="702"/>
      <c r="BV295" s="511"/>
      <c r="BW295" s="511"/>
    </row>
    <row r="296" spans="1:75" ht="14.25" hidden="1" customHeight="1" x14ac:dyDescent="0.25">
      <c r="B296" s="341" t="b">
        <f>A171="двухставочный"</f>
        <v>0</v>
      </c>
      <c r="D296" s="25" cm="1">
        <f t="array" ref="D296">D295</f>
        <v>10</v>
      </c>
      <c r="E296" s="507">
        <v>15</v>
      </c>
      <c r="F296" s="3" t="str" cm="1">
        <f t="array" aca="1" ref="F296" ca="1">OFFSET(E296,-1,1)</f>
        <v>1</v>
      </c>
      <c r="H296" s="2"/>
      <c r="I296" s="278" t="s">
        <v>1888</v>
      </c>
      <c r="K296" s="278" t="s">
        <v>1888</v>
      </c>
      <c r="L296" s="25" t="s">
        <v>1876</v>
      </c>
      <c r="M296" s="25"/>
      <c r="T296" s="353" t="b" cm="1">
        <f t="array" aca="1" ref="T296" ca="1">T295</f>
        <v>1</v>
      </c>
      <c r="X296" s="990"/>
      <c r="Z296" s="967"/>
      <c r="AB296" s="7" t="str">
        <f>D296&amp;".1"</f>
        <v>10.1</v>
      </c>
      <c r="AC296" s="550" t="s">
        <v>1878</v>
      </c>
      <c r="AD296" s="7" t="s">
        <v>828</v>
      </c>
      <c r="AE296" s="778"/>
      <c r="AF296" s="778"/>
      <c r="AG296" s="778"/>
      <c r="AH296" s="171">
        <f t="shared" ref="AH296:AH302" si="76">AG296-AF296</f>
        <v>0</v>
      </c>
      <c r="AI296" s="778"/>
      <c r="AJ296" s="128"/>
      <c r="AK296" s="778"/>
      <c r="AL296" s="778"/>
      <c r="AM296" s="778"/>
      <c r="AN296" s="778"/>
      <c r="AO296" s="778"/>
      <c r="AP296" s="778"/>
      <c r="AQ296" s="778"/>
      <c r="AR296" s="778"/>
      <c r="AS296" s="778"/>
      <c r="AT296" s="128"/>
      <c r="AU296" s="778"/>
      <c r="AV296" s="778"/>
      <c r="AW296" s="778"/>
      <c r="AX296" s="778"/>
      <c r="AY296" s="778"/>
      <c r="AZ296" s="778"/>
      <c r="BA296" s="778"/>
      <c r="BB296" s="778"/>
      <c r="BC296" s="778"/>
      <c r="BD296" s="542"/>
      <c r="BE296" s="542"/>
      <c r="BF296" s="542"/>
      <c r="BG296" s="542"/>
      <c r="BH296" s="542"/>
      <c r="BI296" s="542"/>
      <c r="BJ296" s="542"/>
      <c r="BK296" s="542"/>
      <c r="BL296" s="542"/>
      <c r="BM296" s="542"/>
      <c r="BN296" s="775"/>
      <c r="BO296" s="775"/>
      <c r="BP296" s="775"/>
      <c r="BS296" s="694" t="s">
        <v>1879</v>
      </c>
    </row>
    <row r="297" spans="1:75" ht="14.25" hidden="1" customHeight="1" x14ac:dyDescent="0.25">
      <c r="B297" s="341" t="b">
        <f>A171="двухставочный"</f>
        <v>0</v>
      </c>
      <c r="D297" s="25" cm="1">
        <f t="array" ref="D297">D296</f>
        <v>10</v>
      </c>
      <c r="E297" s="507">
        <v>15</v>
      </c>
      <c r="F297" s="3" t="str" cm="1">
        <f t="array" aca="1" ref="F297" ca="1">OFFSET(E297,-1,1)</f>
        <v>1</v>
      </c>
      <c r="H297" s="2"/>
      <c r="I297" s="278" t="s">
        <v>1892</v>
      </c>
      <c r="K297" s="278" t="s">
        <v>1892</v>
      </c>
      <c r="L297" s="25" t="s">
        <v>1880</v>
      </c>
      <c r="M297" s="25"/>
      <c r="T297" s="353" t="b" cm="1">
        <f t="array" aca="1" ref="T297" ca="1">T296</f>
        <v>1</v>
      </c>
      <c r="X297" s="990"/>
      <c r="Z297" s="967"/>
      <c r="AB297" s="7" t="str">
        <f>D297&amp;".2"</f>
        <v>10.2</v>
      </c>
      <c r="AC297" s="550" t="s">
        <v>1882</v>
      </c>
      <c r="AD297" s="7" t="s">
        <v>828</v>
      </c>
      <c r="AE297" s="778"/>
      <c r="AF297" s="778"/>
      <c r="AG297" s="778"/>
      <c r="AH297" s="171">
        <f t="shared" si="76"/>
        <v>0</v>
      </c>
      <c r="AI297" s="778"/>
      <c r="AJ297" s="128"/>
      <c r="AK297" s="778"/>
      <c r="AL297" s="778"/>
      <c r="AM297" s="778"/>
      <c r="AN297" s="778"/>
      <c r="AO297" s="778"/>
      <c r="AP297" s="778"/>
      <c r="AQ297" s="778"/>
      <c r="AR297" s="778"/>
      <c r="AS297" s="778"/>
      <c r="AT297" s="128"/>
      <c r="AU297" s="778"/>
      <c r="AV297" s="778"/>
      <c r="AW297" s="778"/>
      <c r="AX297" s="778"/>
      <c r="AY297" s="778"/>
      <c r="AZ297" s="778"/>
      <c r="BA297" s="778"/>
      <c r="BB297" s="778"/>
      <c r="BC297" s="778"/>
      <c r="BD297" s="542"/>
      <c r="BE297" s="542"/>
      <c r="BF297" s="542"/>
      <c r="BG297" s="542"/>
      <c r="BH297" s="542"/>
      <c r="BI297" s="542"/>
      <c r="BJ297" s="542"/>
      <c r="BK297" s="542"/>
      <c r="BL297" s="542"/>
      <c r="BM297" s="542"/>
      <c r="BN297" s="775"/>
      <c r="BO297" s="775"/>
      <c r="BP297" s="775"/>
      <c r="BS297" s="694" t="s">
        <v>1883</v>
      </c>
    </row>
    <row r="298" spans="1:75" s="870" customFormat="1" ht="32.25" customHeight="1" x14ac:dyDescent="0.25">
      <c r="A298" s="76"/>
      <c r="B298" s="332"/>
      <c r="C298" s="76"/>
      <c r="D298" s="27">
        <f>D297+1</f>
        <v>11</v>
      </c>
      <c r="E298" s="511">
        <v>21</v>
      </c>
      <c r="F298" s="3" t="str" cm="1">
        <f t="array" aca="1" ref="F298" ca="1">OFFSET(E298,-1,1)</f>
        <v>1</v>
      </c>
      <c r="G298" s="72" t="s">
        <v>1653</v>
      </c>
      <c r="H298" s="72"/>
      <c r="I298" s="72" t="s">
        <v>1912</v>
      </c>
      <c r="J298" s="76"/>
      <c r="K298" s="72" t="s">
        <v>1912</v>
      </c>
      <c r="L298" s="27" t="s">
        <v>1884</v>
      </c>
      <c r="M298" s="27"/>
      <c r="N298" s="76"/>
      <c r="O298" s="76"/>
      <c r="P298" s="76"/>
      <c r="Q298" s="76"/>
      <c r="R298" s="76"/>
      <c r="S298" s="76"/>
      <c r="T298" s="353" t="b" cm="1">
        <f t="array" aca="1" ref="T298" ca="1">T297</f>
        <v>1</v>
      </c>
      <c r="U298" s="76"/>
      <c r="V298" s="76"/>
      <c r="W298" s="76"/>
      <c r="X298" s="990"/>
      <c r="Y298" s="76"/>
      <c r="Z298" s="967"/>
      <c r="AA298" s="76"/>
      <c r="AB298" s="124" cm="1">
        <f t="array" ref="AB298">D298</f>
        <v>11</v>
      </c>
      <c r="AC298" s="125" t="s">
        <v>1886</v>
      </c>
      <c r="AD298" s="124" t="s">
        <v>558</v>
      </c>
      <c r="AE298" s="552">
        <f ca="1">SUMIFS(Баланс!AE$26:AE$391,Баланс!$F$26:$F$391,$F298,Баланс!$G$26:$G$391,"ПО")</f>
        <v>17161.565999999999</v>
      </c>
      <c r="AF298" s="552">
        <f ca="1">SUMIFS(Баланс!AF$26:AF$391,Баланс!$F$26:$F$391,$F298,Баланс!$G$26:$G$391,"ПО")</f>
        <v>17945.460999999999</v>
      </c>
      <c r="AG298" s="552">
        <f ca="1">SUMIFS(Баланс!AG$26:AG$391,Баланс!$F$26:$F$391,$F298,Баланс!$G$26:$G$391,"ПО")</f>
        <v>17945.460999999999</v>
      </c>
      <c r="AH298" s="552">
        <f t="shared" ca="1" si="76"/>
        <v>0</v>
      </c>
      <c r="AI298" s="552">
        <f ca="1">SUMIFS(Баланс!AH$26:AH$391,Баланс!$F$26:$F$391,$F298,Баланс!$G$26:$G$391,"ПО")</f>
        <v>20279.261910000001</v>
      </c>
      <c r="AJ298" s="552">
        <f ca="1">SUMIFS(Баланс!AI$26:AI$391,Баланс!$F$26:$F$391,$F298,Баланс!$G$26:$G$391,"ПО")</f>
        <v>22004.04</v>
      </c>
      <c r="AK298" s="552">
        <f ca="1">SUMIFS(Баланс!AJ$26:AJ$391,Баланс!$F$26:$F$391,$F298,Баланс!$G$26:$G$391,"ПО")</f>
        <v>0</v>
      </c>
      <c r="AL298" s="552">
        <f ca="1">SUMIFS(Баланс!AK$26:AK$391,Баланс!$F$26:$F$391,$F298,Баланс!$G$26:$G$391,"ПО")</f>
        <v>0</v>
      </c>
      <c r="AM298" s="552">
        <f ca="1">SUMIFS(Баланс!AL$26:AL$391,Баланс!$F$26:$F$391,$F298,Баланс!$G$26:$G$391,"ПО")</f>
        <v>0</v>
      </c>
      <c r="AN298" s="552">
        <f ca="1">SUMIFS(Баланс!AM$26:AM$391,Баланс!$F$26:$F$391,$F298,Баланс!$G$26:$G$391,"ПО")</f>
        <v>0</v>
      </c>
      <c r="AO298" s="552">
        <f ca="1">SUMIFS(Баланс!AN$26:AN$391,Баланс!$F$26:$F$391,$F298,Баланс!$G$26:$G$391,"ПО")</f>
        <v>0</v>
      </c>
      <c r="AP298" s="552">
        <f ca="1">SUMIFS(Баланс!AO$26:AO$391,Баланс!$F$26:$F$391,$F298,Баланс!$G$26:$G$391,"ПО")</f>
        <v>0</v>
      </c>
      <c r="AQ298" s="552">
        <f ca="1">SUMIFS(Баланс!AP$26:AP$391,Баланс!$F$26:$F$391,$F298,Баланс!$G$26:$G$391,"ПО")</f>
        <v>0</v>
      </c>
      <c r="AR298" s="552">
        <f ca="1">SUMIFS(Баланс!AQ$26:AQ$391,Баланс!$F$26:$F$391,$F298,Баланс!$G$26:$G$391,"ПО")</f>
        <v>0</v>
      </c>
      <c r="AS298" s="552">
        <f ca="1">SUMIFS(Баланс!AR$26:AR$391,Баланс!$F$26:$F$391,$F298,Баланс!$G$26:$G$391,"ПО")</f>
        <v>0</v>
      </c>
      <c r="AT298" s="552">
        <f ca="1">SUMIFS(Баланс!AS$26:AS$391,Баланс!$F$26:$F$391,$F298,Баланс!$G$26:$G$391,"ПО")</f>
        <v>19250.848000000002</v>
      </c>
      <c r="AU298" s="552">
        <f ca="1">SUMIFS(Баланс!AT$26:AT$391,Баланс!$F$26:$F$391,$F298,Баланс!$G$26:$G$391,"ПО")</f>
        <v>0</v>
      </c>
      <c r="AV298" s="552">
        <f ca="1">SUMIFS(Баланс!AU$26:AU$391,Баланс!$F$26:$F$391,$F298,Баланс!$G$26:$G$391,"ПО")</f>
        <v>0</v>
      </c>
      <c r="AW298" s="552">
        <f ca="1">SUMIFS(Баланс!AV$26:AV$391,Баланс!$F$26:$F$391,$F298,Баланс!$G$26:$G$391,"ПО")</f>
        <v>0</v>
      </c>
      <c r="AX298" s="552">
        <f ca="1">SUMIFS(Баланс!AW$26:AW$391,Баланс!$F$26:$F$391,$F298,Баланс!$G$26:$G$391,"ПО")</f>
        <v>0</v>
      </c>
      <c r="AY298" s="552">
        <f ca="1">SUMIFS(Баланс!AX$26:AX$391,Баланс!$F$26:$F$391,$F298,Баланс!$G$26:$G$391,"ПО")</f>
        <v>0</v>
      </c>
      <c r="AZ298" s="552">
        <f ca="1">SUMIFS(Баланс!AY$26:AY$391,Баланс!$F$26:$F$391,$F298,Баланс!$G$26:$G$391,"ПО")</f>
        <v>0</v>
      </c>
      <c r="BA298" s="552">
        <f ca="1">SUMIFS(Баланс!AZ$26:AZ$391,Баланс!$F$26:$F$391,$F298,Баланс!$G$26:$G$391,"ПО")</f>
        <v>0</v>
      </c>
      <c r="BB298" s="552">
        <f ca="1">SUMIFS(Баланс!BA$26:BA$391,Баланс!$F$26:$F$391,$F298,Баланс!$G$26:$G$391,"ПО")</f>
        <v>0</v>
      </c>
      <c r="BC298" s="552">
        <f ca="1">SUMIFS(Баланс!BB$26:BB$391,Баланс!$F$26:$F$391,$F298,Баланс!$G$26:$G$391,"ПО")</f>
        <v>0</v>
      </c>
      <c r="BD298" s="129"/>
      <c r="BE298" s="129"/>
      <c r="BF298" s="129"/>
      <c r="BG298" s="129"/>
      <c r="BH298" s="129"/>
      <c r="BI298" s="129"/>
      <c r="BJ298" s="129"/>
      <c r="BK298" s="129"/>
      <c r="BL298" s="129"/>
      <c r="BM298" s="129"/>
      <c r="BN298" s="196"/>
      <c r="BO298" s="196"/>
      <c r="BP298" s="196"/>
      <c r="BQ298" s="76"/>
      <c r="BR298" s="76"/>
      <c r="BS298" s="695" t="s">
        <v>1887</v>
      </c>
      <c r="BT298" s="702"/>
      <c r="BU298" s="702"/>
      <c r="BV298" s="511"/>
      <c r="BW298" s="511"/>
    </row>
    <row r="299" spans="1:75" ht="29.1" customHeight="1" x14ac:dyDescent="0.25">
      <c r="D299" s="25" cm="1">
        <f t="array" ref="D299">D298</f>
        <v>11</v>
      </c>
      <c r="E299" s="507">
        <v>15</v>
      </c>
      <c r="F299" s="3" t="str" cm="1">
        <f t="array" aca="1" ref="F299" ca="1">OFFSET(E299,-1,1)</f>
        <v>1</v>
      </c>
      <c r="G299" s="72" t="s">
        <v>1680</v>
      </c>
      <c r="I299" s="72" t="s">
        <v>2213</v>
      </c>
      <c r="K299" s="72" t="s">
        <v>2213</v>
      </c>
      <c r="L299" s="25" t="s">
        <v>1888</v>
      </c>
      <c r="M299" s="25"/>
      <c r="T299" s="353" t="b" cm="1">
        <f t="array" aca="1" ref="T299" ca="1">T298</f>
        <v>1</v>
      </c>
      <c r="X299" s="990"/>
      <c r="Z299" s="967"/>
      <c r="AB299" s="7" t="str">
        <f>D299&amp;".1"</f>
        <v>11.1</v>
      </c>
      <c r="AC299" s="127" t="s">
        <v>1890</v>
      </c>
      <c r="AD299" s="7" t="s">
        <v>558</v>
      </c>
      <c r="AE299" s="444">
        <v>8580.7829999999994</v>
      </c>
      <c r="AF299" s="444">
        <v>8972.7304999999997</v>
      </c>
      <c r="AG299" s="444">
        <v>8972.7304999999997</v>
      </c>
      <c r="AH299" s="558">
        <f t="shared" si="76"/>
        <v>0</v>
      </c>
      <c r="AI299" s="444">
        <v>10139.630955000001</v>
      </c>
      <c r="AJ299" s="444">
        <v>11002.02</v>
      </c>
      <c r="AK299" s="776">
        <f ca="1">IF(god=2025,AK298/12*9,AK298/2)</f>
        <v>0</v>
      </c>
      <c r="AL299" s="776">
        <f t="shared" ref="AL299:AS299" ca="1" si="77">AL298/2</f>
        <v>0</v>
      </c>
      <c r="AM299" s="444">
        <f t="shared" ca="1" si="77"/>
        <v>0</v>
      </c>
      <c r="AN299" s="444">
        <f t="shared" ca="1" si="77"/>
        <v>0</v>
      </c>
      <c r="AO299" s="444">
        <f t="shared" ca="1" si="77"/>
        <v>0</v>
      </c>
      <c r="AP299" s="444">
        <f t="shared" ca="1" si="77"/>
        <v>0</v>
      </c>
      <c r="AQ299" s="444">
        <f t="shared" ca="1" si="77"/>
        <v>0</v>
      </c>
      <c r="AR299" s="444">
        <f t="shared" ca="1" si="77"/>
        <v>0</v>
      </c>
      <c r="AS299" s="444">
        <f t="shared" ca="1" si="77"/>
        <v>0</v>
      </c>
      <c r="AT299" s="444">
        <v>14438.136</v>
      </c>
      <c r="AU299" s="776">
        <f ca="1">IF(god=2025,AU298/12*9,AU298/2)</f>
        <v>0</v>
      </c>
      <c r="AV299" s="776">
        <f t="shared" ref="AV299:BC299" ca="1" si="78">AV298/2</f>
        <v>0</v>
      </c>
      <c r="AW299" s="444">
        <f t="shared" ca="1" si="78"/>
        <v>0</v>
      </c>
      <c r="AX299" s="444">
        <f t="shared" ca="1" si="78"/>
        <v>0</v>
      </c>
      <c r="AY299" s="444">
        <f t="shared" ca="1" si="78"/>
        <v>0</v>
      </c>
      <c r="AZ299" s="444">
        <f t="shared" ca="1" si="78"/>
        <v>0</v>
      </c>
      <c r="BA299" s="444">
        <f t="shared" ca="1" si="78"/>
        <v>0</v>
      </c>
      <c r="BB299" s="444">
        <f t="shared" ca="1" si="78"/>
        <v>0</v>
      </c>
      <c r="BC299" s="444">
        <f t="shared" ca="1" si="78"/>
        <v>0</v>
      </c>
      <c r="BD299" s="542"/>
      <c r="BE299" s="542"/>
      <c r="BF299" s="542"/>
      <c r="BG299" s="542"/>
      <c r="BH299" s="542"/>
      <c r="BI299" s="542"/>
      <c r="BJ299" s="542"/>
      <c r="BK299" s="542"/>
      <c r="BL299" s="542"/>
      <c r="BM299" s="542"/>
      <c r="BN299" s="196"/>
      <c r="BO299" s="196"/>
      <c r="BP299" s="196"/>
      <c r="BS299" s="694" t="s">
        <v>1891</v>
      </c>
    </row>
    <row r="300" spans="1:75" ht="76.7" customHeight="1" x14ac:dyDescent="0.25">
      <c r="D300" s="25" cm="1">
        <f t="array" ref="D300">D299</f>
        <v>11</v>
      </c>
      <c r="E300" s="507">
        <v>15</v>
      </c>
      <c r="F300" s="3" t="str" cm="1">
        <f t="array" aca="1" ref="F300" ca="1">OFFSET(E300,-1,1)</f>
        <v>1</v>
      </c>
      <c r="G300" s="72" t="s">
        <v>1641</v>
      </c>
      <c r="I300" s="72" t="s">
        <v>2214</v>
      </c>
      <c r="K300" s="72" t="s">
        <v>2214</v>
      </c>
      <c r="L300" s="25" t="s">
        <v>1892</v>
      </c>
      <c r="M300" s="25"/>
      <c r="T300" s="353" t="b" cm="1">
        <f t="array" aca="1" ref="T300" ca="1">T299</f>
        <v>1</v>
      </c>
      <c r="X300" s="990"/>
      <c r="Z300" s="967"/>
      <c r="AB300" s="7" t="str">
        <f>D300&amp;".2"</f>
        <v>11.2</v>
      </c>
      <c r="AC300" s="127" t="s">
        <v>1894</v>
      </c>
      <c r="AD300" s="7" t="s">
        <v>1644</v>
      </c>
      <c r="AE300" s="128">
        <v>3.4350000000000001</v>
      </c>
      <c r="AF300" s="128">
        <v>4.6561576901999997</v>
      </c>
      <c r="AG300" s="128" cm="1">
        <f t="array" ref="AG300">AG304</f>
        <v>3.6335976716</v>
      </c>
      <c r="AH300" s="171">
        <f t="shared" si="76"/>
        <v>-1.0225600185999997</v>
      </c>
      <c r="AI300" s="128">
        <v>3.7699988629000001</v>
      </c>
      <c r="AJ300" s="128">
        <v>5.9193670646000003</v>
      </c>
      <c r="AK300" s="778"/>
      <c r="AL300" s="778"/>
      <c r="AM300" s="128"/>
      <c r="AN300" s="128"/>
      <c r="AO300" s="128"/>
      <c r="AP300" s="128"/>
      <c r="AQ300" s="128"/>
      <c r="AR300" s="128"/>
      <c r="AS300" s="128"/>
      <c r="AT300" s="128">
        <v>3.77</v>
      </c>
      <c r="AU300" s="778" cm="1">
        <f t="array" ref="AU300">AT302</f>
        <v>4.3659999999999997</v>
      </c>
      <c r="AV300" s="778"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2"/>
      <c r="BE300" s="542"/>
      <c r="BF300" s="542"/>
      <c r="BG300" s="542"/>
      <c r="BH300" s="542"/>
      <c r="BI300" s="542"/>
      <c r="BJ300" s="542"/>
      <c r="BK300" s="542"/>
      <c r="BL300" s="542"/>
      <c r="BM300" s="542"/>
      <c r="BN300" s="196"/>
      <c r="BO300" s="196" t="s">
        <v>2326</v>
      </c>
      <c r="BP300" s="196" t="s">
        <v>2327</v>
      </c>
      <c r="BS300" s="694" t="s">
        <v>1895</v>
      </c>
    </row>
    <row r="301" spans="1:75" ht="29.85" customHeight="1" x14ac:dyDescent="0.25">
      <c r="D301" s="25" cm="1">
        <f t="array" ref="D301">D300</f>
        <v>11</v>
      </c>
      <c r="E301" s="507">
        <v>15</v>
      </c>
      <c r="F301" s="3" t="str" cm="1">
        <f t="array" aca="1" ref="F301" ca="1">OFFSET(E301,-1,1)</f>
        <v>1</v>
      </c>
      <c r="G301" s="72" t="s">
        <v>1693</v>
      </c>
      <c r="I301" s="72" t="s">
        <v>2215</v>
      </c>
      <c r="K301" s="72" t="s">
        <v>2215</v>
      </c>
      <c r="L301" s="25" t="s">
        <v>1896</v>
      </c>
      <c r="M301" s="25"/>
      <c r="T301" s="353" t="b" cm="1">
        <f t="array" aca="1" ref="T301" ca="1">T300</f>
        <v>1</v>
      </c>
      <c r="X301" s="990"/>
      <c r="Z301" s="967"/>
      <c r="AB301" s="7" t="str">
        <f>D301&amp;".3"</f>
        <v>11.3</v>
      </c>
      <c r="AC301" s="127" t="s">
        <v>2216</v>
      </c>
      <c r="AD301" s="7" t="s">
        <v>558</v>
      </c>
      <c r="AE301" s="558">
        <f ca="1">AE298-AE299</f>
        <v>8580.7829999999994</v>
      </c>
      <c r="AF301" s="558">
        <f ca="1">AF298-AF299</f>
        <v>8972.7304999999997</v>
      </c>
      <c r="AG301" s="558">
        <f ca="1">AG298-AG299</f>
        <v>8972.7304999999997</v>
      </c>
      <c r="AH301" s="558">
        <f t="shared" ca="1" si="76"/>
        <v>0</v>
      </c>
      <c r="AI301" s="558">
        <f t="shared" ref="AI301:BC301" ca="1" si="79">AI298-AI299</f>
        <v>10139.630955000001</v>
      </c>
      <c r="AJ301" s="558">
        <f t="shared" ca="1" si="79"/>
        <v>11002.02</v>
      </c>
      <c r="AK301" s="558">
        <f t="shared" ca="1" si="79"/>
        <v>0</v>
      </c>
      <c r="AL301" s="558">
        <f t="shared" ca="1" si="79"/>
        <v>0</v>
      </c>
      <c r="AM301" s="558">
        <f t="shared" ca="1" si="79"/>
        <v>0</v>
      </c>
      <c r="AN301" s="558">
        <f t="shared" ca="1" si="79"/>
        <v>0</v>
      </c>
      <c r="AO301" s="558">
        <f t="shared" ca="1" si="79"/>
        <v>0</v>
      </c>
      <c r="AP301" s="558">
        <f t="shared" ca="1" si="79"/>
        <v>0</v>
      </c>
      <c r="AQ301" s="558">
        <f t="shared" ca="1" si="79"/>
        <v>0</v>
      </c>
      <c r="AR301" s="558">
        <f t="shared" ca="1" si="79"/>
        <v>0</v>
      </c>
      <c r="AS301" s="558">
        <f t="shared" ca="1" si="79"/>
        <v>0</v>
      </c>
      <c r="AT301" s="558">
        <f t="shared" ca="1" si="79"/>
        <v>4812.7120000000014</v>
      </c>
      <c r="AU301" s="558">
        <f t="shared" ca="1" si="79"/>
        <v>0</v>
      </c>
      <c r="AV301" s="558">
        <f t="shared" ca="1" si="79"/>
        <v>0</v>
      </c>
      <c r="AW301" s="558">
        <f t="shared" ca="1" si="79"/>
        <v>0</v>
      </c>
      <c r="AX301" s="558">
        <f t="shared" ca="1" si="79"/>
        <v>0</v>
      </c>
      <c r="AY301" s="558">
        <f t="shared" ca="1" si="79"/>
        <v>0</v>
      </c>
      <c r="AZ301" s="558">
        <f t="shared" ca="1" si="79"/>
        <v>0</v>
      </c>
      <c r="BA301" s="558">
        <f t="shared" ca="1" si="79"/>
        <v>0</v>
      </c>
      <c r="BB301" s="558">
        <f t="shared" ca="1" si="79"/>
        <v>0</v>
      </c>
      <c r="BC301" s="558">
        <f t="shared" ca="1" si="79"/>
        <v>0</v>
      </c>
      <c r="BD301" s="542"/>
      <c r="BE301" s="542"/>
      <c r="BF301" s="542"/>
      <c r="BG301" s="542"/>
      <c r="BH301" s="542"/>
      <c r="BI301" s="542"/>
      <c r="BJ301" s="542"/>
      <c r="BK301" s="542"/>
      <c r="BL301" s="542"/>
      <c r="BM301" s="542"/>
      <c r="BN301" s="196"/>
      <c r="BO301" s="196"/>
      <c r="BP301" s="196"/>
      <c r="BS301" s="694" t="s">
        <v>1899</v>
      </c>
    </row>
    <row r="302" spans="1:75" ht="34.700000000000003" customHeight="1" x14ac:dyDescent="0.25">
      <c r="D302" s="25" cm="1">
        <f t="array" ref="D302">D301</f>
        <v>11</v>
      </c>
      <c r="E302" s="507">
        <v>15</v>
      </c>
      <c r="F302" s="3" t="str" cm="1">
        <f t="array" aca="1" ref="F302" ca="1">OFFSET(E302,-1,1)</f>
        <v>1</v>
      </c>
      <c r="G302" s="72" t="s">
        <v>1646</v>
      </c>
      <c r="I302" s="72" t="s">
        <v>2217</v>
      </c>
      <c r="K302" s="72" t="s">
        <v>2217</v>
      </c>
      <c r="L302" s="25" t="s">
        <v>1900</v>
      </c>
      <c r="M302" s="25"/>
      <c r="T302" s="353" t="b" cm="1">
        <f t="array" aca="1" ref="T302" ca="1">T301</f>
        <v>1</v>
      </c>
      <c r="X302" s="990"/>
      <c r="Z302" s="967"/>
      <c r="AB302" s="7" t="str">
        <f>D302&amp;".4"</f>
        <v>11.4</v>
      </c>
      <c r="AC302" s="127" t="s">
        <v>1902</v>
      </c>
      <c r="AD302" s="7" t="s">
        <v>1644</v>
      </c>
      <c r="AE302" s="128">
        <v>3.7699988629000001</v>
      </c>
      <c r="AF302" s="128">
        <v>4.6561576901999997</v>
      </c>
      <c r="AG302" s="128" cm="1">
        <f t="array" ref="AG302">AG304</f>
        <v>3.6335976716</v>
      </c>
      <c r="AH302" s="171">
        <f t="shared" si="76"/>
        <v>-1.0225600185999997</v>
      </c>
      <c r="AI302" s="128">
        <v>3.770000145</v>
      </c>
      <c r="AJ302" s="128">
        <v>5.9193670646000003</v>
      </c>
      <c r="AK302" s="778">
        <f t="shared" ref="AK302:AS302" ca="1" si="80">IF(AK301=0,0,(AK295-AK299*AK300)/AK301)</f>
        <v>0</v>
      </c>
      <c r="AL302" s="778">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v>4.3659999999999997</v>
      </c>
      <c r="AU302" s="778">
        <f t="shared" ref="AU302:BC302" ca="1" si="81">IF(AU301=0,0,(AU295-AU299*AU300)/AU301)</f>
        <v>0</v>
      </c>
      <c r="AV302" s="778">
        <f t="shared" ca="1" si="81"/>
        <v>0</v>
      </c>
      <c r="AW302" s="128">
        <f t="shared" ca="1" si="81"/>
        <v>0</v>
      </c>
      <c r="AX302" s="128">
        <f t="shared" ca="1" si="81"/>
        <v>0</v>
      </c>
      <c r="AY302" s="128">
        <f t="shared" ca="1" si="81"/>
        <v>0</v>
      </c>
      <c r="AZ302" s="128">
        <f t="shared" ca="1" si="81"/>
        <v>0</v>
      </c>
      <c r="BA302" s="128">
        <f t="shared" ca="1" si="81"/>
        <v>0</v>
      </c>
      <c r="BB302" s="128">
        <f t="shared" ca="1" si="81"/>
        <v>0</v>
      </c>
      <c r="BC302" s="128">
        <f t="shared" ca="1" si="81"/>
        <v>0</v>
      </c>
      <c r="BD302" s="542"/>
      <c r="BE302" s="542"/>
      <c r="BF302" s="542"/>
      <c r="BG302" s="542"/>
      <c r="BH302" s="542"/>
      <c r="BI302" s="542"/>
      <c r="BJ302" s="542"/>
      <c r="BK302" s="542"/>
      <c r="BL302" s="542"/>
      <c r="BM302" s="542"/>
      <c r="BN302" s="196"/>
      <c r="BO302" s="196"/>
      <c r="BP302" s="196"/>
      <c r="BS302" s="694" t="s">
        <v>1903</v>
      </c>
    </row>
    <row r="303" spans="1:75" ht="30.4" customHeight="1" x14ac:dyDescent="0.25">
      <c r="D303" s="25" cm="1">
        <f t="array" ref="D303">D302</f>
        <v>11</v>
      </c>
      <c r="E303" s="507">
        <v>15</v>
      </c>
      <c r="F303" s="3" t="str" cm="1">
        <f t="array" aca="1" ref="F303" ca="1">OFFSET(E303,-1,1)</f>
        <v>1</v>
      </c>
      <c r="I303" s="72" t="s">
        <v>2218</v>
      </c>
      <c r="K303" s="72" t="s">
        <v>2218</v>
      </c>
      <c r="L303" s="25" t="s">
        <v>1904</v>
      </c>
      <c r="M303" s="25"/>
      <c r="T303" s="353" t="b" cm="1">
        <f t="array" aca="1" ref="T303" ca="1">T302</f>
        <v>1</v>
      </c>
      <c r="X303" s="990"/>
      <c r="Z303" s="967"/>
      <c r="AB303" s="7" t="str">
        <f>D303&amp;".5"</f>
        <v>11.5</v>
      </c>
      <c r="AC303" s="127" t="s">
        <v>1906</v>
      </c>
      <c r="AD303" s="7" t="s">
        <v>476</v>
      </c>
      <c r="AE303" s="171">
        <f>IF(AE300=0,0,AE302/AE300*100)</f>
        <v>109.75251420378459</v>
      </c>
      <c r="AF303" s="171">
        <f>IF(AF300=0,0,AF302/AF300*100)</f>
        <v>100</v>
      </c>
      <c r="AG303" s="171">
        <f>IF(AG300=0,0,AG302/AG300*100)</f>
        <v>100</v>
      </c>
      <c r="AH303" s="542"/>
      <c r="AI303" s="171">
        <f t="shared" ref="AI303:BC303" si="82">IF(AI300=0,0,AI302/AI300*100)</f>
        <v>100.00003400796783</v>
      </c>
      <c r="AJ303" s="171">
        <f t="shared" si="82"/>
        <v>100</v>
      </c>
      <c r="AK303" s="171">
        <f t="shared" si="82"/>
        <v>0</v>
      </c>
      <c r="AL303" s="171">
        <f t="shared" si="82"/>
        <v>0</v>
      </c>
      <c r="AM303" s="171">
        <f t="shared" si="82"/>
        <v>0</v>
      </c>
      <c r="AN303" s="171">
        <f t="shared" si="82"/>
        <v>0</v>
      </c>
      <c r="AO303" s="171">
        <f t="shared" si="82"/>
        <v>0</v>
      </c>
      <c r="AP303" s="171">
        <f t="shared" si="82"/>
        <v>0</v>
      </c>
      <c r="AQ303" s="171">
        <f t="shared" si="82"/>
        <v>0</v>
      </c>
      <c r="AR303" s="171">
        <f t="shared" si="82"/>
        <v>0</v>
      </c>
      <c r="AS303" s="171">
        <f t="shared" si="82"/>
        <v>0</v>
      </c>
      <c r="AT303" s="171">
        <f t="shared" si="82"/>
        <v>115.80901856763926</v>
      </c>
      <c r="AU303" s="171">
        <f t="shared" ca="1" si="82"/>
        <v>0</v>
      </c>
      <c r="AV303" s="171">
        <f t="shared" ca="1" si="82"/>
        <v>0</v>
      </c>
      <c r="AW303" s="171">
        <f t="shared" ca="1" si="82"/>
        <v>0</v>
      </c>
      <c r="AX303" s="171">
        <f t="shared" ca="1" si="82"/>
        <v>0</v>
      </c>
      <c r="AY303" s="171">
        <f t="shared" ca="1" si="82"/>
        <v>0</v>
      </c>
      <c r="AZ303" s="171">
        <f t="shared" ca="1" si="82"/>
        <v>0</v>
      </c>
      <c r="BA303" s="171">
        <f t="shared" ca="1" si="82"/>
        <v>0</v>
      </c>
      <c r="BB303" s="171">
        <f t="shared" ca="1" si="82"/>
        <v>0</v>
      </c>
      <c r="BC303" s="171">
        <f t="shared" ca="1" si="82"/>
        <v>0</v>
      </c>
      <c r="BD303" s="542"/>
      <c r="BE303" s="542"/>
      <c r="BF303" s="542"/>
      <c r="BG303" s="542"/>
      <c r="BH303" s="542"/>
      <c r="BI303" s="542"/>
      <c r="BJ303" s="542"/>
      <c r="BK303" s="542"/>
      <c r="BL303" s="542"/>
      <c r="BM303" s="542"/>
      <c r="BN303" s="196"/>
      <c r="BO303" s="196"/>
      <c r="BP303" s="196"/>
      <c r="BS303" s="694" t="s">
        <v>1907</v>
      </c>
    </row>
    <row r="304" spans="1:75" ht="44.25" customHeight="1" x14ac:dyDescent="0.25">
      <c r="D304" s="25" cm="1">
        <f t="array" ref="D304">D303</f>
        <v>11</v>
      </c>
      <c r="E304" s="507">
        <v>15</v>
      </c>
      <c r="F304" s="3" t="str" cm="1">
        <f t="array" aca="1" ref="F304" ca="1">OFFSET(E304,-1,1)</f>
        <v>1</v>
      </c>
      <c r="I304" s="72" t="s">
        <v>2219</v>
      </c>
      <c r="K304" s="72" t="s">
        <v>2219</v>
      </c>
      <c r="L304" s="25" t="s">
        <v>1908</v>
      </c>
      <c r="M304" s="25"/>
      <c r="T304" s="353" t="b" cm="1">
        <f t="array" aca="1" ref="T304" ca="1">T303</f>
        <v>1</v>
      </c>
      <c r="X304" s="990"/>
      <c r="Z304" s="967"/>
      <c r="AB304" s="7" t="str">
        <f>D304&amp;".6"</f>
        <v>11.6</v>
      </c>
      <c r="AC304" s="127" t="s">
        <v>1910</v>
      </c>
      <c r="AD304" s="7" t="s">
        <v>1644</v>
      </c>
      <c r="AE304" s="128">
        <v>3.6024994315000001</v>
      </c>
      <c r="AF304" s="128">
        <v>4.6561576901999997</v>
      </c>
      <c r="AG304" s="128">
        <v>3.6335976716</v>
      </c>
      <c r="AH304" s="171">
        <f>AG304-AF304</f>
        <v>-1.0225600185999997</v>
      </c>
      <c r="AI304" s="128">
        <v>3.770000145</v>
      </c>
      <c r="AJ304" s="128">
        <v>5.9193670646000003</v>
      </c>
      <c r="AK304" s="778">
        <f t="shared" ref="AK304:AS304" ca="1" si="83">IF(AK298=0,0,AK295/AK298)</f>
        <v>0</v>
      </c>
      <c r="AL304" s="778">
        <f t="shared" ca="1" si="83"/>
        <v>0</v>
      </c>
      <c r="AM304" s="128">
        <f t="shared" ca="1" si="83"/>
        <v>0</v>
      </c>
      <c r="AN304" s="128">
        <f t="shared" ca="1" si="83"/>
        <v>0</v>
      </c>
      <c r="AO304" s="128">
        <f t="shared" ca="1" si="83"/>
        <v>0</v>
      </c>
      <c r="AP304" s="128">
        <f t="shared" ca="1" si="83"/>
        <v>0</v>
      </c>
      <c r="AQ304" s="128">
        <f t="shared" ca="1" si="83"/>
        <v>0</v>
      </c>
      <c r="AR304" s="128">
        <f t="shared" ca="1" si="83"/>
        <v>0</v>
      </c>
      <c r="AS304" s="128">
        <f t="shared" ca="1" si="83"/>
        <v>0</v>
      </c>
      <c r="AT304" s="128">
        <v>3.9189991128999999</v>
      </c>
      <c r="AU304" s="778">
        <f t="shared" ref="AU304:BC304" ca="1" si="84">IF(AU298=0,0,AU295/AU298)</f>
        <v>0</v>
      </c>
      <c r="AV304" s="778">
        <f t="shared" ca="1" si="84"/>
        <v>0</v>
      </c>
      <c r="AW304" s="128">
        <f t="shared" ca="1" si="84"/>
        <v>0</v>
      </c>
      <c r="AX304" s="128">
        <f t="shared" ca="1" si="84"/>
        <v>0</v>
      </c>
      <c r="AY304" s="128">
        <f t="shared" ca="1" si="84"/>
        <v>0</v>
      </c>
      <c r="AZ304" s="128">
        <f t="shared" ca="1" si="84"/>
        <v>0</v>
      </c>
      <c r="BA304" s="128">
        <f t="shared" ca="1" si="84"/>
        <v>0</v>
      </c>
      <c r="BB304" s="128">
        <f t="shared" ca="1" si="84"/>
        <v>0</v>
      </c>
      <c r="BC304" s="128">
        <f t="shared" ca="1" si="84"/>
        <v>0</v>
      </c>
      <c r="BD304" s="542"/>
      <c r="BE304" s="542"/>
      <c r="BF304" s="542"/>
      <c r="BG304" s="542"/>
      <c r="BH304" s="542"/>
      <c r="BI304" s="542"/>
      <c r="BJ304" s="542"/>
      <c r="BK304" s="542"/>
      <c r="BL304" s="542"/>
      <c r="BM304" s="542"/>
      <c r="BN304" s="196"/>
      <c r="BO304" s="196"/>
      <c r="BP304" s="196" t="s">
        <v>2268</v>
      </c>
      <c r="BS304" s="694" t="s">
        <v>1911</v>
      </c>
    </row>
    <row r="305" spans="1:75" s="870" customFormat="1" ht="20.25" customHeight="1" x14ac:dyDescent="0.25">
      <c r="A305" s="76"/>
      <c r="B305" s="332"/>
      <c r="C305" s="76"/>
      <c r="D305" s="27">
        <f>D304+1</f>
        <v>12</v>
      </c>
      <c r="E305" s="511">
        <v>21</v>
      </c>
      <c r="F305" s="3" t="str" cm="1">
        <f t="array" aca="1" ref="F305" ca="1">OFFSET(E305,-1,1)</f>
        <v>1</v>
      </c>
      <c r="G305" s="76"/>
      <c r="H305" s="72"/>
      <c r="I305" s="72" t="s">
        <v>1916</v>
      </c>
      <c r="J305" s="76"/>
      <c r="K305" s="72" t="s">
        <v>1916</v>
      </c>
      <c r="L305" s="27" t="s">
        <v>1912</v>
      </c>
      <c r="M305" s="27"/>
      <c r="N305" s="76"/>
      <c r="O305" s="76"/>
      <c r="P305" s="76"/>
      <c r="Q305" s="76"/>
      <c r="R305" s="76"/>
      <c r="S305" s="76"/>
      <c r="T305" s="353" t="b" cm="1">
        <f t="array" aca="1" ref="T305" ca="1">T304</f>
        <v>1</v>
      </c>
      <c r="U305" s="76"/>
      <c r="V305" s="76"/>
      <c r="W305" s="76"/>
      <c r="X305" s="990"/>
      <c r="Y305" s="76"/>
      <c r="Z305" s="967"/>
      <c r="AA305" s="76"/>
      <c r="AB305" s="124" cm="1">
        <f t="array" ref="AB305">D305</f>
        <v>12</v>
      </c>
      <c r="AC305" s="125" t="s">
        <v>1914</v>
      </c>
      <c r="AD305" s="124" t="s">
        <v>828</v>
      </c>
      <c r="AE305" s="138">
        <f ca="1">IF(AE298=0,0,AE295/AE298*AE306)</f>
        <v>0</v>
      </c>
      <c r="AF305" s="138">
        <f ca="1">IF(AF298=0,0,AF295/AF298*AF306)</f>
        <v>0</v>
      </c>
      <c r="AG305" s="138">
        <f ca="1">IF(AG298=0,0,AG295/AG298*AG306)</f>
        <v>0</v>
      </c>
      <c r="AH305" s="126">
        <f ca="1">AH307*AH308+AH309*AH310</f>
        <v>0</v>
      </c>
      <c r="AI305" s="138">
        <f t="shared" ref="AI305:BC305" ca="1" si="85">IF(AI298=0,0,AI295/AI298*AI306)</f>
        <v>0</v>
      </c>
      <c r="AJ305" s="138">
        <f t="shared" ca="1" si="85"/>
        <v>0</v>
      </c>
      <c r="AK305" s="774">
        <f t="shared" ca="1" si="85"/>
        <v>0</v>
      </c>
      <c r="AL305" s="774">
        <f t="shared" ca="1" si="85"/>
        <v>0</v>
      </c>
      <c r="AM305" s="138">
        <f t="shared" ca="1" si="85"/>
        <v>0</v>
      </c>
      <c r="AN305" s="138">
        <f t="shared" ca="1" si="85"/>
        <v>0</v>
      </c>
      <c r="AO305" s="138">
        <f t="shared" ca="1" si="85"/>
        <v>0</v>
      </c>
      <c r="AP305" s="138">
        <f t="shared" ca="1" si="85"/>
        <v>0</v>
      </c>
      <c r="AQ305" s="138">
        <f t="shared" ca="1" si="85"/>
        <v>0</v>
      </c>
      <c r="AR305" s="138">
        <f t="shared" ca="1" si="85"/>
        <v>0</v>
      </c>
      <c r="AS305" s="138">
        <f t="shared" ca="1" si="85"/>
        <v>0</v>
      </c>
      <c r="AT305" s="138">
        <f t="shared" ca="1" si="85"/>
        <v>0</v>
      </c>
      <c r="AU305" s="774">
        <f t="shared" ca="1" si="85"/>
        <v>0</v>
      </c>
      <c r="AV305" s="774">
        <f t="shared" ca="1" si="85"/>
        <v>0</v>
      </c>
      <c r="AW305" s="138">
        <f t="shared" ca="1" si="85"/>
        <v>0</v>
      </c>
      <c r="AX305" s="138">
        <f t="shared" ca="1" si="85"/>
        <v>0</v>
      </c>
      <c r="AY305" s="138">
        <f t="shared" ca="1" si="85"/>
        <v>0</v>
      </c>
      <c r="AZ305" s="138">
        <f t="shared" ca="1" si="85"/>
        <v>0</v>
      </c>
      <c r="BA305" s="138">
        <f t="shared" ca="1" si="85"/>
        <v>0</v>
      </c>
      <c r="BB305" s="138">
        <f t="shared" ca="1" si="85"/>
        <v>0</v>
      </c>
      <c r="BC305" s="138">
        <f t="shared" ca="1" si="85"/>
        <v>0</v>
      </c>
      <c r="BD305" s="126">
        <f ca="1">IF(AI305=0,0,(AT305-AI305)/AI305*100)</f>
        <v>0</v>
      </c>
      <c r="BE305" s="126">
        <f t="shared" ref="BE305:BM305" ca="1" si="86">IF(AT305=0,0,(AU305-AT305)/AT305*100)</f>
        <v>0</v>
      </c>
      <c r="BF305" s="126">
        <f t="shared" ca="1" si="86"/>
        <v>0</v>
      </c>
      <c r="BG305" s="126">
        <f t="shared" ca="1" si="86"/>
        <v>0</v>
      </c>
      <c r="BH305" s="126">
        <f t="shared" ca="1" si="86"/>
        <v>0</v>
      </c>
      <c r="BI305" s="126">
        <f t="shared" ca="1" si="86"/>
        <v>0</v>
      </c>
      <c r="BJ305" s="126">
        <f t="shared" ca="1" si="86"/>
        <v>0</v>
      </c>
      <c r="BK305" s="126">
        <f t="shared" ca="1" si="86"/>
        <v>0</v>
      </c>
      <c r="BL305" s="126">
        <f t="shared" ca="1" si="86"/>
        <v>0</v>
      </c>
      <c r="BM305" s="126">
        <f t="shared" ca="1" si="86"/>
        <v>0</v>
      </c>
      <c r="BN305" s="196"/>
      <c r="BO305" s="196"/>
      <c r="BP305" s="196"/>
      <c r="BQ305" s="76"/>
      <c r="BR305" s="76"/>
      <c r="BS305" s="695" t="s">
        <v>1915</v>
      </c>
      <c r="BT305" s="702"/>
      <c r="BU305" s="702"/>
      <c r="BV305" s="511"/>
      <c r="BW305" s="511"/>
    </row>
    <row r="306" spans="1:75" s="870" customFormat="1" ht="20.25" customHeight="1" x14ac:dyDescent="0.25">
      <c r="A306" s="76"/>
      <c r="B306" s="332"/>
      <c r="C306" s="76"/>
      <c r="D306" s="27">
        <f>D305+1</f>
        <v>13</v>
      </c>
      <c r="E306" s="511">
        <v>21</v>
      </c>
      <c r="F306" s="3" t="str" cm="1">
        <f t="array" aca="1" ref="F306" ca="1">OFFSET(E306,-1,1)</f>
        <v>1</v>
      </c>
      <c r="G306" s="72" t="s">
        <v>1666</v>
      </c>
      <c r="H306" s="72"/>
      <c r="I306" s="72" t="s">
        <v>2220</v>
      </c>
      <c r="J306" s="76"/>
      <c r="K306" s="72" t="s">
        <v>2220</v>
      </c>
      <c r="L306" s="27" t="s">
        <v>1916</v>
      </c>
      <c r="M306" s="27"/>
      <c r="N306" s="76"/>
      <c r="O306" s="76"/>
      <c r="P306" s="76"/>
      <c r="Q306" s="76"/>
      <c r="R306" s="76"/>
      <c r="S306" s="76"/>
      <c r="T306" s="353" t="b" cm="1">
        <f t="array" aca="1" ref="T306" ca="1">T305</f>
        <v>1</v>
      </c>
      <c r="U306" s="76"/>
      <c r="V306" s="76"/>
      <c r="W306" s="76"/>
      <c r="X306" s="990"/>
      <c r="Y306" s="76"/>
      <c r="Z306" s="967"/>
      <c r="AA306" s="76"/>
      <c r="AB306" s="124" cm="1">
        <f t="array" ref="AB306">D306</f>
        <v>13</v>
      </c>
      <c r="AC306" s="125" t="s">
        <v>1918</v>
      </c>
      <c r="AD306" s="124" t="s">
        <v>558</v>
      </c>
      <c r="AE306" s="552">
        <f ca="1">SUMIFS(Баланс!AE$26:AE$391,Баланс!$F$26:$F$391,$F306,Баланс!$G$26:$G$391,"население")</f>
        <v>0</v>
      </c>
      <c r="AF306" s="552">
        <f ca="1">SUMIFS(Баланс!AF$26:AF$391,Баланс!$F$26:$F$391,$F306,Баланс!$G$26:$G$391,"население")</f>
        <v>0</v>
      </c>
      <c r="AG306" s="552">
        <f ca="1">SUMIFS(Баланс!AG$26:AG$391,Баланс!$F$26:$F$391,$F306,Баланс!$G$26:$G$391,"население")</f>
        <v>0</v>
      </c>
      <c r="AH306" s="552">
        <f ca="1">AG306-AF306</f>
        <v>0</v>
      </c>
      <c r="AI306" s="552">
        <f ca="1">SUMIFS(Баланс!AH$26:AH$391,Баланс!$F$26:$F$391,$F306,Баланс!$G$26:$G$391,"население")</f>
        <v>0</v>
      </c>
      <c r="AJ306" s="552">
        <f ca="1">SUMIFS(Баланс!AI$26:AI$391,Баланс!$F$26:$F$391,$F306,Баланс!$G$26:$G$391,"население")</f>
        <v>0</v>
      </c>
      <c r="AK306" s="552">
        <f ca="1">SUMIFS(Баланс!AJ$26:AJ$391,Баланс!$F$26:$F$391,$F306,Баланс!$G$26:$G$391,"население")</f>
        <v>0</v>
      </c>
      <c r="AL306" s="552">
        <f ca="1">SUMIFS(Баланс!AK$26:AK$391,Баланс!$F$26:$F$391,$F306,Баланс!$G$26:$G$391,"население")</f>
        <v>0</v>
      </c>
      <c r="AM306" s="552">
        <f ca="1">SUMIFS(Баланс!AL$26:AL$391,Баланс!$F$26:$F$391,$F306,Баланс!$G$26:$G$391,"население")</f>
        <v>0</v>
      </c>
      <c r="AN306" s="552">
        <f ca="1">SUMIFS(Баланс!AM$26:AM$391,Баланс!$F$26:$F$391,$F306,Баланс!$G$26:$G$391,"население")</f>
        <v>0</v>
      </c>
      <c r="AO306" s="552">
        <f ca="1">SUMIFS(Баланс!AN$26:AN$391,Баланс!$F$26:$F$391,$F306,Баланс!$G$26:$G$391,"население")</f>
        <v>0</v>
      </c>
      <c r="AP306" s="552">
        <f ca="1">SUMIFS(Баланс!AO$26:AO$391,Баланс!$F$26:$F$391,$F306,Баланс!$G$26:$G$391,"население")</f>
        <v>0</v>
      </c>
      <c r="AQ306" s="552">
        <f ca="1">SUMIFS(Баланс!AP$26:AP$391,Баланс!$F$26:$F$391,$F306,Баланс!$G$26:$G$391,"население")</f>
        <v>0</v>
      </c>
      <c r="AR306" s="552">
        <f ca="1">SUMIFS(Баланс!AQ$26:AQ$391,Баланс!$F$26:$F$391,$F306,Баланс!$G$26:$G$391,"население")</f>
        <v>0</v>
      </c>
      <c r="AS306" s="552">
        <f ca="1">SUMIFS(Баланс!AR$26:AR$391,Баланс!$F$26:$F$391,$F306,Баланс!$G$26:$G$391,"население")</f>
        <v>0</v>
      </c>
      <c r="AT306" s="552">
        <f ca="1">SUMIFS(Баланс!AS$26:AS$391,Баланс!$F$26:$F$391,$F306,Баланс!$G$26:$G$391,"население")</f>
        <v>0</v>
      </c>
      <c r="AU306" s="552">
        <f ca="1">SUMIFS(Баланс!AT$26:AT$391,Баланс!$F$26:$F$391,$F306,Баланс!$G$26:$G$391,"население")</f>
        <v>0</v>
      </c>
      <c r="AV306" s="552">
        <f ca="1">SUMIFS(Баланс!AU$26:AU$391,Баланс!$F$26:$F$391,$F306,Баланс!$G$26:$G$391,"население")</f>
        <v>0</v>
      </c>
      <c r="AW306" s="552">
        <f ca="1">SUMIFS(Баланс!AV$26:AV$391,Баланс!$F$26:$F$391,$F306,Баланс!$G$26:$G$391,"население")</f>
        <v>0</v>
      </c>
      <c r="AX306" s="552">
        <f ca="1">SUMIFS(Баланс!AW$26:AW$391,Баланс!$F$26:$F$391,$F306,Баланс!$G$26:$G$391,"население")</f>
        <v>0</v>
      </c>
      <c r="AY306" s="552">
        <f ca="1">SUMIFS(Баланс!AX$26:AX$391,Баланс!$F$26:$F$391,$F306,Баланс!$G$26:$G$391,"население")</f>
        <v>0</v>
      </c>
      <c r="AZ306" s="552">
        <f ca="1">SUMIFS(Баланс!AY$26:AY$391,Баланс!$F$26:$F$391,$F306,Баланс!$G$26:$G$391,"население")</f>
        <v>0</v>
      </c>
      <c r="BA306" s="552">
        <f ca="1">SUMIFS(Баланс!AZ$26:AZ$391,Баланс!$F$26:$F$391,$F306,Баланс!$G$26:$G$391,"население")</f>
        <v>0</v>
      </c>
      <c r="BB306" s="552">
        <f ca="1">SUMIFS(Баланс!BA$26:BA$391,Баланс!$F$26:$F$391,$F306,Баланс!$G$26:$G$391,"население")</f>
        <v>0</v>
      </c>
      <c r="BC306" s="552">
        <f ca="1">SUMIFS(Баланс!BB$26:BB$391,Баланс!$F$26:$F$391,$F306,Баланс!$G$26:$G$391,"население")</f>
        <v>0</v>
      </c>
      <c r="BD306" s="129"/>
      <c r="BE306" s="129"/>
      <c r="BF306" s="129"/>
      <c r="BG306" s="129"/>
      <c r="BH306" s="129"/>
      <c r="BI306" s="129"/>
      <c r="BJ306" s="129"/>
      <c r="BK306" s="129"/>
      <c r="BL306" s="129"/>
      <c r="BM306" s="129"/>
      <c r="BN306" s="196"/>
      <c r="BO306" s="196"/>
      <c r="BP306" s="196"/>
      <c r="BQ306" s="76"/>
      <c r="BR306" s="76"/>
      <c r="BS306" s="695" t="s">
        <v>1919</v>
      </c>
      <c r="BT306" s="702"/>
      <c r="BU306" s="702"/>
      <c r="BV306" s="511"/>
      <c r="BW306" s="511"/>
    </row>
    <row r="307" spans="1:75" ht="14.25" customHeight="1" x14ac:dyDescent="0.25">
      <c r="D307" s="25" cm="1">
        <f t="array" ref="D307">D306</f>
        <v>13</v>
      </c>
      <c r="E307" s="507">
        <v>15</v>
      </c>
      <c r="F307" s="3" t="str" cm="1">
        <f t="array" aca="1" ref="F307" ca="1">OFFSET(E307,-1,1)</f>
        <v>1</v>
      </c>
      <c r="G307" s="72" t="s">
        <v>1700</v>
      </c>
      <c r="I307" s="72" t="s">
        <v>2221</v>
      </c>
      <c r="K307" s="72" t="s">
        <v>2221</v>
      </c>
      <c r="L307" s="25" t="s">
        <v>1920</v>
      </c>
      <c r="M307" s="25"/>
      <c r="T307" s="353" t="b" cm="1">
        <f t="array" aca="1" ref="T307" ca="1">T306</f>
        <v>1</v>
      </c>
      <c r="X307" s="990"/>
      <c r="Z307" s="967"/>
      <c r="AB307" s="7" t="str">
        <f>D307&amp;".1"</f>
        <v>13.1</v>
      </c>
      <c r="AC307" s="127" t="s">
        <v>1922</v>
      </c>
      <c r="AD307" s="7" t="s">
        <v>558</v>
      </c>
      <c r="AE307" s="444">
        <f ca="1">AE306/2</f>
        <v>0</v>
      </c>
      <c r="AF307" s="444">
        <f ca="1">AF306/2</f>
        <v>0</v>
      </c>
      <c r="AG307" s="444">
        <f ca="1">AG306/2</f>
        <v>0</v>
      </c>
      <c r="AH307" s="558">
        <f ca="1">AG307-AF307</f>
        <v>0</v>
      </c>
      <c r="AI307" s="444">
        <f ca="1">AI306/2</f>
        <v>0</v>
      </c>
      <c r="AJ307" s="444">
        <f ca="1">IF(god=2026,AJ306/12*9,AJ306/2)</f>
        <v>0</v>
      </c>
      <c r="AK307" s="776">
        <f ca="1">IF(god=2025,AK306/12*9,AK306/2)</f>
        <v>0</v>
      </c>
      <c r="AL307" s="776">
        <f t="shared" ref="AL307:AS307" ca="1" si="87">AL306/2</f>
        <v>0</v>
      </c>
      <c r="AM307" s="444">
        <f t="shared" ca="1" si="87"/>
        <v>0</v>
      </c>
      <c r="AN307" s="444">
        <f t="shared" ca="1" si="87"/>
        <v>0</v>
      </c>
      <c r="AO307" s="444">
        <f t="shared" ca="1" si="87"/>
        <v>0</v>
      </c>
      <c r="AP307" s="444">
        <f t="shared" ca="1" si="87"/>
        <v>0</v>
      </c>
      <c r="AQ307" s="444">
        <f t="shared" ca="1" si="87"/>
        <v>0</v>
      </c>
      <c r="AR307" s="444">
        <f t="shared" ca="1" si="87"/>
        <v>0</v>
      </c>
      <c r="AS307" s="444">
        <f t="shared" ca="1" si="87"/>
        <v>0</v>
      </c>
      <c r="AT307" s="444">
        <f ca="1">IF(god=2026,AT306/12*9,AT306/2)</f>
        <v>0</v>
      </c>
      <c r="AU307" s="776">
        <f ca="1">IF(god=2025,AU306/12*9,AU306/2)</f>
        <v>0</v>
      </c>
      <c r="AV307" s="776">
        <f t="shared" ref="AV307:BC307" ca="1" si="88">AV306/2</f>
        <v>0</v>
      </c>
      <c r="AW307" s="444">
        <f t="shared" ca="1" si="88"/>
        <v>0</v>
      </c>
      <c r="AX307" s="444">
        <f t="shared" ca="1" si="88"/>
        <v>0</v>
      </c>
      <c r="AY307" s="444">
        <f t="shared" ca="1" si="88"/>
        <v>0</v>
      </c>
      <c r="AZ307" s="444">
        <f t="shared" ca="1" si="88"/>
        <v>0</v>
      </c>
      <c r="BA307" s="444">
        <f t="shared" ca="1" si="88"/>
        <v>0</v>
      </c>
      <c r="BB307" s="444">
        <f t="shared" ca="1" si="88"/>
        <v>0</v>
      </c>
      <c r="BC307" s="444">
        <f t="shared" ca="1" si="88"/>
        <v>0</v>
      </c>
      <c r="BD307" s="542"/>
      <c r="BE307" s="542"/>
      <c r="BF307" s="542"/>
      <c r="BG307" s="542"/>
      <c r="BH307" s="542"/>
      <c r="BI307" s="542"/>
      <c r="BJ307" s="542"/>
      <c r="BK307" s="542"/>
      <c r="BL307" s="542"/>
      <c r="BM307" s="542"/>
      <c r="BN307" s="196"/>
      <c r="BO307" s="196"/>
      <c r="BP307" s="196"/>
      <c r="BS307" s="694" t="s">
        <v>1923</v>
      </c>
    </row>
    <row r="308" spans="1:75" ht="14.25" customHeight="1" x14ac:dyDescent="0.25">
      <c r="D308" s="25" cm="1">
        <f t="array" ref="D308">D307</f>
        <v>13</v>
      </c>
      <c r="E308" s="507">
        <v>15</v>
      </c>
      <c r="F308" s="3" t="str" cm="1">
        <f t="array" aca="1" ref="F308" ca="1">OFFSET(E308,-1,1)</f>
        <v>1</v>
      </c>
      <c r="G308" s="72" t="s">
        <v>1656</v>
      </c>
      <c r="I308" s="72" t="s">
        <v>2222</v>
      </c>
      <c r="K308" s="72" t="s">
        <v>2222</v>
      </c>
      <c r="L308" s="25" t="s">
        <v>1924</v>
      </c>
      <c r="M308" s="25"/>
      <c r="T308" s="353" t="b" cm="1">
        <f t="array" aca="1" ref="T308" ca="1">T307</f>
        <v>1</v>
      </c>
      <c r="X308" s="990"/>
      <c r="Z308" s="967"/>
      <c r="AB308" s="7" t="str">
        <f>D308&amp;".2"</f>
        <v>13.2</v>
      </c>
      <c r="AC308" s="127" t="s">
        <v>1926</v>
      </c>
      <c r="AD308" s="7" t="s">
        <v>1644</v>
      </c>
      <c r="AE308" s="128">
        <f ca="1">IF(AE306=0,0,AE300*(1+Сценарии!AE$26))</f>
        <v>0</v>
      </c>
      <c r="AF308" s="128">
        <f ca="1">IF(AF306=0,0,AF300*(1+Сценарии!AF$26))</f>
        <v>0</v>
      </c>
      <c r="AG308" s="128">
        <f ca="1">IF(AG306=0,0,AG300*(1+Сценарии!AG$26))</f>
        <v>0</v>
      </c>
      <c r="AH308" s="171">
        <f ca="1">AG308-AF308</f>
        <v>0</v>
      </c>
      <c r="AI308" s="128">
        <f ca="1">IF(AI306=0,0,AI300*(1+Сценарии!AI$26))</f>
        <v>0</v>
      </c>
      <c r="AJ308" s="128">
        <f ca="1">IF(AJ306=0,0,AJ300*(1+Сценарии!AJ$26))</f>
        <v>0</v>
      </c>
      <c r="AK308" s="778">
        <f ca="1">IF(AK306=0,0,AK300*(1+Сценарии!AO$26))</f>
        <v>0</v>
      </c>
      <c r="AL308" s="778">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78">
        <f ca="1">IF(AU306=0,0,AU300*(1+Сценарии!AX$26))</f>
        <v>0</v>
      </c>
      <c r="AV308" s="778">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2"/>
      <c r="BE308" s="542"/>
      <c r="BF308" s="542"/>
      <c r="BG308" s="542"/>
      <c r="BH308" s="542"/>
      <c r="BI308" s="542"/>
      <c r="BJ308" s="542"/>
      <c r="BK308" s="542"/>
      <c r="BL308" s="542"/>
      <c r="BM308" s="542"/>
      <c r="BN308" s="196"/>
      <c r="BO308" s="196"/>
      <c r="BP308" s="196"/>
      <c r="BS308" s="694" t="s">
        <v>1927</v>
      </c>
    </row>
    <row r="309" spans="1:75" ht="14.25" customHeight="1" x14ac:dyDescent="0.25">
      <c r="B309" s="15"/>
      <c r="C309" s="25"/>
      <c r="D309" s="25" cm="1">
        <f t="array" ref="D309">D308</f>
        <v>13</v>
      </c>
      <c r="E309" s="451">
        <v>15</v>
      </c>
      <c r="F309" s="3" t="str" cm="1">
        <f t="array" aca="1" ref="F309" ca="1">OFFSET(E309,-1,1)</f>
        <v>1</v>
      </c>
      <c r="G309" s="25" t="s">
        <v>1707</v>
      </c>
      <c r="H309" s="25"/>
      <c r="I309" s="25" t="s">
        <v>2223</v>
      </c>
      <c r="J309" s="25"/>
      <c r="K309" s="25" t="s">
        <v>2223</v>
      </c>
      <c r="L309" s="25" t="s">
        <v>1928</v>
      </c>
      <c r="M309" s="25"/>
      <c r="N309" s="25"/>
      <c r="O309" s="25"/>
      <c r="P309" s="25"/>
      <c r="Q309" s="25"/>
      <c r="R309" s="25"/>
      <c r="S309" s="25"/>
      <c r="T309" s="353" t="b" cm="1">
        <f t="array" aca="1" ref="T309" ca="1">T308</f>
        <v>1</v>
      </c>
      <c r="U309" s="25"/>
      <c r="V309" s="25"/>
      <c r="W309" s="25"/>
      <c r="X309" s="990"/>
      <c r="Z309" s="967"/>
      <c r="AB309" s="7" t="str">
        <f>D309&amp;".3"</f>
        <v>13.3</v>
      </c>
      <c r="AC309" s="127" t="s">
        <v>1898</v>
      </c>
      <c r="AD309" s="7" t="s">
        <v>558</v>
      </c>
      <c r="AE309" s="558">
        <f ca="1">AE306-AE307</f>
        <v>0</v>
      </c>
      <c r="AF309" s="558">
        <f ca="1">AF306-AF307</f>
        <v>0</v>
      </c>
      <c r="AG309" s="558">
        <f ca="1">AG306-AG307</f>
        <v>0</v>
      </c>
      <c r="AH309" s="558">
        <f ca="1">AG309-AF309</f>
        <v>0</v>
      </c>
      <c r="AI309" s="558">
        <f t="shared" ref="AI309:BC309" ca="1" si="89">AI306-AI307</f>
        <v>0</v>
      </c>
      <c r="AJ309" s="558">
        <f t="shared" ca="1" si="89"/>
        <v>0</v>
      </c>
      <c r="AK309" s="558">
        <f t="shared" ca="1" si="89"/>
        <v>0</v>
      </c>
      <c r="AL309" s="558">
        <f t="shared" ca="1" si="89"/>
        <v>0</v>
      </c>
      <c r="AM309" s="558">
        <f t="shared" ca="1" si="89"/>
        <v>0</v>
      </c>
      <c r="AN309" s="558">
        <f t="shared" ca="1" si="89"/>
        <v>0</v>
      </c>
      <c r="AO309" s="558">
        <f t="shared" ca="1" si="89"/>
        <v>0</v>
      </c>
      <c r="AP309" s="558">
        <f t="shared" ca="1" si="89"/>
        <v>0</v>
      </c>
      <c r="AQ309" s="558">
        <f t="shared" ca="1" si="89"/>
        <v>0</v>
      </c>
      <c r="AR309" s="558">
        <f t="shared" ca="1" si="89"/>
        <v>0</v>
      </c>
      <c r="AS309" s="558">
        <f t="shared" ca="1" si="89"/>
        <v>0</v>
      </c>
      <c r="AT309" s="558">
        <f t="shared" ca="1" si="89"/>
        <v>0</v>
      </c>
      <c r="AU309" s="558">
        <f t="shared" ca="1" si="89"/>
        <v>0</v>
      </c>
      <c r="AV309" s="558">
        <f t="shared" ca="1" si="89"/>
        <v>0</v>
      </c>
      <c r="AW309" s="558">
        <f t="shared" ca="1" si="89"/>
        <v>0</v>
      </c>
      <c r="AX309" s="558">
        <f t="shared" ca="1" si="89"/>
        <v>0</v>
      </c>
      <c r="AY309" s="558">
        <f t="shared" ca="1" si="89"/>
        <v>0</v>
      </c>
      <c r="AZ309" s="558">
        <f t="shared" ca="1" si="89"/>
        <v>0</v>
      </c>
      <c r="BA309" s="558">
        <f t="shared" ca="1" si="89"/>
        <v>0</v>
      </c>
      <c r="BB309" s="558">
        <f t="shared" ca="1" si="89"/>
        <v>0</v>
      </c>
      <c r="BC309" s="558">
        <f t="shared" ca="1" si="89"/>
        <v>0</v>
      </c>
      <c r="BD309" s="542"/>
      <c r="BE309" s="542"/>
      <c r="BF309" s="542"/>
      <c r="BG309" s="542"/>
      <c r="BH309" s="542"/>
      <c r="BI309" s="542"/>
      <c r="BJ309" s="542"/>
      <c r="BK309" s="542"/>
      <c r="BL309" s="542"/>
      <c r="BM309" s="542"/>
      <c r="BN309" s="196"/>
      <c r="BO309" s="196"/>
      <c r="BP309" s="196"/>
      <c r="BS309" s="694" t="s">
        <v>1930</v>
      </c>
    </row>
    <row r="310" spans="1:75" ht="14.25" customHeight="1" x14ac:dyDescent="0.25">
      <c r="B310" s="15"/>
      <c r="C310" s="25"/>
      <c r="D310" s="25" cm="1">
        <f t="array" ref="D310">D309</f>
        <v>13</v>
      </c>
      <c r="E310" s="451">
        <v>15</v>
      </c>
      <c r="F310" s="3" t="str" cm="1">
        <f t="array" aca="1" ref="F310" ca="1">OFFSET(E310,-1,1)</f>
        <v>1</v>
      </c>
      <c r="G310" s="25" t="s">
        <v>1660</v>
      </c>
      <c r="H310" s="25"/>
      <c r="I310" s="25" t="s">
        <v>2224</v>
      </c>
      <c r="J310" s="25"/>
      <c r="K310" s="25" t="s">
        <v>2224</v>
      </c>
      <c r="L310" s="25" t="s">
        <v>1931</v>
      </c>
      <c r="M310" s="25"/>
      <c r="N310" s="25"/>
      <c r="O310" s="25"/>
      <c r="P310" s="25"/>
      <c r="Q310" s="25"/>
      <c r="R310" s="25"/>
      <c r="S310" s="25"/>
      <c r="T310" s="353" t="b" cm="1">
        <f t="array" aca="1" ref="T310" ca="1">T309</f>
        <v>1</v>
      </c>
      <c r="U310" s="25"/>
      <c r="V310" s="25"/>
      <c r="W310" s="25"/>
      <c r="X310" s="990"/>
      <c r="Z310" s="967"/>
      <c r="AB310" s="7" t="str">
        <f>D310&amp;".4"</f>
        <v>13.4</v>
      </c>
      <c r="AC310" s="127" t="s">
        <v>1902</v>
      </c>
      <c r="AD310" s="7" t="s">
        <v>1644</v>
      </c>
      <c r="AE310" s="128">
        <f ca="1">IF(AE306=0,0,AE302*(1+Сценарии!AE$26))</f>
        <v>0</v>
      </c>
      <c r="AF310" s="128">
        <f ca="1">IF(AF306=0,0,AF302*(1+Сценарии!AF$26))</f>
        <v>0</v>
      </c>
      <c r="AG310" s="128">
        <f ca="1">IF(AG306=0,0,AG302*(1+Сценарии!AG$26))</f>
        <v>0</v>
      </c>
      <c r="AH310" s="171">
        <f ca="1">AG310-AF310</f>
        <v>0</v>
      </c>
      <c r="AI310" s="128">
        <f ca="1">IF(AI306=0,0,AI302*(1+Сценарии!AI$26))</f>
        <v>0</v>
      </c>
      <c r="AJ310" s="128">
        <f ca="1">IF(AJ306=0,0,AJ302*(1+Сценарии!AJ$26))</f>
        <v>0</v>
      </c>
      <c r="AK310" s="778">
        <f ca="1">IF(AK306=0,0,AK302*(1+Сценарии!AO$26))</f>
        <v>0</v>
      </c>
      <c r="AL310" s="778">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0</v>
      </c>
      <c r="AU310" s="778">
        <f ca="1">IF(AU306=0,0,AU302*(1+Сценарии!AX$26))</f>
        <v>0</v>
      </c>
      <c r="AV310" s="778">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2"/>
      <c r="BE310" s="542"/>
      <c r="BF310" s="542"/>
      <c r="BG310" s="542"/>
      <c r="BH310" s="542"/>
      <c r="BI310" s="542"/>
      <c r="BJ310" s="542"/>
      <c r="BK310" s="542"/>
      <c r="BL310" s="542"/>
      <c r="BM310" s="542"/>
      <c r="BN310" s="196"/>
      <c r="BO310" s="196"/>
      <c r="BP310" s="196"/>
      <c r="BS310" s="694" t="s">
        <v>1934</v>
      </c>
    </row>
    <row r="311" spans="1:75" ht="14.25" customHeight="1" x14ac:dyDescent="0.25">
      <c r="B311" s="15"/>
      <c r="C311" s="25"/>
      <c r="D311" s="25">
        <f>D310+1</f>
        <v>14</v>
      </c>
      <c r="E311" s="451">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990"/>
      <c r="Z311" s="967"/>
      <c r="AB311" s="124" cm="1">
        <f t="array" ref="AB311">D311</f>
        <v>14</v>
      </c>
      <c r="AC311" s="125" t="s">
        <v>1936</v>
      </c>
      <c r="AD311" s="124" t="s">
        <v>828</v>
      </c>
      <c r="AE311" s="128"/>
      <c r="AF311" s="128"/>
      <c r="AG311" s="128"/>
      <c r="AH311" s="171"/>
      <c r="AI311" s="128"/>
      <c r="AJ311" s="128"/>
      <c r="AK311" s="778"/>
      <c r="AL311" s="778"/>
      <c r="AM311" s="128"/>
      <c r="AN311" s="128"/>
      <c r="AO311" s="128"/>
      <c r="AP311" s="128"/>
      <c r="AQ311" s="128"/>
      <c r="AR311" s="128"/>
      <c r="AS311" s="128"/>
      <c r="AT311" s="128"/>
      <c r="AU311" s="778"/>
      <c r="AV311" s="778"/>
      <c r="AW311" s="128"/>
      <c r="AX311" s="128"/>
      <c r="AY311" s="128"/>
      <c r="AZ311" s="128"/>
      <c r="BA311" s="128"/>
      <c r="BB311" s="128"/>
      <c r="BC311" s="128"/>
      <c r="BD311" s="542"/>
      <c r="BE311" s="542"/>
      <c r="BF311" s="542"/>
      <c r="BG311" s="542"/>
      <c r="BH311" s="542"/>
      <c r="BI311" s="542"/>
      <c r="BJ311" s="542"/>
      <c r="BK311" s="542"/>
      <c r="BL311" s="542"/>
      <c r="BM311" s="542"/>
      <c r="BN311" s="196"/>
      <c r="BO311" s="196"/>
      <c r="BP311" s="196"/>
      <c r="BS311" s="694" t="s">
        <v>1937</v>
      </c>
    </row>
    <row r="312" spans="1:75" ht="39.200000000000003" customHeight="1" x14ac:dyDescent="0.25">
      <c r="B312" s="15"/>
      <c r="C312" s="25"/>
      <c r="D312" s="25" cm="1">
        <f t="array" ref="D312">D311</f>
        <v>14</v>
      </c>
      <c r="E312" s="451">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990"/>
      <c r="Z312" s="967"/>
      <c r="AB312" s="7" t="str">
        <f>D312&amp;".1"</f>
        <v>14.1</v>
      </c>
      <c r="AC312" s="127" t="s">
        <v>1939</v>
      </c>
      <c r="AD312" s="7" t="s">
        <v>828</v>
      </c>
      <c r="AE312" s="128"/>
      <c r="AF312" s="128"/>
      <c r="AG312" s="128"/>
      <c r="AH312" s="171">
        <f>AG312-AF312</f>
        <v>0</v>
      </c>
      <c r="AI312" s="128"/>
      <c r="AJ312" s="128"/>
      <c r="AK312" s="778"/>
      <c r="AL312" s="778"/>
      <c r="AM312" s="128"/>
      <c r="AN312" s="128"/>
      <c r="AO312" s="128"/>
      <c r="AP312" s="128"/>
      <c r="AQ312" s="128"/>
      <c r="AR312" s="128"/>
      <c r="AS312" s="128"/>
      <c r="AT312" s="128"/>
      <c r="AU312" s="778"/>
      <c r="AV312" s="778"/>
      <c r="AW312" s="128"/>
      <c r="AX312" s="128"/>
      <c r="AY312" s="128"/>
      <c r="AZ312" s="128"/>
      <c r="BA312" s="128"/>
      <c r="BB312" s="128"/>
      <c r="BC312" s="128"/>
      <c r="BD312" s="542"/>
      <c r="BE312" s="542"/>
      <c r="BF312" s="542"/>
      <c r="BG312" s="542"/>
      <c r="BH312" s="542"/>
      <c r="BI312" s="542"/>
      <c r="BJ312" s="542"/>
      <c r="BK312" s="542"/>
      <c r="BL312" s="542"/>
      <c r="BM312" s="542"/>
      <c r="BN312" s="196"/>
      <c r="BO312" s="196"/>
      <c r="BP312" s="196"/>
      <c r="BS312" s="694" t="s">
        <v>1940</v>
      </c>
      <c r="BT312" s="703"/>
      <c r="BU312" s="703"/>
      <c r="BV312" s="704"/>
      <c r="BW312" s="704"/>
    </row>
    <row r="313" spans="1:75" ht="64.5" customHeight="1" x14ac:dyDescent="0.25">
      <c r="B313" s="15"/>
      <c r="C313" s="25"/>
      <c r="D313" s="25" cm="1">
        <f t="array" ref="D313">D312</f>
        <v>14</v>
      </c>
      <c r="E313" s="451">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990"/>
      <c r="Z313" s="967"/>
      <c r="AB313" s="7" t="str">
        <f>D313&amp;".2"</f>
        <v>14.2</v>
      </c>
      <c r="AC313" s="127" t="s">
        <v>1942</v>
      </c>
      <c r="AD313" s="7" t="s">
        <v>828</v>
      </c>
      <c r="AE313" s="128"/>
      <c r="AF313" s="128"/>
      <c r="AG313" s="128"/>
      <c r="AH313" s="171">
        <f>AG313-AF313</f>
        <v>0</v>
      </c>
      <c r="AI313" s="128"/>
      <c r="AJ313" s="128"/>
      <c r="AK313" s="778"/>
      <c r="AL313" s="778"/>
      <c r="AM313" s="128"/>
      <c r="AN313" s="128"/>
      <c r="AO313" s="128"/>
      <c r="AP313" s="128"/>
      <c r="AQ313" s="128"/>
      <c r="AR313" s="128"/>
      <c r="AS313" s="128"/>
      <c r="AT313" s="128"/>
      <c r="AU313" s="778"/>
      <c r="AV313" s="778"/>
      <c r="AW313" s="128"/>
      <c r="AX313" s="128"/>
      <c r="AY313" s="128"/>
      <c r="AZ313" s="128"/>
      <c r="BA313" s="128"/>
      <c r="BB313" s="128"/>
      <c r="BC313" s="128"/>
      <c r="BD313" s="542"/>
      <c r="BE313" s="542"/>
      <c r="BF313" s="542"/>
      <c r="BG313" s="542"/>
      <c r="BH313" s="542"/>
      <c r="BI313" s="542"/>
      <c r="BJ313" s="542"/>
      <c r="BK313" s="542"/>
      <c r="BL313" s="542"/>
      <c r="BM313" s="542"/>
      <c r="BN313" s="196"/>
      <c r="BO313" s="196"/>
      <c r="BP313" s="196"/>
      <c r="BS313" s="694" t="s">
        <v>1943</v>
      </c>
      <c r="BT313" s="703"/>
      <c r="BU313" s="703"/>
      <c r="BV313" s="704"/>
      <c r="BW313" s="704"/>
    </row>
    <row r="314" spans="1:75" ht="44.25" customHeight="1" x14ac:dyDescent="0.15">
      <c r="A314" s="376"/>
      <c r="B314" s="537"/>
      <c r="C314" s="25"/>
      <c r="D314" s="25" cm="1">
        <f t="array" ref="D314">D313</f>
        <v>14</v>
      </c>
      <c r="E314" s="451">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990"/>
      <c r="Y314" s="376"/>
      <c r="Z314" s="967"/>
      <c r="AA314" s="376"/>
      <c r="AB314" s="7" t="str">
        <f>D314&amp;".3"</f>
        <v>14.3</v>
      </c>
      <c r="AC314" s="127" t="s">
        <v>2225</v>
      </c>
      <c r="AD314" s="7" t="s">
        <v>828</v>
      </c>
      <c r="AE314" s="542"/>
      <c r="AF314" s="128"/>
      <c r="AG314" s="128"/>
      <c r="AH314" s="171">
        <f>AG314-AF314</f>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6"/>
      <c r="BO314" s="196"/>
      <c r="BP314" s="196"/>
      <c r="BS314" s="703" t="s">
        <v>2226</v>
      </c>
      <c r="BT314" s="703"/>
      <c r="BU314" s="703"/>
      <c r="BV314" s="704"/>
      <c r="BW314" s="704"/>
    </row>
    <row r="315" spans="1:75" s="396" customFormat="1" ht="30.75" customHeight="1" x14ac:dyDescent="0.15">
      <c r="A315" s="38"/>
      <c r="B315" s="43"/>
      <c r="C315" s="38"/>
      <c r="D315" s="38"/>
      <c r="E315" s="448">
        <v>15</v>
      </c>
      <c r="F315" s="17" t="str" cm="1">
        <f t="array" ref="F315">X315</f>
        <v>2</v>
      </c>
      <c r="G315" s="17" t="str" cm="1">
        <f t="array" ref="G315">INDEX('Общие сведения'!$AK$179:$AK$236,MATCH($X315,'Общие сведения'!$Z$179:$Z$236,0))</f>
        <v>одноставочный</v>
      </c>
      <c r="H315" s="38"/>
      <c r="I315" s="17"/>
      <c r="J315" s="38"/>
      <c r="K315" s="38"/>
      <c r="L315" s="22"/>
      <c r="M315" s="22"/>
      <c r="N315" s="38"/>
      <c r="O315" s="38"/>
      <c r="P315" s="38"/>
      <c r="Q315" s="38"/>
      <c r="R315" s="38"/>
      <c r="S315" s="38" t="str" cm="1">
        <f t="array" ref="S315">INDEX('Общие сведения'!$AE$179:$AE$236,MATCH($X315,'Общие сведения'!$Z$179:$Z$236,0))</f>
        <v>Водоотведение</v>
      </c>
      <c r="T315" s="353" t="b">
        <f>X315&gt;0</f>
        <v>1</v>
      </c>
      <c r="U315" s="38"/>
      <c r="V315" s="38" t="str" cm="1">
        <f t="array" ref="V315">'Калькуляция (МИ)'!$AB$315</f>
        <v>Тариф 2 (Водоотведение) - тариф на водоотведение</v>
      </c>
      <c r="W315" s="38"/>
      <c r="X315" s="990" t="s">
        <v>285</v>
      </c>
      <c r="Y315" s="38"/>
      <c r="Z315" s="967"/>
      <c r="AA315" s="38"/>
      <c r="AB315" s="280" t="str" cm="1">
        <f t="array" ref="AB315">'Калькуляция (МИ)'!$AB$315</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6"/>
      <c r="BT315" s="656"/>
      <c r="BU315" s="656"/>
      <c r="BV315" s="448"/>
      <c r="BW315" s="448"/>
    </row>
    <row r="316" spans="1:75" s="869" customFormat="1" ht="124.15" customHeight="1" x14ac:dyDescent="0.15">
      <c r="A316" s="75"/>
      <c r="B316" s="331"/>
      <c r="C316" s="75"/>
      <c r="D316" s="75"/>
      <c r="E316" s="509">
        <v>21</v>
      </c>
      <c r="F316" s="3" t="str" cm="1">
        <f t="array" aca="1" ref="F316" ca="1">OFFSET(E316,-1,1)</f>
        <v>2</v>
      </c>
      <c r="G316" s="75"/>
      <c r="H316" s="276"/>
      <c r="I316" s="276" t="s">
        <v>331</v>
      </c>
      <c r="J316" s="75"/>
      <c r="K316" s="276" t="s">
        <v>331</v>
      </c>
      <c r="L316" s="575"/>
      <c r="M316" s="575"/>
      <c r="N316" s="75"/>
      <c r="O316" s="75"/>
      <c r="P316" s="75"/>
      <c r="Q316" s="75"/>
      <c r="R316" s="75" t="s">
        <v>2324</v>
      </c>
      <c r="S316" s="75"/>
      <c r="T316" s="353" t="b" cm="1">
        <f t="array" ref="T316">T315</f>
        <v>1</v>
      </c>
      <c r="U316" s="75"/>
      <c r="V316" s="75"/>
      <c r="W316" s="75"/>
      <c r="X316" s="990"/>
      <c r="Y316" s="75"/>
      <c r="Z316" s="967"/>
      <c r="AA316" s="75"/>
      <c r="AB316" s="160" t="s">
        <v>275</v>
      </c>
      <c r="AC316" s="125" t="s">
        <v>1950</v>
      </c>
      <c r="AD316" s="147" t="s">
        <v>828</v>
      </c>
      <c r="AE316" s="126">
        <f ca="1">SUM(AE318,AE335,AE341,AE361,AE362,AE363)</f>
        <v>9550.3568403616009</v>
      </c>
      <c r="AF316" s="126">
        <f ca="1">SUM(AF318,AF335,AF341,AF361,AF362,AF363)</f>
        <v>21978.175194715997</v>
      </c>
      <c r="AG316" s="126">
        <f ca="1">SUM(AG318,AG335,AG341,AG361,AG362,AG363)</f>
        <v>9550.3568403616009</v>
      </c>
      <c r="AH316" s="126">
        <f t="shared" ref="AH316:AH347" ca="1" si="90">AG316-AF316</f>
        <v>-12427.818354354396</v>
      </c>
      <c r="AI316" s="138">
        <v>9851.9599999999991</v>
      </c>
      <c r="AJ316" s="138">
        <v>24671.512199335099</v>
      </c>
      <c r="AK316" s="774">
        <f t="shared" ref="AK316:AS316" ca="1" si="91">AJ316*AK317</f>
        <v>24671.512199335099</v>
      </c>
      <c r="AL316" s="774">
        <f t="shared" ca="1" si="91"/>
        <v>24671.512199335099</v>
      </c>
      <c r="AM316" s="138">
        <f t="shared" ca="1" si="91"/>
        <v>24671.512199335099</v>
      </c>
      <c r="AN316" s="138">
        <f t="shared" ca="1" si="91"/>
        <v>24671.512199335099</v>
      </c>
      <c r="AO316" s="138">
        <f t="shared" ca="1" si="91"/>
        <v>24671.512199335099</v>
      </c>
      <c r="AP316" s="138">
        <f t="shared" ca="1" si="91"/>
        <v>24671.512199335099</v>
      </c>
      <c r="AQ316" s="138">
        <f t="shared" ca="1" si="91"/>
        <v>24671.512199335099</v>
      </c>
      <c r="AR316" s="138">
        <f t="shared" ca="1" si="91"/>
        <v>24671.512199335099</v>
      </c>
      <c r="AS316" s="138">
        <f t="shared" ca="1" si="91"/>
        <v>24671.512199335099</v>
      </c>
      <c r="AT316" s="138">
        <v>10329.040000000001</v>
      </c>
      <c r="AU316" s="774">
        <f t="shared" ref="AU316:BC316" ca="1" si="92">AT316*AU317</f>
        <v>10329.040000000001</v>
      </c>
      <c r="AV316" s="774">
        <f t="shared" ca="1" si="92"/>
        <v>10329.040000000001</v>
      </c>
      <c r="AW316" s="138">
        <f t="shared" ca="1" si="92"/>
        <v>10329.040000000001</v>
      </c>
      <c r="AX316" s="138">
        <f t="shared" ca="1" si="92"/>
        <v>10329.040000000001</v>
      </c>
      <c r="AY316" s="138">
        <f t="shared" ca="1" si="92"/>
        <v>10329.040000000001</v>
      </c>
      <c r="AZ316" s="138">
        <f t="shared" ca="1" si="92"/>
        <v>10329.040000000001</v>
      </c>
      <c r="BA316" s="138">
        <f t="shared" ca="1" si="92"/>
        <v>10329.040000000001</v>
      </c>
      <c r="BB316" s="138">
        <f t="shared" ca="1" si="92"/>
        <v>10329.040000000001</v>
      </c>
      <c r="BC316" s="138">
        <f t="shared" ca="1" si="92"/>
        <v>10329.040000000001</v>
      </c>
      <c r="BD316" s="126">
        <f>IF(AI316=0,0,(AT316-AI316)/AI316*100)</f>
        <v>4.8424881952423862</v>
      </c>
      <c r="BE316" s="126">
        <f t="shared" ref="BE316:BM316" ca="1" si="93">IF(AT316=0,0,(AU316-AT316)/AT316*100)</f>
        <v>0</v>
      </c>
      <c r="BF316" s="126">
        <f t="shared" ca="1" si="93"/>
        <v>0</v>
      </c>
      <c r="BG316" s="126">
        <f t="shared" ca="1" si="93"/>
        <v>0</v>
      </c>
      <c r="BH316" s="126">
        <f t="shared" ca="1" si="93"/>
        <v>0</v>
      </c>
      <c r="BI316" s="126">
        <f t="shared" ca="1" si="93"/>
        <v>0</v>
      </c>
      <c r="BJ316" s="126">
        <f t="shared" ca="1" si="93"/>
        <v>0</v>
      </c>
      <c r="BK316" s="126">
        <f t="shared" ca="1" si="93"/>
        <v>0</v>
      </c>
      <c r="BL316" s="126">
        <f t="shared" ca="1" si="93"/>
        <v>0</v>
      </c>
      <c r="BM316" s="126">
        <f t="shared" ca="1" si="93"/>
        <v>0</v>
      </c>
      <c r="BN316" s="196"/>
      <c r="BO316" s="196" t="s">
        <v>2228</v>
      </c>
      <c r="BP316" s="196" t="s">
        <v>2229</v>
      </c>
      <c r="BQ316" s="74"/>
      <c r="BR316" s="75"/>
      <c r="BS316" s="700" t="s">
        <v>550</v>
      </c>
      <c r="BT316" s="700"/>
      <c r="BU316" s="700"/>
      <c r="BV316" s="509"/>
      <c r="BW316" s="509"/>
    </row>
    <row r="317" spans="1:75" ht="23.25" customHeight="1" x14ac:dyDescent="0.15">
      <c r="E317" s="507">
        <v>15</v>
      </c>
      <c r="F317" s="3" t="str" cm="1">
        <f t="array" aca="1" ref="F317" ca="1">OFFSET(E317,-1,1)</f>
        <v>2</v>
      </c>
      <c r="H317" s="277"/>
      <c r="I317" s="277" t="s">
        <v>482</v>
      </c>
      <c r="K317" s="277" t="s">
        <v>482</v>
      </c>
      <c r="L317" s="25"/>
      <c r="M317" s="25"/>
      <c r="R317" s="75" t="s">
        <v>2324</v>
      </c>
      <c r="T317" s="353" t="b" cm="1">
        <f t="array" ref="T317">T316</f>
        <v>1</v>
      </c>
      <c r="X317" s="990"/>
      <c r="Z317" s="967"/>
      <c r="AB317" s="133" t="s">
        <v>939</v>
      </c>
      <c r="AC317" s="127" t="s">
        <v>1951</v>
      </c>
      <c r="AD317" s="7"/>
      <c r="AE317" s="444"/>
      <c r="AF317" s="444"/>
      <c r="AG317" s="444"/>
      <c r="AH317" s="558">
        <f t="shared" si="90"/>
        <v>0</v>
      </c>
      <c r="AI317" s="444">
        <v>1.0315803026999999</v>
      </c>
      <c r="AJ317" s="444">
        <v>2.5833078922000001</v>
      </c>
      <c r="AK317" s="776">
        <f ca="1">SUMIFS(INDEX(Сценарии!$AE$25:$BF$136,,MATCH(AK$8,Сценарии!$AE$8:$BF$8,0)),Сценарии!$F$25:$F$136,$F317,Сценарии!$G$25:$G$136,"ИОР")</f>
        <v>1</v>
      </c>
      <c r="AL317" s="776">
        <f ca="1">SUMIFS(INDEX(Сценарии!$AE$25:$BF$136,,MATCH(AL$8,Сценарии!$AE$8:$BF$8,0)),Сценарии!$F$25:$F$136,$F317,Сценарии!$G$25:$G$136,"ИОР")</f>
        <v>1</v>
      </c>
      <c r="AM317" s="444">
        <f ca="1">SUMIFS(INDEX(Сценарии!$AE$25:$BF$136,,MATCH(AM$8,Сценарии!$AE$8:$BF$8,0)),Сценарии!$F$25:$F$136,$F317,Сценарии!$G$25:$G$136,"ИОР")</f>
        <v>1</v>
      </c>
      <c r="AN317" s="444">
        <f ca="1">SUMIFS(INDEX(Сценарии!$AE$25:$BF$136,,MATCH(AN$8,Сценарии!$AE$8:$BF$8,0)),Сценарии!$F$25:$F$136,$F317,Сценарии!$G$25:$G$136,"ИОР")</f>
        <v>1</v>
      </c>
      <c r="AO317" s="444">
        <f ca="1">SUMIFS(INDEX(Сценарии!$AE$25:$BF$136,,MATCH(AO$8,Сценарии!$AE$8:$BF$8,0)),Сценарии!$F$25:$F$136,$F317,Сценарии!$G$25:$G$136,"ИОР")</f>
        <v>1</v>
      </c>
      <c r="AP317" s="444">
        <f ca="1">SUMIFS(INDEX(Сценарии!$AE$25:$BF$136,,MATCH(AP$8,Сценарии!$AE$8:$BF$8,0)),Сценарии!$F$25:$F$136,$F317,Сценарии!$G$25:$G$136,"ИОР")</f>
        <v>1</v>
      </c>
      <c r="AQ317" s="444">
        <f ca="1">SUMIFS(INDEX(Сценарии!$AE$25:$BF$136,,MATCH(AQ$8,Сценарии!$AE$8:$BF$8,0)),Сценарии!$F$25:$F$136,$F317,Сценарии!$G$25:$G$136,"ИОР")</f>
        <v>1</v>
      </c>
      <c r="AR317" s="444">
        <f ca="1">SUMIFS(INDEX(Сценарии!$AE$25:$BF$136,,MATCH(AR$8,Сценарии!$AE$8:$BF$8,0)),Сценарии!$F$25:$F$136,$F317,Сценарии!$G$25:$G$136,"ИОР")</f>
        <v>1</v>
      </c>
      <c r="AS317" s="444">
        <f ca="1">SUMIFS(INDEX(Сценарии!$AE$25:$BF$136,,MATCH(AS$8,Сценарии!$AE$8:$BF$8,0)),Сценарии!$F$25:$F$136,$F317,Сценарии!$G$25:$G$136,"ИОР")</f>
        <v>1</v>
      </c>
      <c r="AT317" s="444">
        <v>1.0815344571000001</v>
      </c>
      <c r="AU317" s="776">
        <f ca="1">SUMIFS(INDEX(Сценарии!$AE$25:$BF$136,,MATCH(AU$8,Сценарии!$AE$8:$BF$8,0)),Сценарии!$F$25:$F$136,$F317,Сценарии!$G$25:$G$136,"ИОР")</f>
        <v>1</v>
      </c>
      <c r="AV317" s="776">
        <f ca="1">SUMIFS(INDEX(Сценарии!$AE$25:$BF$136,,MATCH(AV$8,Сценарии!$AE$8:$BF$8,0)),Сценарии!$F$25:$F$136,$F317,Сценарии!$G$25:$G$136,"ИОР")</f>
        <v>1</v>
      </c>
      <c r="AW317" s="444">
        <f ca="1">SUMIFS(INDEX(Сценарии!$AE$25:$BF$136,,MATCH(AW$8,Сценарии!$AE$8:$BF$8,0)),Сценарии!$F$25:$F$136,$F317,Сценарии!$G$25:$G$136,"ИОР")</f>
        <v>1</v>
      </c>
      <c r="AX317" s="444">
        <f ca="1">SUMIFS(INDEX(Сценарии!$AE$25:$BF$136,,MATCH(AX$8,Сценарии!$AE$8:$BF$8,0)),Сценарии!$F$25:$F$136,$F317,Сценарии!$G$25:$G$136,"ИОР")</f>
        <v>1</v>
      </c>
      <c r="AY317" s="444">
        <f ca="1">SUMIFS(INDEX(Сценарии!$AE$25:$BF$136,,MATCH(AY$8,Сценарии!$AE$8:$BF$8,0)),Сценарии!$F$25:$F$136,$F317,Сценарии!$G$25:$G$136,"ИОР")</f>
        <v>1</v>
      </c>
      <c r="AZ317" s="444">
        <f ca="1">SUMIFS(INDEX(Сценарии!$AE$25:$BF$136,,MATCH(AZ$8,Сценарии!$AE$8:$BF$8,0)),Сценарии!$F$25:$F$136,$F317,Сценарии!$G$25:$G$136,"ИОР")</f>
        <v>1</v>
      </c>
      <c r="BA317" s="444">
        <f ca="1">SUMIFS(INDEX(Сценарии!$AE$25:$BF$136,,MATCH(BA$8,Сценарии!$AE$8:$BF$8,0)),Сценарии!$F$25:$F$136,$F317,Сценарии!$G$25:$G$136,"ИОР")</f>
        <v>1</v>
      </c>
      <c r="BB317" s="444">
        <f ca="1">SUMIFS(INDEX(Сценарии!$AE$25:$BF$136,,MATCH(BB$8,Сценарии!$AE$8:$BF$8,0)),Сценарии!$F$25:$F$136,$F317,Сценарии!$G$25:$G$136,"ИОР")</f>
        <v>1</v>
      </c>
      <c r="BC317" s="444">
        <f ca="1">SUMIFS(INDEX(Сценарии!$AE$25:$BF$136,,MATCH(BC$8,Сценарии!$AE$8:$BF$8,0)),Сценарии!$F$25:$F$136,$F317,Сценарии!$G$25:$G$136,"ИОР")</f>
        <v>1</v>
      </c>
      <c r="BD317" s="542"/>
      <c r="BE317" s="542"/>
      <c r="BF317" s="542"/>
      <c r="BG317" s="542"/>
      <c r="BH317" s="542"/>
      <c r="BI317" s="542"/>
      <c r="BJ317" s="542"/>
      <c r="BK317" s="542"/>
      <c r="BL317" s="542"/>
      <c r="BM317" s="542"/>
      <c r="BN317" s="196"/>
      <c r="BO317" s="196"/>
      <c r="BP317" s="196"/>
      <c r="BS317" s="696" t="s">
        <v>1952</v>
      </c>
    </row>
    <row r="318" spans="1:75" s="331" customFormat="1" ht="30" customHeight="1" x14ac:dyDescent="0.25">
      <c r="A318" s="74"/>
      <c r="C318" s="74"/>
      <c r="D318" s="74"/>
      <c r="E318" s="510">
        <v>21</v>
      </c>
      <c r="F318" s="3" t="str" cm="1">
        <f t="array" aca="1" ref="F318" ca="1">OFFSET(E318,-1,1)</f>
        <v>2</v>
      </c>
      <c r="G318" s="74"/>
      <c r="H318" s="276"/>
      <c r="I318" s="276" t="s">
        <v>486</v>
      </c>
      <c r="J318" s="74"/>
      <c r="K318" s="276" t="s">
        <v>486</v>
      </c>
      <c r="L318" s="578" t="s">
        <v>331</v>
      </c>
      <c r="M318" s="578"/>
      <c r="N318" s="74"/>
      <c r="O318" s="74"/>
      <c r="P318" s="74"/>
      <c r="Q318" s="72" t="s">
        <v>2324</v>
      </c>
      <c r="R318" s="75" t="s">
        <v>2324</v>
      </c>
      <c r="S318" s="74"/>
      <c r="T318" s="353" t="b" cm="1">
        <f t="array" ref="T318">T317</f>
        <v>1</v>
      </c>
      <c r="U318" s="74"/>
      <c r="V318" s="74"/>
      <c r="W318" s="74"/>
      <c r="X318" s="990"/>
      <c r="Y318" s="74"/>
      <c r="Z318" s="967"/>
      <c r="AA318" s="74"/>
      <c r="AB318" s="160" t="s">
        <v>942</v>
      </c>
      <c r="AC318" s="263" t="s">
        <v>1738</v>
      </c>
      <c r="AD318" s="147" t="s">
        <v>828</v>
      </c>
      <c r="AE318" s="126">
        <f>SUM(AE319,AE322,AE323,AE326,AE327)</f>
        <v>5083.0032083628003</v>
      </c>
      <c r="AF318" s="126">
        <f>SUM(AF319,AF322,AF323,AF326,AF327)</f>
        <v>16908.586101712397</v>
      </c>
      <c r="AG318" s="126">
        <f>SUM(AG319,AG322,AG323,AG326,AG327)</f>
        <v>5083.0032083628003</v>
      </c>
      <c r="AH318" s="126">
        <f t="shared" si="90"/>
        <v>-11825.582893349598</v>
      </c>
      <c r="AI318" s="871">
        <f ca="1">SUM(AI319,AI322,AI323,AI326,AI327)</f>
        <v>0</v>
      </c>
      <c r="AJ318" s="444"/>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556"/>
      <c r="BO318" s="556"/>
      <c r="BP318" s="556"/>
      <c r="BQ318" s="74"/>
      <c r="BR318" s="74"/>
      <c r="BS318" s="694" t="s">
        <v>538</v>
      </c>
      <c r="BT318" s="701"/>
      <c r="BU318" s="701"/>
      <c r="BV318" s="510"/>
      <c r="BW318" s="510"/>
    </row>
    <row r="319" spans="1:75" ht="53.25" customHeight="1" x14ac:dyDescent="0.25">
      <c r="E319" s="507">
        <v>15</v>
      </c>
      <c r="F319" s="3" t="str" cm="1">
        <f t="array" aca="1" ref="F319" ca="1">OFFSET(E319,-1,1)</f>
        <v>2</v>
      </c>
      <c r="H319" s="277"/>
      <c r="I319" s="277" t="s">
        <v>1344</v>
      </c>
      <c r="K319" s="277" t="s">
        <v>1344</v>
      </c>
      <c r="L319" s="25" t="s">
        <v>482</v>
      </c>
      <c r="M319" s="25"/>
      <c r="Q319" s="72" t="s">
        <v>2324</v>
      </c>
      <c r="R319" s="75" t="s">
        <v>2324</v>
      </c>
      <c r="T319" s="353" t="b" cm="1">
        <f t="array" ref="T319">T318</f>
        <v>1</v>
      </c>
      <c r="X319" s="990"/>
      <c r="Z319" s="967"/>
      <c r="AB319" s="133" t="s">
        <v>1345</v>
      </c>
      <c r="AC319" s="134" t="s">
        <v>1953</v>
      </c>
      <c r="AD319" s="9" t="s">
        <v>828</v>
      </c>
      <c r="AE319" s="171">
        <f>SUM(AE320,AE321)</f>
        <v>310.49478296820001</v>
      </c>
      <c r="AF319" s="171">
        <f>SUM(AF320,AF321)</f>
        <v>393.37501541530003</v>
      </c>
      <c r="AG319" s="171">
        <f>SUM(AG320,AG321)</f>
        <v>310.49478296820001</v>
      </c>
      <c r="AH319" s="171">
        <f t="shared" si="90"/>
        <v>-82.880232447100013</v>
      </c>
      <c r="AI319" s="872">
        <f>SUM(AI320,AI321)</f>
        <v>0</v>
      </c>
      <c r="AJ319" s="444"/>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196"/>
      <c r="BO319" s="196"/>
      <c r="BP319" s="196"/>
      <c r="BQ319" s="28"/>
      <c r="BS319" s="695" t="s">
        <v>1740</v>
      </c>
    </row>
    <row r="320" spans="1:75" ht="14.25" customHeight="1" x14ac:dyDescent="0.25">
      <c r="E320" s="507">
        <v>15</v>
      </c>
      <c r="F320" s="3" t="str" cm="1">
        <f t="array" aca="1" ref="F320" ca="1">OFFSET(E320,-1,1)</f>
        <v>2</v>
      </c>
      <c r="H320" s="277"/>
      <c r="I320" s="277" t="s">
        <v>1954</v>
      </c>
      <c r="K320" s="277" t="s">
        <v>1954</v>
      </c>
      <c r="L320" s="25" t="s">
        <v>1074</v>
      </c>
      <c r="M320" s="25"/>
      <c r="Q320" s="72" t="s">
        <v>2324</v>
      </c>
      <c r="R320" s="75" t="s">
        <v>2324</v>
      </c>
      <c r="T320" s="353" t="b" cm="1">
        <f t="array" ref="T320">T319</f>
        <v>1</v>
      </c>
      <c r="X320" s="990"/>
      <c r="Z320" s="967"/>
      <c r="AB320" s="133" t="s">
        <v>1955</v>
      </c>
      <c r="AC320" s="543" t="s">
        <v>1743</v>
      </c>
      <c r="AD320" s="9" t="s">
        <v>828</v>
      </c>
      <c r="AE320" s="128"/>
      <c r="AF320" s="128"/>
      <c r="AG320" s="128"/>
      <c r="AH320" s="171">
        <f t="shared" si="90"/>
        <v>0</v>
      </c>
      <c r="AI320" s="872"/>
      <c r="AJ320" s="444"/>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196"/>
      <c r="BO320" s="196"/>
      <c r="BP320" s="196"/>
      <c r="BS320" s="694" t="s">
        <v>1744</v>
      </c>
    </row>
    <row r="321" spans="1:75" ht="48.75" customHeight="1" x14ac:dyDescent="0.25">
      <c r="E321" s="507">
        <v>15</v>
      </c>
      <c r="F321" s="3" t="str" cm="1">
        <f t="array" aca="1" ref="F321" ca="1">OFFSET(E321,-1,1)</f>
        <v>2</v>
      </c>
      <c r="H321" s="277"/>
      <c r="I321" s="277" t="s">
        <v>1956</v>
      </c>
      <c r="K321" s="277" t="s">
        <v>1956</v>
      </c>
      <c r="L321" s="25" t="s">
        <v>1319</v>
      </c>
      <c r="M321" s="25"/>
      <c r="Q321" s="72" t="s">
        <v>2324</v>
      </c>
      <c r="R321" s="75" t="s">
        <v>2324</v>
      </c>
      <c r="T321" s="353" t="b" cm="1">
        <f t="array" ref="T321">T320</f>
        <v>1</v>
      </c>
      <c r="X321" s="990"/>
      <c r="Z321" s="967"/>
      <c r="AB321" s="133" t="s">
        <v>1957</v>
      </c>
      <c r="AC321" s="543" t="s">
        <v>1745</v>
      </c>
      <c r="AD321" s="9" t="s">
        <v>828</v>
      </c>
      <c r="AE321" s="128">
        <v>310.49478296820001</v>
      </c>
      <c r="AF321" s="128">
        <v>393.37501541530003</v>
      </c>
      <c r="AG321" s="128">
        <v>310.49478296820001</v>
      </c>
      <c r="AH321" s="171">
        <f t="shared" si="90"/>
        <v>-82.880232447100013</v>
      </c>
      <c r="AI321" s="872"/>
      <c r="AJ321" s="444"/>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196"/>
      <c r="BO321" s="196"/>
      <c r="BP321" s="196"/>
      <c r="BS321" s="694" t="s">
        <v>1746</v>
      </c>
    </row>
    <row r="322" spans="1:75" ht="53.25" customHeight="1" x14ac:dyDescent="0.25">
      <c r="E322" s="507">
        <v>22.5</v>
      </c>
      <c r="F322" s="3" t="str" cm="1">
        <f t="array" aca="1" ref="F322" ca="1">OFFSET(E322,-1,1)</f>
        <v>2</v>
      </c>
      <c r="H322" s="277"/>
      <c r="I322" s="277" t="s">
        <v>1347</v>
      </c>
      <c r="K322" s="277" t="s">
        <v>1347</v>
      </c>
      <c r="L322" s="25" t="s">
        <v>489</v>
      </c>
      <c r="M322" s="25"/>
      <c r="Q322" s="72" t="s">
        <v>2324</v>
      </c>
      <c r="R322" s="75" t="s">
        <v>2324</v>
      </c>
      <c r="T322" s="353" t="b" cm="1">
        <f t="array" ref="T322">T321</f>
        <v>1</v>
      </c>
      <c r="X322" s="990"/>
      <c r="Z322" s="967"/>
      <c r="AB322" s="133" t="s">
        <v>1348</v>
      </c>
      <c r="AC322" s="134" t="s">
        <v>1958</v>
      </c>
      <c r="AD322" s="9" t="s">
        <v>828</v>
      </c>
      <c r="AE322" s="128">
        <v>790.34002309790003</v>
      </c>
      <c r="AF322" s="128">
        <v>797.79936253979997</v>
      </c>
      <c r="AG322" s="128">
        <v>790.34002309790003</v>
      </c>
      <c r="AH322" s="171">
        <f t="shared" si="90"/>
        <v>-7.4593394418999424</v>
      </c>
      <c r="AI322" s="872"/>
      <c r="AJ322" s="444"/>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c r="BG322" s="542"/>
      <c r="BH322" s="542"/>
      <c r="BI322" s="542"/>
      <c r="BJ322" s="542"/>
      <c r="BK322" s="542"/>
      <c r="BL322" s="542"/>
      <c r="BM322" s="542"/>
      <c r="BN322" s="196"/>
      <c r="BO322" s="196"/>
      <c r="BP322" s="196"/>
      <c r="BS322" s="695" t="s">
        <v>1771</v>
      </c>
    </row>
    <row r="323" spans="1:75" ht="62.25" customHeight="1" x14ac:dyDescent="0.25">
      <c r="E323" s="507">
        <v>22.5</v>
      </c>
      <c r="F323" s="3" t="str" cm="1">
        <f t="array" aca="1" ref="F323" ca="1">OFFSET(E323,-1,1)</f>
        <v>2</v>
      </c>
      <c r="H323" s="277"/>
      <c r="I323" s="277" t="s">
        <v>1351</v>
      </c>
      <c r="K323" s="277" t="s">
        <v>1351</v>
      </c>
      <c r="L323" s="25" t="s">
        <v>493</v>
      </c>
      <c r="M323" s="25"/>
      <c r="Q323" s="72" t="s">
        <v>2324</v>
      </c>
      <c r="R323" s="75" t="s">
        <v>2324</v>
      </c>
      <c r="T323" s="353" t="b" cm="1">
        <f t="array" ref="T323">T322</f>
        <v>1</v>
      </c>
      <c r="X323" s="990"/>
      <c r="Z323" s="967"/>
      <c r="AB323" s="133" t="s">
        <v>1352</v>
      </c>
      <c r="AC323" s="134" t="s">
        <v>1959</v>
      </c>
      <c r="AD323" s="9" t="s">
        <v>828</v>
      </c>
      <c r="AE323" s="171">
        <f>AE324+AE325</f>
        <v>2995.6589562967001</v>
      </c>
      <c r="AF323" s="171">
        <f>AF324+AF325</f>
        <v>6875.4571103495</v>
      </c>
      <c r="AG323" s="171">
        <f>AG324+AG325</f>
        <v>2995.6589562967001</v>
      </c>
      <c r="AH323" s="171">
        <f t="shared" si="90"/>
        <v>-3879.7981540527999</v>
      </c>
      <c r="AI323" s="872">
        <f ca="1">AI324+AI325</f>
        <v>0</v>
      </c>
      <c r="AJ323" s="444"/>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c r="BG323" s="542"/>
      <c r="BH323" s="542"/>
      <c r="BI323" s="542"/>
      <c r="BJ323" s="542"/>
      <c r="BK323" s="542"/>
      <c r="BL323" s="542"/>
      <c r="BM323" s="542"/>
      <c r="BN323" s="196"/>
      <c r="BO323" s="196"/>
      <c r="BP323" s="196"/>
      <c r="BS323" s="695" t="s">
        <v>1960</v>
      </c>
    </row>
    <row r="324" spans="1:75" ht="51" customHeight="1" x14ac:dyDescent="0.25">
      <c r="E324" s="507">
        <v>15</v>
      </c>
      <c r="F324" s="3" t="str" cm="1">
        <f t="array" aca="1" ref="F324" ca="1">OFFSET(E324,-1,1)</f>
        <v>2</v>
      </c>
      <c r="G324" s="253" t="s">
        <v>1162</v>
      </c>
      <c r="H324" s="277"/>
      <c r="I324" s="277" t="s">
        <v>1495</v>
      </c>
      <c r="K324" s="277" t="s">
        <v>1495</v>
      </c>
      <c r="L324" s="25" t="s">
        <v>1371</v>
      </c>
      <c r="M324" s="25"/>
      <c r="Q324" s="72" t="s">
        <v>2324</v>
      </c>
      <c r="R324" s="75" t="s">
        <v>2324</v>
      </c>
      <c r="T324" s="353" t="b" cm="1">
        <f t="array" ref="T324">T323</f>
        <v>1</v>
      </c>
      <c r="X324" s="990"/>
      <c r="Z324" s="967"/>
      <c r="AB324" s="133" t="s">
        <v>1961</v>
      </c>
      <c r="AC324" s="543" t="s">
        <v>1774</v>
      </c>
      <c r="AD324" s="9" t="s">
        <v>828</v>
      </c>
      <c r="AE324" s="128">
        <v>2294.1177487339</v>
      </c>
      <c r="AF324" s="128">
        <v>5071.1059927472998</v>
      </c>
      <c r="AG324" s="128">
        <v>2294.1177487339</v>
      </c>
      <c r="AH324" s="171">
        <f t="shared" si="90"/>
        <v>-2776.9882440133997</v>
      </c>
      <c r="AI324" s="872"/>
      <c r="AJ324" s="444"/>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c r="BG324" s="542"/>
      <c r="BH324" s="542"/>
      <c r="BI324" s="542"/>
      <c r="BJ324" s="542"/>
      <c r="BK324" s="542"/>
      <c r="BL324" s="542"/>
      <c r="BM324" s="542"/>
      <c r="BN324" s="196"/>
      <c r="BO324" s="601" t="str">
        <f ca="1">IF(IFERROR(INDEX(ФОТ!$K$26:$L$127,MATCH($F324&amp;"1komm",ФОТ!$K$26:$K$127,0),2),"")=0,"",IFERROR(INDEX(ФОТ!$K$26:$L$127,MATCH($F324&amp;"1komm",ФОТ!$K$26:$K$127,0),2),""))</f>
        <v/>
      </c>
      <c r="BP324" s="196"/>
      <c r="BS324" s="694" t="s">
        <v>1775</v>
      </c>
    </row>
    <row r="325" spans="1:75" ht="54.75" customHeight="1" x14ac:dyDescent="0.25">
      <c r="E325" s="507">
        <v>22.5</v>
      </c>
      <c r="F325" s="3" t="str" cm="1">
        <f t="array" aca="1" ref="F325" ca="1">OFFSET(E325,-1,1)</f>
        <v>2</v>
      </c>
      <c r="G325" s="253" t="s">
        <v>1174</v>
      </c>
      <c r="H325" s="277"/>
      <c r="I325" s="277" t="s">
        <v>1499</v>
      </c>
      <c r="K325" s="277" t="s">
        <v>1499</v>
      </c>
      <c r="L325" s="25" t="s">
        <v>1372</v>
      </c>
      <c r="M325" s="25"/>
      <c r="Q325" s="72" t="s">
        <v>2324</v>
      </c>
      <c r="R325" s="75" t="s">
        <v>2324</v>
      </c>
      <c r="T325" s="353" t="b" cm="1">
        <f t="array" ref="T325">T324</f>
        <v>1</v>
      </c>
      <c r="X325" s="990"/>
      <c r="Z325" s="967"/>
      <c r="AB325" s="133" t="s">
        <v>1962</v>
      </c>
      <c r="AC325" s="543" t="s">
        <v>1963</v>
      </c>
      <c r="AD325" s="9" t="s">
        <v>828</v>
      </c>
      <c r="AE325" s="128">
        <v>701.54120756279997</v>
      </c>
      <c r="AF325" s="128">
        <v>1804.3511176022</v>
      </c>
      <c r="AG325" s="128">
        <v>701.54120756279997</v>
      </c>
      <c r="AH325" s="171">
        <f t="shared" si="90"/>
        <v>-1102.8099100394002</v>
      </c>
      <c r="AI325" s="872">
        <f ca="1">AI324*SUMIFS(INDEX(Сценарии!$AE$25:$BF$136,,MATCH(AG$8,Сценарии!$AE$8:$BF$8,0)),Сценарии!$F$25:$F$136,$F325,Сценарии!$G$25:$G$136,"СВФОТ")/100</f>
        <v>0</v>
      </c>
      <c r="AJ325" s="444"/>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c r="BG325" s="542"/>
      <c r="BH325" s="542"/>
      <c r="BI325" s="542"/>
      <c r="BJ325" s="542"/>
      <c r="BK325" s="542"/>
      <c r="BL325" s="542"/>
      <c r="BM325" s="542"/>
      <c r="BN325" s="196"/>
      <c r="BO325" s="601" t="str">
        <f ca="1">IF(IFERROR(INDEX(ФОТ!$K$26:$L$127,MATCH($F325&amp;"2komm",ФОТ!$K$26:$K$127,0),2),"")=0,"",IFERROR(INDEX(ФОТ!$K$26:$L$127,MATCH($F325&amp;"2komm",ФОТ!$K$26:$K$127,0),2),""))</f>
        <v/>
      </c>
      <c r="BP325" s="196"/>
      <c r="BS325" s="694" t="s">
        <v>1777</v>
      </c>
    </row>
    <row r="326" spans="1:75" ht="38.25" customHeight="1" x14ac:dyDescent="0.25">
      <c r="E326" s="507">
        <v>15</v>
      </c>
      <c r="F326" s="3" t="str" cm="1">
        <f t="array" aca="1" ref="F326" ca="1">OFFSET(E326,-1,1)</f>
        <v>2</v>
      </c>
      <c r="H326" s="277"/>
      <c r="I326" s="277" t="s">
        <v>1510</v>
      </c>
      <c r="K326" s="277" t="s">
        <v>1510</v>
      </c>
      <c r="L326" s="25" t="s">
        <v>1779</v>
      </c>
      <c r="M326" s="25"/>
      <c r="Q326" s="72" t="s">
        <v>2324</v>
      </c>
      <c r="R326" s="75" t="s">
        <v>2324</v>
      </c>
      <c r="T326" s="353" t="b" cm="1">
        <f t="array" ref="T326">T325</f>
        <v>1</v>
      </c>
      <c r="X326" s="990"/>
      <c r="Z326" s="967"/>
      <c r="AB326" s="133" t="s">
        <v>1753</v>
      </c>
      <c r="AC326" s="134" t="s">
        <v>1964</v>
      </c>
      <c r="AD326" s="9" t="s">
        <v>828</v>
      </c>
      <c r="AE326" s="128">
        <v>59.565455999999998</v>
      </c>
      <c r="AF326" s="128"/>
      <c r="AG326" s="128">
        <v>59.565455999999998</v>
      </c>
      <c r="AH326" s="171">
        <f t="shared" si="90"/>
        <v>59.565455999999998</v>
      </c>
      <c r="AI326" s="872"/>
      <c r="AJ326" s="444"/>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c r="BG326" s="542"/>
      <c r="BH326" s="542"/>
      <c r="BI326" s="542"/>
      <c r="BJ326" s="542"/>
      <c r="BK326" s="542"/>
      <c r="BL326" s="542"/>
      <c r="BM326" s="542"/>
      <c r="BN326" s="196"/>
      <c r="BO326" s="196"/>
      <c r="BP326" s="196"/>
      <c r="BS326" s="695" t="s">
        <v>1782</v>
      </c>
    </row>
    <row r="327" spans="1:75" ht="14.25" customHeight="1" x14ac:dyDescent="0.25">
      <c r="E327" s="507">
        <v>15</v>
      </c>
      <c r="F327" s="3" t="str" cm="1">
        <f t="array" aca="1" ref="F327" ca="1">OFFSET(E327,-1,1)</f>
        <v>2</v>
      </c>
      <c r="H327" s="277"/>
      <c r="I327" s="277" t="s">
        <v>1514</v>
      </c>
      <c r="K327" s="277" t="s">
        <v>1514</v>
      </c>
      <c r="L327" s="25" t="s">
        <v>1783</v>
      </c>
      <c r="Q327" s="72" t="s">
        <v>2324</v>
      </c>
      <c r="R327" s="75" t="s">
        <v>2324</v>
      </c>
      <c r="T327" s="353" t="b" cm="1">
        <f t="array" ref="T327">T326</f>
        <v>1</v>
      </c>
      <c r="X327" s="990"/>
      <c r="Z327" s="967"/>
      <c r="AB327" s="133" t="s">
        <v>1755</v>
      </c>
      <c r="AC327" s="134" t="s">
        <v>1965</v>
      </c>
      <c r="AD327" s="7" t="s">
        <v>828</v>
      </c>
      <c r="AE327" s="171">
        <f>SUM(AE328:AE334)</f>
        <v>926.94398999999999</v>
      </c>
      <c r="AF327" s="171">
        <f>SUM(AF328:AF334)</f>
        <v>8841.9546134077991</v>
      </c>
      <c r="AG327" s="171">
        <f>SUM(AG328:AG334)</f>
        <v>926.94398999999999</v>
      </c>
      <c r="AH327" s="171">
        <f t="shared" si="90"/>
        <v>-7915.0106234077994</v>
      </c>
      <c r="AI327" s="872">
        <f>SUM(AI328:AI334)</f>
        <v>0</v>
      </c>
      <c r="AJ327" s="444"/>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196"/>
      <c r="BO327" s="196"/>
      <c r="BP327" s="196"/>
      <c r="BS327" s="695" t="s">
        <v>1966</v>
      </c>
    </row>
    <row r="328" spans="1:75" ht="14.25" customHeight="1" x14ac:dyDescent="0.25">
      <c r="E328" s="507">
        <v>15</v>
      </c>
      <c r="F328" s="3" t="str" cm="1">
        <f t="array" aca="1" ref="F328" ca="1">OFFSET(E328,-1,1)</f>
        <v>2</v>
      </c>
      <c r="H328" s="277"/>
      <c r="I328" s="277" t="s">
        <v>1967</v>
      </c>
      <c r="K328" s="277" t="s">
        <v>1967</v>
      </c>
      <c r="L328" s="25" t="s">
        <v>1783</v>
      </c>
      <c r="M328" s="25" t="s">
        <v>1791</v>
      </c>
      <c r="Q328" s="72" t="s">
        <v>2324</v>
      </c>
      <c r="R328" s="75" t="s">
        <v>2324</v>
      </c>
      <c r="T328" s="353" t="b" cm="1">
        <f t="array" ref="T328">T327</f>
        <v>1</v>
      </c>
      <c r="X328" s="990"/>
      <c r="Z328" s="967"/>
      <c r="AB328" s="133" t="s">
        <v>1968</v>
      </c>
      <c r="AC328" s="543" t="s">
        <v>1969</v>
      </c>
      <c r="AD328" s="7" t="s">
        <v>828</v>
      </c>
      <c r="AE328" s="128"/>
      <c r="AF328" s="128"/>
      <c r="AG328" s="128"/>
      <c r="AH328" s="171">
        <f t="shared" si="90"/>
        <v>0</v>
      </c>
      <c r="AI328" s="872"/>
      <c r="AJ328" s="444"/>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196"/>
      <c r="BO328" s="196"/>
      <c r="BP328" s="196"/>
      <c r="BS328" s="694" t="s">
        <v>1794</v>
      </c>
    </row>
    <row r="329" spans="1:75" ht="21.75" customHeight="1" x14ac:dyDescent="0.15">
      <c r="E329" s="507">
        <v>22.5</v>
      </c>
      <c r="F329" s="3" t="str" cm="1">
        <f t="array" aca="1" ref="F329" ca="1">OFFSET(E329,-1,1)</f>
        <v>2</v>
      </c>
      <c r="H329" s="277"/>
      <c r="I329" s="277" t="s">
        <v>1970</v>
      </c>
      <c r="K329" s="277" t="s">
        <v>1970</v>
      </c>
      <c r="L329" s="25" t="s">
        <v>1783</v>
      </c>
      <c r="M329" s="25" t="s">
        <v>1787</v>
      </c>
      <c r="Q329" s="72" t="s">
        <v>2324</v>
      </c>
      <c r="R329" s="75" t="s">
        <v>2324</v>
      </c>
      <c r="T329" s="353" t="b" cm="1">
        <f t="array" ref="T329">T328</f>
        <v>1</v>
      </c>
      <c r="X329" s="990"/>
      <c r="Z329" s="967"/>
      <c r="AB329" s="133" t="s">
        <v>1971</v>
      </c>
      <c r="AC329" s="543" t="s">
        <v>1972</v>
      </c>
      <c r="AD329" s="7" t="s">
        <v>828</v>
      </c>
      <c r="AE329" s="128"/>
      <c r="AF329" s="128"/>
      <c r="AG329" s="128"/>
      <c r="AH329" s="171">
        <f t="shared" si="90"/>
        <v>0</v>
      </c>
      <c r="AI329" s="872"/>
      <c r="AJ329" s="444"/>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c r="BG329" s="542"/>
      <c r="BH329" s="542"/>
      <c r="BI329" s="542"/>
      <c r="BJ329" s="542"/>
      <c r="BK329" s="542"/>
      <c r="BL329" s="542"/>
      <c r="BM329" s="542"/>
      <c r="BN329" s="196"/>
      <c r="BO329" s="196"/>
      <c r="BP329" s="196"/>
      <c r="BS329" s="696" t="s">
        <v>1973</v>
      </c>
    </row>
    <row r="330" spans="1:75" ht="21.75" customHeight="1" x14ac:dyDescent="0.15">
      <c r="E330" s="507">
        <v>22.5</v>
      </c>
      <c r="F330" s="3" t="str" cm="1">
        <f t="array" aca="1" ref="F330" ca="1">OFFSET(E330,-1,1)</f>
        <v>2</v>
      </c>
      <c r="H330" s="277"/>
      <c r="I330" s="277" t="s">
        <v>1974</v>
      </c>
      <c r="K330" s="277" t="s">
        <v>1974</v>
      </c>
      <c r="Q330" s="72" t="s">
        <v>2324</v>
      </c>
      <c r="R330" s="75" t="s">
        <v>2324</v>
      </c>
      <c r="T330" s="353" t="b" cm="1">
        <f t="array" ref="T330">T329</f>
        <v>1</v>
      </c>
      <c r="X330" s="990"/>
      <c r="Z330" s="967"/>
      <c r="AB330" s="133" t="s">
        <v>1975</v>
      </c>
      <c r="AC330" s="544" t="s">
        <v>1976</v>
      </c>
      <c r="AD330" s="7" t="s">
        <v>828</v>
      </c>
      <c r="AE330" s="128"/>
      <c r="AF330" s="128"/>
      <c r="AG330" s="128"/>
      <c r="AH330" s="171">
        <f t="shared" si="90"/>
        <v>0</v>
      </c>
      <c r="AI330" s="872"/>
      <c r="AJ330" s="444"/>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c r="BG330" s="542"/>
      <c r="BH330" s="542"/>
      <c r="BI330" s="542"/>
      <c r="BJ330" s="542"/>
      <c r="BK330" s="542"/>
      <c r="BL330" s="542"/>
      <c r="BM330" s="542"/>
      <c r="BN330" s="196"/>
      <c r="BO330" s="196"/>
      <c r="BP330" s="196"/>
      <c r="BS330" s="696" t="s">
        <v>1977</v>
      </c>
    </row>
    <row r="331" spans="1:75" ht="21.75" customHeight="1" x14ac:dyDescent="0.15">
      <c r="E331" s="507">
        <v>22.5</v>
      </c>
      <c r="F331" s="3" t="str" cm="1">
        <f t="array" aca="1" ref="F331" ca="1">OFFSET(E331,-1,1)</f>
        <v>2</v>
      </c>
      <c r="H331" s="277"/>
      <c r="I331" s="277" t="s">
        <v>1978</v>
      </c>
      <c r="K331" s="277" t="s">
        <v>1978</v>
      </c>
      <c r="L331" s="25"/>
      <c r="Q331" s="72" t="s">
        <v>2324</v>
      </c>
      <c r="R331" s="75" t="s">
        <v>2324</v>
      </c>
      <c r="T331" s="353" t="b" cm="1">
        <f t="array" ref="T331">T330</f>
        <v>1</v>
      </c>
      <c r="X331" s="990"/>
      <c r="Z331" s="967"/>
      <c r="AB331" s="133" t="s">
        <v>1979</v>
      </c>
      <c r="AC331" s="544" t="s">
        <v>1980</v>
      </c>
      <c r="AD331" s="7" t="s">
        <v>828</v>
      </c>
      <c r="AE331" s="128"/>
      <c r="AF331" s="128"/>
      <c r="AG331" s="128"/>
      <c r="AH331" s="171">
        <f t="shared" si="90"/>
        <v>0</v>
      </c>
      <c r="AI331" s="872"/>
      <c r="AJ331" s="444"/>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c r="BG331" s="542"/>
      <c r="BH331" s="542"/>
      <c r="BI331" s="542"/>
      <c r="BJ331" s="542"/>
      <c r="BK331" s="542"/>
      <c r="BL331" s="542"/>
      <c r="BM331" s="542"/>
      <c r="BN331" s="196"/>
      <c r="BO331" s="196"/>
      <c r="BP331" s="196"/>
      <c r="BS331" s="696" t="s">
        <v>1981</v>
      </c>
    </row>
    <row r="332" spans="1:75" ht="43.5" customHeight="1" x14ac:dyDescent="0.15">
      <c r="E332" s="507">
        <v>45</v>
      </c>
      <c r="F332" s="3" t="str" cm="1">
        <f t="array" aca="1" ref="F332" ca="1">OFFSET(E332,-1,1)</f>
        <v>2</v>
      </c>
      <c r="H332" s="277"/>
      <c r="I332" s="277" t="s">
        <v>1982</v>
      </c>
      <c r="K332" s="277" t="s">
        <v>1982</v>
      </c>
      <c r="L332" s="25" t="s">
        <v>1783</v>
      </c>
      <c r="M332" s="25" t="s">
        <v>1795</v>
      </c>
      <c r="Q332" s="72" t="s">
        <v>2324</v>
      </c>
      <c r="R332" s="75" t="s">
        <v>2324</v>
      </c>
      <c r="T332" s="353" t="b" cm="1">
        <f t="array" ref="T332">T331</f>
        <v>1</v>
      </c>
      <c r="X332" s="990"/>
      <c r="Z332" s="967"/>
      <c r="AB332" s="133" t="s">
        <v>1983</v>
      </c>
      <c r="AC332" s="543" t="s">
        <v>1984</v>
      </c>
      <c r="AD332" s="7" t="s">
        <v>828</v>
      </c>
      <c r="AE332" s="128"/>
      <c r="AF332" s="128"/>
      <c r="AG332" s="128"/>
      <c r="AH332" s="171">
        <f t="shared" si="90"/>
        <v>0</v>
      </c>
      <c r="AI332" s="872"/>
      <c r="AJ332" s="444"/>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c r="BG332" s="542"/>
      <c r="BH332" s="542"/>
      <c r="BI332" s="542"/>
      <c r="BJ332" s="542"/>
      <c r="BK332" s="542"/>
      <c r="BL332" s="542"/>
      <c r="BM332" s="542"/>
      <c r="BN332" s="196"/>
      <c r="BO332" s="196"/>
      <c r="BP332" s="196"/>
      <c r="BS332" s="696" t="s">
        <v>1798</v>
      </c>
    </row>
    <row r="333" spans="1:75" ht="14.25" customHeight="1" x14ac:dyDescent="0.15">
      <c r="E333" s="507">
        <v>15</v>
      </c>
      <c r="F333" s="3" t="str" cm="1">
        <f t="array" aca="1" ref="F333" ca="1">OFFSET(E333,-1,1)</f>
        <v>2</v>
      </c>
      <c r="H333" s="277"/>
      <c r="I333" s="277" t="s">
        <v>1985</v>
      </c>
      <c r="K333" s="277" t="s">
        <v>1985</v>
      </c>
      <c r="L333" s="25" t="s">
        <v>1783</v>
      </c>
      <c r="M333" s="25" t="s">
        <v>1799</v>
      </c>
      <c r="Q333" s="72" t="s">
        <v>2324</v>
      </c>
      <c r="R333" s="75" t="s">
        <v>2324</v>
      </c>
      <c r="T333" s="353" t="b" cm="1">
        <f t="array" ref="T333">T332</f>
        <v>1</v>
      </c>
      <c r="X333" s="990"/>
      <c r="Z333" s="967"/>
      <c r="AB333" s="133" t="s">
        <v>1986</v>
      </c>
      <c r="AC333" s="543" t="s">
        <v>1801</v>
      </c>
      <c r="AD333" s="7" t="s">
        <v>828</v>
      </c>
      <c r="AE333" s="128"/>
      <c r="AF333" s="128"/>
      <c r="AG333" s="128"/>
      <c r="AH333" s="171">
        <f t="shared" si="90"/>
        <v>0</v>
      </c>
      <c r="AI333" s="872"/>
      <c r="AJ333" s="444"/>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c r="BG333" s="542"/>
      <c r="BH333" s="542"/>
      <c r="BI333" s="542"/>
      <c r="BJ333" s="542"/>
      <c r="BK333" s="542"/>
      <c r="BL333" s="542"/>
      <c r="BM333" s="542"/>
      <c r="BN333" s="196"/>
      <c r="BO333" s="196"/>
      <c r="BP333" s="196"/>
      <c r="BS333" s="696" t="s">
        <v>1802</v>
      </c>
    </row>
    <row r="334" spans="1:75" ht="46.5" customHeight="1" x14ac:dyDescent="0.15">
      <c r="E334" s="507">
        <v>15</v>
      </c>
      <c r="F334" s="3" t="str" cm="1">
        <f t="array" aca="1" ref="F334" ca="1">OFFSET(E334,-1,1)</f>
        <v>2</v>
      </c>
      <c r="H334" s="277"/>
      <c r="I334" s="277" t="s">
        <v>1987</v>
      </c>
      <c r="K334" s="277" t="s">
        <v>1987</v>
      </c>
      <c r="L334" s="25"/>
      <c r="M334" s="25"/>
      <c r="Q334" s="72" t="s">
        <v>2324</v>
      </c>
      <c r="R334" s="75" t="s">
        <v>2324</v>
      </c>
      <c r="T334" s="353" t="b" cm="1">
        <f t="array" ref="T334">T333</f>
        <v>1</v>
      </c>
      <c r="X334" s="990"/>
      <c r="Z334" s="967"/>
      <c r="AB334" s="133" t="s">
        <v>1988</v>
      </c>
      <c r="AC334" s="543" t="s">
        <v>1989</v>
      </c>
      <c r="AD334" s="7" t="s">
        <v>828</v>
      </c>
      <c r="AE334" s="128">
        <v>926.94398999999999</v>
      </c>
      <c r="AF334" s="128">
        <v>8841.9546134077991</v>
      </c>
      <c r="AG334" s="128">
        <v>926.94398999999999</v>
      </c>
      <c r="AH334" s="171">
        <f t="shared" si="90"/>
        <v>-7915.0106234077994</v>
      </c>
      <c r="AI334" s="872"/>
      <c r="AJ334" s="444"/>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196"/>
      <c r="BO334" s="196"/>
      <c r="BP334" s="196"/>
      <c r="BS334" s="696" t="s">
        <v>1786</v>
      </c>
    </row>
    <row r="335" spans="1:75" s="870" customFormat="1" ht="39.75" customHeight="1" x14ac:dyDescent="0.25">
      <c r="A335" s="76"/>
      <c r="B335" s="332"/>
      <c r="C335" s="76"/>
      <c r="D335" s="76"/>
      <c r="E335" s="511">
        <v>21</v>
      </c>
      <c r="F335" s="3" t="str" cm="1">
        <f t="array" aca="1" ref="F335" ca="1">OFFSET(E335,-1,1)</f>
        <v>2</v>
      </c>
      <c r="G335" s="76"/>
      <c r="H335" s="277"/>
      <c r="I335" s="277" t="s">
        <v>489</v>
      </c>
      <c r="J335" s="76"/>
      <c r="K335" s="277" t="s">
        <v>489</v>
      </c>
      <c r="L335" s="27"/>
      <c r="M335" s="27"/>
      <c r="N335" s="76"/>
      <c r="O335" s="76"/>
      <c r="P335" s="76"/>
      <c r="Q335" s="72" t="s">
        <v>2324</v>
      </c>
      <c r="R335" s="75" t="s">
        <v>2324</v>
      </c>
      <c r="S335" s="76"/>
      <c r="T335" s="353" t="b" cm="1">
        <f t="array" ref="T335">T334</f>
        <v>1</v>
      </c>
      <c r="U335" s="76"/>
      <c r="V335" s="76"/>
      <c r="W335" s="76"/>
      <c r="X335" s="990"/>
      <c r="Y335" s="76"/>
      <c r="Z335" s="967"/>
      <c r="AA335" s="76"/>
      <c r="AB335" s="131" t="s">
        <v>945</v>
      </c>
      <c r="AC335" s="263" t="s">
        <v>1806</v>
      </c>
      <c r="AD335" s="124" t="s">
        <v>828</v>
      </c>
      <c r="AE335" s="126">
        <f>AE336+AE337+AE338</f>
        <v>4467.3536319987998</v>
      </c>
      <c r="AF335" s="126">
        <f>AF336+AF337+AF338</f>
        <v>5069.5890930036003</v>
      </c>
      <c r="AG335" s="126">
        <f>AG336+AG337+AG338</f>
        <v>4467.3536319987998</v>
      </c>
      <c r="AH335" s="126">
        <f t="shared" si="90"/>
        <v>-602.23546100480053</v>
      </c>
      <c r="AI335" s="871">
        <f>AI336+AI337+AI338</f>
        <v>0</v>
      </c>
      <c r="AJ335" s="444"/>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556"/>
      <c r="BO335" s="556"/>
      <c r="BP335" s="556"/>
      <c r="BQ335" s="76"/>
      <c r="BR335" s="76"/>
      <c r="BS335" s="695" t="s">
        <v>1807</v>
      </c>
      <c r="BT335" s="702"/>
      <c r="BU335" s="702"/>
      <c r="BV335" s="511"/>
      <c r="BW335" s="511"/>
    </row>
    <row r="336" spans="1:75" ht="75.75" customHeight="1" x14ac:dyDescent="0.25">
      <c r="E336" s="507">
        <v>22.5</v>
      </c>
      <c r="F336" s="3" t="str" cm="1">
        <f t="array" aca="1" ref="F336" ca="1">OFFSET(E336,-1,1)</f>
        <v>2</v>
      </c>
      <c r="H336" s="277"/>
      <c r="I336" s="277" t="s">
        <v>1357</v>
      </c>
      <c r="K336" s="277" t="s">
        <v>1357</v>
      </c>
      <c r="L336" s="25"/>
      <c r="M336" s="25"/>
      <c r="Q336" s="72" t="s">
        <v>2324</v>
      </c>
      <c r="R336" s="75" t="s">
        <v>2324</v>
      </c>
      <c r="T336" s="353" t="b" cm="1">
        <f t="array" ref="T336">T335</f>
        <v>1</v>
      </c>
      <c r="X336" s="990"/>
      <c r="Z336" s="967"/>
      <c r="AB336" s="133" t="s">
        <v>1358</v>
      </c>
      <c r="AC336" s="134" t="s">
        <v>1990</v>
      </c>
      <c r="AD336" s="7" t="s">
        <v>828</v>
      </c>
      <c r="AE336" s="128">
        <v>243.9336319988</v>
      </c>
      <c r="AF336" s="128">
        <v>728.28941571630003</v>
      </c>
      <c r="AG336" s="128">
        <v>243.9336319988</v>
      </c>
      <c r="AH336" s="171">
        <f t="shared" si="90"/>
        <v>-484.3557837175</v>
      </c>
      <c r="AI336" s="872"/>
      <c r="AJ336" s="444"/>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c r="BG336" s="542"/>
      <c r="BH336" s="542"/>
      <c r="BI336" s="542"/>
      <c r="BJ336" s="542"/>
      <c r="BK336" s="542"/>
      <c r="BL336" s="542"/>
      <c r="BM336" s="542"/>
      <c r="BN336" s="196"/>
      <c r="BO336" s="196"/>
      <c r="BP336" s="196"/>
      <c r="BS336" s="694" t="s">
        <v>1809</v>
      </c>
    </row>
    <row r="337" spans="1:75" ht="70.5" customHeight="1" x14ac:dyDescent="0.15">
      <c r="E337" s="507">
        <v>22.5</v>
      </c>
      <c r="F337" s="3" t="str" cm="1">
        <f t="array" aca="1" ref="F337" ca="1">OFFSET(E337,-1,1)</f>
        <v>2</v>
      </c>
      <c r="H337" s="277"/>
      <c r="I337" s="277" t="s">
        <v>1361</v>
      </c>
      <c r="K337" s="277" t="s">
        <v>1361</v>
      </c>
      <c r="L337" s="25"/>
      <c r="M337" s="25"/>
      <c r="Q337" s="72" t="s">
        <v>2324</v>
      </c>
      <c r="R337" s="75" t="s">
        <v>2324</v>
      </c>
      <c r="T337" s="353" t="b" cm="1">
        <f t="array" ref="T337">T336</f>
        <v>1</v>
      </c>
      <c r="X337" s="990"/>
      <c r="Z337" s="967"/>
      <c r="AB337" s="133" t="s">
        <v>1362</v>
      </c>
      <c r="AC337" s="134" t="s">
        <v>1991</v>
      </c>
      <c r="AD337" s="7" t="s">
        <v>828</v>
      </c>
      <c r="AE337" s="128">
        <v>4223.42</v>
      </c>
      <c r="AF337" s="128">
        <v>4341.2996772873003</v>
      </c>
      <c r="AG337" s="128">
        <v>4223.42</v>
      </c>
      <c r="AH337" s="171">
        <f t="shared" si="90"/>
        <v>-117.87967728730018</v>
      </c>
      <c r="AI337" s="872"/>
      <c r="AJ337" s="444"/>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c r="BG337" s="542"/>
      <c r="BH337" s="542"/>
      <c r="BI337" s="542"/>
      <c r="BJ337" s="542"/>
      <c r="BK337" s="542"/>
      <c r="BL337" s="542"/>
      <c r="BM337" s="542"/>
      <c r="BN337" s="196"/>
      <c r="BO337" s="196"/>
      <c r="BP337" s="196"/>
      <c r="BS337" s="696" t="s">
        <v>1992</v>
      </c>
    </row>
    <row r="338" spans="1:75" ht="44.25" customHeight="1" x14ac:dyDescent="0.25">
      <c r="E338" s="507">
        <v>22.5</v>
      </c>
      <c r="F338" s="3" t="str" cm="1">
        <f t="array" aca="1" ref="F338" ca="1">OFFSET(E338,-1,1)</f>
        <v>2</v>
      </c>
      <c r="H338" s="277"/>
      <c r="I338" s="277" t="s">
        <v>1365</v>
      </c>
      <c r="K338" s="277" t="s">
        <v>1365</v>
      </c>
      <c r="L338" s="25" t="s">
        <v>503</v>
      </c>
      <c r="M338" s="25"/>
      <c r="Q338" s="72" t="s">
        <v>2324</v>
      </c>
      <c r="R338" s="75" t="s">
        <v>2324</v>
      </c>
      <c r="T338" s="353" t="b" cm="1">
        <f t="array" ref="T338">T337</f>
        <v>1</v>
      </c>
      <c r="X338" s="990"/>
      <c r="Z338" s="967"/>
      <c r="AB338" s="133" t="s">
        <v>1366</v>
      </c>
      <c r="AC338" s="134" t="s">
        <v>1993</v>
      </c>
      <c r="AD338" s="7" t="s">
        <v>828</v>
      </c>
      <c r="AE338" s="128">
        <v>0</v>
      </c>
      <c r="AF338" s="128"/>
      <c r="AG338" s="128"/>
      <c r="AH338" s="171">
        <f t="shared" si="90"/>
        <v>0</v>
      </c>
      <c r="AI338" s="872"/>
      <c r="AJ338" s="444"/>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c r="BG338" s="542"/>
      <c r="BH338" s="542"/>
      <c r="BI338" s="542"/>
      <c r="BJ338" s="542"/>
      <c r="BK338" s="542"/>
      <c r="BL338" s="542"/>
      <c r="BM338" s="542"/>
      <c r="BN338" s="196"/>
      <c r="BO338" s="196"/>
      <c r="BP338" s="196"/>
      <c r="BS338" s="694" t="s">
        <v>1811</v>
      </c>
    </row>
    <row r="339" spans="1:75" ht="23.25" customHeight="1" x14ac:dyDescent="0.25">
      <c r="E339" s="507">
        <v>15</v>
      </c>
      <c r="F339" s="3" t="str" cm="1">
        <f t="array" aca="1" ref="F339" ca="1">OFFSET(E339,-1,1)</f>
        <v>2</v>
      </c>
      <c r="G339" s="2" t="s">
        <v>1177</v>
      </c>
      <c r="H339" s="277"/>
      <c r="I339" s="277" t="s">
        <v>1994</v>
      </c>
      <c r="K339" s="277" t="s">
        <v>1994</v>
      </c>
      <c r="L339" s="25" t="s">
        <v>1812</v>
      </c>
      <c r="M339" s="25"/>
      <c r="Q339" s="72" t="s">
        <v>2324</v>
      </c>
      <c r="R339" s="75" t="s">
        <v>2324</v>
      </c>
      <c r="T339" s="353" t="b" cm="1">
        <f t="array" ref="T339">T338</f>
        <v>1</v>
      </c>
      <c r="X339" s="990"/>
      <c r="Z339" s="967"/>
      <c r="AB339" s="133" t="s">
        <v>1995</v>
      </c>
      <c r="AC339" s="543" t="s">
        <v>1813</v>
      </c>
      <c r="AD339" s="7" t="s">
        <v>828</v>
      </c>
      <c r="AE339" s="128">
        <v>0</v>
      </c>
      <c r="AF339" s="128"/>
      <c r="AG339" s="128"/>
      <c r="AH339" s="171">
        <f t="shared" si="90"/>
        <v>0</v>
      </c>
      <c r="AI339" s="872"/>
      <c r="AJ339" s="444"/>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c r="BG339" s="542"/>
      <c r="BH339" s="542"/>
      <c r="BI339" s="542"/>
      <c r="BJ339" s="542"/>
      <c r="BK339" s="542"/>
      <c r="BL339" s="542"/>
      <c r="BM339" s="542"/>
      <c r="BN339" s="196"/>
      <c r="BO339" s="601" t="str">
        <f ca="1">IF(IFERROR(INDEX(ФОТ!$K$26:$L$127,MATCH($F339&amp;"3komm",ФОТ!$K$26:$K$127,0),2),"")=0,"",IFERROR(INDEX(ФОТ!$K$26:$L$127,MATCH($F339&amp;"3komm",ФОТ!$K$26:$K$127,0),2),""))</f>
        <v/>
      </c>
      <c r="BP339" s="196"/>
      <c r="BS339" s="694" t="s">
        <v>1814</v>
      </c>
    </row>
    <row r="340" spans="1:75" ht="21.75" customHeight="1" x14ac:dyDescent="0.25">
      <c r="E340" s="507">
        <v>22.5</v>
      </c>
      <c r="F340" s="3" t="str" cm="1">
        <f t="array" aca="1" ref="F340" ca="1">OFFSET(E340,-1,1)</f>
        <v>2</v>
      </c>
      <c r="G340" s="2" t="s">
        <v>1182</v>
      </c>
      <c r="H340" s="277"/>
      <c r="I340" s="277" t="s">
        <v>1996</v>
      </c>
      <c r="K340" s="277" t="s">
        <v>1996</v>
      </c>
      <c r="L340" s="25" t="s">
        <v>1815</v>
      </c>
      <c r="M340" s="25"/>
      <c r="Q340" s="72" t="s">
        <v>2324</v>
      </c>
      <c r="R340" s="75" t="s">
        <v>2324</v>
      </c>
      <c r="T340" s="353" t="b" cm="1">
        <f t="array" ref="T340">T339</f>
        <v>1</v>
      </c>
      <c r="X340" s="990"/>
      <c r="Z340" s="967"/>
      <c r="AB340" s="133" t="s">
        <v>1997</v>
      </c>
      <c r="AC340" s="543" t="s">
        <v>1998</v>
      </c>
      <c r="AD340" s="7" t="s">
        <v>828</v>
      </c>
      <c r="AE340" s="128">
        <f ca="1">AE339*SUMIFS(INDEX(Сценарии!$AE$25:$BF$136,,MATCH(AE$8,Сценарии!$AE$8:$BF$8,0)),Сценарии!$F$25:$F$136,$F340,Сценарии!$G$25:$G$136,"СВФОТ")/100</f>
        <v>0</v>
      </c>
      <c r="AF340" s="128">
        <f ca="1">AF339*SUMIFS(INDEX(Сценарии!$AE$25:$BF$136,,MATCH(AF$8,Сценарии!$AE$8:$BF$8,0)),Сценарии!$F$25:$F$136,$F340,Сценарии!$G$25:$G$136,"СВФОТ")/100</f>
        <v>0</v>
      </c>
      <c r="AG340" s="128">
        <f ca="1">AG339*SUMIFS(INDEX(Сценарии!$AE$25:$BF$136,,MATCH(AG$8,Сценарии!$AE$8:$BF$8,0)),Сценарии!$F$25:$F$136,$F340,Сценарии!$G$25:$G$136,"СВФОТ")/100</f>
        <v>0</v>
      </c>
      <c r="AH340" s="171">
        <f t="shared" ca="1" si="90"/>
        <v>0</v>
      </c>
      <c r="AI340" s="872">
        <f ca="1">AI339*SUMIFS(INDEX(Сценарии!$AE$25:$BF$136,,MATCH(AG$8,Сценарии!$AE$8:$BF$8,0)),Сценарии!$F$25:$F$136,$F340,Сценарии!$G$25:$G$136,"СВФОТ")/100</f>
        <v>0</v>
      </c>
      <c r="AJ340" s="444"/>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c r="BG340" s="542"/>
      <c r="BH340" s="542"/>
      <c r="BI340" s="542"/>
      <c r="BJ340" s="542"/>
      <c r="BK340" s="542"/>
      <c r="BL340" s="542"/>
      <c r="BM340" s="542"/>
      <c r="BN340" s="196"/>
      <c r="BO340" s="601" t="str">
        <f ca="1">IF(IFERROR(INDEX(ФОТ!$K$26:$L$127,MATCH($F340&amp;"4komm",ФОТ!$K$26:$K$127,0),2),"")=0,"",IFERROR(INDEX(ФОТ!$K$26:$L$127,MATCH($F340&amp;"4komm",ФОТ!$K$26:$K$127,0),2),""))</f>
        <v/>
      </c>
      <c r="BP340" s="196"/>
      <c r="BS340" s="694" t="s">
        <v>1817</v>
      </c>
    </row>
    <row r="341" spans="1:75" s="870" customFormat="1" ht="20.25" customHeight="1" x14ac:dyDescent="0.25">
      <c r="A341" s="76"/>
      <c r="B341" s="332"/>
      <c r="C341" s="76"/>
      <c r="D341" s="76"/>
      <c r="E341" s="511">
        <v>21</v>
      </c>
      <c r="F341" s="3" t="str" cm="1">
        <f t="array" aca="1" ref="F341" ca="1">OFFSET(E341,-1,1)</f>
        <v>2</v>
      </c>
      <c r="G341" s="76"/>
      <c r="H341" s="277"/>
      <c r="I341" s="277" t="s">
        <v>493</v>
      </c>
      <c r="J341" s="76"/>
      <c r="K341" s="277" t="s">
        <v>493</v>
      </c>
      <c r="L341" s="27" t="s">
        <v>333</v>
      </c>
      <c r="M341" s="27"/>
      <c r="N341" s="76"/>
      <c r="O341" s="76"/>
      <c r="P341" s="76"/>
      <c r="Q341" s="72" t="s">
        <v>2324</v>
      </c>
      <c r="R341" s="75" t="s">
        <v>2324</v>
      </c>
      <c r="S341" s="76"/>
      <c r="T341" s="353" t="b" cm="1">
        <f t="array" ref="T341">T340</f>
        <v>1</v>
      </c>
      <c r="U341" s="76"/>
      <c r="V341" s="76"/>
      <c r="W341" s="76"/>
      <c r="X341" s="990"/>
      <c r="Y341" s="76"/>
      <c r="Z341" s="967"/>
      <c r="AA341" s="76"/>
      <c r="AB341" s="131" t="s">
        <v>948</v>
      </c>
      <c r="AC341" s="263" t="s">
        <v>1999</v>
      </c>
      <c r="AD341" s="124" t="s">
        <v>828</v>
      </c>
      <c r="AE341" s="126">
        <f ca="1">AE342+AE350+AE353+AE354+AE355+AE356+AE357</f>
        <v>0</v>
      </c>
      <c r="AF341" s="126">
        <f ca="1">AF342+AF350+AF353+AF354+AF355+AF356+AF357</f>
        <v>0</v>
      </c>
      <c r="AG341" s="126">
        <f ca="1">AG342+AG350+AG353+AG354+AG355+AG356+AG357</f>
        <v>0</v>
      </c>
      <c r="AH341" s="126">
        <f t="shared" ca="1" si="90"/>
        <v>0</v>
      </c>
      <c r="AI341" s="871">
        <f ca="1">AI342+AI350+AI353+AI354+AI355+AI356+AI357</f>
        <v>0</v>
      </c>
      <c r="AJ341" s="444"/>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556"/>
      <c r="BO341" s="556"/>
      <c r="BP341" s="556"/>
      <c r="BQ341" s="76"/>
      <c r="BR341" s="76"/>
      <c r="BS341" s="695" t="s">
        <v>1819</v>
      </c>
      <c r="BT341" s="702"/>
      <c r="BU341" s="702"/>
      <c r="BV341" s="511"/>
      <c r="BW341" s="511"/>
    </row>
    <row r="342" spans="1:75" ht="21.75" customHeight="1" x14ac:dyDescent="0.25">
      <c r="E342" s="507">
        <v>22.5</v>
      </c>
      <c r="F342" s="3" t="str" cm="1">
        <f t="array" aca="1" ref="F342" ca="1">OFFSET(E342,-1,1)</f>
        <v>2</v>
      </c>
      <c r="G342" s="72" t="s">
        <v>1203</v>
      </c>
      <c r="H342" s="277"/>
      <c r="I342" s="277" t="s">
        <v>1371</v>
      </c>
      <c r="K342" s="277" t="s">
        <v>1371</v>
      </c>
      <c r="L342" s="25" t="s">
        <v>969</v>
      </c>
      <c r="M342" s="25"/>
      <c r="Q342" s="72" t="s">
        <v>2324</v>
      </c>
      <c r="R342" s="75" t="s">
        <v>2324</v>
      </c>
      <c r="T342" s="353" t="b" cm="1">
        <f t="array" ref="T342">T341</f>
        <v>1</v>
      </c>
      <c r="X342" s="990"/>
      <c r="Z342" s="967"/>
      <c r="AB342" s="133" t="s">
        <v>1087</v>
      </c>
      <c r="AC342" s="134" t="s">
        <v>2000</v>
      </c>
      <c r="AD342" s="7" t="s">
        <v>828</v>
      </c>
      <c r="AE342" s="171">
        <f>SUM(AE343:AE349)</f>
        <v>0</v>
      </c>
      <c r="AF342" s="171">
        <f>SUM(AF343:AF349)</f>
        <v>0</v>
      </c>
      <c r="AG342" s="171">
        <f>SUM(AG343:AG349)</f>
        <v>0</v>
      </c>
      <c r="AH342" s="171">
        <f t="shared" si="90"/>
        <v>0</v>
      </c>
      <c r="AI342" s="872">
        <f>SUM(AI343:AI349)</f>
        <v>0</v>
      </c>
      <c r="AJ342" s="444"/>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196"/>
      <c r="BO342" s="601" t="str">
        <f ca="1">IF(IFERROR(INDEX(Административные!$K$26:$L$103,MATCH($F342&amp;"17komm",Административные!$K$26:$K$103,0),2),"")=0,"",IFERROR(INDEX(Административные!$K$26:$L$103,MATCH($F342&amp;"17komm",Административные!$K$26:$K$103,0),2),""))</f>
        <v/>
      </c>
      <c r="BP342" s="196"/>
      <c r="BS342" s="694" t="s">
        <v>1205</v>
      </c>
    </row>
    <row r="343" spans="1:75" ht="14.65" customHeight="1" x14ac:dyDescent="0.15">
      <c r="E343" s="507">
        <v>15</v>
      </c>
      <c r="F343" s="3" t="str" cm="1">
        <f t="array" aca="1" ref="F343" ca="1">OFFSET(E343,-1,1)</f>
        <v>2</v>
      </c>
      <c r="G343" s="72" t="s">
        <v>1206</v>
      </c>
      <c r="H343" s="277"/>
      <c r="I343" s="277" t="s">
        <v>2001</v>
      </c>
      <c r="K343" s="277" t="s">
        <v>2001</v>
      </c>
      <c r="L343" s="25"/>
      <c r="M343" s="25"/>
      <c r="Q343" s="72" t="s">
        <v>2324</v>
      </c>
      <c r="R343" s="75" t="s">
        <v>2324</v>
      </c>
      <c r="T343" s="353" t="b" cm="1">
        <f t="array" ref="T343">T342</f>
        <v>1</v>
      </c>
      <c r="X343" s="990"/>
      <c r="Z343" s="967"/>
      <c r="AB343" s="133" t="s">
        <v>2002</v>
      </c>
      <c r="AC343" s="543" t="s">
        <v>1207</v>
      </c>
      <c r="AD343" s="7" t="s">
        <v>828</v>
      </c>
      <c r="AE343" s="128">
        <v>0</v>
      </c>
      <c r="AF343" s="128"/>
      <c r="AG343" s="128"/>
      <c r="AH343" s="171">
        <f t="shared" si="90"/>
        <v>0</v>
      </c>
      <c r="AI343" s="872"/>
      <c r="AJ343" s="444"/>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196"/>
      <c r="BO343" s="601" t="str">
        <f ca="1">IF(IFERROR(INDEX(Административные!$K$26:$L$103,MATCH($F343&amp;"18komm",Административные!$K$26:$K$103,0),2),"")=0,"",IFERROR(INDEX(Административные!$K$26:$L$103,MATCH($F343&amp;"18komm",Административные!$K$26:$K$103,0),2),""))</f>
        <v/>
      </c>
      <c r="BP343" s="196"/>
      <c r="BS343" s="696" t="s">
        <v>1208</v>
      </c>
    </row>
    <row r="344" spans="1:75" ht="14.65" customHeight="1" x14ac:dyDescent="0.15">
      <c r="E344" s="507">
        <v>15</v>
      </c>
      <c r="F344" s="3" t="str" cm="1">
        <f t="array" aca="1" ref="F344" ca="1">OFFSET(E344,-1,1)</f>
        <v>2</v>
      </c>
      <c r="G344" s="72" t="s">
        <v>1209</v>
      </c>
      <c r="H344" s="277"/>
      <c r="I344" s="277" t="s">
        <v>2003</v>
      </c>
      <c r="K344" s="277" t="s">
        <v>2003</v>
      </c>
      <c r="L344" s="25"/>
      <c r="M344" s="25"/>
      <c r="Q344" s="72" t="s">
        <v>2324</v>
      </c>
      <c r="R344" s="75" t="s">
        <v>2324</v>
      </c>
      <c r="T344" s="353" t="b" cm="1">
        <f t="array" ref="T344">T343</f>
        <v>1</v>
      </c>
      <c r="X344" s="990"/>
      <c r="Z344" s="967"/>
      <c r="AB344" s="133" t="s">
        <v>2004</v>
      </c>
      <c r="AC344" s="543" t="s">
        <v>1210</v>
      </c>
      <c r="AD344" s="7" t="s">
        <v>828</v>
      </c>
      <c r="AE344" s="128">
        <v>0</v>
      </c>
      <c r="AF344" s="128"/>
      <c r="AG344" s="128"/>
      <c r="AH344" s="171">
        <f t="shared" si="90"/>
        <v>0</v>
      </c>
      <c r="AI344" s="872"/>
      <c r="AJ344" s="444"/>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c r="BG344" s="542"/>
      <c r="BH344" s="542"/>
      <c r="BI344" s="542"/>
      <c r="BJ344" s="542"/>
      <c r="BK344" s="542"/>
      <c r="BL344" s="542"/>
      <c r="BM344" s="542"/>
      <c r="BN344" s="196"/>
      <c r="BO344" s="601" t="str">
        <f ca="1">IF(IFERROR(INDEX(Административные!$K$26:$L$103,MATCH($F344&amp;"11komm",Административные!$K$26:$K$103,0),2),"")=0,"",IFERROR(INDEX(Административные!$K$26:$L$103,MATCH($F344&amp;"11komm",Административные!$K$26:$K$103,0),2),""))</f>
        <v/>
      </c>
      <c r="BP344" s="196"/>
      <c r="BS344" s="696" t="s">
        <v>1211</v>
      </c>
    </row>
    <row r="345" spans="1:75" ht="14.65" customHeight="1" x14ac:dyDescent="0.15">
      <c r="E345" s="507">
        <v>15</v>
      </c>
      <c r="F345" s="3" t="str" cm="1">
        <f t="array" aca="1" ref="F345" ca="1">OFFSET(E345,-1,1)</f>
        <v>2</v>
      </c>
      <c r="G345" s="72" t="s">
        <v>1212</v>
      </c>
      <c r="H345" s="277"/>
      <c r="I345" s="277" t="s">
        <v>2005</v>
      </c>
      <c r="K345" s="277" t="s">
        <v>2005</v>
      </c>
      <c r="L345" s="25"/>
      <c r="M345" s="25"/>
      <c r="Q345" s="72" t="s">
        <v>2324</v>
      </c>
      <c r="R345" s="75" t="s">
        <v>2324</v>
      </c>
      <c r="T345" s="353" t="b" cm="1">
        <f t="array" ref="T345">T344</f>
        <v>1</v>
      </c>
      <c r="X345" s="990"/>
      <c r="Z345" s="967"/>
      <c r="AB345" s="133" t="s">
        <v>2006</v>
      </c>
      <c r="AC345" s="543" t="s">
        <v>1213</v>
      </c>
      <c r="AD345" s="7" t="s">
        <v>828</v>
      </c>
      <c r="AE345" s="128">
        <v>0</v>
      </c>
      <c r="AF345" s="128"/>
      <c r="AG345" s="128"/>
      <c r="AH345" s="171">
        <f t="shared" si="90"/>
        <v>0</v>
      </c>
      <c r="AI345" s="872"/>
      <c r="AJ345" s="444"/>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c r="BG345" s="542"/>
      <c r="BH345" s="542"/>
      <c r="BI345" s="542"/>
      <c r="BJ345" s="542"/>
      <c r="BK345" s="542"/>
      <c r="BL345" s="542"/>
      <c r="BM345" s="542"/>
      <c r="BN345" s="196"/>
      <c r="BO345" s="601" t="str">
        <f ca="1">IF(IFERROR(INDEX(Административные!$K$26:$L$103,MATCH($F345&amp;"12komm",Административные!$K$26:$K$103,0),2),"")=0,"",IFERROR(INDEX(Административные!$K$26:$L$103,MATCH($F345&amp;"12komm",Административные!$K$26:$K$103,0),2),""))</f>
        <v/>
      </c>
      <c r="BP345" s="196"/>
      <c r="BS345" s="696" t="s">
        <v>1214</v>
      </c>
    </row>
    <row r="346" spans="1:75" ht="14.65" customHeight="1" x14ac:dyDescent="0.15">
      <c r="E346" s="507">
        <v>15</v>
      </c>
      <c r="F346" s="3" t="str" cm="1">
        <f t="array" aca="1" ref="F346" ca="1">OFFSET(E346,-1,1)</f>
        <v>2</v>
      </c>
      <c r="G346" s="72" t="s">
        <v>1215</v>
      </c>
      <c r="H346" s="277"/>
      <c r="I346" s="277" t="s">
        <v>2007</v>
      </c>
      <c r="K346" s="277" t="s">
        <v>2007</v>
      </c>
      <c r="L346" s="25"/>
      <c r="M346" s="25"/>
      <c r="Q346" s="72" t="s">
        <v>2324</v>
      </c>
      <c r="R346" s="75" t="s">
        <v>2324</v>
      </c>
      <c r="T346" s="353" t="b" cm="1">
        <f t="array" ref="T346">T345</f>
        <v>1</v>
      </c>
      <c r="X346" s="990"/>
      <c r="Z346" s="967"/>
      <c r="AB346" s="133" t="s">
        <v>2008</v>
      </c>
      <c r="AC346" s="543" t="s">
        <v>1216</v>
      </c>
      <c r="AD346" s="7" t="s">
        <v>828</v>
      </c>
      <c r="AE346" s="128">
        <v>0</v>
      </c>
      <c r="AF346" s="128"/>
      <c r="AG346" s="128"/>
      <c r="AH346" s="171">
        <f t="shared" si="90"/>
        <v>0</v>
      </c>
      <c r="AI346" s="872"/>
      <c r="AJ346" s="444"/>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c r="BG346" s="542"/>
      <c r="BH346" s="542"/>
      <c r="BI346" s="542"/>
      <c r="BJ346" s="542"/>
      <c r="BK346" s="542"/>
      <c r="BL346" s="542"/>
      <c r="BM346" s="542"/>
      <c r="BN346" s="196"/>
      <c r="BO346" s="601" t="str">
        <f ca="1">IF(IFERROR(INDEX(Административные!$K$26:$L$103,MATCH($F346&amp;"13komm",Административные!$K$26:$K$103,0),2),"")=0,"",IFERROR(INDEX(Административные!$K$26:$L$103,MATCH($F346&amp;"13komm",Административные!$K$26:$K$103,0),2),""))</f>
        <v/>
      </c>
      <c r="BP346" s="196"/>
      <c r="BS346" s="696" t="s">
        <v>1217</v>
      </c>
    </row>
    <row r="347" spans="1:75" ht="23.25" customHeight="1" x14ac:dyDescent="0.15">
      <c r="E347" s="507">
        <v>15</v>
      </c>
      <c r="F347" s="3" t="str" cm="1">
        <f t="array" aca="1" ref="F347" ca="1">OFFSET(E347,-1,1)</f>
        <v>2</v>
      </c>
      <c r="G347" s="72" t="s">
        <v>1218</v>
      </c>
      <c r="H347" s="277"/>
      <c r="I347" s="277" t="s">
        <v>2009</v>
      </c>
      <c r="K347" s="277" t="s">
        <v>2009</v>
      </c>
      <c r="L347" s="25"/>
      <c r="M347" s="25"/>
      <c r="Q347" s="72" t="s">
        <v>2324</v>
      </c>
      <c r="R347" s="75" t="s">
        <v>2324</v>
      </c>
      <c r="T347" s="353" t="b" cm="1">
        <f t="array" ref="T347">T346</f>
        <v>1</v>
      </c>
      <c r="X347" s="990"/>
      <c r="Z347" s="967"/>
      <c r="AB347" s="133" t="s">
        <v>2010</v>
      </c>
      <c r="AC347" s="543" t="s">
        <v>1219</v>
      </c>
      <c r="AD347" s="7" t="s">
        <v>828</v>
      </c>
      <c r="AE347" s="128">
        <v>0</v>
      </c>
      <c r="AF347" s="128"/>
      <c r="AG347" s="128"/>
      <c r="AH347" s="171">
        <f t="shared" si="90"/>
        <v>0</v>
      </c>
      <c r="AI347" s="872"/>
      <c r="AJ347" s="444"/>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c r="BG347" s="542"/>
      <c r="BH347" s="542"/>
      <c r="BI347" s="542"/>
      <c r="BJ347" s="542"/>
      <c r="BK347" s="542"/>
      <c r="BL347" s="542"/>
      <c r="BM347" s="542"/>
      <c r="BN347" s="196"/>
      <c r="BO347" s="601" t="str">
        <f ca="1">IF(IFERROR(INDEX(Административные!$K$26:$L$103,MATCH($F347&amp;"14komm",Административные!$K$26:$K$103,0),2),"")=0,"",IFERROR(INDEX(Административные!$K$26:$L$103,MATCH($F347&amp;"14komm",Административные!$K$26:$K$103,0),2),""))</f>
        <v/>
      </c>
      <c r="BP347" s="196"/>
      <c r="BS347" s="696" t="s">
        <v>2011</v>
      </c>
    </row>
    <row r="348" spans="1:75" ht="14.65" customHeight="1" x14ac:dyDescent="0.15">
      <c r="E348" s="507">
        <v>15</v>
      </c>
      <c r="F348" s="3" t="str" cm="1">
        <f t="array" aca="1" ref="F348" ca="1">OFFSET(E348,-1,1)</f>
        <v>2</v>
      </c>
      <c r="G348" s="72" t="s">
        <v>1221</v>
      </c>
      <c r="H348" s="277"/>
      <c r="I348" s="277" t="s">
        <v>2012</v>
      </c>
      <c r="K348" s="277" t="s">
        <v>2012</v>
      </c>
      <c r="L348" s="25"/>
      <c r="M348" s="25"/>
      <c r="Q348" s="72" t="s">
        <v>2324</v>
      </c>
      <c r="R348" s="75" t="s">
        <v>2324</v>
      </c>
      <c r="T348" s="353" t="b" cm="1">
        <f t="array" ref="T348">T347</f>
        <v>1</v>
      </c>
      <c r="X348" s="990"/>
      <c r="Z348" s="967"/>
      <c r="AB348" s="133" t="s">
        <v>2013</v>
      </c>
      <c r="AC348" s="543" t="s">
        <v>1224</v>
      </c>
      <c r="AD348" s="7" t="s">
        <v>828</v>
      </c>
      <c r="AE348" s="128">
        <v>0</v>
      </c>
      <c r="AF348" s="128"/>
      <c r="AG348" s="128"/>
      <c r="AH348" s="171">
        <f t="shared" ref="AH348:AH379" si="94">AG348-AF348</f>
        <v>0</v>
      </c>
      <c r="AI348" s="872"/>
      <c r="AJ348" s="444"/>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196"/>
      <c r="BO348" s="601" t="str">
        <f ca="1">IF(IFERROR(INDEX(Административные!$K$26:$L$103,MATCH($F348&amp;"15komm",Административные!$K$26:$K$103,0),2),"")=0,"",IFERROR(INDEX(Административные!$K$26:$L$103,MATCH($F348&amp;"15komm",Административные!$K$26:$K$103,0),2),""))</f>
        <v/>
      </c>
      <c r="BP348" s="196"/>
      <c r="BS348" s="696" t="s">
        <v>1225</v>
      </c>
    </row>
    <row r="349" spans="1:75" ht="14.65" customHeight="1" x14ac:dyDescent="0.15">
      <c r="E349" s="507">
        <v>15</v>
      </c>
      <c r="F349" s="3" t="str" cm="1">
        <f t="array" aca="1" ref="F349" ca="1">OFFSET(E349,-1,1)</f>
        <v>2</v>
      </c>
      <c r="G349" s="72" t="s">
        <v>1226</v>
      </c>
      <c r="H349" s="277"/>
      <c r="I349" s="277" t="s">
        <v>2014</v>
      </c>
      <c r="K349" s="277" t="s">
        <v>2014</v>
      </c>
      <c r="L349" s="25"/>
      <c r="M349" s="25"/>
      <c r="Q349" s="72" t="s">
        <v>2324</v>
      </c>
      <c r="R349" s="75" t="s">
        <v>2324</v>
      </c>
      <c r="T349" s="353" t="b" cm="1">
        <f t="array" ref="T349">T348</f>
        <v>1</v>
      </c>
      <c r="X349" s="990"/>
      <c r="Z349" s="967"/>
      <c r="AB349" s="133" t="s">
        <v>2015</v>
      </c>
      <c r="AC349" s="543" t="s">
        <v>1229</v>
      </c>
      <c r="AD349" s="7" t="s">
        <v>828</v>
      </c>
      <c r="AE349" s="128">
        <v>0</v>
      </c>
      <c r="AF349" s="128"/>
      <c r="AG349" s="128"/>
      <c r="AH349" s="171">
        <f t="shared" si="94"/>
        <v>0</v>
      </c>
      <c r="AI349" s="872"/>
      <c r="AJ349" s="444"/>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196"/>
      <c r="BO349" s="601" t="str">
        <f ca="1">IF(IFERROR(INDEX(Административные!$K$26:$L$103,MATCH($F349&amp;"16komm",Административные!$K$26:$K$103,0),2),"")=0,"",IFERROR(INDEX(Административные!$K$26:$L$103,MATCH($F349&amp;"16komm",Административные!$K$26:$K$103,0),2),""))</f>
        <v/>
      </c>
      <c r="BP349" s="196"/>
      <c r="BS349" s="696" t="s">
        <v>2016</v>
      </c>
    </row>
    <row r="350" spans="1:75" ht="21.75" customHeight="1" x14ac:dyDescent="0.25">
      <c r="E350" s="507">
        <v>22.5</v>
      </c>
      <c r="F350" s="3" t="str" cm="1">
        <f t="array" aca="1" ref="F350" ca="1">OFFSET(E350,-1,1)</f>
        <v>2</v>
      </c>
      <c r="H350" s="277"/>
      <c r="I350" s="277" t="s">
        <v>1372</v>
      </c>
      <c r="K350" s="277" t="s">
        <v>1372</v>
      </c>
      <c r="L350" s="25" t="s">
        <v>971</v>
      </c>
      <c r="M350" s="25"/>
      <c r="Q350" s="72" t="s">
        <v>2324</v>
      </c>
      <c r="R350" s="75" t="s">
        <v>2324</v>
      </c>
      <c r="T350" s="353" t="b" cm="1">
        <f t="array" ref="T350">T349</f>
        <v>1</v>
      </c>
      <c r="X350" s="990"/>
      <c r="Z350" s="967"/>
      <c r="AB350" s="133" t="s">
        <v>1090</v>
      </c>
      <c r="AC350" s="134" t="s">
        <v>2017</v>
      </c>
      <c r="AD350" s="7" t="s">
        <v>828</v>
      </c>
      <c r="AE350" s="171">
        <f ca="1">AE351+AE352</f>
        <v>0</v>
      </c>
      <c r="AF350" s="171">
        <f ca="1">AF351+AF352</f>
        <v>0</v>
      </c>
      <c r="AG350" s="171">
        <f ca="1">AG351+AG352</f>
        <v>0</v>
      </c>
      <c r="AH350" s="171">
        <f t="shared" ca="1" si="94"/>
        <v>0</v>
      </c>
      <c r="AI350" s="872">
        <f ca="1">AI351+AI352</f>
        <v>0</v>
      </c>
      <c r="AJ350" s="444"/>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c r="BG350" s="542"/>
      <c r="BH350" s="542"/>
      <c r="BI350" s="542"/>
      <c r="BJ350" s="542"/>
      <c r="BK350" s="542"/>
      <c r="BL350" s="542"/>
      <c r="BM350" s="542"/>
      <c r="BN350" s="196"/>
      <c r="BO350" s="196"/>
      <c r="BP350" s="196"/>
      <c r="BS350" s="694" t="s">
        <v>1822</v>
      </c>
    </row>
    <row r="351" spans="1:75" ht="23.25" customHeight="1" x14ac:dyDescent="0.25">
      <c r="E351" s="507">
        <v>15</v>
      </c>
      <c r="F351" s="3" t="str" cm="1">
        <f t="array" aca="1" ref="F351" ca="1">OFFSET(E351,-1,1)</f>
        <v>2</v>
      </c>
      <c r="G351" s="72" t="s">
        <v>1185</v>
      </c>
      <c r="H351" s="277"/>
      <c r="I351" s="277" t="s">
        <v>2018</v>
      </c>
      <c r="K351" s="277" t="s">
        <v>2018</v>
      </c>
      <c r="L351" s="25" t="s">
        <v>518</v>
      </c>
      <c r="M351" s="25"/>
      <c r="Q351" s="72" t="s">
        <v>2324</v>
      </c>
      <c r="R351" s="75" t="s">
        <v>2324</v>
      </c>
      <c r="T351" s="353" t="b" cm="1">
        <f t="array" ref="T351">T350</f>
        <v>1</v>
      </c>
      <c r="X351" s="990"/>
      <c r="Z351" s="967"/>
      <c r="AB351" s="133" t="s">
        <v>2019</v>
      </c>
      <c r="AC351" s="543" t="s">
        <v>1823</v>
      </c>
      <c r="AD351" s="545" t="s">
        <v>828</v>
      </c>
      <c r="AE351" s="128">
        <v>0</v>
      </c>
      <c r="AF351" s="128"/>
      <c r="AG351" s="128"/>
      <c r="AH351" s="171">
        <f t="shared" si="94"/>
        <v>0</v>
      </c>
      <c r="AI351" s="872"/>
      <c r="AJ351" s="444"/>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c r="BG351" s="542"/>
      <c r="BH351" s="542"/>
      <c r="BI351" s="542"/>
      <c r="BJ351" s="542"/>
      <c r="BK351" s="542"/>
      <c r="BL351" s="542"/>
      <c r="BM351" s="542"/>
      <c r="BN351" s="196"/>
      <c r="BO351" s="601" t="str">
        <f ca="1">IF(IFERROR(INDEX(ФОТ!$K$26:$L$127,MATCH($F351&amp;"5komm",ФОТ!$K$26:$K$127,0),2),"")=0,"",IFERROR(INDEX(ФОТ!$K$26:$L$127,MATCH($F351&amp;"5komm",ФОТ!$K$26:$K$127,0),2),""))</f>
        <v/>
      </c>
      <c r="BP351" s="196"/>
      <c r="BS351" s="694" t="s">
        <v>1202</v>
      </c>
    </row>
    <row r="352" spans="1:75" ht="21.75" customHeight="1" x14ac:dyDescent="0.25">
      <c r="E352" s="507">
        <v>22.5</v>
      </c>
      <c r="F352" s="3" t="str" cm="1">
        <f t="array" aca="1" ref="F352" ca="1">OFFSET(E352,-1,1)</f>
        <v>2</v>
      </c>
      <c r="G352" s="72" t="s">
        <v>1190</v>
      </c>
      <c r="H352" s="277"/>
      <c r="I352" s="277" t="s">
        <v>2020</v>
      </c>
      <c r="K352" s="277" t="s">
        <v>2020</v>
      </c>
      <c r="L352" s="25" t="s">
        <v>523</v>
      </c>
      <c r="M352" s="25"/>
      <c r="Q352" s="72" t="s">
        <v>2324</v>
      </c>
      <c r="R352" s="75" t="s">
        <v>2324</v>
      </c>
      <c r="T352" s="353" t="b" cm="1">
        <f t="array" ref="T352">T351</f>
        <v>1</v>
      </c>
      <c r="X352" s="990"/>
      <c r="Z352" s="967"/>
      <c r="AB352" s="133" t="s">
        <v>2021</v>
      </c>
      <c r="AC352" s="543" t="s">
        <v>2022</v>
      </c>
      <c r="AD352" s="7" t="s">
        <v>828</v>
      </c>
      <c r="AE352" s="128">
        <f ca="1">AE351*SUMIFS(INDEX(Сценарии!$AE$25:$BF$136,,MATCH(AE$8,Сценарии!$AE$8:$BF$8,0)),Сценарии!$F$25:$F$136,$F352,Сценарии!$G$25:$G$136,"СВФОТ")/100</f>
        <v>0</v>
      </c>
      <c r="AF352" s="128">
        <f ca="1">AF351*SUMIFS(INDEX(Сценарии!$AE$25:$BF$136,,MATCH(AF$8,Сценарии!$AE$8:$BF$8,0)),Сценарии!$F$25:$F$136,$F352,Сценарии!$G$25:$G$136,"СВФОТ")/100</f>
        <v>0</v>
      </c>
      <c r="AG352" s="128">
        <f ca="1">AG351*SUMIFS(INDEX(Сценарии!$AE$25:$BF$136,,MATCH(AG$8,Сценарии!$AE$8:$BF$8,0)),Сценарии!$F$25:$F$136,$F352,Сценарии!$G$25:$G$136,"СВФОТ")/100</f>
        <v>0</v>
      </c>
      <c r="AH352" s="171">
        <f t="shared" ca="1" si="94"/>
        <v>0</v>
      </c>
      <c r="AI352" s="872">
        <f ca="1">AI351*SUMIFS(INDEX(Сценарии!$AE$25:$BF$136,,MATCH(AG$8,Сценарии!$AE$8:$BF$8,0)),Сценарии!$F$25:$F$136,$F352,Сценарии!$G$25:$G$136,"СВФОТ")/100</f>
        <v>0</v>
      </c>
      <c r="AJ352" s="444"/>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c r="BG352" s="542"/>
      <c r="BH352" s="542"/>
      <c r="BI352" s="542"/>
      <c r="BJ352" s="542"/>
      <c r="BK352" s="542"/>
      <c r="BL352" s="542"/>
      <c r="BM352" s="542"/>
      <c r="BN352" s="196"/>
      <c r="BO352" s="601" t="str">
        <f ca="1">IF(IFERROR(INDEX(ФОТ!$K$26:$L$127,MATCH($F352&amp;"6komm",ФОТ!$K$26:$K$127,0),2),"")=0,"",IFERROR(INDEX(ФОТ!$K$26:$L$127,MATCH($F352&amp;"6komm",ФОТ!$K$26:$K$127,0),2),""))</f>
        <v/>
      </c>
      <c r="BP352" s="196"/>
      <c r="BS352" s="694" t="s">
        <v>1825</v>
      </c>
    </row>
    <row r="353" spans="1:75" ht="54.75" customHeight="1" x14ac:dyDescent="0.25">
      <c r="E353" s="507">
        <v>33.75</v>
      </c>
      <c r="F353" s="3" t="str" cm="1">
        <f t="array" aca="1" ref="F353" ca="1">OFFSET(E353,-1,1)</f>
        <v>2</v>
      </c>
      <c r="G353" s="2" t="s">
        <v>1231</v>
      </c>
      <c r="H353" s="277"/>
      <c r="I353" s="277" t="s">
        <v>1375</v>
      </c>
      <c r="K353" s="277" t="s">
        <v>1375</v>
      </c>
      <c r="L353" s="25" t="s">
        <v>973</v>
      </c>
      <c r="M353" s="25"/>
      <c r="Q353" s="72" t="s">
        <v>2324</v>
      </c>
      <c r="R353" s="75" t="s">
        <v>2324</v>
      </c>
      <c r="T353" s="353" t="b" cm="1">
        <f t="array" ref="T353">T352</f>
        <v>1</v>
      </c>
      <c r="X353" s="990"/>
      <c r="Z353" s="967"/>
      <c r="AB353" s="133" t="s">
        <v>1376</v>
      </c>
      <c r="AC353" s="134" t="s">
        <v>2023</v>
      </c>
      <c r="AD353" s="7" t="s">
        <v>828</v>
      </c>
      <c r="AE353" s="128">
        <v>0</v>
      </c>
      <c r="AF353" s="128"/>
      <c r="AG353" s="128"/>
      <c r="AH353" s="171">
        <f t="shared" si="94"/>
        <v>0</v>
      </c>
      <c r="AI353" s="872"/>
      <c r="AJ353" s="444"/>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c r="BG353" s="542"/>
      <c r="BH353" s="542"/>
      <c r="BI353" s="542"/>
      <c r="BJ353" s="542"/>
      <c r="BK353" s="542"/>
      <c r="BL353" s="542"/>
      <c r="BM353" s="542"/>
      <c r="BN353" s="196"/>
      <c r="BO353" s="601" t="str">
        <f ca="1">IF(IFERROR(INDEX(Административные!$K$26:$L$103,MATCH($F353&amp;"2komm",Административные!$K$26:$K$103,0),2),"")=0,"",IFERROR(INDEX(Административные!$K$26:$L$103,MATCH($F353&amp;"2komm",Административные!$K$26:$K$103,0),2),""))</f>
        <v/>
      </c>
      <c r="BP353" s="196"/>
      <c r="BS353" s="694" t="s">
        <v>1233</v>
      </c>
    </row>
    <row r="354" spans="1:75" ht="14.65" customHeight="1" x14ac:dyDescent="0.25">
      <c r="E354" s="507">
        <v>15</v>
      </c>
      <c r="F354" s="3" t="str" cm="1">
        <f t="array" aca="1" ref="F354" ca="1">OFFSET(E354,-1,1)</f>
        <v>2</v>
      </c>
      <c r="G354" s="2" t="s">
        <v>1234</v>
      </c>
      <c r="H354" s="277"/>
      <c r="I354" s="277" t="s">
        <v>1379</v>
      </c>
      <c r="K354" s="277" t="s">
        <v>1379</v>
      </c>
      <c r="L354" s="25" t="s">
        <v>975</v>
      </c>
      <c r="M354" s="25"/>
      <c r="Q354" s="72" t="s">
        <v>2324</v>
      </c>
      <c r="R354" s="75" t="s">
        <v>2324</v>
      </c>
      <c r="T354" s="353" t="b" cm="1">
        <f t="array" ref="T354">T353</f>
        <v>1</v>
      </c>
      <c r="X354" s="990"/>
      <c r="Z354" s="967"/>
      <c r="AB354" s="133" t="s">
        <v>1380</v>
      </c>
      <c r="AC354" s="134" t="s">
        <v>2024</v>
      </c>
      <c r="AD354" s="7" t="s">
        <v>828</v>
      </c>
      <c r="AE354" s="128">
        <v>0</v>
      </c>
      <c r="AF354" s="128"/>
      <c r="AG354" s="128"/>
      <c r="AH354" s="171">
        <f t="shared" si="94"/>
        <v>0</v>
      </c>
      <c r="AI354" s="872"/>
      <c r="AJ354" s="444"/>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c r="BG354" s="542"/>
      <c r="BH354" s="542"/>
      <c r="BI354" s="542"/>
      <c r="BJ354" s="542"/>
      <c r="BK354" s="542"/>
      <c r="BL354" s="542"/>
      <c r="BM354" s="542"/>
      <c r="BN354" s="196"/>
      <c r="BO354" s="601" t="str">
        <f ca="1">IF(IFERROR(INDEX(Административные!$K$26:$L$103,MATCH($F354&amp;"3komm",Административные!$K$26:$K$103,0),2),"")=0,"",IFERROR(INDEX(Административные!$K$26:$L$103,MATCH($F354&amp;"3komm",Административные!$K$26:$K$103,0),2),""))</f>
        <v/>
      </c>
      <c r="BP354" s="196"/>
      <c r="BS354" s="694" t="s">
        <v>1236</v>
      </c>
    </row>
    <row r="355" spans="1:75" ht="14.65" customHeight="1" x14ac:dyDescent="0.25">
      <c r="E355" s="507">
        <v>15</v>
      </c>
      <c r="F355" s="3" t="str" cm="1">
        <f t="array" aca="1" ref="F355" ca="1">OFFSET(E355,-1,1)</f>
        <v>2</v>
      </c>
      <c r="G355" s="2" t="s">
        <v>1237</v>
      </c>
      <c r="H355" s="277"/>
      <c r="I355" s="277" t="s">
        <v>2025</v>
      </c>
      <c r="K355" s="277" t="s">
        <v>2025</v>
      </c>
      <c r="L355" s="25" t="s">
        <v>978</v>
      </c>
      <c r="M355" s="25"/>
      <c r="Q355" s="72" t="s">
        <v>2324</v>
      </c>
      <c r="R355" s="75" t="s">
        <v>2324</v>
      </c>
      <c r="T355" s="353" t="b" cm="1">
        <f t="array" ref="T355">T354</f>
        <v>1</v>
      </c>
      <c r="X355" s="990"/>
      <c r="Z355" s="967"/>
      <c r="AB355" s="133" t="s">
        <v>2026</v>
      </c>
      <c r="AC355" s="134" t="s">
        <v>2027</v>
      </c>
      <c r="AD355" s="7" t="s">
        <v>828</v>
      </c>
      <c r="AE355" s="128">
        <v>0</v>
      </c>
      <c r="AF355" s="128"/>
      <c r="AG355" s="128"/>
      <c r="AH355" s="171">
        <f t="shared" si="94"/>
        <v>0</v>
      </c>
      <c r="AI355" s="872"/>
      <c r="AJ355" s="444"/>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196"/>
      <c r="BO355" s="601" t="str">
        <f ca="1">IF(IFERROR(INDEX(Административные!$K$26:$L$103,MATCH($F355&amp;"4komm",Административные!$K$26:$K$103,0),2),"")=0,"",IFERROR(INDEX(Административные!$K$26:$L$103,MATCH($F355&amp;"4komm",Административные!$K$26:$K$103,0),2),""))</f>
        <v/>
      </c>
      <c r="BP355" s="196"/>
      <c r="BS355" s="694" t="s">
        <v>1239</v>
      </c>
    </row>
    <row r="356" spans="1:75" ht="14.65" customHeight="1" x14ac:dyDescent="0.25">
      <c r="E356" s="507">
        <v>15</v>
      </c>
      <c r="F356" s="3" t="str" cm="1">
        <f t="array" aca="1" ref="F356" ca="1">OFFSET(E356,-1,1)</f>
        <v>2</v>
      </c>
      <c r="G356" s="2" t="s">
        <v>1240</v>
      </c>
      <c r="H356" s="277"/>
      <c r="I356" s="277" t="s">
        <v>2028</v>
      </c>
      <c r="K356" s="277" t="s">
        <v>2028</v>
      </c>
      <c r="L356" s="25" t="s">
        <v>1222</v>
      </c>
      <c r="M356" s="25"/>
      <c r="Q356" s="72" t="s">
        <v>2324</v>
      </c>
      <c r="R356" s="75" t="s">
        <v>2324</v>
      </c>
      <c r="T356" s="353" t="b" cm="1">
        <f t="array" ref="T356">T355</f>
        <v>1</v>
      </c>
      <c r="X356" s="990"/>
      <c r="Z356" s="967"/>
      <c r="AB356" s="133" t="s">
        <v>2029</v>
      </c>
      <c r="AC356" s="134" t="s">
        <v>2030</v>
      </c>
      <c r="AD356" s="7" t="s">
        <v>828</v>
      </c>
      <c r="AE356" s="128">
        <v>0</v>
      </c>
      <c r="AF356" s="128"/>
      <c r="AG356" s="128"/>
      <c r="AH356" s="171">
        <f t="shared" si="94"/>
        <v>0</v>
      </c>
      <c r="AI356" s="872"/>
      <c r="AJ356" s="444"/>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196"/>
      <c r="BO356" s="601" t="str">
        <f ca="1">IF(IFERROR(INDEX(Административные!$K$26:$L$103,MATCH($F356&amp;"5komm",Административные!$K$26:$K$103,0),2),"")=0,"",IFERROR(INDEX(Административные!$K$26:$L$103,MATCH($F356&amp;"5komm",Административные!$K$26:$K$103,0),2),""))</f>
        <v/>
      </c>
      <c r="BP356" s="196"/>
      <c r="BS356" s="694" t="s">
        <v>1827</v>
      </c>
    </row>
    <row r="357" spans="1:75" ht="14.25" customHeight="1" x14ac:dyDescent="0.25">
      <c r="E357" s="507">
        <v>15</v>
      </c>
      <c r="F357" s="3" t="str" cm="1">
        <f t="array" aca="1" ref="F357" ca="1">OFFSET(E357,-1,1)</f>
        <v>2</v>
      </c>
      <c r="G357" s="2" t="s">
        <v>1243</v>
      </c>
      <c r="H357" s="277"/>
      <c r="I357" s="277" t="s">
        <v>2031</v>
      </c>
      <c r="K357" s="277" t="s">
        <v>2031</v>
      </c>
      <c r="L357" s="25" t="s">
        <v>1227</v>
      </c>
      <c r="M357" s="25"/>
      <c r="Q357" s="72" t="s">
        <v>2324</v>
      </c>
      <c r="R357" s="75" t="s">
        <v>2324</v>
      </c>
      <c r="T357" s="353" t="b" cm="1">
        <f t="array" ref="T357">T356</f>
        <v>1</v>
      </c>
      <c r="X357" s="990"/>
      <c r="Z357" s="967"/>
      <c r="AB357" s="133" t="s">
        <v>2032</v>
      </c>
      <c r="AC357" s="134" t="s">
        <v>2033</v>
      </c>
      <c r="AD357" s="7" t="s">
        <v>828</v>
      </c>
      <c r="AE357" s="171">
        <f>SUM(AE358:AE360)</f>
        <v>0</v>
      </c>
      <c r="AF357" s="171">
        <f>SUM(AF358:AF360)</f>
        <v>0</v>
      </c>
      <c r="AG357" s="171">
        <f>SUM(AG358:AG360)</f>
        <v>0</v>
      </c>
      <c r="AH357" s="171">
        <f t="shared" si="94"/>
        <v>0</v>
      </c>
      <c r="AI357" s="872">
        <f>SUM(AI358:AI360)</f>
        <v>0</v>
      </c>
      <c r="AJ357" s="444"/>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c r="BG357" s="542"/>
      <c r="BH357" s="542"/>
      <c r="BI357" s="542"/>
      <c r="BJ357" s="542"/>
      <c r="BK357" s="542"/>
      <c r="BL357" s="542"/>
      <c r="BM357" s="542"/>
      <c r="BN357" s="196"/>
      <c r="BO357" s="601" t="str">
        <f ca="1">IF(IFERROR(INDEX(Административные!$K$26:$L$103,MATCH($F357&amp;"6komm",Административные!$K$26:$K$103,0),2),"")=0,"",IFERROR(INDEX(Административные!$K$26:$L$103,MATCH($F357&amp;"6komm",Административные!$K$26:$K$103,0),2),""))</f>
        <v/>
      </c>
      <c r="BP357" s="196"/>
      <c r="BS357" s="694" t="s">
        <v>1829</v>
      </c>
    </row>
    <row r="358" spans="1:75" ht="23.25" customHeight="1" x14ac:dyDescent="0.25">
      <c r="E358" s="507">
        <v>15</v>
      </c>
      <c r="F358" s="3" t="str" cm="1">
        <f t="array" aca="1" ref="F358" ca="1">OFFSET(E358,-1,1)</f>
        <v>2</v>
      </c>
      <c r="G358" s="2" t="s">
        <v>1245</v>
      </c>
      <c r="H358" s="277"/>
      <c r="I358" s="277" t="s">
        <v>2034</v>
      </c>
      <c r="K358" s="277" t="s">
        <v>2034</v>
      </c>
      <c r="L358" s="25" t="s">
        <v>1830</v>
      </c>
      <c r="M358" s="25"/>
      <c r="Q358" s="72" t="s">
        <v>2324</v>
      </c>
      <c r="R358" s="75" t="s">
        <v>2324</v>
      </c>
      <c r="T358" s="353" t="b" cm="1">
        <f t="array" ref="T358">T357</f>
        <v>1</v>
      </c>
      <c r="X358" s="990"/>
      <c r="Z358" s="967"/>
      <c r="AB358" s="133" t="s">
        <v>2035</v>
      </c>
      <c r="AC358" s="543" t="s">
        <v>1832</v>
      </c>
      <c r="AD358" s="7" t="s">
        <v>828</v>
      </c>
      <c r="AE358" s="128">
        <v>0</v>
      </c>
      <c r="AF358" s="128"/>
      <c r="AG358" s="128"/>
      <c r="AH358" s="171">
        <f t="shared" si="94"/>
        <v>0</v>
      </c>
      <c r="AI358" s="872"/>
      <c r="AJ358" s="444"/>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c r="BG358" s="542"/>
      <c r="BH358" s="542"/>
      <c r="BI358" s="542"/>
      <c r="BJ358" s="542"/>
      <c r="BK358" s="542"/>
      <c r="BL358" s="542"/>
      <c r="BM358" s="542"/>
      <c r="BN358" s="196"/>
      <c r="BO358" s="601" t="str">
        <f ca="1">IF(IFERROR(INDEX(Административные!$K$26:$L$103,MATCH($F358&amp;"7komm",Административные!$K$26:$K$103,0),2),"")=0,"",IFERROR(INDEX(Административные!$K$26:$L$103,MATCH($F358&amp;"7komm",Административные!$K$26:$K$103,0),2),""))</f>
        <v/>
      </c>
      <c r="BP358" s="196"/>
      <c r="BS358" s="694" t="s">
        <v>1833</v>
      </c>
    </row>
    <row r="359" spans="1:75" ht="14.65" customHeight="1" x14ac:dyDescent="0.25">
      <c r="E359" s="507">
        <v>15</v>
      </c>
      <c r="F359" s="3" t="str" cm="1">
        <f t="array" aca="1" ref="F359" ca="1">OFFSET(E359,-1,1)</f>
        <v>2</v>
      </c>
      <c r="G359" s="2" t="s">
        <v>1248</v>
      </c>
      <c r="H359" s="277"/>
      <c r="I359" s="277" t="s">
        <v>2036</v>
      </c>
      <c r="K359" s="277" t="s">
        <v>2036</v>
      </c>
      <c r="L359" s="25" t="s">
        <v>1834</v>
      </c>
      <c r="M359" s="25"/>
      <c r="Q359" s="72" t="s">
        <v>2324</v>
      </c>
      <c r="R359" s="75" t="s">
        <v>2324</v>
      </c>
      <c r="T359" s="353" t="b" cm="1">
        <f t="array" ref="T359">T358</f>
        <v>1</v>
      </c>
      <c r="X359" s="990"/>
      <c r="Z359" s="967"/>
      <c r="AB359" s="133" t="s">
        <v>2037</v>
      </c>
      <c r="AC359" s="543" t="s">
        <v>1249</v>
      </c>
      <c r="AD359" s="7" t="s">
        <v>828</v>
      </c>
      <c r="AE359" s="128">
        <v>0</v>
      </c>
      <c r="AF359" s="128"/>
      <c r="AG359" s="128"/>
      <c r="AH359" s="171">
        <f t="shared" si="94"/>
        <v>0</v>
      </c>
      <c r="AI359" s="872"/>
      <c r="AJ359" s="444"/>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c r="BG359" s="542"/>
      <c r="BH359" s="542"/>
      <c r="BI359" s="542"/>
      <c r="BJ359" s="542"/>
      <c r="BK359" s="542"/>
      <c r="BL359" s="542"/>
      <c r="BM359" s="542"/>
      <c r="BN359" s="196"/>
      <c r="BO359" s="601" t="str">
        <f ca="1">IF(IFERROR(INDEX(Административные!$K$26:$L$103,MATCH($F359&amp;"8komm",Административные!$K$26:$K$103,0),2),"")=0,"",IFERROR(INDEX(Административные!$K$26:$L$103,MATCH($F359&amp;"8komm",Административные!$K$26:$K$103,0),2),""))</f>
        <v/>
      </c>
      <c r="BP359" s="196"/>
      <c r="BS359" s="694" t="s">
        <v>1836</v>
      </c>
    </row>
    <row r="360" spans="1:75" ht="14.65" customHeight="1" x14ac:dyDescent="0.25">
      <c r="E360" s="507">
        <v>15</v>
      </c>
      <c r="F360" s="3" t="str" cm="1">
        <f t="array" aca="1" ref="F360" ca="1">OFFSET(E360,-1,1)</f>
        <v>2</v>
      </c>
      <c r="G360" s="72" t="s">
        <v>1251</v>
      </c>
      <c r="H360" s="277"/>
      <c r="I360" s="277" t="s">
        <v>2038</v>
      </c>
      <c r="K360" s="277" t="s">
        <v>2038</v>
      </c>
      <c r="L360" s="25" t="s">
        <v>1837</v>
      </c>
      <c r="M360" s="25"/>
      <c r="Q360" s="72" t="s">
        <v>2324</v>
      </c>
      <c r="R360" s="75" t="s">
        <v>2324</v>
      </c>
      <c r="T360" s="353" t="b" cm="1">
        <f t="array" ref="T360">T359</f>
        <v>1</v>
      </c>
      <c r="X360" s="990"/>
      <c r="Z360" s="967"/>
      <c r="AB360" s="133" t="s">
        <v>2039</v>
      </c>
      <c r="AC360" s="543" t="s">
        <v>1252</v>
      </c>
      <c r="AD360" s="7" t="s">
        <v>828</v>
      </c>
      <c r="AE360" s="128">
        <v>0</v>
      </c>
      <c r="AF360" s="128"/>
      <c r="AG360" s="128"/>
      <c r="AH360" s="171">
        <f t="shared" si="94"/>
        <v>0</v>
      </c>
      <c r="AI360" s="872"/>
      <c r="AJ360" s="444"/>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c r="BG360" s="542"/>
      <c r="BH360" s="542"/>
      <c r="BI360" s="542"/>
      <c r="BJ360" s="542"/>
      <c r="BK360" s="542"/>
      <c r="BL360" s="542"/>
      <c r="BM360" s="542"/>
      <c r="BN360" s="196"/>
      <c r="BO360" s="601" t="str">
        <f ca="1">IF(IFERROR(INDEX(Административные!$K$26:$L$103,MATCH($F360&amp;"9komm",Административные!$K$26:$K$103,0),2),"")=0,"",IFERROR(INDEX(Административные!$K$26:$L$103,MATCH($F360&amp;"9komm",Административные!$K$26:$K$103,0),2),""))</f>
        <v/>
      </c>
      <c r="BP360" s="196"/>
      <c r="BS360" s="694" t="s">
        <v>1839</v>
      </c>
    </row>
    <row r="361" spans="1:75" ht="21.75" hidden="1" customHeight="1" x14ac:dyDescent="0.25">
      <c r="B361" s="329" t="b">
        <f>STATUS_GO="да"</f>
        <v>0</v>
      </c>
      <c r="E361" s="507">
        <v>22.5</v>
      </c>
      <c r="F361" s="3" t="str" cm="1">
        <f t="array" aca="1" ref="F361" ca="1">OFFSET(E361,-1,1)</f>
        <v>2</v>
      </c>
      <c r="H361" s="277"/>
      <c r="I361" s="277" t="s">
        <v>951</v>
      </c>
      <c r="K361" s="277" t="s">
        <v>951</v>
      </c>
      <c r="L361" s="25" t="s">
        <v>335</v>
      </c>
      <c r="M361" s="25"/>
      <c r="Q361" s="72" t="s">
        <v>2324</v>
      </c>
      <c r="R361" s="75" t="s">
        <v>2324</v>
      </c>
      <c r="T361" s="353" t="b" cm="1">
        <f t="array" ref="T361">T360</f>
        <v>1</v>
      </c>
      <c r="X361" s="990"/>
      <c r="Z361" s="967"/>
      <c r="AB361" s="133" t="s">
        <v>952</v>
      </c>
      <c r="AC361" s="127" t="s">
        <v>2040</v>
      </c>
      <c r="AD361" s="7" t="s">
        <v>828</v>
      </c>
      <c r="AE361" s="778"/>
      <c r="AF361" s="778"/>
      <c r="AG361" s="778"/>
      <c r="AH361" s="171">
        <f t="shared" si="94"/>
        <v>0</v>
      </c>
      <c r="AI361" s="872"/>
      <c r="AJ361" s="444"/>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c r="BG361" s="542"/>
      <c r="BH361" s="542"/>
      <c r="BI361" s="542"/>
      <c r="BJ361" s="542"/>
      <c r="BK361" s="542"/>
      <c r="BL361" s="542"/>
      <c r="BM361" s="542"/>
      <c r="BN361" s="775"/>
      <c r="BO361" s="775"/>
      <c r="BP361" s="775"/>
      <c r="BS361" s="695" t="s">
        <v>1841</v>
      </c>
    </row>
    <row r="362" spans="1:75" ht="33.75" customHeight="1" x14ac:dyDescent="0.15">
      <c r="E362" s="507">
        <v>15</v>
      </c>
      <c r="F362" s="3" t="str" cm="1">
        <f t="array" aca="1" ref="F362" ca="1">OFFSET(E362,-1,1)</f>
        <v>2</v>
      </c>
      <c r="H362" s="277"/>
      <c r="I362" s="277" t="s">
        <v>1779</v>
      </c>
      <c r="K362" s="277" t="s">
        <v>1779</v>
      </c>
      <c r="L362" s="25"/>
      <c r="M362" s="25"/>
      <c r="Q362" s="72" t="s">
        <v>2324</v>
      </c>
      <c r="R362" s="75" t="s">
        <v>2324</v>
      </c>
      <c r="T362" s="353" t="b" cm="1">
        <f t="array" ref="T362">T361</f>
        <v>1</v>
      </c>
      <c r="X362" s="990"/>
      <c r="Z362" s="967"/>
      <c r="AB362" s="133" t="s">
        <v>1780</v>
      </c>
      <c r="AC362" s="127" t="s">
        <v>2041</v>
      </c>
      <c r="AD362" s="7" t="s">
        <v>828</v>
      </c>
      <c r="AE362" s="128"/>
      <c r="AF362" s="128"/>
      <c r="AG362" s="128"/>
      <c r="AH362" s="171">
        <f t="shared" si="94"/>
        <v>0</v>
      </c>
      <c r="AI362" s="872"/>
      <c r="AJ362" s="444"/>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196"/>
      <c r="BO362" s="196" t="s">
        <v>2241</v>
      </c>
      <c r="BP362" s="196"/>
      <c r="BS362" s="696" t="s">
        <v>2042</v>
      </c>
    </row>
    <row r="363" spans="1:75" s="870" customFormat="1" ht="20.25" customHeight="1" x14ac:dyDescent="0.15">
      <c r="A363" s="76"/>
      <c r="B363" s="332"/>
      <c r="C363" s="76"/>
      <c r="D363" s="76"/>
      <c r="E363" s="511">
        <v>21</v>
      </c>
      <c r="F363" s="3" t="str" cm="1">
        <f t="array" aca="1" ref="F363" ca="1">OFFSET(E363,-1,1)</f>
        <v>2</v>
      </c>
      <c r="G363" s="76"/>
      <c r="H363" s="277"/>
      <c r="I363" s="277" t="s">
        <v>1783</v>
      </c>
      <c r="J363" s="76"/>
      <c r="K363" s="277" t="s">
        <v>1783</v>
      </c>
      <c r="L363" s="27"/>
      <c r="M363" s="27"/>
      <c r="N363" s="76"/>
      <c r="O363" s="76"/>
      <c r="P363" s="76"/>
      <c r="Q363" s="72" t="s">
        <v>2324</v>
      </c>
      <c r="R363" s="75" t="s">
        <v>2324</v>
      </c>
      <c r="S363" s="76"/>
      <c r="T363" s="353" t="b" cm="1">
        <f t="array" ref="T363">T362</f>
        <v>1</v>
      </c>
      <c r="U363" s="76"/>
      <c r="V363" s="76"/>
      <c r="W363" s="76"/>
      <c r="X363" s="990"/>
      <c r="Y363" s="76"/>
      <c r="Z363" s="967"/>
      <c r="AA363" s="76"/>
      <c r="AB363" s="131" t="s">
        <v>1784</v>
      </c>
      <c r="AC363" s="263" t="s">
        <v>2043</v>
      </c>
      <c r="AD363" s="124" t="s">
        <v>828</v>
      </c>
      <c r="AE363" s="126">
        <f>SUM(AE364:AE365)</f>
        <v>0</v>
      </c>
      <c r="AF363" s="126">
        <f>SUM(AF364:AF365)</f>
        <v>0</v>
      </c>
      <c r="AG363" s="126">
        <f>SUM(AG364:AG365)</f>
        <v>0</v>
      </c>
      <c r="AH363" s="126">
        <f t="shared" si="94"/>
        <v>0</v>
      </c>
      <c r="AI363" s="871">
        <f>SUM(AI364:AI365)</f>
        <v>0</v>
      </c>
      <c r="AJ363" s="444"/>
      <c r="AK363" s="129"/>
      <c r="AL363" s="129"/>
      <c r="AM363" s="129"/>
      <c r="AN363" s="129"/>
      <c r="AO363" s="129"/>
      <c r="AP363" s="129"/>
      <c r="AQ363" s="129"/>
      <c r="AR363" s="129"/>
      <c r="AS363" s="129"/>
      <c r="AT363" s="542"/>
      <c r="AU363" s="542"/>
      <c r="AV363" s="129"/>
      <c r="AW363" s="129"/>
      <c r="AX363" s="129"/>
      <c r="AY363" s="129"/>
      <c r="AZ363" s="129"/>
      <c r="BA363" s="129"/>
      <c r="BB363" s="129"/>
      <c r="BC363" s="129"/>
      <c r="BD363" s="129"/>
      <c r="BE363" s="129"/>
      <c r="BF363" s="129"/>
      <c r="BG363" s="129"/>
      <c r="BH363" s="129"/>
      <c r="BI363" s="129"/>
      <c r="BJ363" s="129"/>
      <c r="BK363" s="129"/>
      <c r="BL363" s="129"/>
      <c r="BM363" s="129"/>
      <c r="BN363" s="556"/>
      <c r="BO363" s="556"/>
      <c r="BP363" s="556"/>
      <c r="BQ363" s="76"/>
      <c r="BR363" s="76"/>
      <c r="BS363" s="702" t="s">
        <v>2044</v>
      </c>
      <c r="BT363" s="702"/>
      <c r="BU363" s="702"/>
      <c r="BV363" s="511"/>
      <c r="BW363" s="511"/>
    </row>
    <row r="364" spans="1:75" ht="14.25" hidden="1" customHeight="1" x14ac:dyDescent="0.15">
      <c r="E364" s="507">
        <v>15</v>
      </c>
      <c r="F364" s="3" t="str" cm="1">
        <f t="array" aca="1" ref="F364" ca="1">OFFSET(E364,-1,1)</f>
        <v>2</v>
      </c>
      <c r="I364" s="277" t="s">
        <v>1783</v>
      </c>
      <c r="J364" s="72" cm="1">
        <f t="array" ref="J364">AC364</f>
        <v>0</v>
      </c>
      <c r="K364" s="277" t="s">
        <v>1783</v>
      </c>
      <c r="L364" s="25"/>
      <c r="M364" s="25"/>
      <c r="Q364" s="72" t="s">
        <v>2324</v>
      </c>
      <c r="R364" s="75" t="s">
        <v>2324</v>
      </c>
      <c r="T364" s="353" t="b">
        <f ca="1">AND(F364&gt;0,Y364&gt;0)</f>
        <v>0</v>
      </c>
      <c r="W364" s="72" t="s">
        <v>172</v>
      </c>
      <c r="X364" s="990"/>
      <c r="Y364" s="72">
        <v>0</v>
      </c>
      <c r="Z364" s="967"/>
      <c r="AA364" s="320" t="s">
        <v>173</v>
      </c>
      <c r="AB364" s="7" t="str">
        <f>"1.7."&amp;Y364</f>
        <v>1.7.0</v>
      </c>
      <c r="AC364" s="780"/>
      <c r="AD364" s="7" t="s">
        <v>828</v>
      </c>
      <c r="AE364" s="778"/>
      <c r="AF364" s="778"/>
      <c r="AG364" s="778"/>
      <c r="AH364" s="171">
        <f t="shared" si="94"/>
        <v>0</v>
      </c>
      <c r="AI364" s="872"/>
      <c r="AJ364" s="128"/>
      <c r="AK364" s="542"/>
      <c r="AL364" s="542"/>
      <c r="AM364" s="542"/>
      <c r="AN364" s="542"/>
      <c r="AO364" s="542"/>
      <c r="AP364" s="542"/>
      <c r="AQ364" s="542"/>
      <c r="AR364" s="542"/>
      <c r="AS364" s="542"/>
      <c r="AT364" s="542"/>
      <c r="AU364" s="542"/>
      <c r="AV364" s="542"/>
      <c r="AW364" s="542"/>
      <c r="AX364" s="542"/>
      <c r="AY364" s="542"/>
      <c r="AZ364" s="542"/>
      <c r="BA364" s="542"/>
      <c r="BB364" s="542"/>
      <c r="BC364" s="542"/>
      <c r="BD364" s="129"/>
      <c r="BE364" s="542"/>
      <c r="BF364" s="542"/>
      <c r="BG364" s="542"/>
      <c r="BH364" s="542"/>
      <c r="BI364" s="542"/>
      <c r="BJ364" s="542"/>
      <c r="BK364" s="542"/>
      <c r="BL364" s="542"/>
      <c r="BM364" s="542"/>
      <c r="BN364" s="775"/>
      <c r="BO364" s="775"/>
      <c r="BP364" s="775"/>
      <c r="BS364" s="696" t="s">
        <v>2044</v>
      </c>
      <c r="BT364" s="696" t="s">
        <v>2045</v>
      </c>
      <c r="BU364" s="696" cm="1">
        <f t="array" ref="BU364">AC364</f>
        <v>0</v>
      </c>
      <c r="BW364" s="507" t="b">
        <v>1</v>
      </c>
    </row>
    <row r="365" spans="1:75" ht="14.25" customHeight="1" x14ac:dyDescent="0.15">
      <c r="E365" s="507">
        <v>15</v>
      </c>
      <c r="F365" s="3" t="str" cm="1">
        <f t="array" aca="1" ref="F365" ca="1">OFFSET(E365,-1,1)</f>
        <v>2</v>
      </c>
      <c r="G365" s="266"/>
      <c r="J365" s="72" t="s">
        <v>2046</v>
      </c>
      <c r="L365" s="25"/>
      <c r="M365" s="25"/>
      <c r="T365" s="353" t="b">
        <f ca="1">F365&gt;0</f>
        <v>1</v>
      </c>
      <c r="W365" s="506" t="s">
        <v>2325</v>
      </c>
      <c r="X365" s="990"/>
      <c r="Z365" s="967"/>
      <c r="AB365" s="546"/>
      <c r="AC365" s="172" t="s">
        <v>176</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7" t="s">
        <v>2045</v>
      </c>
    </row>
    <row r="366" spans="1:75" s="870" customFormat="1" ht="33.75" customHeight="1" x14ac:dyDescent="0.15">
      <c r="A366" s="76"/>
      <c r="B366" s="332"/>
      <c r="C366" s="76"/>
      <c r="D366" s="76"/>
      <c r="E366" s="511">
        <v>21</v>
      </c>
      <c r="F366" s="3" t="str" cm="1">
        <f t="array" aca="1" ref="F366" ca="1">OFFSET(E366,-1,1)</f>
        <v>2</v>
      </c>
      <c r="G366" s="76"/>
      <c r="H366" s="72"/>
      <c r="I366" s="72" t="s">
        <v>332</v>
      </c>
      <c r="J366" s="76"/>
      <c r="K366" s="72" t="s">
        <v>332</v>
      </c>
      <c r="L366" s="27"/>
      <c r="M366" s="27"/>
      <c r="N366" s="76"/>
      <c r="O366" s="76"/>
      <c r="P366" s="76"/>
      <c r="Q366" s="76"/>
      <c r="R366" s="76"/>
      <c r="S366" s="76"/>
      <c r="T366" s="353" t="b" cm="1">
        <f t="array" aca="1" ref="T366" ca="1">T365</f>
        <v>1</v>
      </c>
      <c r="U366" s="76"/>
      <c r="V366" s="76"/>
      <c r="W366" s="76"/>
      <c r="X366" s="990"/>
      <c r="Y366" s="76"/>
      <c r="Z366" s="967"/>
      <c r="AA366" s="76"/>
      <c r="AB366" s="160" t="s">
        <v>285</v>
      </c>
      <c r="AC366" s="125" t="s">
        <v>2047</v>
      </c>
      <c r="AD366" s="147" t="s">
        <v>828</v>
      </c>
      <c r="AE366" s="126">
        <f ca="1">AE367+AE379+AE380++AE391+AE392+AE393+AE395+AE396+AE397+AE398+AE401</f>
        <v>571.56318805570004</v>
      </c>
      <c r="AF366" s="126">
        <f ca="1">AF367+AF379+AF380++AF391+AF392+AF393+AF395+AF396+AF397+AF398+AF401</f>
        <v>14504.0747158052</v>
      </c>
      <c r="AG366" s="126">
        <f ca="1">AG367+AG379+AG380++AG391+AG392+AG393+AG395+AG396+AG397+AG398+AG401</f>
        <v>808.20579690539989</v>
      </c>
      <c r="AH366" s="126">
        <f t="shared" ref="AH366:AH411" ca="1" si="95">AG366-AF366</f>
        <v>-13695.8689188998</v>
      </c>
      <c r="AI366" s="126">
        <f t="shared" ref="AI366:BC366" ca="1" si="96">AI367+AI379+AI380++AI391+AI392+AI393+AI395+AI396+AI397+AI398+AI401</f>
        <v>370.19264900000002</v>
      </c>
      <c r="AJ366" s="126">
        <f t="shared" ca="1" si="96"/>
        <v>23555.587716720202</v>
      </c>
      <c r="AK366" s="126">
        <f t="shared" ca="1" si="96"/>
        <v>0</v>
      </c>
      <c r="AL366" s="126">
        <f t="shared" ca="1" si="96"/>
        <v>0</v>
      </c>
      <c r="AM366" s="126">
        <f t="shared" ca="1" si="96"/>
        <v>0</v>
      </c>
      <c r="AN366" s="126">
        <f t="shared" ca="1" si="96"/>
        <v>0</v>
      </c>
      <c r="AO366" s="126">
        <f t="shared" ca="1" si="96"/>
        <v>0</v>
      </c>
      <c r="AP366" s="126">
        <f t="shared" ca="1" si="96"/>
        <v>0</v>
      </c>
      <c r="AQ366" s="126">
        <f t="shared" ca="1" si="96"/>
        <v>0</v>
      </c>
      <c r="AR366" s="126">
        <f t="shared" ca="1" si="96"/>
        <v>0</v>
      </c>
      <c r="AS366" s="126">
        <f t="shared" ca="1" si="96"/>
        <v>0</v>
      </c>
      <c r="AT366" s="126">
        <f t="shared" ca="1" si="96"/>
        <v>9829.4634270752995</v>
      </c>
      <c r="AU366" s="126">
        <f t="shared" ca="1" si="96"/>
        <v>0</v>
      </c>
      <c r="AV366" s="126">
        <f t="shared" ca="1" si="96"/>
        <v>0</v>
      </c>
      <c r="AW366" s="126">
        <f t="shared" ca="1" si="96"/>
        <v>0</v>
      </c>
      <c r="AX366" s="126">
        <f t="shared" ca="1" si="96"/>
        <v>0</v>
      </c>
      <c r="AY366" s="126">
        <f t="shared" ca="1" si="96"/>
        <v>0</v>
      </c>
      <c r="AZ366" s="126">
        <f t="shared" ca="1" si="96"/>
        <v>0</v>
      </c>
      <c r="BA366" s="126">
        <f t="shared" ca="1" si="96"/>
        <v>0</v>
      </c>
      <c r="BB366" s="126">
        <f t="shared" ca="1" si="96"/>
        <v>0</v>
      </c>
      <c r="BC366" s="126">
        <f t="shared" ca="1" si="96"/>
        <v>0</v>
      </c>
      <c r="BD366" s="126">
        <f t="shared" ref="BD366:BD411" ca="1" si="97">IF(AI366=0,0,(AT366-AI366)/AI366*100)</f>
        <v>2555.2292309497748</v>
      </c>
      <c r="BE366" s="126">
        <f t="shared" ref="BE366:BE411" ca="1" si="98">IF(AT366=0,0,(AU366-AT366)/AT366*100)</f>
        <v>-100</v>
      </c>
      <c r="BF366" s="126">
        <f t="shared" ref="BF366:BF411" ca="1" si="99">IF(AU366=0,0,(AV366-AU366)/AU366*100)</f>
        <v>0</v>
      </c>
      <c r="BG366" s="126">
        <f t="shared" ref="BG366:BG411" ca="1" si="100">IF(AV366=0,0,(AW366-AV366)/AV366*100)</f>
        <v>0</v>
      </c>
      <c r="BH366" s="126">
        <f t="shared" ref="BH366:BH411" ca="1" si="101">IF(AW366=0,0,(AX366-AW366)/AW366*100)</f>
        <v>0</v>
      </c>
      <c r="BI366" s="126">
        <f t="shared" ref="BI366:BI411" ca="1" si="102">IF(AX366=0,0,(AY366-AX366)/AX366*100)</f>
        <v>0</v>
      </c>
      <c r="BJ366" s="126">
        <f t="shared" ref="BJ366:BJ411" ca="1" si="103">IF(AY366=0,0,(AZ366-AY366)/AY366*100)</f>
        <v>0</v>
      </c>
      <c r="BK366" s="126">
        <f t="shared" ref="BK366:BK411" ca="1" si="104">IF(AZ366=0,0,(BA366-AZ366)/AZ366*100)</f>
        <v>0</v>
      </c>
      <c r="BL366" s="126">
        <f t="shared" ref="BL366:BL411" ca="1" si="105">IF(BA366=0,0,(BB366-BA366)/BA366*100)</f>
        <v>0</v>
      </c>
      <c r="BM366" s="126">
        <f t="shared" ref="BM366:BM411" ca="1" si="106">IF(BB366=0,0,(BC366-BB366)/BB366*100)</f>
        <v>0</v>
      </c>
      <c r="BN366" s="196"/>
      <c r="BO366" s="196" t="s">
        <v>2242</v>
      </c>
      <c r="BP366" s="196"/>
      <c r="BQ366" s="74"/>
      <c r="BR366" s="76"/>
      <c r="BS366" s="702" t="s">
        <v>2048</v>
      </c>
      <c r="BT366" s="702"/>
      <c r="BU366" s="702"/>
      <c r="BV366" s="511"/>
      <c r="BW366" s="511"/>
    </row>
    <row r="367" spans="1:75" s="870" customFormat="1" ht="36.6" customHeight="1" x14ac:dyDescent="0.15">
      <c r="A367" s="76"/>
      <c r="B367" s="332"/>
      <c r="C367" s="76"/>
      <c r="D367" s="76"/>
      <c r="E367" s="511">
        <v>22.5</v>
      </c>
      <c r="F367" s="3" t="str" cm="1">
        <f t="array" aca="1" ref="F367" ca="1">OFFSET(E367,-1,1)</f>
        <v>2</v>
      </c>
      <c r="G367" s="76"/>
      <c r="H367" s="72"/>
      <c r="I367" s="72" t="s">
        <v>500</v>
      </c>
      <c r="J367" s="76"/>
      <c r="K367" s="72" t="s">
        <v>500</v>
      </c>
      <c r="L367" s="27" t="s">
        <v>486</v>
      </c>
      <c r="M367" s="27"/>
      <c r="N367" s="76"/>
      <c r="O367" s="76"/>
      <c r="P367" s="76"/>
      <c r="Q367" s="76"/>
      <c r="R367" s="76"/>
      <c r="S367" s="76"/>
      <c r="T367" s="353" t="b" cm="1">
        <f t="array" aca="1" ref="T367" ca="1">T366</f>
        <v>1</v>
      </c>
      <c r="U367" s="76"/>
      <c r="V367" s="76"/>
      <c r="W367" s="76"/>
      <c r="X367" s="990"/>
      <c r="Y367" s="76"/>
      <c r="Z367" s="967"/>
      <c r="AA367" s="76"/>
      <c r="AB367" s="131" t="s">
        <v>561</v>
      </c>
      <c r="AC367" s="263" t="s">
        <v>2049</v>
      </c>
      <c r="AD367" s="124" t="s">
        <v>828</v>
      </c>
      <c r="AE367" s="126">
        <f ca="1">SUM(AE368:AE378)</f>
        <v>132.99834370569999</v>
      </c>
      <c r="AF367" s="126">
        <f ca="1">SUM(AF368:AF378)</f>
        <v>164.492367712</v>
      </c>
      <c r="AG367" s="126">
        <f ca="1">SUM(AG368:AG378)</f>
        <v>164.66</v>
      </c>
      <c r="AH367" s="126">
        <f t="shared" ca="1" si="95"/>
        <v>0.16763228799999297</v>
      </c>
      <c r="AI367" s="126">
        <f t="shared" ref="AI367:BC367" ca="1" si="107">SUM(AI368:AI378)</f>
        <v>168.97</v>
      </c>
      <c r="AJ367" s="126">
        <f t="shared" ca="1" si="107"/>
        <v>241.71289999999999</v>
      </c>
      <c r="AK367" s="126">
        <f t="shared" ca="1" si="107"/>
        <v>0</v>
      </c>
      <c r="AL367" s="126">
        <f t="shared" ca="1" si="107"/>
        <v>0</v>
      </c>
      <c r="AM367" s="126">
        <f t="shared" ca="1" si="107"/>
        <v>0</v>
      </c>
      <c r="AN367" s="126">
        <f t="shared" ca="1" si="107"/>
        <v>0</v>
      </c>
      <c r="AO367" s="126">
        <f t="shared" ca="1" si="107"/>
        <v>0</v>
      </c>
      <c r="AP367" s="126">
        <f t="shared" ca="1" si="107"/>
        <v>0</v>
      </c>
      <c r="AQ367" s="126">
        <f t="shared" ca="1" si="107"/>
        <v>0</v>
      </c>
      <c r="AR367" s="126">
        <f t="shared" ca="1" si="107"/>
        <v>0</v>
      </c>
      <c r="AS367" s="126">
        <f t="shared" ca="1" si="107"/>
        <v>0</v>
      </c>
      <c r="AT367" s="126">
        <f t="shared" ca="1" si="107"/>
        <v>182.26</v>
      </c>
      <c r="AU367" s="126">
        <f t="shared" ca="1" si="107"/>
        <v>0</v>
      </c>
      <c r="AV367" s="126">
        <f t="shared" ca="1" si="107"/>
        <v>0</v>
      </c>
      <c r="AW367" s="126">
        <f t="shared" ca="1" si="107"/>
        <v>0</v>
      </c>
      <c r="AX367" s="126">
        <f t="shared" ca="1" si="107"/>
        <v>0</v>
      </c>
      <c r="AY367" s="126">
        <f t="shared" ca="1" si="107"/>
        <v>0</v>
      </c>
      <c r="AZ367" s="126">
        <f t="shared" ca="1" si="107"/>
        <v>0</v>
      </c>
      <c r="BA367" s="126">
        <f t="shared" ca="1" si="107"/>
        <v>0</v>
      </c>
      <c r="BB367" s="126">
        <f t="shared" ca="1" si="107"/>
        <v>0</v>
      </c>
      <c r="BC367" s="126">
        <f t="shared" ca="1" si="107"/>
        <v>0</v>
      </c>
      <c r="BD367" s="126">
        <f t="shared" ca="1" si="97"/>
        <v>7.8653015328164706</v>
      </c>
      <c r="BE367" s="126">
        <f t="shared" ca="1" si="98"/>
        <v>-100</v>
      </c>
      <c r="BF367" s="126">
        <f t="shared" ca="1" si="99"/>
        <v>0</v>
      </c>
      <c r="BG367" s="126">
        <f t="shared" ca="1" si="100"/>
        <v>0</v>
      </c>
      <c r="BH367" s="126">
        <f t="shared" ca="1" si="101"/>
        <v>0</v>
      </c>
      <c r="BI367" s="126">
        <f t="shared" ca="1" si="102"/>
        <v>0</v>
      </c>
      <c r="BJ367" s="126">
        <f t="shared" ca="1" si="103"/>
        <v>0</v>
      </c>
      <c r="BK367" s="126">
        <f t="shared" ca="1" si="104"/>
        <v>0</v>
      </c>
      <c r="BL367" s="126">
        <f t="shared" ca="1" si="105"/>
        <v>0</v>
      </c>
      <c r="BM367" s="126">
        <f t="shared" ca="1" si="106"/>
        <v>0</v>
      </c>
      <c r="BN367" s="556"/>
      <c r="BO367" s="556"/>
      <c r="BP367" s="556"/>
      <c r="BQ367" s="76"/>
      <c r="BR367" s="76"/>
      <c r="BS367" s="702" t="s">
        <v>2050</v>
      </c>
      <c r="BT367" s="702"/>
      <c r="BU367" s="702"/>
      <c r="BV367" s="511"/>
      <c r="BW367" s="511"/>
    </row>
    <row r="368" spans="1:75" ht="14.25" customHeight="1" x14ac:dyDescent="0.15">
      <c r="E368" s="507">
        <v>15</v>
      </c>
      <c r="F368" s="3" t="str" cm="1">
        <f t="array" aca="1" ref="F368" ca="1">OFFSET(E368,-1,1)</f>
        <v>2</v>
      </c>
      <c r="G368" s="72" t="s">
        <v>1148</v>
      </c>
      <c r="I368" s="72" t="s">
        <v>1570</v>
      </c>
      <c r="K368" s="72" t="s">
        <v>1570</v>
      </c>
      <c r="L368" s="25" t="s">
        <v>1347</v>
      </c>
      <c r="M368" s="25"/>
      <c r="T368" s="353" t="b" cm="1">
        <f t="array" aca="1" ref="T368" ca="1">T367</f>
        <v>1</v>
      </c>
      <c r="X368" s="990"/>
      <c r="Z368" s="967"/>
      <c r="AB368" s="133" t="s">
        <v>508</v>
      </c>
      <c r="AC368" s="134" t="s">
        <v>2051</v>
      </c>
      <c r="AD368" s="7" t="s">
        <v>828</v>
      </c>
      <c r="AE368" s="171">
        <f ca="1">SUMIFS(Покупка!AE$25:AE$150,Покупка!$F$25:$F$150,$F368,Покупка!$AC$25:$AC$150,$G368)</f>
        <v>0</v>
      </c>
      <c r="AF368" s="171">
        <f ca="1">SUMIFS(Покупка!AF$25:AF$150,Покупка!$F$25:$F$150,$F368,Покупка!$AC$25:$AC$150,$G368)</f>
        <v>0</v>
      </c>
      <c r="AG368" s="171">
        <f ca="1">SUMIFS(Покупка!AG$25:AG$150,Покупка!$F$25:$F$150,$F368,Покупка!$AC$25:$AC$150,$G368)</f>
        <v>0</v>
      </c>
      <c r="AH368" s="171">
        <f t="shared" ca="1" si="95"/>
        <v>0</v>
      </c>
      <c r="AI368" s="171">
        <f ca="1">SUMIFS(Покупка!AH$25:AH$150,Покупка!$F$25:$F$150,$F368,Покупка!$AC$25:$AC$150,$G368)</f>
        <v>0</v>
      </c>
      <c r="AJ368" s="171">
        <f ca="1">SUMIFS(Покупка!AI$25:AI$150,Покупка!$F$25:$F$150,$F368,Покупка!$AC$25:$AC$150,$G368)</f>
        <v>0</v>
      </c>
      <c r="AK368" s="171">
        <f ca="1">SUMIFS(Покупка!AJ$25:AJ$150,Покупка!$F$25:$F$150,$F368,Покупка!$AC$25:$AC$150,$G368)</f>
        <v>0</v>
      </c>
      <c r="AL368" s="171">
        <f ca="1">SUMIFS(Покупка!AK$25:AK$150,Покупка!$F$25:$F$150,$F368,Покупка!$AC$25:$AC$150,$G368)</f>
        <v>0</v>
      </c>
      <c r="AM368" s="171">
        <f ca="1">SUMIFS(Покупка!AL$25:AL$150,Покупка!$F$25:$F$150,$F368,Покупка!$AC$25:$AC$150,$G368)</f>
        <v>0</v>
      </c>
      <c r="AN368" s="171">
        <f ca="1">SUMIFS(Покупка!AM$25:AM$150,Покупка!$F$25:$F$150,$F368,Покупка!$AC$25:$AC$150,$G368)</f>
        <v>0</v>
      </c>
      <c r="AO368" s="171">
        <f ca="1">SUMIFS(Покупка!AN$25:AN$150,Покупка!$F$25:$F$150,$F368,Покупка!$AC$25:$AC$150,$G368)</f>
        <v>0</v>
      </c>
      <c r="AP368" s="171">
        <f ca="1">SUMIFS(Покупка!AO$25:AO$150,Покупка!$F$25:$F$150,$F368,Покупка!$AC$25:$AC$150,$G368)</f>
        <v>0</v>
      </c>
      <c r="AQ368" s="171">
        <f ca="1">SUMIFS(Покупка!AP$25:AP$150,Покупка!$F$25:$F$150,$F368,Покупка!$AC$25:$AC$150,$G368)</f>
        <v>0</v>
      </c>
      <c r="AR368" s="171">
        <f ca="1">SUMIFS(Покупка!AQ$25:AQ$150,Покупка!$F$25:$F$150,$F368,Покупка!$AC$25:$AC$150,$G368)</f>
        <v>0</v>
      </c>
      <c r="AS368" s="171">
        <f ca="1">SUMIFS(Покупка!AR$25:AR$150,Покупка!$F$25:$F$150,$F368,Покупка!$AC$25:$AC$150,$G368)</f>
        <v>0</v>
      </c>
      <c r="AT368" s="171">
        <f ca="1">SUMIFS(Покупка!AS$25:AS$150,Покупка!$F$25:$F$150,$F368,Покупка!$AC$25:$AC$150,$G368)</f>
        <v>0</v>
      </c>
      <c r="AU368" s="171">
        <f ca="1">SUMIFS(Покупка!AT$25:AT$150,Покупка!$F$25:$F$150,$F368,Покупка!$AC$25:$AC$150,$G368)</f>
        <v>0</v>
      </c>
      <c r="AV368" s="171">
        <f ca="1">SUMIFS(Покупка!AU$25:AU$150,Покупка!$F$25:$F$150,$F368,Покупка!$AC$25:$AC$150,$G368)</f>
        <v>0</v>
      </c>
      <c r="AW368" s="171">
        <f ca="1">SUMIFS(Покупка!AV$25:AV$150,Покупка!$F$25:$F$150,$F368,Покупка!$AC$25:$AC$150,$G368)</f>
        <v>0</v>
      </c>
      <c r="AX368" s="171">
        <f ca="1">SUMIFS(Покупка!AW$25:AW$150,Покупка!$F$25:$F$150,$F368,Покупка!$AC$25:$AC$150,$G368)</f>
        <v>0</v>
      </c>
      <c r="AY368" s="171">
        <f ca="1">SUMIFS(Покупка!AX$25:AX$150,Покупка!$F$25:$F$150,$F368,Покупка!$AC$25:$AC$150,$G368)</f>
        <v>0</v>
      </c>
      <c r="AZ368" s="171">
        <f ca="1">SUMIFS(Покупка!AY$25:AY$150,Покупка!$F$25:$F$150,$F368,Покупка!$AC$25:$AC$150,$G368)</f>
        <v>0</v>
      </c>
      <c r="BA368" s="171">
        <f ca="1">SUMIFS(Покупка!AZ$25:AZ$150,Покупка!$F$25:$F$150,$F368,Покупка!$AC$25:$AC$150,$G368)</f>
        <v>0</v>
      </c>
      <c r="BB368" s="171">
        <f ca="1">SUMIFS(Покупка!BA$25:BA$150,Покупка!$F$25:$F$150,$F368,Покупка!$AC$25:$AC$150,$G368)</f>
        <v>0</v>
      </c>
      <c r="BC368" s="171">
        <f ca="1">SUMIFS(Покупка!BB$25:BB$150,Покупка!$F$25:$F$150,$F368,Покупка!$AC$25:$AC$150,$G368)</f>
        <v>0</v>
      </c>
      <c r="BD368" s="171">
        <f t="shared" ca="1" si="97"/>
        <v>0</v>
      </c>
      <c r="BE368" s="171">
        <f t="shared" ca="1" si="98"/>
        <v>0</v>
      </c>
      <c r="BF368" s="171">
        <f t="shared" ca="1" si="99"/>
        <v>0</v>
      </c>
      <c r="BG368" s="171">
        <f t="shared" ca="1" si="100"/>
        <v>0</v>
      </c>
      <c r="BH368" s="171">
        <f t="shared" ca="1" si="101"/>
        <v>0</v>
      </c>
      <c r="BI368" s="171">
        <f t="shared" ca="1" si="102"/>
        <v>0</v>
      </c>
      <c r="BJ368" s="171">
        <f t="shared" ca="1" si="103"/>
        <v>0</v>
      </c>
      <c r="BK368" s="171">
        <f t="shared" ca="1" si="104"/>
        <v>0</v>
      </c>
      <c r="BL368" s="171">
        <f t="shared" ca="1" si="105"/>
        <v>0</v>
      </c>
      <c r="BM368" s="171">
        <f t="shared" ca="1" si="106"/>
        <v>0</v>
      </c>
      <c r="BN368" s="196"/>
      <c r="BO368" s="601"/>
      <c r="BP368" s="196"/>
      <c r="BS368" s="696" t="s">
        <v>1149</v>
      </c>
    </row>
    <row r="369" spans="1:75" ht="14.25" customHeight="1" x14ac:dyDescent="0.15">
      <c r="B369" s="15"/>
      <c r="C369" s="25"/>
      <c r="D369" s="25"/>
      <c r="E369" s="451">
        <v>15</v>
      </c>
      <c r="F369" s="3" t="str" cm="1">
        <f t="array" aca="1" ref="F369" ca="1">OFFSET(E369,-1,1)</f>
        <v>2</v>
      </c>
      <c r="G369" s="25" t="s">
        <v>1150</v>
      </c>
      <c r="H369" s="25"/>
      <c r="I369" s="25" t="s">
        <v>1574</v>
      </c>
      <c r="J369" s="25"/>
      <c r="K369" s="25" t="s">
        <v>1574</v>
      </c>
      <c r="L369" s="25" t="s">
        <v>1351</v>
      </c>
      <c r="M369" s="25"/>
      <c r="N369" s="25"/>
      <c r="O369" s="25"/>
      <c r="P369" s="25"/>
      <c r="Q369" s="25"/>
      <c r="R369" s="25"/>
      <c r="S369" s="25"/>
      <c r="T369" s="353" t="b" cm="1">
        <f t="array" aca="1" ref="T369" ca="1">T368</f>
        <v>1</v>
      </c>
      <c r="U369" s="25"/>
      <c r="V369" s="25"/>
      <c r="X369" s="990"/>
      <c r="Z369" s="967"/>
      <c r="AB369" s="133" t="s">
        <v>2052</v>
      </c>
      <c r="AC369" s="134" t="s">
        <v>2053</v>
      </c>
      <c r="AD369" s="7" t="s">
        <v>828</v>
      </c>
      <c r="AE369" s="171">
        <f ca="1">SUMIFS(Покупка!AE$25:AE$150,Покупка!$F$25:$F$150,$F369,Покупка!$AC$25:$AC$150,$G369)</f>
        <v>0</v>
      </c>
      <c r="AF369" s="171">
        <f ca="1">SUMIFS(Покупка!AF$25:AF$150,Покупка!$F$25:$F$150,$F369,Покупка!$AC$25:$AC$150,$G369)</f>
        <v>0</v>
      </c>
      <c r="AG369" s="171">
        <f ca="1">SUMIFS(Покупка!AG$25:AG$150,Покупка!$F$25:$F$150,$F369,Покупка!$AC$25:$AC$150,$G369)</f>
        <v>0</v>
      </c>
      <c r="AH369" s="171">
        <f t="shared" ca="1" si="95"/>
        <v>0</v>
      </c>
      <c r="AI369" s="171">
        <f ca="1">SUMIFS(Покупка!AH$25:AH$150,Покупка!$F$25:$F$150,$F369,Покупка!$AC$25:$AC$150,$G369)</f>
        <v>0</v>
      </c>
      <c r="AJ369" s="171">
        <f ca="1">SUMIFS(Покупка!AI$25:AI$150,Покупка!$F$25:$F$150,$F369,Покупка!$AC$25:$AC$150,$G369)</f>
        <v>0</v>
      </c>
      <c r="AK369" s="171">
        <f ca="1">SUMIFS(Покупка!AJ$25:AJ$150,Покупка!$F$25:$F$150,$F369,Покупка!$AC$25:$AC$150,$G369)</f>
        <v>0</v>
      </c>
      <c r="AL369" s="171">
        <f ca="1">SUMIFS(Покупка!AK$25:AK$150,Покупка!$F$25:$F$150,$F369,Покупка!$AC$25:$AC$150,$G369)</f>
        <v>0</v>
      </c>
      <c r="AM369" s="171">
        <f ca="1">SUMIFS(Покупка!AL$25:AL$150,Покупка!$F$25:$F$150,$F369,Покупка!$AC$25:$AC$150,$G369)</f>
        <v>0</v>
      </c>
      <c r="AN369" s="171">
        <f ca="1">SUMIFS(Покупка!AM$25:AM$150,Покупка!$F$25:$F$150,$F369,Покупка!$AC$25:$AC$150,$G369)</f>
        <v>0</v>
      </c>
      <c r="AO369" s="171">
        <f ca="1">SUMIFS(Покупка!AN$25:AN$150,Покупка!$F$25:$F$150,$F369,Покупка!$AC$25:$AC$150,$G369)</f>
        <v>0</v>
      </c>
      <c r="AP369" s="171">
        <f ca="1">SUMIFS(Покупка!AO$25:AO$150,Покупка!$F$25:$F$150,$F369,Покупка!$AC$25:$AC$150,$G369)</f>
        <v>0</v>
      </c>
      <c r="AQ369" s="171">
        <f ca="1">SUMIFS(Покупка!AP$25:AP$150,Покупка!$F$25:$F$150,$F369,Покупка!$AC$25:$AC$150,$G369)</f>
        <v>0</v>
      </c>
      <c r="AR369" s="171">
        <f ca="1">SUMIFS(Покупка!AQ$25:AQ$150,Покупка!$F$25:$F$150,$F369,Покупка!$AC$25:$AC$150,$G369)</f>
        <v>0</v>
      </c>
      <c r="AS369" s="171">
        <f ca="1">SUMIFS(Покупка!AR$25:AR$150,Покупка!$F$25:$F$150,$F369,Покупка!$AC$25:$AC$150,$G369)</f>
        <v>0</v>
      </c>
      <c r="AT369" s="171">
        <f ca="1">SUMIFS(Покупка!AS$25:AS$150,Покупка!$F$25:$F$150,$F369,Покупка!$AC$25:$AC$150,$G369)</f>
        <v>0</v>
      </c>
      <c r="AU369" s="171">
        <f ca="1">SUMIFS(Покупка!AT$25:AT$150,Покупка!$F$25:$F$150,$F369,Покупка!$AC$25:$AC$150,$G369)</f>
        <v>0</v>
      </c>
      <c r="AV369" s="171">
        <f ca="1">SUMIFS(Покупка!AU$25:AU$150,Покупка!$F$25:$F$150,$F369,Покупка!$AC$25:$AC$150,$G369)</f>
        <v>0</v>
      </c>
      <c r="AW369" s="171">
        <f ca="1">SUMIFS(Покупка!AV$25:AV$150,Покупка!$F$25:$F$150,$F369,Покупка!$AC$25:$AC$150,$G369)</f>
        <v>0</v>
      </c>
      <c r="AX369" s="171">
        <f ca="1">SUMIFS(Покупка!AW$25:AW$150,Покупка!$F$25:$F$150,$F369,Покупка!$AC$25:$AC$150,$G369)</f>
        <v>0</v>
      </c>
      <c r="AY369" s="171">
        <f ca="1">SUMIFS(Покупка!AX$25:AX$150,Покупка!$F$25:$F$150,$F369,Покупка!$AC$25:$AC$150,$G369)</f>
        <v>0</v>
      </c>
      <c r="AZ369" s="171">
        <f ca="1">SUMIFS(Покупка!AY$25:AY$150,Покупка!$F$25:$F$150,$F369,Покупка!$AC$25:$AC$150,$G369)</f>
        <v>0</v>
      </c>
      <c r="BA369" s="171">
        <f ca="1">SUMIFS(Покупка!AZ$25:AZ$150,Покупка!$F$25:$F$150,$F369,Покупка!$AC$25:$AC$150,$G369)</f>
        <v>0</v>
      </c>
      <c r="BB369" s="171">
        <f ca="1">SUMIFS(Покупка!BA$25:BA$150,Покупка!$F$25:$F$150,$F369,Покупка!$AC$25:$AC$150,$G369)</f>
        <v>0</v>
      </c>
      <c r="BC369" s="171">
        <f ca="1">SUMIFS(Покупка!BB$25:BB$150,Покупка!$F$25:$F$150,$F369,Покупка!$AC$25:$AC$150,$G369)</f>
        <v>0</v>
      </c>
      <c r="BD369" s="171">
        <f t="shared" ca="1" si="97"/>
        <v>0</v>
      </c>
      <c r="BE369" s="171">
        <f t="shared" ca="1" si="98"/>
        <v>0</v>
      </c>
      <c r="BF369" s="171">
        <f t="shared" ca="1" si="99"/>
        <v>0</v>
      </c>
      <c r="BG369" s="171">
        <f t="shared" ca="1" si="100"/>
        <v>0</v>
      </c>
      <c r="BH369" s="171">
        <f t="shared" ca="1" si="101"/>
        <v>0</v>
      </c>
      <c r="BI369" s="171">
        <f t="shared" ca="1" si="102"/>
        <v>0</v>
      </c>
      <c r="BJ369" s="171">
        <f t="shared" ca="1" si="103"/>
        <v>0</v>
      </c>
      <c r="BK369" s="171">
        <f t="shared" ca="1" si="104"/>
        <v>0</v>
      </c>
      <c r="BL369" s="171">
        <f t="shared" ca="1" si="105"/>
        <v>0</v>
      </c>
      <c r="BM369" s="171">
        <f t="shared" ca="1" si="106"/>
        <v>0</v>
      </c>
      <c r="BN369" s="196"/>
      <c r="BO369" s="601" t="str">
        <f ca="1">IF(IFERROR(INDEX(Покупка!$K$26:$L$150,MATCH($F369&amp;"7komm",Покупка!$K$26:$K$150,0),2),"")=0,"",IFERROR(INDEX(Покупка!$K$26:$L$150,MATCH($F369&amp;"7komm",Покупка!$K$26:$K$150,0),2),""))</f>
        <v/>
      </c>
      <c r="BP369" s="196"/>
      <c r="BS369" s="696" t="s">
        <v>1151</v>
      </c>
    </row>
    <row r="370" spans="1:75" ht="14.25" customHeight="1" x14ac:dyDescent="0.15">
      <c r="B370" s="15"/>
      <c r="C370" s="25"/>
      <c r="D370" s="25"/>
      <c r="E370" s="451">
        <v>15</v>
      </c>
      <c r="F370" s="3" t="str" cm="1">
        <f t="array" aca="1" ref="F370" ca="1">OFFSET(E370,-1,1)</f>
        <v>2</v>
      </c>
      <c r="G370" s="25" t="s">
        <v>1125</v>
      </c>
      <c r="H370" s="25"/>
      <c r="I370" s="25" t="s">
        <v>1681</v>
      </c>
      <c r="J370" s="25"/>
      <c r="K370" s="25" t="s">
        <v>1681</v>
      </c>
      <c r="L370" s="25" t="s">
        <v>1519</v>
      </c>
      <c r="M370" s="25"/>
      <c r="N370" s="25"/>
      <c r="O370" s="25"/>
      <c r="P370" s="25"/>
      <c r="Q370" s="25"/>
      <c r="R370" s="25"/>
      <c r="S370" s="25"/>
      <c r="T370" s="353" t="b" cm="1">
        <f t="array" aca="1" ref="T370" ca="1">T369</f>
        <v>1</v>
      </c>
      <c r="U370" s="25"/>
      <c r="V370" s="25"/>
      <c r="X370" s="990"/>
      <c r="Z370" s="967"/>
      <c r="AB370" s="133" t="s">
        <v>2054</v>
      </c>
      <c r="AC370" s="134" t="s">
        <v>2055</v>
      </c>
      <c r="AD370" s="7" t="s">
        <v>828</v>
      </c>
      <c r="AE370" s="171">
        <f ca="1">SUMIFS(Покупка!AE$25:AE$150,Покупка!$F$25:$F$150,$F370,Покупка!$AC$25:$AC$150,$G370)</f>
        <v>0</v>
      </c>
      <c r="AF370" s="171">
        <f ca="1">SUMIFS(Покупка!AF$25:AF$150,Покупка!$F$25:$F$150,$F370,Покупка!$AC$25:$AC$150,$G370)</f>
        <v>0</v>
      </c>
      <c r="AG370" s="171">
        <f ca="1">SUMIFS(Покупка!AG$25:AG$150,Покупка!$F$25:$F$150,$F370,Покупка!$AC$25:$AC$150,$G370)</f>
        <v>0</v>
      </c>
      <c r="AH370" s="171">
        <f t="shared" ca="1" si="95"/>
        <v>0</v>
      </c>
      <c r="AI370" s="171">
        <f ca="1">SUMIFS(Покупка!AH$25:AH$150,Покупка!$F$25:$F$150,$F370,Покупка!$AC$25:$AC$150,$G370)</f>
        <v>0</v>
      </c>
      <c r="AJ370" s="171">
        <f ca="1">SUMIFS(Покупка!AI$25:AI$150,Покупка!$F$25:$F$150,$F370,Покупка!$AC$25:$AC$150,$G370)</f>
        <v>0</v>
      </c>
      <c r="AK370" s="171">
        <f ca="1">SUMIFS(Покупка!AJ$25:AJ$150,Покупка!$F$25:$F$150,$F370,Покупка!$AC$25:$AC$150,$G370)</f>
        <v>0</v>
      </c>
      <c r="AL370" s="171">
        <f ca="1">SUMIFS(Покупка!AK$25:AK$150,Покупка!$F$25:$F$150,$F370,Покупка!$AC$25:$AC$150,$G370)</f>
        <v>0</v>
      </c>
      <c r="AM370" s="171">
        <f ca="1">SUMIFS(Покупка!AL$25:AL$150,Покупка!$F$25:$F$150,$F370,Покупка!$AC$25:$AC$150,$G370)</f>
        <v>0</v>
      </c>
      <c r="AN370" s="171">
        <f ca="1">SUMIFS(Покупка!AM$25:AM$150,Покупка!$F$25:$F$150,$F370,Покупка!$AC$25:$AC$150,$G370)</f>
        <v>0</v>
      </c>
      <c r="AO370" s="171">
        <f ca="1">SUMIFS(Покупка!AN$25:AN$150,Покупка!$F$25:$F$150,$F370,Покупка!$AC$25:$AC$150,$G370)</f>
        <v>0</v>
      </c>
      <c r="AP370" s="171">
        <f ca="1">SUMIFS(Покупка!AO$25:AO$150,Покупка!$F$25:$F$150,$F370,Покупка!$AC$25:$AC$150,$G370)</f>
        <v>0</v>
      </c>
      <c r="AQ370" s="171">
        <f ca="1">SUMIFS(Покупка!AP$25:AP$150,Покупка!$F$25:$F$150,$F370,Покупка!$AC$25:$AC$150,$G370)</f>
        <v>0</v>
      </c>
      <c r="AR370" s="171">
        <f ca="1">SUMIFS(Покупка!AQ$25:AQ$150,Покупка!$F$25:$F$150,$F370,Покупка!$AC$25:$AC$150,$G370)</f>
        <v>0</v>
      </c>
      <c r="AS370" s="171">
        <f ca="1">SUMIFS(Покупка!AR$25:AR$150,Покупка!$F$25:$F$150,$F370,Покупка!$AC$25:$AC$150,$G370)</f>
        <v>0</v>
      </c>
      <c r="AT370" s="171">
        <f ca="1">SUMIFS(Покупка!AS$25:AS$150,Покупка!$F$25:$F$150,$F370,Покупка!$AC$25:$AC$150,$G370)</f>
        <v>0</v>
      </c>
      <c r="AU370" s="171">
        <f ca="1">SUMIFS(Покупка!AT$25:AT$150,Покупка!$F$25:$F$150,$F370,Покупка!$AC$25:$AC$150,$G370)</f>
        <v>0</v>
      </c>
      <c r="AV370" s="171">
        <f ca="1">SUMIFS(Покупка!AU$25:AU$150,Покупка!$F$25:$F$150,$F370,Покупка!$AC$25:$AC$150,$G370)</f>
        <v>0</v>
      </c>
      <c r="AW370" s="171">
        <f ca="1">SUMIFS(Покупка!AV$25:AV$150,Покупка!$F$25:$F$150,$F370,Покупка!$AC$25:$AC$150,$G370)</f>
        <v>0</v>
      </c>
      <c r="AX370" s="171">
        <f ca="1">SUMIFS(Покупка!AW$25:AW$150,Покупка!$F$25:$F$150,$F370,Покупка!$AC$25:$AC$150,$G370)</f>
        <v>0</v>
      </c>
      <c r="AY370" s="171">
        <f ca="1">SUMIFS(Покупка!AX$25:AX$150,Покупка!$F$25:$F$150,$F370,Покупка!$AC$25:$AC$150,$G370)</f>
        <v>0</v>
      </c>
      <c r="AZ370" s="171">
        <f ca="1">SUMIFS(Покупка!AY$25:AY$150,Покупка!$F$25:$F$150,$F370,Покупка!$AC$25:$AC$150,$G370)</f>
        <v>0</v>
      </c>
      <c r="BA370" s="171">
        <f ca="1">SUMIFS(Покупка!AZ$25:AZ$150,Покупка!$F$25:$F$150,$F370,Покупка!$AC$25:$AC$150,$G370)</f>
        <v>0</v>
      </c>
      <c r="BB370" s="171">
        <f ca="1">SUMIFS(Покупка!BA$25:BA$150,Покупка!$F$25:$F$150,$F370,Покупка!$AC$25:$AC$150,$G370)</f>
        <v>0</v>
      </c>
      <c r="BC370" s="171">
        <f ca="1">SUMIFS(Покупка!BB$25:BB$150,Покупка!$F$25:$F$150,$F370,Покупка!$AC$25:$AC$150,$G370)</f>
        <v>0</v>
      </c>
      <c r="BD370" s="171">
        <f t="shared" ca="1" si="97"/>
        <v>0</v>
      </c>
      <c r="BE370" s="171">
        <f t="shared" ca="1" si="98"/>
        <v>0</v>
      </c>
      <c r="BF370" s="171">
        <f t="shared" ca="1" si="99"/>
        <v>0</v>
      </c>
      <c r="BG370" s="171">
        <f t="shared" ca="1" si="100"/>
        <v>0</v>
      </c>
      <c r="BH370" s="171">
        <f t="shared" ca="1" si="101"/>
        <v>0</v>
      </c>
      <c r="BI370" s="171">
        <f t="shared" ca="1" si="102"/>
        <v>0</v>
      </c>
      <c r="BJ370" s="171">
        <f t="shared" ca="1" si="103"/>
        <v>0</v>
      </c>
      <c r="BK370" s="171">
        <f t="shared" ca="1" si="104"/>
        <v>0</v>
      </c>
      <c r="BL370" s="171">
        <f t="shared" ca="1" si="105"/>
        <v>0</v>
      </c>
      <c r="BM370" s="171">
        <f t="shared" ca="1" si="106"/>
        <v>0</v>
      </c>
      <c r="BN370" s="196"/>
      <c r="BO370" s="601" t="str">
        <f ca="1">IF(IFERROR(INDEX(Покупка!$K$26:$L$150,MATCH($F370&amp;"2komm",Покупка!$K$26:$K$150,0),2),"")=0,"",IFERROR(INDEX(Покупка!$K$26:$L$150,MATCH($F370&amp;"2komm",Покупка!$K$26:$K$150,0),2),""))</f>
        <v/>
      </c>
      <c r="BP370" s="196"/>
      <c r="BS370" s="696" t="s">
        <v>2056</v>
      </c>
    </row>
    <row r="371" spans="1:75" ht="14.25" customHeight="1" x14ac:dyDescent="0.15">
      <c r="B371" s="15"/>
      <c r="C371" s="25"/>
      <c r="D371" s="25"/>
      <c r="E371" s="451">
        <v>15</v>
      </c>
      <c r="F371" s="3" t="str" cm="1">
        <f t="array" aca="1" ref="F371" ca="1">OFFSET(E371,-1,1)</f>
        <v>2</v>
      </c>
      <c r="G371" s="25" t="s">
        <v>1116</v>
      </c>
      <c r="H371" s="25"/>
      <c r="I371" s="25" t="s">
        <v>1683</v>
      </c>
      <c r="J371" s="25"/>
      <c r="K371" s="25" t="s">
        <v>1683</v>
      </c>
      <c r="L371" s="25" t="s">
        <v>1514</v>
      </c>
      <c r="M371" s="25"/>
      <c r="N371" s="25"/>
      <c r="O371" s="25"/>
      <c r="P371" s="25"/>
      <c r="Q371" s="25"/>
      <c r="R371" s="25"/>
      <c r="S371" s="25"/>
      <c r="T371" s="353" t="b" cm="1">
        <f t="array" aca="1" ref="T371" ca="1">T370</f>
        <v>1</v>
      </c>
      <c r="U371" s="25"/>
      <c r="V371" s="25"/>
      <c r="X371" s="990"/>
      <c r="Z371" s="967"/>
      <c r="AB371" s="133" t="s">
        <v>2057</v>
      </c>
      <c r="AC371" s="134" t="s">
        <v>2058</v>
      </c>
      <c r="AD371" s="7" t="s">
        <v>828</v>
      </c>
      <c r="AE371" s="171">
        <f ca="1">SUMIFS(Покупка!AE$25:AE$150,Покупка!$F$25:$F$150,$F371,Покупка!$AC$25:$AC$150,$G371)</f>
        <v>0</v>
      </c>
      <c r="AF371" s="171">
        <f ca="1">SUMIFS(Покупка!AF$25:AF$150,Покупка!$F$25:$F$150,$F371,Покупка!$AC$25:$AC$150,$G371)</f>
        <v>0</v>
      </c>
      <c r="AG371" s="171">
        <f ca="1">SUMIFS(Покупка!AG$25:AG$150,Покупка!$F$25:$F$150,$F371,Покупка!$AC$25:$AC$150,$G371)</f>
        <v>0</v>
      </c>
      <c r="AH371" s="171">
        <f t="shared" ca="1" si="95"/>
        <v>0</v>
      </c>
      <c r="AI371" s="171">
        <f ca="1">SUMIFS(Покупка!AH$25:AH$150,Покупка!$F$25:$F$150,$F371,Покупка!$AC$25:$AC$150,$G371)</f>
        <v>0</v>
      </c>
      <c r="AJ371" s="171">
        <f ca="1">SUMIFS(Покупка!AI$25:AI$150,Покупка!$F$25:$F$150,$F371,Покупка!$AC$25:$AC$150,$G371)</f>
        <v>0</v>
      </c>
      <c r="AK371" s="171">
        <f ca="1">SUMIFS(Покупка!AJ$25:AJ$150,Покупка!$F$25:$F$150,$F371,Покупка!$AC$25:$AC$150,$G371)</f>
        <v>0</v>
      </c>
      <c r="AL371" s="171">
        <f ca="1">SUMIFS(Покупка!AK$25:AK$150,Покупка!$F$25:$F$150,$F371,Покупка!$AC$25:$AC$150,$G371)</f>
        <v>0</v>
      </c>
      <c r="AM371" s="171">
        <f ca="1">SUMIFS(Покупка!AL$25:AL$150,Покупка!$F$25:$F$150,$F371,Покупка!$AC$25:$AC$150,$G371)</f>
        <v>0</v>
      </c>
      <c r="AN371" s="171">
        <f ca="1">SUMIFS(Покупка!AM$25:AM$150,Покупка!$F$25:$F$150,$F371,Покупка!$AC$25:$AC$150,$G371)</f>
        <v>0</v>
      </c>
      <c r="AO371" s="171">
        <f ca="1">SUMIFS(Покупка!AN$25:AN$150,Покупка!$F$25:$F$150,$F371,Покупка!$AC$25:$AC$150,$G371)</f>
        <v>0</v>
      </c>
      <c r="AP371" s="171">
        <f ca="1">SUMIFS(Покупка!AO$25:AO$150,Покупка!$F$25:$F$150,$F371,Покупка!$AC$25:$AC$150,$G371)</f>
        <v>0</v>
      </c>
      <c r="AQ371" s="171">
        <f ca="1">SUMIFS(Покупка!AP$25:AP$150,Покупка!$F$25:$F$150,$F371,Покупка!$AC$25:$AC$150,$G371)</f>
        <v>0</v>
      </c>
      <c r="AR371" s="171">
        <f ca="1">SUMIFS(Покупка!AQ$25:AQ$150,Покупка!$F$25:$F$150,$F371,Покупка!$AC$25:$AC$150,$G371)</f>
        <v>0</v>
      </c>
      <c r="AS371" s="171">
        <f ca="1">SUMIFS(Покупка!AR$25:AR$150,Покупка!$F$25:$F$150,$F371,Покупка!$AC$25:$AC$150,$G371)</f>
        <v>0</v>
      </c>
      <c r="AT371" s="171">
        <f ca="1">SUMIFS(Покупка!AS$25:AS$150,Покупка!$F$25:$F$150,$F371,Покупка!$AC$25:$AC$150,$G371)</f>
        <v>0</v>
      </c>
      <c r="AU371" s="171">
        <f ca="1">SUMIFS(Покупка!AT$25:AT$150,Покупка!$F$25:$F$150,$F371,Покупка!$AC$25:$AC$150,$G371)</f>
        <v>0</v>
      </c>
      <c r="AV371" s="171">
        <f ca="1">SUMIFS(Покупка!AU$25:AU$150,Покупка!$F$25:$F$150,$F371,Покупка!$AC$25:$AC$150,$G371)</f>
        <v>0</v>
      </c>
      <c r="AW371" s="171">
        <f ca="1">SUMIFS(Покупка!AV$25:AV$150,Покупка!$F$25:$F$150,$F371,Покупка!$AC$25:$AC$150,$G371)</f>
        <v>0</v>
      </c>
      <c r="AX371" s="171">
        <f ca="1">SUMIFS(Покупка!AW$25:AW$150,Покупка!$F$25:$F$150,$F371,Покупка!$AC$25:$AC$150,$G371)</f>
        <v>0</v>
      </c>
      <c r="AY371" s="171">
        <f ca="1">SUMIFS(Покупка!AX$25:AX$150,Покупка!$F$25:$F$150,$F371,Покупка!$AC$25:$AC$150,$G371)</f>
        <v>0</v>
      </c>
      <c r="AZ371" s="171">
        <f ca="1">SUMIFS(Покупка!AY$25:AY$150,Покупка!$F$25:$F$150,$F371,Покупка!$AC$25:$AC$150,$G371)</f>
        <v>0</v>
      </c>
      <c r="BA371" s="171">
        <f ca="1">SUMIFS(Покупка!AZ$25:AZ$150,Покупка!$F$25:$F$150,$F371,Покупка!$AC$25:$AC$150,$G371)</f>
        <v>0</v>
      </c>
      <c r="BB371" s="171">
        <f ca="1">SUMIFS(Покупка!BA$25:BA$150,Покупка!$F$25:$F$150,$F371,Покупка!$AC$25:$AC$150,$G371)</f>
        <v>0</v>
      </c>
      <c r="BC371" s="171">
        <f ca="1">SUMIFS(Покупка!BB$25:BB$150,Покупка!$F$25:$F$150,$F371,Покупка!$AC$25:$AC$150,$G371)</f>
        <v>0</v>
      </c>
      <c r="BD371" s="171">
        <f t="shared" ca="1" si="97"/>
        <v>0</v>
      </c>
      <c r="BE371" s="171">
        <f t="shared" ca="1" si="98"/>
        <v>0</v>
      </c>
      <c r="BF371" s="171">
        <f t="shared" ca="1" si="99"/>
        <v>0</v>
      </c>
      <c r="BG371" s="171">
        <f t="shared" ca="1" si="100"/>
        <v>0</v>
      </c>
      <c r="BH371" s="171">
        <f t="shared" ca="1" si="101"/>
        <v>0</v>
      </c>
      <c r="BI371" s="171">
        <f t="shared" ca="1" si="102"/>
        <v>0</v>
      </c>
      <c r="BJ371" s="171">
        <f t="shared" ca="1" si="103"/>
        <v>0</v>
      </c>
      <c r="BK371" s="171">
        <f t="shared" ca="1" si="104"/>
        <v>0</v>
      </c>
      <c r="BL371" s="171">
        <f t="shared" ca="1" si="105"/>
        <v>0</v>
      </c>
      <c r="BM371" s="171">
        <f t="shared" ca="1" si="106"/>
        <v>0</v>
      </c>
      <c r="BN371" s="196"/>
      <c r="BO371" s="601" t="str">
        <f ca="1">IF(IFERROR(INDEX(Покупка!$K$26:$L$150,MATCH($F371&amp;"1komm",Покупка!$K$26:$K$150,0),2),"")=0,"",IFERROR(INDEX(Покупка!$K$26:$L$150,MATCH($F371&amp;"1komm",Покупка!$K$26:$K$150,0),2),""))</f>
        <v/>
      </c>
      <c r="BP371" s="196"/>
      <c r="BS371" s="696" t="s">
        <v>2059</v>
      </c>
    </row>
    <row r="372" spans="1:75" ht="14.25" customHeight="1" x14ac:dyDescent="0.15">
      <c r="B372" s="15"/>
      <c r="C372" s="25"/>
      <c r="D372" s="25"/>
      <c r="E372" s="451">
        <v>15</v>
      </c>
      <c r="F372" s="3" t="str" cm="1">
        <f t="array" aca="1" ref="F372" ca="1">OFFSET(E372,-1,1)</f>
        <v>2</v>
      </c>
      <c r="G372" s="25" t="s">
        <v>1152</v>
      </c>
      <c r="H372" s="25"/>
      <c r="I372" s="25" t="s">
        <v>1686</v>
      </c>
      <c r="J372" s="25"/>
      <c r="K372" s="25" t="s">
        <v>1686</v>
      </c>
      <c r="L372" s="25"/>
      <c r="M372" s="25"/>
      <c r="N372" s="25"/>
      <c r="O372" s="25"/>
      <c r="P372" s="25"/>
      <c r="Q372" s="25"/>
      <c r="R372" s="25"/>
      <c r="S372" s="25"/>
      <c r="T372" s="353" t="b" cm="1">
        <f t="array" aca="1" ref="T372" ca="1">T371</f>
        <v>1</v>
      </c>
      <c r="U372" s="25"/>
      <c r="V372" s="25"/>
      <c r="X372" s="990"/>
      <c r="Z372" s="967"/>
      <c r="AB372" s="133" t="s">
        <v>2060</v>
      </c>
      <c r="AC372" s="134" t="s">
        <v>2061</v>
      </c>
      <c r="AD372" s="7" t="s">
        <v>828</v>
      </c>
      <c r="AE372" s="171">
        <f ca="1">SUMIFS(Покупка!AE$25:AE$150,Покупка!$F$25:$F$150,$F372,Покупка!$AC$25:$AC$150,$G372)</f>
        <v>0</v>
      </c>
      <c r="AF372" s="171">
        <f ca="1">SUMIFS(Покупка!AF$25:AF$150,Покупка!$F$25:$F$150,$F372,Покупка!$AC$25:$AC$150,$G372)</f>
        <v>0</v>
      </c>
      <c r="AG372" s="171">
        <f ca="1">SUMIFS(Покупка!AG$25:AG$150,Покупка!$F$25:$F$150,$F372,Покупка!$AC$25:$AC$150,$G372)</f>
        <v>0</v>
      </c>
      <c r="AH372" s="171">
        <f t="shared" ca="1" si="95"/>
        <v>0</v>
      </c>
      <c r="AI372" s="171">
        <f ca="1">SUMIFS(Покупка!AH$25:AH$150,Покупка!$F$25:$F$150,$F372,Покупка!$AC$25:$AC$150,$G372)</f>
        <v>0</v>
      </c>
      <c r="AJ372" s="171">
        <f ca="1">SUMIFS(Покупка!AI$25:AI$150,Покупка!$F$25:$F$150,$F372,Покупка!$AC$25:$AC$150,$G372)</f>
        <v>0</v>
      </c>
      <c r="AK372" s="171">
        <f ca="1">SUMIFS(Покупка!AJ$25:AJ$150,Покупка!$F$25:$F$150,$F372,Покупка!$AC$25:$AC$150,$G372)</f>
        <v>0</v>
      </c>
      <c r="AL372" s="171">
        <f ca="1">SUMIFS(Покупка!AK$25:AK$150,Покупка!$F$25:$F$150,$F372,Покупка!$AC$25:$AC$150,$G372)</f>
        <v>0</v>
      </c>
      <c r="AM372" s="171">
        <f ca="1">SUMIFS(Покупка!AL$25:AL$150,Покупка!$F$25:$F$150,$F372,Покупка!$AC$25:$AC$150,$G372)</f>
        <v>0</v>
      </c>
      <c r="AN372" s="171">
        <f ca="1">SUMIFS(Покупка!AM$25:AM$150,Покупка!$F$25:$F$150,$F372,Покупка!$AC$25:$AC$150,$G372)</f>
        <v>0</v>
      </c>
      <c r="AO372" s="171">
        <f ca="1">SUMIFS(Покупка!AN$25:AN$150,Покупка!$F$25:$F$150,$F372,Покупка!$AC$25:$AC$150,$G372)</f>
        <v>0</v>
      </c>
      <c r="AP372" s="171">
        <f ca="1">SUMIFS(Покупка!AO$25:AO$150,Покупка!$F$25:$F$150,$F372,Покупка!$AC$25:$AC$150,$G372)</f>
        <v>0</v>
      </c>
      <c r="AQ372" s="171">
        <f ca="1">SUMIFS(Покупка!AP$25:AP$150,Покупка!$F$25:$F$150,$F372,Покупка!$AC$25:$AC$150,$G372)</f>
        <v>0</v>
      </c>
      <c r="AR372" s="171">
        <f ca="1">SUMIFS(Покупка!AQ$25:AQ$150,Покупка!$F$25:$F$150,$F372,Покупка!$AC$25:$AC$150,$G372)</f>
        <v>0</v>
      </c>
      <c r="AS372" s="171">
        <f ca="1">SUMIFS(Покупка!AR$25:AR$150,Покупка!$F$25:$F$150,$F372,Покупка!$AC$25:$AC$150,$G372)</f>
        <v>0</v>
      </c>
      <c r="AT372" s="171">
        <f ca="1">SUMIFS(Покупка!AS$25:AS$150,Покупка!$F$25:$F$150,$F372,Покупка!$AC$25:$AC$150,$G372)</f>
        <v>0</v>
      </c>
      <c r="AU372" s="171">
        <f ca="1">SUMIFS(Покупка!AT$25:AT$150,Покупка!$F$25:$F$150,$F372,Покупка!$AC$25:$AC$150,$G372)</f>
        <v>0</v>
      </c>
      <c r="AV372" s="171">
        <f ca="1">SUMIFS(Покупка!AU$25:AU$150,Покупка!$F$25:$F$150,$F372,Покупка!$AC$25:$AC$150,$G372)</f>
        <v>0</v>
      </c>
      <c r="AW372" s="171">
        <f ca="1">SUMIFS(Покупка!AV$25:AV$150,Покупка!$F$25:$F$150,$F372,Покупка!$AC$25:$AC$150,$G372)</f>
        <v>0</v>
      </c>
      <c r="AX372" s="171">
        <f ca="1">SUMIFS(Покупка!AW$25:AW$150,Покупка!$F$25:$F$150,$F372,Покупка!$AC$25:$AC$150,$G372)</f>
        <v>0</v>
      </c>
      <c r="AY372" s="171">
        <f ca="1">SUMIFS(Покупка!AX$25:AX$150,Покупка!$F$25:$F$150,$F372,Покупка!$AC$25:$AC$150,$G372)</f>
        <v>0</v>
      </c>
      <c r="AZ372" s="171">
        <f ca="1">SUMIFS(Покупка!AY$25:AY$150,Покупка!$F$25:$F$150,$F372,Покупка!$AC$25:$AC$150,$G372)</f>
        <v>0</v>
      </c>
      <c r="BA372" s="171">
        <f ca="1">SUMIFS(Покупка!AZ$25:AZ$150,Покупка!$F$25:$F$150,$F372,Покупка!$AC$25:$AC$150,$G372)</f>
        <v>0</v>
      </c>
      <c r="BB372" s="171">
        <f ca="1">SUMIFS(Покупка!BA$25:BA$150,Покупка!$F$25:$F$150,$F372,Покупка!$AC$25:$AC$150,$G372)</f>
        <v>0</v>
      </c>
      <c r="BC372" s="171">
        <f ca="1">SUMIFS(Покупка!BB$25:BB$150,Покупка!$F$25:$F$150,$F372,Покупка!$AC$25:$AC$150,$G372)</f>
        <v>0</v>
      </c>
      <c r="BD372" s="171">
        <f t="shared" ca="1" si="97"/>
        <v>0</v>
      </c>
      <c r="BE372" s="171">
        <f t="shared" ca="1" si="98"/>
        <v>0</v>
      </c>
      <c r="BF372" s="171">
        <f t="shared" ca="1" si="99"/>
        <v>0</v>
      </c>
      <c r="BG372" s="171">
        <f t="shared" ca="1" si="100"/>
        <v>0</v>
      </c>
      <c r="BH372" s="171">
        <f t="shared" ca="1" si="101"/>
        <v>0</v>
      </c>
      <c r="BI372" s="171">
        <f t="shared" ca="1" si="102"/>
        <v>0</v>
      </c>
      <c r="BJ372" s="171">
        <f t="shared" ca="1" si="103"/>
        <v>0</v>
      </c>
      <c r="BK372" s="171">
        <f t="shared" ca="1" si="104"/>
        <v>0</v>
      </c>
      <c r="BL372" s="171">
        <f t="shared" ca="1" si="105"/>
        <v>0</v>
      </c>
      <c r="BM372" s="171">
        <f t="shared" ca="1" si="106"/>
        <v>0</v>
      </c>
      <c r="BN372" s="196"/>
      <c r="BO372" s="601" t="str">
        <f ca="1">IF(IFERROR(INDEX(Покупка!$K$26:$L$150,MATCH($F372&amp;"8komm",Покупка!$K$26:$K$150,0),2),"")=0,"",IFERROR(INDEX(Покупка!$K$26:$L$150,MATCH($F372&amp;"8komm",Покупка!$K$26:$K$150,0),2),""))</f>
        <v/>
      </c>
      <c r="BP372" s="196"/>
      <c r="BS372" s="696" t="s">
        <v>1153</v>
      </c>
    </row>
    <row r="373" spans="1:75" ht="14.25" customHeight="1" x14ac:dyDescent="0.15">
      <c r="B373" s="15"/>
      <c r="C373" s="25"/>
      <c r="D373" s="25"/>
      <c r="E373" s="451">
        <v>15</v>
      </c>
      <c r="F373" s="3" t="str" cm="1">
        <f t="array" aca="1" ref="F373" ca="1">OFFSET(E373,-1,1)</f>
        <v>2</v>
      </c>
      <c r="G373" s="25"/>
      <c r="H373" s="25"/>
      <c r="I373" s="25" t="s">
        <v>2062</v>
      </c>
      <c r="J373" s="25"/>
      <c r="K373" s="25" t="s">
        <v>2062</v>
      </c>
      <c r="L373" s="25"/>
      <c r="M373" s="25"/>
      <c r="N373" s="25"/>
      <c r="O373" s="25"/>
      <c r="P373" s="25"/>
      <c r="Q373" s="25"/>
      <c r="R373" s="25"/>
      <c r="S373" s="25"/>
      <c r="T373" s="353" t="b" cm="1">
        <f t="array" aca="1" ref="T373" ca="1">T372</f>
        <v>1</v>
      </c>
      <c r="U373" s="25"/>
      <c r="V373" s="25"/>
      <c r="X373" s="990"/>
      <c r="Z373" s="967"/>
      <c r="AB373" s="133" t="s">
        <v>2063</v>
      </c>
      <c r="AC373" s="134" t="s">
        <v>2064</v>
      </c>
      <c r="AD373" s="7" t="s">
        <v>828</v>
      </c>
      <c r="AE373" s="128"/>
      <c r="AF373" s="128"/>
      <c r="AG373" s="128"/>
      <c r="AH373" s="171">
        <f t="shared" si="95"/>
        <v>0</v>
      </c>
      <c r="AI373" s="128"/>
      <c r="AJ373" s="128"/>
      <c r="AK373" s="778"/>
      <c r="AL373" s="778"/>
      <c r="AM373" s="128"/>
      <c r="AN373" s="128"/>
      <c r="AO373" s="128"/>
      <c r="AP373" s="128"/>
      <c r="AQ373" s="128"/>
      <c r="AR373" s="128"/>
      <c r="AS373" s="128"/>
      <c r="AT373" s="128"/>
      <c r="AU373" s="778"/>
      <c r="AV373" s="778"/>
      <c r="AW373" s="128"/>
      <c r="AX373" s="128"/>
      <c r="AY373" s="128"/>
      <c r="AZ373" s="128"/>
      <c r="BA373" s="128"/>
      <c r="BB373" s="128"/>
      <c r="BC373" s="128"/>
      <c r="BD373" s="171">
        <f t="shared" si="97"/>
        <v>0</v>
      </c>
      <c r="BE373" s="171">
        <f t="shared" si="98"/>
        <v>0</v>
      </c>
      <c r="BF373" s="171">
        <f t="shared" si="99"/>
        <v>0</v>
      </c>
      <c r="BG373" s="171">
        <f t="shared" si="100"/>
        <v>0</v>
      </c>
      <c r="BH373" s="171">
        <f t="shared" si="101"/>
        <v>0</v>
      </c>
      <c r="BI373" s="171">
        <f t="shared" si="102"/>
        <v>0</v>
      </c>
      <c r="BJ373" s="171">
        <f t="shared" si="103"/>
        <v>0</v>
      </c>
      <c r="BK373" s="171">
        <f t="shared" si="104"/>
        <v>0</v>
      </c>
      <c r="BL373" s="171">
        <f t="shared" si="105"/>
        <v>0</v>
      </c>
      <c r="BM373" s="171">
        <f t="shared" si="106"/>
        <v>0</v>
      </c>
      <c r="BN373" s="196"/>
      <c r="BO373" s="196"/>
      <c r="BP373" s="196"/>
      <c r="BS373" s="696" t="s">
        <v>2065</v>
      </c>
    </row>
    <row r="374" spans="1:75" ht="14.25" customHeight="1" x14ac:dyDescent="0.15">
      <c r="B374" s="15"/>
      <c r="C374" s="25"/>
      <c r="D374" s="25"/>
      <c r="E374" s="451">
        <v>15</v>
      </c>
      <c r="F374" s="3" t="str" cm="1">
        <f t="array" aca="1" ref="F374" ca="1">OFFSET(E374,-1,1)</f>
        <v>2</v>
      </c>
      <c r="G374" s="25"/>
      <c r="H374" s="25"/>
      <c r="I374" s="25" t="s">
        <v>2066</v>
      </c>
      <c r="J374" s="25"/>
      <c r="K374" s="25" t="s">
        <v>2066</v>
      </c>
      <c r="L374" s="25"/>
      <c r="M374" s="25"/>
      <c r="N374" s="25"/>
      <c r="O374" s="25"/>
      <c r="P374" s="25"/>
      <c r="Q374" s="25"/>
      <c r="R374" s="25"/>
      <c r="S374" s="25"/>
      <c r="T374" s="353" t="b" cm="1">
        <f t="array" aca="1" ref="T374" ca="1">T373</f>
        <v>1</v>
      </c>
      <c r="U374" s="25"/>
      <c r="V374" s="25"/>
      <c r="X374" s="990"/>
      <c r="Z374" s="967"/>
      <c r="AB374" s="133" t="s">
        <v>2067</v>
      </c>
      <c r="AC374" s="134" t="s">
        <v>2068</v>
      </c>
      <c r="AD374" s="7" t="s">
        <v>828</v>
      </c>
      <c r="AE374" s="128"/>
      <c r="AF374" s="128"/>
      <c r="AG374" s="128"/>
      <c r="AH374" s="171">
        <f t="shared" si="95"/>
        <v>0</v>
      </c>
      <c r="AI374" s="128"/>
      <c r="AJ374" s="128"/>
      <c r="AK374" s="778"/>
      <c r="AL374" s="778"/>
      <c r="AM374" s="128"/>
      <c r="AN374" s="128"/>
      <c r="AO374" s="128"/>
      <c r="AP374" s="128"/>
      <c r="AQ374" s="128"/>
      <c r="AR374" s="128"/>
      <c r="AS374" s="128"/>
      <c r="AT374" s="128"/>
      <c r="AU374" s="778"/>
      <c r="AV374" s="778"/>
      <c r="AW374" s="128"/>
      <c r="AX374" s="128"/>
      <c r="AY374" s="128"/>
      <c r="AZ374" s="128"/>
      <c r="BA374" s="128"/>
      <c r="BB374" s="128"/>
      <c r="BC374" s="128"/>
      <c r="BD374" s="171">
        <f t="shared" si="97"/>
        <v>0</v>
      </c>
      <c r="BE374" s="171">
        <f t="shared" si="98"/>
        <v>0</v>
      </c>
      <c r="BF374" s="171">
        <f t="shared" si="99"/>
        <v>0</v>
      </c>
      <c r="BG374" s="171">
        <f t="shared" si="100"/>
        <v>0</v>
      </c>
      <c r="BH374" s="171">
        <f t="shared" si="101"/>
        <v>0</v>
      </c>
      <c r="BI374" s="171">
        <f t="shared" si="102"/>
        <v>0</v>
      </c>
      <c r="BJ374" s="171">
        <f t="shared" si="103"/>
        <v>0</v>
      </c>
      <c r="BK374" s="171">
        <f t="shared" si="104"/>
        <v>0</v>
      </c>
      <c r="BL374" s="171">
        <f t="shared" si="105"/>
        <v>0</v>
      </c>
      <c r="BM374" s="171">
        <f t="shared" si="106"/>
        <v>0</v>
      </c>
      <c r="BN374" s="196"/>
      <c r="BO374" s="196"/>
      <c r="BP374" s="196"/>
      <c r="BS374" s="696" t="s">
        <v>2069</v>
      </c>
    </row>
    <row r="375" spans="1:75" ht="14.25" customHeight="1" x14ac:dyDescent="0.15">
      <c r="B375" s="15"/>
      <c r="C375" s="25"/>
      <c r="D375" s="25"/>
      <c r="E375" s="451">
        <v>15</v>
      </c>
      <c r="F375" s="3" t="str" cm="1">
        <f t="array" aca="1" ref="F375" ca="1">OFFSET(E375,-1,1)</f>
        <v>2</v>
      </c>
      <c r="G375" s="25" t="s">
        <v>1130</v>
      </c>
      <c r="H375" s="25"/>
      <c r="I375" s="25" t="s">
        <v>2070</v>
      </c>
      <c r="J375" s="25"/>
      <c r="K375" s="25" t="s">
        <v>2070</v>
      </c>
      <c r="L375" s="25" t="s">
        <v>1528</v>
      </c>
      <c r="M375" s="25"/>
      <c r="N375" s="25"/>
      <c r="O375" s="25"/>
      <c r="P375" s="25"/>
      <c r="Q375" s="25"/>
      <c r="R375" s="25"/>
      <c r="S375" s="25"/>
      <c r="T375" s="353" t="b" cm="1">
        <f t="array" aca="1" ref="T375" ca="1">T374</f>
        <v>1</v>
      </c>
      <c r="U375" s="25"/>
      <c r="V375" s="25"/>
      <c r="X375" s="990"/>
      <c r="Z375" s="967"/>
      <c r="AB375" s="133" t="s">
        <v>2071</v>
      </c>
      <c r="AC375" s="134" t="s">
        <v>2072</v>
      </c>
      <c r="AD375" s="7" t="s">
        <v>828</v>
      </c>
      <c r="AE375" s="171">
        <f ca="1">SUMIFS(Покупка!AE$25:AE$150,Покупка!$F$25:$F$150,$F375,Покупка!$AC$25:$AC$150,$G375)</f>
        <v>0</v>
      </c>
      <c r="AF375" s="171">
        <f ca="1">SUMIFS(Покупка!AF$25:AF$150,Покупка!$F$25:$F$150,$F375,Покупка!$AC$25:$AC$150,$G375)</f>
        <v>0</v>
      </c>
      <c r="AG375" s="171">
        <f ca="1">SUMIFS(Покупка!AG$25:AG$150,Покупка!$F$25:$F$150,$F375,Покупка!$AC$25:$AC$150,$G375)</f>
        <v>0</v>
      </c>
      <c r="AH375" s="171">
        <f t="shared" ca="1" si="95"/>
        <v>0</v>
      </c>
      <c r="AI375" s="171">
        <f ca="1">SUMIFS(Покупка!AH$25:AH$150,Покупка!$F$25:$F$150,$F375,Покупка!$AC$25:$AC$150,$G375)</f>
        <v>0</v>
      </c>
      <c r="AJ375" s="171">
        <f ca="1">SUMIFS(Покупка!AI$25:AI$150,Покупка!$F$25:$F$150,$F375,Покупка!$AC$25:$AC$150,$G375)</f>
        <v>0</v>
      </c>
      <c r="AK375" s="171">
        <f ca="1">SUMIFS(Покупка!AJ$25:AJ$150,Покупка!$F$25:$F$150,$F375,Покупка!$AC$25:$AC$150,$G375)</f>
        <v>0</v>
      </c>
      <c r="AL375" s="171">
        <f ca="1">SUMIFS(Покупка!AK$25:AK$150,Покупка!$F$25:$F$150,$F375,Покупка!$AC$25:$AC$150,$G375)</f>
        <v>0</v>
      </c>
      <c r="AM375" s="171">
        <f ca="1">SUMIFS(Покупка!AL$25:AL$150,Покупка!$F$25:$F$150,$F375,Покупка!$AC$25:$AC$150,$G375)</f>
        <v>0</v>
      </c>
      <c r="AN375" s="171">
        <f ca="1">SUMIFS(Покупка!AM$25:AM$150,Покупка!$F$25:$F$150,$F375,Покупка!$AC$25:$AC$150,$G375)</f>
        <v>0</v>
      </c>
      <c r="AO375" s="171">
        <f ca="1">SUMIFS(Покупка!AN$25:AN$150,Покупка!$F$25:$F$150,$F375,Покупка!$AC$25:$AC$150,$G375)</f>
        <v>0</v>
      </c>
      <c r="AP375" s="171">
        <f ca="1">SUMIFS(Покупка!AO$25:AO$150,Покупка!$F$25:$F$150,$F375,Покупка!$AC$25:$AC$150,$G375)</f>
        <v>0</v>
      </c>
      <c r="AQ375" s="171">
        <f ca="1">SUMIFS(Покупка!AP$25:AP$150,Покупка!$F$25:$F$150,$F375,Покупка!$AC$25:$AC$150,$G375)</f>
        <v>0</v>
      </c>
      <c r="AR375" s="171">
        <f ca="1">SUMIFS(Покупка!AQ$25:AQ$150,Покупка!$F$25:$F$150,$F375,Покупка!$AC$25:$AC$150,$G375)</f>
        <v>0</v>
      </c>
      <c r="AS375" s="171">
        <f ca="1">SUMIFS(Покупка!AR$25:AR$150,Покупка!$F$25:$F$150,$F375,Покупка!$AC$25:$AC$150,$G375)</f>
        <v>0</v>
      </c>
      <c r="AT375" s="171">
        <f ca="1">SUMIFS(Покупка!AS$25:AS$150,Покупка!$F$25:$F$150,$F375,Покупка!$AC$25:$AC$150,$G375)</f>
        <v>0</v>
      </c>
      <c r="AU375" s="171">
        <f ca="1">SUMIFS(Покупка!AT$25:AT$150,Покупка!$F$25:$F$150,$F375,Покупка!$AC$25:$AC$150,$G375)</f>
        <v>0</v>
      </c>
      <c r="AV375" s="171">
        <f ca="1">SUMIFS(Покупка!AU$25:AU$150,Покупка!$F$25:$F$150,$F375,Покупка!$AC$25:$AC$150,$G375)</f>
        <v>0</v>
      </c>
      <c r="AW375" s="171">
        <f ca="1">SUMIFS(Покупка!AV$25:AV$150,Покупка!$F$25:$F$150,$F375,Покупка!$AC$25:$AC$150,$G375)</f>
        <v>0</v>
      </c>
      <c r="AX375" s="171">
        <f ca="1">SUMIFS(Покупка!AW$25:AW$150,Покупка!$F$25:$F$150,$F375,Покупка!$AC$25:$AC$150,$G375)</f>
        <v>0</v>
      </c>
      <c r="AY375" s="171">
        <f ca="1">SUMIFS(Покупка!AX$25:AX$150,Покупка!$F$25:$F$150,$F375,Покупка!$AC$25:$AC$150,$G375)</f>
        <v>0</v>
      </c>
      <c r="AZ375" s="171">
        <f ca="1">SUMIFS(Покупка!AY$25:AY$150,Покупка!$F$25:$F$150,$F375,Покупка!$AC$25:$AC$150,$G375)</f>
        <v>0</v>
      </c>
      <c r="BA375" s="171">
        <f ca="1">SUMIFS(Покупка!AZ$25:AZ$150,Покупка!$F$25:$F$150,$F375,Покупка!$AC$25:$AC$150,$G375)</f>
        <v>0</v>
      </c>
      <c r="BB375" s="171">
        <f ca="1">SUMIFS(Покупка!BA$25:BA$150,Покупка!$F$25:$F$150,$F375,Покупка!$AC$25:$AC$150,$G375)</f>
        <v>0</v>
      </c>
      <c r="BC375" s="171">
        <f ca="1">SUMIFS(Покупка!BB$25:BB$150,Покупка!$F$25:$F$150,$F375,Покупка!$AC$25:$AC$150,$G375)</f>
        <v>0</v>
      </c>
      <c r="BD375" s="171">
        <f t="shared" ca="1" si="97"/>
        <v>0</v>
      </c>
      <c r="BE375" s="171">
        <f t="shared" ca="1" si="98"/>
        <v>0</v>
      </c>
      <c r="BF375" s="171">
        <f t="shared" ca="1" si="99"/>
        <v>0</v>
      </c>
      <c r="BG375" s="171">
        <f t="shared" ca="1" si="100"/>
        <v>0</v>
      </c>
      <c r="BH375" s="171">
        <f t="shared" ca="1" si="101"/>
        <v>0</v>
      </c>
      <c r="BI375" s="171">
        <f t="shared" ca="1" si="102"/>
        <v>0</v>
      </c>
      <c r="BJ375" s="171">
        <f t="shared" ca="1" si="103"/>
        <v>0</v>
      </c>
      <c r="BK375" s="171">
        <f t="shared" ca="1" si="104"/>
        <v>0</v>
      </c>
      <c r="BL375" s="171">
        <f t="shared" ca="1" si="105"/>
        <v>0</v>
      </c>
      <c r="BM375" s="171">
        <f t="shared" ca="1" si="106"/>
        <v>0</v>
      </c>
      <c r="BN375" s="196"/>
      <c r="BO375" s="601" t="str">
        <f ca="1">IF(IFERROR(INDEX(Покупка!$K$26:$L$150,MATCH($F375&amp;"3komm",Покупка!$K$26:$K$150,0),2),"")=0,"",IFERROR(INDEX(Покупка!$K$26:$L$150,MATCH($F375&amp;"3komm",Покупка!$K$26:$K$150,0),2),""))</f>
        <v/>
      </c>
      <c r="BP375" s="196"/>
      <c r="BS375" s="696" t="s">
        <v>1763</v>
      </c>
    </row>
    <row r="376" spans="1:75" ht="76.349999999999994" customHeight="1" x14ac:dyDescent="0.15">
      <c r="B376" s="15"/>
      <c r="C376" s="25"/>
      <c r="D376" s="25"/>
      <c r="E376" s="451">
        <v>15</v>
      </c>
      <c r="F376" s="3" t="str" cm="1">
        <f t="array" aca="1" ref="F376" ca="1">OFFSET(E376,-1,1)</f>
        <v>2</v>
      </c>
      <c r="G376" s="25" t="s">
        <v>1136</v>
      </c>
      <c r="H376" s="25"/>
      <c r="I376" s="25" t="s">
        <v>2073</v>
      </c>
      <c r="J376" s="25"/>
      <c r="K376" s="25" t="s">
        <v>2073</v>
      </c>
      <c r="L376" s="25" t="s">
        <v>1533</v>
      </c>
      <c r="M376" s="25"/>
      <c r="N376" s="25"/>
      <c r="O376" s="25"/>
      <c r="P376" s="25"/>
      <c r="Q376" s="25"/>
      <c r="R376" s="25"/>
      <c r="S376" s="25"/>
      <c r="T376" s="353" t="b" cm="1">
        <f t="array" aca="1" ref="T376" ca="1">T375</f>
        <v>1</v>
      </c>
      <c r="U376" s="25"/>
      <c r="V376" s="25"/>
      <c r="X376" s="990"/>
      <c r="Z376" s="967"/>
      <c r="AB376" s="133" t="s">
        <v>2074</v>
      </c>
      <c r="AC376" s="134" t="s">
        <v>2075</v>
      </c>
      <c r="AD376" s="7" t="s">
        <v>828</v>
      </c>
      <c r="AE376" s="171">
        <f ca="1">SUMIFS(Покупка!AE$25:AE$150,Покупка!$F$25:$F$150,$F376,Покупка!$AC$25:$AC$150,$G376)</f>
        <v>132.99834370569999</v>
      </c>
      <c r="AF376" s="171">
        <f ca="1">SUMIFS(Покупка!AF$25:AF$150,Покупка!$F$25:$F$150,$F376,Покупка!$AC$25:$AC$150,$G376)</f>
        <v>164.492367712</v>
      </c>
      <c r="AG376" s="171">
        <f ca="1">SUMIFS(Покупка!AG$25:AG$150,Покупка!$F$25:$F$150,$F376,Покупка!$AC$25:$AC$150,$G376)</f>
        <v>164.66</v>
      </c>
      <c r="AH376" s="171">
        <f t="shared" ca="1" si="95"/>
        <v>0.16763228799999297</v>
      </c>
      <c r="AI376" s="171">
        <f ca="1">SUMIFS(Покупка!AH$25:AH$150,Покупка!$F$25:$F$150,$F376,Покупка!$AC$25:$AC$150,$G376)</f>
        <v>168.97</v>
      </c>
      <c r="AJ376" s="171">
        <f ca="1">SUMIFS(Покупка!AI$25:AI$150,Покупка!$F$25:$F$150,$F376,Покупка!$AC$25:$AC$150,$G376)</f>
        <v>241.71289999999999</v>
      </c>
      <c r="AK376" s="171">
        <f ca="1">SUMIFS(Покупка!AJ$25:AJ$150,Покупка!$F$25:$F$150,$F376,Покупка!$AC$25:$AC$150,$G376)</f>
        <v>0</v>
      </c>
      <c r="AL376" s="171">
        <f ca="1">SUMIFS(Покупка!AK$25:AK$150,Покупка!$F$25:$F$150,$F376,Покупка!$AC$25:$AC$150,$G376)</f>
        <v>0</v>
      </c>
      <c r="AM376" s="171">
        <f ca="1">SUMIFS(Покупка!AL$25:AL$150,Покупка!$F$25:$F$150,$F376,Покупка!$AC$25:$AC$150,$G376)</f>
        <v>0</v>
      </c>
      <c r="AN376" s="171">
        <f ca="1">SUMIFS(Покупка!AM$25:AM$150,Покупка!$F$25:$F$150,$F376,Покупка!$AC$25:$AC$150,$G376)</f>
        <v>0</v>
      </c>
      <c r="AO376" s="171">
        <f ca="1">SUMIFS(Покупка!AN$25:AN$150,Покупка!$F$25:$F$150,$F376,Покупка!$AC$25:$AC$150,$G376)</f>
        <v>0</v>
      </c>
      <c r="AP376" s="171">
        <f ca="1">SUMIFS(Покупка!AO$25:AO$150,Покупка!$F$25:$F$150,$F376,Покупка!$AC$25:$AC$150,$G376)</f>
        <v>0</v>
      </c>
      <c r="AQ376" s="171">
        <f ca="1">SUMIFS(Покупка!AP$25:AP$150,Покупка!$F$25:$F$150,$F376,Покупка!$AC$25:$AC$150,$G376)</f>
        <v>0</v>
      </c>
      <c r="AR376" s="171">
        <f ca="1">SUMIFS(Покупка!AQ$25:AQ$150,Покупка!$F$25:$F$150,$F376,Покупка!$AC$25:$AC$150,$G376)</f>
        <v>0</v>
      </c>
      <c r="AS376" s="171">
        <f ca="1">SUMIFS(Покупка!AR$25:AR$150,Покупка!$F$25:$F$150,$F376,Покупка!$AC$25:$AC$150,$G376)</f>
        <v>0</v>
      </c>
      <c r="AT376" s="171">
        <f ca="1">SUMIFS(Покупка!AS$25:AS$150,Покупка!$F$25:$F$150,$F376,Покупка!$AC$25:$AC$150,$G376)</f>
        <v>182.26</v>
      </c>
      <c r="AU376" s="171">
        <f ca="1">SUMIFS(Покупка!AT$25:AT$150,Покупка!$F$25:$F$150,$F376,Покупка!$AC$25:$AC$150,$G376)</f>
        <v>0</v>
      </c>
      <c r="AV376" s="171">
        <f ca="1">SUMIFS(Покупка!AU$25:AU$150,Покупка!$F$25:$F$150,$F376,Покупка!$AC$25:$AC$150,$G376)</f>
        <v>0</v>
      </c>
      <c r="AW376" s="171">
        <f ca="1">SUMIFS(Покупка!AV$25:AV$150,Покупка!$F$25:$F$150,$F376,Покупка!$AC$25:$AC$150,$G376)</f>
        <v>0</v>
      </c>
      <c r="AX376" s="171">
        <f ca="1">SUMIFS(Покупка!AW$25:AW$150,Покупка!$F$25:$F$150,$F376,Покупка!$AC$25:$AC$150,$G376)</f>
        <v>0</v>
      </c>
      <c r="AY376" s="171">
        <f ca="1">SUMIFS(Покупка!AX$25:AX$150,Покупка!$F$25:$F$150,$F376,Покупка!$AC$25:$AC$150,$G376)</f>
        <v>0</v>
      </c>
      <c r="AZ376" s="171">
        <f ca="1">SUMIFS(Покупка!AY$25:AY$150,Покупка!$F$25:$F$150,$F376,Покупка!$AC$25:$AC$150,$G376)</f>
        <v>0</v>
      </c>
      <c r="BA376" s="171">
        <f ca="1">SUMIFS(Покупка!AZ$25:AZ$150,Покупка!$F$25:$F$150,$F376,Покупка!$AC$25:$AC$150,$G376)</f>
        <v>0</v>
      </c>
      <c r="BB376" s="171">
        <f ca="1">SUMIFS(Покупка!BA$25:BA$150,Покупка!$F$25:$F$150,$F376,Покупка!$AC$25:$AC$150,$G376)</f>
        <v>0</v>
      </c>
      <c r="BC376" s="171">
        <f ca="1">SUMIFS(Покупка!BB$25:BB$150,Покупка!$F$25:$F$150,$F376,Покупка!$AC$25:$AC$150,$G376)</f>
        <v>0</v>
      </c>
      <c r="BD376" s="171">
        <f t="shared" ca="1" si="97"/>
        <v>7.8653015328164706</v>
      </c>
      <c r="BE376" s="171">
        <f t="shared" ca="1" si="98"/>
        <v>-100</v>
      </c>
      <c r="BF376" s="171">
        <f t="shared" ca="1" si="99"/>
        <v>0</v>
      </c>
      <c r="BG376" s="171">
        <f t="shared" ca="1" si="100"/>
        <v>0</v>
      </c>
      <c r="BH376" s="171">
        <f t="shared" ca="1" si="101"/>
        <v>0</v>
      </c>
      <c r="BI376" s="171">
        <f t="shared" ca="1" si="102"/>
        <v>0</v>
      </c>
      <c r="BJ376" s="171">
        <f t="shared" ca="1" si="103"/>
        <v>0</v>
      </c>
      <c r="BK376" s="171">
        <f t="shared" ca="1" si="104"/>
        <v>0</v>
      </c>
      <c r="BL376" s="171">
        <f t="shared" ca="1" si="105"/>
        <v>0</v>
      </c>
      <c r="BM376" s="171">
        <f t="shared" ca="1" si="106"/>
        <v>0</v>
      </c>
      <c r="BN376" s="196"/>
      <c r="BO376" s="601" t="s">
        <v>2280</v>
      </c>
      <c r="BP376" s="196" t="s">
        <v>2281</v>
      </c>
      <c r="BS376" s="696" t="s">
        <v>1766</v>
      </c>
    </row>
    <row r="377" spans="1:75" ht="14.25" customHeight="1" x14ac:dyDescent="0.15">
      <c r="B377" s="15"/>
      <c r="C377" s="25"/>
      <c r="D377" s="25"/>
      <c r="E377" s="451">
        <v>15</v>
      </c>
      <c r="F377" s="3" t="str" cm="1">
        <f t="array" aca="1" ref="F377" ca="1">OFFSET(E377,-1,1)</f>
        <v>2</v>
      </c>
      <c r="G377" s="25" t="s">
        <v>1142</v>
      </c>
      <c r="H377" s="25"/>
      <c r="I377" s="25" t="s">
        <v>2076</v>
      </c>
      <c r="J377" s="25"/>
      <c r="K377" s="25" t="s">
        <v>2076</v>
      </c>
      <c r="L377" s="25" t="s">
        <v>1543</v>
      </c>
      <c r="M377" s="25"/>
      <c r="N377" s="25"/>
      <c r="O377" s="25"/>
      <c r="P377" s="25"/>
      <c r="Q377" s="25"/>
      <c r="R377" s="25"/>
      <c r="S377" s="25"/>
      <c r="T377" s="353" t="b" cm="1">
        <f t="array" aca="1" ref="T377" ca="1">T376</f>
        <v>1</v>
      </c>
      <c r="U377" s="25"/>
      <c r="V377" s="25"/>
      <c r="X377" s="990"/>
      <c r="Z377" s="967"/>
      <c r="AB377" s="133" t="s">
        <v>2077</v>
      </c>
      <c r="AC377" s="134" t="s">
        <v>2078</v>
      </c>
      <c r="AD377" s="7" t="s">
        <v>828</v>
      </c>
      <c r="AE377" s="171">
        <f ca="1">SUMIFS(Покупка!AE$25:AE$150,Покупка!$F$25:$F$150,$F377,Покупка!$AC$25:$AC$150,$G377)</f>
        <v>0</v>
      </c>
      <c r="AF377" s="171">
        <f ca="1">SUMIFS(Покупка!AF$25:AF$150,Покупка!$F$25:$F$150,$F377,Покупка!$AC$25:$AC$150,$G377)</f>
        <v>0</v>
      </c>
      <c r="AG377" s="171">
        <f ca="1">SUMIFS(Покупка!AG$25:AG$150,Покупка!$F$25:$F$150,$F377,Покупка!$AC$25:$AC$150,$G377)</f>
        <v>0</v>
      </c>
      <c r="AH377" s="171">
        <f t="shared" ca="1" si="95"/>
        <v>0</v>
      </c>
      <c r="AI377" s="171">
        <f ca="1">SUMIFS(Покупка!AH$25:AH$150,Покупка!$F$25:$F$150,$F377,Покупка!$AC$25:$AC$150,$G377)</f>
        <v>0</v>
      </c>
      <c r="AJ377" s="171">
        <f ca="1">SUMIFS(Покупка!AI$25:AI$150,Покупка!$F$25:$F$150,$F377,Покупка!$AC$25:$AC$150,$G377)</f>
        <v>0</v>
      </c>
      <c r="AK377" s="171">
        <f ca="1">SUMIFS(Покупка!AJ$25:AJ$150,Покупка!$F$25:$F$150,$F377,Покупка!$AC$25:$AC$150,$G377)</f>
        <v>0</v>
      </c>
      <c r="AL377" s="171">
        <f ca="1">SUMIFS(Покупка!AK$25:AK$150,Покупка!$F$25:$F$150,$F377,Покупка!$AC$25:$AC$150,$G377)</f>
        <v>0</v>
      </c>
      <c r="AM377" s="171">
        <f ca="1">SUMIFS(Покупка!AL$25:AL$150,Покупка!$F$25:$F$150,$F377,Покупка!$AC$25:$AC$150,$G377)</f>
        <v>0</v>
      </c>
      <c r="AN377" s="171">
        <f ca="1">SUMIFS(Покупка!AM$25:AM$150,Покупка!$F$25:$F$150,$F377,Покупка!$AC$25:$AC$150,$G377)</f>
        <v>0</v>
      </c>
      <c r="AO377" s="171">
        <f ca="1">SUMIFS(Покупка!AN$25:AN$150,Покупка!$F$25:$F$150,$F377,Покупка!$AC$25:$AC$150,$G377)</f>
        <v>0</v>
      </c>
      <c r="AP377" s="171">
        <f ca="1">SUMIFS(Покупка!AO$25:AO$150,Покупка!$F$25:$F$150,$F377,Покупка!$AC$25:$AC$150,$G377)</f>
        <v>0</v>
      </c>
      <c r="AQ377" s="171">
        <f ca="1">SUMIFS(Покупка!AP$25:AP$150,Покупка!$F$25:$F$150,$F377,Покупка!$AC$25:$AC$150,$G377)</f>
        <v>0</v>
      </c>
      <c r="AR377" s="171">
        <f ca="1">SUMIFS(Покупка!AQ$25:AQ$150,Покупка!$F$25:$F$150,$F377,Покупка!$AC$25:$AC$150,$G377)</f>
        <v>0</v>
      </c>
      <c r="AS377" s="171">
        <f ca="1">SUMIFS(Покупка!AR$25:AR$150,Покупка!$F$25:$F$150,$F377,Покупка!$AC$25:$AC$150,$G377)</f>
        <v>0</v>
      </c>
      <c r="AT377" s="171">
        <f ca="1">SUMIFS(Покупка!AS$25:AS$150,Покупка!$F$25:$F$150,$F377,Покупка!$AC$25:$AC$150,$G377)</f>
        <v>0</v>
      </c>
      <c r="AU377" s="171">
        <f ca="1">SUMIFS(Покупка!AT$25:AT$150,Покупка!$F$25:$F$150,$F377,Покупка!$AC$25:$AC$150,$G377)</f>
        <v>0</v>
      </c>
      <c r="AV377" s="171">
        <f ca="1">SUMIFS(Покупка!AU$25:AU$150,Покупка!$F$25:$F$150,$F377,Покупка!$AC$25:$AC$150,$G377)</f>
        <v>0</v>
      </c>
      <c r="AW377" s="171">
        <f ca="1">SUMIFS(Покупка!AV$25:AV$150,Покупка!$F$25:$F$150,$F377,Покупка!$AC$25:$AC$150,$G377)</f>
        <v>0</v>
      </c>
      <c r="AX377" s="171">
        <f ca="1">SUMIFS(Покупка!AW$25:AW$150,Покупка!$F$25:$F$150,$F377,Покупка!$AC$25:$AC$150,$G377)</f>
        <v>0</v>
      </c>
      <c r="AY377" s="171">
        <f ca="1">SUMIFS(Покупка!AX$25:AX$150,Покупка!$F$25:$F$150,$F377,Покупка!$AC$25:$AC$150,$G377)</f>
        <v>0</v>
      </c>
      <c r="AZ377" s="171">
        <f ca="1">SUMIFS(Покупка!AY$25:AY$150,Покупка!$F$25:$F$150,$F377,Покупка!$AC$25:$AC$150,$G377)</f>
        <v>0</v>
      </c>
      <c r="BA377" s="171">
        <f ca="1">SUMIFS(Покупка!AZ$25:AZ$150,Покупка!$F$25:$F$150,$F377,Покупка!$AC$25:$AC$150,$G377)</f>
        <v>0</v>
      </c>
      <c r="BB377" s="171">
        <f ca="1">SUMIFS(Покупка!BA$25:BA$150,Покупка!$F$25:$F$150,$F377,Покупка!$AC$25:$AC$150,$G377)</f>
        <v>0</v>
      </c>
      <c r="BC377" s="171">
        <f ca="1">SUMIFS(Покупка!BB$25:BB$150,Покупка!$F$25:$F$150,$F377,Покупка!$AC$25:$AC$150,$G377)</f>
        <v>0</v>
      </c>
      <c r="BD377" s="171">
        <f t="shared" ca="1" si="97"/>
        <v>0</v>
      </c>
      <c r="BE377" s="171">
        <f t="shared" ca="1" si="98"/>
        <v>0</v>
      </c>
      <c r="BF377" s="171">
        <f t="shared" ca="1" si="99"/>
        <v>0</v>
      </c>
      <c r="BG377" s="171">
        <f t="shared" ca="1" si="100"/>
        <v>0</v>
      </c>
      <c r="BH377" s="171">
        <f t="shared" ca="1" si="101"/>
        <v>0</v>
      </c>
      <c r="BI377" s="171">
        <f t="shared" ca="1" si="102"/>
        <v>0</v>
      </c>
      <c r="BJ377" s="171">
        <f t="shared" ca="1" si="103"/>
        <v>0</v>
      </c>
      <c r="BK377" s="171">
        <f t="shared" ca="1" si="104"/>
        <v>0</v>
      </c>
      <c r="BL377" s="171">
        <f t="shared" ca="1" si="105"/>
        <v>0</v>
      </c>
      <c r="BM377" s="171">
        <f t="shared" ca="1" si="106"/>
        <v>0</v>
      </c>
      <c r="BN377" s="196"/>
      <c r="BO377" s="601" t="str">
        <f ca="1">IF(IFERROR(INDEX(Покупка!$K$26:$L$150,MATCH($F377&amp;"5komm",Покупка!$K$26:$K$150,0),2),"")=0,"",IFERROR(INDEX(Покупка!$K$26:$L$150,MATCH($F377&amp;"5komm",Покупка!$K$26:$K$150,0),2),""))</f>
        <v/>
      </c>
      <c r="BP377" s="196"/>
      <c r="BS377" s="696" t="s">
        <v>1769</v>
      </c>
    </row>
    <row r="378" spans="1:75" s="376" customFormat="1" ht="14.25" customHeight="1" x14ac:dyDescent="0.15">
      <c r="B378" s="15"/>
      <c r="C378" s="25"/>
      <c r="D378" s="25"/>
      <c r="E378" s="451">
        <v>15</v>
      </c>
      <c r="F378" s="3" t="str" cm="1">
        <f t="array" aca="1" ref="F378" ca="1">OFFSET(E378,-1,1)</f>
        <v>2</v>
      </c>
      <c r="G378" s="25" t="s">
        <v>1154</v>
      </c>
      <c r="H378" s="25"/>
      <c r="I378" s="25"/>
      <c r="J378" s="25"/>
      <c r="K378" s="25"/>
      <c r="L378" s="25" t="s">
        <v>1510</v>
      </c>
      <c r="M378" s="25"/>
      <c r="N378" s="25"/>
      <c r="O378" s="25"/>
      <c r="P378" s="25"/>
      <c r="Q378" s="25"/>
      <c r="R378" s="25"/>
      <c r="S378" s="25"/>
      <c r="T378" s="353" t="b" cm="1">
        <f t="array" aca="1" ref="T378" ca="1">T377</f>
        <v>1</v>
      </c>
      <c r="U378" s="25"/>
      <c r="V378" s="25"/>
      <c r="X378" s="990"/>
      <c r="Z378" s="967"/>
      <c r="AB378" s="133" t="s">
        <v>2079</v>
      </c>
      <c r="AC378" s="134" t="s">
        <v>2080</v>
      </c>
      <c r="AD378" s="7" t="s">
        <v>828</v>
      </c>
      <c r="AE378" s="171">
        <f ca="1">SUMIFS(Покупка!AE$25:AE$150,Покупка!$F$25:$F$150,$F378,Покупка!$AC$25:$AC$150,$G378)</f>
        <v>0</v>
      </c>
      <c r="AF378" s="171">
        <f ca="1">SUMIFS(Покупка!AF$25:AF$150,Покупка!$F$25:$F$150,$F378,Покупка!$AC$25:$AC$150,$G378)</f>
        <v>0</v>
      </c>
      <c r="AG378" s="171">
        <f ca="1">SUMIFS(Покупка!AG$25:AG$150,Покупка!$F$25:$F$150,$F378,Покупка!$AC$25:$AC$150,$G378)</f>
        <v>0</v>
      </c>
      <c r="AH378" s="171">
        <f t="shared" ca="1" si="95"/>
        <v>0</v>
      </c>
      <c r="AI378" s="171">
        <f ca="1">SUMIFS(Покупка!AH$25:AH$150,Покупка!$F$25:$F$150,$F378,Покупка!$AC$25:$AC$150,$G378)</f>
        <v>0</v>
      </c>
      <c r="AJ378" s="171">
        <f ca="1">SUMIFS(Покупка!AI$25:AI$150,Покупка!$F$25:$F$150,$F378,Покупка!$AC$25:$AC$150,$G378)</f>
        <v>0</v>
      </c>
      <c r="AK378" s="171">
        <f ca="1">SUMIFS(Покупка!AJ$25:AJ$150,Покупка!$F$25:$F$150,$F378,Покупка!$AC$25:$AC$150,$G378)</f>
        <v>0</v>
      </c>
      <c r="AL378" s="171">
        <f ca="1">SUMIFS(Покупка!AK$25:AK$150,Покупка!$F$25:$F$150,$F378,Покупка!$AC$25:$AC$150,$G378)</f>
        <v>0</v>
      </c>
      <c r="AM378" s="171">
        <f ca="1">SUMIFS(Покупка!AL$25:AL$150,Покупка!$F$25:$F$150,$F378,Покупка!$AC$25:$AC$150,$G378)</f>
        <v>0</v>
      </c>
      <c r="AN378" s="171">
        <f ca="1">SUMIFS(Покупка!AM$25:AM$150,Покупка!$F$25:$F$150,$F378,Покупка!$AC$25:$AC$150,$G378)</f>
        <v>0</v>
      </c>
      <c r="AO378" s="171">
        <f ca="1">SUMIFS(Покупка!AN$25:AN$150,Покупка!$F$25:$F$150,$F378,Покупка!$AC$25:$AC$150,$G378)</f>
        <v>0</v>
      </c>
      <c r="AP378" s="171">
        <f ca="1">SUMIFS(Покупка!AO$25:AO$150,Покупка!$F$25:$F$150,$F378,Покупка!$AC$25:$AC$150,$G378)</f>
        <v>0</v>
      </c>
      <c r="AQ378" s="171">
        <f ca="1">SUMIFS(Покупка!AP$25:AP$150,Покупка!$F$25:$F$150,$F378,Покупка!$AC$25:$AC$150,$G378)</f>
        <v>0</v>
      </c>
      <c r="AR378" s="171">
        <f ca="1">SUMIFS(Покупка!AQ$25:AQ$150,Покупка!$F$25:$F$150,$F378,Покупка!$AC$25:$AC$150,$G378)</f>
        <v>0</v>
      </c>
      <c r="AS378" s="171">
        <f ca="1">SUMIFS(Покупка!AR$25:AR$150,Покупка!$F$25:$F$150,$F378,Покупка!$AC$25:$AC$150,$G378)</f>
        <v>0</v>
      </c>
      <c r="AT378" s="171">
        <f ca="1">SUMIFS(Покупка!AS$25:AS$150,Покупка!$F$25:$F$150,$F378,Покупка!$AC$25:$AC$150,$G378)</f>
        <v>0</v>
      </c>
      <c r="AU378" s="171">
        <f ca="1">SUMIFS(Покупка!AT$25:AT$150,Покупка!$F$25:$F$150,$F378,Покупка!$AC$25:$AC$150,$G378)</f>
        <v>0</v>
      </c>
      <c r="AV378" s="171">
        <f ca="1">SUMIFS(Покупка!AU$25:AU$150,Покупка!$F$25:$F$150,$F378,Покупка!$AC$25:$AC$150,$G378)</f>
        <v>0</v>
      </c>
      <c r="AW378" s="171">
        <f ca="1">SUMIFS(Покупка!AV$25:AV$150,Покупка!$F$25:$F$150,$F378,Покупка!$AC$25:$AC$150,$G378)</f>
        <v>0</v>
      </c>
      <c r="AX378" s="171">
        <f ca="1">SUMIFS(Покупка!AW$25:AW$150,Покупка!$F$25:$F$150,$F378,Покупка!$AC$25:$AC$150,$G378)</f>
        <v>0</v>
      </c>
      <c r="AY378" s="171">
        <f ca="1">SUMIFS(Покупка!AX$25:AX$150,Покупка!$F$25:$F$150,$F378,Покупка!$AC$25:$AC$150,$G378)</f>
        <v>0</v>
      </c>
      <c r="AZ378" s="171">
        <f ca="1">SUMIFS(Покупка!AY$25:AY$150,Покупка!$F$25:$F$150,$F378,Покупка!$AC$25:$AC$150,$G378)</f>
        <v>0</v>
      </c>
      <c r="BA378" s="171">
        <f ca="1">SUMIFS(Покупка!AZ$25:AZ$150,Покупка!$F$25:$F$150,$F378,Покупка!$AC$25:$AC$150,$G378)</f>
        <v>0</v>
      </c>
      <c r="BB378" s="171">
        <f ca="1">SUMIFS(Покупка!BA$25:BA$150,Покупка!$F$25:$F$150,$F378,Покупка!$AC$25:$AC$150,$G378)</f>
        <v>0</v>
      </c>
      <c r="BC378" s="171">
        <f ca="1">SUMIFS(Покупка!BB$25:BB$150,Покупка!$F$25:$F$150,$F378,Покупка!$AC$25:$AC$150,$G378)</f>
        <v>0</v>
      </c>
      <c r="BD378" s="171">
        <f t="shared" ca="1" si="97"/>
        <v>0</v>
      </c>
      <c r="BE378" s="171">
        <f t="shared" ca="1" si="98"/>
        <v>0</v>
      </c>
      <c r="BF378" s="171">
        <f t="shared" ca="1" si="99"/>
        <v>0</v>
      </c>
      <c r="BG378" s="171">
        <f t="shared" ca="1" si="100"/>
        <v>0</v>
      </c>
      <c r="BH378" s="171">
        <f t="shared" ca="1" si="101"/>
        <v>0</v>
      </c>
      <c r="BI378" s="171">
        <f t="shared" ca="1" si="102"/>
        <v>0</v>
      </c>
      <c r="BJ378" s="171">
        <f t="shared" ca="1" si="103"/>
        <v>0</v>
      </c>
      <c r="BK378" s="171">
        <f t="shared" ca="1" si="104"/>
        <v>0</v>
      </c>
      <c r="BL378" s="171">
        <f t="shared" ca="1" si="105"/>
        <v>0</v>
      </c>
      <c r="BM378" s="171">
        <f t="shared" ca="1" si="106"/>
        <v>0</v>
      </c>
      <c r="BN378" s="196"/>
      <c r="BO378" s="601" t="str">
        <f ca="1">IF(IFERROR(INDEX(Покупка!$K$26:$L$150,MATCH($F378&amp;"9komm",Покупка!$K$26:$K$150,0),2),"")=0,"",IFERROR(INDEX(Покупка!$K$26:$L$150,MATCH($F378&amp;"9komm",Покупка!$K$26:$K$150,0),2),""))</f>
        <v/>
      </c>
      <c r="BP378" s="196"/>
      <c r="BS378" s="696" t="s">
        <v>1155</v>
      </c>
      <c r="BT378" s="696"/>
      <c r="BU378" s="696"/>
      <c r="BV378" s="507"/>
      <c r="BW378" s="507"/>
    </row>
    <row r="379" spans="1:75" ht="237" customHeight="1" x14ac:dyDescent="0.15">
      <c r="B379" s="15"/>
      <c r="C379" s="25"/>
      <c r="D379" s="25"/>
      <c r="E379" s="451">
        <v>15</v>
      </c>
      <c r="F379" s="3" t="str" cm="1">
        <f t="array" aca="1" ref="F379" ca="1">OFFSET(E379,-1,1)</f>
        <v>2</v>
      </c>
      <c r="G379" s="25"/>
      <c r="H379" s="25"/>
      <c r="I379" s="25" t="s">
        <v>503</v>
      </c>
      <c r="J379" s="25"/>
      <c r="K379" s="25" t="s">
        <v>503</v>
      </c>
      <c r="L379" s="25"/>
      <c r="M379" s="25"/>
      <c r="N379" s="25"/>
      <c r="O379" s="25"/>
      <c r="P379" s="25"/>
      <c r="Q379" s="25"/>
      <c r="R379" s="25"/>
      <c r="S379" s="25"/>
      <c r="T379" s="353" t="b" cm="1">
        <f t="array" aca="1" ref="T379" ca="1">T378</f>
        <v>1</v>
      </c>
      <c r="U379" s="25"/>
      <c r="V379" s="25"/>
      <c r="X379" s="990"/>
      <c r="Z379" s="967"/>
      <c r="AB379" s="133" t="s">
        <v>565</v>
      </c>
      <c r="AC379" s="127" t="s">
        <v>2081</v>
      </c>
      <c r="AD379" s="99" t="s">
        <v>828</v>
      </c>
      <c r="AE379" s="171">
        <f ca="1">SUMIFS('Сырье и материалы'!AE$25:AE$48,'Сырье и материалы'!$F$25:$F$48,$F379,'Сырье и материалы'!$AC$25:$AC$48,"Всего по тарифу")</f>
        <v>145.5097122</v>
      </c>
      <c r="AF379" s="171">
        <f ca="1">SUMIFS('Сырье и материалы'!AF$25:AF$48,'Сырье и материалы'!$F$25:$F$48,$F379,'Сырье и материалы'!$AC$25:$AC$48,"Всего по тарифу")</f>
        <v>13827.0223480932</v>
      </c>
      <c r="AG379" s="171">
        <f ca="1">SUMIFS('Сырье и материалы'!AG$25:AG$48,'Сырье и материалы'!$F$25:$F$48,$F379,'Сырье и материалы'!$AC$25:$AC$48,"Всего по тарифу")</f>
        <v>130.98579690540001</v>
      </c>
      <c r="AH379" s="171">
        <f t="shared" ca="1" si="95"/>
        <v>-13696.036551187801</v>
      </c>
      <c r="AI379" s="171">
        <f ca="1">SUMIFS('Сырье и материалы'!AH$25:AH$48,'Сырье и материалы'!$F$25:$F$48,$F379,'Сырье и материалы'!$AC$25:$AC$48,"Всего по тарифу")</f>
        <v>182.14000000000001</v>
      </c>
      <c r="AJ379" s="171">
        <f ca="1">SUMIFS('Сырье и материалы'!AI$25:AI$48,'Сырье и материалы'!$F$25:$F$48,$F379,'Сырье и материалы'!$AC$25:$AC$48,"Всего по тарифу")</f>
        <v>22504.651727138502</v>
      </c>
      <c r="AK379" s="171">
        <f ca="1">SUMIFS('Сырье и материалы'!AJ$25:AJ$48,'Сырье и материалы'!$F$25:$F$48,$F379,'Сырье и материалы'!$AC$25:$AC$48,"Всего по тарифу")</f>
        <v>0</v>
      </c>
      <c r="AL379" s="171">
        <f ca="1">SUMIFS('Сырье и материалы'!AK$25:AK$48,'Сырье и материалы'!$F$25:$F$48,$F379,'Сырье и материалы'!$AC$25:$AC$48,"Всего по тарифу")</f>
        <v>0</v>
      </c>
      <c r="AM379" s="171">
        <f ca="1">SUMIFS('Сырье и материалы'!AL$25:AL$48,'Сырье и материалы'!$F$25:$F$48,$F379,'Сырье и материалы'!$AC$25:$AC$48,"Всего по тарифу")</f>
        <v>0</v>
      </c>
      <c r="AN379" s="171">
        <f ca="1">SUMIFS('Сырье и материалы'!AM$25:AM$48,'Сырье и материалы'!$F$25:$F$48,$F379,'Сырье и материалы'!$AC$25:$AC$48,"Всего по тарифу")</f>
        <v>0</v>
      </c>
      <c r="AO379" s="171">
        <f ca="1">SUMIFS('Сырье и материалы'!AN$25:AN$48,'Сырье и материалы'!$F$25:$F$48,$F379,'Сырье и материалы'!$AC$25:$AC$48,"Всего по тарифу")</f>
        <v>0</v>
      </c>
      <c r="AP379" s="171">
        <f ca="1">SUMIFS('Сырье и материалы'!AO$25:AO$48,'Сырье и материалы'!$F$25:$F$48,$F379,'Сырье и материалы'!$AC$25:$AC$48,"Всего по тарифу")</f>
        <v>0</v>
      </c>
      <c r="AQ379" s="171">
        <f ca="1">SUMIFS('Сырье и материалы'!AP$25:AP$48,'Сырье и материалы'!$F$25:$F$48,$F379,'Сырье и материалы'!$AC$25:$AC$48,"Всего по тарифу")</f>
        <v>0</v>
      </c>
      <c r="AR379" s="171">
        <f ca="1">SUMIFS('Сырье и материалы'!AQ$25:AQ$48,'Сырье и материалы'!$F$25:$F$48,$F379,'Сырье и материалы'!$AC$25:$AC$48,"Всего по тарифу")</f>
        <v>0</v>
      </c>
      <c r="AS379" s="171">
        <f ca="1">SUMIFS('Сырье и материалы'!AR$25:AR$48,'Сырье и материалы'!$F$25:$F$48,$F379,'Сырье и материалы'!$AC$25:$AC$48,"Всего по тарифу")</f>
        <v>0</v>
      </c>
      <c r="AT379" s="171">
        <f ca="1">SUMIFS('Сырье и материалы'!AS$25:AS$48,'Сырье и материалы'!$F$25:$F$48,$F379,'Сырье и материалы'!$AC$25:$AC$48,"Всего по тарифу")</f>
        <v>9136.024577075299</v>
      </c>
      <c r="AU379" s="171">
        <f ca="1">SUMIFS('Сырье и материалы'!AT$25:AT$48,'Сырье и материалы'!$F$25:$F$48,$F379,'Сырье и материалы'!$AC$25:$AC$48,"Всего по тарифу")</f>
        <v>0</v>
      </c>
      <c r="AV379" s="171">
        <f ca="1">SUMIFS('Сырье и материалы'!AU$25:AU$48,'Сырье и материалы'!$F$25:$F$48,$F379,'Сырье и материалы'!$AC$25:$AC$48,"Всего по тарифу")</f>
        <v>0</v>
      </c>
      <c r="AW379" s="171">
        <f ca="1">SUMIFS('Сырье и материалы'!AV$25:AV$48,'Сырье и материалы'!$F$25:$F$48,$F379,'Сырье и материалы'!$AC$25:$AC$48,"Всего по тарифу")</f>
        <v>0</v>
      </c>
      <c r="AX379" s="171">
        <f ca="1">SUMIFS('Сырье и материалы'!AW$25:AW$48,'Сырье и материалы'!$F$25:$F$48,$F379,'Сырье и материалы'!$AC$25:$AC$48,"Всего по тарифу")</f>
        <v>0</v>
      </c>
      <c r="AY379" s="171">
        <f ca="1">SUMIFS('Сырье и материалы'!AX$25:AX$48,'Сырье и материалы'!$F$25:$F$48,$F379,'Сырье и материалы'!$AC$25:$AC$48,"Всего по тарифу")</f>
        <v>0</v>
      </c>
      <c r="AZ379" s="171">
        <f ca="1">SUMIFS('Сырье и материалы'!AY$25:AY$48,'Сырье и материалы'!$F$25:$F$48,$F379,'Сырье и материалы'!$AC$25:$AC$48,"Всего по тарифу")</f>
        <v>0</v>
      </c>
      <c r="BA379" s="171">
        <f ca="1">SUMIFS('Сырье и материалы'!AZ$25:AZ$48,'Сырье и материалы'!$F$25:$F$48,$F379,'Сырье и материалы'!$AC$25:$AC$48,"Всего по тарифу")</f>
        <v>0</v>
      </c>
      <c r="BB379" s="171">
        <f ca="1">SUMIFS('Сырье и материалы'!BA$25:BA$48,'Сырье и материалы'!$F$25:$F$48,$F379,'Сырье и материалы'!$AC$25:$AC$48,"Всего по тарифу")</f>
        <v>0</v>
      </c>
      <c r="BC379" s="171">
        <f ca="1">SUMIFS('Сырье и материалы'!BB$25:BB$48,'Сырье и материалы'!$F$25:$F$48,$F379,'Сырье и материалы'!$AC$25:$AC$48,"Всего по тарифу")</f>
        <v>0</v>
      </c>
      <c r="BD379" s="171">
        <f t="shared" ca="1" si="97"/>
        <v>4915.9353118893705</v>
      </c>
      <c r="BE379" s="171">
        <f t="shared" ca="1" si="98"/>
        <v>-100</v>
      </c>
      <c r="BF379" s="171">
        <f t="shared" ca="1" si="99"/>
        <v>0</v>
      </c>
      <c r="BG379" s="171">
        <f t="shared" ca="1" si="100"/>
        <v>0</v>
      </c>
      <c r="BH379" s="171">
        <f t="shared" ca="1" si="101"/>
        <v>0</v>
      </c>
      <c r="BI379" s="171">
        <f t="shared" ca="1" si="102"/>
        <v>0</v>
      </c>
      <c r="BJ379" s="171">
        <f t="shared" ca="1" si="103"/>
        <v>0</v>
      </c>
      <c r="BK379" s="171">
        <f t="shared" ca="1" si="104"/>
        <v>0</v>
      </c>
      <c r="BL379" s="171">
        <f t="shared" ca="1" si="105"/>
        <v>0</v>
      </c>
      <c r="BM379" s="171">
        <f t="shared" ca="1" si="106"/>
        <v>0</v>
      </c>
      <c r="BN379" s="196"/>
      <c r="BO379" s="601" t="s">
        <v>836</v>
      </c>
      <c r="BP379" s="196" t="s">
        <v>2283</v>
      </c>
      <c r="BS379" s="696" t="s">
        <v>1742</v>
      </c>
    </row>
    <row r="380" spans="1:75" s="870" customFormat="1" ht="33.75" customHeight="1" x14ac:dyDescent="0.15">
      <c r="A380" s="76"/>
      <c r="B380" s="29"/>
      <c r="C380" s="27"/>
      <c r="D380" s="27"/>
      <c r="E380" s="559">
        <v>21</v>
      </c>
      <c r="F380" s="3" t="str" cm="1">
        <f t="array" aca="1" ref="F380" ca="1">OFFSET(E380,-1,1)</f>
        <v>2</v>
      </c>
      <c r="G380" s="27"/>
      <c r="H380" s="25"/>
      <c r="I380" s="25" t="s">
        <v>959</v>
      </c>
      <c r="J380" s="27"/>
      <c r="K380" s="25" t="s">
        <v>959</v>
      </c>
      <c r="L380" s="27" t="s">
        <v>535</v>
      </c>
      <c r="M380" s="27"/>
      <c r="N380" s="27"/>
      <c r="O380" s="27"/>
      <c r="P380" s="27"/>
      <c r="Q380" s="27"/>
      <c r="R380" s="27"/>
      <c r="S380" s="27"/>
      <c r="T380" s="353" t="b" cm="1">
        <f t="array" aca="1" ref="T380" ca="1">T379</f>
        <v>1</v>
      </c>
      <c r="U380" s="27"/>
      <c r="V380" s="27"/>
      <c r="W380" s="76"/>
      <c r="X380" s="990"/>
      <c r="Y380" s="76"/>
      <c r="Z380" s="967"/>
      <c r="AA380" s="76"/>
      <c r="AB380" s="131" t="s">
        <v>569</v>
      </c>
      <c r="AC380" s="263" t="s">
        <v>2082</v>
      </c>
      <c r="AD380" s="124" t="s">
        <v>828</v>
      </c>
      <c r="AE380" s="126">
        <f ca="1">SUM(AE381:AE390)</f>
        <v>293.05513215000002</v>
      </c>
      <c r="AF380" s="126">
        <f ca="1">SUM(AF381:AF390)</f>
        <v>512.55999999999995</v>
      </c>
      <c r="AG380" s="126">
        <f ca="1">SUM(AG381:AG390)</f>
        <v>512.55999999999995</v>
      </c>
      <c r="AH380" s="126">
        <f t="shared" ca="1" si="95"/>
        <v>0</v>
      </c>
      <c r="AI380" s="126">
        <f t="shared" ref="AI380:BC380" ca="1" si="108">SUM(AI381:AI390)</f>
        <v>19.082649</v>
      </c>
      <c r="AJ380" s="126">
        <f t="shared" ca="1" si="108"/>
        <v>809.22308958170004</v>
      </c>
      <c r="AK380" s="126">
        <f t="shared" ca="1" si="108"/>
        <v>0</v>
      </c>
      <c r="AL380" s="126">
        <f t="shared" ca="1" si="108"/>
        <v>0</v>
      </c>
      <c r="AM380" s="126">
        <f t="shared" ca="1" si="108"/>
        <v>0</v>
      </c>
      <c r="AN380" s="126">
        <f t="shared" ca="1" si="108"/>
        <v>0</v>
      </c>
      <c r="AO380" s="126">
        <f t="shared" ca="1" si="108"/>
        <v>0</v>
      </c>
      <c r="AP380" s="126">
        <f t="shared" ca="1" si="108"/>
        <v>0</v>
      </c>
      <c r="AQ380" s="126">
        <f t="shared" ca="1" si="108"/>
        <v>0</v>
      </c>
      <c r="AR380" s="126">
        <f t="shared" ca="1" si="108"/>
        <v>0</v>
      </c>
      <c r="AS380" s="126">
        <f t="shared" ca="1" si="108"/>
        <v>0</v>
      </c>
      <c r="AT380" s="126">
        <f t="shared" ca="1" si="108"/>
        <v>511.17885000000001</v>
      </c>
      <c r="AU380" s="126">
        <f t="shared" ca="1" si="108"/>
        <v>0</v>
      </c>
      <c r="AV380" s="126">
        <f t="shared" ca="1" si="108"/>
        <v>0</v>
      </c>
      <c r="AW380" s="126">
        <f t="shared" ca="1" si="108"/>
        <v>0</v>
      </c>
      <c r="AX380" s="126">
        <f t="shared" ca="1" si="108"/>
        <v>0</v>
      </c>
      <c r="AY380" s="126">
        <f t="shared" ca="1" si="108"/>
        <v>0</v>
      </c>
      <c r="AZ380" s="126">
        <f t="shared" ca="1" si="108"/>
        <v>0</v>
      </c>
      <c r="BA380" s="126">
        <f t="shared" ca="1" si="108"/>
        <v>0</v>
      </c>
      <c r="BB380" s="126">
        <f t="shared" ca="1" si="108"/>
        <v>0</v>
      </c>
      <c r="BC380" s="126">
        <f t="shared" ca="1" si="108"/>
        <v>0</v>
      </c>
      <c r="BD380" s="126">
        <f t="shared" ca="1" si="97"/>
        <v>2578.7625240080661</v>
      </c>
      <c r="BE380" s="126">
        <f t="shared" ca="1" si="98"/>
        <v>-100</v>
      </c>
      <c r="BF380" s="126">
        <f t="shared" ca="1" si="99"/>
        <v>0</v>
      </c>
      <c r="BG380" s="126">
        <f t="shared" ca="1" si="100"/>
        <v>0</v>
      </c>
      <c r="BH380" s="126">
        <f t="shared" ca="1" si="101"/>
        <v>0</v>
      </c>
      <c r="BI380" s="126">
        <f t="shared" ca="1" si="102"/>
        <v>0</v>
      </c>
      <c r="BJ380" s="126">
        <f t="shared" ca="1" si="103"/>
        <v>0</v>
      </c>
      <c r="BK380" s="126">
        <f t="shared" ca="1" si="104"/>
        <v>0</v>
      </c>
      <c r="BL380" s="126">
        <f t="shared" ca="1" si="105"/>
        <v>0</v>
      </c>
      <c r="BM380" s="126">
        <f t="shared" ca="1" si="106"/>
        <v>0</v>
      </c>
      <c r="BN380" s="556"/>
      <c r="BO380" s="601" t="s">
        <v>2245</v>
      </c>
      <c r="BP380" s="556"/>
      <c r="BQ380" s="76"/>
      <c r="BR380" s="76"/>
      <c r="BS380" s="702" t="s">
        <v>1275</v>
      </c>
      <c r="BT380" s="702"/>
      <c r="BU380" s="702"/>
      <c r="BV380" s="511"/>
      <c r="BW380" s="511"/>
    </row>
    <row r="381" spans="1:75" ht="14.25" customHeight="1" x14ac:dyDescent="0.15">
      <c r="B381" s="15"/>
      <c r="C381" s="25"/>
      <c r="D381" s="25"/>
      <c r="E381" s="451">
        <v>15</v>
      </c>
      <c r="F381" s="3" t="str" cm="1">
        <f t="array" aca="1" ref="F381" ca="1">OFFSET(E381,-1,1)</f>
        <v>2</v>
      </c>
      <c r="G381" s="611">
        <v>7</v>
      </c>
      <c r="H381" s="25"/>
      <c r="I381" s="25" t="s">
        <v>2083</v>
      </c>
      <c r="J381" s="25"/>
      <c r="K381" s="25" t="s">
        <v>2083</v>
      </c>
      <c r="L381" s="25"/>
      <c r="M381" s="25"/>
      <c r="N381" s="25"/>
      <c r="O381" s="25"/>
      <c r="P381" s="25"/>
      <c r="Q381" s="25"/>
      <c r="R381" s="25"/>
      <c r="S381" s="25"/>
      <c r="T381" s="353" t="b" cm="1">
        <f t="array" aca="1" ref="T381" ca="1">T380</f>
        <v>1</v>
      </c>
      <c r="U381" s="25"/>
      <c r="V381" s="25"/>
      <c r="X381" s="990"/>
      <c r="Z381" s="967"/>
      <c r="AB381" s="133" t="s">
        <v>519</v>
      </c>
      <c r="AC381" s="134" t="s">
        <v>1289</v>
      </c>
      <c r="AD381" s="7" t="s">
        <v>828</v>
      </c>
      <c r="AE381" s="171">
        <f ca="1">SUMIFS(Налоги!AE$25:AE$83,Налоги!$F$25:$F$83,$F381,Налоги!$AB$25:$AB$83,$G381)</f>
        <v>0</v>
      </c>
      <c r="AF381" s="171">
        <f ca="1">SUMIFS(Налоги!AF$25:AF$83,Налоги!$F$25:$F$83,$F381,Налоги!$AB$25:$AB$83,$G381)</f>
        <v>0</v>
      </c>
      <c r="AG381" s="171">
        <f ca="1">SUMIFS(Налоги!AG$25:AG$83,Налоги!$F$25:$F$83,$F381,Налоги!$AB$25:$AB$83,$G381)</f>
        <v>0</v>
      </c>
      <c r="AH381" s="171">
        <f t="shared" ca="1" si="95"/>
        <v>0</v>
      </c>
      <c r="AI381" s="171">
        <f ca="1">SUMIFS(Налоги!AH$25:AH$83,Налоги!$F$25:$F$83,$F381,Налоги!$AB$25:$AB$83,$G381)</f>
        <v>0</v>
      </c>
      <c r="AJ381" s="171">
        <f ca="1">SUMIFS(Налоги!AI$25:AI$83,Налоги!$F$25:$F$83,$F381,Налоги!$AB$25:$AB$83,$G381)</f>
        <v>0</v>
      </c>
      <c r="AK381" s="171">
        <f ca="1">SUMIFS(Налоги!AJ$25:AJ$83,Налоги!$F$25:$F$83,$F381,Налоги!$AB$25:$AB$83,$G381)</f>
        <v>0</v>
      </c>
      <c r="AL381" s="171">
        <f ca="1">SUMIFS(Налоги!AK$25:AK$83,Налоги!$F$25:$F$83,$F381,Налоги!$AB$25:$AB$83,$G381)</f>
        <v>0</v>
      </c>
      <c r="AM381" s="171">
        <f ca="1">SUMIFS(Налоги!AL$25:AL$83,Налоги!$F$25:$F$83,$F381,Налоги!$AB$25:$AB$83,$G381)</f>
        <v>0</v>
      </c>
      <c r="AN381" s="171">
        <f ca="1">SUMIFS(Налоги!AM$25:AM$83,Налоги!$F$25:$F$83,$F381,Налоги!$AB$25:$AB$83,$G381)</f>
        <v>0</v>
      </c>
      <c r="AO381" s="171">
        <f ca="1">SUMIFS(Налоги!AN$25:AN$83,Налоги!$F$25:$F$83,$F381,Налоги!$AB$25:$AB$83,$G381)</f>
        <v>0</v>
      </c>
      <c r="AP381" s="171">
        <f ca="1">SUMIFS(Налоги!AO$25:AO$83,Налоги!$F$25:$F$83,$F381,Налоги!$AB$25:$AB$83,$G381)</f>
        <v>0</v>
      </c>
      <c r="AQ381" s="171">
        <f ca="1">SUMIFS(Налоги!AP$25:AP$83,Налоги!$F$25:$F$83,$F381,Налоги!$AB$25:$AB$83,$G381)</f>
        <v>0</v>
      </c>
      <c r="AR381" s="171">
        <f ca="1">SUMIFS(Налоги!AQ$25:AQ$83,Налоги!$F$25:$F$83,$F381,Налоги!$AB$25:$AB$83,$G381)</f>
        <v>0</v>
      </c>
      <c r="AS381" s="171">
        <f ca="1">SUMIFS(Налоги!AR$25:AR$83,Налоги!$F$25:$F$83,$F381,Налоги!$AB$25:$AB$83,$G381)</f>
        <v>0</v>
      </c>
      <c r="AT381" s="171">
        <f ca="1">SUMIFS(Налоги!AS$25:AS$83,Налоги!$F$25:$F$83,$F381,Налоги!$AB$25:$AB$83,$G381)</f>
        <v>0</v>
      </c>
      <c r="AU381" s="171">
        <f ca="1">SUMIFS(Налоги!AT$25:AT$83,Налоги!$F$25:$F$83,$F381,Налоги!$AB$25:$AB$83,$G381)</f>
        <v>0</v>
      </c>
      <c r="AV381" s="171">
        <f ca="1">SUMIFS(Налоги!AU$25:AU$83,Налоги!$F$25:$F$83,$F381,Налоги!$AB$25:$AB$83,$G381)</f>
        <v>0</v>
      </c>
      <c r="AW381" s="171">
        <f ca="1">SUMIFS(Налоги!AV$25:AV$83,Налоги!$F$25:$F$83,$F381,Налоги!$AB$25:$AB$83,$G381)</f>
        <v>0</v>
      </c>
      <c r="AX381" s="171">
        <f ca="1">SUMIFS(Налоги!AW$25:AW$83,Налоги!$F$25:$F$83,$F381,Налоги!$AB$25:$AB$83,$G381)</f>
        <v>0</v>
      </c>
      <c r="AY381" s="171">
        <f ca="1">SUMIFS(Налоги!AX$25:AX$83,Налоги!$F$25:$F$83,$F381,Налоги!$AB$25:$AB$83,$G381)</f>
        <v>0</v>
      </c>
      <c r="AZ381" s="171">
        <f ca="1">SUMIFS(Налоги!AY$25:AY$83,Налоги!$F$25:$F$83,$F381,Налоги!$AB$25:$AB$83,$G381)</f>
        <v>0</v>
      </c>
      <c r="BA381" s="171">
        <f ca="1">SUMIFS(Налоги!AZ$25:AZ$83,Налоги!$F$25:$F$83,$F381,Налоги!$AB$25:$AB$83,$G381)</f>
        <v>0</v>
      </c>
      <c r="BB381" s="171">
        <f ca="1">SUMIFS(Налоги!BA$25:BA$83,Налоги!$F$25:$F$83,$F381,Налоги!$AB$25:$AB$83,$G381)</f>
        <v>0</v>
      </c>
      <c r="BC381" s="171">
        <f ca="1">SUMIFS(Налоги!BB$25:BB$83,Налоги!$F$25:$F$83,$F381,Налоги!$AB$25:$AB$83,$G381)</f>
        <v>0</v>
      </c>
      <c r="BD381" s="171">
        <f t="shared" ca="1" si="97"/>
        <v>0</v>
      </c>
      <c r="BE381" s="171">
        <f t="shared" ca="1" si="98"/>
        <v>0</v>
      </c>
      <c r="BF381" s="171">
        <f t="shared" ca="1" si="99"/>
        <v>0</v>
      </c>
      <c r="BG381" s="171">
        <f t="shared" ca="1" si="100"/>
        <v>0</v>
      </c>
      <c r="BH381" s="171">
        <f t="shared" ca="1" si="101"/>
        <v>0</v>
      </c>
      <c r="BI381" s="171">
        <f t="shared" ca="1" si="102"/>
        <v>0</v>
      </c>
      <c r="BJ381" s="171">
        <f t="shared" ca="1" si="103"/>
        <v>0</v>
      </c>
      <c r="BK381" s="171">
        <f t="shared" ca="1" si="104"/>
        <v>0</v>
      </c>
      <c r="BL381" s="171">
        <f t="shared" ca="1" si="105"/>
        <v>0</v>
      </c>
      <c r="BM381" s="171">
        <f t="shared" ca="1" si="106"/>
        <v>0</v>
      </c>
      <c r="BN381" s="196"/>
      <c r="BO381" s="601" t="str">
        <f ca="1">IF(IFERROR(INDEX(Налоги!$K$26:$L$83,MATCH($F381&amp;"7komm",Налоги!$K$26:$K$83,0),2),"")=0,"",IFERROR(INDEX(Налоги!$K$26:$L$83,MATCH($F381&amp;"7komm",Налоги!$K$26:$K$83,0),2),""))</f>
        <v/>
      </c>
      <c r="BP381" s="196"/>
      <c r="BS381" s="696" t="s">
        <v>2084</v>
      </c>
    </row>
    <row r="382" spans="1:75" ht="108.6" customHeight="1" x14ac:dyDescent="0.15">
      <c r="B382" s="15"/>
      <c r="C382" s="25"/>
      <c r="D382" s="25"/>
      <c r="E382" s="451">
        <v>15</v>
      </c>
      <c r="F382" s="3" t="str" cm="1">
        <f t="array" aca="1" ref="F382" ca="1">OFFSET(E382,-1,1)</f>
        <v>2</v>
      </c>
      <c r="G382" s="611">
        <v>6</v>
      </c>
      <c r="H382" s="25"/>
      <c r="I382" s="25" t="s">
        <v>2085</v>
      </c>
      <c r="J382" s="25"/>
      <c r="K382" s="25" t="s">
        <v>2085</v>
      </c>
      <c r="L382" s="25"/>
      <c r="M382" s="25"/>
      <c r="N382" s="25"/>
      <c r="O382" s="25"/>
      <c r="P382" s="25"/>
      <c r="Q382" s="25"/>
      <c r="R382" s="25"/>
      <c r="S382" s="25"/>
      <c r="T382" s="353" t="b" cm="1">
        <f t="array" aca="1" ref="T382" ca="1">T381</f>
        <v>1</v>
      </c>
      <c r="U382" s="25"/>
      <c r="V382" s="25"/>
      <c r="X382" s="990"/>
      <c r="Z382" s="967"/>
      <c r="AB382" s="133" t="s">
        <v>1500</v>
      </c>
      <c r="AC382" s="134" t="s">
        <v>2086</v>
      </c>
      <c r="AD382" s="7" t="s">
        <v>828</v>
      </c>
      <c r="AE382" s="171">
        <f ca="1">SUMIFS(Налоги!AE$25:AE$83,Налоги!$F$25:$F$83,$F382,Налоги!$AB$25:$AB$83,$G382)</f>
        <v>293.05513215000002</v>
      </c>
      <c r="AF382" s="171">
        <f ca="1">SUMIFS(Налоги!AF$25:AF$83,Налоги!$F$25:$F$83,$F382,Налоги!$AB$25:$AB$83,$G382)</f>
        <v>512.55999999999995</v>
      </c>
      <c r="AG382" s="171">
        <f ca="1">SUMIFS(Налоги!AG$25:AG$83,Налоги!$F$25:$F$83,$F382,Налоги!$AB$25:$AB$83,$G382)</f>
        <v>512.55999999999995</v>
      </c>
      <c r="AH382" s="171">
        <f t="shared" ca="1" si="95"/>
        <v>0</v>
      </c>
      <c r="AI382" s="171">
        <f ca="1">SUMIFS(Налоги!AH$25:AH$83,Налоги!$F$25:$F$83,$F382,Налоги!$AB$25:$AB$83,$G382)</f>
        <v>19.082649</v>
      </c>
      <c r="AJ382" s="171">
        <f ca="1">SUMIFS(Налоги!AI$25:AI$83,Налоги!$F$25:$F$83,$F382,Налоги!$AB$25:$AB$83,$G382)</f>
        <v>809.22308958170004</v>
      </c>
      <c r="AK382" s="171">
        <f ca="1">SUMIFS(Налоги!AJ$25:AJ$83,Налоги!$F$25:$F$83,$F382,Налоги!$AB$25:$AB$83,$G382)</f>
        <v>0</v>
      </c>
      <c r="AL382" s="171">
        <f ca="1">SUMIFS(Налоги!AK$25:AK$83,Налоги!$F$25:$F$83,$F382,Налоги!$AB$25:$AB$83,$G382)</f>
        <v>0</v>
      </c>
      <c r="AM382" s="171">
        <f ca="1">SUMIFS(Налоги!AL$25:AL$83,Налоги!$F$25:$F$83,$F382,Налоги!$AB$25:$AB$83,$G382)</f>
        <v>0</v>
      </c>
      <c r="AN382" s="171">
        <f ca="1">SUMIFS(Налоги!AM$25:AM$83,Налоги!$F$25:$F$83,$F382,Налоги!$AB$25:$AB$83,$G382)</f>
        <v>0</v>
      </c>
      <c r="AO382" s="171">
        <f ca="1">SUMIFS(Налоги!AN$25:AN$83,Налоги!$F$25:$F$83,$F382,Налоги!$AB$25:$AB$83,$G382)</f>
        <v>0</v>
      </c>
      <c r="AP382" s="171">
        <f ca="1">SUMIFS(Налоги!AO$25:AO$83,Налоги!$F$25:$F$83,$F382,Налоги!$AB$25:$AB$83,$G382)</f>
        <v>0</v>
      </c>
      <c r="AQ382" s="171">
        <f ca="1">SUMIFS(Налоги!AP$25:AP$83,Налоги!$F$25:$F$83,$F382,Налоги!$AB$25:$AB$83,$G382)</f>
        <v>0</v>
      </c>
      <c r="AR382" s="171">
        <f ca="1">SUMIFS(Налоги!AQ$25:AQ$83,Налоги!$F$25:$F$83,$F382,Налоги!$AB$25:$AB$83,$G382)</f>
        <v>0</v>
      </c>
      <c r="AS382" s="171">
        <f ca="1">SUMIFS(Налоги!AR$25:AR$83,Налоги!$F$25:$F$83,$F382,Налоги!$AB$25:$AB$83,$G382)</f>
        <v>0</v>
      </c>
      <c r="AT382" s="171">
        <f ca="1">SUMIFS(Налоги!AS$25:AS$83,Налоги!$F$25:$F$83,$F382,Налоги!$AB$25:$AB$83,$G382)</f>
        <v>511.17885000000001</v>
      </c>
      <c r="AU382" s="171">
        <f ca="1">SUMIFS(Налоги!AT$25:AT$83,Налоги!$F$25:$F$83,$F382,Налоги!$AB$25:$AB$83,$G382)</f>
        <v>0</v>
      </c>
      <c r="AV382" s="171">
        <f ca="1">SUMIFS(Налоги!AU$25:AU$83,Налоги!$F$25:$F$83,$F382,Налоги!$AB$25:$AB$83,$G382)</f>
        <v>0</v>
      </c>
      <c r="AW382" s="171">
        <f ca="1">SUMIFS(Налоги!AV$25:AV$83,Налоги!$F$25:$F$83,$F382,Налоги!$AB$25:$AB$83,$G382)</f>
        <v>0</v>
      </c>
      <c r="AX382" s="171">
        <f ca="1">SUMIFS(Налоги!AW$25:AW$83,Налоги!$F$25:$F$83,$F382,Налоги!$AB$25:$AB$83,$G382)</f>
        <v>0</v>
      </c>
      <c r="AY382" s="171">
        <f ca="1">SUMIFS(Налоги!AX$25:AX$83,Налоги!$F$25:$F$83,$F382,Налоги!$AB$25:$AB$83,$G382)</f>
        <v>0</v>
      </c>
      <c r="AZ382" s="171">
        <f ca="1">SUMIFS(Налоги!AY$25:AY$83,Налоги!$F$25:$F$83,$F382,Налоги!$AB$25:$AB$83,$G382)</f>
        <v>0</v>
      </c>
      <c r="BA382" s="171">
        <f ca="1">SUMIFS(Налоги!AZ$25:AZ$83,Налоги!$F$25:$F$83,$F382,Налоги!$AB$25:$AB$83,$G382)</f>
        <v>0</v>
      </c>
      <c r="BB382" s="171">
        <f ca="1">SUMIFS(Налоги!BA$25:BA$83,Налоги!$F$25:$F$83,$F382,Налоги!$AB$25:$AB$83,$G382)</f>
        <v>0</v>
      </c>
      <c r="BC382" s="171">
        <f ca="1">SUMIFS(Налоги!BB$25:BB$83,Налоги!$F$25:$F$83,$F382,Налоги!$AB$25:$AB$83,$G382)</f>
        <v>0</v>
      </c>
      <c r="BD382" s="171">
        <f t="shared" ca="1" si="97"/>
        <v>2578.7625240080661</v>
      </c>
      <c r="BE382" s="171">
        <f t="shared" ca="1" si="98"/>
        <v>-100</v>
      </c>
      <c r="BF382" s="171">
        <f t="shared" ca="1" si="99"/>
        <v>0</v>
      </c>
      <c r="BG382" s="171">
        <f t="shared" ca="1" si="100"/>
        <v>0</v>
      </c>
      <c r="BH382" s="171">
        <f t="shared" ca="1" si="101"/>
        <v>0</v>
      </c>
      <c r="BI382" s="171">
        <f t="shared" ca="1" si="102"/>
        <v>0</v>
      </c>
      <c r="BJ382" s="171">
        <f t="shared" ca="1" si="103"/>
        <v>0</v>
      </c>
      <c r="BK382" s="171">
        <f t="shared" ca="1" si="104"/>
        <v>0</v>
      </c>
      <c r="BL382" s="171">
        <f t="shared" ca="1" si="105"/>
        <v>0</v>
      </c>
      <c r="BM382" s="171">
        <f t="shared" ca="1" si="106"/>
        <v>0</v>
      </c>
      <c r="BN382" s="196"/>
      <c r="BO382" s="601" t="s">
        <v>2247</v>
      </c>
      <c r="BP382" s="196" t="s">
        <v>2248</v>
      </c>
      <c r="BS382" s="696" t="s">
        <v>2087</v>
      </c>
    </row>
    <row r="383" spans="1:75" ht="14.25" customHeight="1" x14ac:dyDescent="0.15">
      <c r="B383" s="15"/>
      <c r="C383" s="25"/>
      <c r="D383" s="25"/>
      <c r="E383" s="451">
        <v>15</v>
      </c>
      <c r="F383" s="3" t="str" cm="1">
        <f t="array" aca="1" ref="F383" ca="1">OFFSET(E383,-1,1)</f>
        <v>2</v>
      </c>
      <c r="G383" s="611">
        <v>2</v>
      </c>
      <c r="H383" s="25"/>
      <c r="I383" s="25" t="s">
        <v>2088</v>
      </c>
      <c r="J383" s="25"/>
      <c r="K383" s="25" t="s">
        <v>2088</v>
      </c>
      <c r="L383" s="25"/>
      <c r="M383" s="25"/>
      <c r="N383" s="25"/>
      <c r="O383" s="25"/>
      <c r="P383" s="25"/>
      <c r="Q383" s="25"/>
      <c r="R383" s="25"/>
      <c r="S383" s="25"/>
      <c r="T383" s="353" t="b" cm="1">
        <f t="array" aca="1" ref="T383" ca="1">T382</f>
        <v>1</v>
      </c>
      <c r="U383" s="25"/>
      <c r="V383" s="25"/>
      <c r="X383" s="990"/>
      <c r="Z383" s="967"/>
      <c r="AB383" s="133" t="s">
        <v>1505</v>
      </c>
      <c r="AC383" s="134" t="s">
        <v>2089</v>
      </c>
      <c r="AD383" s="7" t="s">
        <v>828</v>
      </c>
      <c r="AE383" s="171">
        <f ca="1">SUMIFS(Налоги!AE$25:AE$83,Налоги!$F$25:$F$83,$F383,Налоги!$AB$25:$AB$83,$G383)</f>
        <v>0</v>
      </c>
      <c r="AF383" s="171">
        <f ca="1">SUMIFS(Налоги!AF$25:AF$83,Налоги!$F$25:$F$83,$F383,Налоги!$AB$25:$AB$83,$G383)</f>
        <v>0</v>
      </c>
      <c r="AG383" s="171">
        <f ca="1">SUMIFS(Налоги!AG$25:AG$83,Налоги!$F$25:$F$83,$F383,Налоги!$AB$25:$AB$83,$G383)</f>
        <v>0</v>
      </c>
      <c r="AH383" s="171">
        <f t="shared" ca="1" si="95"/>
        <v>0</v>
      </c>
      <c r="AI383" s="171">
        <f ca="1">SUMIFS(Налоги!AH$25:AH$83,Налоги!$F$25:$F$83,$F383,Налоги!$AB$25:$AB$83,$G383)</f>
        <v>0</v>
      </c>
      <c r="AJ383" s="171">
        <f ca="1">SUMIFS(Налоги!AI$25:AI$83,Налоги!$F$25:$F$83,$F383,Налоги!$AB$25:$AB$83,$G383)</f>
        <v>0</v>
      </c>
      <c r="AK383" s="171">
        <f ca="1">SUMIFS(Налоги!AJ$25:AJ$83,Налоги!$F$25:$F$83,$F383,Налоги!$AB$25:$AB$83,$G383)</f>
        <v>0</v>
      </c>
      <c r="AL383" s="171">
        <f ca="1">SUMIFS(Налоги!AK$25:AK$83,Налоги!$F$25:$F$83,$F383,Налоги!$AB$25:$AB$83,$G383)</f>
        <v>0</v>
      </c>
      <c r="AM383" s="171">
        <f ca="1">SUMIFS(Налоги!AL$25:AL$83,Налоги!$F$25:$F$83,$F383,Налоги!$AB$25:$AB$83,$G383)</f>
        <v>0</v>
      </c>
      <c r="AN383" s="171">
        <f ca="1">SUMIFS(Налоги!AM$25:AM$83,Налоги!$F$25:$F$83,$F383,Налоги!$AB$25:$AB$83,$G383)</f>
        <v>0</v>
      </c>
      <c r="AO383" s="171">
        <f ca="1">SUMIFS(Налоги!AN$25:AN$83,Налоги!$F$25:$F$83,$F383,Налоги!$AB$25:$AB$83,$G383)</f>
        <v>0</v>
      </c>
      <c r="AP383" s="171">
        <f ca="1">SUMIFS(Налоги!AO$25:AO$83,Налоги!$F$25:$F$83,$F383,Налоги!$AB$25:$AB$83,$G383)</f>
        <v>0</v>
      </c>
      <c r="AQ383" s="171">
        <f ca="1">SUMIFS(Налоги!AP$25:AP$83,Налоги!$F$25:$F$83,$F383,Налоги!$AB$25:$AB$83,$G383)</f>
        <v>0</v>
      </c>
      <c r="AR383" s="171">
        <f ca="1">SUMIFS(Налоги!AQ$25:AQ$83,Налоги!$F$25:$F$83,$F383,Налоги!$AB$25:$AB$83,$G383)</f>
        <v>0</v>
      </c>
      <c r="AS383" s="171">
        <f ca="1">SUMIFS(Налоги!AR$25:AR$83,Налоги!$F$25:$F$83,$F383,Налоги!$AB$25:$AB$83,$G383)</f>
        <v>0</v>
      </c>
      <c r="AT383" s="171">
        <f ca="1">SUMIFS(Налоги!AS$25:AS$83,Налоги!$F$25:$F$83,$F383,Налоги!$AB$25:$AB$83,$G383)</f>
        <v>0</v>
      </c>
      <c r="AU383" s="171">
        <f ca="1">SUMIFS(Налоги!AT$25:AT$83,Налоги!$F$25:$F$83,$F383,Налоги!$AB$25:$AB$83,$G383)</f>
        <v>0</v>
      </c>
      <c r="AV383" s="171">
        <f ca="1">SUMIFS(Налоги!AU$25:AU$83,Налоги!$F$25:$F$83,$F383,Налоги!$AB$25:$AB$83,$G383)</f>
        <v>0</v>
      </c>
      <c r="AW383" s="171">
        <f ca="1">SUMIFS(Налоги!AV$25:AV$83,Налоги!$F$25:$F$83,$F383,Налоги!$AB$25:$AB$83,$G383)</f>
        <v>0</v>
      </c>
      <c r="AX383" s="171">
        <f ca="1">SUMIFS(Налоги!AW$25:AW$83,Налоги!$F$25:$F$83,$F383,Налоги!$AB$25:$AB$83,$G383)</f>
        <v>0</v>
      </c>
      <c r="AY383" s="171">
        <f ca="1">SUMIFS(Налоги!AX$25:AX$83,Налоги!$F$25:$F$83,$F383,Налоги!$AB$25:$AB$83,$G383)</f>
        <v>0</v>
      </c>
      <c r="AZ383" s="171">
        <f ca="1">SUMIFS(Налоги!AY$25:AY$83,Налоги!$F$25:$F$83,$F383,Налоги!$AB$25:$AB$83,$G383)</f>
        <v>0</v>
      </c>
      <c r="BA383" s="171">
        <f ca="1">SUMIFS(Налоги!AZ$25:AZ$83,Налоги!$F$25:$F$83,$F383,Налоги!$AB$25:$AB$83,$G383)</f>
        <v>0</v>
      </c>
      <c r="BB383" s="171">
        <f ca="1">SUMIFS(Налоги!BA$25:BA$83,Налоги!$F$25:$F$83,$F383,Налоги!$AB$25:$AB$83,$G383)</f>
        <v>0</v>
      </c>
      <c r="BC383" s="171">
        <f ca="1">SUMIFS(Налоги!BB$25:BB$83,Налоги!$F$25:$F$83,$F383,Налоги!$AB$25:$AB$83,$G383)</f>
        <v>0</v>
      </c>
      <c r="BD383" s="171">
        <f t="shared" ca="1" si="97"/>
        <v>0</v>
      </c>
      <c r="BE383" s="171">
        <f t="shared" ca="1" si="98"/>
        <v>0</v>
      </c>
      <c r="BF383" s="171">
        <f t="shared" ca="1" si="99"/>
        <v>0</v>
      </c>
      <c r="BG383" s="171">
        <f t="shared" ca="1" si="100"/>
        <v>0</v>
      </c>
      <c r="BH383" s="171">
        <f t="shared" ca="1" si="101"/>
        <v>0</v>
      </c>
      <c r="BI383" s="171">
        <f t="shared" ca="1" si="102"/>
        <v>0</v>
      </c>
      <c r="BJ383" s="171">
        <f t="shared" ca="1" si="103"/>
        <v>0</v>
      </c>
      <c r="BK383" s="171">
        <f t="shared" ca="1" si="104"/>
        <v>0</v>
      </c>
      <c r="BL383" s="171">
        <f t="shared" ca="1" si="105"/>
        <v>0</v>
      </c>
      <c r="BM383" s="171">
        <f t="shared" ca="1" si="106"/>
        <v>0</v>
      </c>
      <c r="BN383" s="196"/>
      <c r="BO383" s="601" t="str">
        <f ca="1">IF(IFERROR(INDEX(Налоги!$K$26:$L$83,MATCH($F383&amp;"2komm",Налоги!$K$26:$K$83,0),2),"")=0,"",IFERROR(INDEX(Налоги!$K$26:$L$83,MATCH($F383&amp;"2komm",Налоги!$K$26:$K$83,0),2),""))</f>
        <v/>
      </c>
      <c r="BP383" s="196"/>
      <c r="BS383" s="696" t="s">
        <v>2090</v>
      </c>
    </row>
    <row r="384" spans="1:75" ht="14.25" customHeight="1" x14ac:dyDescent="0.15">
      <c r="B384" s="15"/>
      <c r="C384" s="25"/>
      <c r="D384" s="25"/>
      <c r="E384" s="451">
        <v>15</v>
      </c>
      <c r="F384" s="3" t="str" cm="1">
        <f t="array" aca="1" ref="F384" ca="1">OFFSET(E384,-1,1)</f>
        <v>2</v>
      </c>
      <c r="G384" s="611">
        <v>4</v>
      </c>
      <c r="H384" s="25"/>
      <c r="I384" s="25" t="s">
        <v>2091</v>
      </c>
      <c r="J384" s="25"/>
      <c r="K384" s="25" t="s">
        <v>2091</v>
      </c>
      <c r="L384" s="25"/>
      <c r="M384" s="25"/>
      <c r="N384" s="25"/>
      <c r="O384" s="25"/>
      <c r="P384" s="25"/>
      <c r="Q384" s="25"/>
      <c r="R384" s="25"/>
      <c r="S384" s="25"/>
      <c r="T384" s="353" t="b" cm="1">
        <f t="array" aca="1" ref="T384" ca="1">T383</f>
        <v>1</v>
      </c>
      <c r="U384" s="25"/>
      <c r="V384" s="25"/>
      <c r="X384" s="990"/>
      <c r="Z384" s="967"/>
      <c r="AB384" s="133" t="s">
        <v>2092</v>
      </c>
      <c r="AC384" s="134" t="s">
        <v>2093</v>
      </c>
      <c r="AD384" s="7" t="s">
        <v>828</v>
      </c>
      <c r="AE384" s="171">
        <f ca="1">SUMIFS(Налоги!AE$25:AE$83,Налоги!$F$25:$F$83,$F384,Налоги!$AB$25:$AB$83,$G384)</f>
        <v>0</v>
      </c>
      <c r="AF384" s="171">
        <f ca="1">SUMIFS(Налоги!AF$25:AF$83,Налоги!$F$25:$F$83,$F384,Налоги!$AB$25:$AB$83,$G384)</f>
        <v>0</v>
      </c>
      <c r="AG384" s="171">
        <f ca="1">SUMIFS(Налоги!AG$25:AG$83,Налоги!$F$25:$F$83,$F384,Налоги!$AB$25:$AB$83,$G384)</f>
        <v>0</v>
      </c>
      <c r="AH384" s="171">
        <f t="shared" ca="1" si="95"/>
        <v>0</v>
      </c>
      <c r="AI384" s="171">
        <f ca="1">SUMIFS(Налоги!AH$25:AH$83,Налоги!$F$25:$F$83,$F384,Налоги!$AB$25:$AB$83,$G384)</f>
        <v>0</v>
      </c>
      <c r="AJ384" s="171">
        <f ca="1">SUMIFS(Налоги!AI$25:AI$83,Налоги!$F$25:$F$83,$F384,Налоги!$AB$25:$AB$83,$G384)</f>
        <v>0</v>
      </c>
      <c r="AK384" s="171">
        <f ca="1">SUMIFS(Налоги!AJ$25:AJ$83,Налоги!$F$25:$F$83,$F384,Налоги!$AB$25:$AB$83,$G384)</f>
        <v>0</v>
      </c>
      <c r="AL384" s="171">
        <f ca="1">SUMIFS(Налоги!AK$25:AK$83,Налоги!$F$25:$F$83,$F384,Налоги!$AB$25:$AB$83,$G384)</f>
        <v>0</v>
      </c>
      <c r="AM384" s="171">
        <f ca="1">SUMIFS(Налоги!AL$25:AL$83,Налоги!$F$25:$F$83,$F384,Налоги!$AB$25:$AB$83,$G384)</f>
        <v>0</v>
      </c>
      <c r="AN384" s="171">
        <f ca="1">SUMIFS(Налоги!AM$25:AM$83,Налоги!$F$25:$F$83,$F384,Налоги!$AB$25:$AB$83,$G384)</f>
        <v>0</v>
      </c>
      <c r="AO384" s="171">
        <f ca="1">SUMIFS(Налоги!AN$25:AN$83,Налоги!$F$25:$F$83,$F384,Налоги!$AB$25:$AB$83,$G384)</f>
        <v>0</v>
      </c>
      <c r="AP384" s="171">
        <f ca="1">SUMIFS(Налоги!AO$25:AO$83,Налоги!$F$25:$F$83,$F384,Налоги!$AB$25:$AB$83,$G384)</f>
        <v>0</v>
      </c>
      <c r="AQ384" s="171">
        <f ca="1">SUMIFS(Налоги!AP$25:AP$83,Налоги!$F$25:$F$83,$F384,Налоги!$AB$25:$AB$83,$G384)</f>
        <v>0</v>
      </c>
      <c r="AR384" s="171">
        <f ca="1">SUMIFS(Налоги!AQ$25:AQ$83,Налоги!$F$25:$F$83,$F384,Налоги!$AB$25:$AB$83,$G384)</f>
        <v>0</v>
      </c>
      <c r="AS384" s="171">
        <f ca="1">SUMIFS(Налоги!AR$25:AR$83,Налоги!$F$25:$F$83,$F384,Налоги!$AB$25:$AB$83,$G384)</f>
        <v>0</v>
      </c>
      <c r="AT384" s="171">
        <f ca="1">SUMIFS(Налоги!AS$25:AS$83,Налоги!$F$25:$F$83,$F384,Налоги!$AB$25:$AB$83,$G384)</f>
        <v>0</v>
      </c>
      <c r="AU384" s="171">
        <f ca="1">SUMIFS(Налоги!AT$25:AT$83,Налоги!$F$25:$F$83,$F384,Налоги!$AB$25:$AB$83,$G384)</f>
        <v>0</v>
      </c>
      <c r="AV384" s="171">
        <f ca="1">SUMIFS(Налоги!AU$25:AU$83,Налоги!$F$25:$F$83,$F384,Налоги!$AB$25:$AB$83,$G384)</f>
        <v>0</v>
      </c>
      <c r="AW384" s="171">
        <f ca="1">SUMIFS(Налоги!AV$25:AV$83,Налоги!$F$25:$F$83,$F384,Налоги!$AB$25:$AB$83,$G384)</f>
        <v>0</v>
      </c>
      <c r="AX384" s="171">
        <f ca="1">SUMIFS(Налоги!AW$25:AW$83,Налоги!$F$25:$F$83,$F384,Налоги!$AB$25:$AB$83,$G384)</f>
        <v>0</v>
      </c>
      <c r="AY384" s="171">
        <f ca="1">SUMIFS(Налоги!AX$25:AX$83,Налоги!$F$25:$F$83,$F384,Налоги!$AB$25:$AB$83,$G384)</f>
        <v>0</v>
      </c>
      <c r="AZ384" s="171">
        <f ca="1">SUMIFS(Налоги!AY$25:AY$83,Налоги!$F$25:$F$83,$F384,Налоги!$AB$25:$AB$83,$G384)</f>
        <v>0</v>
      </c>
      <c r="BA384" s="171">
        <f ca="1">SUMIFS(Налоги!AZ$25:AZ$83,Налоги!$F$25:$F$83,$F384,Налоги!$AB$25:$AB$83,$G384)</f>
        <v>0</v>
      </c>
      <c r="BB384" s="171">
        <f ca="1">SUMIFS(Налоги!BA$25:BA$83,Налоги!$F$25:$F$83,$F384,Налоги!$AB$25:$AB$83,$G384)</f>
        <v>0</v>
      </c>
      <c r="BC384" s="171">
        <f ca="1">SUMIFS(Налоги!BB$25:BB$83,Налоги!$F$25:$F$83,$F384,Налоги!$AB$25:$AB$83,$G384)</f>
        <v>0</v>
      </c>
      <c r="BD384" s="171">
        <f t="shared" ca="1" si="97"/>
        <v>0</v>
      </c>
      <c r="BE384" s="171">
        <f t="shared" ca="1" si="98"/>
        <v>0</v>
      </c>
      <c r="BF384" s="171">
        <f t="shared" ca="1" si="99"/>
        <v>0</v>
      </c>
      <c r="BG384" s="171">
        <f t="shared" ca="1" si="100"/>
        <v>0</v>
      </c>
      <c r="BH384" s="171">
        <f t="shared" ca="1" si="101"/>
        <v>0</v>
      </c>
      <c r="BI384" s="171">
        <f t="shared" ca="1" si="102"/>
        <v>0</v>
      </c>
      <c r="BJ384" s="171">
        <f t="shared" ca="1" si="103"/>
        <v>0</v>
      </c>
      <c r="BK384" s="171">
        <f t="shared" ca="1" si="104"/>
        <v>0</v>
      </c>
      <c r="BL384" s="171">
        <f t="shared" ca="1" si="105"/>
        <v>0</v>
      </c>
      <c r="BM384" s="171">
        <f t="shared" ca="1" si="106"/>
        <v>0</v>
      </c>
      <c r="BN384" s="196"/>
      <c r="BO384" s="601" t="str">
        <f ca="1">IF(IFERROR(INDEX(Налоги!$K$26:$L$83,MATCH($F384&amp;"4komm",Налоги!$K$26:$K$83,0),2),"")=0,"",IFERROR(INDEX(Налоги!$K$26:$L$83,MATCH($F384&amp;"4komm",Налоги!$K$26:$K$83,0),2),""))</f>
        <v/>
      </c>
      <c r="BP384" s="196"/>
      <c r="BS384" s="696" t="s">
        <v>2094</v>
      </c>
    </row>
    <row r="385" spans="2:75" ht="14.25" customHeight="1" x14ac:dyDescent="0.15">
      <c r="B385" s="15"/>
      <c r="C385" s="25"/>
      <c r="D385" s="25"/>
      <c r="E385" s="451">
        <v>15</v>
      </c>
      <c r="F385" s="3" t="str" cm="1">
        <f t="array" aca="1" ref="F385" ca="1">OFFSET(E385,-1,1)</f>
        <v>2</v>
      </c>
      <c r="G385" s="611">
        <v>5</v>
      </c>
      <c r="H385" s="25"/>
      <c r="I385" s="25" t="s">
        <v>2095</v>
      </c>
      <c r="J385" s="25"/>
      <c r="K385" s="25" t="s">
        <v>2095</v>
      </c>
      <c r="L385" s="25"/>
      <c r="M385" s="25"/>
      <c r="N385" s="25"/>
      <c r="O385" s="25"/>
      <c r="P385" s="25"/>
      <c r="Q385" s="25"/>
      <c r="R385" s="25"/>
      <c r="S385" s="25"/>
      <c r="T385" s="353" t="b" cm="1">
        <f t="array" aca="1" ref="T385" ca="1">T384</f>
        <v>1</v>
      </c>
      <c r="U385" s="25"/>
      <c r="V385" s="25"/>
      <c r="X385" s="990"/>
      <c r="Z385" s="967"/>
      <c r="AB385" s="133" t="s">
        <v>2096</v>
      </c>
      <c r="AC385" s="134" t="s">
        <v>2097</v>
      </c>
      <c r="AD385" s="7" t="s">
        <v>828</v>
      </c>
      <c r="AE385" s="171">
        <f ca="1">SUMIFS(Налоги!AE$25:AE$83,Налоги!$F$25:$F$83,$F385,Налоги!$AB$25:$AB$83,$G385)</f>
        <v>0</v>
      </c>
      <c r="AF385" s="171">
        <f ca="1">SUMIFS(Налоги!AF$25:AF$83,Налоги!$F$25:$F$83,$F385,Налоги!$AB$25:$AB$83,$G385)</f>
        <v>0</v>
      </c>
      <c r="AG385" s="171">
        <f ca="1">SUMIFS(Налоги!AG$25:AG$83,Налоги!$F$25:$F$83,$F385,Налоги!$AB$25:$AB$83,$G385)</f>
        <v>0</v>
      </c>
      <c r="AH385" s="171">
        <f t="shared" ca="1" si="95"/>
        <v>0</v>
      </c>
      <c r="AI385" s="171">
        <f ca="1">SUMIFS(Налоги!AH$25:AH$83,Налоги!$F$25:$F$83,$F385,Налоги!$AB$25:$AB$83,$G385)</f>
        <v>0</v>
      </c>
      <c r="AJ385" s="171">
        <f ca="1">SUMIFS(Налоги!AI$25:AI$83,Налоги!$F$25:$F$83,$F385,Налоги!$AB$25:$AB$83,$G385)</f>
        <v>0</v>
      </c>
      <c r="AK385" s="171">
        <f ca="1">SUMIFS(Налоги!AJ$25:AJ$83,Налоги!$F$25:$F$83,$F385,Налоги!$AB$25:$AB$83,$G385)</f>
        <v>0</v>
      </c>
      <c r="AL385" s="171">
        <f ca="1">SUMIFS(Налоги!AK$25:AK$83,Налоги!$F$25:$F$83,$F385,Налоги!$AB$25:$AB$83,$G385)</f>
        <v>0</v>
      </c>
      <c r="AM385" s="171">
        <f ca="1">SUMIFS(Налоги!AL$25:AL$83,Налоги!$F$25:$F$83,$F385,Налоги!$AB$25:$AB$83,$G385)</f>
        <v>0</v>
      </c>
      <c r="AN385" s="171">
        <f ca="1">SUMIFS(Налоги!AM$25:AM$83,Налоги!$F$25:$F$83,$F385,Налоги!$AB$25:$AB$83,$G385)</f>
        <v>0</v>
      </c>
      <c r="AO385" s="171">
        <f ca="1">SUMIFS(Налоги!AN$25:AN$83,Налоги!$F$25:$F$83,$F385,Налоги!$AB$25:$AB$83,$G385)</f>
        <v>0</v>
      </c>
      <c r="AP385" s="171">
        <f ca="1">SUMIFS(Налоги!AO$25:AO$83,Налоги!$F$25:$F$83,$F385,Налоги!$AB$25:$AB$83,$G385)</f>
        <v>0</v>
      </c>
      <c r="AQ385" s="171">
        <f ca="1">SUMIFS(Налоги!AP$25:AP$83,Налоги!$F$25:$F$83,$F385,Налоги!$AB$25:$AB$83,$G385)</f>
        <v>0</v>
      </c>
      <c r="AR385" s="171">
        <f ca="1">SUMIFS(Налоги!AQ$25:AQ$83,Налоги!$F$25:$F$83,$F385,Налоги!$AB$25:$AB$83,$G385)</f>
        <v>0</v>
      </c>
      <c r="AS385" s="171">
        <f ca="1">SUMIFS(Налоги!AR$25:AR$83,Налоги!$F$25:$F$83,$F385,Налоги!$AB$25:$AB$83,$G385)</f>
        <v>0</v>
      </c>
      <c r="AT385" s="171">
        <f ca="1">SUMIFS(Налоги!AS$25:AS$83,Налоги!$F$25:$F$83,$F385,Налоги!$AB$25:$AB$83,$G385)</f>
        <v>0</v>
      </c>
      <c r="AU385" s="171">
        <f ca="1">SUMIFS(Налоги!AT$25:AT$83,Налоги!$F$25:$F$83,$F385,Налоги!$AB$25:$AB$83,$G385)</f>
        <v>0</v>
      </c>
      <c r="AV385" s="171">
        <f ca="1">SUMIFS(Налоги!AU$25:AU$83,Налоги!$F$25:$F$83,$F385,Налоги!$AB$25:$AB$83,$G385)</f>
        <v>0</v>
      </c>
      <c r="AW385" s="171">
        <f ca="1">SUMIFS(Налоги!AV$25:AV$83,Налоги!$F$25:$F$83,$F385,Налоги!$AB$25:$AB$83,$G385)</f>
        <v>0</v>
      </c>
      <c r="AX385" s="171">
        <f ca="1">SUMIFS(Налоги!AW$25:AW$83,Налоги!$F$25:$F$83,$F385,Налоги!$AB$25:$AB$83,$G385)</f>
        <v>0</v>
      </c>
      <c r="AY385" s="171">
        <f ca="1">SUMIFS(Налоги!AX$25:AX$83,Налоги!$F$25:$F$83,$F385,Налоги!$AB$25:$AB$83,$G385)</f>
        <v>0</v>
      </c>
      <c r="AZ385" s="171">
        <f ca="1">SUMIFS(Налоги!AY$25:AY$83,Налоги!$F$25:$F$83,$F385,Налоги!$AB$25:$AB$83,$G385)</f>
        <v>0</v>
      </c>
      <c r="BA385" s="171">
        <f ca="1">SUMIFS(Налоги!AZ$25:AZ$83,Налоги!$F$25:$F$83,$F385,Налоги!$AB$25:$AB$83,$G385)</f>
        <v>0</v>
      </c>
      <c r="BB385" s="171">
        <f ca="1">SUMIFS(Налоги!BA$25:BA$83,Налоги!$F$25:$F$83,$F385,Налоги!$AB$25:$AB$83,$G385)</f>
        <v>0</v>
      </c>
      <c r="BC385" s="171">
        <f ca="1">SUMIFS(Налоги!BB$25:BB$83,Налоги!$F$25:$F$83,$F385,Налоги!$AB$25:$AB$83,$G385)</f>
        <v>0</v>
      </c>
      <c r="BD385" s="171">
        <f t="shared" ca="1" si="97"/>
        <v>0</v>
      </c>
      <c r="BE385" s="171">
        <f t="shared" ca="1" si="98"/>
        <v>0</v>
      </c>
      <c r="BF385" s="171">
        <f t="shared" ca="1" si="99"/>
        <v>0</v>
      </c>
      <c r="BG385" s="171">
        <f t="shared" ca="1" si="100"/>
        <v>0</v>
      </c>
      <c r="BH385" s="171">
        <f t="shared" ca="1" si="101"/>
        <v>0</v>
      </c>
      <c r="BI385" s="171">
        <f t="shared" ca="1" si="102"/>
        <v>0</v>
      </c>
      <c r="BJ385" s="171">
        <f t="shared" ca="1" si="103"/>
        <v>0</v>
      </c>
      <c r="BK385" s="171">
        <f t="shared" ca="1" si="104"/>
        <v>0</v>
      </c>
      <c r="BL385" s="171">
        <f t="shared" ca="1" si="105"/>
        <v>0</v>
      </c>
      <c r="BM385" s="171">
        <f t="shared" ca="1" si="106"/>
        <v>0</v>
      </c>
      <c r="BN385" s="196"/>
      <c r="BO385" s="601" t="str">
        <f ca="1">IF(IFERROR(INDEX(Налоги!$K$26:$L$83,MATCH($F385&amp;"5komm",Налоги!$K$26:$K$83,0),2),"")=0,"",IFERROR(INDEX(Налоги!$K$26:$L$83,MATCH($F385&amp;"5komm",Налоги!$K$26:$K$83,0),2),""))</f>
        <v/>
      </c>
      <c r="BP385" s="196"/>
      <c r="BS385" s="696" t="s">
        <v>2098</v>
      </c>
    </row>
    <row r="386" spans="2:75" ht="14.25" customHeight="1" x14ac:dyDescent="0.15">
      <c r="B386" s="15"/>
      <c r="C386" s="25"/>
      <c r="D386" s="25"/>
      <c r="E386" s="451">
        <v>15</v>
      </c>
      <c r="F386" s="3" t="str" cm="1">
        <f t="array" aca="1" ref="F386" ca="1">OFFSET(E386,-1,1)</f>
        <v>2</v>
      </c>
      <c r="G386" s="611">
        <v>1</v>
      </c>
      <c r="H386" s="25"/>
      <c r="I386" s="25" t="s">
        <v>2099</v>
      </c>
      <c r="J386" s="25"/>
      <c r="K386" s="25" t="s">
        <v>2099</v>
      </c>
      <c r="L386" s="25"/>
      <c r="M386" s="25"/>
      <c r="N386" s="25"/>
      <c r="O386" s="25"/>
      <c r="P386" s="25"/>
      <c r="Q386" s="25"/>
      <c r="R386" s="25"/>
      <c r="S386" s="25"/>
      <c r="T386" s="353" t="b" cm="1">
        <f t="array" aca="1" ref="T386" ca="1">T385</f>
        <v>1</v>
      </c>
      <c r="U386" s="25"/>
      <c r="V386" s="25"/>
      <c r="X386" s="990"/>
      <c r="Z386" s="967"/>
      <c r="AB386" s="133" t="s">
        <v>2100</v>
      </c>
      <c r="AC386" s="134" t="s">
        <v>2101</v>
      </c>
      <c r="AD386" s="7" t="s">
        <v>828</v>
      </c>
      <c r="AE386" s="171">
        <f ca="1">SUMIFS(Налоги!AE$25:AE$83,Налоги!$F$25:$F$83,$F386,Налоги!$AB$25:$AB$83,$G386)</f>
        <v>0</v>
      </c>
      <c r="AF386" s="171">
        <f ca="1">SUMIFS(Налоги!AF$25:AF$83,Налоги!$F$25:$F$83,$F386,Налоги!$AB$25:$AB$83,$G386)</f>
        <v>0</v>
      </c>
      <c r="AG386" s="171">
        <f ca="1">SUMIFS(Налоги!AG$25:AG$83,Налоги!$F$25:$F$83,$F386,Налоги!$AB$25:$AB$83,$G386)</f>
        <v>0</v>
      </c>
      <c r="AH386" s="171">
        <f t="shared" ca="1" si="95"/>
        <v>0</v>
      </c>
      <c r="AI386" s="171">
        <f ca="1">SUMIFS(Налоги!AH$25:AH$83,Налоги!$F$25:$F$83,$F386,Налоги!$AB$25:$AB$83,$G386)</f>
        <v>0</v>
      </c>
      <c r="AJ386" s="171">
        <f ca="1">SUMIFS(Налоги!AI$25:AI$83,Налоги!$F$25:$F$83,$F386,Налоги!$AB$25:$AB$83,$G386)</f>
        <v>0</v>
      </c>
      <c r="AK386" s="171">
        <f ca="1">SUMIFS(Налоги!AJ$25:AJ$83,Налоги!$F$25:$F$83,$F386,Налоги!$AB$25:$AB$83,$G386)</f>
        <v>0</v>
      </c>
      <c r="AL386" s="171">
        <f ca="1">SUMIFS(Налоги!AK$25:AK$83,Налоги!$F$25:$F$83,$F386,Налоги!$AB$25:$AB$83,$G386)</f>
        <v>0</v>
      </c>
      <c r="AM386" s="171">
        <f ca="1">SUMIFS(Налоги!AL$25:AL$83,Налоги!$F$25:$F$83,$F386,Налоги!$AB$25:$AB$83,$G386)</f>
        <v>0</v>
      </c>
      <c r="AN386" s="171">
        <f ca="1">SUMIFS(Налоги!AM$25:AM$83,Налоги!$F$25:$F$83,$F386,Налоги!$AB$25:$AB$83,$G386)</f>
        <v>0</v>
      </c>
      <c r="AO386" s="171">
        <f ca="1">SUMIFS(Налоги!AN$25:AN$83,Налоги!$F$25:$F$83,$F386,Налоги!$AB$25:$AB$83,$G386)</f>
        <v>0</v>
      </c>
      <c r="AP386" s="171">
        <f ca="1">SUMIFS(Налоги!AO$25:AO$83,Налоги!$F$25:$F$83,$F386,Налоги!$AB$25:$AB$83,$G386)</f>
        <v>0</v>
      </c>
      <c r="AQ386" s="171">
        <f ca="1">SUMIFS(Налоги!AP$25:AP$83,Налоги!$F$25:$F$83,$F386,Налоги!$AB$25:$AB$83,$G386)</f>
        <v>0</v>
      </c>
      <c r="AR386" s="171">
        <f ca="1">SUMIFS(Налоги!AQ$25:AQ$83,Налоги!$F$25:$F$83,$F386,Налоги!$AB$25:$AB$83,$G386)</f>
        <v>0</v>
      </c>
      <c r="AS386" s="171">
        <f ca="1">SUMIFS(Налоги!AR$25:AR$83,Налоги!$F$25:$F$83,$F386,Налоги!$AB$25:$AB$83,$G386)</f>
        <v>0</v>
      </c>
      <c r="AT386" s="171">
        <f ca="1">SUMIFS(Налоги!AS$25:AS$83,Налоги!$F$25:$F$83,$F386,Налоги!$AB$25:$AB$83,$G386)</f>
        <v>0</v>
      </c>
      <c r="AU386" s="171">
        <f ca="1">SUMIFS(Налоги!AT$25:AT$83,Налоги!$F$25:$F$83,$F386,Налоги!$AB$25:$AB$83,$G386)</f>
        <v>0</v>
      </c>
      <c r="AV386" s="171">
        <f ca="1">SUMIFS(Налоги!AU$25:AU$83,Налоги!$F$25:$F$83,$F386,Налоги!$AB$25:$AB$83,$G386)</f>
        <v>0</v>
      </c>
      <c r="AW386" s="171">
        <f ca="1">SUMIFS(Налоги!AV$25:AV$83,Налоги!$F$25:$F$83,$F386,Налоги!$AB$25:$AB$83,$G386)</f>
        <v>0</v>
      </c>
      <c r="AX386" s="171">
        <f ca="1">SUMIFS(Налоги!AW$25:AW$83,Налоги!$F$25:$F$83,$F386,Налоги!$AB$25:$AB$83,$G386)</f>
        <v>0</v>
      </c>
      <c r="AY386" s="171">
        <f ca="1">SUMIFS(Налоги!AX$25:AX$83,Налоги!$F$25:$F$83,$F386,Налоги!$AB$25:$AB$83,$G386)</f>
        <v>0</v>
      </c>
      <c r="AZ386" s="171">
        <f ca="1">SUMIFS(Налоги!AY$25:AY$83,Налоги!$F$25:$F$83,$F386,Налоги!$AB$25:$AB$83,$G386)</f>
        <v>0</v>
      </c>
      <c r="BA386" s="171">
        <f ca="1">SUMIFS(Налоги!AZ$25:AZ$83,Налоги!$F$25:$F$83,$F386,Налоги!$AB$25:$AB$83,$G386)</f>
        <v>0</v>
      </c>
      <c r="BB386" s="171">
        <f ca="1">SUMIFS(Налоги!BA$25:BA$83,Налоги!$F$25:$F$83,$F386,Налоги!$AB$25:$AB$83,$G386)</f>
        <v>0</v>
      </c>
      <c r="BC386" s="171">
        <f ca="1">SUMIFS(Налоги!BB$25:BB$83,Налоги!$F$25:$F$83,$F386,Налоги!$AB$25:$AB$83,$G386)</f>
        <v>0</v>
      </c>
      <c r="BD386" s="171">
        <f t="shared" ca="1" si="97"/>
        <v>0</v>
      </c>
      <c r="BE386" s="171">
        <f t="shared" ca="1" si="98"/>
        <v>0</v>
      </c>
      <c r="BF386" s="171">
        <f t="shared" ca="1" si="99"/>
        <v>0</v>
      </c>
      <c r="BG386" s="171">
        <f t="shared" ca="1" si="100"/>
        <v>0</v>
      </c>
      <c r="BH386" s="171">
        <f t="shared" ca="1" si="101"/>
        <v>0</v>
      </c>
      <c r="BI386" s="171">
        <f t="shared" ca="1" si="102"/>
        <v>0</v>
      </c>
      <c r="BJ386" s="171">
        <f t="shared" ca="1" si="103"/>
        <v>0</v>
      </c>
      <c r="BK386" s="171">
        <f t="shared" ca="1" si="104"/>
        <v>0</v>
      </c>
      <c r="BL386" s="171">
        <f t="shared" ca="1" si="105"/>
        <v>0</v>
      </c>
      <c r="BM386" s="171">
        <f t="shared" ca="1" si="106"/>
        <v>0</v>
      </c>
      <c r="BN386" s="196"/>
      <c r="BO386" s="601" t="str">
        <f ca="1">IF(IFERROR(INDEX(Налоги!$K$26:$L$83,MATCH($F386&amp;"1komm",Налоги!$K$26:$K$83,0),2),"")=0,"",IFERROR(INDEX(Налоги!$K$26:$L$83,MATCH($F386&amp;"1komm",Налоги!$K$26:$K$83,0),2),""))</f>
        <v/>
      </c>
      <c r="BP386" s="196"/>
      <c r="BS386" s="696" t="s">
        <v>2102</v>
      </c>
    </row>
    <row r="387" spans="2:75" ht="14.25" customHeight="1" x14ac:dyDescent="0.15">
      <c r="B387" s="15"/>
      <c r="C387" s="25"/>
      <c r="D387" s="25"/>
      <c r="E387" s="451">
        <v>15</v>
      </c>
      <c r="F387" s="3" t="str" cm="1">
        <f t="array" aca="1" ref="F387" ca="1">OFFSET(E387,-1,1)</f>
        <v>2</v>
      </c>
      <c r="G387" s="611">
        <v>3</v>
      </c>
      <c r="H387" s="25"/>
      <c r="I387" s="25" t="s">
        <v>2103</v>
      </c>
      <c r="J387" s="25"/>
      <c r="K387" s="25" t="s">
        <v>2103</v>
      </c>
      <c r="L387" s="25"/>
      <c r="M387" s="25"/>
      <c r="N387" s="25"/>
      <c r="O387" s="25"/>
      <c r="P387" s="25"/>
      <c r="Q387" s="25"/>
      <c r="R387" s="25"/>
      <c r="S387" s="25"/>
      <c r="T387" s="353" t="b" cm="1">
        <f t="array" aca="1" ref="T387" ca="1">T386</f>
        <v>1</v>
      </c>
      <c r="U387" s="25"/>
      <c r="V387" s="25"/>
      <c r="X387" s="990"/>
      <c r="Z387" s="967"/>
      <c r="AB387" s="133" t="s">
        <v>2104</v>
      </c>
      <c r="AC387" s="134" t="s">
        <v>2105</v>
      </c>
      <c r="AD387" s="7" t="s">
        <v>828</v>
      </c>
      <c r="AE387" s="128">
        <f ca="1">SUMIFS(Налоги!AE$25:AE$83,Налоги!$F$25:$F$83,$F387,Налоги!$AB$25:$AB$83,$G387)</f>
        <v>0</v>
      </c>
      <c r="AF387" s="128">
        <f ca="1">SUMIFS(Налоги!AF$25:AF$83,Налоги!$F$25:$F$83,$F387,Налоги!$AB$25:$AB$83,$G387)</f>
        <v>0</v>
      </c>
      <c r="AG387" s="128">
        <f ca="1">SUMIFS(Налоги!AG$25:AG$83,Налоги!$F$25:$F$83,$F387,Налоги!$AB$25:$AB$83,$G387)</f>
        <v>0</v>
      </c>
      <c r="AH387" s="171">
        <f t="shared" ca="1" si="95"/>
        <v>0</v>
      </c>
      <c r="AI387" s="128">
        <f ca="1">SUMIFS(Налоги!AH$25:AH$83,Налоги!$F$25:$F$83,$F387,Налоги!$AB$25:$AB$83,$G387)</f>
        <v>0</v>
      </c>
      <c r="AJ387" s="128">
        <f ca="1">SUMIFS(Налоги!AI$25:AI$83,Налоги!$F$25:$F$83,$F387,Налоги!$AB$25:$AB$83,$G387)</f>
        <v>0</v>
      </c>
      <c r="AK387" s="778">
        <f ca="1">SUMIFS(Налоги!AJ$25:AJ$83,Налоги!$F$25:$F$83,$F387,Налоги!$AB$25:$AB$83,$G387)</f>
        <v>0</v>
      </c>
      <c r="AL387" s="778">
        <f ca="1">SUMIFS(Налоги!AK$25:AK$83,Налоги!$F$25:$F$83,$F387,Налоги!$AB$25:$AB$83,$G387)</f>
        <v>0</v>
      </c>
      <c r="AM387" s="128">
        <f ca="1">SUMIFS(Налоги!AL$25:AL$83,Налоги!$F$25:$F$83,$F387,Налоги!$AB$25:$AB$83,$G387)</f>
        <v>0</v>
      </c>
      <c r="AN387" s="128">
        <f ca="1">SUMIFS(Налоги!AM$25:AM$83,Налоги!$F$25:$F$83,$F387,Налоги!$AB$25:$AB$83,$G387)</f>
        <v>0</v>
      </c>
      <c r="AO387" s="128">
        <f ca="1">SUMIFS(Налоги!AN$25:AN$83,Налоги!$F$25:$F$83,$F387,Налоги!$AB$25:$AB$83,$G387)</f>
        <v>0</v>
      </c>
      <c r="AP387" s="128">
        <f ca="1">SUMIFS(Налоги!AO$25:AO$83,Налоги!$F$25:$F$83,$F387,Налоги!$AB$25:$AB$83,$G387)</f>
        <v>0</v>
      </c>
      <c r="AQ387" s="128">
        <f ca="1">SUMIFS(Налоги!AP$25:AP$83,Налоги!$F$25:$F$83,$F387,Налоги!$AB$25:$AB$83,$G387)</f>
        <v>0</v>
      </c>
      <c r="AR387" s="128">
        <f ca="1">SUMIFS(Налоги!AQ$25:AQ$83,Налоги!$F$25:$F$83,$F387,Налоги!$AB$25:$AB$83,$G387)</f>
        <v>0</v>
      </c>
      <c r="AS387" s="128">
        <f ca="1">SUMIFS(Налоги!AR$25:AR$83,Налоги!$F$25:$F$83,$F387,Налоги!$AB$25:$AB$83,$G387)</f>
        <v>0</v>
      </c>
      <c r="AT387" s="128">
        <f ca="1">SUMIFS(Налоги!AS$25:AS$83,Налоги!$F$25:$F$83,$F387,Налоги!$AB$25:$AB$83,$G387)</f>
        <v>0</v>
      </c>
      <c r="AU387" s="778">
        <f ca="1">SUMIFS(Налоги!AT$25:AT$83,Налоги!$F$25:$F$83,$F387,Налоги!$AB$25:$AB$83,$G387)</f>
        <v>0</v>
      </c>
      <c r="AV387" s="778">
        <f ca="1">SUMIFS(Налоги!AU$25:AU$83,Налоги!$F$25:$F$83,$F387,Налоги!$AB$25:$AB$83,$G387)</f>
        <v>0</v>
      </c>
      <c r="AW387" s="128">
        <f ca="1">SUMIFS(Налоги!AV$25:AV$83,Налоги!$F$25:$F$83,$F387,Налоги!$AB$25:$AB$83,$G387)</f>
        <v>0</v>
      </c>
      <c r="AX387" s="128">
        <f ca="1">SUMIFS(Налоги!AW$25:AW$83,Налоги!$F$25:$F$83,$F387,Налоги!$AB$25:$AB$83,$G387)</f>
        <v>0</v>
      </c>
      <c r="AY387" s="128">
        <f ca="1">SUMIFS(Налоги!AX$25:AX$83,Налоги!$F$25:$F$83,$F387,Налоги!$AB$25:$AB$83,$G387)</f>
        <v>0</v>
      </c>
      <c r="AZ387" s="128">
        <f ca="1">SUMIFS(Налоги!AY$25:AY$83,Налоги!$F$25:$F$83,$F387,Налоги!$AB$25:$AB$83,$G387)</f>
        <v>0</v>
      </c>
      <c r="BA387" s="128">
        <f ca="1">SUMIFS(Налоги!AZ$25:AZ$83,Налоги!$F$25:$F$83,$F387,Налоги!$AB$25:$AB$83,$G387)</f>
        <v>0</v>
      </c>
      <c r="BB387" s="128">
        <f ca="1">SUMIFS(Налоги!BA$25:BA$83,Налоги!$F$25:$F$83,$F387,Налоги!$AB$25:$AB$83,$G387)</f>
        <v>0</v>
      </c>
      <c r="BC387" s="128">
        <f ca="1">SUMIFS(Налоги!BB$25:BB$83,Налоги!$F$25:$F$83,$F387,Налоги!$AB$25:$AB$83,$G387)</f>
        <v>0</v>
      </c>
      <c r="BD387" s="171">
        <f t="shared" ca="1" si="97"/>
        <v>0</v>
      </c>
      <c r="BE387" s="171">
        <f t="shared" ca="1" si="98"/>
        <v>0</v>
      </c>
      <c r="BF387" s="171">
        <f t="shared" ca="1" si="99"/>
        <v>0</v>
      </c>
      <c r="BG387" s="171">
        <f t="shared" ca="1" si="100"/>
        <v>0</v>
      </c>
      <c r="BH387" s="171">
        <f t="shared" ca="1" si="101"/>
        <v>0</v>
      </c>
      <c r="BI387" s="171">
        <f t="shared" ca="1" si="102"/>
        <v>0</v>
      </c>
      <c r="BJ387" s="171">
        <f t="shared" ca="1" si="103"/>
        <v>0</v>
      </c>
      <c r="BK387" s="171">
        <f t="shared" ca="1" si="104"/>
        <v>0</v>
      </c>
      <c r="BL387" s="171">
        <f t="shared" ca="1" si="105"/>
        <v>0</v>
      </c>
      <c r="BM387" s="171">
        <f t="shared" ca="1" si="106"/>
        <v>0</v>
      </c>
      <c r="BN387" s="196"/>
      <c r="BO387" s="601" t="str">
        <f ca="1">IF(IFERROR(INDEX(Налоги!$K$26:$L$83,MATCH($F387&amp;"5komm",Налоги!$K$26:$K$83,0),2),"")=0,"",IFERROR(INDEX(Налоги!$K$26:$L$83,MATCH($F387&amp;"5komm",Налоги!$K$26:$K$83,0),2),""))</f>
        <v/>
      </c>
      <c r="BP387" s="196"/>
      <c r="BS387" s="696" t="s">
        <v>2106</v>
      </c>
    </row>
    <row r="388" spans="2:75" ht="14.25" customHeight="1" x14ac:dyDescent="0.15">
      <c r="B388" s="15"/>
      <c r="C388" s="25"/>
      <c r="D388" s="25"/>
      <c r="E388" s="451">
        <v>15</v>
      </c>
      <c r="F388" s="3" t="str" cm="1">
        <f t="array" aca="1" ref="F388" ca="1">OFFSET(E388,-1,1)</f>
        <v>2</v>
      </c>
      <c r="G388" s="611">
        <v>8</v>
      </c>
      <c r="H388" s="25"/>
      <c r="I388" s="25" t="s">
        <v>2107</v>
      </c>
      <c r="J388" s="25"/>
      <c r="K388" s="25" t="s">
        <v>2107</v>
      </c>
      <c r="L388" s="25"/>
      <c r="M388" s="25"/>
      <c r="N388" s="25"/>
      <c r="O388" s="25"/>
      <c r="P388" s="25"/>
      <c r="Q388" s="25"/>
      <c r="R388" s="25"/>
      <c r="S388" s="25"/>
      <c r="T388" s="353" t="b" cm="1">
        <f t="array" aca="1" ref="T388" ca="1">T387</f>
        <v>1</v>
      </c>
      <c r="U388" s="25"/>
      <c r="V388" s="25"/>
      <c r="X388" s="990"/>
      <c r="Z388" s="967"/>
      <c r="AB388" s="133" t="s">
        <v>2108</v>
      </c>
      <c r="AC388" s="134" t="s">
        <v>2109</v>
      </c>
      <c r="AD388" s="7" t="s">
        <v>828</v>
      </c>
      <c r="AE388" s="171">
        <f ca="1">SUMIFS(Налоги!AE$25:AE$83,Налоги!$F$25:$F$83,$F388,Налоги!$AB$25:$AB$83,$G388)</f>
        <v>0</v>
      </c>
      <c r="AF388" s="171">
        <f ca="1">SUMIFS(Налоги!AF$25:AF$83,Налоги!$F$25:$F$83,$F388,Налоги!$AB$25:$AB$83,$G388)</f>
        <v>0</v>
      </c>
      <c r="AG388" s="171">
        <f ca="1">SUMIFS(Налоги!AG$25:AG$83,Налоги!$F$25:$F$83,$F388,Налоги!$AB$25:$AB$83,$G388)</f>
        <v>0</v>
      </c>
      <c r="AH388" s="171">
        <f t="shared" ca="1" si="95"/>
        <v>0</v>
      </c>
      <c r="AI388" s="171">
        <f ca="1">SUMIFS(Налоги!AH$25:AH$83,Налоги!$F$25:$F$83,$F388,Налоги!$AB$25:$AB$83,$G388)</f>
        <v>0</v>
      </c>
      <c r="AJ388" s="171">
        <f ca="1">SUMIFS(Налоги!AI$25:AI$83,Налоги!$F$25:$F$83,$F388,Налоги!$AB$25:$AB$83,$G388)</f>
        <v>0</v>
      </c>
      <c r="AK388" s="171">
        <f ca="1">SUMIFS(Налоги!AJ$25:AJ$83,Налоги!$F$25:$F$83,$F388,Налоги!$AB$25:$AB$83,$G388)</f>
        <v>0</v>
      </c>
      <c r="AL388" s="171">
        <f ca="1">SUMIFS(Налоги!AK$25:AK$83,Налоги!$F$25:$F$83,$F388,Налоги!$AB$25:$AB$83,$G388)</f>
        <v>0</v>
      </c>
      <c r="AM388" s="171">
        <f ca="1">SUMIFS(Налоги!AL$25:AL$83,Налоги!$F$25:$F$83,$F388,Налоги!$AB$25:$AB$83,$G388)</f>
        <v>0</v>
      </c>
      <c r="AN388" s="171">
        <f ca="1">SUMIFS(Налоги!AM$25:AM$83,Налоги!$F$25:$F$83,$F388,Налоги!$AB$25:$AB$83,$G388)</f>
        <v>0</v>
      </c>
      <c r="AO388" s="171">
        <f ca="1">SUMIFS(Налоги!AN$25:AN$83,Налоги!$F$25:$F$83,$F388,Налоги!$AB$25:$AB$83,$G388)</f>
        <v>0</v>
      </c>
      <c r="AP388" s="171">
        <f ca="1">SUMIFS(Налоги!AO$25:AO$83,Налоги!$F$25:$F$83,$F388,Налоги!$AB$25:$AB$83,$G388)</f>
        <v>0</v>
      </c>
      <c r="AQ388" s="171">
        <f ca="1">SUMIFS(Налоги!AP$25:AP$83,Налоги!$F$25:$F$83,$F388,Налоги!$AB$25:$AB$83,$G388)</f>
        <v>0</v>
      </c>
      <c r="AR388" s="171">
        <f ca="1">SUMIFS(Налоги!AQ$25:AQ$83,Налоги!$F$25:$F$83,$F388,Налоги!$AB$25:$AB$83,$G388)</f>
        <v>0</v>
      </c>
      <c r="AS388" s="171">
        <f ca="1">SUMIFS(Налоги!AR$25:AR$83,Налоги!$F$25:$F$83,$F388,Налоги!$AB$25:$AB$83,$G388)</f>
        <v>0</v>
      </c>
      <c r="AT388" s="171">
        <f ca="1">SUMIFS(Налоги!AS$25:AS$83,Налоги!$F$25:$F$83,$F388,Налоги!$AB$25:$AB$83,$G388)</f>
        <v>0</v>
      </c>
      <c r="AU388" s="171">
        <f ca="1">SUMIFS(Налоги!AT$25:AT$83,Налоги!$F$25:$F$83,$F388,Налоги!$AB$25:$AB$83,$G388)</f>
        <v>0</v>
      </c>
      <c r="AV388" s="171">
        <f ca="1">SUMIFS(Налоги!AU$25:AU$83,Налоги!$F$25:$F$83,$F388,Налоги!$AB$25:$AB$83,$G388)</f>
        <v>0</v>
      </c>
      <c r="AW388" s="171">
        <f ca="1">SUMIFS(Налоги!AV$25:AV$83,Налоги!$F$25:$F$83,$F388,Налоги!$AB$25:$AB$83,$G388)</f>
        <v>0</v>
      </c>
      <c r="AX388" s="171">
        <f ca="1">SUMIFS(Налоги!AW$25:AW$83,Налоги!$F$25:$F$83,$F388,Налоги!$AB$25:$AB$83,$G388)</f>
        <v>0</v>
      </c>
      <c r="AY388" s="171">
        <f ca="1">SUMIFS(Налоги!AX$25:AX$83,Налоги!$F$25:$F$83,$F388,Налоги!$AB$25:$AB$83,$G388)</f>
        <v>0</v>
      </c>
      <c r="AZ388" s="171">
        <f ca="1">SUMIFS(Налоги!AY$25:AY$83,Налоги!$F$25:$F$83,$F388,Налоги!$AB$25:$AB$83,$G388)</f>
        <v>0</v>
      </c>
      <c r="BA388" s="171">
        <f ca="1">SUMIFS(Налоги!AZ$25:AZ$83,Налоги!$F$25:$F$83,$F388,Налоги!$AB$25:$AB$83,$G388)</f>
        <v>0</v>
      </c>
      <c r="BB388" s="171">
        <f ca="1">SUMIFS(Налоги!BA$25:BA$83,Налоги!$F$25:$F$83,$F388,Налоги!$AB$25:$AB$83,$G388)</f>
        <v>0</v>
      </c>
      <c r="BC388" s="171">
        <f ca="1">SUMIFS(Налоги!BB$25:BB$83,Налоги!$F$25:$F$83,$F388,Налоги!$AB$25:$AB$83,$G388)</f>
        <v>0</v>
      </c>
      <c r="BD388" s="171">
        <f t="shared" ca="1" si="97"/>
        <v>0</v>
      </c>
      <c r="BE388" s="171">
        <f t="shared" ca="1" si="98"/>
        <v>0</v>
      </c>
      <c r="BF388" s="171">
        <f t="shared" ca="1" si="99"/>
        <v>0</v>
      </c>
      <c r="BG388" s="171">
        <f t="shared" ca="1" si="100"/>
        <v>0</v>
      </c>
      <c r="BH388" s="171">
        <f t="shared" ca="1" si="101"/>
        <v>0</v>
      </c>
      <c r="BI388" s="171">
        <f t="shared" ca="1" si="102"/>
        <v>0</v>
      </c>
      <c r="BJ388" s="171">
        <f t="shared" ca="1" si="103"/>
        <v>0</v>
      </c>
      <c r="BK388" s="171">
        <f t="shared" ca="1" si="104"/>
        <v>0</v>
      </c>
      <c r="BL388" s="171">
        <f t="shared" ca="1" si="105"/>
        <v>0</v>
      </c>
      <c r="BM388" s="171">
        <f t="shared" ca="1" si="106"/>
        <v>0</v>
      </c>
      <c r="BN388" s="196"/>
      <c r="BO388" s="601" t="str">
        <f ca="1">IF(IFERROR(INDEX(Налоги!$K$26:$L$83,MATCH($F388&amp;"8komm",Налоги!$K$26:$K$83,0),2),"")=0,"",IFERROR(INDEX(Налоги!$K$26:$L$83,MATCH($F388&amp;"8komm",Налоги!$K$26:$K$83,0),2),""))</f>
        <v/>
      </c>
      <c r="BP388" s="196"/>
      <c r="BS388" s="696" t="s">
        <v>1293</v>
      </c>
    </row>
    <row r="389" spans="2:75" s="376" customFormat="1" ht="14.25" customHeight="1" x14ac:dyDescent="0.15">
      <c r="B389" s="15"/>
      <c r="C389" s="25"/>
      <c r="D389" s="25"/>
      <c r="E389" s="451">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X389" s="990"/>
      <c r="Z389" s="967"/>
      <c r="AB389" s="133" t="s">
        <v>2110</v>
      </c>
      <c r="AC389" s="549" t="s">
        <v>2111</v>
      </c>
      <c r="AD389" s="7" t="s">
        <v>828</v>
      </c>
      <c r="AE389" s="171">
        <f ca="1">SUMIFS(Налоги!AE$25:AE$83,Налоги!$F$25:$F$83,$F389,Налоги!$AB$25:$AB$83,$G389)</f>
        <v>0</v>
      </c>
      <c r="AF389" s="171">
        <f ca="1">SUMIFS(Налоги!AF$25:AF$83,Налоги!$F$25:$F$83,$F389,Налоги!$AB$25:$AB$83,$G389)</f>
        <v>0</v>
      </c>
      <c r="AG389" s="171">
        <f ca="1">SUMIFS(Налоги!AG$25:AG$83,Налоги!$F$25:$F$83,$F389,Налоги!$AB$25:$AB$83,$G389)</f>
        <v>0</v>
      </c>
      <c r="AH389" s="171">
        <f t="shared" ca="1" si="95"/>
        <v>0</v>
      </c>
      <c r="AI389" s="171">
        <f ca="1">SUMIFS(Налоги!AH$25:AH$83,Налоги!$F$25:$F$83,$F389,Налоги!$AB$25:$AB$83,$G389)</f>
        <v>0</v>
      </c>
      <c r="AJ389" s="171">
        <f ca="1">SUMIFS(Налоги!AI$25:AI$83,Налоги!$F$25:$F$83,$F389,Налоги!$AB$25:$AB$83,$G389)</f>
        <v>0</v>
      </c>
      <c r="AK389" s="171">
        <f ca="1">SUMIFS(Налоги!AJ$25:AJ$83,Налоги!$F$25:$F$83,$F389,Налоги!$AB$25:$AB$83,$G389)</f>
        <v>0</v>
      </c>
      <c r="AL389" s="171">
        <f ca="1">SUMIFS(Налоги!AK$25:AK$83,Налоги!$F$25:$F$83,$F389,Налоги!$AB$25:$AB$83,$G389)</f>
        <v>0</v>
      </c>
      <c r="AM389" s="171">
        <f ca="1">SUMIFS(Налоги!AL$25:AL$83,Налоги!$F$25:$F$83,$F389,Налоги!$AB$25:$AB$83,$G389)</f>
        <v>0</v>
      </c>
      <c r="AN389" s="171">
        <f ca="1">SUMIFS(Налоги!AM$25:AM$83,Налоги!$F$25:$F$83,$F389,Налоги!$AB$25:$AB$83,$G389)</f>
        <v>0</v>
      </c>
      <c r="AO389" s="171">
        <f ca="1">SUMIFS(Налоги!AN$25:AN$83,Налоги!$F$25:$F$83,$F389,Налоги!$AB$25:$AB$83,$G389)</f>
        <v>0</v>
      </c>
      <c r="AP389" s="171">
        <f ca="1">SUMIFS(Налоги!AO$25:AO$83,Налоги!$F$25:$F$83,$F389,Налоги!$AB$25:$AB$83,$G389)</f>
        <v>0</v>
      </c>
      <c r="AQ389" s="171">
        <f ca="1">SUMIFS(Налоги!AP$25:AP$83,Налоги!$F$25:$F$83,$F389,Налоги!$AB$25:$AB$83,$G389)</f>
        <v>0</v>
      </c>
      <c r="AR389" s="171">
        <f ca="1">SUMIFS(Налоги!AQ$25:AQ$83,Налоги!$F$25:$F$83,$F389,Налоги!$AB$25:$AB$83,$G389)</f>
        <v>0</v>
      </c>
      <c r="AS389" s="171">
        <f ca="1">SUMIFS(Налоги!AR$25:AR$83,Налоги!$F$25:$F$83,$F389,Налоги!$AB$25:$AB$83,$G389)</f>
        <v>0</v>
      </c>
      <c r="AT389" s="171">
        <f ca="1">SUMIFS(Налоги!AS$25:AS$83,Налоги!$F$25:$F$83,$F389,Налоги!$AB$25:$AB$83,$G389)</f>
        <v>0</v>
      </c>
      <c r="AU389" s="171">
        <f ca="1">SUMIFS(Налоги!AT$25:AT$83,Налоги!$F$25:$F$83,$F389,Налоги!$AB$25:$AB$83,$G389)</f>
        <v>0</v>
      </c>
      <c r="AV389" s="171">
        <f ca="1">SUMIFS(Налоги!AU$25:AU$83,Налоги!$F$25:$F$83,$F389,Налоги!$AB$25:$AB$83,$G389)</f>
        <v>0</v>
      </c>
      <c r="AW389" s="171">
        <f ca="1">SUMIFS(Налоги!AV$25:AV$83,Налоги!$F$25:$F$83,$F389,Налоги!$AB$25:$AB$83,$G389)</f>
        <v>0</v>
      </c>
      <c r="AX389" s="171">
        <f ca="1">SUMIFS(Налоги!AW$25:AW$83,Налоги!$F$25:$F$83,$F389,Налоги!$AB$25:$AB$83,$G389)</f>
        <v>0</v>
      </c>
      <c r="AY389" s="171">
        <f ca="1">SUMIFS(Налоги!AX$25:AX$83,Налоги!$F$25:$F$83,$F389,Налоги!$AB$25:$AB$83,$G389)</f>
        <v>0</v>
      </c>
      <c r="AZ389" s="171">
        <f ca="1">SUMIFS(Налоги!AY$25:AY$83,Налоги!$F$25:$F$83,$F389,Налоги!$AB$25:$AB$83,$G389)</f>
        <v>0</v>
      </c>
      <c r="BA389" s="171">
        <f ca="1">SUMIFS(Налоги!AZ$25:AZ$83,Налоги!$F$25:$F$83,$F389,Налоги!$AB$25:$AB$83,$G389)</f>
        <v>0</v>
      </c>
      <c r="BB389" s="171">
        <f ca="1">SUMIFS(Налоги!BA$25:BA$83,Налоги!$F$25:$F$83,$F389,Налоги!$AB$25:$AB$83,$G389)</f>
        <v>0</v>
      </c>
      <c r="BC389" s="171">
        <f ca="1">SUMIFS(Налоги!BB$25:BB$83,Налоги!$F$25:$F$83,$F389,Налоги!$AB$25:$AB$83,$G389)</f>
        <v>0</v>
      </c>
      <c r="BD389" s="171">
        <f t="shared" ca="1" si="97"/>
        <v>0</v>
      </c>
      <c r="BE389" s="171">
        <f t="shared" ca="1" si="98"/>
        <v>0</v>
      </c>
      <c r="BF389" s="171">
        <f t="shared" ca="1" si="99"/>
        <v>0</v>
      </c>
      <c r="BG389" s="171">
        <f t="shared" ca="1" si="100"/>
        <v>0</v>
      </c>
      <c r="BH389" s="171">
        <f t="shared" ca="1" si="101"/>
        <v>0</v>
      </c>
      <c r="BI389" s="171">
        <f t="shared" ca="1" si="102"/>
        <v>0</v>
      </c>
      <c r="BJ389" s="171">
        <f t="shared" ca="1" si="103"/>
        <v>0</v>
      </c>
      <c r="BK389" s="171">
        <f t="shared" ca="1" si="104"/>
        <v>0</v>
      </c>
      <c r="BL389" s="171">
        <f t="shared" ca="1" si="105"/>
        <v>0</v>
      </c>
      <c r="BM389" s="171">
        <f t="shared" ca="1" si="106"/>
        <v>0</v>
      </c>
      <c r="BN389" s="196"/>
      <c r="BO389" s="601" t="str">
        <f ca="1">IF(IFERROR(INDEX(Налоги!$K$26:$L$83,MATCH($F389&amp;"9komm",Налоги!$K$26:$K$83,0),2),"")=0,"",IFERROR(INDEX(Налоги!$K$26:$L$83,MATCH($F389&amp;"9komm",Налоги!$K$26:$K$83,0),2),""))</f>
        <v/>
      </c>
      <c r="BP389" s="196"/>
      <c r="BS389" s="703" t="s">
        <v>2112</v>
      </c>
      <c r="BT389" s="703"/>
      <c r="BU389" s="703"/>
      <c r="BV389" s="704"/>
      <c r="BW389" s="704"/>
    </row>
    <row r="390" spans="2:75" ht="14.25" customHeight="1" x14ac:dyDescent="0.15">
      <c r="B390" s="15"/>
      <c r="C390" s="25"/>
      <c r="D390" s="25"/>
      <c r="E390" s="451">
        <v>15</v>
      </c>
      <c r="F390" s="3" t="str" cm="1">
        <f t="array" aca="1" ref="F390" ca="1">OFFSET(E390,-1,1)</f>
        <v>2</v>
      </c>
      <c r="G390" s="611">
        <v>10</v>
      </c>
      <c r="H390" s="25"/>
      <c r="I390" s="25" t="s">
        <v>2113</v>
      </c>
      <c r="J390" s="25"/>
      <c r="K390" s="25" t="s">
        <v>2113</v>
      </c>
      <c r="L390" s="25"/>
      <c r="M390" s="25"/>
      <c r="N390" s="25"/>
      <c r="O390" s="25"/>
      <c r="P390" s="25"/>
      <c r="Q390" s="25"/>
      <c r="R390" s="25"/>
      <c r="S390" s="25"/>
      <c r="T390" s="353" t="b" cm="1">
        <f t="array" aca="1" ref="T390" ca="1">T389</f>
        <v>1</v>
      </c>
      <c r="U390" s="25"/>
      <c r="V390" s="25"/>
      <c r="X390" s="990"/>
      <c r="Z390" s="967"/>
      <c r="AB390" s="133" t="s">
        <v>2114</v>
      </c>
      <c r="AC390" s="549" t="s">
        <v>2115</v>
      </c>
      <c r="AD390" s="7" t="s">
        <v>828</v>
      </c>
      <c r="AE390" s="171">
        <f ca="1">SUMIFS(Налоги!AE$25:AE$83,Налоги!$F$25:$F$83,$F390,Налоги!$AB$25:$AB$83,$G390)</f>
        <v>0</v>
      </c>
      <c r="AF390" s="171">
        <f ca="1">SUMIFS(Налоги!AF$25:AF$83,Налоги!$F$25:$F$83,$F390,Налоги!$AB$25:$AB$83,$G390)</f>
        <v>0</v>
      </c>
      <c r="AG390" s="171">
        <f ca="1">SUMIFS(Налоги!AG$25:AG$83,Налоги!$F$25:$F$83,$F390,Налоги!$AB$25:$AB$83,$G390)</f>
        <v>0</v>
      </c>
      <c r="AH390" s="171">
        <f t="shared" ca="1" si="95"/>
        <v>0</v>
      </c>
      <c r="AI390" s="171">
        <f ca="1">SUMIFS(Налоги!AH$25:AH$83,Налоги!$F$25:$F$83,$F390,Налоги!$AB$25:$AB$83,$G390)</f>
        <v>0</v>
      </c>
      <c r="AJ390" s="171">
        <f ca="1">SUMIFS(Налоги!AI$25:AI$83,Налоги!$F$25:$F$83,$F390,Налоги!$AB$25:$AB$83,$G390)</f>
        <v>0</v>
      </c>
      <c r="AK390" s="171">
        <f ca="1">SUMIFS(Налоги!AJ$25:AJ$83,Налоги!$F$25:$F$83,$F390,Налоги!$AB$25:$AB$83,$G390)</f>
        <v>0</v>
      </c>
      <c r="AL390" s="171">
        <f ca="1">SUMIFS(Налоги!AK$25:AK$83,Налоги!$F$25:$F$83,$F390,Налоги!$AB$25:$AB$83,$G390)</f>
        <v>0</v>
      </c>
      <c r="AM390" s="171">
        <f ca="1">SUMIFS(Налоги!AL$25:AL$83,Налоги!$F$25:$F$83,$F390,Налоги!$AB$25:$AB$83,$G390)</f>
        <v>0</v>
      </c>
      <c r="AN390" s="171">
        <f ca="1">SUMIFS(Налоги!AM$25:AM$83,Налоги!$F$25:$F$83,$F390,Налоги!$AB$25:$AB$83,$G390)</f>
        <v>0</v>
      </c>
      <c r="AO390" s="171">
        <f ca="1">SUMIFS(Налоги!AN$25:AN$83,Налоги!$F$25:$F$83,$F390,Налоги!$AB$25:$AB$83,$G390)</f>
        <v>0</v>
      </c>
      <c r="AP390" s="171">
        <f ca="1">SUMIFS(Налоги!AO$25:AO$83,Налоги!$F$25:$F$83,$F390,Налоги!$AB$25:$AB$83,$G390)</f>
        <v>0</v>
      </c>
      <c r="AQ390" s="171">
        <f ca="1">SUMIFS(Налоги!AP$25:AP$83,Налоги!$F$25:$F$83,$F390,Налоги!$AB$25:$AB$83,$G390)</f>
        <v>0</v>
      </c>
      <c r="AR390" s="171">
        <f ca="1">SUMIFS(Налоги!AQ$25:AQ$83,Налоги!$F$25:$F$83,$F390,Налоги!$AB$25:$AB$83,$G390)</f>
        <v>0</v>
      </c>
      <c r="AS390" s="171">
        <f ca="1">SUMIFS(Налоги!AR$25:AR$83,Налоги!$F$25:$F$83,$F390,Налоги!$AB$25:$AB$83,$G390)</f>
        <v>0</v>
      </c>
      <c r="AT390" s="171">
        <f ca="1">SUMIFS(Налоги!AS$25:AS$83,Налоги!$F$25:$F$83,$F390,Налоги!$AB$25:$AB$83,$G390)</f>
        <v>0</v>
      </c>
      <c r="AU390" s="171">
        <f ca="1">SUMIFS(Налоги!AT$25:AT$83,Налоги!$F$25:$F$83,$F390,Налоги!$AB$25:$AB$83,$G390)</f>
        <v>0</v>
      </c>
      <c r="AV390" s="171">
        <f ca="1">SUMIFS(Налоги!AU$25:AU$83,Налоги!$F$25:$F$83,$F390,Налоги!$AB$25:$AB$83,$G390)</f>
        <v>0</v>
      </c>
      <c r="AW390" s="171">
        <f ca="1">SUMIFS(Налоги!AV$25:AV$83,Налоги!$F$25:$F$83,$F390,Налоги!$AB$25:$AB$83,$G390)</f>
        <v>0</v>
      </c>
      <c r="AX390" s="171">
        <f ca="1">SUMIFS(Налоги!AW$25:AW$83,Налоги!$F$25:$F$83,$F390,Налоги!$AB$25:$AB$83,$G390)</f>
        <v>0</v>
      </c>
      <c r="AY390" s="171">
        <f ca="1">SUMIFS(Налоги!AX$25:AX$83,Налоги!$F$25:$F$83,$F390,Налоги!$AB$25:$AB$83,$G390)</f>
        <v>0</v>
      </c>
      <c r="AZ390" s="171">
        <f ca="1">SUMIFS(Налоги!AY$25:AY$83,Налоги!$F$25:$F$83,$F390,Налоги!$AB$25:$AB$83,$G390)</f>
        <v>0</v>
      </c>
      <c r="BA390" s="171">
        <f ca="1">SUMIFS(Налоги!AZ$25:AZ$83,Налоги!$F$25:$F$83,$F390,Налоги!$AB$25:$AB$83,$G390)</f>
        <v>0</v>
      </c>
      <c r="BB390" s="171">
        <f ca="1">SUMIFS(Налоги!BA$25:BA$83,Налоги!$F$25:$F$83,$F390,Налоги!$AB$25:$AB$83,$G390)</f>
        <v>0</v>
      </c>
      <c r="BC390" s="171">
        <f ca="1">SUMIFS(Налоги!BB$25:BB$83,Налоги!$F$25:$F$83,$F390,Налоги!$AB$25:$AB$83,$G390)</f>
        <v>0</v>
      </c>
      <c r="BD390" s="171">
        <f t="shared" ca="1" si="97"/>
        <v>0</v>
      </c>
      <c r="BE390" s="171">
        <f t="shared" ca="1" si="98"/>
        <v>0</v>
      </c>
      <c r="BF390" s="171">
        <f t="shared" ca="1" si="99"/>
        <v>0</v>
      </c>
      <c r="BG390" s="171">
        <f t="shared" ca="1" si="100"/>
        <v>0</v>
      </c>
      <c r="BH390" s="171">
        <f t="shared" ca="1" si="101"/>
        <v>0</v>
      </c>
      <c r="BI390" s="171">
        <f t="shared" ca="1" si="102"/>
        <v>0</v>
      </c>
      <c r="BJ390" s="171">
        <f t="shared" ca="1" si="103"/>
        <v>0</v>
      </c>
      <c r="BK390" s="171">
        <f t="shared" ca="1" si="104"/>
        <v>0</v>
      </c>
      <c r="BL390" s="171">
        <f t="shared" ca="1" si="105"/>
        <v>0</v>
      </c>
      <c r="BM390" s="171">
        <f t="shared" ca="1" si="106"/>
        <v>0</v>
      </c>
      <c r="BN390" s="196"/>
      <c r="BO390" s="601" t="str">
        <f ca="1">IF(IFERROR(INDEX(Налоги!$K$26:$L$83,MATCH($F390&amp;"10komm",Налоги!$K$26:$K$83,0),2),"")=0,"",IFERROR(INDEX(Налоги!$K$26:$L$83,MATCH($F390&amp;"10komm",Налоги!$K$26:$K$83,0),2),""))</f>
        <v/>
      </c>
      <c r="BP390" s="196"/>
      <c r="BS390" s="696" t="s">
        <v>2116</v>
      </c>
    </row>
    <row r="391" spans="2:75" ht="65.25" customHeight="1" x14ac:dyDescent="0.15">
      <c r="E391" s="507">
        <v>67.5</v>
      </c>
      <c r="F391" s="3" t="str" cm="1">
        <f t="array" aca="1" ref="F391" ca="1">OFFSET(E391,-1,1)</f>
        <v>2</v>
      </c>
      <c r="G391" s="72" t="s">
        <v>1453</v>
      </c>
      <c r="I391" s="72" t="s">
        <v>961</v>
      </c>
      <c r="K391" s="72" t="s">
        <v>961</v>
      </c>
      <c r="L391" s="25"/>
      <c r="M391" s="25"/>
      <c r="T391" s="353" t="b" cm="1">
        <f t="array" aca="1" ref="T391" ca="1">T390</f>
        <v>1</v>
      </c>
      <c r="X391" s="990"/>
      <c r="Z391" s="967"/>
      <c r="AB391" s="133" t="s">
        <v>962</v>
      </c>
      <c r="AC391" s="550" t="s">
        <v>1456</v>
      </c>
      <c r="AD391" s="7" t="s">
        <v>828</v>
      </c>
      <c r="AE391" s="141"/>
      <c r="AF391" s="141"/>
      <c r="AG391" s="141"/>
      <c r="AH391" s="171">
        <f t="shared" si="95"/>
        <v>0</v>
      </c>
      <c r="AI391" s="141"/>
      <c r="AJ391" s="141"/>
      <c r="AK391" s="781"/>
      <c r="AL391" s="781"/>
      <c r="AM391" s="141"/>
      <c r="AN391" s="141"/>
      <c r="AO391" s="141"/>
      <c r="AP391" s="141"/>
      <c r="AQ391" s="141"/>
      <c r="AR391" s="141"/>
      <c r="AS391" s="141"/>
      <c r="AT391" s="141"/>
      <c r="AU391" s="781"/>
      <c r="AV391" s="781"/>
      <c r="AW391" s="141"/>
      <c r="AX391" s="141"/>
      <c r="AY391" s="141"/>
      <c r="AZ391" s="141"/>
      <c r="BA391" s="141"/>
      <c r="BB391" s="141"/>
      <c r="BC391" s="141"/>
      <c r="BD391" s="171">
        <f t="shared" si="97"/>
        <v>0</v>
      </c>
      <c r="BE391" s="171">
        <f t="shared" si="98"/>
        <v>0</v>
      </c>
      <c r="BF391" s="171">
        <f t="shared" si="99"/>
        <v>0</v>
      </c>
      <c r="BG391" s="171">
        <f t="shared" si="100"/>
        <v>0</v>
      </c>
      <c r="BH391" s="171">
        <f t="shared" si="101"/>
        <v>0</v>
      </c>
      <c r="BI391" s="171">
        <f t="shared" si="102"/>
        <v>0</v>
      </c>
      <c r="BJ391" s="171">
        <f t="shared" si="103"/>
        <v>0</v>
      </c>
      <c r="BK391" s="171">
        <f t="shared" si="104"/>
        <v>0</v>
      </c>
      <c r="BL391" s="171">
        <f t="shared" si="105"/>
        <v>0</v>
      </c>
      <c r="BM391" s="171">
        <f t="shared" si="106"/>
        <v>0</v>
      </c>
      <c r="BN391" s="196"/>
      <c r="BO391" s="196"/>
      <c r="BP391" s="196"/>
      <c r="BS391" s="696" t="s">
        <v>2117</v>
      </c>
    </row>
    <row r="392" spans="2:75" ht="14.25" customHeight="1" x14ac:dyDescent="0.15">
      <c r="E392" s="507">
        <v>15</v>
      </c>
      <c r="F392" s="3" t="str" cm="1">
        <f t="array" aca="1" ref="F392" ca="1">OFFSET(E392,-1,1)</f>
        <v>2</v>
      </c>
      <c r="G392" s="72" t="s">
        <v>1065</v>
      </c>
      <c r="I392" s="72" t="s">
        <v>964</v>
      </c>
      <c r="K392" s="72" t="s">
        <v>964</v>
      </c>
      <c r="L392" s="25" t="s">
        <v>532</v>
      </c>
      <c r="M392" s="25"/>
      <c r="T392" s="353" t="b" cm="1">
        <f t="array" aca="1" ref="T392" ca="1">T391</f>
        <v>1</v>
      </c>
      <c r="X392" s="990"/>
      <c r="Z392" s="967"/>
      <c r="AB392" s="133" t="s">
        <v>965</v>
      </c>
      <c r="AC392" s="127" t="s">
        <v>1065</v>
      </c>
      <c r="AD392" s="7" t="s">
        <v>828</v>
      </c>
      <c r="AE392" s="171">
        <f ca="1">SUMIFS(Аренда!AE$25:AE$67,Аренда!$F$25:$F$67,$F392,Аренда!$G$25:$G$67,"Арендная и концессионная плата, лизинговые платежи")</f>
        <v>0</v>
      </c>
      <c r="AF392" s="171">
        <f ca="1">SUMIFS(Аренда!AF$25:AF$67,Аренда!$F$25:$F$67,$F392,Аренда!$G$25:$G$67,"Арендная и концессионная плата, лизинговые платежи")</f>
        <v>0</v>
      </c>
      <c r="AG392" s="171">
        <f ca="1">SUMIFS(Аренда!AG$25:AG$67,Аренда!$F$25:$F$67,$F392,Аренда!$G$25:$G$67,"Арендная и концессионная плата, лизинговые платежи")</f>
        <v>0</v>
      </c>
      <c r="AH392" s="171">
        <f t="shared" ca="1" si="95"/>
        <v>0</v>
      </c>
      <c r="AI392" s="171">
        <f ca="1">SUMIFS(Аренда!AH$25:AH$67,Аренда!$F$25:$F$67,$F392,Аренда!$G$25:$G$67,"Арендная и концессионная плата, лизинговые платежи")</f>
        <v>0</v>
      </c>
      <c r="AJ392" s="171">
        <f ca="1">SUMIFS(Аренда!AI$25:AI$67,Аренда!$F$25:$F$67,$F392,Аренда!$G$25:$G$67,"Арендная и концессионная плата, лизинговые платежи")</f>
        <v>0</v>
      </c>
      <c r="AK392" s="171">
        <f ca="1">SUMIFS(Аренда!AJ$25:AJ$67,Аренда!$F$25:$F$67,$F392,Аренда!$G$25:$G$67,"Арендная и концессионная плата, лизинговые платежи")</f>
        <v>0</v>
      </c>
      <c r="AL392" s="171">
        <f ca="1">SUMIFS(Аренда!AK$25:AK$67,Аренда!$F$25:$F$67,$F392,Аренда!$G$25:$G$67,"Арендная и концессионная плата, лизинговые платежи")</f>
        <v>0</v>
      </c>
      <c r="AM392" s="171">
        <f ca="1">SUMIFS(Аренда!AL$25:AL$67,Аренда!$F$25:$F$67,$F392,Аренда!$G$25:$G$67,"Арендная и концессионная плата, лизинговые платежи")</f>
        <v>0</v>
      </c>
      <c r="AN392" s="171">
        <f ca="1">SUMIFS(Аренда!AM$25:AM$67,Аренда!$F$25:$F$67,$F392,Аренда!$G$25:$G$67,"Арендная и концессионная плата, лизинговые платежи")</f>
        <v>0</v>
      </c>
      <c r="AO392" s="171">
        <f ca="1">SUMIFS(Аренда!AN$25:AN$67,Аренда!$F$25:$F$67,$F392,Аренда!$G$25:$G$67,"Арендная и концессионная плата, лизинговые платежи")</f>
        <v>0</v>
      </c>
      <c r="AP392" s="171">
        <f ca="1">SUMIFS(Аренда!AO$25:AO$67,Аренда!$F$25:$F$67,$F392,Аренда!$G$25:$G$67,"Арендная и концессионная плата, лизинговые платежи")</f>
        <v>0</v>
      </c>
      <c r="AQ392" s="171">
        <f ca="1">SUMIFS(Аренда!AP$25:AP$67,Аренда!$F$25:$F$67,$F392,Аренда!$G$25:$G$67,"Арендная и концессионная плата, лизинговые платежи")</f>
        <v>0</v>
      </c>
      <c r="AR392" s="171">
        <f ca="1">SUMIFS(Аренда!AQ$25:AQ$67,Аренда!$F$25:$F$67,$F392,Аренда!$G$25:$G$67,"Арендная и концессионная плата, лизинговые платежи")</f>
        <v>0</v>
      </c>
      <c r="AS392" s="171">
        <f ca="1">SUMIFS(Аренда!AR$25:AR$67,Аренда!$F$25:$F$67,$F392,Аренда!$G$25:$G$67,"Арендная и концессионная плата, лизинговые платежи")</f>
        <v>0</v>
      </c>
      <c r="AT392" s="171">
        <f ca="1">SUMIFS(Аренда!AS$25:AS$67,Аренда!$F$25:$F$67,$F392,Аренда!$G$25:$G$67,"Арендная и концессионная плата, лизинговые платежи")</f>
        <v>0</v>
      </c>
      <c r="AU392" s="171">
        <f ca="1">SUMIFS(Аренда!AT$25:AT$67,Аренда!$F$25:$F$67,$F392,Аренда!$G$25:$G$67,"Арендная и концессионная плата, лизинговые платежи")</f>
        <v>0</v>
      </c>
      <c r="AV392" s="171">
        <f ca="1">SUMIFS(Аренда!AU$25:AU$67,Аренда!$F$25:$F$67,$F392,Аренда!$G$25:$G$67,"Арендная и концессионная плата, лизинговые платежи")</f>
        <v>0</v>
      </c>
      <c r="AW392" s="171">
        <f ca="1">SUMIFS(Аренда!AV$25:AV$67,Аренда!$F$25:$F$67,$F392,Аренда!$G$25:$G$67,"Арендная и концессионная плата, лизинговые платежи")</f>
        <v>0</v>
      </c>
      <c r="AX392" s="171">
        <f ca="1">SUMIFS(Аренда!AW$25:AW$67,Аренда!$F$25:$F$67,$F392,Аренда!$G$25:$G$67,"Арендная и концессионная плата, лизинговые платежи")</f>
        <v>0</v>
      </c>
      <c r="AY392" s="171">
        <f ca="1">SUMIFS(Аренда!AX$25:AX$67,Аренда!$F$25:$F$67,$F392,Аренда!$G$25:$G$67,"Арендная и концессионная плата, лизинговые платежи")</f>
        <v>0</v>
      </c>
      <c r="AZ392" s="171">
        <f ca="1">SUMIFS(Аренда!AY$25:AY$67,Аренда!$F$25:$F$67,$F392,Аренда!$G$25:$G$67,"Арендная и концессионная плата, лизинговые платежи")</f>
        <v>0</v>
      </c>
      <c r="BA392" s="171">
        <f ca="1">SUMIFS(Аренда!AZ$25:AZ$67,Аренда!$F$25:$F$67,$F392,Аренда!$G$25:$G$67,"Арендная и концессионная плата, лизинговые платежи")</f>
        <v>0</v>
      </c>
      <c r="BB392" s="171">
        <f ca="1">SUMIFS(Аренда!BA$25:BA$67,Аренда!$F$25:$F$67,$F392,Аренда!$G$25:$G$67,"Арендная и концессионная плата, лизинговые платежи")</f>
        <v>0</v>
      </c>
      <c r="BC392" s="171">
        <f ca="1">SUMIFS(Аренда!BB$25:BB$67,Аренда!$F$25:$F$67,$F392,Аренда!$G$25:$G$67,"Арендная и концессионная плата, лизинговые платежи")</f>
        <v>0</v>
      </c>
      <c r="BD392" s="171">
        <f t="shared" ca="1" si="97"/>
        <v>0</v>
      </c>
      <c r="BE392" s="171">
        <f t="shared" ca="1" si="98"/>
        <v>0</v>
      </c>
      <c r="BF392" s="171">
        <f t="shared" ca="1" si="99"/>
        <v>0</v>
      </c>
      <c r="BG392" s="171">
        <f t="shared" ca="1" si="100"/>
        <v>0</v>
      </c>
      <c r="BH392" s="171">
        <f t="shared" ca="1" si="101"/>
        <v>0</v>
      </c>
      <c r="BI392" s="171">
        <f t="shared" ca="1" si="102"/>
        <v>0</v>
      </c>
      <c r="BJ392" s="171">
        <f t="shared" ca="1" si="103"/>
        <v>0</v>
      </c>
      <c r="BK392" s="171">
        <f t="shared" ca="1" si="104"/>
        <v>0</v>
      </c>
      <c r="BL392" s="171">
        <f t="shared" ca="1" si="105"/>
        <v>0</v>
      </c>
      <c r="BM392" s="171">
        <f t="shared" ca="1" si="106"/>
        <v>0</v>
      </c>
      <c r="BN392" s="196"/>
      <c r="BO392" s="601" t="str">
        <f ca="1">IF(IFERROR(INDEX(Аренда!$K$26:$L$67,MATCH($F392&amp;"komm",Аренда!$K$26:$K$67,0),2),"")=0,"",IFERROR(INDEX(Аренда!$K$26:$L$67,MATCH($F392&amp;"komm",Аренда!$K$26:$K$67,0),2),""))</f>
        <v/>
      </c>
      <c r="BP392" s="196"/>
      <c r="BS392" s="696" t="s">
        <v>2118</v>
      </c>
    </row>
    <row r="393" spans="2:75" ht="14.25" hidden="1" customHeight="1" x14ac:dyDescent="0.15">
      <c r="B393" s="329" t="b">
        <f>STATUS_GO="да"</f>
        <v>0</v>
      </c>
      <c r="E393" s="507">
        <v>15</v>
      </c>
      <c r="F393" s="3" t="str" cm="1">
        <f t="array" aca="1" ref="F393" ca="1">OFFSET(E393,-1,1)</f>
        <v>2</v>
      </c>
      <c r="I393" s="72" t="s">
        <v>2119</v>
      </c>
      <c r="K393" s="72" t="s">
        <v>2119</v>
      </c>
      <c r="L393" s="25"/>
      <c r="M393" s="25"/>
      <c r="T393" s="353" t="b" cm="1">
        <f t="array" aca="1" ref="T393" ca="1">T392</f>
        <v>1</v>
      </c>
      <c r="X393" s="990"/>
      <c r="Z393" s="967"/>
      <c r="AB393" s="133" t="s">
        <v>1520</v>
      </c>
      <c r="AC393" s="127" t="s">
        <v>2120</v>
      </c>
      <c r="AD393" s="7" t="s">
        <v>828</v>
      </c>
      <c r="AE393" s="778"/>
      <c r="AF393" s="778"/>
      <c r="AG393" s="778"/>
      <c r="AH393" s="171">
        <f t="shared" si="95"/>
        <v>0</v>
      </c>
      <c r="AI393" s="778"/>
      <c r="AJ393" s="128"/>
      <c r="AK393" s="778"/>
      <c r="AL393" s="778"/>
      <c r="AM393" s="778"/>
      <c r="AN393" s="778"/>
      <c r="AO393" s="778"/>
      <c r="AP393" s="778"/>
      <c r="AQ393" s="778"/>
      <c r="AR393" s="778"/>
      <c r="AS393" s="778"/>
      <c r="AT393" s="128"/>
      <c r="AU393" s="778"/>
      <c r="AV393" s="778"/>
      <c r="AW393" s="778"/>
      <c r="AX393" s="778"/>
      <c r="AY393" s="778"/>
      <c r="AZ393" s="778"/>
      <c r="BA393" s="778"/>
      <c r="BB393" s="778"/>
      <c r="BC393" s="778"/>
      <c r="BD393" s="171">
        <f t="shared" si="97"/>
        <v>0</v>
      </c>
      <c r="BE393" s="171">
        <f t="shared" si="98"/>
        <v>0</v>
      </c>
      <c r="BF393" s="171">
        <f t="shared" si="99"/>
        <v>0</v>
      </c>
      <c r="BG393" s="171">
        <f t="shared" si="100"/>
        <v>0</v>
      </c>
      <c r="BH393" s="171">
        <f t="shared" si="101"/>
        <v>0</v>
      </c>
      <c r="BI393" s="171">
        <f t="shared" si="102"/>
        <v>0</v>
      </c>
      <c r="BJ393" s="171">
        <f t="shared" si="103"/>
        <v>0</v>
      </c>
      <c r="BK393" s="171">
        <f t="shared" si="104"/>
        <v>0</v>
      </c>
      <c r="BL393" s="171">
        <f t="shared" si="105"/>
        <v>0</v>
      </c>
      <c r="BM393" s="171">
        <f t="shared" si="106"/>
        <v>0</v>
      </c>
      <c r="BN393" s="775"/>
      <c r="BO393" s="775"/>
      <c r="BP393" s="775"/>
      <c r="BS393" s="696" t="s">
        <v>2121</v>
      </c>
    </row>
    <row r="394" spans="2:75" ht="14.25" hidden="1" customHeight="1" x14ac:dyDescent="0.15">
      <c r="B394" s="329" t="b">
        <f>STATUS_GO="да"</f>
        <v>0</v>
      </c>
      <c r="E394" s="507">
        <v>15</v>
      </c>
      <c r="F394" s="3" t="str" cm="1">
        <f t="array" aca="1" ref="F394" ca="1">OFFSET(E394,-1,1)</f>
        <v>2</v>
      </c>
      <c r="G394" s="72" t="s">
        <v>1462</v>
      </c>
      <c r="I394" s="72" t="s">
        <v>2122</v>
      </c>
      <c r="K394" s="72" t="s">
        <v>2122</v>
      </c>
      <c r="L394" s="25"/>
      <c r="M394" s="25"/>
      <c r="T394" s="353" t="b" cm="1">
        <f t="array" aca="1" ref="T394" ca="1">T393</f>
        <v>1</v>
      </c>
      <c r="X394" s="990"/>
      <c r="Z394" s="967"/>
      <c r="AB394" s="133" t="s">
        <v>2123</v>
      </c>
      <c r="AC394" s="134" t="s">
        <v>1462</v>
      </c>
      <c r="AD394" s="7" t="s">
        <v>828</v>
      </c>
      <c r="AE394" s="778"/>
      <c r="AF394" s="778"/>
      <c r="AG394" s="778"/>
      <c r="AH394" s="171">
        <f t="shared" si="95"/>
        <v>0</v>
      </c>
      <c r="AI394" s="778"/>
      <c r="AJ394" s="128"/>
      <c r="AK394" s="778"/>
      <c r="AL394" s="778"/>
      <c r="AM394" s="778"/>
      <c r="AN394" s="778"/>
      <c r="AO394" s="778"/>
      <c r="AP394" s="778"/>
      <c r="AQ394" s="778"/>
      <c r="AR394" s="778"/>
      <c r="AS394" s="778"/>
      <c r="AT394" s="128"/>
      <c r="AU394" s="778"/>
      <c r="AV394" s="778"/>
      <c r="AW394" s="778"/>
      <c r="AX394" s="778"/>
      <c r="AY394" s="778"/>
      <c r="AZ394" s="778"/>
      <c r="BA394" s="778"/>
      <c r="BB394" s="778"/>
      <c r="BC394" s="778"/>
      <c r="BD394" s="171">
        <f t="shared" si="97"/>
        <v>0</v>
      </c>
      <c r="BE394" s="171">
        <f t="shared" si="98"/>
        <v>0</v>
      </c>
      <c r="BF394" s="171">
        <f t="shared" si="99"/>
        <v>0</v>
      </c>
      <c r="BG394" s="171">
        <f t="shared" si="100"/>
        <v>0</v>
      </c>
      <c r="BH394" s="171">
        <f t="shared" si="101"/>
        <v>0</v>
      </c>
      <c r="BI394" s="171">
        <f t="shared" si="102"/>
        <v>0</v>
      </c>
      <c r="BJ394" s="171">
        <f t="shared" si="103"/>
        <v>0</v>
      </c>
      <c r="BK394" s="171">
        <f t="shared" si="104"/>
        <v>0</v>
      </c>
      <c r="BL394" s="171">
        <f t="shared" si="105"/>
        <v>0</v>
      </c>
      <c r="BM394" s="171">
        <f t="shared" si="106"/>
        <v>0</v>
      </c>
      <c r="BN394" s="775"/>
      <c r="BO394" s="779" t="str">
        <f ca="1">IF(IFERROR(INDEX('Сбытовые расходы ГО'!$K$26:$M$75,MATCH($F394&amp;"komm",'Сбытовые расходы ГО'!$K$26:$K$75,0),2),"")=0,"",IFERROR(INDEX('Сбытовые расходы ГО'!$K$26:$M$75,MATCH($F394&amp;"komm",'Сбытовые расходы ГО'!$K$26:$K$75,0),2),""))</f>
        <v/>
      </c>
      <c r="BP394" s="775"/>
      <c r="BS394" s="696" t="s">
        <v>2124</v>
      </c>
    </row>
    <row r="395" spans="2:75" ht="14.65" customHeight="1" x14ac:dyDescent="0.15">
      <c r="E395" s="507">
        <v>15</v>
      </c>
      <c r="F395" s="3" t="str" cm="1">
        <f t="array" aca="1" ref="F395" ca="1">OFFSET(E395,-1,1)</f>
        <v>2</v>
      </c>
      <c r="G395" s="72" t="s">
        <v>1467</v>
      </c>
      <c r="I395" s="72" t="s">
        <v>2125</v>
      </c>
      <c r="K395" s="72" t="s">
        <v>2125</v>
      </c>
      <c r="L395" s="25"/>
      <c r="M395" s="25"/>
      <c r="T395" s="353" t="b" cm="1">
        <f t="array" aca="1" ref="T395" ca="1">T394</f>
        <v>1</v>
      </c>
      <c r="X395" s="990"/>
      <c r="Z395" s="967"/>
      <c r="AB395" s="133" t="s">
        <v>1525</v>
      </c>
      <c r="AC395" s="127" t="s">
        <v>1467</v>
      </c>
      <c r="AD395" s="7" t="s">
        <v>828</v>
      </c>
      <c r="AE395" s="128">
        <v>0</v>
      </c>
      <c r="AF395" s="128"/>
      <c r="AG395" s="128"/>
      <c r="AH395" s="171">
        <f t="shared" si="95"/>
        <v>0</v>
      </c>
      <c r="AI395" s="128">
        <v>0</v>
      </c>
      <c r="AJ395" s="128">
        <f ca="1">SUMIFS(Экономия_корр!AE$25:AE$59,Экономия_корр!$F$25:$F$59,$F395,Экономия_корр!$AC$25:$AC$59,"Экономия расходов с учетом ИПЦ")</f>
        <v>0</v>
      </c>
      <c r="AK395" s="778">
        <f ca="1">SUMIFS(Экономия_корр!AF$25:AF$59,Экономия_корр!$F$25:$F$59,$F395,Экономия_корр!$AC$25:$AC$59,"Экономия расходов с учетом ИПЦ")</f>
        <v>0</v>
      </c>
      <c r="AL395" s="778">
        <f ca="1">SUMIFS(Экономия_корр!AG$25:AG$59,Экономия_корр!$F$25:$F$59,$F395,Экономия_корр!$AC$25:$AC$59,"Экономия расходов с учетом ИПЦ")</f>
        <v>0</v>
      </c>
      <c r="AM395" s="128">
        <f ca="1">SUMIFS(Экономия_корр!AH$25:AH$59,Экономия_корр!$F$25:$F$59,$F395,Экономия_корр!$AC$25:$AC$59,"Экономия расходов с учетом ИПЦ")</f>
        <v>0</v>
      </c>
      <c r="AN395" s="128">
        <f ca="1">SUMIFS(Экономия_корр!AI$25:AI$59,Экономия_корр!$F$25:$F$59,$F395,Экономия_корр!$AC$25:$AC$59,"Экономия расходов с учетом ИПЦ")</f>
        <v>0</v>
      </c>
      <c r="AO395" s="128">
        <f ca="1">SUMIFS(Экономия_корр!AJ$25:AJ$59,Экономия_корр!$F$25:$F$59,$F395,Экономия_корр!$AC$25:$AC$59,"Экономия расходов с учетом ИПЦ")</f>
        <v>0</v>
      </c>
      <c r="AP395" s="128">
        <f ca="1">SUMIFS(Экономия_корр!AK$25:AK$59,Экономия_корр!$F$25:$F$59,$F395,Экономия_корр!$AC$25:$AC$59,"Экономия расходов с учетом ИПЦ")</f>
        <v>0</v>
      </c>
      <c r="AQ395" s="128">
        <f ca="1">SUMIFS(Экономия_корр!AL$25:AL$59,Экономия_корр!$F$25:$F$59,$F395,Экономия_корр!$AC$25:$AC$59,"Экономия расходов с учетом ИПЦ")</f>
        <v>0</v>
      </c>
      <c r="AR395" s="128">
        <f ca="1">SUMIFS(Экономия_корр!AM$25:AM$59,Экономия_корр!$F$25:$F$59,$F395,Экономия_корр!$AC$25:$AC$59,"Экономия расходов с учетом ИПЦ")</f>
        <v>0</v>
      </c>
      <c r="AS395" s="128">
        <f ca="1">SUMIFS(Экономия_корр!AN$25:AN$59,Экономия_корр!$F$25:$F$59,$F395,Экономия_корр!$AC$25:$AC$59,"Экономия расходов с учетом ИПЦ")</f>
        <v>0</v>
      </c>
      <c r="AT395" s="128">
        <f ca="1">SUMIFS(Экономия_корр!AO$25:AO$59,Экономия_корр!$F$25:$F$59,$F395,Экономия_корр!$AC$25:$AC$59,"Экономия расходов с учетом ИПЦ")</f>
        <v>0</v>
      </c>
      <c r="AU395" s="778">
        <f ca="1">SUMIFS(Экономия_корр!AP$25:AP$59,Экономия_корр!$F$25:$F$59,$F395,Экономия_корр!$AC$25:$AC$59,"Экономия расходов с учетом ИПЦ")</f>
        <v>0</v>
      </c>
      <c r="AV395" s="778">
        <f ca="1">SUMIFS(Экономия_корр!AQ$25:AQ$59,Экономия_корр!$F$25:$F$59,$F395,Экономия_корр!$AC$25:$AC$59,"Экономия расходов с учетом ИПЦ")</f>
        <v>0</v>
      </c>
      <c r="AW395" s="128">
        <f ca="1">SUMIFS(Экономия_корр!AR$25:AR$59,Экономия_корр!$F$25:$F$59,$F395,Экономия_корр!$AC$25:$AC$59,"Экономия расходов с учетом ИПЦ")</f>
        <v>0</v>
      </c>
      <c r="AX395" s="128">
        <f ca="1">SUMIFS(Экономия_корр!AS$25:AS$59,Экономия_корр!$F$25:$F$59,$F395,Экономия_корр!$AC$25:$AC$59,"Экономия расходов с учетом ИПЦ")</f>
        <v>0</v>
      </c>
      <c r="AY395" s="128">
        <f ca="1">SUMIFS(Экономия_корр!AT$25:AT$59,Экономия_корр!$F$25:$F$59,$F395,Экономия_корр!$AC$25:$AC$59,"Экономия расходов с учетом ИПЦ")</f>
        <v>0</v>
      </c>
      <c r="AZ395" s="128">
        <f ca="1">SUMIFS(Экономия_корр!AU$25:AU$59,Экономия_корр!$F$25:$F$59,$F395,Экономия_корр!$AC$25:$AC$59,"Экономия расходов с учетом ИПЦ")</f>
        <v>0</v>
      </c>
      <c r="BA395" s="128">
        <f ca="1">SUMIFS(Экономия_корр!AV$25:AV$59,Экономия_корр!$F$25:$F$59,$F395,Экономия_корр!$AC$25:$AC$59,"Экономия расходов с учетом ИПЦ")</f>
        <v>0</v>
      </c>
      <c r="BB395" s="128">
        <f ca="1">SUMIFS(Экономия_корр!AW$25:AW$59,Экономия_корр!$F$25:$F$59,$F395,Экономия_корр!$AC$25:$AC$59,"Экономия расходов с учетом ИПЦ")</f>
        <v>0</v>
      </c>
      <c r="BC395" s="128">
        <f ca="1">SUMIFS(Экономия_корр!AX$25:AX$59,Экономия_корр!$F$25:$F$59,$F395,Экономия_корр!$AC$25:$AC$59,"Экономия расходов с учетом ИПЦ")</f>
        <v>0</v>
      </c>
      <c r="BD395" s="171">
        <f t="shared" si="97"/>
        <v>0</v>
      </c>
      <c r="BE395" s="171">
        <f t="shared" ca="1" si="98"/>
        <v>0</v>
      </c>
      <c r="BF395" s="171">
        <f t="shared" ca="1" si="99"/>
        <v>0</v>
      </c>
      <c r="BG395" s="171">
        <f t="shared" ca="1" si="100"/>
        <v>0</v>
      </c>
      <c r="BH395" s="171">
        <f t="shared" ca="1" si="101"/>
        <v>0</v>
      </c>
      <c r="BI395" s="171">
        <f t="shared" ca="1" si="102"/>
        <v>0</v>
      </c>
      <c r="BJ395" s="171">
        <f t="shared" ca="1" si="103"/>
        <v>0</v>
      </c>
      <c r="BK395" s="171">
        <f t="shared" ca="1" si="104"/>
        <v>0</v>
      </c>
      <c r="BL395" s="171">
        <f t="shared" ca="1" si="105"/>
        <v>0</v>
      </c>
      <c r="BM395" s="171">
        <f t="shared" ca="1" si="106"/>
        <v>0</v>
      </c>
      <c r="BN395" s="196"/>
      <c r="BO395" s="196"/>
      <c r="BP395" s="196"/>
      <c r="BS395" s="696" t="s">
        <v>2126</v>
      </c>
    </row>
    <row r="396" spans="2:75" ht="14.25" customHeight="1" x14ac:dyDescent="0.15">
      <c r="E396" s="507">
        <v>15</v>
      </c>
      <c r="F396" s="3" t="str" cm="1">
        <f t="array" aca="1" ref="F396" ca="1">OFFSET(E396,-1,1)</f>
        <v>2</v>
      </c>
      <c r="G396" s="72" t="s">
        <v>1472</v>
      </c>
      <c r="I396" s="72" t="s">
        <v>2127</v>
      </c>
      <c r="K396" s="72" t="s">
        <v>2127</v>
      </c>
      <c r="L396" s="25"/>
      <c r="M396" s="25"/>
      <c r="T396" s="353" t="b" cm="1">
        <f t="array" aca="1" ref="T396" ca="1">T395</f>
        <v>1</v>
      </c>
      <c r="X396" s="990"/>
      <c r="Z396" s="967"/>
      <c r="AB396" s="133" t="s">
        <v>2128</v>
      </c>
      <c r="AC396" s="127" t="s">
        <v>1472</v>
      </c>
      <c r="AD396" s="7" t="s">
        <v>828</v>
      </c>
      <c r="AE396" s="128"/>
      <c r="AF396" s="128"/>
      <c r="AG396" s="128"/>
      <c r="AH396" s="171">
        <f t="shared" si="95"/>
        <v>0</v>
      </c>
      <c r="AI396" s="128"/>
      <c r="AJ396" s="128"/>
      <c r="AK396" s="778"/>
      <c r="AL396" s="778"/>
      <c r="AM396" s="128"/>
      <c r="AN396" s="128"/>
      <c r="AO396" s="128"/>
      <c r="AP396" s="128"/>
      <c r="AQ396" s="128"/>
      <c r="AR396" s="128"/>
      <c r="AS396" s="128"/>
      <c r="AT396" s="128"/>
      <c r="AU396" s="778"/>
      <c r="AV396" s="778"/>
      <c r="AW396" s="128"/>
      <c r="AX396" s="128"/>
      <c r="AY396" s="128"/>
      <c r="AZ396" s="128"/>
      <c r="BA396" s="128"/>
      <c r="BB396" s="128"/>
      <c r="BC396" s="128"/>
      <c r="BD396" s="171">
        <f t="shared" si="97"/>
        <v>0</v>
      </c>
      <c r="BE396" s="171">
        <f t="shared" si="98"/>
        <v>0</v>
      </c>
      <c r="BF396" s="171">
        <f t="shared" si="99"/>
        <v>0</v>
      </c>
      <c r="BG396" s="171">
        <f t="shared" si="100"/>
        <v>0</v>
      </c>
      <c r="BH396" s="171">
        <f t="shared" si="101"/>
        <v>0</v>
      </c>
      <c r="BI396" s="171">
        <f t="shared" si="102"/>
        <v>0</v>
      </c>
      <c r="BJ396" s="171">
        <f t="shared" si="103"/>
        <v>0</v>
      </c>
      <c r="BK396" s="171">
        <f t="shared" si="104"/>
        <v>0</v>
      </c>
      <c r="BL396" s="171">
        <f t="shared" si="105"/>
        <v>0</v>
      </c>
      <c r="BM396" s="171">
        <f t="shared" si="106"/>
        <v>0</v>
      </c>
      <c r="BN396" s="196"/>
      <c r="BO396" s="196"/>
      <c r="BP396" s="196"/>
      <c r="BS396" s="696" t="s">
        <v>1856</v>
      </c>
    </row>
    <row r="397" spans="2:75" ht="14.25" customHeight="1" x14ac:dyDescent="0.15">
      <c r="E397" s="507">
        <v>15</v>
      </c>
      <c r="F397" s="3" t="str" cm="1">
        <f t="array" aca="1" ref="F397" ca="1">OFFSET(E397,-1,1)</f>
        <v>2</v>
      </c>
      <c r="G397" s="72" t="s">
        <v>1477</v>
      </c>
      <c r="I397" s="72" t="s">
        <v>2129</v>
      </c>
      <c r="K397" s="72" t="s">
        <v>2129</v>
      </c>
      <c r="L397" s="25"/>
      <c r="M397" s="25"/>
      <c r="T397" s="353" t="b" cm="1">
        <f t="array" aca="1" ref="T397" ca="1">T396</f>
        <v>1</v>
      </c>
      <c r="X397" s="990"/>
      <c r="Z397" s="967"/>
      <c r="AB397" s="133" t="s">
        <v>1544</v>
      </c>
      <c r="AC397" s="127" t="s">
        <v>1477</v>
      </c>
      <c r="AD397" s="7" t="s">
        <v>828</v>
      </c>
      <c r="AE397" s="128"/>
      <c r="AF397" s="128"/>
      <c r="AG397" s="128"/>
      <c r="AH397" s="171">
        <f t="shared" si="95"/>
        <v>0</v>
      </c>
      <c r="AI397" s="128"/>
      <c r="AJ397" s="128"/>
      <c r="AK397" s="778"/>
      <c r="AL397" s="778"/>
      <c r="AM397" s="128"/>
      <c r="AN397" s="128"/>
      <c r="AO397" s="128"/>
      <c r="AP397" s="128"/>
      <c r="AQ397" s="128"/>
      <c r="AR397" s="128"/>
      <c r="AS397" s="128"/>
      <c r="AT397" s="128"/>
      <c r="AU397" s="778"/>
      <c r="AV397" s="778"/>
      <c r="AW397" s="128"/>
      <c r="AX397" s="128"/>
      <c r="AY397" s="128"/>
      <c r="AZ397" s="128"/>
      <c r="BA397" s="128"/>
      <c r="BB397" s="128"/>
      <c r="BC397" s="128"/>
      <c r="BD397" s="171">
        <f t="shared" si="97"/>
        <v>0</v>
      </c>
      <c r="BE397" s="171">
        <f t="shared" si="98"/>
        <v>0</v>
      </c>
      <c r="BF397" s="171">
        <f t="shared" si="99"/>
        <v>0</v>
      </c>
      <c r="BG397" s="171">
        <f t="shared" si="100"/>
        <v>0</v>
      </c>
      <c r="BH397" s="171">
        <f t="shared" si="101"/>
        <v>0</v>
      </c>
      <c r="BI397" s="171">
        <f t="shared" si="102"/>
        <v>0</v>
      </c>
      <c r="BJ397" s="171">
        <f t="shared" si="103"/>
        <v>0</v>
      </c>
      <c r="BK397" s="171">
        <f t="shared" si="104"/>
        <v>0</v>
      </c>
      <c r="BL397" s="171">
        <f t="shared" si="105"/>
        <v>0</v>
      </c>
      <c r="BM397" s="171">
        <f t="shared" si="106"/>
        <v>0</v>
      </c>
      <c r="BN397" s="196"/>
      <c r="BO397" s="196"/>
      <c r="BP397" s="196"/>
      <c r="BS397" s="696" t="s">
        <v>2130</v>
      </c>
    </row>
    <row r="398" spans="2:75" ht="14.25" customHeight="1" x14ac:dyDescent="0.15">
      <c r="E398" s="507">
        <v>15</v>
      </c>
      <c r="F398" s="3" t="str" cm="1">
        <f t="array" aca="1" ref="F398" ca="1">OFFSET(E398,-1,1)</f>
        <v>2</v>
      </c>
      <c r="G398" s="72" t="s">
        <v>1482</v>
      </c>
      <c r="I398" s="72" t="s">
        <v>2131</v>
      </c>
      <c r="K398" s="72" t="s">
        <v>2131</v>
      </c>
      <c r="L398" s="25"/>
      <c r="M398" s="25"/>
      <c r="T398" s="353" t="b" cm="1">
        <f t="array" aca="1" ref="T398" ca="1">T397</f>
        <v>1</v>
      </c>
      <c r="X398" s="990"/>
      <c r="Z398" s="967"/>
      <c r="AB398" s="133" t="s">
        <v>1548</v>
      </c>
      <c r="AC398" s="127" t="s">
        <v>1482</v>
      </c>
      <c r="AD398" s="7" t="s">
        <v>828</v>
      </c>
      <c r="AE398" s="171">
        <f>SUM(AE399,AE400)</f>
        <v>0</v>
      </c>
      <c r="AF398" s="171">
        <f>SUM(AF399,AF400)</f>
        <v>0</v>
      </c>
      <c r="AG398" s="171">
        <f>SUM(AG399,AG400)</f>
        <v>0</v>
      </c>
      <c r="AH398" s="171">
        <f t="shared" si="95"/>
        <v>0</v>
      </c>
      <c r="AI398" s="171">
        <f t="shared" ref="AI398:BC398" si="109">SUM(AI399,AI400)</f>
        <v>0</v>
      </c>
      <c r="AJ398" s="171">
        <f t="shared" si="109"/>
        <v>0</v>
      </c>
      <c r="AK398" s="171">
        <f t="shared" si="109"/>
        <v>0</v>
      </c>
      <c r="AL398" s="171">
        <f t="shared" si="109"/>
        <v>0</v>
      </c>
      <c r="AM398" s="171">
        <f t="shared" si="109"/>
        <v>0</v>
      </c>
      <c r="AN398" s="171">
        <f t="shared" si="109"/>
        <v>0</v>
      </c>
      <c r="AO398" s="171">
        <f t="shared" si="109"/>
        <v>0</v>
      </c>
      <c r="AP398" s="171">
        <f t="shared" si="109"/>
        <v>0</v>
      </c>
      <c r="AQ398" s="171">
        <f t="shared" si="109"/>
        <v>0</v>
      </c>
      <c r="AR398" s="171">
        <f t="shared" si="109"/>
        <v>0</v>
      </c>
      <c r="AS398" s="171">
        <f t="shared" si="109"/>
        <v>0</v>
      </c>
      <c r="AT398" s="171">
        <f t="shared" si="109"/>
        <v>0</v>
      </c>
      <c r="AU398" s="171">
        <f t="shared" si="109"/>
        <v>0</v>
      </c>
      <c r="AV398" s="171">
        <f t="shared" si="109"/>
        <v>0</v>
      </c>
      <c r="AW398" s="171">
        <f t="shared" si="109"/>
        <v>0</v>
      </c>
      <c r="AX398" s="171">
        <f t="shared" si="109"/>
        <v>0</v>
      </c>
      <c r="AY398" s="171">
        <f t="shared" si="109"/>
        <v>0</v>
      </c>
      <c r="AZ398" s="171">
        <f t="shared" si="109"/>
        <v>0</v>
      </c>
      <c r="BA398" s="171">
        <f t="shared" si="109"/>
        <v>0</v>
      </c>
      <c r="BB398" s="171">
        <f t="shared" si="109"/>
        <v>0</v>
      </c>
      <c r="BC398" s="171">
        <f t="shared" si="109"/>
        <v>0</v>
      </c>
      <c r="BD398" s="171">
        <f t="shared" si="97"/>
        <v>0</v>
      </c>
      <c r="BE398" s="171">
        <f t="shared" si="98"/>
        <v>0</v>
      </c>
      <c r="BF398" s="171">
        <f t="shared" si="99"/>
        <v>0</v>
      </c>
      <c r="BG398" s="171">
        <f t="shared" si="100"/>
        <v>0</v>
      </c>
      <c r="BH398" s="171">
        <f t="shared" si="101"/>
        <v>0</v>
      </c>
      <c r="BI398" s="171">
        <f t="shared" si="102"/>
        <v>0</v>
      </c>
      <c r="BJ398" s="171">
        <f t="shared" si="103"/>
        <v>0</v>
      </c>
      <c r="BK398" s="171">
        <f t="shared" si="104"/>
        <v>0</v>
      </c>
      <c r="BL398" s="171">
        <f t="shared" si="105"/>
        <v>0</v>
      </c>
      <c r="BM398" s="171">
        <f t="shared" si="106"/>
        <v>0</v>
      </c>
      <c r="BN398" s="196"/>
      <c r="BO398" s="196"/>
      <c r="BP398" s="196"/>
      <c r="BS398" s="696" t="s">
        <v>2132</v>
      </c>
    </row>
    <row r="399" spans="2:75" ht="14.25" customHeight="1" x14ac:dyDescent="0.15">
      <c r="E399" s="507">
        <v>15</v>
      </c>
      <c r="F399" s="3" t="str" cm="1">
        <f t="array" aca="1" ref="F399" ca="1">OFFSET(E399,-1,1)</f>
        <v>2</v>
      </c>
      <c r="I399" s="72" t="s">
        <v>2133</v>
      </c>
      <c r="K399" s="72" t="s">
        <v>2133</v>
      </c>
      <c r="L399" s="25"/>
      <c r="M399" s="25"/>
      <c r="T399" s="353" t="b" cm="1">
        <f t="array" aca="1" ref="T399" ca="1">T398</f>
        <v>1</v>
      </c>
      <c r="X399" s="990"/>
      <c r="Z399" s="967"/>
      <c r="AB399" s="133" t="s">
        <v>2134</v>
      </c>
      <c r="AC399" s="134" t="s">
        <v>2135</v>
      </c>
      <c r="AD399" s="7" t="s">
        <v>828</v>
      </c>
      <c r="AE399" s="128"/>
      <c r="AF399" s="128"/>
      <c r="AG399" s="128"/>
      <c r="AH399" s="171">
        <f t="shared" si="95"/>
        <v>0</v>
      </c>
      <c r="AI399" s="128"/>
      <c r="AJ399" s="128"/>
      <c r="AK399" s="778"/>
      <c r="AL399" s="778"/>
      <c r="AM399" s="128"/>
      <c r="AN399" s="128"/>
      <c r="AO399" s="128"/>
      <c r="AP399" s="128"/>
      <c r="AQ399" s="128"/>
      <c r="AR399" s="128"/>
      <c r="AS399" s="128"/>
      <c r="AT399" s="128"/>
      <c r="AU399" s="778"/>
      <c r="AV399" s="778"/>
      <c r="AW399" s="128"/>
      <c r="AX399" s="128"/>
      <c r="AY399" s="128"/>
      <c r="AZ399" s="128"/>
      <c r="BA399" s="128"/>
      <c r="BB399" s="128"/>
      <c r="BC399" s="128"/>
      <c r="BD399" s="171">
        <f t="shared" si="97"/>
        <v>0</v>
      </c>
      <c r="BE399" s="171">
        <f t="shared" si="98"/>
        <v>0</v>
      </c>
      <c r="BF399" s="171">
        <f t="shared" si="99"/>
        <v>0</v>
      </c>
      <c r="BG399" s="171">
        <f t="shared" si="100"/>
        <v>0</v>
      </c>
      <c r="BH399" s="171">
        <f t="shared" si="101"/>
        <v>0</v>
      </c>
      <c r="BI399" s="171">
        <f t="shared" si="102"/>
        <v>0</v>
      </c>
      <c r="BJ399" s="171">
        <f t="shared" si="103"/>
        <v>0</v>
      </c>
      <c r="BK399" s="171">
        <f t="shared" si="104"/>
        <v>0</v>
      </c>
      <c r="BL399" s="171">
        <f t="shared" si="105"/>
        <v>0</v>
      </c>
      <c r="BM399" s="171">
        <f t="shared" si="106"/>
        <v>0</v>
      </c>
      <c r="BN399" s="196"/>
      <c r="BO399" s="196"/>
      <c r="BP399" s="196"/>
      <c r="BS399" s="696" t="s">
        <v>1268</v>
      </c>
    </row>
    <row r="400" spans="2:75" ht="14.25" customHeight="1" x14ac:dyDescent="0.15">
      <c r="E400" s="507">
        <v>15</v>
      </c>
      <c r="F400" s="3" t="str" cm="1">
        <f t="array" aca="1" ref="F400" ca="1">OFFSET(E400,-1,1)</f>
        <v>2</v>
      </c>
      <c r="I400" s="72" t="s">
        <v>2136</v>
      </c>
      <c r="K400" s="72" t="s">
        <v>2136</v>
      </c>
      <c r="L400" s="25" t="s">
        <v>951</v>
      </c>
      <c r="M400" s="25"/>
      <c r="T400" s="353" t="b" cm="1">
        <f t="array" aca="1" ref="T400" ca="1">T399</f>
        <v>1</v>
      </c>
      <c r="X400" s="990"/>
      <c r="Z400" s="967"/>
      <c r="AB400" s="133" t="s">
        <v>2137</v>
      </c>
      <c r="AC400" s="134" t="s">
        <v>2138</v>
      </c>
      <c r="AD400" s="7" t="s">
        <v>828</v>
      </c>
      <c r="AE400" s="128"/>
      <c r="AF400" s="128"/>
      <c r="AG400" s="128"/>
      <c r="AH400" s="171">
        <f t="shared" si="95"/>
        <v>0</v>
      </c>
      <c r="AI400" s="128"/>
      <c r="AJ400" s="128"/>
      <c r="AK400" s="778"/>
      <c r="AL400" s="778"/>
      <c r="AM400" s="128"/>
      <c r="AN400" s="128"/>
      <c r="AO400" s="128"/>
      <c r="AP400" s="128"/>
      <c r="AQ400" s="128"/>
      <c r="AR400" s="128"/>
      <c r="AS400" s="128"/>
      <c r="AT400" s="128"/>
      <c r="AU400" s="778"/>
      <c r="AV400" s="778"/>
      <c r="AW400" s="128"/>
      <c r="AX400" s="128"/>
      <c r="AY400" s="128"/>
      <c r="AZ400" s="128"/>
      <c r="BA400" s="128"/>
      <c r="BB400" s="128"/>
      <c r="BC400" s="128"/>
      <c r="BD400" s="171">
        <f t="shared" si="97"/>
        <v>0</v>
      </c>
      <c r="BE400" s="171">
        <f t="shared" si="98"/>
        <v>0</v>
      </c>
      <c r="BF400" s="171">
        <f t="shared" si="99"/>
        <v>0</v>
      </c>
      <c r="BG400" s="171">
        <f t="shared" si="100"/>
        <v>0</v>
      </c>
      <c r="BH400" s="171">
        <f t="shared" si="101"/>
        <v>0</v>
      </c>
      <c r="BI400" s="171">
        <f t="shared" si="102"/>
        <v>0</v>
      </c>
      <c r="BJ400" s="171">
        <f t="shared" si="103"/>
        <v>0</v>
      </c>
      <c r="BK400" s="171">
        <f t="shared" si="104"/>
        <v>0</v>
      </c>
      <c r="BL400" s="171">
        <f t="shared" si="105"/>
        <v>0</v>
      </c>
      <c r="BM400" s="171">
        <f t="shared" si="106"/>
        <v>0</v>
      </c>
      <c r="BN400" s="196"/>
      <c r="BO400" s="196"/>
      <c r="BP400" s="196"/>
      <c r="BS400" s="696" t="s">
        <v>2139</v>
      </c>
    </row>
    <row r="401" spans="1:75" ht="21.75" customHeight="1" x14ac:dyDescent="0.15">
      <c r="E401" s="507">
        <v>22.5</v>
      </c>
      <c r="F401" s="3" t="str" cm="1">
        <f t="array" aca="1" ref="F401" ca="1">OFFSET(E401,-1,1)</f>
        <v>2</v>
      </c>
      <c r="G401" s="72" t="s">
        <v>1487</v>
      </c>
      <c r="I401" s="72" t="s">
        <v>2140</v>
      </c>
      <c r="K401" s="72" t="s">
        <v>2140</v>
      </c>
      <c r="L401" s="25"/>
      <c r="M401" s="25"/>
      <c r="T401" s="353" t="b" cm="1">
        <f t="array" aca="1" ref="T401" ca="1">T400</f>
        <v>1</v>
      </c>
      <c r="X401" s="990"/>
      <c r="Z401" s="967"/>
      <c r="AB401" s="133" t="s">
        <v>1551</v>
      </c>
      <c r="AC401" s="127" t="s">
        <v>2141</v>
      </c>
      <c r="AD401" s="7" t="s">
        <v>828</v>
      </c>
      <c r="AE401" s="128"/>
      <c r="AF401" s="128"/>
      <c r="AG401" s="128"/>
      <c r="AH401" s="171">
        <f t="shared" si="95"/>
        <v>0</v>
      </c>
      <c r="AI401" s="128"/>
      <c r="AJ401" s="128"/>
      <c r="AK401" s="778"/>
      <c r="AL401" s="778"/>
      <c r="AM401" s="128"/>
      <c r="AN401" s="128"/>
      <c r="AO401" s="128"/>
      <c r="AP401" s="128"/>
      <c r="AQ401" s="128"/>
      <c r="AR401" s="128"/>
      <c r="AS401" s="128"/>
      <c r="AT401" s="128"/>
      <c r="AU401" s="778"/>
      <c r="AV401" s="778"/>
      <c r="AW401" s="128"/>
      <c r="AX401" s="128"/>
      <c r="AY401" s="128"/>
      <c r="AZ401" s="128"/>
      <c r="BA401" s="128"/>
      <c r="BB401" s="128"/>
      <c r="BC401" s="128"/>
      <c r="BD401" s="171">
        <f t="shared" si="97"/>
        <v>0</v>
      </c>
      <c r="BE401" s="171">
        <f t="shared" si="98"/>
        <v>0</v>
      </c>
      <c r="BF401" s="171">
        <f t="shared" si="99"/>
        <v>0</v>
      </c>
      <c r="BG401" s="171">
        <f t="shared" si="100"/>
        <v>0</v>
      </c>
      <c r="BH401" s="171">
        <f t="shared" si="101"/>
        <v>0</v>
      </c>
      <c r="BI401" s="171">
        <f t="shared" si="102"/>
        <v>0</v>
      </c>
      <c r="BJ401" s="171">
        <f t="shared" si="103"/>
        <v>0</v>
      </c>
      <c r="BK401" s="171">
        <f t="shared" si="104"/>
        <v>0</v>
      </c>
      <c r="BL401" s="171">
        <f t="shared" si="105"/>
        <v>0</v>
      </c>
      <c r="BM401" s="171">
        <f t="shared" si="106"/>
        <v>0</v>
      </c>
      <c r="BN401" s="196"/>
      <c r="BO401" s="196"/>
      <c r="BP401" s="196"/>
      <c r="BS401" s="696" t="s">
        <v>2142</v>
      </c>
    </row>
    <row r="402" spans="1:75" s="870" customFormat="1" ht="130.5" customHeight="1" x14ac:dyDescent="0.15">
      <c r="A402" s="76"/>
      <c r="B402" s="332"/>
      <c r="C402" s="76"/>
      <c r="D402" s="76"/>
      <c r="E402" s="511">
        <v>21</v>
      </c>
      <c r="F402" s="3" t="str" cm="1">
        <f t="array" aca="1" ref="F402" ca="1">OFFSET(E402,-1,1)</f>
        <v>2</v>
      </c>
      <c r="G402" s="72" t="s">
        <v>2143</v>
      </c>
      <c r="H402" s="72"/>
      <c r="I402" s="72" t="s">
        <v>333</v>
      </c>
      <c r="J402" s="76"/>
      <c r="K402" s="72" t="s">
        <v>333</v>
      </c>
      <c r="L402" s="27" t="s">
        <v>1344</v>
      </c>
      <c r="M402" s="27"/>
      <c r="N402" s="76"/>
      <c r="O402" s="76"/>
      <c r="P402" s="76"/>
      <c r="Q402" s="76"/>
      <c r="R402" s="76"/>
      <c r="S402" s="76"/>
      <c r="T402" s="353" t="b" cm="1">
        <f t="array" aca="1" ref="T402" ca="1">T401</f>
        <v>1</v>
      </c>
      <c r="U402" s="76"/>
      <c r="V402" s="76"/>
      <c r="W402" s="76"/>
      <c r="X402" s="990"/>
      <c r="Y402" s="76"/>
      <c r="Z402" s="967"/>
      <c r="AA402" s="76"/>
      <c r="AB402" s="131" t="s">
        <v>291</v>
      </c>
      <c r="AC402" s="125" t="s">
        <v>2144</v>
      </c>
      <c r="AD402" s="124" t="s">
        <v>828</v>
      </c>
      <c r="AE402" s="126">
        <f ca="1">SUMIFS(ЭЭ!AE$25:AE$116,ЭЭ!$F$25:$F$116,$F402,ЭЭ!$AC$25:$AC$116,"Всего по тарифу")</f>
        <v>857.82</v>
      </c>
      <c r="AF402" s="126">
        <f ca="1">SUMIFS(ЭЭ!AF$25:AF$116,ЭЭ!$F$25:$F$116,$F402,ЭЭ!$AC$25:$AC$116,"Всего по тарифу")</f>
        <v>6460.7177775607997</v>
      </c>
      <c r="AG402" s="126">
        <f ca="1">SUMIFS(ЭЭ!AG$25:AG$116,ЭЭ!$F$25:$F$116,$F402,ЭЭ!$AC$25:$AC$116,"Всего по тарифу")</f>
        <v>1058.945365602</v>
      </c>
      <c r="AH402" s="126">
        <f t="shared" ca="1" si="95"/>
        <v>-5401.7724119588001</v>
      </c>
      <c r="AI402" s="126">
        <f ca="1">SUMIFS(ЭЭ!AH$25:AH$116,ЭЭ!$F$25:$F$116,$F402,ЭЭ!$AC$25:$AC$116,"Всего по тарифу")</f>
        <v>988.65</v>
      </c>
      <c r="AJ402" s="126">
        <f ca="1">SUMIFS(ЭЭ!AI$25:AI$116,ЭЭ!$F$25:$F$116,$F402,ЭЭ!$AC$25:$AC$116,"Всего по тарифу")</f>
        <v>11464.921884666701</v>
      </c>
      <c r="AK402" s="126">
        <f ca="1">SUMIFS(ЭЭ!AJ$25:AJ$116,ЭЭ!$F$25:$F$116,$F402,ЭЭ!$AC$25:$AC$116,"Всего по тарифу")</f>
        <v>0</v>
      </c>
      <c r="AL402" s="126">
        <f ca="1">SUMIFS(ЭЭ!AK$25:AK$116,ЭЭ!$F$25:$F$116,$F402,ЭЭ!$AC$25:$AC$116,"Всего по тарифу")</f>
        <v>0</v>
      </c>
      <c r="AM402" s="126">
        <f ca="1">SUMIFS(ЭЭ!AL$25:AL$116,ЭЭ!$F$25:$F$116,$F402,ЭЭ!$AC$25:$AC$116,"Всего по тарифу")</f>
        <v>0</v>
      </c>
      <c r="AN402" s="126">
        <f ca="1">SUMIFS(ЭЭ!AM$25:AM$116,ЭЭ!$F$25:$F$116,$F402,ЭЭ!$AC$25:$AC$116,"Всего по тарифу")</f>
        <v>0</v>
      </c>
      <c r="AO402" s="126">
        <f ca="1">SUMIFS(ЭЭ!AN$25:AN$116,ЭЭ!$F$25:$F$116,$F402,ЭЭ!$AC$25:$AC$116,"Всего по тарифу")</f>
        <v>0</v>
      </c>
      <c r="AP402" s="126">
        <f ca="1">SUMIFS(ЭЭ!AO$25:AO$116,ЭЭ!$F$25:$F$116,$F402,ЭЭ!$AC$25:$AC$116,"Всего по тарифу")</f>
        <v>0</v>
      </c>
      <c r="AQ402" s="126">
        <f ca="1">SUMIFS(ЭЭ!AP$25:AP$116,ЭЭ!$F$25:$F$116,$F402,ЭЭ!$AC$25:$AC$116,"Всего по тарифу")</f>
        <v>0</v>
      </c>
      <c r="AR402" s="126">
        <f ca="1">SUMIFS(ЭЭ!AQ$25:AQ$116,ЭЭ!$F$25:$F$116,$F402,ЭЭ!$AC$25:$AC$116,"Всего по тарифу")</f>
        <v>0</v>
      </c>
      <c r="AS402" s="126">
        <f ca="1">SUMIFS(ЭЭ!AR$25:AR$116,ЭЭ!$F$25:$F$116,$F402,ЭЭ!$AC$25:$AC$116,"Всего по тарифу")</f>
        <v>0</v>
      </c>
      <c r="AT402" s="126">
        <f ca="1">SUMIFS(ЭЭ!AS$25:AS$116,ЭЭ!$F$25:$F$116,$F402,ЭЭ!$AC$25:$AC$116,"Всего по тарифу")</f>
        <v>1251.4621776563999</v>
      </c>
      <c r="AU402" s="126">
        <f ca="1">SUMIFS(ЭЭ!AT$25:AT$116,ЭЭ!$F$25:$F$116,$F402,ЭЭ!$AC$25:$AC$116,"Всего по тарифу")</f>
        <v>0</v>
      </c>
      <c r="AV402" s="126">
        <f ca="1">SUMIFS(ЭЭ!AU$25:AU$116,ЭЭ!$F$25:$F$116,$F402,ЭЭ!$AC$25:$AC$116,"Всего по тарифу")</f>
        <v>0</v>
      </c>
      <c r="AW402" s="126">
        <f ca="1">SUMIFS(ЭЭ!AV$25:AV$116,ЭЭ!$F$25:$F$116,$F402,ЭЭ!$AC$25:$AC$116,"Всего по тарифу")</f>
        <v>0</v>
      </c>
      <c r="AX402" s="126">
        <f ca="1">SUMIFS(ЭЭ!AW$25:AW$116,ЭЭ!$F$25:$F$116,$F402,ЭЭ!$AC$25:$AC$116,"Всего по тарифу")</f>
        <v>0</v>
      </c>
      <c r="AY402" s="126">
        <f ca="1">SUMIFS(ЭЭ!AX$25:AX$116,ЭЭ!$F$25:$F$116,$F402,ЭЭ!$AC$25:$AC$116,"Всего по тарифу")</f>
        <v>0</v>
      </c>
      <c r="AZ402" s="126">
        <f ca="1">SUMIFS(ЭЭ!AY$25:AY$116,ЭЭ!$F$25:$F$116,$F402,ЭЭ!$AC$25:$AC$116,"Всего по тарифу")</f>
        <v>0</v>
      </c>
      <c r="BA402" s="126">
        <f ca="1">SUMIFS(ЭЭ!AZ$25:AZ$116,ЭЭ!$F$25:$F$116,$F402,ЭЭ!$AC$25:$AC$116,"Всего по тарифу")</f>
        <v>0</v>
      </c>
      <c r="BB402" s="126">
        <f ca="1">SUMIFS(ЭЭ!BA$25:BA$116,ЭЭ!$F$25:$F$116,$F402,ЭЭ!$AC$25:$AC$116,"Всего по тарифу")</f>
        <v>0</v>
      </c>
      <c r="BC402" s="126">
        <f ca="1">SUMIFS(ЭЭ!BB$25:BB$116,ЭЭ!$F$25:$F$116,$F402,ЭЭ!$AC$25:$AC$116,"Всего по тарифу")</f>
        <v>0</v>
      </c>
      <c r="BD402" s="126">
        <f t="shared" ca="1" si="97"/>
        <v>26.582934067303899</v>
      </c>
      <c r="BE402" s="126">
        <f t="shared" ca="1" si="98"/>
        <v>-100</v>
      </c>
      <c r="BF402" s="126">
        <f t="shared" ca="1" si="99"/>
        <v>0</v>
      </c>
      <c r="BG402" s="126">
        <f t="shared" ca="1" si="100"/>
        <v>0</v>
      </c>
      <c r="BH402" s="126">
        <f t="shared" ca="1" si="101"/>
        <v>0</v>
      </c>
      <c r="BI402" s="126">
        <f t="shared" ca="1" si="102"/>
        <v>0</v>
      </c>
      <c r="BJ402" s="126">
        <f t="shared" ca="1" si="103"/>
        <v>0</v>
      </c>
      <c r="BK402" s="126">
        <f t="shared" ca="1" si="104"/>
        <v>0</v>
      </c>
      <c r="BL402" s="126">
        <f t="shared" ca="1" si="105"/>
        <v>0</v>
      </c>
      <c r="BM402" s="126">
        <f t="shared" ca="1" si="106"/>
        <v>0</v>
      </c>
      <c r="BN402" s="196"/>
      <c r="BO402" s="601" t="s">
        <v>2252</v>
      </c>
      <c r="BP402" s="196" t="s">
        <v>2253</v>
      </c>
      <c r="BQ402" s="76"/>
      <c r="BR402" s="76"/>
      <c r="BS402" s="702" t="s">
        <v>1750</v>
      </c>
      <c r="BT402" s="702"/>
      <c r="BU402" s="702"/>
      <c r="BV402" s="511"/>
      <c r="BW402" s="511"/>
    </row>
    <row r="403" spans="1:75" s="870" customFormat="1" ht="69" customHeight="1" x14ac:dyDescent="0.15">
      <c r="A403" s="76"/>
      <c r="B403" s="76" t="b">
        <f>method_reg="Метод индексации"</f>
        <v>1</v>
      </c>
      <c r="C403" s="76"/>
      <c r="D403" s="76"/>
      <c r="E403" s="511">
        <v>22.5</v>
      </c>
      <c r="F403" s="3" t="str" cm="1">
        <f t="array" aca="1" ref="F403" ca="1">OFFSET(E403,-1,1)</f>
        <v>2</v>
      </c>
      <c r="G403" s="72" t="s">
        <v>1509</v>
      </c>
      <c r="H403" s="72"/>
      <c r="I403" s="72" t="s">
        <v>335</v>
      </c>
      <c r="J403" s="76"/>
      <c r="K403" s="72" t="s">
        <v>335</v>
      </c>
      <c r="L403" s="27" t="s">
        <v>334</v>
      </c>
      <c r="M403" s="27"/>
      <c r="N403" s="76"/>
      <c r="O403" s="76"/>
      <c r="P403" s="76"/>
      <c r="Q403" s="76"/>
      <c r="R403" s="76"/>
      <c r="S403" s="76"/>
      <c r="T403" s="353" t="b" cm="1">
        <f t="array" aca="1" ref="T403" ca="1">T402</f>
        <v>1</v>
      </c>
      <c r="U403" s="76"/>
      <c r="V403" s="76"/>
      <c r="W403" s="76"/>
      <c r="X403" s="990"/>
      <c r="Y403" s="76"/>
      <c r="Z403" s="967"/>
      <c r="AA403" s="76"/>
      <c r="AB403" s="131" t="s">
        <v>454</v>
      </c>
      <c r="AC403" s="125" t="s">
        <v>2145</v>
      </c>
      <c r="AD403" s="124" t="s">
        <v>828</v>
      </c>
      <c r="AE403" s="126">
        <f ca="1">SUMIFS(Амортизация!AE$25:AE$223,Амортизация!$F$25:$F$223,$F403,Амортизация!$AC$25:$AC$223,"Сумма амортизационных отчислений")</f>
        <v>284.57311600000003</v>
      </c>
      <c r="AF403" s="126">
        <f ca="1">SUMIFS(Амортизация!AF$25:AF$223,Амортизация!$F$25:$F$223,$F403,Амортизация!$AC$25:$AC$223,"Сумма амортизационных отчислений")</f>
        <v>3196.6111077234</v>
      </c>
      <c r="AG403" s="126">
        <f ca="1">SUMIFS(Амортизация!AG$25:AG$223,Амортизация!$F$25:$F$223,$F403,Амортизация!$AC$25:$AC$223,"Сумма амортизационных отчислений")</f>
        <v>539.54257240000004</v>
      </c>
      <c r="AH403" s="126">
        <f t="shared" ca="1" si="95"/>
        <v>-2657.0685353233998</v>
      </c>
      <c r="AI403" s="126">
        <f ca="1">SUMIFS(Амортизация!AH$25:AH$223,Амортизация!$F$25:$F$223,$F403,Амортизация!$AC$25:$AC$223,"Сумма амортизационных отчислений")</f>
        <v>515.00771491149999</v>
      </c>
      <c r="AJ403" s="126">
        <f ca="1">SUMIFS(Амортизация!AI$25:AI$223,Амортизация!$F$25:$F$223,$F403,Амортизация!$AC$25:$AC$223,"Сумма амортизационных отчислений")</f>
        <v>5158.9897164878003</v>
      </c>
      <c r="AK403" s="126">
        <f ca="1">SUMIFS(Амортизация!AJ$25:AJ$223,Амортизация!$F$25:$F$223,$F403,Амортизация!$AC$25:$AC$223,"Сумма амортизационных отчислений")</f>
        <v>0</v>
      </c>
      <c r="AL403" s="126">
        <f ca="1">SUMIFS(Амортизация!AK$25:AK$223,Амортизация!$F$25:$F$223,$F403,Амортизация!$AC$25:$AC$223,"Сумма амортизационных отчислений")</f>
        <v>0</v>
      </c>
      <c r="AM403" s="126">
        <f ca="1">SUMIFS(Амортизация!AL$25:AL$223,Амортизация!$F$25:$F$223,$F403,Амортизация!$AC$25:$AC$223,"Сумма амортизационных отчислений")</f>
        <v>0</v>
      </c>
      <c r="AN403" s="126">
        <f ca="1">SUMIFS(Амортизация!AM$25:AM$223,Амортизация!$F$25:$F$223,$F403,Амортизация!$AC$25:$AC$223,"Сумма амортизационных отчислений")</f>
        <v>0</v>
      </c>
      <c r="AO403" s="126">
        <f ca="1">SUMIFS(Амортизация!AN$25:AN$223,Амортизация!$F$25:$F$223,$F403,Амортизация!$AC$25:$AC$223,"Сумма амортизационных отчислений")</f>
        <v>0</v>
      </c>
      <c r="AP403" s="126">
        <f ca="1">SUMIFS(Амортизация!AO$25:AO$223,Амортизация!$F$25:$F$223,$F403,Амортизация!$AC$25:$AC$223,"Сумма амортизационных отчислений")</f>
        <v>0</v>
      </c>
      <c r="AQ403" s="126">
        <f ca="1">SUMIFS(Амортизация!AP$25:AP$223,Амортизация!$F$25:$F$223,$F403,Амортизация!$AC$25:$AC$223,"Сумма амортизационных отчислений")</f>
        <v>0</v>
      </c>
      <c r="AR403" s="126">
        <f ca="1">SUMIFS(Амортизация!AQ$25:AQ$223,Амортизация!$F$25:$F$223,$F403,Амортизация!$AC$25:$AC$223,"Сумма амортизационных отчислений")</f>
        <v>0</v>
      </c>
      <c r="AS403" s="126">
        <f ca="1">SUMIFS(Амортизация!AR$25:AR$223,Амортизация!$F$25:$F$223,$F403,Амортизация!$AC$25:$AC$223,"Сумма амортизационных отчислений")</f>
        <v>0</v>
      </c>
      <c r="AT403" s="126">
        <f ca="1">SUMIFS(Амортизация!AS$25:AS$223,Амортизация!$F$25:$F$223,$F403,Амортизация!$AC$25:$AC$223,"Сумма амортизационных отчислений")</f>
        <v>531.41589390000001</v>
      </c>
      <c r="AU403" s="126">
        <f ca="1">SUMIFS(Амортизация!AT$25:AT$223,Амортизация!$F$25:$F$223,$F403,Амортизация!$AC$25:$AC$223,"Сумма амортизационных отчислений")</f>
        <v>0</v>
      </c>
      <c r="AV403" s="126">
        <f ca="1">SUMIFS(Амортизация!AU$25:AU$223,Амортизация!$F$25:$F$223,$F403,Амортизация!$AC$25:$AC$223,"Сумма амортизационных отчислений")</f>
        <v>0</v>
      </c>
      <c r="AW403" s="126">
        <f ca="1">SUMIFS(Амортизация!AV$25:AV$223,Амортизация!$F$25:$F$223,$F403,Амортизация!$AC$25:$AC$223,"Сумма амортизационных отчислений")</f>
        <v>0</v>
      </c>
      <c r="AX403" s="126">
        <f ca="1">SUMIFS(Амортизация!AW$25:AW$223,Амортизация!$F$25:$F$223,$F403,Амортизация!$AC$25:$AC$223,"Сумма амортизационных отчислений")</f>
        <v>0</v>
      </c>
      <c r="AY403" s="126">
        <f ca="1">SUMIFS(Амортизация!AX$25:AX$223,Амортизация!$F$25:$F$223,$F403,Амортизация!$AC$25:$AC$223,"Сумма амортизационных отчислений")</f>
        <v>0</v>
      </c>
      <c r="AZ403" s="126">
        <f ca="1">SUMIFS(Амортизация!AY$25:AY$223,Амортизация!$F$25:$F$223,$F403,Амортизация!$AC$25:$AC$223,"Сумма амортизационных отчислений")</f>
        <v>0</v>
      </c>
      <c r="BA403" s="126">
        <f ca="1">SUMIFS(Амортизация!AZ$25:AZ$223,Амортизация!$F$25:$F$223,$F403,Амортизация!$AC$25:$AC$223,"Сумма амортизационных отчислений")</f>
        <v>0</v>
      </c>
      <c r="BB403" s="126">
        <f ca="1">SUMIFS(Амортизация!BA$25:BA$223,Амортизация!$F$25:$F$223,$F403,Амортизация!$AC$25:$AC$223,"Сумма амортизационных отчислений")</f>
        <v>0</v>
      </c>
      <c r="BC403" s="126">
        <f ca="1">SUMIFS(Амортизация!BB$25:BB$223,Амортизация!$F$25:$F$223,$F403,Амортизация!$AC$25:$AC$223,"Сумма амортизационных отчислений")</f>
        <v>0</v>
      </c>
      <c r="BD403" s="126">
        <f t="shared" ca="1" si="97"/>
        <v>3.1860064448393053</v>
      </c>
      <c r="BE403" s="126">
        <f t="shared" ca="1" si="98"/>
        <v>-100</v>
      </c>
      <c r="BF403" s="126">
        <f t="shared" ca="1" si="99"/>
        <v>0</v>
      </c>
      <c r="BG403" s="126">
        <f t="shared" ca="1" si="100"/>
        <v>0</v>
      </c>
      <c r="BH403" s="126">
        <f t="shared" ca="1" si="101"/>
        <v>0</v>
      </c>
      <c r="BI403" s="126">
        <f t="shared" ca="1" si="102"/>
        <v>0</v>
      </c>
      <c r="BJ403" s="126">
        <f t="shared" ca="1" si="103"/>
        <v>0</v>
      </c>
      <c r="BK403" s="126">
        <f t="shared" ca="1" si="104"/>
        <v>0</v>
      </c>
      <c r="BL403" s="126">
        <f t="shared" ca="1" si="105"/>
        <v>0</v>
      </c>
      <c r="BM403" s="126">
        <f t="shared" ca="1" si="106"/>
        <v>0</v>
      </c>
      <c r="BN403" s="196"/>
      <c r="BO403" s="601" t="s">
        <v>2255</v>
      </c>
      <c r="BP403" s="196" t="s">
        <v>2256</v>
      </c>
      <c r="BQ403" s="76"/>
      <c r="BR403" s="76"/>
      <c r="BS403" s="702" t="s">
        <v>1247</v>
      </c>
      <c r="BT403" s="702"/>
      <c r="BU403" s="702"/>
      <c r="BV403" s="511"/>
      <c r="BW403" s="511"/>
    </row>
    <row r="404" spans="1:75" ht="14.25" customHeight="1" x14ac:dyDescent="0.15">
      <c r="B404" s="329" t="b" cm="1">
        <f t="array" ref="B404">B403</f>
        <v>1</v>
      </c>
      <c r="E404" s="507">
        <v>15</v>
      </c>
      <c r="F404" s="3" t="str" cm="1">
        <f t="array" aca="1" ref="F404" ca="1">OFFSET(E404,-1,1)</f>
        <v>2</v>
      </c>
      <c r="I404" s="72" t="s">
        <v>560</v>
      </c>
      <c r="K404" s="72" t="s">
        <v>560</v>
      </c>
      <c r="L404" s="25" t="s">
        <v>574</v>
      </c>
      <c r="M404" s="25"/>
      <c r="T404" s="353" t="b" cm="1">
        <f t="array" aca="1" ref="T404" ca="1">T403</f>
        <v>1</v>
      </c>
      <c r="X404" s="990"/>
      <c r="Z404" s="967"/>
      <c r="AB404" s="133" t="s">
        <v>697</v>
      </c>
      <c r="AC404" s="127" t="s">
        <v>1843</v>
      </c>
      <c r="AD404" s="7" t="s">
        <v>828</v>
      </c>
      <c r="AE404" s="128">
        <f ca="1">SUMIFS('ИП + источники'!AF$27:AF$145,'ИП + источники'!$F$27:$F$145,$F404,'ИП + источники'!$AC$27:$AC$145,"Амортизационные отчисления")+SUMIFS('ИП + источники'!AF$27:AF$145,'ИП + источники'!$F$27:$F$145,$F404,'ИП + источники'!$AC$27:$AC$145,"погашение займов и кредитов из амортизации")</f>
        <v>0</v>
      </c>
      <c r="AF404" s="128">
        <f ca="1">SUMIFS('ИП + источники'!AG$27:AG$145,'ИП + источники'!$F$27:$F$145,$F404,'ИП + источники'!$AC$27:$AC$145,"Амортизационные отчисления")+SUMIFS('ИП + источники'!AG$27:AG$145,'ИП + источники'!$F$27:$F$145,$F404,'ИП + источники'!$AC$27:$AC$145,"погашение займов и кредитов из амортизации")</f>
        <v>0</v>
      </c>
      <c r="AG404" s="128">
        <f ca="1">SUMIFS('ИП + источники'!AH$27:AH$145,'ИП + источники'!$F$27:$F$145,$F404,'ИП + источники'!$AC$27:$AC$145,"Амортизационные отчисления")+SUMIFS('ИП + источники'!AH$27:AH$145,'ИП + источники'!$F$27:$F$145,$F404,'ИП + источники'!$AC$27:$AC$145,"погашение займов и кредитов из амортизации")</f>
        <v>0</v>
      </c>
      <c r="AH404" s="171">
        <f t="shared" ca="1" si="95"/>
        <v>0</v>
      </c>
      <c r="AI404" s="128">
        <f ca="1">SUMIFS('ИП + источники'!AJ$27:AJ$145,'ИП + источники'!$F$27:$F$145,$F404,'ИП + источники'!$AC$27:$AC$145,"Амортизационные отчисления")+SUMIFS('ИП + источники'!AJ$27:AJ$145,'ИП + источники'!$F$27:$F$145,$F404,'ИП + источники'!$AC$27:$AC$145,"погашение займов и кредитов из амортизации")</f>
        <v>0</v>
      </c>
      <c r="AJ404" s="128">
        <f ca="1">SUMIFS('ИП + источники'!AK$27:AK$145,'ИП + источники'!$F$27:$F$145,$F404,'ИП + источники'!$AC$27:$AC$145,"Амортизационные отчисления")+SUMIFS('ИП + источники'!AK$27:AK$145,'ИП + источники'!$F$27:$F$145,$F404,'ИП + источники'!$AC$27:$AC$145,"погашение займов и кредитов из амортизации")</f>
        <v>0</v>
      </c>
      <c r="AK404" s="778">
        <f ca="1">SUMIFS('ИП + источники'!AL$27:AL$145,'ИП + источники'!$F$27:$F$145,$F404,'ИП + источники'!$AC$27:$AC$145,"Амортизационные отчисления")+SUMIFS('ИП + источники'!AL$27:AL$145,'ИП + источники'!$F$27:$F$145,$F404,'ИП + источники'!$AC$27:$AC$145,"погашение займов и кредитов из амортизации")</f>
        <v>0</v>
      </c>
      <c r="AL404" s="778">
        <f ca="1">SUMIFS('ИП + источники'!AM$27:AM$145,'ИП + источники'!$F$27:$F$145,$F404,'ИП + источники'!$AC$27:$AC$145,"Амортизационные отчисления")+SUMIFS('ИП + источники'!AM$27:AM$145,'ИП + источники'!$F$27:$F$145,$F404,'ИП + источники'!$AC$27:$AC$145,"погашение займов и кредитов из амортизации")</f>
        <v>0</v>
      </c>
      <c r="AM404" s="128">
        <f ca="1">SUMIFS('ИП + источники'!AN$27:AN$145,'ИП + источники'!$F$27:$F$145,$F404,'ИП + источники'!$AC$27:$AC$145,"Амортизационные отчисления")+SUMIFS('ИП + источники'!AN$27:AN$145,'ИП + источники'!$F$27:$F$145,$F404,'ИП + источники'!$AC$27:$AC$145,"погашение займов и кредитов из амортизации")</f>
        <v>0</v>
      </c>
      <c r="AN404" s="128">
        <f ca="1">SUMIFS('ИП + источники'!AO$27:AO$145,'ИП + источники'!$F$27:$F$145,$F404,'ИП + источники'!$AC$27:$AC$145,"Амортизационные отчисления")+SUMIFS('ИП + источники'!AO$27:AO$145,'ИП + источники'!$F$27:$F$145,$F404,'ИП + источники'!$AC$27:$AC$145,"погашение займов и кредитов из амортизации")</f>
        <v>0</v>
      </c>
      <c r="AO404" s="128">
        <f ca="1">SUMIFS('ИП + источники'!AP$27:AP$145,'ИП + источники'!$F$27:$F$145,$F404,'ИП + источники'!$AC$27:$AC$145,"Амортизационные отчисления")+SUMIFS('ИП + источники'!AP$27:AP$145,'ИП + источники'!$F$27:$F$145,$F404,'ИП + источники'!$AC$27:$AC$145,"погашение займов и кредитов из амортизации")</f>
        <v>0</v>
      </c>
      <c r="AP404" s="128">
        <f ca="1">SUMIFS('ИП + источники'!AQ$27:AQ$145,'ИП + источники'!$F$27:$F$145,$F404,'ИП + источники'!$AC$27:$AC$145,"Амортизационные отчисления")+SUMIFS('ИП + источники'!AQ$27:AQ$145,'ИП + источники'!$F$27:$F$145,$F404,'ИП + источники'!$AC$27:$AC$145,"погашение займов и кредитов из амортизации")</f>
        <v>0</v>
      </c>
      <c r="AQ404" s="128">
        <f ca="1">SUMIFS('ИП + источники'!AR$27:AR$145,'ИП + источники'!$F$27:$F$145,$F404,'ИП + источники'!$AC$27:$AC$145,"Амортизационные отчисления")+SUMIFS('ИП + источники'!AR$27:AR$145,'ИП + источники'!$F$27:$F$145,$F404,'ИП + источники'!$AC$27:$AC$145,"погашение займов и кредитов из амортизации")</f>
        <v>0</v>
      </c>
      <c r="AR404" s="128">
        <f ca="1">SUMIFS('ИП + источники'!AS$27:AS$145,'ИП + источники'!$F$27:$F$145,$F404,'ИП + источники'!$AC$27:$AC$145,"Амортизационные отчисления")+SUMIFS('ИП + источники'!AS$27:AS$145,'ИП + источники'!$F$27:$F$145,$F404,'ИП + источники'!$AC$27:$AC$145,"погашение займов и кредитов из амортизации")</f>
        <v>0</v>
      </c>
      <c r="AS404" s="128">
        <f ca="1">SUMIFS('ИП + источники'!AT$27:AT$145,'ИП + источники'!$F$27:$F$145,$F404,'ИП + источники'!$AC$27:$AC$145,"Амортизационные отчисления")+SUMIFS('ИП + источники'!AT$27:AT$145,'ИП + источники'!$F$27:$F$145,$F404,'ИП + источники'!$AC$27:$AC$145,"погашение займов и кредитов из амортизации")</f>
        <v>0</v>
      </c>
      <c r="AT404" s="128">
        <f ca="1">SUMIFS('ИП + источники'!AU$27:AU$145,'ИП + источники'!$F$27:$F$145,$F404,'ИП + источники'!$AC$27:$AC$145,"Амортизационные отчисления")+SUMIFS('ИП + источники'!AU$27:AU$145,'ИП + источники'!$F$27:$F$145,$F404,'ИП + источники'!$AC$27:$AC$145,"погашение займов и кредитов из амортизации")</f>
        <v>0</v>
      </c>
      <c r="AU404" s="778">
        <f ca="1">SUMIFS('ИП + источники'!AV$27:AV$145,'ИП + источники'!$F$27:$F$145,$F404,'ИП + источники'!$AC$27:$AC$145,"Амортизационные отчисления")+SUMIFS('ИП + источники'!AV$27:AV$145,'ИП + источники'!$F$27:$F$145,$F404,'ИП + источники'!$AC$27:$AC$145,"погашение займов и кредитов из амортизации")</f>
        <v>0</v>
      </c>
      <c r="AV404" s="778">
        <f ca="1">SUMIFS('ИП + источники'!AW$27:AW$145,'ИП + источники'!$F$27:$F$145,$F404,'ИП + источники'!$AC$27:$AC$145,"Амортизационные отчисления")+SUMIFS('ИП + источники'!AW$27:AW$145,'ИП + источники'!$F$27:$F$145,$F404,'ИП + источники'!$AC$27:$AC$145,"погашение займов и кредитов из амортизации")</f>
        <v>0</v>
      </c>
      <c r="AW404" s="128">
        <f ca="1">SUMIFS('ИП + источники'!AX$27:AX$145,'ИП + источники'!$F$27:$F$145,$F404,'ИП + источники'!$AC$27:$AC$145,"Амортизационные отчисления")+SUMIFS('ИП + источники'!AX$27:AX$145,'ИП + источники'!$F$27:$F$145,$F404,'ИП + источники'!$AC$27:$AC$145,"погашение займов и кредитов из амортизации")</f>
        <v>0</v>
      </c>
      <c r="AX404" s="128">
        <f ca="1">SUMIFS('ИП + источники'!AY$27:AY$145,'ИП + источники'!$F$27:$F$145,$F404,'ИП + источники'!$AC$27:$AC$145,"Амортизационные отчисления")+SUMIFS('ИП + источники'!AY$27:AY$145,'ИП + источники'!$F$27:$F$145,$F404,'ИП + источники'!$AC$27:$AC$145,"погашение займов и кредитов из амортизации")</f>
        <v>0</v>
      </c>
      <c r="AY404" s="128">
        <f ca="1">SUMIFS('ИП + источники'!AZ$27:AZ$145,'ИП + источники'!$F$27:$F$145,$F404,'ИП + источники'!$AC$27:$AC$145,"Амортизационные отчисления")+SUMIFS('ИП + источники'!AZ$27:AZ$145,'ИП + источники'!$F$27:$F$145,$F404,'ИП + источники'!$AC$27:$AC$145,"погашение займов и кредитов из амортизации")</f>
        <v>0</v>
      </c>
      <c r="AZ404" s="128">
        <f ca="1">SUMIFS('ИП + источники'!BA$27:BA$145,'ИП + источники'!$F$27:$F$145,$F404,'ИП + источники'!$AC$27:$AC$145,"Амортизационные отчисления")+SUMIFS('ИП + источники'!BA$27:BA$145,'ИП + источники'!$F$27:$F$145,$F404,'ИП + источники'!$AC$27:$AC$145,"погашение займов и кредитов из амортизации")</f>
        <v>0</v>
      </c>
      <c r="BA404" s="128">
        <f ca="1">SUMIFS('ИП + источники'!BB$27:BB$145,'ИП + источники'!$F$27:$F$145,$F404,'ИП + источники'!$AC$27:$AC$145,"Амортизационные отчисления")+SUMIFS('ИП + источники'!BB$27:BB$145,'ИП + источники'!$F$27:$F$145,$F404,'ИП + источники'!$AC$27:$AC$145,"погашение займов и кредитов из амортизации")</f>
        <v>0</v>
      </c>
      <c r="BB404" s="128">
        <f ca="1">SUMIFS('ИП + источники'!BC$27:BC$145,'ИП + источники'!$F$27:$F$145,$F404,'ИП + источники'!$AC$27:$AC$145,"Амортизационные отчисления")+SUMIFS('ИП + источники'!BC$27:BC$145,'ИП + источники'!$F$27:$F$145,$F404,'ИП + источники'!$AC$27:$AC$145,"погашение займов и кредитов из амортизации")</f>
        <v>0</v>
      </c>
      <c r="BC404" s="128">
        <f ca="1">SUMIFS('ИП + источники'!BD$27:BD$145,'ИП + источники'!$F$27:$F$145,$F404,'ИП + источники'!$AC$27:$AC$145,"Амортизационные отчисления")+SUMIFS('ИП + источники'!BD$27:BD$145,'ИП + источники'!$F$27:$F$145,$F404,'ИП + источники'!$AC$27:$AC$145,"погашение займов и кредитов из амортизации")</f>
        <v>0</v>
      </c>
      <c r="BD404" s="171">
        <f t="shared" ca="1" si="97"/>
        <v>0</v>
      </c>
      <c r="BE404" s="171">
        <f t="shared" ca="1" si="98"/>
        <v>0</v>
      </c>
      <c r="BF404" s="171">
        <f t="shared" ca="1" si="99"/>
        <v>0</v>
      </c>
      <c r="BG404" s="171">
        <f t="shared" ca="1" si="100"/>
        <v>0</v>
      </c>
      <c r="BH404" s="171">
        <f t="shared" ca="1" si="101"/>
        <v>0</v>
      </c>
      <c r="BI404" s="171">
        <f t="shared" ca="1" si="102"/>
        <v>0</v>
      </c>
      <c r="BJ404" s="171">
        <f t="shared" ca="1" si="103"/>
        <v>0</v>
      </c>
      <c r="BK404" s="171">
        <f t="shared" ca="1" si="104"/>
        <v>0</v>
      </c>
      <c r="BL404" s="171">
        <f t="shared" ca="1" si="105"/>
        <v>0</v>
      </c>
      <c r="BM404" s="171">
        <f t="shared" ca="1" si="106"/>
        <v>0</v>
      </c>
      <c r="BN404" s="196"/>
      <c r="BO404" s="196"/>
      <c r="BP404" s="196"/>
      <c r="BS404" s="696" t="s">
        <v>1844</v>
      </c>
    </row>
    <row r="405" spans="1:75" s="870" customFormat="1" ht="33.75" customHeight="1" x14ac:dyDescent="0.25">
      <c r="A405" s="76"/>
      <c r="B405" s="329" t="b" cm="1">
        <f t="array" ref="B405">B404</f>
        <v>1</v>
      </c>
      <c r="C405" s="76"/>
      <c r="D405" s="76"/>
      <c r="E405" s="511">
        <v>21</v>
      </c>
      <c r="F405" s="3" t="str" cm="1">
        <f t="array" aca="1" ref="F405" ca="1">OFFSET(E405,-1,1)</f>
        <v>2</v>
      </c>
      <c r="G405" s="72" t="s">
        <v>1513</v>
      </c>
      <c r="H405" s="72"/>
      <c r="I405" s="72" t="s">
        <v>334</v>
      </c>
      <c r="J405" s="76"/>
      <c r="K405" s="72" t="s">
        <v>334</v>
      </c>
      <c r="L405" s="27" t="s">
        <v>586</v>
      </c>
      <c r="M405" s="27"/>
      <c r="N405" s="76"/>
      <c r="O405" s="76"/>
      <c r="P405" s="76"/>
      <c r="Q405" s="76"/>
      <c r="R405" s="76"/>
      <c r="S405" s="76"/>
      <c r="T405" s="353" t="b" cm="1">
        <f t="array" aca="1" ref="T405" ca="1">T404</f>
        <v>1</v>
      </c>
      <c r="U405" s="76"/>
      <c r="V405" s="76"/>
      <c r="W405" s="76"/>
      <c r="X405" s="990"/>
      <c r="Y405" s="76"/>
      <c r="Z405" s="967"/>
      <c r="AA405" s="76"/>
      <c r="AB405" s="131" t="s">
        <v>460</v>
      </c>
      <c r="AC405" s="125" t="s">
        <v>1513</v>
      </c>
      <c r="AD405" s="147" t="s">
        <v>828</v>
      </c>
      <c r="AE405" s="126">
        <f ca="1">AE406+AE407+AE408+AE409</f>
        <v>0</v>
      </c>
      <c r="AF405" s="126">
        <f ca="1">AF406+AF407+AF408+AF409</f>
        <v>0</v>
      </c>
      <c r="AG405" s="126">
        <f ca="1">AG406+AG407+AG408+AG409</f>
        <v>0</v>
      </c>
      <c r="AH405" s="126">
        <f t="shared" ca="1" si="95"/>
        <v>0</v>
      </c>
      <c r="AI405" s="126">
        <f t="shared" ref="AI405:BC405" ca="1" si="110">AI406+AI407+AI408+AI409</f>
        <v>0</v>
      </c>
      <c r="AJ405" s="126">
        <f t="shared" ca="1" si="110"/>
        <v>0</v>
      </c>
      <c r="AK405" s="126">
        <f t="shared" ca="1" si="110"/>
        <v>0</v>
      </c>
      <c r="AL405" s="126">
        <f t="shared" ca="1" si="110"/>
        <v>0</v>
      </c>
      <c r="AM405" s="126">
        <f t="shared" ca="1" si="110"/>
        <v>0</v>
      </c>
      <c r="AN405" s="126">
        <f t="shared" ca="1" si="110"/>
        <v>0</v>
      </c>
      <c r="AO405" s="126">
        <f t="shared" ca="1" si="110"/>
        <v>0</v>
      </c>
      <c r="AP405" s="126">
        <f t="shared" ca="1" si="110"/>
        <v>0</v>
      </c>
      <c r="AQ405" s="126">
        <f t="shared" ca="1" si="110"/>
        <v>0</v>
      </c>
      <c r="AR405" s="126">
        <f t="shared" ca="1" si="110"/>
        <v>0</v>
      </c>
      <c r="AS405" s="126">
        <f t="shared" ca="1" si="110"/>
        <v>0</v>
      </c>
      <c r="AT405" s="126">
        <f t="shared" ca="1" si="110"/>
        <v>0</v>
      </c>
      <c r="AU405" s="126">
        <f t="shared" ca="1" si="110"/>
        <v>0</v>
      </c>
      <c r="AV405" s="126">
        <f t="shared" ca="1" si="110"/>
        <v>0</v>
      </c>
      <c r="AW405" s="126">
        <f t="shared" ca="1" si="110"/>
        <v>0</v>
      </c>
      <c r="AX405" s="126">
        <f t="shared" ca="1" si="110"/>
        <v>0</v>
      </c>
      <c r="AY405" s="126">
        <f t="shared" ca="1" si="110"/>
        <v>0</v>
      </c>
      <c r="AZ405" s="126">
        <f t="shared" ca="1" si="110"/>
        <v>0</v>
      </c>
      <c r="BA405" s="126">
        <f t="shared" ca="1" si="110"/>
        <v>0</v>
      </c>
      <c r="BB405" s="126">
        <f t="shared" ca="1" si="110"/>
        <v>0</v>
      </c>
      <c r="BC405" s="126">
        <f t="shared" ca="1" si="110"/>
        <v>0</v>
      </c>
      <c r="BD405" s="126">
        <f t="shared" ca="1" si="97"/>
        <v>0</v>
      </c>
      <c r="BE405" s="126">
        <f t="shared" ca="1" si="98"/>
        <v>0</v>
      </c>
      <c r="BF405" s="126">
        <f t="shared" ca="1" si="99"/>
        <v>0</v>
      </c>
      <c r="BG405" s="126">
        <f t="shared" ca="1" si="100"/>
        <v>0</v>
      </c>
      <c r="BH405" s="126">
        <f t="shared" ca="1" si="101"/>
        <v>0</v>
      </c>
      <c r="BI405" s="126">
        <f t="shared" ca="1" si="102"/>
        <v>0</v>
      </c>
      <c r="BJ405" s="126">
        <f t="shared" ca="1" si="103"/>
        <v>0</v>
      </c>
      <c r="BK405" s="126">
        <f t="shared" ca="1" si="104"/>
        <v>0</v>
      </c>
      <c r="BL405" s="126">
        <f t="shared" ca="1" si="105"/>
        <v>0</v>
      </c>
      <c r="BM405" s="126">
        <f t="shared" ca="1" si="106"/>
        <v>0</v>
      </c>
      <c r="BN405" s="196"/>
      <c r="BO405" s="196" t="s">
        <v>2257</v>
      </c>
      <c r="BP405" s="196"/>
      <c r="BQ405" s="76"/>
      <c r="BR405" s="76"/>
      <c r="BS405" s="695" t="s">
        <v>1517</v>
      </c>
      <c r="BT405" s="702"/>
      <c r="BU405" s="702"/>
      <c r="BV405" s="511"/>
      <c r="BW405" s="511"/>
    </row>
    <row r="406" spans="1:75" ht="14.25" customHeight="1" x14ac:dyDescent="0.15">
      <c r="B406" s="329" t="b" cm="1">
        <f t="array" ref="B406">B405</f>
        <v>1</v>
      </c>
      <c r="E406" s="507">
        <v>15</v>
      </c>
      <c r="F406" s="3" t="str" cm="1">
        <f t="array" aca="1" ref="F406" ca="1">OFFSET(E406,-1,1)</f>
        <v>2</v>
      </c>
      <c r="I406" s="72" t="s">
        <v>574</v>
      </c>
      <c r="K406" s="72" t="s">
        <v>574</v>
      </c>
      <c r="L406" s="25"/>
      <c r="M406" s="25"/>
      <c r="T406" s="353" t="b" cm="1">
        <f t="array" aca="1" ref="T406" ca="1">T405</f>
        <v>1</v>
      </c>
      <c r="X406" s="990"/>
      <c r="Z406" s="967"/>
      <c r="AB406" s="133" t="s">
        <v>704</v>
      </c>
      <c r="AC406" s="127" t="s">
        <v>2146</v>
      </c>
      <c r="AD406" s="7" t="s">
        <v>828</v>
      </c>
      <c r="AE406" s="128">
        <f ca="1">SUMIFS('ИП + источники'!AF$27:AF$145,'ИП + источники'!$F$27:$F$145,$F406,'ИП + источники'!$AC$27:$AC$145,"погашение займов и кредитов из нормативной прибыли")</f>
        <v>0</v>
      </c>
      <c r="AF406" s="128">
        <f ca="1">SUMIFS('ИП + источники'!AG$27:AG$145,'ИП + источники'!$F$27:$F$145,$F406,'ИП + источники'!$AC$27:$AC$145,"погашение займов и кредитов из нормативной прибыли")</f>
        <v>0</v>
      </c>
      <c r="AG406" s="128">
        <f ca="1">SUMIFS('ИП + источники'!AH$27:AH$145,'ИП + источники'!$F$27:$F$145,$F406,'ИП + источники'!$AC$27:$AC$145,"погашение займов и кредитов из нормативной прибыли")</f>
        <v>0</v>
      </c>
      <c r="AH406" s="171">
        <f t="shared" ca="1" si="95"/>
        <v>0</v>
      </c>
      <c r="AI406" s="128">
        <f ca="1">SUMIFS('ИП + источники'!AJ$27:AJ$145,'ИП + источники'!$F$27:$F$145,$F406,'ИП + источники'!$AC$27:$AC$145,"погашение займов и кредитов из нормативной прибыли")</f>
        <v>0</v>
      </c>
      <c r="AJ406" s="128">
        <f ca="1">SUMIFS('ИП + источники'!AK$27:AK$145,'ИП + источники'!$F$27:$F$145,$F406,'ИП + источники'!$AC$27:$AC$145,"погашение займов и кредитов из нормативной прибыли")</f>
        <v>0</v>
      </c>
      <c r="AK406" s="778">
        <f ca="1">SUMIFS('ИП + источники'!AL$27:AL$145,'ИП + источники'!$F$27:$F$145,$F406,'ИП + источники'!$AC$27:$AC$145,"погашение займов и кредитов из нормативной прибыли")</f>
        <v>0</v>
      </c>
      <c r="AL406" s="778">
        <f ca="1">SUMIFS('ИП + источники'!AM$27:AM$145,'ИП + источники'!$F$27:$F$145,$F406,'ИП + источники'!$AC$27:$AC$145,"погашение займов и кредитов из нормативной прибыли")</f>
        <v>0</v>
      </c>
      <c r="AM406" s="128">
        <f ca="1">SUMIFS('ИП + источники'!AN$27:AN$145,'ИП + источники'!$F$27:$F$145,$F406,'ИП + источники'!$AC$27:$AC$145,"погашение займов и кредитов из нормативной прибыли")</f>
        <v>0</v>
      </c>
      <c r="AN406" s="128">
        <f ca="1">SUMIFS('ИП + источники'!AO$27:AO$145,'ИП + источники'!$F$27:$F$145,$F406,'ИП + источники'!$AC$27:$AC$145,"погашение займов и кредитов из нормативной прибыли")</f>
        <v>0</v>
      </c>
      <c r="AO406" s="128">
        <f ca="1">SUMIFS('ИП + источники'!AP$27:AP$145,'ИП + источники'!$F$27:$F$145,$F406,'ИП + источники'!$AC$27:$AC$145,"погашение займов и кредитов из нормативной прибыли")</f>
        <v>0</v>
      </c>
      <c r="AP406" s="128">
        <f ca="1">SUMIFS('ИП + источники'!AQ$27:AQ$145,'ИП + источники'!$F$27:$F$145,$F406,'ИП + источники'!$AC$27:$AC$145,"погашение займов и кредитов из нормативной прибыли")</f>
        <v>0</v>
      </c>
      <c r="AQ406" s="128">
        <f ca="1">SUMIFS('ИП + источники'!AR$27:AR$145,'ИП + источники'!$F$27:$F$145,$F406,'ИП + источники'!$AC$27:$AC$145,"погашение займов и кредитов из нормативной прибыли")</f>
        <v>0</v>
      </c>
      <c r="AR406" s="128">
        <f ca="1">SUMIFS('ИП + источники'!AS$27:AS$145,'ИП + источники'!$F$27:$F$145,$F406,'ИП + источники'!$AC$27:$AC$145,"погашение займов и кредитов из нормативной прибыли")</f>
        <v>0</v>
      </c>
      <c r="AS406" s="128">
        <f ca="1">SUMIFS('ИП + источники'!AT$27:AT$145,'ИП + источники'!$F$27:$F$145,$F406,'ИП + источники'!$AC$27:$AC$145,"погашение займов и кредитов из нормативной прибыли")</f>
        <v>0</v>
      </c>
      <c r="AT406" s="128">
        <f ca="1">SUMIFS('ИП + источники'!AU$27:AU$145,'ИП + источники'!$F$27:$F$145,$F406,'ИП + источники'!$AC$27:$AC$145,"погашение займов и кредитов из нормативной прибыли")</f>
        <v>0</v>
      </c>
      <c r="AU406" s="778">
        <f ca="1">SUMIFS('ИП + источники'!AV$27:AV$145,'ИП + источники'!$F$27:$F$145,$F406,'ИП + источники'!$AC$27:$AC$145,"погашение займов и кредитов из нормативной прибыли")</f>
        <v>0</v>
      </c>
      <c r="AV406" s="778">
        <f ca="1">SUMIFS('ИП + источники'!AW$27:AW$145,'ИП + источники'!$F$27:$F$145,$F406,'ИП + источники'!$AC$27:$AC$145,"погашение займов и кредитов из нормативной прибыли")</f>
        <v>0</v>
      </c>
      <c r="AW406" s="128">
        <f ca="1">SUMIFS('ИП + источники'!AX$27:AX$145,'ИП + источники'!$F$27:$F$145,$F406,'ИП + источники'!$AC$27:$AC$145,"погашение займов и кредитов из нормативной прибыли")</f>
        <v>0</v>
      </c>
      <c r="AX406" s="128">
        <f ca="1">SUMIFS('ИП + источники'!AY$27:AY$145,'ИП + источники'!$F$27:$F$145,$F406,'ИП + источники'!$AC$27:$AC$145,"погашение займов и кредитов из нормативной прибыли")</f>
        <v>0</v>
      </c>
      <c r="AY406" s="128">
        <f ca="1">SUMIFS('ИП + источники'!AZ$27:AZ$145,'ИП + источники'!$F$27:$F$145,$F406,'ИП + источники'!$AC$27:$AC$145,"погашение займов и кредитов из нормативной прибыли")</f>
        <v>0</v>
      </c>
      <c r="AZ406" s="128">
        <f ca="1">SUMIFS('ИП + источники'!BA$27:BA$145,'ИП + источники'!$F$27:$F$145,$F406,'ИП + источники'!$AC$27:$AC$145,"погашение займов и кредитов из нормативной прибыли")</f>
        <v>0</v>
      </c>
      <c r="BA406" s="128">
        <f ca="1">SUMIFS('ИП + источники'!BB$27:BB$145,'ИП + источники'!$F$27:$F$145,$F406,'ИП + источники'!$AC$27:$AC$145,"погашение займов и кредитов из нормативной прибыли")</f>
        <v>0</v>
      </c>
      <c r="BB406" s="128">
        <f ca="1">SUMIFS('ИП + источники'!BC$27:BC$145,'ИП + источники'!$F$27:$F$145,$F406,'ИП + источники'!$AC$27:$AC$145,"погашение займов и кредитов из нормативной прибыли")</f>
        <v>0</v>
      </c>
      <c r="BC406" s="128">
        <f ca="1">SUMIFS('ИП + источники'!BD$27:BD$145,'ИП + источники'!$F$27:$F$145,$F406,'ИП + источники'!$AC$27:$AC$145,"погашение займов и кредитов из нормативной прибыли")</f>
        <v>0</v>
      </c>
      <c r="BD406" s="171">
        <f t="shared" ca="1" si="97"/>
        <v>0</v>
      </c>
      <c r="BE406" s="171">
        <f t="shared" ca="1" si="98"/>
        <v>0</v>
      </c>
      <c r="BF406" s="171">
        <f t="shared" ca="1" si="99"/>
        <v>0</v>
      </c>
      <c r="BG406" s="171">
        <f t="shared" ca="1" si="100"/>
        <v>0</v>
      </c>
      <c r="BH406" s="171">
        <f t="shared" ca="1" si="101"/>
        <v>0</v>
      </c>
      <c r="BI406" s="171">
        <f t="shared" ca="1" si="102"/>
        <v>0</v>
      </c>
      <c r="BJ406" s="171">
        <f t="shared" ca="1" si="103"/>
        <v>0</v>
      </c>
      <c r="BK406" s="171">
        <f t="shared" ca="1" si="104"/>
        <v>0</v>
      </c>
      <c r="BL406" s="171">
        <f t="shared" ca="1" si="105"/>
        <v>0</v>
      </c>
      <c r="BM406" s="171">
        <f t="shared" ca="1" si="106"/>
        <v>0</v>
      </c>
      <c r="BN406" s="196"/>
      <c r="BO406" s="601" t="str">
        <f ca="1">IF(IFERROR(INDEX('ИП + источники'!$K$28:$L$145,MATCH($F406&amp;"2komm",'ИП + источники'!$K$28:$K$145,0),2),"")=0,"",IFERROR(INDEX('ИП + источники'!$K$28:$L$145,MATCH($F406&amp;"2komm",'ИП + источники'!$K$28:$K$145,0),2),""))</f>
        <v/>
      </c>
      <c r="BP406" s="196"/>
      <c r="BS406" s="696" t="s">
        <v>2147</v>
      </c>
    </row>
    <row r="407" spans="1:75" ht="14.25" customHeight="1" x14ac:dyDescent="0.15">
      <c r="B407" s="329" t="b" cm="1">
        <f t="array" ref="B407">B406</f>
        <v>1</v>
      </c>
      <c r="E407" s="507">
        <v>15</v>
      </c>
      <c r="F407" s="3" t="str" cm="1">
        <f t="array" aca="1" ref="F407" ca="1">OFFSET(E407,-1,1)</f>
        <v>2</v>
      </c>
      <c r="I407" s="72" t="s">
        <v>578</v>
      </c>
      <c r="K407" s="72" t="s">
        <v>578</v>
      </c>
      <c r="L407" s="25"/>
      <c r="M407" s="25"/>
      <c r="T407" s="353" t="b" cm="1">
        <f t="array" aca="1" ref="T407" ca="1">T406</f>
        <v>1</v>
      </c>
      <c r="X407" s="990"/>
      <c r="Z407" s="967"/>
      <c r="AB407" s="133" t="s">
        <v>707</v>
      </c>
      <c r="AC407" s="127" t="s">
        <v>2148</v>
      </c>
      <c r="AD407" s="7" t="s">
        <v>828</v>
      </c>
      <c r="AE407" s="128">
        <f ca="1">SUMIFS('ИП + источники'!AF$27:AF$145,'ИП + источники'!$F$27:$F$145,$F407,'ИП + источники'!$AC$27:$AC$145,"уплата процентов по кредитам из нормативной прибыли")</f>
        <v>0</v>
      </c>
      <c r="AF407" s="128">
        <f ca="1">SUMIFS('ИП + источники'!AG$27:AG$145,'ИП + источники'!$F$27:$F$145,$F407,'ИП + источники'!$AC$27:$AC$145,"уплата процентов по кредитам из нормативной прибыли")</f>
        <v>0</v>
      </c>
      <c r="AG407" s="128">
        <f ca="1">SUMIFS('ИП + источники'!AH$27:AH$145,'ИП + источники'!$F$27:$F$145,$F407,'ИП + источники'!$AC$27:$AC$145,"уплата процентов по кредитам из нормативной прибыли")</f>
        <v>0</v>
      </c>
      <c r="AH407" s="171">
        <f t="shared" ca="1" si="95"/>
        <v>0</v>
      </c>
      <c r="AI407" s="128">
        <f ca="1">SUMIFS('ИП + источники'!AJ$27:AJ$145,'ИП + источники'!$F$27:$F$145,$F407,'ИП + источники'!$AC$27:$AC$145,"уплата процентов по кредитам из нормативной прибыли")</f>
        <v>0</v>
      </c>
      <c r="AJ407" s="128">
        <f ca="1">SUMIFS('ИП + источники'!AK$27:AK$145,'ИП + источники'!$F$27:$F$145,$F407,'ИП + источники'!$AC$27:$AC$145,"уплата процентов по кредитам из нормативной прибыли")</f>
        <v>0</v>
      </c>
      <c r="AK407" s="778">
        <f ca="1">SUMIFS('ИП + источники'!AL$27:AL$145,'ИП + источники'!$F$27:$F$145,$F407,'ИП + источники'!$AC$27:$AC$145,"уплата процентов по кредитам из нормативной прибыли")</f>
        <v>0</v>
      </c>
      <c r="AL407" s="778">
        <f ca="1">SUMIFS('ИП + источники'!AM$27:AM$145,'ИП + источники'!$F$27:$F$145,$F407,'ИП + источники'!$AC$27:$AC$145,"уплата процентов по кредитам из нормативной прибыли")</f>
        <v>0</v>
      </c>
      <c r="AM407" s="128">
        <f ca="1">SUMIFS('ИП + источники'!AN$27:AN$145,'ИП + источники'!$F$27:$F$145,$F407,'ИП + источники'!$AC$27:$AC$145,"уплата процентов по кредитам из нормативной прибыли")</f>
        <v>0</v>
      </c>
      <c r="AN407" s="128">
        <f ca="1">SUMIFS('ИП + источники'!AO$27:AO$145,'ИП + источники'!$F$27:$F$145,$F407,'ИП + источники'!$AC$27:$AC$145,"уплата процентов по кредитам из нормативной прибыли")</f>
        <v>0</v>
      </c>
      <c r="AO407" s="128">
        <f ca="1">SUMIFS('ИП + источники'!AP$27:AP$145,'ИП + источники'!$F$27:$F$145,$F407,'ИП + источники'!$AC$27:$AC$145,"уплата процентов по кредитам из нормативной прибыли")</f>
        <v>0</v>
      </c>
      <c r="AP407" s="128">
        <f ca="1">SUMIFS('ИП + источники'!AQ$27:AQ$145,'ИП + источники'!$F$27:$F$145,$F407,'ИП + источники'!$AC$27:$AC$145,"уплата процентов по кредитам из нормативной прибыли")</f>
        <v>0</v>
      </c>
      <c r="AQ407" s="128">
        <f ca="1">SUMIFS('ИП + источники'!AR$27:AR$145,'ИП + источники'!$F$27:$F$145,$F407,'ИП + источники'!$AC$27:$AC$145,"уплата процентов по кредитам из нормативной прибыли")</f>
        <v>0</v>
      </c>
      <c r="AR407" s="128">
        <f ca="1">SUMIFS('ИП + источники'!AS$27:AS$145,'ИП + источники'!$F$27:$F$145,$F407,'ИП + источники'!$AC$27:$AC$145,"уплата процентов по кредитам из нормативной прибыли")</f>
        <v>0</v>
      </c>
      <c r="AS407" s="128">
        <f ca="1">SUMIFS('ИП + источники'!AT$27:AT$145,'ИП + источники'!$F$27:$F$145,$F407,'ИП + источники'!$AC$27:$AC$145,"уплата процентов по кредитам из нормативной прибыли")</f>
        <v>0</v>
      </c>
      <c r="AT407" s="128">
        <f ca="1">SUMIFS('ИП + источники'!AU$27:AU$145,'ИП + источники'!$F$27:$F$145,$F407,'ИП + источники'!$AC$27:$AC$145,"уплата процентов по кредитам из нормативной прибыли")</f>
        <v>0</v>
      </c>
      <c r="AU407" s="778">
        <f ca="1">SUMIFS('ИП + источники'!AV$27:AV$145,'ИП + источники'!$F$27:$F$145,$F407,'ИП + источники'!$AC$27:$AC$145,"уплата процентов по кредитам из нормативной прибыли")</f>
        <v>0</v>
      </c>
      <c r="AV407" s="778">
        <f ca="1">SUMIFS('ИП + источники'!AW$27:AW$145,'ИП + источники'!$F$27:$F$145,$F407,'ИП + источники'!$AC$27:$AC$145,"уплата процентов по кредитам из нормативной прибыли")</f>
        <v>0</v>
      </c>
      <c r="AW407" s="128">
        <f ca="1">SUMIFS('ИП + источники'!AX$27:AX$145,'ИП + источники'!$F$27:$F$145,$F407,'ИП + источники'!$AC$27:$AC$145,"уплата процентов по кредитам из нормативной прибыли")</f>
        <v>0</v>
      </c>
      <c r="AX407" s="128">
        <f ca="1">SUMIFS('ИП + источники'!AY$27:AY$145,'ИП + источники'!$F$27:$F$145,$F407,'ИП + источники'!$AC$27:$AC$145,"уплата процентов по кредитам из нормативной прибыли")</f>
        <v>0</v>
      </c>
      <c r="AY407" s="128">
        <f ca="1">SUMIFS('ИП + источники'!AZ$27:AZ$145,'ИП + источники'!$F$27:$F$145,$F407,'ИП + источники'!$AC$27:$AC$145,"уплата процентов по кредитам из нормативной прибыли")</f>
        <v>0</v>
      </c>
      <c r="AZ407" s="128">
        <f ca="1">SUMIFS('ИП + источники'!BA$27:BA$145,'ИП + источники'!$F$27:$F$145,$F407,'ИП + источники'!$AC$27:$AC$145,"уплата процентов по кредитам из нормативной прибыли")</f>
        <v>0</v>
      </c>
      <c r="BA407" s="128">
        <f ca="1">SUMIFS('ИП + источники'!BB$27:BB$145,'ИП + источники'!$F$27:$F$145,$F407,'ИП + источники'!$AC$27:$AC$145,"уплата процентов по кредитам из нормативной прибыли")</f>
        <v>0</v>
      </c>
      <c r="BB407" s="128">
        <f ca="1">SUMIFS('ИП + источники'!BC$27:BC$145,'ИП + источники'!$F$27:$F$145,$F407,'ИП + источники'!$AC$27:$AC$145,"уплата процентов по кредитам из нормативной прибыли")</f>
        <v>0</v>
      </c>
      <c r="BC407" s="128">
        <f ca="1">SUMIFS('ИП + источники'!BD$27:BD$145,'ИП + источники'!$F$27:$F$145,$F407,'ИП + источники'!$AC$27:$AC$145,"уплата процентов по кредитам из нормативной прибыли")</f>
        <v>0</v>
      </c>
      <c r="BD407" s="171">
        <f t="shared" ca="1" si="97"/>
        <v>0</v>
      </c>
      <c r="BE407" s="171">
        <f t="shared" ca="1" si="98"/>
        <v>0</v>
      </c>
      <c r="BF407" s="171">
        <f t="shared" ca="1" si="99"/>
        <v>0</v>
      </c>
      <c r="BG407" s="171">
        <f t="shared" ca="1" si="100"/>
        <v>0</v>
      </c>
      <c r="BH407" s="171">
        <f t="shared" ca="1" si="101"/>
        <v>0</v>
      </c>
      <c r="BI407" s="171">
        <f t="shared" ca="1" si="102"/>
        <v>0</v>
      </c>
      <c r="BJ407" s="171">
        <f t="shared" ca="1" si="103"/>
        <v>0</v>
      </c>
      <c r="BK407" s="171">
        <f t="shared" ca="1" si="104"/>
        <v>0</v>
      </c>
      <c r="BL407" s="171">
        <f t="shared" ca="1" si="105"/>
        <v>0</v>
      </c>
      <c r="BM407" s="171">
        <f t="shared" ca="1" si="106"/>
        <v>0</v>
      </c>
      <c r="BN407" s="196"/>
      <c r="BO407" s="601" t="str">
        <f ca="1">IF(IFERROR(INDEX('ИП + источники'!$K$28:$L$145,MATCH($F407&amp;"3komm",'ИП + источники'!$K$28:$K$145,0),2),"")=0,"",IFERROR(INDEX('ИП + источники'!$K$28:$L$145,MATCH($F407&amp;"3komm",'ИП + источники'!$K$28:$K$145,0),2),""))</f>
        <v/>
      </c>
      <c r="BP407" s="196"/>
      <c r="BS407" s="696" t="s">
        <v>2149</v>
      </c>
    </row>
    <row r="408" spans="1:75" ht="14.25" customHeight="1" x14ac:dyDescent="0.15">
      <c r="B408" s="329" t="b" cm="1">
        <f t="array" ref="B408">B407</f>
        <v>1</v>
      </c>
      <c r="E408" s="507">
        <v>15</v>
      </c>
      <c r="F408" s="3" t="str" cm="1">
        <f t="array" aca="1" ref="F408" ca="1">OFFSET(E408,-1,1)</f>
        <v>2</v>
      </c>
      <c r="I408" s="72" t="s">
        <v>794</v>
      </c>
      <c r="K408" s="72" t="s">
        <v>794</v>
      </c>
      <c r="L408" s="25" t="s">
        <v>593</v>
      </c>
      <c r="M408" s="25"/>
      <c r="T408" s="353" t="b" cm="1">
        <f t="array" aca="1" ref="T408" ca="1">T407</f>
        <v>1</v>
      </c>
      <c r="X408" s="990"/>
      <c r="Z408" s="967"/>
      <c r="AB408" s="133" t="s">
        <v>994</v>
      </c>
      <c r="AC408" s="127" t="s">
        <v>2150</v>
      </c>
      <c r="AD408" s="7" t="s">
        <v>828</v>
      </c>
      <c r="AE408" s="128">
        <f ca="1">SUMIFS('ИП + источники'!AF$27:AF$145,'ИП + источники'!$F$27:$F$145,$F408,'ИП + источники'!$AC$27:$AC$145,"Прибыль на капвложения")</f>
        <v>0</v>
      </c>
      <c r="AF408" s="128">
        <f ca="1">SUMIFS('ИП + источники'!AG$27:AG$145,'ИП + источники'!$F$27:$F$145,$F408,'ИП + источники'!$AC$27:$AC$145,"Прибыль на капвложения")</f>
        <v>0</v>
      </c>
      <c r="AG408" s="128">
        <f ca="1">SUMIFS('ИП + источники'!AH$27:AH$145,'ИП + источники'!$F$27:$F$145,$F408,'ИП + источники'!$AC$27:$AC$145,"Прибыль на капвложения")</f>
        <v>0</v>
      </c>
      <c r="AH408" s="171">
        <f t="shared" ca="1" si="95"/>
        <v>0</v>
      </c>
      <c r="AI408" s="128">
        <f ca="1">SUMIFS('ИП + источники'!AJ$27:AJ$145,'ИП + источники'!$F$27:$F$145,$F408,'ИП + источники'!$AC$27:$AC$145,"Прибыль на капвложения")</f>
        <v>0</v>
      </c>
      <c r="AJ408" s="128">
        <f ca="1">SUMIFS('ИП + источники'!AK$27:AK$145,'ИП + источники'!$F$27:$F$145,$F408,'ИП + источники'!$AC$27:$AC$145,"Прибыль на капвложения")</f>
        <v>0</v>
      </c>
      <c r="AK408" s="778">
        <f ca="1">SUMIFS('ИП + источники'!AL$27:AL$145,'ИП + источники'!$F$27:$F$145,$F408,'ИП + источники'!$AC$27:$AC$145,"Прибыль на капвложения")</f>
        <v>0</v>
      </c>
      <c r="AL408" s="778">
        <f ca="1">SUMIFS('ИП + источники'!AM$27:AM$145,'ИП + источники'!$F$27:$F$145,$F408,'ИП + источники'!$AC$27:$AC$145,"Прибыль на капвложения")</f>
        <v>0</v>
      </c>
      <c r="AM408" s="128">
        <f ca="1">SUMIFS('ИП + источники'!AN$27:AN$145,'ИП + источники'!$F$27:$F$145,$F408,'ИП + источники'!$AC$27:$AC$145,"Прибыль на капвложения")</f>
        <v>0</v>
      </c>
      <c r="AN408" s="128">
        <f ca="1">SUMIFS('ИП + источники'!AO$27:AO$145,'ИП + источники'!$F$27:$F$145,$F408,'ИП + источники'!$AC$27:$AC$145,"Прибыль на капвложения")</f>
        <v>0</v>
      </c>
      <c r="AO408" s="128">
        <f ca="1">SUMIFS('ИП + источники'!AP$27:AP$145,'ИП + источники'!$F$27:$F$145,$F408,'ИП + источники'!$AC$27:$AC$145,"Прибыль на капвложения")</f>
        <v>0</v>
      </c>
      <c r="AP408" s="128">
        <f ca="1">SUMIFS('ИП + источники'!AQ$27:AQ$145,'ИП + источники'!$F$27:$F$145,$F408,'ИП + источники'!$AC$27:$AC$145,"Прибыль на капвложения")</f>
        <v>0</v>
      </c>
      <c r="AQ408" s="128">
        <f ca="1">SUMIFS('ИП + источники'!AR$27:AR$145,'ИП + источники'!$F$27:$F$145,$F408,'ИП + источники'!$AC$27:$AC$145,"Прибыль на капвложения")</f>
        <v>0</v>
      </c>
      <c r="AR408" s="128">
        <f ca="1">SUMIFS('ИП + источники'!AS$27:AS$145,'ИП + источники'!$F$27:$F$145,$F408,'ИП + источники'!$AC$27:$AC$145,"Прибыль на капвложения")</f>
        <v>0</v>
      </c>
      <c r="AS408" s="128">
        <f ca="1">SUMIFS('ИП + источники'!AT$27:AT$145,'ИП + источники'!$F$27:$F$145,$F408,'ИП + источники'!$AC$27:$AC$145,"Прибыль на капвложения")</f>
        <v>0</v>
      </c>
      <c r="AT408" s="128">
        <f ca="1">SUMIFS('ИП + источники'!AU$27:AU$145,'ИП + источники'!$F$27:$F$145,$F408,'ИП + источники'!$AC$27:$AC$145,"Прибыль на капвложения")</f>
        <v>0</v>
      </c>
      <c r="AU408" s="778">
        <f ca="1">SUMIFS('ИП + источники'!AV$27:AV$145,'ИП + источники'!$F$27:$F$145,$F408,'ИП + источники'!$AC$27:$AC$145,"Прибыль на капвложения")</f>
        <v>0</v>
      </c>
      <c r="AV408" s="778">
        <f ca="1">SUMIFS('ИП + источники'!AW$27:AW$145,'ИП + источники'!$F$27:$F$145,$F408,'ИП + источники'!$AC$27:$AC$145,"Прибыль на капвложения")</f>
        <v>0</v>
      </c>
      <c r="AW408" s="128">
        <f ca="1">SUMIFS('ИП + источники'!AX$27:AX$145,'ИП + источники'!$F$27:$F$145,$F408,'ИП + источники'!$AC$27:$AC$145,"Прибыль на капвложения")</f>
        <v>0</v>
      </c>
      <c r="AX408" s="128">
        <f ca="1">SUMIFS('ИП + источники'!AY$27:AY$145,'ИП + источники'!$F$27:$F$145,$F408,'ИП + источники'!$AC$27:$AC$145,"Прибыль на капвложения")</f>
        <v>0</v>
      </c>
      <c r="AY408" s="128">
        <f ca="1">SUMIFS('ИП + источники'!AZ$27:AZ$145,'ИП + источники'!$F$27:$F$145,$F408,'ИП + источники'!$AC$27:$AC$145,"Прибыль на капвложения")</f>
        <v>0</v>
      </c>
      <c r="AZ408" s="128">
        <f ca="1">SUMIFS('ИП + источники'!BA$27:BA$145,'ИП + источники'!$F$27:$F$145,$F408,'ИП + источники'!$AC$27:$AC$145,"Прибыль на капвложения")</f>
        <v>0</v>
      </c>
      <c r="BA408" s="128">
        <f ca="1">SUMIFS('ИП + источники'!BB$27:BB$145,'ИП + источники'!$F$27:$F$145,$F408,'ИП + источники'!$AC$27:$AC$145,"Прибыль на капвложения")</f>
        <v>0</v>
      </c>
      <c r="BB408" s="128">
        <f ca="1">SUMIFS('ИП + источники'!BC$27:BC$145,'ИП + источники'!$F$27:$F$145,$F408,'ИП + источники'!$AC$27:$AC$145,"Прибыль на капвложения")</f>
        <v>0</v>
      </c>
      <c r="BC408" s="128">
        <f ca="1">SUMIFS('ИП + источники'!BD$27:BD$145,'ИП + источники'!$F$27:$F$145,$F408,'ИП + источники'!$AC$27:$AC$145,"Прибыль на капвложения")</f>
        <v>0</v>
      </c>
      <c r="BD408" s="171">
        <f t="shared" ca="1" si="97"/>
        <v>0</v>
      </c>
      <c r="BE408" s="171">
        <f t="shared" ca="1" si="98"/>
        <v>0</v>
      </c>
      <c r="BF408" s="171">
        <f t="shared" ca="1" si="99"/>
        <v>0</v>
      </c>
      <c r="BG408" s="171">
        <f t="shared" ca="1" si="100"/>
        <v>0</v>
      </c>
      <c r="BH408" s="171">
        <f t="shared" ca="1" si="101"/>
        <v>0</v>
      </c>
      <c r="BI408" s="171">
        <f t="shared" ca="1" si="102"/>
        <v>0</v>
      </c>
      <c r="BJ408" s="171">
        <f t="shared" ca="1" si="103"/>
        <v>0</v>
      </c>
      <c r="BK408" s="171">
        <f t="shared" ca="1" si="104"/>
        <v>0</v>
      </c>
      <c r="BL408" s="171">
        <f t="shared" ca="1" si="105"/>
        <v>0</v>
      </c>
      <c r="BM408" s="171">
        <f t="shared" ca="1" si="106"/>
        <v>0</v>
      </c>
      <c r="BN408" s="196"/>
      <c r="BO408" s="601" t="str">
        <f ca="1">IF(IFERROR(INDEX('ИП + источники'!$K$28:$L$145,MATCH($F408&amp;"1komm",'ИП + источники'!$K$28:$K$145,0),2),"")=0,"",IFERROR(INDEX('ИП + источники'!$K$28:$L$145,MATCH($F408&amp;"1komm",'ИП + источники'!$K$28:$K$145,0),2),""))</f>
        <v/>
      </c>
      <c r="BP408" s="196"/>
      <c r="BS408" s="696" t="s">
        <v>1851</v>
      </c>
    </row>
    <row r="409" spans="1:75" ht="21.75" customHeight="1" x14ac:dyDescent="0.15">
      <c r="B409" s="329" t="b" cm="1">
        <f t="array" ref="B409">B408</f>
        <v>1</v>
      </c>
      <c r="E409" s="507">
        <v>22.5</v>
      </c>
      <c r="F409" s="3" t="str" cm="1">
        <f t="array" aca="1" ref="F409" ca="1">OFFSET(E409,-1,1)</f>
        <v>2</v>
      </c>
      <c r="G409" s="72" t="s">
        <v>2151</v>
      </c>
      <c r="I409" s="72" t="s">
        <v>996</v>
      </c>
      <c r="K409" s="72" t="s">
        <v>996</v>
      </c>
      <c r="L409" s="25" t="s">
        <v>597</v>
      </c>
      <c r="M409" s="25"/>
      <c r="T409" s="353" t="b" cm="1">
        <f t="array" aca="1" ref="T409" ca="1">T408</f>
        <v>1</v>
      </c>
      <c r="X409" s="990"/>
      <c r="Z409" s="967"/>
      <c r="AB409" s="133" t="s">
        <v>997</v>
      </c>
      <c r="AC409" s="127" t="s">
        <v>2152</v>
      </c>
      <c r="AD409" s="7" t="s">
        <v>828</v>
      </c>
      <c r="AE409" s="128"/>
      <c r="AF409" s="128"/>
      <c r="AG409" s="128"/>
      <c r="AH409" s="171">
        <f t="shared" si="95"/>
        <v>0</v>
      </c>
      <c r="AI409" s="128"/>
      <c r="AJ409" s="128"/>
      <c r="AK409" s="778"/>
      <c r="AL409" s="778"/>
      <c r="AM409" s="128"/>
      <c r="AN409" s="128"/>
      <c r="AO409" s="128"/>
      <c r="AP409" s="128"/>
      <c r="AQ409" s="128"/>
      <c r="AR409" s="128"/>
      <c r="AS409" s="128"/>
      <c r="AT409" s="128"/>
      <c r="AU409" s="778"/>
      <c r="AV409" s="778"/>
      <c r="AW409" s="128"/>
      <c r="AX409" s="128"/>
      <c r="AY409" s="128"/>
      <c r="AZ409" s="128"/>
      <c r="BA409" s="128"/>
      <c r="BB409" s="128"/>
      <c r="BC409" s="128"/>
      <c r="BD409" s="171">
        <f t="shared" si="97"/>
        <v>0</v>
      </c>
      <c r="BE409" s="171">
        <f t="shared" si="98"/>
        <v>0</v>
      </c>
      <c r="BF409" s="171">
        <f t="shared" si="99"/>
        <v>0</v>
      </c>
      <c r="BG409" s="171">
        <f t="shared" si="100"/>
        <v>0</v>
      </c>
      <c r="BH409" s="171">
        <f t="shared" si="101"/>
        <v>0</v>
      </c>
      <c r="BI409" s="171">
        <f t="shared" si="102"/>
        <v>0</v>
      </c>
      <c r="BJ409" s="171">
        <f t="shared" si="103"/>
        <v>0</v>
      </c>
      <c r="BK409" s="171">
        <f t="shared" si="104"/>
        <v>0</v>
      </c>
      <c r="BL409" s="171">
        <f t="shared" si="105"/>
        <v>0</v>
      </c>
      <c r="BM409" s="171">
        <f t="shared" si="106"/>
        <v>0</v>
      </c>
      <c r="BN409" s="196"/>
      <c r="BO409" s="196"/>
      <c r="BP409" s="196"/>
      <c r="BS409" s="696" t="s">
        <v>2153</v>
      </c>
    </row>
    <row r="410" spans="1:75" ht="14.25" hidden="1" customHeight="1" x14ac:dyDescent="0.15">
      <c r="B410" s="329" t="b">
        <f>AND(method_reg="Метод индексации",STATUS_GO="да")</f>
        <v>0</v>
      </c>
      <c r="E410" s="507">
        <v>15</v>
      </c>
      <c r="F410" s="3" t="str" cm="1">
        <f t="array" aca="1" ref="F410" ca="1">OFFSET(E410,-1,1)</f>
        <v>2</v>
      </c>
      <c r="G410" s="72" t="s">
        <v>1854</v>
      </c>
      <c r="I410" s="72" t="s">
        <v>532</v>
      </c>
      <c r="K410" s="72" t="s">
        <v>532</v>
      </c>
      <c r="L410" s="25" t="s">
        <v>601</v>
      </c>
      <c r="M410" s="25"/>
      <c r="T410" s="353" t="b" cm="1">
        <f t="array" aca="1" ref="T410" ca="1">T409</f>
        <v>1</v>
      </c>
      <c r="X410" s="990"/>
      <c r="Z410" s="967"/>
      <c r="AB410" s="133" t="s">
        <v>536</v>
      </c>
      <c r="AC410" s="346" t="s">
        <v>1854</v>
      </c>
      <c r="AD410" s="7" t="s">
        <v>828</v>
      </c>
      <c r="AE410" s="778"/>
      <c r="AF410" s="778"/>
      <c r="AG410" s="778"/>
      <c r="AH410" s="171">
        <f t="shared" si="95"/>
        <v>0</v>
      </c>
      <c r="AI410" s="778"/>
      <c r="AJ410" s="128"/>
      <c r="AK410" s="778"/>
      <c r="AL410" s="778"/>
      <c r="AM410" s="778"/>
      <c r="AN410" s="778"/>
      <c r="AO410" s="778"/>
      <c r="AP410" s="778"/>
      <c r="AQ410" s="778"/>
      <c r="AR410" s="778"/>
      <c r="AS410" s="778"/>
      <c r="AT410" s="128"/>
      <c r="AU410" s="778"/>
      <c r="AV410" s="778"/>
      <c r="AW410" s="778"/>
      <c r="AX410" s="778"/>
      <c r="AY410" s="778"/>
      <c r="AZ410" s="778"/>
      <c r="BA410" s="778"/>
      <c r="BB410" s="778"/>
      <c r="BC410" s="778"/>
      <c r="BD410" s="171">
        <f t="shared" si="97"/>
        <v>0</v>
      </c>
      <c r="BE410" s="171">
        <f t="shared" si="98"/>
        <v>0</v>
      </c>
      <c r="BF410" s="171">
        <f t="shared" si="99"/>
        <v>0</v>
      </c>
      <c r="BG410" s="171">
        <f t="shared" si="100"/>
        <v>0</v>
      </c>
      <c r="BH410" s="171">
        <f t="shared" si="101"/>
        <v>0</v>
      </c>
      <c r="BI410" s="171">
        <f t="shared" si="102"/>
        <v>0</v>
      </c>
      <c r="BJ410" s="171">
        <f t="shared" si="103"/>
        <v>0</v>
      </c>
      <c r="BK410" s="171">
        <f t="shared" si="104"/>
        <v>0</v>
      </c>
      <c r="BL410" s="171">
        <f t="shared" si="105"/>
        <v>0</v>
      </c>
      <c r="BM410" s="171">
        <f t="shared" si="106"/>
        <v>0</v>
      </c>
      <c r="BN410" s="775"/>
      <c r="BO410" s="775"/>
      <c r="BP410" s="775"/>
      <c r="BS410" s="696" t="s">
        <v>1855</v>
      </c>
    </row>
    <row r="411" spans="1:75" ht="14.25" hidden="1" customHeight="1" x14ac:dyDescent="0.15">
      <c r="B411" s="644" t="b">
        <f>method_reg="Метод обеспечения доходности инвестированного капитала"</f>
        <v>0</v>
      </c>
      <c r="E411" s="507">
        <v>15</v>
      </c>
      <c r="F411" s="3" t="str" cm="1">
        <f t="array" aca="1" ref="F411" ca="1">OFFSET(E411,-1,1)</f>
        <v>2</v>
      </c>
      <c r="K411" s="25" t="s">
        <v>335</v>
      </c>
      <c r="L411" s="25"/>
      <c r="M411" s="25"/>
      <c r="T411" s="353" t="b" cm="1">
        <f t="array" aca="1" ref="T411" ca="1">T410</f>
        <v>1</v>
      </c>
      <c r="X411" s="990"/>
      <c r="Z411" s="967"/>
      <c r="AB411" s="131" t="s">
        <v>454</v>
      </c>
      <c r="AC411" s="132" t="s">
        <v>2154</v>
      </c>
      <c r="AD411" s="124" t="s">
        <v>828</v>
      </c>
      <c r="AE411" s="774"/>
      <c r="AF411" s="774"/>
      <c r="AG411" s="774"/>
      <c r="AH411" s="126">
        <f t="shared" si="95"/>
        <v>0</v>
      </c>
      <c r="AI411" s="774"/>
      <c r="AJ411" s="138"/>
      <c r="AK411" s="774"/>
      <c r="AL411" s="774"/>
      <c r="AM411" s="774"/>
      <c r="AN411" s="774"/>
      <c r="AO411" s="774"/>
      <c r="AP411" s="774"/>
      <c r="AQ411" s="774"/>
      <c r="AR411" s="774"/>
      <c r="AS411" s="774"/>
      <c r="AT411" s="138"/>
      <c r="AU411" s="774"/>
      <c r="AV411" s="774"/>
      <c r="AW411" s="774"/>
      <c r="AX411" s="774"/>
      <c r="AY411" s="774"/>
      <c r="AZ411" s="774"/>
      <c r="BA411" s="774"/>
      <c r="BB411" s="774"/>
      <c r="BC411" s="774"/>
      <c r="BD411" s="126">
        <f t="shared" si="97"/>
        <v>0</v>
      </c>
      <c r="BE411" s="126">
        <f t="shared" si="98"/>
        <v>0</v>
      </c>
      <c r="BF411" s="126">
        <f t="shared" si="99"/>
        <v>0</v>
      </c>
      <c r="BG411" s="126">
        <f t="shared" si="100"/>
        <v>0</v>
      </c>
      <c r="BH411" s="126">
        <f t="shared" si="101"/>
        <v>0</v>
      </c>
      <c r="BI411" s="126">
        <f t="shared" si="102"/>
        <v>0</v>
      </c>
      <c r="BJ411" s="126">
        <f t="shared" si="103"/>
        <v>0</v>
      </c>
      <c r="BK411" s="126">
        <f t="shared" si="104"/>
        <v>0</v>
      </c>
      <c r="BL411" s="126">
        <f t="shared" si="105"/>
        <v>0</v>
      </c>
      <c r="BM411" s="126">
        <f t="shared" si="106"/>
        <v>0</v>
      </c>
      <c r="BN411" s="777"/>
      <c r="BO411" s="777"/>
      <c r="BP411" s="777"/>
      <c r="BS411" s="696" t="s">
        <v>2155</v>
      </c>
    </row>
    <row r="412" spans="1:75" ht="14.25" hidden="1" customHeight="1" x14ac:dyDescent="0.15">
      <c r="B412" s="644" t="b" cm="1">
        <f t="array" ref="B412">B411</f>
        <v>0</v>
      </c>
      <c r="E412" s="507">
        <v>15</v>
      </c>
      <c r="F412" s="3" t="str" cm="1">
        <f t="array" aca="1" ref="F412" ca="1">OFFSET(E412,-1,1)</f>
        <v>2</v>
      </c>
      <c r="K412" s="25" t="s">
        <v>560</v>
      </c>
      <c r="L412" s="25"/>
      <c r="M412" s="25"/>
      <c r="T412" s="353" t="b" cm="1">
        <f t="array" aca="1" ref="T412" ca="1">T411</f>
        <v>1</v>
      </c>
      <c r="X412" s="990"/>
      <c r="Z412" s="967"/>
      <c r="AB412" s="133" t="s">
        <v>697</v>
      </c>
      <c r="AC412" s="127" t="s">
        <v>2156</v>
      </c>
      <c r="AD412" s="7" t="s">
        <v>828</v>
      </c>
      <c r="AE412" s="778"/>
      <c r="AF412" s="778"/>
      <c r="AG412" s="778"/>
      <c r="AH412" s="542"/>
      <c r="AI412" s="778"/>
      <c r="AJ412" s="128"/>
      <c r="AK412" s="778"/>
      <c r="AL412" s="778"/>
      <c r="AM412" s="778"/>
      <c r="AN412" s="778"/>
      <c r="AO412" s="778"/>
      <c r="AP412" s="778"/>
      <c r="AQ412" s="778"/>
      <c r="AR412" s="778"/>
      <c r="AS412" s="778"/>
      <c r="AT412" s="128"/>
      <c r="AU412" s="778"/>
      <c r="AV412" s="778"/>
      <c r="AW412" s="778"/>
      <c r="AX412" s="778"/>
      <c r="AY412" s="778"/>
      <c r="AZ412" s="778"/>
      <c r="BA412" s="778"/>
      <c r="BB412" s="778"/>
      <c r="BC412" s="778"/>
      <c r="BD412" s="542"/>
      <c r="BE412" s="542"/>
      <c r="BF412" s="542"/>
      <c r="BG412" s="542"/>
      <c r="BH412" s="542"/>
      <c r="BI412" s="542"/>
      <c r="BJ412" s="542"/>
      <c r="BK412" s="542"/>
      <c r="BL412" s="542"/>
      <c r="BM412" s="542"/>
      <c r="BN412" s="775"/>
      <c r="BO412" s="775"/>
      <c r="BP412" s="775"/>
      <c r="BS412" s="696" t="s">
        <v>2157</v>
      </c>
    </row>
    <row r="413" spans="1:75" ht="14.25" hidden="1" customHeight="1" x14ac:dyDescent="0.15">
      <c r="B413" s="644" t="b" cm="1">
        <f t="array" ref="B413">B412</f>
        <v>0</v>
      </c>
      <c r="E413" s="507">
        <v>15</v>
      </c>
      <c r="F413" s="3" t="str" cm="1">
        <f t="array" aca="1" ref="F413" ca="1">OFFSET(E413,-1,1)</f>
        <v>2</v>
      </c>
      <c r="K413" s="25" t="s">
        <v>564</v>
      </c>
      <c r="L413" s="25"/>
      <c r="M413" s="25"/>
      <c r="T413" s="353" t="b" cm="1">
        <f t="array" aca="1" ref="T413" ca="1">T412</f>
        <v>1</v>
      </c>
      <c r="X413" s="990"/>
      <c r="Z413" s="967"/>
      <c r="AB413" s="133" t="s">
        <v>700</v>
      </c>
      <c r="AC413" s="127" t="s">
        <v>2158</v>
      </c>
      <c r="AD413" s="7" t="s">
        <v>2159</v>
      </c>
      <c r="AE413" s="778"/>
      <c r="AF413" s="778"/>
      <c r="AG413" s="778"/>
      <c r="AH413" s="542"/>
      <c r="AI413" s="778"/>
      <c r="AJ413" s="128"/>
      <c r="AK413" s="778"/>
      <c r="AL413" s="778"/>
      <c r="AM413" s="778"/>
      <c r="AN413" s="778"/>
      <c r="AO413" s="778"/>
      <c r="AP413" s="778"/>
      <c r="AQ413" s="778"/>
      <c r="AR413" s="778"/>
      <c r="AS413" s="778"/>
      <c r="AT413" s="128"/>
      <c r="AU413" s="778"/>
      <c r="AV413" s="778"/>
      <c r="AW413" s="778"/>
      <c r="AX413" s="778"/>
      <c r="AY413" s="778"/>
      <c r="AZ413" s="778"/>
      <c r="BA413" s="778"/>
      <c r="BB413" s="778"/>
      <c r="BC413" s="778"/>
      <c r="BD413" s="542"/>
      <c r="BE413" s="542"/>
      <c r="BF413" s="542"/>
      <c r="BG413" s="542"/>
      <c r="BH413" s="542"/>
      <c r="BI413" s="542"/>
      <c r="BJ413" s="542"/>
      <c r="BK413" s="542"/>
      <c r="BL413" s="542"/>
      <c r="BM413" s="542"/>
      <c r="BN413" s="775"/>
      <c r="BO413" s="775"/>
      <c r="BP413" s="775"/>
      <c r="BS413" s="696" t="s">
        <v>2160</v>
      </c>
    </row>
    <row r="414" spans="1:75" ht="14.25" hidden="1" customHeight="1" x14ac:dyDescent="0.15">
      <c r="B414" s="644" t="b" cm="1">
        <f t="array" ref="B414">B413</f>
        <v>0</v>
      </c>
      <c r="E414" s="507">
        <v>15</v>
      </c>
      <c r="F414" s="3" t="str" cm="1">
        <f t="array" aca="1" ref="F414" ca="1">OFFSET(E414,-1,1)</f>
        <v>2</v>
      </c>
      <c r="K414" s="25" t="s">
        <v>334</v>
      </c>
      <c r="L414" s="25"/>
      <c r="M414" s="25"/>
      <c r="T414" s="353" t="b" cm="1">
        <f t="array" aca="1" ref="T414" ca="1">T413</f>
        <v>1</v>
      </c>
      <c r="X414" s="990"/>
      <c r="Z414" s="967"/>
      <c r="AB414" s="131" t="s">
        <v>460</v>
      </c>
      <c r="AC414" s="132" t="s">
        <v>2161</v>
      </c>
      <c r="AD414" s="124" t="s">
        <v>828</v>
      </c>
      <c r="AE414" s="774"/>
      <c r="AF414" s="774"/>
      <c r="AG414" s="774"/>
      <c r="AH414" s="126">
        <f>AG414-AF414</f>
        <v>0</v>
      </c>
      <c r="AI414" s="774"/>
      <c r="AJ414" s="138"/>
      <c r="AK414" s="774"/>
      <c r="AL414" s="774"/>
      <c r="AM414" s="774"/>
      <c r="AN414" s="774"/>
      <c r="AO414" s="774"/>
      <c r="AP414" s="774"/>
      <c r="AQ414" s="774"/>
      <c r="AR414" s="774"/>
      <c r="AS414" s="774"/>
      <c r="AT414" s="138"/>
      <c r="AU414" s="774"/>
      <c r="AV414" s="774"/>
      <c r="AW414" s="774"/>
      <c r="AX414" s="774"/>
      <c r="AY414" s="774"/>
      <c r="AZ414" s="774"/>
      <c r="BA414" s="774"/>
      <c r="BB414" s="774"/>
      <c r="BC414" s="774"/>
      <c r="BD414" s="126">
        <f>IF(AI414=0,0,(AT414-AI414)/AI414*100)</f>
        <v>0</v>
      </c>
      <c r="BE414" s="126">
        <f t="shared" ref="BE414:BM414" si="111">IF(AT414=0,0,(AU414-AT414)/AT414*100)</f>
        <v>0</v>
      </c>
      <c r="BF414" s="126">
        <f t="shared" si="111"/>
        <v>0</v>
      </c>
      <c r="BG414" s="126">
        <f t="shared" si="111"/>
        <v>0</v>
      </c>
      <c r="BH414" s="126">
        <f t="shared" si="111"/>
        <v>0</v>
      </c>
      <c r="BI414" s="126">
        <f t="shared" si="111"/>
        <v>0</v>
      </c>
      <c r="BJ414" s="126">
        <f t="shared" si="111"/>
        <v>0</v>
      </c>
      <c r="BK414" s="126">
        <f t="shared" si="111"/>
        <v>0</v>
      </c>
      <c r="BL414" s="126">
        <f t="shared" si="111"/>
        <v>0</v>
      </c>
      <c r="BM414" s="126">
        <f t="shared" si="111"/>
        <v>0</v>
      </c>
      <c r="BN414" s="777"/>
      <c r="BO414" s="777"/>
      <c r="BP414" s="777"/>
      <c r="BS414" s="696" t="s">
        <v>2162</v>
      </c>
    </row>
    <row r="415" spans="1:75" ht="14.25" hidden="1" customHeight="1" x14ac:dyDescent="0.15">
      <c r="B415" s="644" t="b" cm="1">
        <f t="array" ref="B415">B414</f>
        <v>0</v>
      </c>
      <c r="E415" s="507">
        <v>15</v>
      </c>
      <c r="F415" s="3" t="str" cm="1">
        <f t="array" aca="1" ref="F415" ca="1">OFFSET(E415,-1,1)</f>
        <v>2</v>
      </c>
      <c r="K415" s="25" t="s">
        <v>574</v>
      </c>
      <c r="L415" s="25"/>
      <c r="M415" s="25"/>
      <c r="T415" s="353" t="b" cm="1">
        <f t="array" aca="1" ref="T415" ca="1">T414</f>
        <v>1</v>
      </c>
      <c r="X415" s="990"/>
      <c r="Z415" s="967"/>
      <c r="AB415" s="133" t="s">
        <v>704</v>
      </c>
      <c r="AC415" s="127" t="s">
        <v>2163</v>
      </c>
      <c r="AD415" s="7" t="s">
        <v>828</v>
      </c>
      <c r="AE415" s="778"/>
      <c r="AF415" s="778"/>
      <c r="AG415" s="778"/>
      <c r="AH415" s="542"/>
      <c r="AI415" s="778"/>
      <c r="AJ415" s="128"/>
      <c r="AK415" s="778"/>
      <c r="AL415" s="778"/>
      <c r="AM415" s="778"/>
      <c r="AN415" s="778"/>
      <c r="AO415" s="778"/>
      <c r="AP415" s="778"/>
      <c r="AQ415" s="778"/>
      <c r="AR415" s="778"/>
      <c r="AS415" s="778"/>
      <c r="AT415" s="128"/>
      <c r="AU415" s="778"/>
      <c r="AV415" s="778"/>
      <c r="AW415" s="778"/>
      <c r="AX415" s="778"/>
      <c r="AY415" s="778"/>
      <c r="AZ415" s="778"/>
      <c r="BA415" s="778"/>
      <c r="BB415" s="778"/>
      <c r="BC415" s="778"/>
      <c r="BD415" s="542"/>
      <c r="BE415" s="542"/>
      <c r="BF415" s="542"/>
      <c r="BG415" s="542"/>
      <c r="BH415" s="542"/>
      <c r="BI415" s="542"/>
      <c r="BJ415" s="542"/>
      <c r="BK415" s="542"/>
      <c r="BL415" s="542"/>
      <c r="BM415" s="542"/>
      <c r="BN415" s="775"/>
      <c r="BO415" s="775"/>
      <c r="BP415" s="775"/>
      <c r="BS415" s="696" t="s">
        <v>2164</v>
      </c>
    </row>
    <row r="416" spans="1:75" ht="14.25" hidden="1" customHeight="1" x14ac:dyDescent="0.15">
      <c r="B416" s="644" t="b" cm="1">
        <f t="array" ref="B416">B415</f>
        <v>0</v>
      </c>
      <c r="E416" s="507">
        <v>15</v>
      </c>
      <c r="F416" s="3" t="str" cm="1">
        <f t="array" aca="1" ref="F416" ca="1">OFFSET(E416,-1,1)</f>
        <v>2</v>
      </c>
      <c r="K416" s="25" t="s">
        <v>578</v>
      </c>
      <c r="L416" s="25"/>
      <c r="M416" s="25"/>
      <c r="T416" s="353" t="b" cm="1">
        <f t="array" aca="1" ref="T416" ca="1">T415</f>
        <v>1</v>
      </c>
      <c r="X416" s="990"/>
      <c r="Z416" s="967"/>
      <c r="AB416" s="133" t="s">
        <v>707</v>
      </c>
      <c r="AC416" s="127" t="s">
        <v>2165</v>
      </c>
      <c r="AD416" s="7" t="s">
        <v>476</v>
      </c>
      <c r="AE416" s="778"/>
      <c r="AF416" s="778"/>
      <c r="AG416" s="778"/>
      <c r="AH416" s="542"/>
      <c r="AI416" s="778"/>
      <c r="AJ416" s="128"/>
      <c r="AK416" s="778"/>
      <c r="AL416" s="778"/>
      <c r="AM416" s="778"/>
      <c r="AN416" s="778"/>
      <c r="AO416" s="778"/>
      <c r="AP416" s="778"/>
      <c r="AQ416" s="778"/>
      <c r="AR416" s="778"/>
      <c r="AS416" s="778"/>
      <c r="AT416" s="128"/>
      <c r="AU416" s="778"/>
      <c r="AV416" s="778"/>
      <c r="AW416" s="778"/>
      <c r="AX416" s="778"/>
      <c r="AY416" s="778"/>
      <c r="AZ416" s="778"/>
      <c r="BA416" s="778"/>
      <c r="BB416" s="778"/>
      <c r="BC416" s="778"/>
      <c r="BD416" s="542"/>
      <c r="BE416" s="542"/>
      <c r="BF416" s="542"/>
      <c r="BG416" s="542"/>
      <c r="BH416" s="542"/>
      <c r="BI416" s="542"/>
      <c r="BJ416" s="542"/>
      <c r="BK416" s="542"/>
      <c r="BL416" s="542"/>
      <c r="BM416" s="542"/>
      <c r="BN416" s="775"/>
      <c r="BO416" s="775"/>
      <c r="BP416" s="775"/>
      <c r="BS416" s="696" t="s">
        <v>2166</v>
      </c>
    </row>
    <row r="417" spans="1:75" ht="14.25" hidden="1" customHeight="1" x14ac:dyDescent="0.15">
      <c r="B417" s="644" t="b" cm="1">
        <f t="array" ref="B417">B416</f>
        <v>0</v>
      </c>
      <c r="E417" s="507">
        <v>15</v>
      </c>
      <c r="F417" s="3" t="str" cm="1">
        <f t="array" aca="1" ref="F417" ca="1">OFFSET(E417,-1,1)</f>
        <v>2</v>
      </c>
      <c r="K417" s="25" t="s">
        <v>794</v>
      </c>
      <c r="L417" s="25"/>
      <c r="M417" s="25"/>
      <c r="T417" s="353" t="b" cm="1">
        <f t="array" aca="1" ref="T417" ca="1">T416</f>
        <v>1</v>
      </c>
      <c r="X417" s="990"/>
      <c r="Z417" s="967"/>
      <c r="AB417" s="133" t="s">
        <v>994</v>
      </c>
      <c r="AC417" s="127" t="s">
        <v>2167</v>
      </c>
      <c r="AD417" s="7" t="s">
        <v>828</v>
      </c>
      <c r="AE417" s="778"/>
      <c r="AF417" s="778"/>
      <c r="AG417" s="778"/>
      <c r="AH417" s="542"/>
      <c r="AI417" s="778"/>
      <c r="AJ417" s="128"/>
      <c r="AK417" s="778"/>
      <c r="AL417" s="778"/>
      <c r="AM417" s="778"/>
      <c r="AN417" s="778"/>
      <c r="AO417" s="778"/>
      <c r="AP417" s="778"/>
      <c r="AQ417" s="778"/>
      <c r="AR417" s="778"/>
      <c r="AS417" s="778"/>
      <c r="AT417" s="128"/>
      <c r="AU417" s="778"/>
      <c r="AV417" s="778"/>
      <c r="AW417" s="778"/>
      <c r="AX417" s="778"/>
      <c r="AY417" s="778"/>
      <c r="AZ417" s="778"/>
      <c r="BA417" s="778"/>
      <c r="BB417" s="778"/>
      <c r="BC417" s="778"/>
      <c r="BD417" s="542"/>
      <c r="BE417" s="542"/>
      <c r="BF417" s="542"/>
      <c r="BG417" s="542"/>
      <c r="BH417" s="542"/>
      <c r="BI417" s="542"/>
      <c r="BJ417" s="542"/>
      <c r="BK417" s="542"/>
      <c r="BL417" s="542"/>
      <c r="BM417" s="542"/>
      <c r="BN417" s="775"/>
      <c r="BO417" s="775"/>
      <c r="BP417" s="775"/>
      <c r="BS417" s="696" t="s">
        <v>2168</v>
      </c>
    </row>
    <row r="418" spans="1:75" ht="14.25" hidden="1" customHeight="1" x14ac:dyDescent="0.15">
      <c r="B418" s="644" t="b" cm="1">
        <f t="array" ref="B418">B417</f>
        <v>0</v>
      </c>
      <c r="E418" s="507">
        <v>15</v>
      </c>
      <c r="F418" s="3" t="str" cm="1">
        <f t="array" aca="1" ref="F418" ca="1">OFFSET(E418,-1,1)</f>
        <v>2</v>
      </c>
      <c r="K418" s="25" t="s">
        <v>996</v>
      </c>
      <c r="L418" s="25"/>
      <c r="M418" s="25"/>
      <c r="T418" s="353" t="b" cm="1">
        <f t="array" aca="1" ref="T418" ca="1">T417</f>
        <v>1</v>
      </c>
      <c r="X418" s="990"/>
      <c r="Z418" s="967"/>
      <c r="AB418" s="133" t="s">
        <v>997</v>
      </c>
      <c r="AC418" s="127" t="s">
        <v>2169</v>
      </c>
      <c r="AD418" s="7" t="s">
        <v>828</v>
      </c>
      <c r="AE418" s="778"/>
      <c r="AF418" s="778"/>
      <c r="AG418" s="778"/>
      <c r="AH418" s="542"/>
      <c r="AI418" s="778"/>
      <c r="AJ418" s="128"/>
      <c r="AK418" s="778"/>
      <c r="AL418" s="778"/>
      <c r="AM418" s="778"/>
      <c r="AN418" s="778"/>
      <c r="AO418" s="778"/>
      <c r="AP418" s="778"/>
      <c r="AQ418" s="778"/>
      <c r="AR418" s="778"/>
      <c r="AS418" s="778"/>
      <c r="AT418" s="128"/>
      <c r="AU418" s="778"/>
      <c r="AV418" s="778"/>
      <c r="AW418" s="778"/>
      <c r="AX418" s="778"/>
      <c r="AY418" s="778"/>
      <c r="AZ418" s="778"/>
      <c r="BA418" s="778"/>
      <c r="BB418" s="778"/>
      <c r="BC418" s="778"/>
      <c r="BD418" s="542"/>
      <c r="BE418" s="542"/>
      <c r="BF418" s="542"/>
      <c r="BG418" s="542"/>
      <c r="BH418" s="542"/>
      <c r="BI418" s="542"/>
      <c r="BJ418" s="542"/>
      <c r="BK418" s="542"/>
      <c r="BL418" s="542"/>
      <c r="BM418" s="542"/>
      <c r="BN418" s="775"/>
      <c r="BO418" s="775"/>
      <c r="BP418" s="775"/>
      <c r="BS418" s="696" t="s">
        <v>2170</v>
      </c>
    </row>
    <row r="419" spans="1:75" ht="14.25" hidden="1" customHeight="1" x14ac:dyDescent="0.15">
      <c r="B419" s="644" t="b" cm="1">
        <f t="array" ref="B419">B418</f>
        <v>0</v>
      </c>
      <c r="E419" s="507">
        <v>15</v>
      </c>
      <c r="F419" s="3" t="str" cm="1">
        <f t="array" aca="1" ref="F419" ca="1">OFFSET(E419,-1,1)</f>
        <v>2</v>
      </c>
      <c r="K419" s="25" t="s">
        <v>2171</v>
      </c>
      <c r="L419" s="25"/>
      <c r="M419" s="25"/>
      <c r="T419" s="353" t="b" cm="1">
        <f t="array" aca="1" ref="T419" ca="1">T418</f>
        <v>1</v>
      </c>
      <c r="X419" s="990"/>
      <c r="Z419" s="967"/>
      <c r="AB419" s="133" t="s">
        <v>2172</v>
      </c>
      <c r="AC419" s="134" t="s">
        <v>2173</v>
      </c>
      <c r="AD419" s="7" t="s">
        <v>476</v>
      </c>
      <c r="AE419" s="778"/>
      <c r="AF419" s="778"/>
      <c r="AG419" s="778"/>
      <c r="AH419" s="542"/>
      <c r="AI419" s="778"/>
      <c r="AJ419" s="128"/>
      <c r="AK419" s="778"/>
      <c r="AL419" s="778"/>
      <c r="AM419" s="778"/>
      <c r="AN419" s="778"/>
      <c r="AO419" s="778"/>
      <c r="AP419" s="778"/>
      <c r="AQ419" s="778"/>
      <c r="AR419" s="778"/>
      <c r="AS419" s="778"/>
      <c r="AT419" s="128"/>
      <c r="AU419" s="778"/>
      <c r="AV419" s="778"/>
      <c r="AW419" s="778"/>
      <c r="AX419" s="778"/>
      <c r="AY419" s="778"/>
      <c r="AZ419" s="778"/>
      <c r="BA419" s="778"/>
      <c r="BB419" s="778"/>
      <c r="BC419" s="778"/>
      <c r="BD419" s="542"/>
      <c r="BE419" s="542"/>
      <c r="BF419" s="542"/>
      <c r="BG419" s="542"/>
      <c r="BH419" s="542"/>
      <c r="BI419" s="542"/>
      <c r="BJ419" s="542"/>
      <c r="BK419" s="542"/>
      <c r="BL419" s="542"/>
      <c r="BM419" s="542"/>
      <c r="BN419" s="775"/>
      <c r="BO419" s="775"/>
      <c r="BP419" s="775"/>
      <c r="BS419" s="696" t="s">
        <v>2174</v>
      </c>
    </row>
    <row r="420" spans="1:75" ht="14.25" hidden="1" customHeight="1" x14ac:dyDescent="0.15">
      <c r="B420" s="644" t="b" cm="1">
        <f t="array" ref="B420">B419</f>
        <v>0</v>
      </c>
      <c r="E420" s="507">
        <v>15</v>
      </c>
      <c r="F420" s="3" t="str" cm="1">
        <f t="array" aca="1" ref="F420" ca="1">OFFSET(E420,-1,1)</f>
        <v>2</v>
      </c>
      <c r="K420" s="25" t="s">
        <v>999</v>
      </c>
      <c r="L420" s="25"/>
      <c r="M420" s="25"/>
      <c r="T420" s="353" t="b" cm="1">
        <f t="array" aca="1" ref="T420" ca="1">T419</f>
        <v>1</v>
      </c>
      <c r="X420" s="990"/>
      <c r="Z420" s="967"/>
      <c r="AB420" s="133" t="s">
        <v>1000</v>
      </c>
      <c r="AC420" s="127" t="s">
        <v>2175</v>
      </c>
      <c r="AD420" s="7" t="s">
        <v>476</v>
      </c>
      <c r="AE420" s="778"/>
      <c r="AF420" s="778"/>
      <c r="AG420" s="778"/>
      <c r="AH420" s="542"/>
      <c r="AI420" s="778"/>
      <c r="AJ420" s="128"/>
      <c r="AK420" s="778"/>
      <c r="AL420" s="778"/>
      <c r="AM420" s="778"/>
      <c r="AN420" s="778"/>
      <c r="AO420" s="778"/>
      <c r="AP420" s="778"/>
      <c r="AQ420" s="778"/>
      <c r="AR420" s="778"/>
      <c r="AS420" s="778"/>
      <c r="AT420" s="128"/>
      <c r="AU420" s="778"/>
      <c r="AV420" s="778"/>
      <c r="AW420" s="778"/>
      <c r="AX420" s="778"/>
      <c r="AY420" s="778"/>
      <c r="AZ420" s="778"/>
      <c r="BA420" s="778"/>
      <c r="BB420" s="778"/>
      <c r="BC420" s="778"/>
      <c r="BD420" s="542"/>
      <c r="BE420" s="542"/>
      <c r="BF420" s="542"/>
      <c r="BG420" s="542"/>
      <c r="BH420" s="542"/>
      <c r="BI420" s="542"/>
      <c r="BJ420" s="542"/>
      <c r="BK420" s="542"/>
      <c r="BL420" s="542"/>
      <c r="BM420" s="542"/>
      <c r="BN420" s="775"/>
      <c r="BO420" s="775"/>
      <c r="BP420" s="775"/>
      <c r="BS420" s="696" t="s">
        <v>2176</v>
      </c>
    </row>
    <row r="421" spans="1:75" ht="14.25" hidden="1" customHeight="1" x14ac:dyDescent="0.15">
      <c r="B421" s="644" t="b" cm="1">
        <f t="array" ref="B421">B420</f>
        <v>0</v>
      </c>
      <c r="E421" s="507">
        <v>15</v>
      </c>
      <c r="F421" s="3" t="str" cm="1">
        <f t="array" aca="1" ref="F421" ca="1">OFFSET(E421,-1,1)</f>
        <v>2</v>
      </c>
      <c r="K421" s="25" t="s">
        <v>2177</v>
      </c>
      <c r="L421" s="25"/>
      <c r="M421" s="25"/>
      <c r="T421" s="353" t="b" cm="1">
        <f t="array" aca="1" ref="T421" ca="1">T420</f>
        <v>1</v>
      </c>
      <c r="X421" s="990"/>
      <c r="Z421" s="967"/>
      <c r="AB421" s="133" t="s">
        <v>2178</v>
      </c>
      <c r="AC421" s="134" t="s">
        <v>2179</v>
      </c>
      <c r="AD421" s="7" t="s">
        <v>476</v>
      </c>
      <c r="AE421" s="778"/>
      <c r="AF421" s="778"/>
      <c r="AG421" s="778"/>
      <c r="AH421" s="542"/>
      <c r="AI421" s="778"/>
      <c r="AJ421" s="128"/>
      <c r="AK421" s="778"/>
      <c r="AL421" s="778"/>
      <c r="AM421" s="778"/>
      <c r="AN421" s="778"/>
      <c r="AO421" s="778"/>
      <c r="AP421" s="778"/>
      <c r="AQ421" s="778"/>
      <c r="AR421" s="778"/>
      <c r="AS421" s="778"/>
      <c r="AT421" s="128"/>
      <c r="AU421" s="778"/>
      <c r="AV421" s="778"/>
      <c r="AW421" s="778"/>
      <c r="AX421" s="778"/>
      <c r="AY421" s="778"/>
      <c r="AZ421" s="778"/>
      <c r="BA421" s="778"/>
      <c r="BB421" s="778"/>
      <c r="BC421" s="778"/>
      <c r="BD421" s="542"/>
      <c r="BE421" s="542"/>
      <c r="BF421" s="542"/>
      <c r="BG421" s="542"/>
      <c r="BH421" s="542"/>
      <c r="BI421" s="542"/>
      <c r="BJ421" s="542"/>
      <c r="BK421" s="542"/>
      <c r="BL421" s="542"/>
      <c r="BM421" s="542"/>
      <c r="BN421" s="775"/>
      <c r="BO421" s="775"/>
      <c r="BP421" s="775"/>
      <c r="BS421" s="696" t="s">
        <v>2180</v>
      </c>
    </row>
    <row r="422" spans="1:75" ht="14.25" hidden="1" customHeight="1" x14ac:dyDescent="0.15">
      <c r="B422" s="644" t="b" cm="1">
        <f t="array" ref="B422">B421</f>
        <v>0</v>
      </c>
      <c r="E422" s="507">
        <v>15</v>
      </c>
      <c r="F422" s="3" t="str" cm="1">
        <f t="array" aca="1" ref="F422" ca="1">OFFSET(E422,-1,1)</f>
        <v>2</v>
      </c>
      <c r="K422" s="25" t="s">
        <v>2181</v>
      </c>
      <c r="L422" s="25"/>
      <c r="M422" s="25"/>
      <c r="T422" s="353" t="b" cm="1">
        <f t="array" aca="1" ref="T422" ca="1">T421</f>
        <v>1</v>
      </c>
      <c r="X422" s="990"/>
      <c r="Z422" s="967"/>
      <c r="AB422" s="133" t="s">
        <v>2182</v>
      </c>
      <c r="AC422" s="134" t="s">
        <v>2183</v>
      </c>
      <c r="AD422" s="7" t="s">
        <v>476</v>
      </c>
      <c r="AE422" s="778"/>
      <c r="AF422" s="778"/>
      <c r="AG422" s="778"/>
      <c r="AH422" s="542"/>
      <c r="AI422" s="778"/>
      <c r="AJ422" s="128"/>
      <c r="AK422" s="778"/>
      <c r="AL422" s="778"/>
      <c r="AM422" s="778"/>
      <c r="AN422" s="778"/>
      <c r="AO422" s="778"/>
      <c r="AP422" s="778"/>
      <c r="AQ422" s="778"/>
      <c r="AR422" s="778"/>
      <c r="AS422" s="778"/>
      <c r="AT422" s="128"/>
      <c r="AU422" s="778"/>
      <c r="AV422" s="778"/>
      <c r="AW422" s="778"/>
      <c r="AX422" s="778"/>
      <c r="AY422" s="778"/>
      <c r="AZ422" s="778"/>
      <c r="BA422" s="778"/>
      <c r="BB422" s="778"/>
      <c r="BC422" s="778"/>
      <c r="BD422" s="542"/>
      <c r="BE422" s="542"/>
      <c r="BF422" s="542"/>
      <c r="BG422" s="542"/>
      <c r="BH422" s="542"/>
      <c r="BI422" s="542"/>
      <c r="BJ422" s="542"/>
      <c r="BK422" s="542"/>
      <c r="BL422" s="542"/>
      <c r="BM422" s="542"/>
      <c r="BN422" s="775"/>
      <c r="BO422" s="775"/>
      <c r="BP422" s="775"/>
      <c r="BS422" s="696" t="s">
        <v>2184</v>
      </c>
    </row>
    <row r="423" spans="1:75" s="870" customFormat="1" ht="28.35" customHeight="1" x14ac:dyDescent="0.15">
      <c r="A423" s="76"/>
      <c r="B423" s="332"/>
      <c r="C423" s="76"/>
      <c r="D423" s="27" t="str">
        <f>IF(B422,"6","7")</f>
        <v>7</v>
      </c>
      <c r="E423" s="511">
        <v>21</v>
      </c>
      <c r="F423" s="3" t="str" cm="1">
        <f t="array" aca="1" ref="F423" ca="1">OFFSET(E423,-1,1)</f>
        <v>2</v>
      </c>
      <c r="G423" s="72" t="s">
        <v>2185</v>
      </c>
      <c r="H423" s="72"/>
      <c r="I423" s="279" t="s">
        <v>2186</v>
      </c>
      <c r="J423" s="76"/>
      <c r="K423" s="279" t="s">
        <v>2186</v>
      </c>
      <c r="L423" s="27"/>
      <c r="M423" s="27"/>
      <c r="N423" s="76"/>
      <c r="O423" s="76"/>
      <c r="P423" s="76"/>
      <c r="Q423" s="76"/>
      <c r="R423" s="76"/>
      <c r="S423" s="76"/>
      <c r="T423" s="353" t="b" cm="1">
        <f t="array" aca="1" ref="T423" ca="1">T422</f>
        <v>1</v>
      </c>
      <c r="U423" s="76"/>
      <c r="V423" s="76"/>
      <c r="W423" s="76"/>
      <c r="X423" s="990"/>
      <c r="Y423" s="76"/>
      <c r="Z423" s="967"/>
      <c r="AA423" s="76"/>
      <c r="AB423" s="124" t="str" cm="1">
        <f t="array" ref="AB423">D423</f>
        <v>7</v>
      </c>
      <c r="AC423" s="132" t="s">
        <v>1598</v>
      </c>
      <c r="AD423" s="124" t="s">
        <v>828</v>
      </c>
      <c r="AE423" s="138">
        <v>499.99</v>
      </c>
      <c r="AF423" s="138"/>
      <c r="AG423" s="138">
        <v>499.99</v>
      </c>
      <c r="AH423" s="126">
        <f>AG423-AF423</f>
        <v>499.99</v>
      </c>
      <c r="AI423" s="138">
        <v>2719.2007125760001</v>
      </c>
      <c r="AJ423" s="128">
        <v>33064.861465526497</v>
      </c>
      <c r="AK423" s="774"/>
      <c r="AL423" s="774"/>
      <c r="AM423" s="138"/>
      <c r="AN423" s="138"/>
      <c r="AO423" s="138"/>
      <c r="AP423" s="138"/>
      <c r="AQ423" s="138"/>
      <c r="AR423" s="138"/>
      <c r="AS423" s="138"/>
      <c r="AT423" s="128">
        <v>-4184.38</v>
      </c>
      <c r="AU423" s="774"/>
      <c r="AV423" s="774"/>
      <c r="AW423" s="138"/>
      <c r="AX423" s="138"/>
      <c r="AY423" s="138"/>
      <c r="AZ423" s="138"/>
      <c r="BA423" s="138"/>
      <c r="BB423" s="138"/>
      <c r="BC423" s="138"/>
      <c r="BD423" s="126">
        <f>IF(AI423=0,0,(AT423-AI423)/AI423*100)</f>
        <v>-253.88271930967471</v>
      </c>
      <c r="BE423" s="126">
        <f t="shared" ref="BE423:BM423" si="112">IF(AT423=0,0,(AU423-AT423)/AT423*100)</f>
        <v>-100</v>
      </c>
      <c r="BF423" s="126">
        <f t="shared" si="112"/>
        <v>0</v>
      </c>
      <c r="BG423" s="126">
        <f t="shared" si="112"/>
        <v>0</v>
      </c>
      <c r="BH423" s="126">
        <f t="shared" si="112"/>
        <v>0</v>
      </c>
      <c r="BI423" s="126">
        <f t="shared" si="112"/>
        <v>0</v>
      </c>
      <c r="BJ423" s="126">
        <f t="shared" si="112"/>
        <v>0</v>
      </c>
      <c r="BK423" s="126">
        <f t="shared" si="112"/>
        <v>0</v>
      </c>
      <c r="BL423" s="126">
        <f t="shared" si="112"/>
        <v>0</v>
      </c>
      <c r="BM423" s="126">
        <f t="shared" si="112"/>
        <v>0</v>
      </c>
      <c r="BN423" s="556"/>
      <c r="BO423" s="601" t="str">
        <f ca="1">IF(IFERROR(INDEX('Корректировка НВВ'!$K$26:$L$231,MATCH($F423&amp;"11komm",'Корректировка НВВ'!$K$26:$K$231,0),2),"")=0,"",IFERROR(INDEX('Корректировка НВВ'!$K$26:$L$231,MATCH($F423&amp;"11komm",'Корректировка НВВ'!$K$26:$K$231,0),2),""))</f>
        <v/>
      </c>
      <c r="BP423" s="556"/>
      <c r="BQ423" s="76"/>
      <c r="BR423" s="76"/>
      <c r="BS423" s="702" t="s">
        <v>2187</v>
      </c>
      <c r="BT423" s="702"/>
      <c r="BU423" s="702"/>
      <c r="BV423" s="511"/>
      <c r="BW423" s="511"/>
    </row>
    <row r="424" spans="1:75" ht="14.25" customHeight="1" x14ac:dyDescent="0.15">
      <c r="D424" s="25" t="str" cm="1">
        <f t="array" ref="D424">D423</f>
        <v>7</v>
      </c>
      <c r="E424" s="507">
        <v>15</v>
      </c>
      <c r="F424" s="3" t="str" cm="1">
        <f t="array" aca="1" ref="F424" ca="1">OFFSET(E424,-1,1)</f>
        <v>2</v>
      </c>
      <c r="L424" s="25"/>
      <c r="M424" s="25"/>
      <c r="T424" s="353" t="b" cm="1">
        <f t="array" aca="1" ref="T424" ca="1">T423</f>
        <v>1</v>
      </c>
      <c r="X424" s="990"/>
      <c r="Z424" s="967"/>
      <c r="AB424" s="7"/>
      <c r="AC424" s="346" t="s">
        <v>2188</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44.25" customHeight="1" x14ac:dyDescent="0.15">
      <c r="D425" s="25" t="str" cm="1">
        <f t="array" ref="D425">D424</f>
        <v>7</v>
      </c>
      <c r="E425" s="507">
        <v>22.5</v>
      </c>
      <c r="F425" s="3" t="str" cm="1">
        <f t="array" aca="1" ref="F425" ca="1">OFFSET(E425,-1,1)</f>
        <v>2</v>
      </c>
      <c r="G425" s="72" t="s">
        <v>373</v>
      </c>
      <c r="I425" s="72" t="s">
        <v>535</v>
      </c>
      <c r="K425" s="72" t="s">
        <v>535</v>
      </c>
      <c r="L425" s="25"/>
      <c r="M425" s="25"/>
      <c r="T425" s="353" t="b" cm="1">
        <f t="array" aca="1" ref="T425" ca="1">T424</f>
        <v>1</v>
      </c>
      <c r="X425" s="990"/>
      <c r="Z425" s="967"/>
      <c r="AB425" s="7" t="str">
        <f>D425&amp;".1"</f>
        <v>7.1</v>
      </c>
      <c r="AC425" s="127" t="s">
        <v>2189</v>
      </c>
      <c r="AD425" s="7" t="s">
        <v>828</v>
      </c>
      <c r="AE425" s="128">
        <v>0</v>
      </c>
      <c r="AF425" s="128"/>
      <c r="AG425" s="128"/>
      <c r="AH425" s="171">
        <f t="shared" ref="AH425:AH438" si="113">AG425-AF425</f>
        <v>0</v>
      </c>
      <c r="AI425" s="128">
        <v>0</v>
      </c>
      <c r="AJ425" s="128">
        <f ca="1">SUMIFS('Корректировка НВВ'!$AF$25:$AF$231,'Корректировка НВВ'!$F$25:$F$231,$F425,'Корректировка НВВ'!$I$25:$I$231,$G425)</f>
        <v>0</v>
      </c>
      <c r="AK425" s="778"/>
      <c r="AL425" s="778"/>
      <c r="AM425" s="128"/>
      <c r="AN425" s="128"/>
      <c r="AO425" s="128"/>
      <c r="AP425" s="128"/>
      <c r="AQ425" s="128"/>
      <c r="AR425" s="128"/>
      <c r="AS425" s="128"/>
      <c r="AT425" s="128">
        <f ca="1">SUMIFS('Корректировка НВВ'!$AG$25:$AG$231,'Корректировка НВВ'!$F$25:$F$231,$F425,'Корректировка НВВ'!$I$25:$I$231,$G425)</f>
        <v>0</v>
      </c>
      <c r="AU425" s="778"/>
      <c r="AV425" s="778"/>
      <c r="AW425" s="128"/>
      <c r="AX425" s="128"/>
      <c r="AY425" s="128"/>
      <c r="AZ425" s="128"/>
      <c r="BA425" s="128"/>
      <c r="BB425" s="128"/>
      <c r="BC425" s="128"/>
      <c r="BD425" s="542"/>
      <c r="BE425" s="542"/>
      <c r="BF425" s="542"/>
      <c r="BG425" s="542"/>
      <c r="BH425" s="542"/>
      <c r="BI425" s="542"/>
      <c r="BJ425" s="542"/>
      <c r="BK425" s="542"/>
      <c r="BL425" s="542"/>
      <c r="BM425" s="542"/>
      <c r="BN425" s="196"/>
      <c r="BO425" s="601" t="str">
        <f ca="1">IF(IFERROR(INDEX('Корректировка НВВ'!$K$26:$L$231,MATCH($F425&amp;"1komm",'Корректировка НВВ'!$K$26:$K$231,0),2),"")=0,"",IFERROR(INDEX('Корректировка НВВ'!$K$26:$L$231,MATCH($F425&amp;"1komm",'Корректировка НВВ'!$K$26:$K$231,0),2),""))</f>
        <v/>
      </c>
      <c r="BP425" s="196"/>
      <c r="BS425" s="696" t="s">
        <v>2190</v>
      </c>
    </row>
    <row r="426" spans="1:75" ht="206.1" customHeight="1" x14ac:dyDescent="0.15">
      <c r="D426" s="25" t="str" cm="1">
        <f t="array" ref="D426">D425</f>
        <v>7</v>
      </c>
      <c r="E426" s="507">
        <v>101.25</v>
      </c>
      <c r="F426" s="3" t="str" cm="1">
        <f t="array" aca="1" ref="F426" ca="1">OFFSET(E426,-1,1)</f>
        <v>2</v>
      </c>
      <c r="G426" s="72" t="s">
        <v>2191</v>
      </c>
      <c r="I426" s="72" t="s">
        <v>586</v>
      </c>
      <c r="K426" s="72" t="s">
        <v>586</v>
      </c>
      <c r="L426" s="25"/>
      <c r="M426" s="25"/>
      <c r="T426" s="353" t="b" cm="1">
        <f t="array" aca="1" ref="T426" ca="1">T425</f>
        <v>1</v>
      </c>
      <c r="X426" s="990"/>
      <c r="Z426" s="967"/>
      <c r="AB426" s="7" t="str">
        <f>D426&amp;".2"</f>
        <v>7.2</v>
      </c>
      <c r="AC426" s="127" t="s">
        <v>2192</v>
      </c>
      <c r="AD426" s="7" t="s">
        <v>828</v>
      </c>
      <c r="AE426" s="128">
        <v>0</v>
      </c>
      <c r="AF426" s="128"/>
      <c r="AG426" s="128"/>
      <c r="AH426" s="171">
        <f t="shared" si="113"/>
        <v>0</v>
      </c>
      <c r="AI426" s="128">
        <v>-355.894737384</v>
      </c>
      <c r="AJ426" s="128">
        <f ca="1">SUMIFS('Корректировка НВВ'!$AF$25:$AF$231,'Корректировка НВВ'!$F$25:$F$231,$F426,'Корректировка НВВ'!$I$25:$I$231,$G426)</f>
        <v>0</v>
      </c>
      <c r="AK426" s="778"/>
      <c r="AL426" s="778"/>
      <c r="AM426" s="128"/>
      <c r="AN426" s="128"/>
      <c r="AO426" s="128"/>
      <c r="AP426" s="128"/>
      <c r="AQ426" s="128"/>
      <c r="AR426" s="128"/>
      <c r="AS426" s="128"/>
      <c r="AT426" s="128">
        <v>-389.47</v>
      </c>
      <c r="AU426" s="778"/>
      <c r="AV426" s="778"/>
      <c r="AW426" s="128"/>
      <c r="AX426" s="128"/>
      <c r="AY426" s="128"/>
      <c r="AZ426" s="128"/>
      <c r="BA426" s="128"/>
      <c r="BB426" s="128"/>
      <c r="BC426" s="128"/>
      <c r="BD426" s="542"/>
      <c r="BE426" s="542"/>
      <c r="BF426" s="542"/>
      <c r="BG426" s="542"/>
      <c r="BH426" s="542"/>
      <c r="BI426" s="542"/>
      <c r="BJ426" s="542"/>
      <c r="BK426" s="542"/>
      <c r="BL426" s="542"/>
      <c r="BM426" s="542"/>
      <c r="BN426" s="196"/>
      <c r="BO426" s="601" t="s">
        <v>2259</v>
      </c>
      <c r="BP426" s="196" t="s">
        <v>2287</v>
      </c>
      <c r="BS426" s="696" t="s">
        <v>2193</v>
      </c>
    </row>
    <row r="427" spans="1:75" ht="75.75" customHeight="1" x14ac:dyDescent="0.15">
      <c r="D427" s="25" t="str" cm="1">
        <f t="array" ref="D427">D426</f>
        <v>7</v>
      </c>
      <c r="E427" s="507">
        <v>45</v>
      </c>
      <c r="F427" s="3" t="str" cm="1">
        <f t="array" aca="1" ref="F427" ca="1">OFFSET(E427,-1,1)</f>
        <v>2</v>
      </c>
      <c r="I427" s="72" t="s">
        <v>601</v>
      </c>
      <c r="K427" s="72" t="s">
        <v>601</v>
      </c>
      <c r="L427" s="25"/>
      <c r="M427" s="25"/>
      <c r="T427" s="353" t="b" cm="1">
        <f t="array" aca="1" ref="T427" ca="1">T426</f>
        <v>1</v>
      </c>
      <c r="X427" s="990"/>
      <c r="Z427" s="967"/>
      <c r="AB427" s="7" t="str">
        <f>D427&amp;".3"</f>
        <v>7.3</v>
      </c>
      <c r="AC427" s="127" t="s">
        <v>2194</v>
      </c>
      <c r="AD427" s="7" t="s">
        <v>828</v>
      </c>
      <c r="AE427" s="128"/>
      <c r="AF427" s="128"/>
      <c r="AG427" s="128"/>
      <c r="AH427" s="171">
        <f t="shared" si="113"/>
        <v>0</v>
      </c>
      <c r="AI427" s="128">
        <v>1654.6746699600001</v>
      </c>
      <c r="AJ427" s="128">
        <v>33064.861465526497</v>
      </c>
      <c r="AK427" s="778"/>
      <c r="AL427" s="778"/>
      <c r="AM427" s="128"/>
      <c r="AN427" s="128"/>
      <c r="AO427" s="128"/>
      <c r="AP427" s="128"/>
      <c r="AQ427" s="128"/>
      <c r="AR427" s="128"/>
      <c r="AS427" s="128"/>
      <c r="AT427" s="128">
        <v>-2107.94</v>
      </c>
      <c r="AU427" s="778"/>
      <c r="AV427" s="778"/>
      <c r="AW427" s="128"/>
      <c r="AX427" s="128"/>
      <c r="AY427" s="128"/>
      <c r="AZ427" s="128"/>
      <c r="BA427" s="128"/>
      <c r="BB427" s="128"/>
      <c r="BC427" s="128"/>
      <c r="BD427" s="542"/>
      <c r="BE427" s="542"/>
      <c r="BF427" s="542"/>
      <c r="BG427" s="542"/>
      <c r="BH427" s="542"/>
      <c r="BI427" s="542"/>
      <c r="BJ427" s="542"/>
      <c r="BK427" s="542"/>
      <c r="BL427" s="542"/>
      <c r="BM427" s="542"/>
      <c r="BN427" s="196"/>
      <c r="BO427" s="601" t="s">
        <v>2261</v>
      </c>
      <c r="BP427" s="196" t="s">
        <v>2288</v>
      </c>
      <c r="BS427" s="696" t="s">
        <v>2195</v>
      </c>
    </row>
    <row r="428" spans="1:75" ht="138.75" customHeight="1" x14ac:dyDescent="0.25">
      <c r="B428" s="341" t="b">
        <f>S315="Водоотведение"</f>
        <v>1</v>
      </c>
      <c r="D428" s="25" t="str" cm="1">
        <f t="array" ref="D428">D427</f>
        <v>7</v>
      </c>
      <c r="E428" s="507">
        <v>90</v>
      </c>
      <c r="F428" s="3" t="str" cm="1">
        <f t="array" aca="1" ref="F428" ca="1">OFFSET(E428,-1,1)</f>
        <v>2</v>
      </c>
      <c r="G428" s="72" t="s">
        <v>2196</v>
      </c>
      <c r="H428" s="2"/>
      <c r="I428" s="72" t="s">
        <v>770</v>
      </c>
      <c r="K428" s="72" t="s">
        <v>770</v>
      </c>
      <c r="L428" s="25" t="s">
        <v>767</v>
      </c>
      <c r="M428" s="25"/>
      <c r="T428" s="353" t="b" cm="1">
        <f t="array" aca="1" ref="T428" ca="1">T427</f>
        <v>1</v>
      </c>
      <c r="X428" s="990"/>
      <c r="Z428" s="967"/>
      <c r="AB428" s="7" t="str">
        <f>D428&amp;".4"</f>
        <v>7.4</v>
      </c>
      <c r="AC428" s="127" t="s">
        <v>1857</v>
      </c>
      <c r="AD428" s="9" t="s">
        <v>828</v>
      </c>
      <c r="AE428" s="128">
        <v>0</v>
      </c>
      <c r="AF428" s="128"/>
      <c r="AG428" s="128"/>
      <c r="AH428" s="171">
        <f t="shared" si="113"/>
        <v>0</v>
      </c>
      <c r="AI428" s="128">
        <v>0</v>
      </c>
      <c r="AJ428" s="128">
        <f ca="1">SUMIFS('Корректировка НВВ'!$AF$25:$AF$231,'Корректировка НВВ'!$F$25:$F$231,$F428,'Корректировка НВВ'!$I$25:$I$231,$G428)</f>
        <v>0</v>
      </c>
      <c r="AK428" s="778"/>
      <c r="AL428" s="778"/>
      <c r="AM428" s="128"/>
      <c r="AN428" s="128"/>
      <c r="AO428" s="128"/>
      <c r="AP428" s="128"/>
      <c r="AQ428" s="128"/>
      <c r="AR428" s="128"/>
      <c r="AS428" s="128"/>
      <c r="AT428" s="128">
        <f ca="1">SUMIFS('Корректировка НВВ'!$AG$25:$AG$231,'Корректировка НВВ'!$F$25:$F$231,$F428,'Корректировка НВВ'!$I$25:$I$231,$G428)</f>
        <v>0</v>
      </c>
      <c r="AU428" s="778"/>
      <c r="AV428" s="778"/>
      <c r="AW428" s="128"/>
      <c r="AX428" s="128"/>
      <c r="AY428" s="128"/>
      <c r="AZ428" s="128"/>
      <c r="BA428" s="128"/>
      <c r="BB428" s="128"/>
      <c r="BC428" s="128"/>
      <c r="BD428" s="542"/>
      <c r="BE428" s="542"/>
      <c r="BF428" s="542"/>
      <c r="BG428" s="542"/>
      <c r="BH428" s="542"/>
      <c r="BI428" s="542"/>
      <c r="BJ428" s="542"/>
      <c r="BK428" s="542"/>
      <c r="BL428" s="542"/>
      <c r="BM428" s="542"/>
      <c r="BN428" s="196"/>
      <c r="BO428" s="601" t="str">
        <f ca="1">IF(IFERROR(INDEX('Корректировка НВВ'!$K$26:$L$231,MATCH($F428&amp;"3komm",'Корректировка НВВ'!$K$26:$K$231,0),2),"")=0,"",IFERROR(INDEX('Корректировка НВВ'!$K$26:$L$231,MATCH($F428&amp;"3komm",'Корректировка НВВ'!$K$26:$K$231,0),2),""))</f>
        <v/>
      </c>
      <c r="BP428" s="196"/>
      <c r="BS428" s="696" t="s">
        <v>1374</v>
      </c>
    </row>
    <row r="429" spans="1:75" ht="96.75" customHeight="1" x14ac:dyDescent="0.25">
      <c r="B429" s="341" t="b" cm="1">
        <f t="array" ref="B429">B428</f>
        <v>1</v>
      </c>
      <c r="D429" s="25" t="str" cm="1">
        <f t="array" ref="D429">D428</f>
        <v>7</v>
      </c>
      <c r="E429" s="507">
        <v>56.25</v>
      </c>
      <c r="F429" s="3" t="str" cm="1">
        <f t="array" aca="1" ref="F429" ca="1">OFFSET(E429,-1,1)</f>
        <v>2</v>
      </c>
      <c r="G429" s="72" t="s">
        <v>2197</v>
      </c>
      <c r="H429" s="2"/>
      <c r="I429" s="72" t="s">
        <v>806</v>
      </c>
      <c r="K429" s="72" t="s">
        <v>806</v>
      </c>
      <c r="L429" s="25" t="s">
        <v>770</v>
      </c>
      <c r="M429" s="25"/>
      <c r="T429" s="353" t="b" cm="1">
        <f t="array" aca="1" ref="T429" ca="1">T428</f>
        <v>1</v>
      </c>
      <c r="X429" s="990"/>
      <c r="Z429" s="967"/>
      <c r="AB429" s="7" t="str">
        <f>D429&amp;".5"</f>
        <v>7.5</v>
      </c>
      <c r="AC429" s="127" t="s">
        <v>1859</v>
      </c>
      <c r="AD429" s="9" t="s">
        <v>828</v>
      </c>
      <c r="AE429" s="128">
        <v>0</v>
      </c>
      <c r="AF429" s="128"/>
      <c r="AG429" s="128"/>
      <c r="AH429" s="171">
        <f t="shared" si="113"/>
        <v>0</v>
      </c>
      <c r="AI429" s="128">
        <v>0</v>
      </c>
      <c r="AJ429" s="128">
        <f ca="1">SUMIFS('Корректировка НВВ'!$AF$25:$AF$231,'Корректировка НВВ'!$F$25:$F$231,$F429,'Корректировка НВВ'!$I$25:$I$231,$G429)</f>
        <v>0</v>
      </c>
      <c r="AK429" s="778"/>
      <c r="AL429" s="778"/>
      <c r="AM429" s="128"/>
      <c r="AN429" s="128"/>
      <c r="AO429" s="128"/>
      <c r="AP429" s="128"/>
      <c r="AQ429" s="128"/>
      <c r="AR429" s="128"/>
      <c r="AS429" s="128"/>
      <c r="AT429" s="128">
        <f ca="1">SUMIFS('Корректировка НВВ'!$AG$25:$AG$231,'Корректировка НВВ'!$F$25:$F$231,$F429,'Корректировка НВВ'!$I$25:$I$231,$G429)</f>
        <v>0</v>
      </c>
      <c r="AU429" s="778"/>
      <c r="AV429" s="778"/>
      <c r="AW429" s="128"/>
      <c r="AX429" s="128"/>
      <c r="AY429" s="128"/>
      <c r="AZ429" s="128"/>
      <c r="BA429" s="128"/>
      <c r="BB429" s="128"/>
      <c r="BC429" s="128"/>
      <c r="BD429" s="542"/>
      <c r="BE429" s="542"/>
      <c r="BF429" s="542"/>
      <c r="BG429" s="542"/>
      <c r="BH429" s="542"/>
      <c r="BI429" s="542"/>
      <c r="BJ429" s="542"/>
      <c r="BK429" s="542"/>
      <c r="BL429" s="542"/>
      <c r="BM429" s="542"/>
      <c r="BN429" s="196"/>
      <c r="BO429" s="601" t="str">
        <f ca="1">IF(IFERROR(INDEX('Корректировка НВВ'!$K$26:$L$231,MATCH($F429&amp;"4komm",'Корректировка НВВ'!$K$26:$K$231,0),2),"")=0,"",IFERROR(INDEX('Корректировка НВВ'!$K$26:$L$231,MATCH($F429&amp;"4komm",'Корректировка НВВ'!$K$26:$K$231,0),2),""))</f>
        <v/>
      </c>
      <c r="BP429" s="196"/>
      <c r="BS429" s="696" t="s">
        <v>1378</v>
      </c>
    </row>
    <row r="430" spans="1:75" ht="52.35" customHeight="1" x14ac:dyDescent="0.15">
      <c r="D430" s="25" t="str" cm="1">
        <f t="array" ref="D430">D429</f>
        <v>7</v>
      </c>
      <c r="E430" s="507">
        <v>15</v>
      </c>
      <c r="F430" s="3" t="str" cm="1">
        <f t="array" aca="1" ref="F430" ca="1">OFFSET(E430,-1,1)</f>
        <v>2</v>
      </c>
      <c r="G430" s="72" t="s">
        <v>2198</v>
      </c>
      <c r="I430" s="72" t="s">
        <v>807</v>
      </c>
      <c r="K430" s="72" t="s">
        <v>807</v>
      </c>
      <c r="L430" s="25" t="s">
        <v>806</v>
      </c>
      <c r="M430" s="25"/>
      <c r="T430" s="353" t="b" cm="1">
        <f t="array" aca="1" ref="T430" ca="1">T429</f>
        <v>1</v>
      </c>
      <c r="X430" s="990"/>
      <c r="Z430" s="967"/>
      <c r="AB430" s="7" t="str">
        <f>IF(B429,D430&amp;".6",D430&amp;".4")</f>
        <v>7.6</v>
      </c>
      <c r="AC430" s="127" t="s">
        <v>1591</v>
      </c>
      <c r="AD430" s="7" t="s">
        <v>828</v>
      </c>
      <c r="AE430" s="128">
        <v>499.99</v>
      </c>
      <c r="AF430" s="128"/>
      <c r="AG430" s="128">
        <v>499.99</v>
      </c>
      <c r="AH430" s="171">
        <f t="shared" si="113"/>
        <v>499.99</v>
      </c>
      <c r="AI430" s="128">
        <v>1486.87</v>
      </c>
      <c r="AJ430" s="128">
        <v>1287.3399999999999</v>
      </c>
      <c r="AK430" s="778"/>
      <c r="AL430" s="778"/>
      <c r="AM430" s="128"/>
      <c r="AN430" s="128"/>
      <c r="AO430" s="128"/>
      <c r="AP430" s="128"/>
      <c r="AQ430" s="128"/>
      <c r="AR430" s="128"/>
      <c r="AS430" s="128"/>
      <c r="AT430" s="128">
        <v>1287.3399999999999</v>
      </c>
      <c r="AU430" s="778"/>
      <c r="AV430" s="778"/>
      <c r="AW430" s="128"/>
      <c r="AX430" s="128"/>
      <c r="AY430" s="128"/>
      <c r="AZ430" s="128"/>
      <c r="BA430" s="128"/>
      <c r="BB430" s="128"/>
      <c r="BC430" s="128"/>
      <c r="BD430" s="542"/>
      <c r="BE430" s="542"/>
      <c r="BF430" s="542"/>
      <c r="BG430" s="542"/>
      <c r="BH430" s="542"/>
      <c r="BI430" s="542"/>
      <c r="BJ430" s="542"/>
      <c r="BK430" s="542"/>
      <c r="BL430" s="542"/>
      <c r="BM430" s="542"/>
      <c r="BN430" s="196"/>
      <c r="BO430" s="601" t="s">
        <v>2289</v>
      </c>
      <c r="BP430" s="196" t="s">
        <v>2290</v>
      </c>
      <c r="BS430" s="696" t="s">
        <v>2199</v>
      </c>
    </row>
    <row r="431" spans="1:75" ht="23.25" customHeight="1" x14ac:dyDescent="0.15">
      <c r="D431" s="25" t="str" cm="1">
        <f t="array" ref="D431">D430</f>
        <v>7</v>
      </c>
      <c r="E431" s="507">
        <v>15</v>
      </c>
      <c r="F431" s="3" t="str" cm="1">
        <f t="array" aca="1" ref="F431" ca="1">OFFSET(E431,-1,1)</f>
        <v>2</v>
      </c>
      <c r="G431" s="72" t="s">
        <v>2200</v>
      </c>
      <c r="I431" s="72" t="s">
        <v>1869</v>
      </c>
      <c r="K431" s="72" t="s">
        <v>1869</v>
      </c>
      <c r="L431" s="25" t="s">
        <v>807</v>
      </c>
      <c r="M431" s="25"/>
      <c r="T431" s="353" t="b" cm="1">
        <f t="array" aca="1" ref="T431" ca="1">T430</f>
        <v>1</v>
      </c>
      <c r="X431" s="990"/>
      <c r="Z431" s="967"/>
      <c r="AB431" s="7" t="str">
        <f>IF(B429,D430&amp;".7",D430&amp;".5")</f>
        <v>7.7</v>
      </c>
      <c r="AC431" s="127" t="s">
        <v>1553</v>
      </c>
      <c r="AD431" s="7" t="s">
        <v>828</v>
      </c>
      <c r="AE431" s="128">
        <f>AE432+AE433</f>
        <v>0</v>
      </c>
      <c r="AF431" s="128">
        <f>AF432+AF433</f>
        <v>0</v>
      </c>
      <c r="AG431" s="128">
        <f>AG432+AG433</f>
        <v>0</v>
      </c>
      <c r="AH431" s="171">
        <f t="shared" si="113"/>
        <v>0</v>
      </c>
      <c r="AI431" s="128">
        <v>-66.449219999999997</v>
      </c>
      <c r="AJ431" s="128">
        <f ca="1">SUMIFS('Корректировка НВВ'!$AF$25:$AF$231,'Корректировка НВВ'!$F$25:$F$231,$F431,'Корректировка НВВ'!$I$25:$I$231,$G431)</f>
        <v>0</v>
      </c>
      <c r="AK431" s="778">
        <f t="shared" ref="AK431:AS431" si="114">AK432+AK433</f>
        <v>0</v>
      </c>
      <c r="AL431" s="778">
        <f t="shared" si="114"/>
        <v>0</v>
      </c>
      <c r="AM431" s="128">
        <f t="shared" si="114"/>
        <v>0</v>
      </c>
      <c r="AN431" s="128">
        <f t="shared" si="114"/>
        <v>0</v>
      </c>
      <c r="AO431" s="128">
        <f t="shared" si="114"/>
        <v>0</v>
      </c>
      <c r="AP431" s="128">
        <f t="shared" si="114"/>
        <v>0</v>
      </c>
      <c r="AQ431" s="128">
        <f t="shared" si="114"/>
        <v>0</v>
      </c>
      <c r="AR431" s="128">
        <f t="shared" si="114"/>
        <v>0</v>
      </c>
      <c r="AS431" s="128">
        <f t="shared" si="114"/>
        <v>0</v>
      </c>
      <c r="AT431" s="128">
        <v>2974.31</v>
      </c>
      <c r="AU431" s="778">
        <f t="shared" ref="AU431:BC431" si="115">AU432+AU433</f>
        <v>0</v>
      </c>
      <c r="AV431" s="778">
        <f t="shared" si="115"/>
        <v>0</v>
      </c>
      <c r="AW431" s="128">
        <f t="shared" si="115"/>
        <v>0</v>
      </c>
      <c r="AX431" s="128">
        <f t="shared" si="115"/>
        <v>0</v>
      </c>
      <c r="AY431" s="128">
        <f t="shared" si="115"/>
        <v>0</v>
      </c>
      <c r="AZ431" s="128">
        <f t="shared" si="115"/>
        <v>0</v>
      </c>
      <c r="BA431" s="128">
        <f t="shared" si="115"/>
        <v>0</v>
      </c>
      <c r="BB431" s="128">
        <f t="shared" si="115"/>
        <v>0</v>
      </c>
      <c r="BC431" s="128">
        <f t="shared" si="115"/>
        <v>0</v>
      </c>
      <c r="BD431" s="171">
        <f>IF(AI431=0,0,(AT431-AI431)/AI431*100)</f>
        <v>-4576.0645798400647</v>
      </c>
      <c r="BE431" s="171">
        <f t="shared" ref="BE431:BM431" si="116">IF(AT431=0,0,(AU431-AT431)/AT431*100)</f>
        <v>-100</v>
      </c>
      <c r="BF431" s="171">
        <f t="shared" si="116"/>
        <v>0</v>
      </c>
      <c r="BG431" s="171">
        <f t="shared" si="116"/>
        <v>0</v>
      </c>
      <c r="BH431" s="171">
        <f t="shared" si="116"/>
        <v>0</v>
      </c>
      <c r="BI431" s="171">
        <f t="shared" si="116"/>
        <v>0</v>
      </c>
      <c r="BJ431" s="171">
        <f t="shared" si="116"/>
        <v>0</v>
      </c>
      <c r="BK431" s="171">
        <f t="shared" si="116"/>
        <v>0</v>
      </c>
      <c r="BL431" s="171">
        <f t="shared" si="116"/>
        <v>0</v>
      </c>
      <c r="BM431" s="171">
        <f t="shared" si="116"/>
        <v>0</v>
      </c>
      <c r="BN431" s="196"/>
      <c r="BO431" s="601" t="str">
        <f ca="1">IF(IFERROR(INDEX('Корректировка НВВ'!$K$26:$L$231,MATCH($F431&amp;"6komm",'Корректировка НВВ'!$K$26:$K$231,0),2),"")=0,"",IFERROR(INDEX('Корректировка НВВ'!$K$26:$L$231,MATCH($F431&amp;"6komm",'Корректировка НВВ'!$K$26:$K$231,0),2),""))</f>
        <v/>
      </c>
      <c r="BP431" s="196"/>
      <c r="BS431" s="696" t="s">
        <v>1555</v>
      </c>
    </row>
    <row r="432" spans="1:75" ht="132.75" customHeight="1" x14ac:dyDescent="0.15">
      <c r="D432" s="25" t="str" cm="1">
        <f t="array" ref="D432">D431</f>
        <v>7</v>
      </c>
      <c r="E432" s="507">
        <v>22.5</v>
      </c>
      <c r="F432" s="3" t="str" cm="1">
        <f t="array" aca="1" ref="F432" ca="1">OFFSET(E432,-1,1)</f>
        <v>2</v>
      </c>
      <c r="G432" s="72" t="s">
        <v>2201</v>
      </c>
      <c r="I432" s="72" t="s">
        <v>2202</v>
      </c>
      <c r="K432" s="72" t="s">
        <v>2202</v>
      </c>
      <c r="L432" s="25" t="s">
        <v>1864</v>
      </c>
      <c r="M432" s="25"/>
      <c r="T432" s="353" t="b" cm="1">
        <f t="array" aca="1" ref="T432" ca="1">T431</f>
        <v>1</v>
      </c>
      <c r="X432" s="990"/>
      <c r="Z432" s="967"/>
      <c r="AB432" s="7" t="str">
        <f>AB431&amp;".1"</f>
        <v>7.7.1</v>
      </c>
      <c r="AC432" s="549" t="s">
        <v>1556</v>
      </c>
      <c r="AD432" s="7" t="s">
        <v>828</v>
      </c>
      <c r="AE432" s="128"/>
      <c r="AF432" s="128"/>
      <c r="AG432" s="128"/>
      <c r="AH432" s="171">
        <f t="shared" si="113"/>
        <v>0</v>
      </c>
      <c r="AI432" s="128">
        <v>-66.449219999999997</v>
      </c>
      <c r="AJ432" s="128">
        <f ca="1">SUMIFS('Корректировка НВВ'!$AF$25:$AF$231,'Корректировка НВВ'!$F$25:$F$231,$F432,'Корректировка НВВ'!$I$25:$I$231,$G432)</f>
        <v>0</v>
      </c>
      <c r="AK432" s="778"/>
      <c r="AL432" s="778"/>
      <c r="AM432" s="128"/>
      <c r="AN432" s="128"/>
      <c r="AO432" s="128"/>
      <c r="AP432" s="128"/>
      <c r="AQ432" s="128"/>
      <c r="AR432" s="128"/>
      <c r="AS432" s="128"/>
      <c r="AT432" s="128">
        <v>2974.31</v>
      </c>
      <c r="AU432" s="778"/>
      <c r="AV432" s="778"/>
      <c r="AW432" s="128"/>
      <c r="AX432" s="128"/>
      <c r="AY432" s="128"/>
      <c r="AZ432" s="128"/>
      <c r="BA432" s="128"/>
      <c r="BB432" s="128"/>
      <c r="BC432" s="128"/>
      <c r="BD432" s="542"/>
      <c r="BE432" s="542"/>
      <c r="BF432" s="542"/>
      <c r="BG432" s="542"/>
      <c r="BH432" s="542"/>
      <c r="BI432" s="542"/>
      <c r="BJ432" s="542"/>
      <c r="BK432" s="542"/>
      <c r="BL432" s="542"/>
      <c r="BM432" s="542"/>
      <c r="BN432" s="196"/>
      <c r="BO432" s="601" t="s">
        <v>2291</v>
      </c>
      <c r="BP432" s="196" t="s">
        <v>2292</v>
      </c>
      <c r="BS432" s="696" t="s">
        <v>1557</v>
      </c>
    </row>
    <row r="433" spans="1:75" ht="33.75" customHeight="1" x14ac:dyDescent="0.15">
      <c r="D433" s="25" t="str" cm="1">
        <f t="array" ref="D433">D432</f>
        <v>7</v>
      </c>
      <c r="E433" s="507">
        <v>22.5</v>
      </c>
      <c r="F433" s="3" t="str" cm="1">
        <f t="array" aca="1" ref="F433" ca="1">OFFSET(E433,-1,1)</f>
        <v>2</v>
      </c>
      <c r="G433" s="72" t="s">
        <v>2203</v>
      </c>
      <c r="I433" s="72" t="s">
        <v>2204</v>
      </c>
      <c r="K433" s="72" t="s">
        <v>2204</v>
      </c>
      <c r="L433" s="25" t="s">
        <v>1866</v>
      </c>
      <c r="M433" s="25"/>
      <c r="T433" s="353" t="b" cm="1">
        <f t="array" aca="1" ref="T433" ca="1">T432</f>
        <v>1</v>
      </c>
      <c r="X433" s="990"/>
      <c r="Z433" s="967"/>
      <c r="AB433" s="7" t="str">
        <f>AB431&amp;".2"</f>
        <v>7.7.2</v>
      </c>
      <c r="AC433" s="549" t="s">
        <v>1558</v>
      </c>
      <c r="AD433" s="7" t="s">
        <v>828</v>
      </c>
      <c r="AE433" s="128"/>
      <c r="AF433" s="128"/>
      <c r="AG433" s="128"/>
      <c r="AH433" s="171">
        <f t="shared" si="113"/>
        <v>0</v>
      </c>
      <c r="AI433" s="128">
        <v>0</v>
      </c>
      <c r="AJ433" s="128">
        <f ca="1">SUMIFS('Корректировка НВВ'!$AF$25:$AF$231,'Корректировка НВВ'!$F$25:$F$231,$F433,'Корректировка НВВ'!$I$25:$I$231,$G433)</f>
        <v>0</v>
      </c>
      <c r="AK433" s="778"/>
      <c r="AL433" s="778"/>
      <c r="AM433" s="128"/>
      <c r="AN433" s="128"/>
      <c r="AO433" s="128"/>
      <c r="AP433" s="128"/>
      <c r="AQ433" s="128"/>
      <c r="AR433" s="128"/>
      <c r="AS433" s="128"/>
      <c r="AT433" s="128">
        <f ca="1">SUMIFS('Корректировка НВВ'!$AG$25:$AG$231,'Корректировка НВВ'!$F$25:$F$231,$F433,'Корректировка НВВ'!$I$25:$I$231,$G433)</f>
        <v>0</v>
      </c>
      <c r="AU433" s="778"/>
      <c r="AV433" s="778"/>
      <c r="AW433" s="128"/>
      <c r="AX433" s="128"/>
      <c r="AY433" s="128"/>
      <c r="AZ433" s="128"/>
      <c r="BA433" s="128"/>
      <c r="BB433" s="128"/>
      <c r="BC433" s="128"/>
      <c r="BD433" s="542"/>
      <c r="BE433" s="542"/>
      <c r="BF433" s="542"/>
      <c r="BG433" s="542"/>
      <c r="BH433" s="542"/>
      <c r="BI433" s="542"/>
      <c r="BJ433" s="542"/>
      <c r="BK433" s="542"/>
      <c r="BL433" s="542"/>
      <c r="BM433" s="542"/>
      <c r="BN433" s="196"/>
      <c r="BO433" s="601" t="str">
        <f ca="1">IF(IFERROR(INDEX('Корректировка НВВ'!$K$26:$L$231,MATCH($F433&amp;"8komm",'Корректировка НВВ'!$K$26:$K$231,0),2),"")=0,"",IFERROR(INDEX('Корректировка НВВ'!$K$26:$L$231,MATCH($F433&amp;"8komm",'Корректировка НВВ'!$K$26:$K$231,0),2),""))</f>
        <v/>
      </c>
      <c r="BP433" s="196"/>
      <c r="BS433" s="696" t="s">
        <v>1559</v>
      </c>
    </row>
    <row r="434" spans="1:75" ht="23.25" customHeight="1" x14ac:dyDescent="0.15">
      <c r="D434" s="25" t="str" cm="1">
        <f t="array" ref="D434">D433</f>
        <v>7</v>
      </c>
      <c r="E434" s="507">
        <v>15</v>
      </c>
      <c r="F434" s="3" t="str" cm="1">
        <f t="array" aca="1" ref="F434" ca="1">OFFSET(E434,-1,1)</f>
        <v>2</v>
      </c>
      <c r="G434" s="72" t="s">
        <v>319</v>
      </c>
      <c r="I434" s="72" t="s">
        <v>1870</v>
      </c>
      <c r="K434" s="72" t="s">
        <v>1870</v>
      </c>
      <c r="L434" s="25" t="s">
        <v>1869</v>
      </c>
      <c r="M434" s="25"/>
      <c r="T434" s="353" t="b" cm="1">
        <f t="array" aca="1" ref="T434" ca="1">T433</f>
        <v>1</v>
      </c>
      <c r="X434" s="990"/>
      <c r="Z434" s="967"/>
      <c r="AB434" s="7" t="str">
        <f>IF(B429,D430&amp;".8",D430&amp;".6")</f>
        <v>7.8</v>
      </c>
      <c r="AC434" s="550" t="s">
        <v>1560</v>
      </c>
      <c r="AD434" s="7" t="s">
        <v>828</v>
      </c>
      <c r="AE434" s="128"/>
      <c r="AF434" s="128"/>
      <c r="AG434" s="128"/>
      <c r="AH434" s="171">
        <f t="shared" si="113"/>
        <v>0</v>
      </c>
      <c r="AI434" s="128">
        <v>0</v>
      </c>
      <c r="AJ434" s="128">
        <f ca="1">SUMIFS('Корректировка НВВ'!$AF$25:$AF$231,'Корректировка НВВ'!$F$25:$F$231,$F434,'Корректировка НВВ'!$I$25:$I$231,$G434)</f>
        <v>0</v>
      </c>
      <c r="AK434" s="778"/>
      <c r="AL434" s="778"/>
      <c r="AM434" s="128"/>
      <c r="AN434" s="128"/>
      <c r="AO434" s="128"/>
      <c r="AP434" s="128"/>
      <c r="AQ434" s="128"/>
      <c r="AR434" s="128"/>
      <c r="AS434" s="128"/>
      <c r="AT434" s="128">
        <f ca="1">SUMIFS('Корректировка НВВ'!$AG$25:$AG$231,'Корректировка НВВ'!$F$25:$F$231,$F434,'Корректировка НВВ'!$I$25:$I$231,$G434)</f>
        <v>0</v>
      </c>
      <c r="AU434" s="778"/>
      <c r="AV434" s="778"/>
      <c r="AW434" s="128"/>
      <c r="AX434" s="128"/>
      <c r="AY434" s="128"/>
      <c r="AZ434" s="128"/>
      <c r="BA434" s="128"/>
      <c r="BB434" s="128"/>
      <c r="BC434" s="128"/>
      <c r="BD434" s="542"/>
      <c r="BE434" s="542"/>
      <c r="BF434" s="542"/>
      <c r="BG434" s="542"/>
      <c r="BH434" s="542"/>
      <c r="BI434" s="542"/>
      <c r="BJ434" s="542"/>
      <c r="BK434" s="542"/>
      <c r="BL434" s="542"/>
      <c r="BM434" s="542"/>
      <c r="BN434" s="196"/>
      <c r="BO434" s="601" t="str">
        <f ca="1">IF(IFERROR(INDEX('Корректировка НВВ'!$K$26:$L$231,MATCH($F434&amp;"9komm",'Корректировка НВВ'!$K$26:$K$231,0),2),"")=0,"",IFERROR(INDEX('Корректировка НВВ'!$K$26:$L$231,MATCH($F434&amp;"9komm",'Корректировка НВВ'!$K$26:$K$231,0),2),""))</f>
        <v/>
      </c>
      <c r="BP434" s="196"/>
      <c r="BS434" s="696" t="s">
        <v>2205</v>
      </c>
    </row>
    <row r="435" spans="1:75" ht="23.25" customHeight="1" x14ac:dyDescent="0.15">
      <c r="D435" s="25" t="str" cm="1">
        <f t="array" ref="D435">D434</f>
        <v>7</v>
      </c>
      <c r="E435" s="507">
        <v>15</v>
      </c>
      <c r="F435" s="3" t="str" cm="1">
        <f t="array" aca="1" ref="F435" ca="1">OFFSET(E435,-1,1)</f>
        <v>2</v>
      </c>
      <c r="G435" s="72" t="s">
        <v>2206</v>
      </c>
      <c r="I435" s="72" t="s">
        <v>1872</v>
      </c>
      <c r="K435" s="72" t="s">
        <v>1872</v>
      </c>
      <c r="L435" s="25" t="s">
        <v>1870</v>
      </c>
      <c r="M435" s="25"/>
      <c r="T435" s="353" t="b" cm="1">
        <f t="array" aca="1" ref="T435" ca="1">T434</f>
        <v>1</v>
      </c>
      <c r="X435" s="990"/>
      <c r="Z435" s="967"/>
      <c r="AB435" s="7" t="str">
        <f>IF(B429,D430&amp;".9",D430&amp;".7")</f>
        <v>7.9</v>
      </c>
      <c r="AC435" s="550" t="s">
        <v>1562</v>
      </c>
      <c r="AD435" s="7" t="s">
        <v>828</v>
      </c>
      <c r="AE435" s="128"/>
      <c r="AF435" s="128"/>
      <c r="AG435" s="128"/>
      <c r="AH435" s="171">
        <f t="shared" si="113"/>
        <v>0</v>
      </c>
      <c r="AI435" s="128">
        <v>0</v>
      </c>
      <c r="AJ435" s="128">
        <f ca="1">SUMIFS('Корректировка НВВ'!$AF$25:$AF$231,'Корректировка НВВ'!$F$25:$F$231,$F435,'Корректировка НВВ'!$I$25:$I$231,$G435)</f>
        <v>0</v>
      </c>
      <c r="AK435" s="778"/>
      <c r="AL435" s="778"/>
      <c r="AM435" s="128"/>
      <c r="AN435" s="128"/>
      <c r="AO435" s="128"/>
      <c r="AP435" s="128"/>
      <c r="AQ435" s="128"/>
      <c r="AR435" s="128"/>
      <c r="AS435" s="128"/>
      <c r="AT435" s="128">
        <f ca="1">SUMIFS('Корректировка НВВ'!$AG$25:$AG$231,'Корректировка НВВ'!$F$25:$F$231,$F435,'Корректировка НВВ'!$I$25:$I$231,$G435)</f>
        <v>0</v>
      </c>
      <c r="AU435" s="778"/>
      <c r="AV435" s="778"/>
      <c r="AW435" s="128"/>
      <c r="AX435" s="128"/>
      <c r="AY435" s="128"/>
      <c r="AZ435" s="128"/>
      <c r="BA435" s="128"/>
      <c r="BB435" s="128"/>
      <c r="BC435" s="128"/>
      <c r="BD435" s="542"/>
      <c r="BE435" s="542"/>
      <c r="BF435" s="542"/>
      <c r="BG435" s="542"/>
      <c r="BH435" s="542"/>
      <c r="BI435" s="542"/>
      <c r="BJ435" s="542"/>
      <c r="BK435" s="542"/>
      <c r="BL435" s="542"/>
      <c r="BM435" s="542"/>
      <c r="BN435" s="196"/>
      <c r="BO435" s="601" t="str">
        <f ca="1">IF(IFERROR(INDEX('Корректировка НВВ'!$K$26:$L$231,MATCH($F435&amp;"10komm",'Корректировка НВВ'!$K$26:$K$231,0),2),"")=0,"",IFERROR(INDEX('Корректировка НВВ'!$K$26:$L$231,MATCH($F435&amp;"10komm",'Корректировка НВВ'!$K$26:$K$231,0),2),""))</f>
        <v/>
      </c>
      <c r="BP435" s="196"/>
      <c r="BS435" s="696" t="s">
        <v>1563</v>
      </c>
    </row>
    <row r="436" spans="1:75" s="870" customFormat="1" ht="33.75" customHeight="1" x14ac:dyDescent="0.15">
      <c r="A436" s="76"/>
      <c r="B436" s="332"/>
      <c r="C436" s="76"/>
      <c r="D436" s="27">
        <f>D435+1</f>
        <v>8</v>
      </c>
      <c r="E436" s="511">
        <v>21</v>
      </c>
      <c r="F436" s="3" t="str" cm="1">
        <f t="array" aca="1" ref="F436" ca="1">OFFSET(E436,-1,1)</f>
        <v>2</v>
      </c>
      <c r="G436" s="76"/>
      <c r="H436" s="76"/>
      <c r="I436" s="76" t="s">
        <v>609</v>
      </c>
      <c r="J436" s="76"/>
      <c r="K436" s="76" t="s">
        <v>609</v>
      </c>
      <c r="L436" s="27"/>
      <c r="M436" s="27"/>
      <c r="N436" s="76"/>
      <c r="O436" s="76"/>
      <c r="P436" s="76"/>
      <c r="Q436" s="76"/>
      <c r="R436" s="76"/>
      <c r="S436" s="76"/>
      <c r="T436" s="353" t="b" cm="1">
        <f t="array" aca="1" ref="T436" ca="1">T435</f>
        <v>1</v>
      </c>
      <c r="U436" s="76"/>
      <c r="V436" s="76"/>
      <c r="W436" s="76"/>
      <c r="X436" s="990"/>
      <c r="Y436" s="76"/>
      <c r="Z436" s="967"/>
      <c r="AA436" s="76"/>
      <c r="AB436" s="124" cm="1">
        <f t="array" ref="AB436">D436</f>
        <v>8</v>
      </c>
      <c r="AC436" s="125" t="s">
        <v>2207</v>
      </c>
      <c r="AD436" s="124" t="s">
        <v>828</v>
      </c>
      <c r="AE436" s="138"/>
      <c r="AF436" s="138"/>
      <c r="AG436" s="138"/>
      <c r="AH436" s="126">
        <f t="shared" si="113"/>
        <v>0</v>
      </c>
      <c r="AI436" s="138">
        <v>0</v>
      </c>
      <c r="AJ436" s="138"/>
      <c r="AK436" s="774"/>
      <c r="AL436" s="774"/>
      <c r="AM436" s="138"/>
      <c r="AN436" s="138"/>
      <c r="AO436" s="138"/>
      <c r="AP436" s="138"/>
      <c r="AQ436" s="138"/>
      <c r="AR436" s="138"/>
      <c r="AS436" s="138"/>
      <c r="AT436" s="138"/>
      <c r="AU436" s="774"/>
      <c r="AV436" s="774"/>
      <c r="AW436" s="138"/>
      <c r="AX436" s="138"/>
      <c r="AY436" s="138"/>
      <c r="AZ436" s="138"/>
      <c r="BA436" s="138"/>
      <c r="BB436" s="138"/>
      <c r="BC436" s="138"/>
      <c r="BD436" s="129"/>
      <c r="BE436" s="129"/>
      <c r="BF436" s="129"/>
      <c r="BG436" s="129"/>
      <c r="BH436" s="129"/>
      <c r="BI436" s="129"/>
      <c r="BJ436" s="129"/>
      <c r="BK436" s="129"/>
      <c r="BL436" s="129"/>
      <c r="BM436" s="129"/>
      <c r="BN436" s="556"/>
      <c r="BO436" s="556" t="s">
        <v>2263</v>
      </c>
      <c r="BP436" s="556"/>
      <c r="BQ436" s="76"/>
      <c r="BR436" s="76"/>
      <c r="BS436" s="702" t="s">
        <v>2208</v>
      </c>
      <c r="BT436" s="702"/>
      <c r="BU436" s="702"/>
      <c r="BV436" s="511"/>
      <c r="BW436" s="511"/>
    </row>
    <row r="437" spans="1:75" ht="14.25" customHeight="1" x14ac:dyDescent="0.15">
      <c r="D437" s="27" cm="1">
        <f t="array" ref="D437">D436</f>
        <v>8</v>
      </c>
      <c r="E437" s="507">
        <v>15</v>
      </c>
      <c r="F437" s="3" t="str" cm="1">
        <f t="array" aca="1" ref="F437" ca="1">OFFSET(E437,-1,1)</f>
        <v>2</v>
      </c>
      <c r="I437" s="72" t="s">
        <v>613</v>
      </c>
      <c r="K437" s="72" t="s">
        <v>613</v>
      </c>
      <c r="L437" s="25"/>
      <c r="M437" s="25"/>
      <c r="T437" s="353" t="b" cm="1">
        <f t="array" aca="1" ref="T437" ca="1">T436</f>
        <v>1</v>
      </c>
      <c r="X437" s="990"/>
      <c r="Z437" s="967"/>
      <c r="AB437" s="7" t="str">
        <f>D437&amp;".1"</f>
        <v>8.1</v>
      </c>
      <c r="AC437" s="127" t="s">
        <v>2209</v>
      </c>
      <c r="AD437" s="7" t="s">
        <v>476</v>
      </c>
      <c r="AE437" s="171">
        <f ca="1">IF(AE438=0,0,AE436/(AE438+AE423)*100)</f>
        <v>0</v>
      </c>
      <c r="AF437" s="171">
        <f ca="1">IF(AF438=0,0,AF436/(AF438+AF423)*100)</f>
        <v>0</v>
      </c>
      <c r="AG437" s="171">
        <f ca="1">IF(AG438=0,0,AG436/(AG438+AG423)*100)</f>
        <v>0</v>
      </c>
      <c r="AH437" s="171">
        <f t="shared" ca="1" si="113"/>
        <v>0</v>
      </c>
      <c r="AI437" s="171">
        <f t="shared" ref="AI437:BC437" ca="1" si="117">IF(AI438=0,0,AI436/(AI438+AI423)*100)</f>
        <v>0</v>
      </c>
      <c r="AJ437" s="171">
        <f t="shared" ca="1" si="117"/>
        <v>0</v>
      </c>
      <c r="AK437" s="171">
        <f t="shared" ca="1" si="117"/>
        <v>0</v>
      </c>
      <c r="AL437" s="171">
        <f t="shared" ca="1" si="117"/>
        <v>0</v>
      </c>
      <c r="AM437" s="171">
        <f t="shared" ca="1" si="117"/>
        <v>0</v>
      </c>
      <c r="AN437" s="171">
        <f t="shared" ca="1" si="117"/>
        <v>0</v>
      </c>
      <c r="AO437" s="171">
        <f t="shared" ca="1" si="117"/>
        <v>0</v>
      </c>
      <c r="AP437" s="171">
        <f t="shared" ca="1" si="117"/>
        <v>0</v>
      </c>
      <c r="AQ437" s="171">
        <f t="shared" ca="1" si="117"/>
        <v>0</v>
      </c>
      <c r="AR437" s="171">
        <f t="shared" ca="1" si="117"/>
        <v>0</v>
      </c>
      <c r="AS437" s="171">
        <f t="shared" ca="1" si="117"/>
        <v>0</v>
      </c>
      <c r="AT437" s="171">
        <f t="shared" ca="1" si="117"/>
        <v>0</v>
      </c>
      <c r="AU437" s="171">
        <f t="shared" ca="1" si="117"/>
        <v>0</v>
      </c>
      <c r="AV437" s="171">
        <f t="shared" ca="1" si="117"/>
        <v>0</v>
      </c>
      <c r="AW437" s="171">
        <f t="shared" ca="1" si="117"/>
        <v>0</v>
      </c>
      <c r="AX437" s="171">
        <f t="shared" ca="1" si="117"/>
        <v>0</v>
      </c>
      <c r="AY437" s="171">
        <f t="shared" ca="1" si="117"/>
        <v>0</v>
      </c>
      <c r="AZ437" s="171">
        <f t="shared" ca="1" si="117"/>
        <v>0</v>
      </c>
      <c r="BA437" s="171">
        <f t="shared" ca="1" si="117"/>
        <v>0</v>
      </c>
      <c r="BB437" s="171">
        <f t="shared" ca="1" si="117"/>
        <v>0</v>
      </c>
      <c r="BC437" s="171">
        <f t="shared" ca="1" si="117"/>
        <v>0</v>
      </c>
      <c r="BD437" s="542"/>
      <c r="BE437" s="542"/>
      <c r="BF437" s="542"/>
      <c r="BG437" s="542"/>
      <c r="BH437" s="542"/>
      <c r="BI437" s="542"/>
      <c r="BJ437" s="542"/>
      <c r="BK437" s="542"/>
      <c r="BL437" s="542"/>
      <c r="BM437" s="542"/>
      <c r="BN437" s="196"/>
      <c r="BO437" s="196"/>
      <c r="BP437" s="196"/>
      <c r="BS437" s="696" t="s">
        <v>2210</v>
      </c>
    </row>
    <row r="438" spans="1:75" s="870" customFormat="1" ht="27.75" customHeight="1" x14ac:dyDescent="0.15">
      <c r="A438" s="76"/>
      <c r="B438" s="332"/>
      <c r="C438" s="76"/>
      <c r="D438" s="27">
        <f>D437+1</f>
        <v>9</v>
      </c>
      <c r="E438" s="511">
        <v>21</v>
      </c>
      <c r="F438" s="3" t="str" cm="1">
        <f t="array" aca="1" ref="F438" ca="1">OFFSET(E438,-1,1)</f>
        <v>2</v>
      </c>
      <c r="G438" s="76"/>
      <c r="H438" s="72"/>
      <c r="I438" s="72" t="s">
        <v>767</v>
      </c>
      <c r="J438" s="76"/>
      <c r="K438" s="72" t="s">
        <v>767</v>
      </c>
      <c r="L438" s="27" t="s">
        <v>1872</v>
      </c>
      <c r="M438" s="27"/>
      <c r="N438" s="76"/>
      <c r="O438" s="76"/>
      <c r="P438" s="76"/>
      <c r="Q438" s="76"/>
      <c r="R438" s="76"/>
      <c r="S438" s="76"/>
      <c r="T438" s="353" t="b" cm="1">
        <f t="array" aca="1" ref="T438" ca="1">T437</f>
        <v>1</v>
      </c>
      <c r="U438" s="76"/>
      <c r="V438" s="76"/>
      <c r="W438" s="76"/>
      <c r="X438" s="990"/>
      <c r="Y438" s="76"/>
      <c r="Z438" s="967"/>
      <c r="AA438" s="76"/>
      <c r="AB438" s="124" cm="1">
        <f t="array" ref="AB438">D438</f>
        <v>9</v>
      </c>
      <c r="AC438" s="125" t="s">
        <v>1874</v>
      </c>
      <c r="AD438" s="147" t="s">
        <v>828</v>
      </c>
      <c r="AE438" s="126">
        <f ca="1">AE316+AE366+AE402+AE403+AE405+AE410+AE411+AE414</f>
        <v>11264.3131444173</v>
      </c>
      <c r="AF438" s="126">
        <f ca="1">AF316+AF366+AF402+AF403+AF405+AF410+AF411+AF414</f>
        <v>46139.578795805399</v>
      </c>
      <c r="AG438" s="126">
        <f ca="1">AG316+AG366+AG402+AG403+AG405+AG410+AG411+AG414</f>
        <v>11957.050575269001</v>
      </c>
      <c r="AH438" s="126">
        <f t="shared" ca="1" si="113"/>
        <v>-34182.528220536398</v>
      </c>
      <c r="AI438" s="126">
        <f t="shared" ref="AI438:BC438" ca="1" si="118">AI316+AI366+AI402+AI403+AI405+AI410+AI411+AI414</f>
        <v>11725.8103639115</v>
      </c>
      <c r="AJ438" s="126">
        <f t="shared" ca="1" si="118"/>
        <v>64851.011517209801</v>
      </c>
      <c r="AK438" s="126">
        <f t="shared" ca="1" si="118"/>
        <v>24671.512199335099</v>
      </c>
      <c r="AL438" s="126">
        <f t="shared" ca="1" si="118"/>
        <v>24671.512199335099</v>
      </c>
      <c r="AM438" s="126">
        <f t="shared" ca="1" si="118"/>
        <v>24671.512199335099</v>
      </c>
      <c r="AN438" s="126">
        <f t="shared" ca="1" si="118"/>
        <v>24671.512199335099</v>
      </c>
      <c r="AO438" s="126">
        <f t="shared" ca="1" si="118"/>
        <v>24671.512199335099</v>
      </c>
      <c r="AP438" s="126">
        <f t="shared" ca="1" si="118"/>
        <v>24671.512199335099</v>
      </c>
      <c r="AQ438" s="126">
        <f t="shared" ca="1" si="118"/>
        <v>24671.512199335099</v>
      </c>
      <c r="AR438" s="126">
        <f t="shared" ca="1" si="118"/>
        <v>24671.512199335099</v>
      </c>
      <c r="AS438" s="126">
        <f t="shared" ca="1" si="118"/>
        <v>24671.512199335099</v>
      </c>
      <c r="AT438" s="126">
        <f t="shared" ca="1" si="118"/>
        <v>21941.381498631705</v>
      </c>
      <c r="AU438" s="126">
        <f t="shared" ca="1" si="118"/>
        <v>10329.040000000001</v>
      </c>
      <c r="AV438" s="126">
        <f t="shared" ca="1" si="118"/>
        <v>10329.040000000001</v>
      </c>
      <c r="AW438" s="126">
        <f t="shared" ca="1" si="118"/>
        <v>10329.040000000001</v>
      </c>
      <c r="AX438" s="126">
        <f t="shared" ca="1" si="118"/>
        <v>10329.040000000001</v>
      </c>
      <c r="AY438" s="126">
        <f t="shared" ca="1" si="118"/>
        <v>10329.040000000001</v>
      </c>
      <c r="AZ438" s="126">
        <f t="shared" ca="1" si="118"/>
        <v>10329.040000000001</v>
      </c>
      <c r="BA438" s="126">
        <f t="shared" ca="1" si="118"/>
        <v>10329.040000000001</v>
      </c>
      <c r="BB438" s="126">
        <f t="shared" ca="1" si="118"/>
        <v>10329.040000000001</v>
      </c>
      <c r="BC438" s="126">
        <f t="shared" ca="1" si="118"/>
        <v>10329.040000000001</v>
      </c>
      <c r="BD438" s="126">
        <f ca="1">IF(AI438=0,0,(AT438-AI438)/AI438*100)</f>
        <v>87.120385011177106</v>
      </c>
      <c r="BE438" s="126">
        <f t="shared" ref="BE438:BM439" ca="1" si="119">IF(AT438=0,0,(AU438-AT438)/AT438*100)</f>
        <v>-52.924386276023071</v>
      </c>
      <c r="BF438" s="126">
        <f t="shared" ca="1" si="119"/>
        <v>0</v>
      </c>
      <c r="BG438" s="126">
        <f t="shared" ca="1" si="119"/>
        <v>0</v>
      </c>
      <c r="BH438" s="126">
        <f t="shared" ca="1" si="119"/>
        <v>0</v>
      </c>
      <c r="BI438" s="126">
        <f t="shared" ca="1" si="119"/>
        <v>0</v>
      </c>
      <c r="BJ438" s="126">
        <f t="shared" ca="1" si="119"/>
        <v>0</v>
      </c>
      <c r="BK438" s="126">
        <f t="shared" ca="1" si="119"/>
        <v>0</v>
      </c>
      <c r="BL438" s="126">
        <f t="shared" ca="1" si="119"/>
        <v>0</v>
      </c>
      <c r="BM438" s="126">
        <f t="shared" ca="1" si="119"/>
        <v>0</v>
      </c>
      <c r="BN438" s="196"/>
      <c r="BO438" s="196"/>
      <c r="BP438" s="196"/>
      <c r="BQ438" s="76"/>
      <c r="BR438" s="76"/>
      <c r="BS438" s="702" t="s">
        <v>1875</v>
      </c>
      <c r="BT438" s="702"/>
      <c r="BU438" s="702"/>
      <c r="BV438" s="511"/>
      <c r="BW438" s="511"/>
    </row>
    <row r="439" spans="1:75" s="870" customFormat="1" ht="35.25" customHeight="1" x14ac:dyDescent="0.15">
      <c r="A439" s="76"/>
      <c r="B439" s="332"/>
      <c r="C439" s="76"/>
      <c r="D439" s="27">
        <f>D438+1</f>
        <v>10</v>
      </c>
      <c r="E439" s="511">
        <v>21</v>
      </c>
      <c r="F439" s="3" t="str" cm="1">
        <f t="array" aca="1" ref="F439" ca="1">OFFSET(E439,-1,1)</f>
        <v>2</v>
      </c>
      <c r="G439" s="76"/>
      <c r="H439" s="72"/>
      <c r="I439" s="72" t="s">
        <v>1884</v>
      </c>
      <c r="J439" s="76"/>
      <c r="K439" s="72" t="s">
        <v>1884</v>
      </c>
      <c r="L439" s="27"/>
      <c r="M439" s="27"/>
      <c r="N439" s="76"/>
      <c r="O439" s="76"/>
      <c r="P439" s="76"/>
      <c r="Q439" s="76"/>
      <c r="R439" s="76"/>
      <c r="S439" s="76"/>
      <c r="T439" s="353" t="b" cm="1">
        <f t="array" aca="1" ref="T439" ca="1">T438</f>
        <v>1</v>
      </c>
      <c r="U439" s="76"/>
      <c r="V439" s="76"/>
      <c r="W439" s="76"/>
      <c r="X439" s="990"/>
      <c r="Y439" s="76"/>
      <c r="Z439" s="967"/>
      <c r="AA439" s="76"/>
      <c r="AB439" s="124" cm="1">
        <f t="array" ref="AB439">D439</f>
        <v>10</v>
      </c>
      <c r="AC439" s="125" t="s">
        <v>2211</v>
      </c>
      <c r="AD439" s="124" t="s">
        <v>828</v>
      </c>
      <c r="AE439" s="126">
        <f t="shared" ref="AE439:BC439" ca="1" si="120">AE438+AE423+AE436</f>
        <v>11764.303144417299</v>
      </c>
      <c r="AF439" s="126">
        <f t="shared" ca="1" si="120"/>
        <v>46139.578795805399</v>
      </c>
      <c r="AG439" s="126">
        <f t="shared" ca="1" si="120"/>
        <v>12457.040575269</v>
      </c>
      <c r="AH439" s="126">
        <f t="shared" ca="1" si="120"/>
        <v>-33682.5382205364</v>
      </c>
      <c r="AI439" s="126">
        <f t="shared" ca="1" si="120"/>
        <v>14445.011076487499</v>
      </c>
      <c r="AJ439" s="126">
        <f t="shared" ca="1" si="120"/>
        <v>97915.872982736299</v>
      </c>
      <c r="AK439" s="126">
        <f t="shared" ca="1" si="120"/>
        <v>24671.512199335099</v>
      </c>
      <c r="AL439" s="126">
        <f t="shared" ca="1" si="120"/>
        <v>24671.512199335099</v>
      </c>
      <c r="AM439" s="126">
        <f t="shared" ca="1" si="120"/>
        <v>24671.512199335099</v>
      </c>
      <c r="AN439" s="126">
        <f t="shared" ca="1" si="120"/>
        <v>24671.512199335099</v>
      </c>
      <c r="AO439" s="126">
        <f t="shared" ca="1" si="120"/>
        <v>24671.512199335099</v>
      </c>
      <c r="AP439" s="126">
        <f t="shared" ca="1" si="120"/>
        <v>24671.512199335099</v>
      </c>
      <c r="AQ439" s="126">
        <f t="shared" ca="1" si="120"/>
        <v>24671.512199335099</v>
      </c>
      <c r="AR439" s="126">
        <f t="shared" ca="1" si="120"/>
        <v>24671.512199335099</v>
      </c>
      <c r="AS439" s="126">
        <f t="shared" ca="1" si="120"/>
        <v>24671.512199335099</v>
      </c>
      <c r="AT439" s="126">
        <f t="shared" ca="1" si="120"/>
        <v>17757.001498631704</v>
      </c>
      <c r="AU439" s="126">
        <f t="shared" ca="1" si="120"/>
        <v>10329.040000000001</v>
      </c>
      <c r="AV439" s="126">
        <f t="shared" ca="1" si="120"/>
        <v>10329.040000000001</v>
      </c>
      <c r="AW439" s="126">
        <f t="shared" ca="1" si="120"/>
        <v>10329.040000000001</v>
      </c>
      <c r="AX439" s="126">
        <f t="shared" ca="1" si="120"/>
        <v>10329.040000000001</v>
      </c>
      <c r="AY439" s="126">
        <f t="shared" ca="1" si="120"/>
        <v>10329.040000000001</v>
      </c>
      <c r="AZ439" s="126">
        <f t="shared" ca="1" si="120"/>
        <v>10329.040000000001</v>
      </c>
      <c r="BA439" s="126">
        <f t="shared" ca="1" si="120"/>
        <v>10329.040000000001</v>
      </c>
      <c r="BB439" s="126">
        <f t="shared" ca="1" si="120"/>
        <v>10329.040000000001</v>
      </c>
      <c r="BC439" s="126">
        <f t="shared" ca="1" si="120"/>
        <v>10329.040000000001</v>
      </c>
      <c r="BD439" s="126">
        <f ca="1">IF(AI439=0,0,(AT439-AI439)/AI439*100)</f>
        <v>22.928265022483878</v>
      </c>
      <c r="BE439" s="126">
        <f t="shared" ca="1" si="119"/>
        <v>-41.831170083553111</v>
      </c>
      <c r="BF439" s="126">
        <f t="shared" ca="1" si="119"/>
        <v>0</v>
      </c>
      <c r="BG439" s="126">
        <f t="shared" ca="1" si="119"/>
        <v>0</v>
      </c>
      <c r="BH439" s="126">
        <f t="shared" ca="1" si="119"/>
        <v>0</v>
      </c>
      <c r="BI439" s="126">
        <f t="shared" ca="1" si="119"/>
        <v>0</v>
      </c>
      <c r="BJ439" s="126">
        <f t="shared" ca="1" si="119"/>
        <v>0</v>
      </c>
      <c r="BK439" s="126">
        <f t="shared" ca="1" si="119"/>
        <v>0</v>
      </c>
      <c r="BL439" s="126">
        <f t="shared" ca="1" si="119"/>
        <v>0</v>
      </c>
      <c r="BM439" s="126">
        <f t="shared" ca="1" si="119"/>
        <v>0</v>
      </c>
      <c r="BN439" s="196"/>
      <c r="BO439" s="196"/>
      <c r="BP439" s="196"/>
      <c r="BQ439" s="76"/>
      <c r="BR439" s="76"/>
      <c r="BS439" s="702" t="s">
        <v>2212</v>
      </c>
      <c r="BT439" s="702"/>
      <c r="BU439" s="702"/>
      <c r="BV439" s="511"/>
      <c r="BW439" s="511"/>
    </row>
    <row r="440" spans="1:75" ht="14.25" hidden="1" customHeight="1" x14ac:dyDescent="0.25">
      <c r="B440" s="341" t="b">
        <f>A315="двухставочный"</f>
        <v>0</v>
      </c>
      <c r="D440" s="25" cm="1">
        <f t="array" ref="D440">D439</f>
        <v>10</v>
      </c>
      <c r="E440" s="507">
        <v>15</v>
      </c>
      <c r="F440" s="3" t="str" cm="1">
        <f t="array" aca="1" ref="F440" ca="1">OFFSET(E440,-1,1)</f>
        <v>2</v>
      </c>
      <c r="H440" s="2"/>
      <c r="I440" s="278" t="s">
        <v>1888</v>
      </c>
      <c r="K440" s="278" t="s">
        <v>1888</v>
      </c>
      <c r="L440" s="25" t="s">
        <v>1876</v>
      </c>
      <c r="M440" s="25"/>
      <c r="T440" s="353" t="b" cm="1">
        <f t="array" aca="1" ref="T440" ca="1">T439</f>
        <v>1</v>
      </c>
      <c r="X440" s="990"/>
      <c r="Z440" s="967"/>
      <c r="AB440" s="7" t="str">
        <f>D440&amp;".1"</f>
        <v>10.1</v>
      </c>
      <c r="AC440" s="550" t="s">
        <v>1878</v>
      </c>
      <c r="AD440" s="7" t="s">
        <v>828</v>
      </c>
      <c r="AE440" s="778"/>
      <c r="AF440" s="778"/>
      <c r="AG440" s="778"/>
      <c r="AH440" s="171">
        <f t="shared" ref="AH440:AH446" si="121">AG440-AF440</f>
        <v>0</v>
      </c>
      <c r="AI440" s="778"/>
      <c r="AJ440" s="128"/>
      <c r="AK440" s="778"/>
      <c r="AL440" s="778"/>
      <c r="AM440" s="778"/>
      <c r="AN440" s="778"/>
      <c r="AO440" s="778"/>
      <c r="AP440" s="778"/>
      <c r="AQ440" s="778"/>
      <c r="AR440" s="778"/>
      <c r="AS440" s="778"/>
      <c r="AT440" s="128"/>
      <c r="AU440" s="778"/>
      <c r="AV440" s="778"/>
      <c r="AW440" s="778"/>
      <c r="AX440" s="778"/>
      <c r="AY440" s="778"/>
      <c r="AZ440" s="778"/>
      <c r="BA440" s="778"/>
      <c r="BB440" s="778"/>
      <c r="BC440" s="778"/>
      <c r="BD440" s="542"/>
      <c r="BE440" s="542"/>
      <c r="BF440" s="542"/>
      <c r="BG440" s="542"/>
      <c r="BH440" s="542"/>
      <c r="BI440" s="542"/>
      <c r="BJ440" s="542"/>
      <c r="BK440" s="542"/>
      <c r="BL440" s="542"/>
      <c r="BM440" s="542"/>
      <c r="BN440" s="775"/>
      <c r="BO440" s="775"/>
      <c r="BP440" s="775"/>
      <c r="BS440" s="694" t="s">
        <v>1879</v>
      </c>
    </row>
    <row r="441" spans="1:75" ht="14.25" hidden="1" customHeight="1" x14ac:dyDescent="0.25">
      <c r="B441" s="341" t="b">
        <f>A315="двухставочный"</f>
        <v>0</v>
      </c>
      <c r="D441" s="25" cm="1">
        <f t="array" ref="D441">D440</f>
        <v>10</v>
      </c>
      <c r="E441" s="507">
        <v>15</v>
      </c>
      <c r="F441" s="3" t="str" cm="1">
        <f t="array" aca="1" ref="F441" ca="1">OFFSET(E441,-1,1)</f>
        <v>2</v>
      </c>
      <c r="H441" s="2"/>
      <c r="I441" s="278" t="s">
        <v>1892</v>
      </c>
      <c r="K441" s="278" t="s">
        <v>1892</v>
      </c>
      <c r="L441" s="25" t="s">
        <v>1880</v>
      </c>
      <c r="M441" s="25"/>
      <c r="T441" s="353" t="b" cm="1">
        <f t="array" aca="1" ref="T441" ca="1">T440</f>
        <v>1</v>
      </c>
      <c r="X441" s="990"/>
      <c r="Z441" s="967"/>
      <c r="AB441" s="7" t="str">
        <f>D441&amp;".2"</f>
        <v>10.2</v>
      </c>
      <c r="AC441" s="550" t="s">
        <v>1882</v>
      </c>
      <c r="AD441" s="7" t="s">
        <v>828</v>
      </c>
      <c r="AE441" s="778"/>
      <c r="AF441" s="778"/>
      <c r="AG441" s="778"/>
      <c r="AH441" s="171">
        <f t="shared" si="121"/>
        <v>0</v>
      </c>
      <c r="AI441" s="778"/>
      <c r="AJ441" s="128"/>
      <c r="AK441" s="778"/>
      <c r="AL441" s="778"/>
      <c r="AM441" s="778"/>
      <c r="AN441" s="778"/>
      <c r="AO441" s="778"/>
      <c r="AP441" s="778"/>
      <c r="AQ441" s="778"/>
      <c r="AR441" s="778"/>
      <c r="AS441" s="778"/>
      <c r="AT441" s="128"/>
      <c r="AU441" s="778"/>
      <c r="AV441" s="778"/>
      <c r="AW441" s="778"/>
      <c r="AX441" s="778"/>
      <c r="AY441" s="778"/>
      <c r="AZ441" s="778"/>
      <c r="BA441" s="778"/>
      <c r="BB441" s="778"/>
      <c r="BC441" s="778"/>
      <c r="BD441" s="542"/>
      <c r="BE441" s="542"/>
      <c r="BF441" s="542"/>
      <c r="BG441" s="542"/>
      <c r="BH441" s="542"/>
      <c r="BI441" s="542"/>
      <c r="BJ441" s="542"/>
      <c r="BK441" s="542"/>
      <c r="BL441" s="542"/>
      <c r="BM441" s="542"/>
      <c r="BN441" s="775"/>
      <c r="BO441" s="775"/>
      <c r="BP441" s="775"/>
      <c r="BS441" s="694" t="s">
        <v>1883</v>
      </c>
    </row>
    <row r="442" spans="1:75" s="870" customFormat="1" ht="29.85" customHeight="1" x14ac:dyDescent="0.25">
      <c r="A442" s="76"/>
      <c r="B442" s="332"/>
      <c r="C442" s="76"/>
      <c r="D442" s="27">
        <f>D441+1</f>
        <v>11</v>
      </c>
      <c r="E442" s="511">
        <v>21</v>
      </c>
      <c r="F442" s="3" t="str" cm="1">
        <f t="array" aca="1" ref="F442" ca="1">OFFSET(E442,-1,1)</f>
        <v>2</v>
      </c>
      <c r="G442" s="72" t="s">
        <v>1653</v>
      </c>
      <c r="H442" s="72"/>
      <c r="I442" s="72" t="s">
        <v>1912</v>
      </c>
      <c r="J442" s="76"/>
      <c r="K442" s="72" t="s">
        <v>1912</v>
      </c>
      <c r="L442" s="27" t="s">
        <v>1884</v>
      </c>
      <c r="M442" s="27"/>
      <c r="N442" s="76"/>
      <c r="O442" s="76"/>
      <c r="P442" s="76"/>
      <c r="Q442" s="76"/>
      <c r="R442" s="76"/>
      <c r="S442" s="76"/>
      <c r="T442" s="353" t="b" cm="1">
        <f t="array" aca="1" ref="T442" ca="1">T441</f>
        <v>1</v>
      </c>
      <c r="U442" s="76"/>
      <c r="V442" s="76"/>
      <c r="W442" s="76"/>
      <c r="X442" s="990"/>
      <c r="Y442" s="76"/>
      <c r="Z442" s="967"/>
      <c r="AA442" s="76"/>
      <c r="AB442" s="124" cm="1">
        <f t="array" ref="AB442">D442</f>
        <v>11</v>
      </c>
      <c r="AC442" s="125" t="s">
        <v>1886</v>
      </c>
      <c r="AD442" s="124" t="s">
        <v>558</v>
      </c>
      <c r="AE442" s="552">
        <f ca="1">SUMIFS(Баланс!AE$26:AE$391,Баланс!$F$26:$F$391,$F442,Баланс!$G$26:$G$391,"ПО")</f>
        <v>272.25869999999998</v>
      </c>
      <c r="AF442" s="552">
        <f ca="1">SUMIFS(Баланс!AF$26:AF$391,Баланс!$F$26:$F$391,$F442,Баланс!$G$26:$G$391,"ПО")</f>
        <v>337.074524</v>
      </c>
      <c r="AG442" s="552">
        <f ca="1">SUMIFS(Баланс!AG$26:AG$391,Баланс!$F$26:$F$391,$F442,Баланс!$G$26:$G$391,"ПО")</f>
        <v>337.0745</v>
      </c>
      <c r="AH442" s="552">
        <f t="shared" ca="1" si="121"/>
        <v>-2.3999999996249244E-5</v>
      </c>
      <c r="AI442" s="552">
        <f ca="1">SUMIFS(Баланс!AH$26:AH$391,Баланс!$F$26:$F$391,$F442,Баланс!$G$26:$G$391,"ПО")</f>
        <v>304.45792999999998</v>
      </c>
      <c r="AJ442" s="552">
        <f ca="1">SUMIFS(Баланс!AI$26:AI$391,Баланс!$F$26:$F$391,$F442,Баланс!$G$26:$G$391,"ПО")</f>
        <v>422.57499999999999</v>
      </c>
      <c r="AK442" s="552">
        <f ca="1">SUMIFS(Баланс!AJ$26:AJ$391,Баланс!$F$26:$F$391,$F442,Баланс!$G$26:$G$391,"ПО")</f>
        <v>0</v>
      </c>
      <c r="AL442" s="552">
        <f ca="1">SUMIFS(Баланс!AK$26:AK$391,Баланс!$F$26:$F$391,$F442,Баланс!$G$26:$G$391,"ПО")</f>
        <v>0</v>
      </c>
      <c r="AM442" s="552">
        <f ca="1">SUMIFS(Баланс!AL$26:AL$391,Баланс!$F$26:$F$391,$F442,Баланс!$G$26:$G$391,"ПО")</f>
        <v>0</v>
      </c>
      <c r="AN442" s="552">
        <f ca="1">SUMIFS(Баланс!AM$26:AM$391,Баланс!$F$26:$F$391,$F442,Баланс!$G$26:$G$391,"ПО")</f>
        <v>0</v>
      </c>
      <c r="AO442" s="552">
        <f ca="1">SUMIFS(Баланс!AN$26:AN$391,Баланс!$F$26:$F$391,$F442,Баланс!$G$26:$G$391,"ПО")</f>
        <v>0</v>
      </c>
      <c r="AP442" s="552">
        <f ca="1">SUMIFS(Баланс!AO$26:AO$391,Баланс!$F$26:$F$391,$F442,Баланс!$G$26:$G$391,"ПО")</f>
        <v>0</v>
      </c>
      <c r="AQ442" s="552">
        <f ca="1">SUMIFS(Баланс!AP$26:AP$391,Баланс!$F$26:$F$391,$F442,Баланс!$G$26:$G$391,"ПО")</f>
        <v>0</v>
      </c>
      <c r="AR442" s="552">
        <f ca="1">SUMIFS(Баланс!AQ$26:AQ$391,Баланс!$F$26:$F$391,$F442,Баланс!$G$26:$G$391,"ПО")</f>
        <v>0</v>
      </c>
      <c r="AS442" s="552">
        <f ca="1">SUMIFS(Баланс!AR$26:AR$391,Баланс!$F$26:$F$391,$F442,Баланс!$G$26:$G$391,"ПО")</f>
        <v>0</v>
      </c>
      <c r="AT442" s="552">
        <f ca="1">SUMIFS(Баланс!AS$26:AS$391,Баланс!$F$26:$F$391,$F442,Баланс!$G$26:$G$391,"ПО")</f>
        <v>348.84325000000001</v>
      </c>
      <c r="AU442" s="552">
        <f ca="1">SUMIFS(Баланс!AT$26:AT$391,Баланс!$F$26:$F$391,$F442,Баланс!$G$26:$G$391,"ПО")</f>
        <v>0</v>
      </c>
      <c r="AV442" s="552">
        <f ca="1">SUMIFS(Баланс!AU$26:AU$391,Баланс!$F$26:$F$391,$F442,Баланс!$G$26:$G$391,"ПО")</f>
        <v>0</v>
      </c>
      <c r="AW442" s="552">
        <f ca="1">SUMIFS(Баланс!AV$26:AV$391,Баланс!$F$26:$F$391,$F442,Баланс!$G$26:$G$391,"ПО")</f>
        <v>0</v>
      </c>
      <c r="AX442" s="552">
        <f ca="1">SUMIFS(Баланс!AW$26:AW$391,Баланс!$F$26:$F$391,$F442,Баланс!$G$26:$G$391,"ПО")</f>
        <v>0</v>
      </c>
      <c r="AY442" s="552">
        <f ca="1">SUMIFS(Баланс!AX$26:AX$391,Баланс!$F$26:$F$391,$F442,Баланс!$G$26:$G$391,"ПО")</f>
        <v>0</v>
      </c>
      <c r="AZ442" s="552">
        <f ca="1">SUMIFS(Баланс!AY$26:AY$391,Баланс!$F$26:$F$391,$F442,Баланс!$G$26:$G$391,"ПО")</f>
        <v>0</v>
      </c>
      <c r="BA442" s="552">
        <f ca="1">SUMIFS(Баланс!AZ$26:AZ$391,Баланс!$F$26:$F$391,$F442,Баланс!$G$26:$G$391,"ПО")</f>
        <v>0</v>
      </c>
      <c r="BB442" s="552">
        <f ca="1">SUMIFS(Баланс!BA$26:BA$391,Баланс!$F$26:$F$391,$F442,Баланс!$G$26:$G$391,"ПО")</f>
        <v>0</v>
      </c>
      <c r="BC442" s="552">
        <f ca="1">SUMIFS(Баланс!BB$26:BB$391,Баланс!$F$26:$F$391,$F442,Баланс!$G$26:$G$391,"ПО")</f>
        <v>0</v>
      </c>
      <c r="BD442" s="129"/>
      <c r="BE442" s="129"/>
      <c r="BF442" s="129"/>
      <c r="BG442" s="129"/>
      <c r="BH442" s="129"/>
      <c r="BI442" s="129"/>
      <c r="BJ442" s="129"/>
      <c r="BK442" s="129"/>
      <c r="BL442" s="129"/>
      <c r="BM442" s="129"/>
      <c r="BN442" s="196"/>
      <c r="BO442" s="196"/>
      <c r="BP442" s="196"/>
      <c r="BQ442" s="76"/>
      <c r="BR442" s="76"/>
      <c r="BS442" s="695" t="s">
        <v>1887</v>
      </c>
      <c r="BT442" s="702"/>
      <c r="BU442" s="702"/>
      <c r="BV442" s="511"/>
      <c r="BW442" s="511"/>
    </row>
    <row r="443" spans="1:75" ht="34.700000000000003" customHeight="1" x14ac:dyDescent="0.25">
      <c r="D443" s="25" cm="1">
        <f t="array" ref="D443">D442</f>
        <v>11</v>
      </c>
      <c r="E443" s="507">
        <v>15</v>
      </c>
      <c r="F443" s="3" t="str" cm="1">
        <f t="array" aca="1" ref="F443" ca="1">OFFSET(E443,-1,1)</f>
        <v>2</v>
      </c>
      <c r="G443" s="72" t="s">
        <v>1680</v>
      </c>
      <c r="I443" s="72" t="s">
        <v>2213</v>
      </c>
      <c r="K443" s="72" t="s">
        <v>2213</v>
      </c>
      <c r="L443" s="25" t="s">
        <v>1888</v>
      </c>
      <c r="M443" s="25"/>
      <c r="T443" s="353" t="b" cm="1">
        <f t="array" aca="1" ref="T443" ca="1">T442</f>
        <v>1</v>
      </c>
      <c r="X443" s="990"/>
      <c r="Z443" s="967"/>
      <c r="AB443" s="7" t="str">
        <f>D443&amp;".1"</f>
        <v>11.1</v>
      </c>
      <c r="AC443" s="127" t="s">
        <v>1890</v>
      </c>
      <c r="AD443" s="7" t="s">
        <v>558</v>
      </c>
      <c r="AE443" s="444">
        <v>136.12934999999999</v>
      </c>
      <c r="AF443" s="444">
        <v>168.537262</v>
      </c>
      <c r="AG443" s="444">
        <v>168.53725</v>
      </c>
      <c r="AH443" s="558">
        <f t="shared" si="121"/>
        <v>-1.1999999998124622E-5</v>
      </c>
      <c r="AI443" s="444">
        <v>152.22896499999999</v>
      </c>
      <c r="AJ443" s="444">
        <v>211.28749999999999</v>
      </c>
      <c r="AK443" s="776">
        <f ca="1">IF(god=2025,AK442/12*9,AK442/2)</f>
        <v>0</v>
      </c>
      <c r="AL443" s="776">
        <f t="shared" ref="AL443:AS443" ca="1" si="122">AL442/2</f>
        <v>0</v>
      </c>
      <c r="AM443" s="444">
        <f t="shared" ca="1" si="122"/>
        <v>0</v>
      </c>
      <c r="AN443" s="444">
        <f t="shared" ca="1" si="122"/>
        <v>0</v>
      </c>
      <c r="AO443" s="444">
        <f t="shared" ca="1" si="122"/>
        <v>0</v>
      </c>
      <c r="AP443" s="444">
        <f t="shared" ca="1" si="122"/>
        <v>0</v>
      </c>
      <c r="AQ443" s="444">
        <f t="shared" ca="1" si="122"/>
        <v>0</v>
      </c>
      <c r="AR443" s="444">
        <f t="shared" ca="1" si="122"/>
        <v>0</v>
      </c>
      <c r="AS443" s="444">
        <f t="shared" ca="1" si="122"/>
        <v>0</v>
      </c>
      <c r="AT443" s="444">
        <v>261.63243999999997</v>
      </c>
      <c r="AU443" s="776">
        <f ca="1">IF(god=2025,AU442/12*9,AU442/2)</f>
        <v>0</v>
      </c>
      <c r="AV443" s="776">
        <f t="shared" ref="AV443:BC443" ca="1" si="123">AV442/2</f>
        <v>0</v>
      </c>
      <c r="AW443" s="444">
        <f t="shared" ca="1" si="123"/>
        <v>0</v>
      </c>
      <c r="AX443" s="444">
        <f t="shared" ca="1" si="123"/>
        <v>0</v>
      </c>
      <c r="AY443" s="444">
        <f t="shared" ca="1" si="123"/>
        <v>0</v>
      </c>
      <c r="AZ443" s="444">
        <f t="shared" ca="1" si="123"/>
        <v>0</v>
      </c>
      <c r="BA443" s="444">
        <f t="shared" ca="1" si="123"/>
        <v>0</v>
      </c>
      <c r="BB443" s="444">
        <f t="shared" ca="1" si="123"/>
        <v>0</v>
      </c>
      <c r="BC443" s="444">
        <f t="shared" ca="1" si="123"/>
        <v>0</v>
      </c>
      <c r="BD443" s="542"/>
      <c r="BE443" s="542"/>
      <c r="BF443" s="542"/>
      <c r="BG443" s="542"/>
      <c r="BH443" s="542"/>
      <c r="BI443" s="542"/>
      <c r="BJ443" s="542"/>
      <c r="BK443" s="542"/>
      <c r="BL443" s="542"/>
      <c r="BM443" s="542"/>
      <c r="BN443" s="196"/>
      <c r="BO443" s="196"/>
      <c r="BP443" s="196"/>
      <c r="BS443" s="694" t="s">
        <v>1891</v>
      </c>
    </row>
    <row r="444" spans="1:75" ht="75.75" customHeight="1" x14ac:dyDescent="0.25">
      <c r="D444" s="25" cm="1">
        <f t="array" ref="D444">D443</f>
        <v>11</v>
      </c>
      <c r="E444" s="507">
        <v>15</v>
      </c>
      <c r="F444" s="3" t="str" cm="1">
        <f t="array" aca="1" ref="F444" ca="1">OFFSET(E444,-1,1)</f>
        <v>2</v>
      </c>
      <c r="G444" s="72" t="s">
        <v>1641</v>
      </c>
      <c r="I444" s="72" t="s">
        <v>2214</v>
      </c>
      <c r="K444" s="72" t="s">
        <v>2214</v>
      </c>
      <c r="L444" s="25" t="s">
        <v>1892</v>
      </c>
      <c r="M444" s="25"/>
      <c r="T444" s="353" t="b" cm="1">
        <f t="array" aca="1" ref="T444" ca="1">T443</f>
        <v>1</v>
      </c>
      <c r="X444" s="990"/>
      <c r="Z444" s="967"/>
      <c r="AB444" s="7" t="str">
        <f>D444&amp;".2"</f>
        <v>11.2</v>
      </c>
      <c r="AC444" s="127" t="s">
        <v>1894</v>
      </c>
      <c r="AD444" s="7" t="s">
        <v>1644</v>
      </c>
      <c r="AE444" s="128">
        <v>41.190001403799997</v>
      </c>
      <c r="AF444" s="128">
        <v>136.88246632729999</v>
      </c>
      <c r="AG444" s="128">
        <v>36.956342218899998</v>
      </c>
      <c r="AH444" s="171">
        <f t="shared" si="121"/>
        <v>-99.926124108399989</v>
      </c>
      <c r="AI444" s="128">
        <v>45.23</v>
      </c>
      <c r="AJ444" s="128">
        <v>231.7124131402</v>
      </c>
      <c r="AK444" s="778"/>
      <c r="AL444" s="778"/>
      <c r="AM444" s="128"/>
      <c r="AN444" s="128"/>
      <c r="AO444" s="128"/>
      <c r="AP444" s="128"/>
      <c r="AQ444" s="128"/>
      <c r="AR444" s="128"/>
      <c r="AS444" s="128"/>
      <c r="AT444" s="128">
        <v>49.66</v>
      </c>
      <c r="AU444" s="778" cm="1">
        <f t="array" ref="AU444">AT446</f>
        <v>54.63</v>
      </c>
      <c r="AV444" s="778"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2"/>
      <c r="BE444" s="542"/>
      <c r="BF444" s="542"/>
      <c r="BG444" s="542"/>
      <c r="BH444" s="542"/>
      <c r="BI444" s="542"/>
      <c r="BJ444" s="542"/>
      <c r="BK444" s="542"/>
      <c r="BL444" s="542"/>
      <c r="BM444" s="542"/>
      <c r="BN444" s="196"/>
      <c r="BO444" s="196" t="s">
        <v>2326</v>
      </c>
      <c r="BP444" s="196" t="s">
        <v>2327</v>
      </c>
      <c r="BS444" s="694" t="s">
        <v>1895</v>
      </c>
    </row>
    <row r="445" spans="1:75" ht="30.95" customHeight="1" x14ac:dyDescent="0.25">
      <c r="D445" s="25" cm="1">
        <f t="array" ref="D445">D444</f>
        <v>11</v>
      </c>
      <c r="E445" s="507">
        <v>15</v>
      </c>
      <c r="F445" s="3" t="str" cm="1">
        <f t="array" aca="1" ref="F445" ca="1">OFFSET(E445,-1,1)</f>
        <v>2</v>
      </c>
      <c r="G445" s="72" t="s">
        <v>1693</v>
      </c>
      <c r="I445" s="72" t="s">
        <v>2215</v>
      </c>
      <c r="K445" s="72" t="s">
        <v>2215</v>
      </c>
      <c r="L445" s="25" t="s">
        <v>1896</v>
      </c>
      <c r="M445" s="25"/>
      <c r="T445" s="353" t="b" cm="1">
        <f t="array" aca="1" ref="T445" ca="1">T444</f>
        <v>1</v>
      </c>
      <c r="X445" s="990"/>
      <c r="Z445" s="967"/>
      <c r="AB445" s="7" t="str">
        <f>D445&amp;".3"</f>
        <v>11.3</v>
      </c>
      <c r="AC445" s="127" t="s">
        <v>2216</v>
      </c>
      <c r="AD445" s="7" t="s">
        <v>558</v>
      </c>
      <c r="AE445" s="558">
        <f ca="1">AE442-AE443</f>
        <v>136.12934999999999</v>
      </c>
      <c r="AF445" s="558">
        <f ca="1">AF442-AF443</f>
        <v>168.537262</v>
      </c>
      <c r="AG445" s="558">
        <f ca="1">AG442-AG443</f>
        <v>168.53725</v>
      </c>
      <c r="AH445" s="558">
        <f t="shared" ca="1" si="121"/>
        <v>-1.1999999998124622E-5</v>
      </c>
      <c r="AI445" s="558">
        <f t="shared" ref="AI445:BC445" ca="1" si="124">AI442-AI443</f>
        <v>152.22896499999999</v>
      </c>
      <c r="AJ445" s="558">
        <f t="shared" ca="1" si="124"/>
        <v>211.28749999999999</v>
      </c>
      <c r="AK445" s="558">
        <f t="shared" ca="1" si="124"/>
        <v>0</v>
      </c>
      <c r="AL445" s="558">
        <f t="shared" ca="1" si="124"/>
        <v>0</v>
      </c>
      <c r="AM445" s="558">
        <f t="shared" ca="1" si="124"/>
        <v>0</v>
      </c>
      <c r="AN445" s="558">
        <f t="shared" ca="1" si="124"/>
        <v>0</v>
      </c>
      <c r="AO445" s="558">
        <f t="shared" ca="1" si="124"/>
        <v>0</v>
      </c>
      <c r="AP445" s="558">
        <f t="shared" ca="1" si="124"/>
        <v>0</v>
      </c>
      <c r="AQ445" s="558">
        <f t="shared" ca="1" si="124"/>
        <v>0</v>
      </c>
      <c r="AR445" s="558">
        <f t="shared" ca="1" si="124"/>
        <v>0</v>
      </c>
      <c r="AS445" s="558">
        <f t="shared" ca="1" si="124"/>
        <v>0</v>
      </c>
      <c r="AT445" s="558">
        <f t="shared" ca="1" si="124"/>
        <v>87.210810000000038</v>
      </c>
      <c r="AU445" s="558">
        <f t="shared" ca="1" si="124"/>
        <v>0</v>
      </c>
      <c r="AV445" s="558">
        <f t="shared" ca="1" si="124"/>
        <v>0</v>
      </c>
      <c r="AW445" s="558">
        <f t="shared" ca="1" si="124"/>
        <v>0</v>
      </c>
      <c r="AX445" s="558">
        <f t="shared" ca="1" si="124"/>
        <v>0</v>
      </c>
      <c r="AY445" s="558">
        <f t="shared" ca="1" si="124"/>
        <v>0</v>
      </c>
      <c r="AZ445" s="558">
        <f t="shared" ca="1" si="124"/>
        <v>0</v>
      </c>
      <c r="BA445" s="558">
        <f t="shared" ca="1" si="124"/>
        <v>0</v>
      </c>
      <c r="BB445" s="558">
        <f t="shared" ca="1" si="124"/>
        <v>0</v>
      </c>
      <c r="BC445" s="558">
        <f t="shared" ca="1" si="124"/>
        <v>0</v>
      </c>
      <c r="BD445" s="542"/>
      <c r="BE445" s="542"/>
      <c r="BF445" s="542"/>
      <c r="BG445" s="542"/>
      <c r="BH445" s="542"/>
      <c r="BI445" s="542"/>
      <c r="BJ445" s="542"/>
      <c r="BK445" s="542"/>
      <c r="BL445" s="542"/>
      <c r="BM445" s="542"/>
      <c r="BN445" s="196"/>
      <c r="BO445" s="196"/>
      <c r="BP445" s="196"/>
      <c r="BS445" s="694" t="s">
        <v>1899</v>
      </c>
    </row>
    <row r="446" spans="1:75" ht="38.450000000000003" customHeight="1" x14ac:dyDescent="0.25">
      <c r="D446" s="25" cm="1">
        <f t="array" ref="D446">D445</f>
        <v>11</v>
      </c>
      <c r="E446" s="507">
        <v>15</v>
      </c>
      <c r="F446" s="3" t="str" cm="1">
        <f t="array" aca="1" ref="F446" ca="1">OFFSET(E446,-1,1)</f>
        <v>2</v>
      </c>
      <c r="G446" s="72" t="s">
        <v>1646</v>
      </c>
      <c r="I446" s="72" t="s">
        <v>2217</v>
      </c>
      <c r="K446" s="72" t="s">
        <v>2217</v>
      </c>
      <c r="L446" s="25" t="s">
        <v>1900</v>
      </c>
      <c r="M446" s="25"/>
      <c r="T446" s="353" t="b" cm="1">
        <f t="array" aca="1" ref="T446" ca="1">T445</f>
        <v>1</v>
      </c>
      <c r="X446" s="990"/>
      <c r="Z446" s="967"/>
      <c r="AB446" s="7" t="str">
        <f>D446&amp;".4"</f>
        <v>11.4</v>
      </c>
      <c r="AC446" s="127" t="s">
        <v>1902</v>
      </c>
      <c r="AD446" s="7" t="s">
        <v>1644</v>
      </c>
      <c r="AE446" s="128">
        <v>45.2300332501</v>
      </c>
      <c r="AF446" s="128">
        <v>136.8823869062</v>
      </c>
      <c r="AG446" s="128">
        <v>36.956342218899998</v>
      </c>
      <c r="AH446" s="171">
        <f t="shared" si="121"/>
        <v>-99.926044687299992</v>
      </c>
      <c r="AI446" s="128">
        <v>49.66</v>
      </c>
      <c r="AJ446" s="128">
        <v>231.7124131402</v>
      </c>
      <c r="AK446" s="778">
        <f t="shared" ref="AK446:AS446" ca="1" si="125">IF(AK445=0,0,(AK439-AK443*AK444)/AK445)</f>
        <v>0</v>
      </c>
      <c r="AL446" s="778">
        <f t="shared" ca="1" si="125"/>
        <v>0</v>
      </c>
      <c r="AM446" s="128">
        <f t="shared" ca="1" si="125"/>
        <v>0</v>
      </c>
      <c r="AN446" s="128">
        <f t="shared" ca="1" si="125"/>
        <v>0</v>
      </c>
      <c r="AO446" s="128">
        <f t="shared" ca="1" si="125"/>
        <v>0</v>
      </c>
      <c r="AP446" s="128">
        <f t="shared" ca="1" si="125"/>
        <v>0</v>
      </c>
      <c r="AQ446" s="128">
        <f t="shared" ca="1" si="125"/>
        <v>0</v>
      </c>
      <c r="AR446" s="128">
        <f t="shared" ca="1" si="125"/>
        <v>0</v>
      </c>
      <c r="AS446" s="128">
        <f t="shared" ca="1" si="125"/>
        <v>0</v>
      </c>
      <c r="AT446" s="128">
        <v>54.63</v>
      </c>
      <c r="AU446" s="778">
        <f t="shared" ref="AU446:BC446" ca="1" si="126">IF(AU445=0,0,(AU439-AU443*AU444)/AU445)</f>
        <v>0</v>
      </c>
      <c r="AV446" s="778">
        <f t="shared" ca="1" si="126"/>
        <v>0</v>
      </c>
      <c r="AW446" s="128">
        <f t="shared" ca="1" si="126"/>
        <v>0</v>
      </c>
      <c r="AX446" s="128">
        <f t="shared" ca="1" si="126"/>
        <v>0</v>
      </c>
      <c r="AY446" s="128">
        <f t="shared" ca="1" si="126"/>
        <v>0</v>
      </c>
      <c r="AZ446" s="128">
        <f t="shared" ca="1" si="126"/>
        <v>0</v>
      </c>
      <c r="BA446" s="128">
        <f t="shared" ca="1" si="126"/>
        <v>0</v>
      </c>
      <c r="BB446" s="128">
        <f t="shared" ca="1" si="126"/>
        <v>0</v>
      </c>
      <c r="BC446" s="128">
        <f t="shared" ca="1" si="126"/>
        <v>0</v>
      </c>
      <c r="BD446" s="542"/>
      <c r="BE446" s="542"/>
      <c r="BF446" s="542"/>
      <c r="BG446" s="542"/>
      <c r="BH446" s="542"/>
      <c r="BI446" s="542"/>
      <c r="BJ446" s="542"/>
      <c r="BK446" s="542"/>
      <c r="BL446" s="542"/>
      <c r="BM446" s="542"/>
      <c r="BN446" s="196"/>
      <c r="BO446" s="196"/>
      <c r="BP446" s="196"/>
      <c r="BS446" s="694" t="s">
        <v>1903</v>
      </c>
    </row>
    <row r="447" spans="1:75" ht="31.7" customHeight="1" x14ac:dyDescent="0.25">
      <c r="D447" s="25" cm="1">
        <f t="array" ref="D447">D446</f>
        <v>11</v>
      </c>
      <c r="E447" s="507">
        <v>15</v>
      </c>
      <c r="F447" s="3" t="str" cm="1">
        <f t="array" aca="1" ref="F447" ca="1">OFFSET(E447,-1,1)</f>
        <v>2</v>
      </c>
      <c r="I447" s="72" t="s">
        <v>2218</v>
      </c>
      <c r="K447" s="72" t="s">
        <v>2218</v>
      </c>
      <c r="L447" s="25" t="s">
        <v>1904</v>
      </c>
      <c r="M447" s="25"/>
      <c r="T447" s="353" t="b" cm="1">
        <f t="array" aca="1" ref="T447" ca="1">T446</f>
        <v>1</v>
      </c>
      <c r="X447" s="990"/>
      <c r="Z447" s="967"/>
      <c r="AB447" s="7" t="str">
        <f>D447&amp;".5"</f>
        <v>11.5</v>
      </c>
      <c r="AC447" s="127" t="s">
        <v>1906</v>
      </c>
      <c r="AD447" s="7" t="s">
        <v>476</v>
      </c>
      <c r="AE447" s="171">
        <f>IF(AE444=0,0,AE446/AE444*100)</f>
        <v>109.80828285654607</v>
      </c>
      <c r="AF447" s="171">
        <f>IF(AF444=0,0,AF446/AF444*100)</f>
        <v>99.999941978617031</v>
      </c>
      <c r="AG447" s="171">
        <f>IF(AG444=0,0,AG446/AG444*100)</f>
        <v>100</v>
      </c>
      <c r="AH447" s="542"/>
      <c r="AI447" s="171">
        <f t="shared" ref="AI447:BC447" si="127">IF(AI444=0,0,AI446/AI444*100)</f>
        <v>109.7943842582357</v>
      </c>
      <c r="AJ447" s="171">
        <f t="shared" si="127"/>
        <v>100</v>
      </c>
      <c r="AK447" s="171">
        <f t="shared" si="127"/>
        <v>0</v>
      </c>
      <c r="AL447" s="171">
        <f t="shared" si="127"/>
        <v>0</v>
      </c>
      <c r="AM447" s="171">
        <f t="shared" si="127"/>
        <v>0</v>
      </c>
      <c r="AN447" s="171">
        <f t="shared" si="127"/>
        <v>0</v>
      </c>
      <c r="AO447" s="171">
        <f t="shared" si="127"/>
        <v>0</v>
      </c>
      <c r="AP447" s="171">
        <f t="shared" si="127"/>
        <v>0</v>
      </c>
      <c r="AQ447" s="171">
        <f t="shared" si="127"/>
        <v>0</v>
      </c>
      <c r="AR447" s="171">
        <f t="shared" si="127"/>
        <v>0</v>
      </c>
      <c r="AS447" s="171">
        <f t="shared" si="127"/>
        <v>0</v>
      </c>
      <c r="AT447" s="171">
        <f t="shared" si="127"/>
        <v>110.0080547724527</v>
      </c>
      <c r="AU447" s="171">
        <f t="shared" ca="1" si="127"/>
        <v>0</v>
      </c>
      <c r="AV447" s="171">
        <f t="shared" ca="1" si="127"/>
        <v>0</v>
      </c>
      <c r="AW447" s="171">
        <f t="shared" ca="1" si="127"/>
        <v>0</v>
      </c>
      <c r="AX447" s="171">
        <f t="shared" ca="1" si="127"/>
        <v>0</v>
      </c>
      <c r="AY447" s="171">
        <f t="shared" ca="1" si="127"/>
        <v>0</v>
      </c>
      <c r="AZ447" s="171">
        <f t="shared" ca="1" si="127"/>
        <v>0</v>
      </c>
      <c r="BA447" s="171">
        <f t="shared" ca="1" si="127"/>
        <v>0</v>
      </c>
      <c r="BB447" s="171">
        <f t="shared" ca="1" si="127"/>
        <v>0</v>
      </c>
      <c r="BC447" s="171">
        <f t="shared" ca="1" si="127"/>
        <v>0</v>
      </c>
      <c r="BD447" s="542"/>
      <c r="BE447" s="542"/>
      <c r="BF447" s="542"/>
      <c r="BG447" s="542"/>
      <c r="BH447" s="542"/>
      <c r="BI447" s="542"/>
      <c r="BJ447" s="542"/>
      <c r="BK447" s="542"/>
      <c r="BL447" s="542"/>
      <c r="BM447" s="542"/>
      <c r="BN447" s="196"/>
      <c r="BO447" s="196"/>
      <c r="BP447" s="196"/>
      <c r="BS447" s="694" t="s">
        <v>1907</v>
      </c>
    </row>
    <row r="448" spans="1:75" ht="44.25" customHeight="1" x14ac:dyDescent="0.25">
      <c r="D448" s="25" cm="1">
        <f t="array" ref="D448">D447</f>
        <v>11</v>
      </c>
      <c r="E448" s="507">
        <v>15</v>
      </c>
      <c r="F448" s="3" t="str" cm="1">
        <f t="array" aca="1" ref="F448" ca="1">OFFSET(E448,-1,1)</f>
        <v>2</v>
      </c>
      <c r="I448" s="72" t="s">
        <v>2219</v>
      </c>
      <c r="K448" s="72" t="s">
        <v>2219</v>
      </c>
      <c r="L448" s="25" t="s">
        <v>1908</v>
      </c>
      <c r="M448" s="25"/>
      <c r="T448" s="353" t="b" cm="1">
        <f t="array" aca="1" ref="T448" ca="1">T447</f>
        <v>1</v>
      </c>
      <c r="X448" s="990"/>
      <c r="Z448" s="967"/>
      <c r="AB448" s="7" t="str">
        <f>D448&amp;".6"</f>
        <v>11.6</v>
      </c>
      <c r="AC448" s="127" t="s">
        <v>1910</v>
      </c>
      <c r="AD448" s="7" t="s">
        <v>1644</v>
      </c>
      <c r="AE448" s="128">
        <v>43.210017327000003</v>
      </c>
      <c r="AF448" s="128">
        <v>136.8824266167</v>
      </c>
      <c r="AG448" s="128">
        <v>36.956342218899998</v>
      </c>
      <c r="AH448" s="171">
        <f>AG448-AF448</f>
        <v>-99.926084397799997</v>
      </c>
      <c r="AI448" s="128">
        <v>47.445016279500003</v>
      </c>
      <c r="AJ448" s="128">
        <v>231.7124131402</v>
      </c>
      <c r="AK448" s="778">
        <f t="shared" ref="AK448:AS448" ca="1" si="128">IF(AK442=0,0,AK439/AK442)</f>
        <v>0</v>
      </c>
      <c r="AL448" s="778">
        <f t="shared" ca="1" si="128"/>
        <v>0</v>
      </c>
      <c r="AM448" s="128">
        <f t="shared" ca="1" si="128"/>
        <v>0</v>
      </c>
      <c r="AN448" s="128">
        <f t="shared" ca="1" si="128"/>
        <v>0</v>
      </c>
      <c r="AO448" s="128">
        <f t="shared" ca="1" si="128"/>
        <v>0</v>
      </c>
      <c r="AP448" s="128">
        <f t="shared" ca="1" si="128"/>
        <v>0</v>
      </c>
      <c r="AQ448" s="128">
        <f t="shared" ca="1" si="128"/>
        <v>0</v>
      </c>
      <c r="AR448" s="128">
        <f t="shared" ca="1" si="128"/>
        <v>0</v>
      </c>
      <c r="AS448" s="128">
        <f t="shared" ca="1" si="128"/>
        <v>0</v>
      </c>
      <c r="AT448" s="128">
        <f ca="1">AT439/AT442</f>
        <v>50.902522834057137</v>
      </c>
      <c r="AU448" s="778">
        <f t="shared" ref="AU448:BC448" ca="1" si="129">IF(AU442=0,0,AU439/AU442)</f>
        <v>0</v>
      </c>
      <c r="AV448" s="778">
        <f t="shared" ca="1" si="129"/>
        <v>0</v>
      </c>
      <c r="AW448" s="128">
        <f t="shared" ca="1" si="129"/>
        <v>0</v>
      </c>
      <c r="AX448" s="128">
        <f t="shared" ca="1" si="129"/>
        <v>0</v>
      </c>
      <c r="AY448" s="128">
        <f t="shared" ca="1" si="129"/>
        <v>0</v>
      </c>
      <c r="AZ448" s="128">
        <f t="shared" ca="1" si="129"/>
        <v>0</v>
      </c>
      <c r="BA448" s="128">
        <f t="shared" ca="1" si="129"/>
        <v>0</v>
      </c>
      <c r="BB448" s="128">
        <f t="shared" ca="1" si="129"/>
        <v>0</v>
      </c>
      <c r="BC448" s="128">
        <f t="shared" ca="1" si="129"/>
        <v>0</v>
      </c>
      <c r="BD448" s="542"/>
      <c r="BE448" s="542"/>
      <c r="BF448" s="542"/>
      <c r="BG448" s="542"/>
      <c r="BH448" s="542"/>
      <c r="BI448" s="542"/>
      <c r="BJ448" s="542"/>
      <c r="BK448" s="542"/>
      <c r="BL448" s="542"/>
      <c r="BM448" s="542"/>
      <c r="BN448" s="196"/>
      <c r="BO448" s="196"/>
      <c r="BP448" s="196" t="s">
        <v>2295</v>
      </c>
      <c r="BS448" s="694" t="s">
        <v>1911</v>
      </c>
    </row>
    <row r="449" spans="1:75" s="870" customFormat="1" ht="20.25" customHeight="1" x14ac:dyDescent="0.25">
      <c r="A449" s="76"/>
      <c r="B449" s="332"/>
      <c r="C449" s="76"/>
      <c r="D449" s="27">
        <f>D448+1</f>
        <v>12</v>
      </c>
      <c r="E449" s="511">
        <v>21</v>
      </c>
      <c r="F449" s="3" t="str" cm="1">
        <f t="array" aca="1" ref="F449" ca="1">OFFSET(E449,-1,1)</f>
        <v>2</v>
      </c>
      <c r="G449" s="76"/>
      <c r="H449" s="72"/>
      <c r="I449" s="72" t="s">
        <v>1916</v>
      </c>
      <c r="J449" s="76"/>
      <c r="K449" s="72" t="s">
        <v>1916</v>
      </c>
      <c r="L449" s="27" t="s">
        <v>1912</v>
      </c>
      <c r="M449" s="27"/>
      <c r="N449" s="76"/>
      <c r="O449" s="76"/>
      <c r="P449" s="76"/>
      <c r="Q449" s="76"/>
      <c r="R449" s="76"/>
      <c r="S449" s="76"/>
      <c r="T449" s="353" t="b" cm="1">
        <f t="array" aca="1" ref="T449" ca="1">T448</f>
        <v>1</v>
      </c>
      <c r="U449" s="76"/>
      <c r="V449" s="76"/>
      <c r="W449" s="76"/>
      <c r="X449" s="990"/>
      <c r="Y449" s="76"/>
      <c r="Z449" s="967"/>
      <c r="AA449" s="76"/>
      <c r="AB449" s="124" cm="1">
        <f t="array" ref="AB449">D449</f>
        <v>12</v>
      </c>
      <c r="AC449" s="125" t="s">
        <v>1914</v>
      </c>
      <c r="AD449" s="124" t="s">
        <v>828</v>
      </c>
      <c r="AE449" s="138">
        <f ca="1">IF(AE442=0,0,AE439/AE442*AE450)</f>
        <v>0</v>
      </c>
      <c r="AF449" s="138">
        <f ca="1">IF(AF442=0,0,AF439/AF442*AF450)</f>
        <v>0</v>
      </c>
      <c r="AG449" s="138">
        <f ca="1">IF(AG442=0,0,AG439/AG442*AG450)</f>
        <v>0</v>
      </c>
      <c r="AH449" s="126">
        <f ca="1">AH451*AH452+AH453*AH454</f>
        <v>0</v>
      </c>
      <c r="AI449" s="138">
        <f t="shared" ref="AI449:BC449" ca="1" si="130">IF(AI442=0,0,AI439/AI442*AI450)</f>
        <v>0</v>
      </c>
      <c r="AJ449" s="138">
        <f t="shared" ca="1" si="130"/>
        <v>0</v>
      </c>
      <c r="AK449" s="774">
        <f t="shared" ca="1" si="130"/>
        <v>0</v>
      </c>
      <c r="AL449" s="774">
        <f t="shared" ca="1" si="130"/>
        <v>0</v>
      </c>
      <c r="AM449" s="138">
        <f t="shared" ca="1" si="130"/>
        <v>0</v>
      </c>
      <c r="AN449" s="138">
        <f t="shared" ca="1" si="130"/>
        <v>0</v>
      </c>
      <c r="AO449" s="138">
        <f t="shared" ca="1" si="130"/>
        <v>0</v>
      </c>
      <c r="AP449" s="138">
        <f t="shared" ca="1" si="130"/>
        <v>0</v>
      </c>
      <c r="AQ449" s="138">
        <f t="shared" ca="1" si="130"/>
        <v>0</v>
      </c>
      <c r="AR449" s="138">
        <f t="shared" ca="1" si="130"/>
        <v>0</v>
      </c>
      <c r="AS449" s="138">
        <f t="shared" ca="1" si="130"/>
        <v>0</v>
      </c>
      <c r="AT449" s="138">
        <f t="shared" ca="1" si="130"/>
        <v>0</v>
      </c>
      <c r="AU449" s="774">
        <f t="shared" ca="1" si="130"/>
        <v>0</v>
      </c>
      <c r="AV449" s="774">
        <f t="shared" ca="1" si="130"/>
        <v>0</v>
      </c>
      <c r="AW449" s="138">
        <f t="shared" ca="1" si="130"/>
        <v>0</v>
      </c>
      <c r="AX449" s="138">
        <f t="shared" ca="1" si="130"/>
        <v>0</v>
      </c>
      <c r="AY449" s="138">
        <f t="shared" ca="1" si="130"/>
        <v>0</v>
      </c>
      <c r="AZ449" s="138">
        <f t="shared" ca="1" si="130"/>
        <v>0</v>
      </c>
      <c r="BA449" s="138">
        <f t="shared" ca="1" si="130"/>
        <v>0</v>
      </c>
      <c r="BB449" s="138">
        <f t="shared" ca="1" si="130"/>
        <v>0</v>
      </c>
      <c r="BC449" s="138">
        <f t="shared" ca="1" si="130"/>
        <v>0</v>
      </c>
      <c r="BD449" s="126">
        <f ca="1">IF(AI449=0,0,(AT449-AI449)/AI449*100)</f>
        <v>0</v>
      </c>
      <c r="BE449" s="126">
        <f t="shared" ref="BE449:BM449" ca="1" si="131">IF(AT449=0,0,(AU449-AT449)/AT449*100)</f>
        <v>0</v>
      </c>
      <c r="BF449" s="126">
        <f t="shared" ca="1" si="131"/>
        <v>0</v>
      </c>
      <c r="BG449" s="126">
        <f t="shared" ca="1" si="131"/>
        <v>0</v>
      </c>
      <c r="BH449" s="126">
        <f t="shared" ca="1" si="131"/>
        <v>0</v>
      </c>
      <c r="BI449" s="126">
        <f t="shared" ca="1" si="131"/>
        <v>0</v>
      </c>
      <c r="BJ449" s="126">
        <f t="shared" ca="1" si="131"/>
        <v>0</v>
      </c>
      <c r="BK449" s="126">
        <f t="shared" ca="1" si="131"/>
        <v>0</v>
      </c>
      <c r="BL449" s="126">
        <f t="shared" ca="1" si="131"/>
        <v>0</v>
      </c>
      <c r="BM449" s="126">
        <f t="shared" ca="1" si="131"/>
        <v>0</v>
      </c>
      <c r="BN449" s="196"/>
      <c r="BO449" s="196"/>
      <c r="BP449" s="196"/>
      <c r="BQ449" s="76"/>
      <c r="BR449" s="76"/>
      <c r="BS449" s="695" t="s">
        <v>1915</v>
      </c>
      <c r="BT449" s="702"/>
      <c r="BU449" s="702"/>
      <c r="BV449" s="511"/>
      <c r="BW449" s="511"/>
    </row>
    <row r="450" spans="1:75" s="870" customFormat="1" ht="20.25" customHeight="1" x14ac:dyDescent="0.25">
      <c r="A450" s="76"/>
      <c r="B450" s="332"/>
      <c r="C450" s="76"/>
      <c r="D450" s="27">
        <f>D449+1</f>
        <v>13</v>
      </c>
      <c r="E450" s="511">
        <v>21</v>
      </c>
      <c r="F450" s="3" t="str" cm="1">
        <f t="array" aca="1" ref="F450" ca="1">OFFSET(E450,-1,1)</f>
        <v>2</v>
      </c>
      <c r="G450" s="72" t="s">
        <v>1666</v>
      </c>
      <c r="H450" s="72"/>
      <c r="I450" s="72" t="s">
        <v>2220</v>
      </c>
      <c r="J450" s="76"/>
      <c r="K450" s="72" t="s">
        <v>2220</v>
      </c>
      <c r="L450" s="27" t="s">
        <v>1916</v>
      </c>
      <c r="M450" s="27"/>
      <c r="N450" s="76"/>
      <c r="O450" s="76"/>
      <c r="P450" s="76"/>
      <c r="Q450" s="76"/>
      <c r="R450" s="76"/>
      <c r="S450" s="76"/>
      <c r="T450" s="353" t="b" cm="1">
        <f t="array" aca="1" ref="T450" ca="1">T449</f>
        <v>1</v>
      </c>
      <c r="U450" s="76"/>
      <c r="V450" s="76"/>
      <c r="W450" s="76"/>
      <c r="X450" s="990"/>
      <c r="Y450" s="76"/>
      <c r="Z450" s="967"/>
      <c r="AA450" s="76"/>
      <c r="AB450" s="124" cm="1">
        <f t="array" ref="AB450">D450</f>
        <v>13</v>
      </c>
      <c r="AC450" s="125" t="s">
        <v>1918</v>
      </c>
      <c r="AD450" s="124" t="s">
        <v>558</v>
      </c>
      <c r="AE450" s="552">
        <f ca="1">SUMIFS(Баланс!AE$26:AE$391,Баланс!$F$26:$F$391,$F450,Баланс!$G$26:$G$391,"население")</f>
        <v>0</v>
      </c>
      <c r="AF450" s="552">
        <f ca="1">SUMIFS(Баланс!AF$26:AF$391,Баланс!$F$26:$F$391,$F450,Баланс!$G$26:$G$391,"население")</f>
        <v>0</v>
      </c>
      <c r="AG450" s="552">
        <f ca="1">SUMIFS(Баланс!AG$26:AG$391,Баланс!$F$26:$F$391,$F450,Баланс!$G$26:$G$391,"население")</f>
        <v>0</v>
      </c>
      <c r="AH450" s="552">
        <f ca="1">AG450-AF450</f>
        <v>0</v>
      </c>
      <c r="AI450" s="552">
        <f ca="1">SUMIFS(Баланс!AH$26:AH$391,Баланс!$F$26:$F$391,$F450,Баланс!$G$26:$G$391,"население")</f>
        <v>0</v>
      </c>
      <c r="AJ450" s="552">
        <f ca="1">SUMIFS(Баланс!AI$26:AI$391,Баланс!$F$26:$F$391,$F450,Баланс!$G$26:$G$391,"население")</f>
        <v>0</v>
      </c>
      <c r="AK450" s="552">
        <f ca="1">SUMIFS(Баланс!AJ$26:AJ$391,Баланс!$F$26:$F$391,$F450,Баланс!$G$26:$G$391,"население")</f>
        <v>0</v>
      </c>
      <c r="AL450" s="552">
        <f ca="1">SUMIFS(Баланс!AK$26:AK$391,Баланс!$F$26:$F$391,$F450,Баланс!$G$26:$G$391,"население")</f>
        <v>0</v>
      </c>
      <c r="AM450" s="552">
        <f ca="1">SUMIFS(Баланс!AL$26:AL$391,Баланс!$F$26:$F$391,$F450,Баланс!$G$26:$G$391,"население")</f>
        <v>0</v>
      </c>
      <c r="AN450" s="552">
        <f ca="1">SUMIFS(Баланс!AM$26:AM$391,Баланс!$F$26:$F$391,$F450,Баланс!$G$26:$G$391,"население")</f>
        <v>0</v>
      </c>
      <c r="AO450" s="552">
        <f ca="1">SUMIFS(Баланс!AN$26:AN$391,Баланс!$F$26:$F$391,$F450,Баланс!$G$26:$G$391,"население")</f>
        <v>0</v>
      </c>
      <c r="AP450" s="552">
        <f ca="1">SUMIFS(Баланс!AO$26:AO$391,Баланс!$F$26:$F$391,$F450,Баланс!$G$26:$G$391,"население")</f>
        <v>0</v>
      </c>
      <c r="AQ450" s="552">
        <f ca="1">SUMIFS(Баланс!AP$26:AP$391,Баланс!$F$26:$F$391,$F450,Баланс!$G$26:$G$391,"население")</f>
        <v>0</v>
      </c>
      <c r="AR450" s="552">
        <f ca="1">SUMIFS(Баланс!AQ$26:AQ$391,Баланс!$F$26:$F$391,$F450,Баланс!$G$26:$G$391,"население")</f>
        <v>0</v>
      </c>
      <c r="AS450" s="552">
        <f ca="1">SUMIFS(Баланс!AR$26:AR$391,Баланс!$F$26:$F$391,$F450,Баланс!$G$26:$G$391,"население")</f>
        <v>0</v>
      </c>
      <c r="AT450" s="552">
        <f ca="1">SUMIFS(Баланс!AS$26:AS$391,Баланс!$F$26:$F$391,$F450,Баланс!$G$26:$G$391,"население")</f>
        <v>0</v>
      </c>
      <c r="AU450" s="552">
        <f ca="1">SUMIFS(Баланс!AT$26:AT$391,Баланс!$F$26:$F$391,$F450,Баланс!$G$26:$G$391,"население")</f>
        <v>0</v>
      </c>
      <c r="AV450" s="552">
        <f ca="1">SUMIFS(Баланс!AU$26:AU$391,Баланс!$F$26:$F$391,$F450,Баланс!$G$26:$G$391,"население")</f>
        <v>0</v>
      </c>
      <c r="AW450" s="552">
        <f ca="1">SUMIFS(Баланс!AV$26:AV$391,Баланс!$F$26:$F$391,$F450,Баланс!$G$26:$G$391,"население")</f>
        <v>0</v>
      </c>
      <c r="AX450" s="552">
        <f ca="1">SUMIFS(Баланс!AW$26:AW$391,Баланс!$F$26:$F$391,$F450,Баланс!$G$26:$G$391,"население")</f>
        <v>0</v>
      </c>
      <c r="AY450" s="552">
        <f ca="1">SUMIFS(Баланс!AX$26:AX$391,Баланс!$F$26:$F$391,$F450,Баланс!$G$26:$G$391,"население")</f>
        <v>0</v>
      </c>
      <c r="AZ450" s="552">
        <f ca="1">SUMIFS(Баланс!AY$26:AY$391,Баланс!$F$26:$F$391,$F450,Баланс!$G$26:$G$391,"население")</f>
        <v>0</v>
      </c>
      <c r="BA450" s="552">
        <f ca="1">SUMIFS(Баланс!AZ$26:AZ$391,Баланс!$F$26:$F$391,$F450,Баланс!$G$26:$G$391,"население")</f>
        <v>0</v>
      </c>
      <c r="BB450" s="552">
        <f ca="1">SUMIFS(Баланс!BA$26:BA$391,Баланс!$F$26:$F$391,$F450,Баланс!$G$26:$G$391,"население")</f>
        <v>0</v>
      </c>
      <c r="BC450" s="552">
        <f ca="1">SUMIFS(Баланс!BB$26:BB$391,Баланс!$F$26:$F$391,$F450,Баланс!$G$26:$G$391,"население")</f>
        <v>0</v>
      </c>
      <c r="BD450" s="129"/>
      <c r="BE450" s="129"/>
      <c r="BF450" s="129"/>
      <c r="BG450" s="129"/>
      <c r="BH450" s="129"/>
      <c r="BI450" s="129"/>
      <c r="BJ450" s="129"/>
      <c r="BK450" s="129"/>
      <c r="BL450" s="129"/>
      <c r="BM450" s="129"/>
      <c r="BN450" s="196"/>
      <c r="BO450" s="196"/>
      <c r="BP450" s="196"/>
      <c r="BQ450" s="76"/>
      <c r="BR450" s="76"/>
      <c r="BS450" s="695" t="s">
        <v>1919</v>
      </c>
      <c r="BT450" s="702"/>
      <c r="BU450" s="702"/>
      <c r="BV450" s="511"/>
      <c r="BW450" s="511"/>
    </row>
    <row r="451" spans="1:75" ht="14.25" customHeight="1" x14ac:dyDescent="0.25">
      <c r="D451" s="25" cm="1">
        <f t="array" ref="D451">D450</f>
        <v>13</v>
      </c>
      <c r="E451" s="507">
        <v>15</v>
      </c>
      <c r="F451" s="3" t="str" cm="1">
        <f t="array" aca="1" ref="F451" ca="1">OFFSET(E451,-1,1)</f>
        <v>2</v>
      </c>
      <c r="G451" s="72" t="s">
        <v>1700</v>
      </c>
      <c r="I451" s="72" t="s">
        <v>2221</v>
      </c>
      <c r="K451" s="72" t="s">
        <v>2221</v>
      </c>
      <c r="L451" s="25" t="s">
        <v>1920</v>
      </c>
      <c r="M451" s="25"/>
      <c r="T451" s="353" t="b" cm="1">
        <f t="array" aca="1" ref="T451" ca="1">T450</f>
        <v>1</v>
      </c>
      <c r="X451" s="990"/>
      <c r="Z451" s="967"/>
      <c r="AB451" s="7" t="str">
        <f>D451&amp;".1"</f>
        <v>13.1</v>
      </c>
      <c r="AC451" s="127" t="s">
        <v>1922</v>
      </c>
      <c r="AD451" s="7" t="s">
        <v>558</v>
      </c>
      <c r="AE451" s="444">
        <f ca="1">AE450/2</f>
        <v>0</v>
      </c>
      <c r="AF451" s="444">
        <f ca="1">AF450/2</f>
        <v>0</v>
      </c>
      <c r="AG451" s="444">
        <f ca="1">AG450/2</f>
        <v>0</v>
      </c>
      <c r="AH451" s="558">
        <f ca="1">AG451-AF451</f>
        <v>0</v>
      </c>
      <c r="AI451" s="444">
        <f ca="1">AI450/2</f>
        <v>0</v>
      </c>
      <c r="AJ451" s="444">
        <f ca="1">IF(god=2026,AJ450/12*9,AJ450/2)</f>
        <v>0</v>
      </c>
      <c r="AK451" s="776">
        <f ca="1">IF(god=2025,AK450/12*9,AK450/2)</f>
        <v>0</v>
      </c>
      <c r="AL451" s="776">
        <f t="shared" ref="AL451:AS451" ca="1" si="132">AL450/2</f>
        <v>0</v>
      </c>
      <c r="AM451" s="444">
        <f t="shared" ca="1" si="132"/>
        <v>0</v>
      </c>
      <c r="AN451" s="444">
        <f t="shared" ca="1" si="132"/>
        <v>0</v>
      </c>
      <c r="AO451" s="444">
        <f t="shared" ca="1" si="132"/>
        <v>0</v>
      </c>
      <c r="AP451" s="444">
        <f t="shared" ca="1" si="132"/>
        <v>0</v>
      </c>
      <c r="AQ451" s="444">
        <f t="shared" ca="1" si="132"/>
        <v>0</v>
      </c>
      <c r="AR451" s="444">
        <f t="shared" ca="1" si="132"/>
        <v>0</v>
      </c>
      <c r="AS451" s="444">
        <f t="shared" ca="1" si="132"/>
        <v>0</v>
      </c>
      <c r="AT451" s="444">
        <f ca="1">IF(god=2026,AT450/12*9,AT450/2)</f>
        <v>0</v>
      </c>
      <c r="AU451" s="776">
        <f ca="1">IF(god=2025,AU450/12*9,AU450/2)</f>
        <v>0</v>
      </c>
      <c r="AV451" s="776">
        <f t="shared" ref="AV451:BC451" ca="1" si="133">AV450/2</f>
        <v>0</v>
      </c>
      <c r="AW451" s="444">
        <f t="shared" ca="1" si="133"/>
        <v>0</v>
      </c>
      <c r="AX451" s="444">
        <f t="shared" ca="1" si="133"/>
        <v>0</v>
      </c>
      <c r="AY451" s="444">
        <f t="shared" ca="1" si="133"/>
        <v>0</v>
      </c>
      <c r="AZ451" s="444">
        <f t="shared" ca="1" si="133"/>
        <v>0</v>
      </c>
      <c r="BA451" s="444">
        <f t="shared" ca="1" si="133"/>
        <v>0</v>
      </c>
      <c r="BB451" s="444">
        <f t="shared" ca="1" si="133"/>
        <v>0</v>
      </c>
      <c r="BC451" s="444">
        <f t="shared" ca="1" si="133"/>
        <v>0</v>
      </c>
      <c r="BD451" s="542"/>
      <c r="BE451" s="542"/>
      <c r="BF451" s="542"/>
      <c r="BG451" s="542"/>
      <c r="BH451" s="542"/>
      <c r="BI451" s="542"/>
      <c r="BJ451" s="542"/>
      <c r="BK451" s="542"/>
      <c r="BL451" s="542"/>
      <c r="BM451" s="542"/>
      <c r="BN451" s="196"/>
      <c r="BO451" s="196"/>
      <c r="BP451" s="196"/>
      <c r="BS451" s="694" t="s">
        <v>1923</v>
      </c>
    </row>
    <row r="452" spans="1:75" ht="14.25" customHeight="1" x14ac:dyDescent="0.25">
      <c r="D452" s="25" cm="1">
        <f t="array" ref="D452">D451</f>
        <v>13</v>
      </c>
      <c r="E452" s="507">
        <v>15</v>
      </c>
      <c r="F452" s="3" t="str" cm="1">
        <f t="array" aca="1" ref="F452" ca="1">OFFSET(E452,-1,1)</f>
        <v>2</v>
      </c>
      <c r="G452" s="72" t="s">
        <v>1656</v>
      </c>
      <c r="I452" s="72" t="s">
        <v>2222</v>
      </c>
      <c r="K452" s="72" t="s">
        <v>2222</v>
      </c>
      <c r="L452" s="25" t="s">
        <v>1924</v>
      </c>
      <c r="M452" s="25"/>
      <c r="T452" s="353" t="b" cm="1">
        <f t="array" aca="1" ref="T452" ca="1">T451</f>
        <v>1</v>
      </c>
      <c r="X452" s="990"/>
      <c r="Z452" s="967"/>
      <c r="AB452" s="7" t="str">
        <f>D452&amp;".2"</f>
        <v>13.2</v>
      </c>
      <c r="AC452" s="127" t="s">
        <v>1926</v>
      </c>
      <c r="AD452" s="7" t="s">
        <v>1644</v>
      </c>
      <c r="AE452" s="128">
        <f ca="1">IF(AE450=0,0,AE444*(1+Сценарии!AE$26))</f>
        <v>0</v>
      </c>
      <c r="AF452" s="128">
        <f ca="1">IF(AF450=0,0,AF444*(1+Сценарии!AF$26))</f>
        <v>0</v>
      </c>
      <c r="AG452" s="128">
        <f ca="1">IF(AG450=0,0,AG444*(1+Сценарии!AG$26))</f>
        <v>0</v>
      </c>
      <c r="AH452" s="171">
        <f ca="1">AG452-AF452</f>
        <v>0</v>
      </c>
      <c r="AI452" s="128">
        <f ca="1">IF(AI450=0,0,AI444*(1+Сценарии!AI$26))</f>
        <v>0</v>
      </c>
      <c r="AJ452" s="128">
        <f ca="1">IF(AJ450=0,0,AJ444*(1+Сценарии!AJ$26))</f>
        <v>0</v>
      </c>
      <c r="AK452" s="778">
        <f ca="1">IF(AK450=0,0,AK444*(1+Сценарии!AO$26))</f>
        <v>0</v>
      </c>
      <c r="AL452" s="778">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8">
        <f ca="1">IF(AU450=0,0,AU444*(1+Сценарии!AX$26))</f>
        <v>0</v>
      </c>
      <c r="AV452" s="778">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2"/>
      <c r="BE452" s="542"/>
      <c r="BF452" s="542"/>
      <c r="BG452" s="542"/>
      <c r="BH452" s="542"/>
      <c r="BI452" s="542"/>
      <c r="BJ452" s="542"/>
      <c r="BK452" s="542"/>
      <c r="BL452" s="542"/>
      <c r="BM452" s="542"/>
      <c r="BN452" s="196"/>
      <c r="BO452" s="196"/>
      <c r="BP452" s="196"/>
      <c r="BS452" s="694" t="s">
        <v>1927</v>
      </c>
    </row>
    <row r="453" spans="1:75" ht="14.25" customHeight="1" x14ac:dyDescent="0.25">
      <c r="B453" s="15"/>
      <c r="C453" s="25"/>
      <c r="D453" s="25" cm="1">
        <f t="array" ref="D453">D452</f>
        <v>13</v>
      </c>
      <c r="E453" s="451">
        <v>15</v>
      </c>
      <c r="F453" s="3" t="str" cm="1">
        <f t="array" aca="1" ref="F453" ca="1">OFFSET(E453,-1,1)</f>
        <v>2</v>
      </c>
      <c r="G453" s="25" t="s">
        <v>1707</v>
      </c>
      <c r="H453" s="25"/>
      <c r="I453" s="25" t="s">
        <v>2223</v>
      </c>
      <c r="J453" s="25"/>
      <c r="K453" s="25" t="s">
        <v>2223</v>
      </c>
      <c r="L453" s="25" t="s">
        <v>1928</v>
      </c>
      <c r="M453" s="25"/>
      <c r="N453" s="25"/>
      <c r="O453" s="25"/>
      <c r="P453" s="25"/>
      <c r="Q453" s="25"/>
      <c r="R453" s="25"/>
      <c r="S453" s="25"/>
      <c r="T453" s="353" t="b" cm="1">
        <f t="array" aca="1" ref="T453" ca="1">T452</f>
        <v>1</v>
      </c>
      <c r="U453" s="25"/>
      <c r="V453" s="25"/>
      <c r="W453" s="25"/>
      <c r="X453" s="990"/>
      <c r="Z453" s="967"/>
      <c r="AB453" s="7" t="str">
        <f>D453&amp;".3"</f>
        <v>13.3</v>
      </c>
      <c r="AC453" s="127" t="s">
        <v>1898</v>
      </c>
      <c r="AD453" s="7" t="s">
        <v>558</v>
      </c>
      <c r="AE453" s="558">
        <f ca="1">AE450-AE451</f>
        <v>0</v>
      </c>
      <c r="AF453" s="558">
        <f ca="1">AF450-AF451</f>
        <v>0</v>
      </c>
      <c r="AG453" s="558">
        <f ca="1">AG450-AG451</f>
        <v>0</v>
      </c>
      <c r="AH453" s="558">
        <f ca="1">AG453-AF453</f>
        <v>0</v>
      </c>
      <c r="AI453" s="558">
        <f t="shared" ref="AI453:BC453" ca="1" si="134">AI450-AI451</f>
        <v>0</v>
      </c>
      <c r="AJ453" s="558">
        <f t="shared" ca="1" si="134"/>
        <v>0</v>
      </c>
      <c r="AK453" s="558">
        <f t="shared" ca="1" si="134"/>
        <v>0</v>
      </c>
      <c r="AL453" s="558">
        <f t="shared" ca="1" si="134"/>
        <v>0</v>
      </c>
      <c r="AM453" s="558">
        <f t="shared" ca="1" si="134"/>
        <v>0</v>
      </c>
      <c r="AN453" s="558">
        <f t="shared" ca="1" si="134"/>
        <v>0</v>
      </c>
      <c r="AO453" s="558">
        <f t="shared" ca="1" si="134"/>
        <v>0</v>
      </c>
      <c r="AP453" s="558">
        <f t="shared" ca="1" si="134"/>
        <v>0</v>
      </c>
      <c r="AQ453" s="558">
        <f t="shared" ca="1" si="134"/>
        <v>0</v>
      </c>
      <c r="AR453" s="558">
        <f t="shared" ca="1" si="134"/>
        <v>0</v>
      </c>
      <c r="AS453" s="558">
        <f t="shared" ca="1" si="134"/>
        <v>0</v>
      </c>
      <c r="AT453" s="558">
        <f t="shared" ca="1" si="134"/>
        <v>0</v>
      </c>
      <c r="AU453" s="558">
        <f t="shared" ca="1" si="134"/>
        <v>0</v>
      </c>
      <c r="AV453" s="558">
        <f t="shared" ca="1" si="134"/>
        <v>0</v>
      </c>
      <c r="AW453" s="558">
        <f t="shared" ca="1" si="134"/>
        <v>0</v>
      </c>
      <c r="AX453" s="558">
        <f t="shared" ca="1" si="134"/>
        <v>0</v>
      </c>
      <c r="AY453" s="558">
        <f t="shared" ca="1" si="134"/>
        <v>0</v>
      </c>
      <c r="AZ453" s="558">
        <f t="shared" ca="1" si="134"/>
        <v>0</v>
      </c>
      <c r="BA453" s="558">
        <f t="shared" ca="1" si="134"/>
        <v>0</v>
      </c>
      <c r="BB453" s="558">
        <f t="shared" ca="1" si="134"/>
        <v>0</v>
      </c>
      <c r="BC453" s="558">
        <f t="shared" ca="1" si="134"/>
        <v>0</v>
      </c>
      <c r="BD453" s="542"/>
      <c r="BE453" s="542"/>
      <c r="BF453" s="542"/>
      <c r="BG453" s="542"/>
      <c r="BH453" s="542"/>
      <c r="BI453" s="542"/>
      <c r="BJ453" s="542"/>
      <c r="BK453" s="542"/>
      <c r="BL453" s="542"/>
      <c r="BM453" s="542"/>
      <c r="BN453" s="196"/>
      <c r="BO453" s="196"/>
      <c r="BP453" s="196"/>
      <c r="BS453" s="694" t="s">
        <v>1930</v>
      </c>
    </row>
    <row r="454" spans="1:75" ht="14.25" customHeight="1" x14ac:dyDescent="0.25">
      <c r="B454" s="15"/>
      <c r="C454" s="25"/>
      <c r="D454" s="25" cm="1">
        <f t="array" ref="D454">D453</f>
        <v>13</v>
      </c>
      <c r="E454" s="451">
        <v>15</v>
      </c>
      <c r="F454" s="3" t="str" cm="1">
        <f t="array" aca="1" ref="F454" ca="1">OFFSET(E454,-1,1)</f>
        <v>2</v>
      </c>
      <c r="G454" s="25" t="s">
        <v>1660</v>
      </c>
      <c r="H454" s="25"/>
      <c r="I454" s="25" t="s">
        <v>2224</v>
      </c>
      <c r="J454" s="25"/>
      <c r="K454" s="25" t="s">
        <v>2224</v>
      </c>
      <c r="L454" s="25" t="s">
        <v>1931</v>
      </c>
      <c r="M454" s="25"/>
      <c r="N454" s="25"/>
      <c r="O454" s="25"/>
      <c r="P454" s="25"/>
      <c r="Q454" s="25"/>
      <c r="R454" s="25"/>
      <c r="S454" s="25"/>
      <c r="T454" s="353" t="b" cm="1">
        <f t="array" aca="1" ref="T454" ca="1">T453</f>
        <v>1</v>
      </c>
      <c r="U454" s="25"/>
      <c r="V454" s="25"/>
      <c r="W454" s="25"/>
      <c r="X454" s="990"/>
      <c r="Z454" s="967"/>
      <c r="AB454" s="7" t="str">
        <f>D454&amp;".4"</f>
        <v>13.4</v>
      </c>
      <c r="AC454" s="127" t="s">
        <v>1902</v>
      </c>
      <c r="AD454" s="7" t="s">
        <v>1644</v>
      </c>
      <c r="AE454" s="128">
        <f ca="1">IF(AE450=0,0,AE446*(1+Сценарии!AE$26))</f>
        <v>0</v>
      </c>
      <c r="AF454" s="128">
        <f ca="1">IF(AF450=0,0,AF446*(1+Сценарии!AF$26))</f>
        <v>0</v>
      </c>
      <c r="AG454" s="128">
        <f ca="1">IF(AG450=0,0,AG446*(1+Сценарии!AG$26))</f>
        <v>0</v>
      </c>
      <c r="AH454" s="171">
        <f ca="1">AG454-AF454</f>
        <v>0</v>
      </c>
      <c r="AI454" s="128">
        <f ca="1">IF(AI450=0,0,AI446*(1+Сценарии!AI$26))</f>
        <v>0</v>
      </c>
      <c r="AJ454" s="128">
        <f ca="1">IF(AJ450=0,0,AJ446*(1+Сценарии!AJ$26))</f>
        <v>0</v>
      </c>
      <c r="AK454" s="778">
        <f ca="1">IF(AK450=0,0,AK446*(1+Сценарии!AO$26))</f>
        <v>0</v>
      </c>
      <c r="AL454" s="778">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0</v>
      </c>
      <c r="AU454" s="778">
        <f ca="1">IF(AU450=0,0,AU446*(1+Сценарии!AX$26))</f>
        <v>0</v>
      </c>
      <c r="AV454" s="778">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2"/>
      <c r="BE454" s="542"/>
      <c r="BF454" s="542"/>
      <c r="BG454" s="542"/>
      <c r="BH454" s="542"/>
      <c r="BI454" s="542"/>
      <c r="BJ454" s="542"/>
      <c r="BK454" s="542"/>
      <c r="BL454" s="542"/>
      <c r="BM454" s="542"/>
      <c r="BN454" s="196"/>
      <c r="BO454" s="196"/>
      <c r="BP454" s="196"/>
      <c r="BS454" s="694" t="s">
        <v>1934</v>
      </c>
    </row>
    <row r="455" spans="1:75" ht="14.25" customHeight="1" x14ac:dyDescent="0.25">
      <c r="B455" s="15"/>
      <c r="C455" s="25"/>
      <c r="D455" s="25">
        <f>D454+1</f>
        <v>14</v>
      </c>
      <c r="E455" s="451">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990"/>
      <c r="Z455" s="967"/>
      <c r="AB455" s="124" cm="1">
        <f t="array" ref="AB455">D455</f>
        <v>14</v>
      </c>
      <c r="AC455" s="125" t="s">
        <v>1936</v>
      </c>
      <c r="AD455" s="124" t="s">
        <v>828</v>
      </c>
      <c r="AE455" s="128"/>
      <c r="AF455" s="128"/>
      <c r="AG455" s="128"/>
      <c r="AH455" s="171"/>
      <c r="AI455" s="128"/>
      <c r="AJ455" s="128"/>
      <c r="AK455" s="778"/>
      <c r="AL455" s="778"/>
      <c r="AM455" s="128"/>
      <c r="AN455" s="128"/>
      <c r="AO455" s="128"/>
      <c r="AP455" s="128"/>
      <c r="AQ455" s="128"/>
      <c r="AR455" s="128"/>
      <c r="AS455" s="128"/>
      <c r="AT455" s="128"/>
      <c r="AU455" s="778"/>
      <c r="AV455" s="778"/>
      <c r="AW455" s="128"/>
      <c r="AX455" s="128"/>
      <c r="AY455" s="128"/>
      <c r="AZ455" s="128"/>
      <c r="BA455" s="128"/>
      <c r="BB455" s="128"/>
      <c r="BC455" s="128"/>
      <c r="BD455" s="542"/>
      <c r="BE455" s="542"/>
      <c r="BF455" s="542"/>
      <c r="BG455" s="542"/>
      <c r="BH455" s="542"/>
      <c r="BI455" s="542"/>
      <c r="BJ455" s="542"/>
      <c r="BK455" s="542"/>
      <c r="BL455" s="542"/>
      <c r="BM455" s="542"/>
      <c r="BN455" s="196"/>
      <c r="BO455" s="196"/>
      <c r="BP455" s="196"/>
      <c r="BS455" s="694" t="s">
        <v>1937</v>
      </c>
    </row>
    <row r="456" spans="1:75" ht="20.25" customHeight="1" x14ac:dyDescent="0.25">
      <c r="B456" s="15"/>
      <c r="C456" s="25"/>
      <c r="D456" s="25" cm="1">
        <f t="array" ref="D456">D455</f>
        <v>14</v>
      </c>
      <c r="E456" s="451">
        <v>21</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990"/>
      <c r="Z456" s="967"/>
      <c r="AB456" s="7" t="str">
        <f>D456&amp;".1"</f>
        <v>14.1</v>
      </c>
      <c r="AC456" s="127" t="s">
        <v>1939</v>
      </c>
      <c r="AD456" s="7" t="s">
        <v>828</v>
      </c>
      <c r="AE456" s="128"/>
      <c r="AF456" s="128"/>
      <c r="AG456" s="128"/>
      <c r="AH456" s="171">
        <f>AG456-AF456</f>
        <v>0</v>
      </c>
      <c r="AI456" s="128"/>
      <c r="AJ456" s="128"/>
      <c r="AK456" s="778"/>
      <c r="AL456" s="778"/>
      <c r="AM456" s="128"/>
      <c r="AN456" s="128"/>
      <c r="AO456" s="128"/>
      <c r="AP456" s="128"/>
      <c r="AQ456" s="128"/>
      <c r="AR456" s="128"/>
      <c r="AS456" s="128"/>
      <c r="AT456" s="128"/>
      <c r="AU456" s="778"/>
      <c r="AV456" s="778"/>
      <c r="AW456" s="128"/>
      <c r="AX456" s="128"/>
      <c r="AY456" s="128"/>
      <c r="AZ456" s="128"/>
      <c r="BA456" s="128"/>
      <c r="BB456" s="128"/>
      <c r="BC456" s="128"/>
      <c r="BD456" s="542"/>
      <c r="BE456" s="542"/>
      <c r="BF456" s="542"/>
      <c r="BG456" s="542"/>
      <c r="BH456" s="542"/>
      <c r="BI456" s="542"/>
      <c r="BJ456" s="542"/>
      <c r="BK456" s="542"/>
      <c r="BL456" s="542"/>
      <c r="BM456" s="542"/>
      <c r="BN456" s="196"/>
      <c r="BO456" s="196"/>
      <c r="BP456" s="196"/>
      <c r="BS456" s="694" t="s">
        <v>1940</v>
      </c>
      <c r="BT456" s="703"/>
      <c r="BU456" s="703"/>
      <c r="BV456" s="704"/>
      <c r="BW456" s="704"/>
    </row>
    <row r="457" spans="1:75" ht="64.5" customHeight="1" x14ac:dyDescent="0.25">
      <c r="B457" s="15"/>
      <c r="C457" s="25"/>
      <c r="D457" s="25" cm="1">
        <f t="array" ref="D457">D456</f>
        <v>14</v>
      </c>
      <c r="E457" s="451">
        <v>66.599999999999994</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990"/>
      <c r="Z457" s="967"/>
      <c r="AB457" s="7" t="str">
        <f>D457&amp;".2"</f>
        <v>14.2</v>
      </c>
      <c r="AC457" s="127" t="s">
        <v>1942</v>
      </c>
      <c r="AD457" s="7" t="s">
        <v>828</v>
      </c>
      <c r="AE457" s="128"/>
      <c r="AF457" s="128"/>
      <c r="AG457" s="128"/>
      <c r="AH457" s="171">
        <f>AG457-AF457</f>
        <v>0</v>
      </c>
      <c r="AI457" s="128"/>
      <c r="AJ457" s="128"/>
      <c r="AK457" s="778"/>
      <c r="AL457" s="778"/>
      <c r="AM457" s="128"/>
      <c r="AN457" s="128"/>
      <c r="AO457" s="128"/>
      <c r="AP457" s="128"/>
      <c r="AQ457" s="128"/>
      <c r="AR457" s="128"/>
      <c r="AS457" s="128"/>
      <c r="AT457" s="128"/>
      <c r="AU457" s="778"/>
      <c r="AV457" s="778"/>
      <c r="AW457" s="128"/>
      <c r="AX457" s="128"/>
      <c r="AY457" s="128"/>
      <c r="AZ457" s="128"/>
      <c r="BA457" s="128"/>
      <c r="BB457" s="128"/>
      <c r="BC457" s="128"/>
      <c r="BD457" s="542"/>
      <c r="BE457" s="542"/>
      <c r="BF457" s="542"/>
      <c r="BG457" s="542"/>
      <c r="BH457" s="542"/>
      <c r="BI457" s="542"/>
      <c r="BJ457" s="542"/>
      <c r="BK457" s="542"/>
      <c r="BL457" s="542"/>
      <c r="BM457" s="542"/>
      <c r="BN457" s="196"/>
      <c r="BO457" s="196"/>
      <c r="BP457" s="196"/>
      <c r="BS457" s="694" t="s">
        <v>1943</v>
      </c>
      <c r="BT457" s="703"/>
      <c r="BU457" s="703"/>
      <c r="BV457" s="704"/>
      <c r="BW457" s="704"/>
    </row>
    <row r="458" spans="1:75" ht="44.25" customHeight="1" x14ac:dyDescent="0.15">
      <c r="A458" s="376"/>
      <c r="B458" s="537"/>
      <c r="C458" s="25"/>
      <c r="D458" s="25" cm="1">
        <f t="array" ref="D458">D457</f>
        <v>14</v>
      </c>
      <c r="E458" s="451">
        <v>45.6</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990"/>
      <c r="Y458" s="376"/>
      <c r="Z458" s="967"/>
      <c r="AA458" s="376"/>
      <c r="AB458" s="7" t="str">
        <f>D458&amp;".3"</f>
        <v>14.3</v>
      </c>
      <c r="AC458" s="127" t="s">
        <v>2225</v>
      </c>
      <c r="AD458" s="7" t="s">
        <v>828</v>
      </c>
      <c r="AE458" s="542"/>
      <c r="AF458" s="128"/>
      <c r="AG458" s="128"/>
      <c r="AH458" s="171">
        <f>AG458-AF458</f>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6"/>
      <c r="BO458" s="196"/>
      <c r="BP458" s="196"/>
      <c r="BS458" s="703" t="s">
        <v>2226</v>
      </c>
      <c r="BT458" s="703"/>
      <c r="BU458" s="703"/>
      <c r="BV458" s="704"/>
      <c r="BW458" s="704"/>
    </row>
    <row r="459" spans="1:75" s="396" customFormat="1" ht="30.95" customHeight="1" x14ac:dyDescent="0.15">
      <c r="A459" s="38"/>
      <c r="B459" s="43"/>
      <c r="C459" s="38"/>
      <c r="D459" s="38"/>
      <c r="E459" s="448">
        <v>15</v>
      </c>
      <c r="F459" s="17" t="str" cm="1">
        <f t="array" ref="F459">X459</f>
        <v>3</v>
      </c>
      <c r="G459" s="17" t="str" cm="1">
        <f t="array" ref="G459">INDEX('Общие сведения'!$AK$179:$AK$236,MATCH($X459,'Общие сведения'!$Z$179:$Z$236,0))</f>
        <v>одноставочный</v>
      </c>
      <c r="H459" s="38"/>
      <c r="I459" s="17"/>
      <c r="J459" s="38"/>
      <c r="K459" s="38"/>
      <c r="L459" s="22"/>
      <c r="M459" s="22"/>
      <c r="N459" s="38"/>
      <c r="O459" s="38"/>
      <c r="P459" s="38"/>
      <c r="Q459" s="38"/>
      <c r="R459" s="38"/>
      <c r="S459" s="38" t="str" cm="1">
        <f t="array" ref="S459">INDEX('Общие сведения'!$AE$179:$AE$236,MATCH($X459,'Общие сведения'!$Z$179:$Z$236,0))</f>
        <v>Водоотведение</v>
      </c>
      <c r="T459" s="353" t="b">
        <f>X459&gt;0</f>
        <v>1</v>
      </c>
      <c r="U459" s="38"/>
      <c r="V459" s="38" t="str" cm="1">
        <f t="array" ref="V459">'Калькуляция (МИ)'!$AB$459</f>
        <v>Тариф 3 (Водоотведение) - тариф на транспортировку сточных вод</v>
      </c>
      <c r="W459" s="38"/>
      <c r="X459" s="990" t="s">
        <v>291</v>
      </c>
      <c r="Y459" s="38"/>
      <c r="Z459" s="967"/>
      <c r="AA459" s="38"/>
      <c r="AB459" s="280" t="str" cm="1">
        <f t="array" ref="AB459">'Калькуляция (МИ)'!$AB$459</f>
        <v>Тариф 3 (Водоотведение) - тариф на транспортировку сточных вод</v>
      </c>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38"/>
      <c r="BR459" s="38"/>
      <c r="BS459" s="656"/>
      <c r="BT459" s="656"/>
      <c r="BU459" s="656"/>
      <c r="BV459" s="448"/>
      <c r="BW459" s="448"/>
    </row>
    <row r="460" spans="1:75" s="869" customFormat="1" ht="132.75" customHeight="1" x14ac:dyDescent="0.15">
      <c r="A460" s="75"/>
      <c r="B460" s="331"/>
      <c r="C460" s="75"/>
      <c r="D460" s="75"/>
      <c r="E460" s="509">
        <v>21</v>
      </c>
      <c r="F460" s="3" t="str" cm="1">
        <f t="array" aca="1" ref="F460" ca="1">OFFSET(E460,-1,1)</f>
        <v>3</v>
      </c>
      <c r="G460" s="75"/>
      <c r="H460" s="276"/>
      <c r="I460" s="276" t="s">
        <v>331</v>
      </c>
      <c r="J460" s="75"/>
      <c r="K460" s="276" t="s">
        <v>331</v>
      </c>
      <c r="L460" s="575"/>
      <c r="M460" s="575"/>
      <c r="N460" s="75"/>
      <c r="O460" s="75"/>
      <c r="P460" s="75"/>
      <c r="Q460" s="75"/>
      <c r="R460" s="75" t="s">
        <v>2324</v>
      </c>
      <c r="S460" s="75"/>
      <c r="T460" s="353" t="b" cm="1">
        <f t="array" ref="T460">T459</f>
        <v>1</v>
      </c>
      <c r="U460" s="75"/>
      <c r="V460" s="75"/>
      <c r="W460" s="75"/>
      <c r="X460" s="990"/>
      <c r="Y460" s="75"/>
      <c r="Z460" s="967"/>
      <c r="AA460" s="75"/>
      <c r="AB460" s="160" t="s">
        <v>275</v>
      </c>
      <c r="AC460" s="125" t="s">
        <v>1950</v>
      </c>
      <c r="AD460" s="147" t="s">
        <v>828</v>
      </c>
      <c r="AE460" s="126">
        <f ca="1">SUM(AE462,AE479,AE485,AE505,AE506,AE507)</f>
        <v>12954.5058456933</v>
      </c>
      <c r="AF460" s="126">
        <f ca="1">SUM(AF462,AF479,AF485,AF505,AF506,AF507)</f>
        <v>26229.022271977599</v>
      </c>
      <c r="AG460" s="126">
        <f ca="1">SUM(AG462,AG479,AG485,AG505,AG506,AG507)</f>
        <v>12954.5058456933</v>
      </c>
      <c r="AH460" s="126">
        <f t="shared" ref="AH460:AH491" ca="1" si="135">AG460-AF460</f>
        <v>-13274.516426284299</v>
      </c>
      <c r="AI460" s="138">
        <v>13363.61</v>
      </c>
      <c r="AJ460" s="138">
        <v>23585.087379787299</v>
      </c>
      <c r="AK460" s="774">
        <f t="shared" ref="AK460:AS460" ca="1" si="136">AJ460*AK461</f>
        <v>23585.087379787299</v>
      </c>
      <c r="AL460" s="774">
        <f t="shared" ca="1" si="136"/>
        <v>23585.087379787299</v>
      </c>
      <c r="AM460" s="138">
        <f t="shared" ca="1" si="136"/>
        <v>23585.087379787299</v>
      </c>
      <c r="AN460" s="138">
        <f t="shared" ca="1" si="136"/>
        <v>23585.087379787299</v>
      </c>
      <c r="AO460" s="138">
        <f t="shared" ca="1" si="136"/>
        <v>23585.087379787299</v>
      </c>
      <c r="AP460" s="138">
        <f t="shared" ca="1" si="136"/>
        <v>23585.087379787299</v>
      </c>
      <c r="AQ460" s="138">
        <f t="shared" ca="1" si="136"/>
        <v>23585.087379787299</v>
      </c>
      <c r="AR460" s="138">
        <f t="shared" ca="1" si="136"/>
        <v>23585.087379787299</v>
      </c>
      <c r="AS460" s="138">
        <f t="shared" ca="1" si="136"/>
        <v>23585.087379787299</v>
      </c>
      <c r="AT460" s="138">
        <v>14010.75</v>
      </c>
      <c r="AU460" s="774">
        <f t="shared" ref="AU460:BC460" ca="1" si="137">AT460*AU461</f>
        <v>14010.75</v>
      </c>
      <c r="AV460" s="774">
        <f t="shared" ca="1" si="137"/>
        <v>14010.75</v>
      </c>
      <c r="AW460" s="138">
        <f t="shared" ca="1" si="137"/>
        <v>14010.75</v>
      </c>
      <c r="AX460" s="138">
        <f t="shared" ca="1" si="137"/>
        <v>14010.75</v>
      </c>
      <c r="AY460" s="138">
        <f t="shared" ca="1" si="137"/>
        <v>14010.75</v>
      </c>
      <c r="AZ460" s="138">
        <f t="shared" ca="1" si="137"/>
        <v>14010.75</v>
      </c>
      <c r="BA460" s="138">
        <f t="shared" ca="1" si="137"/>
        <v>14010.75</v>
      </c>
      <c r="BB460" s="138">
        <f t="shared" ca="1" si="137"/>
        <v>14010.75</v>
      </c>
      <c r="BC460" s="138">
        <f t="shared" ca="1" si="137"/>
        <v>14010.75</v>
      </c>
      <c r="BD460" s="126">
        <f>IF(AI460=0,0,(AT460-AI460)/AI460*100)</f>
        <v>4.8425537710244413</v>
      </c>
      <c r="BE460" s="126">
        <f t="shared" ref="BE460:BM460" ca="1" si="138">IF(AT460=0,0,(AU460-AT460)/AT460*100)</f>
        <v>0</v>
      </c>
      <c r="BF460" s="126">
        <f t="shared" ca="1" si="138"/>
        <v>0</v>
      </c>
      <c r="BG460" s="126">
        <f t="shared" ca="1" si="138"/>
        <v>0</v>
      </c>
      <c r="BH460" s="126">
        <f t="shared" ca="1" si="138"/>
        <v>0</v>
      </c>
      <c r="BI460" s="126">
        <f t="shared" ca="1" si="138"/>
        <v>0</v>
      </c>
      <c r="BJ460" s="126">
        <f t="shared" ca="1" si="138"/>
        <v>0</v>
      </c>
      <c r="BK460" s="126">
        <f t="shared" ca="1" si="138"/>
        <v>0</v>
      </c>
      <c r="BL460" s="126">
        <f t="shared" ca="1" si="138"/>
        <v>0</v>
      </c>
      <c r="BM460" s="126">
        <f t="shared" ca="1" si="138"/>
        <v>0</v>
      </c>
      <c r="BN460" s="196"/>
      <c r="BO460" s="196" t="s">
        <v>2228</v>
      </c>
      <c r="BP460" s="196" t="s">
        <v>2229</v>
      </c>
      <c r="BQ460" s="74"/>
      <c r="BR460" s="75"/>
      <c r="BS460" s="700" t="s">
        <v>550</v>
      </c>
      <c r="BT460" s="700"/>
      <c r="BU460" s="700"/>
      <c r="BV460" s="509"/>
      <c r="BW460" s="509"/>
    </row>
    <row r="461" spans="1:75" ht="23.25" customHeight="1" x14ac:dyDescent="0.15">
      <c r="E461" s="507">
        <v>15</v>
      </c>
      <c r="F461" s="3" t="str" cm="1">
        <f t="array" aca="1" ref="F461" ca="1">OFFSET(E461,-1,1)</f>
        <v>3</v>
      </c>
      <c r="H461" s="277"/>
      <c r="I461" s="277" t="s">
        <v>482</v>
      </c>
      <c r="K461" s="277" t="s">
        <v>482</v>
      </c>
      <c r="L461" s="25"/>
      <c r="M461" s="25"/>
      <c r="R461" s="75" t="s">
        <v>2324</v>
      </c>
      <c r="T461" s="353" t="b" cm="1">
        <f t="array" ref="T461">T460</f>
        <v>1</v>
      </c>
      <c r="X461" s="990"/>
      <c r="Z461" s="967"/>
      <c r="AB461" s="133" t="s">
        <v>939</v>
      </c>
      <c r="AC461" s="127" t="s">
        <v>1951</v>
      </c>
      <c r="AD461" s="7"/>
      <c r="AE461" s="444"/>
      <c r="AF461" s="444"/>
      <c r="AG461" s="444"/>
      <c r="AH461" s="558">
        <f t="shared" si="135"/>
        <v>0</v>
      </c>
      <c r="AI461" s="444">
        <v>1.0315800664000001</v>
      </c>
      <c r="AJ461" s="444">
        <v>1.8206088029</v>
      </c>
      <c r="AK461" s="776">
        <f ca="1">SUMIFS(INDEX(Сценарии!$AE$25:$BF$136,,MATCH(AK$8,Сценарии!$AE$8:$BF$8,0)),Сценарии!$F$25:$F$136,$F461,Сценарии!$G$25:$G$136,"ИОР")</f>
        <v>1</v>
      </c>
      <c r="AL461" s="776">
        <f ca="1">SUMIFS(INDEX(Сценарии!$AE$25:$BF$136,,MATCH(AL$8,Сценарии!$AE$8:$BF$8,0)),Сценарии!$F$25:$F$136,$F461,Сценарии!$G$25:$G$136,"ИОР")</f>
        <v>1</v>
      </c>
      <c r="AM461" s="444">
        <f ca="1">SUMIFS(INDEX(Сценарии!$AE$25:$BF$136,,MATCH(AM$8,Сценарии!$AE$8:$BF$8,0)),Сценарии!$F$25:$F$136,$F461,Сценарии!$G$25:$G$136,"ИОР")</f>
        <v>1</v>
      </c>
      <c r="AN461" s="444">
        <f ca="1">SUMIFS(INDEX(Сценарии!$AE$25:$BF$136,,MATCH(AN$8,Сценарии!$AE$8:$BF$8,0)),Сценарии!$F$25:$F$136,$F461,Сценарии!$G$25:$G$136,"ИОР")</f>
        <v>1</v>
      </c>
      <c r="AO461" s="444">
        <f ca="1">SUMIFS(INDEX(Сценарии!$AE$25:$BF$136,,MATCH(AO$8,Сценарии!$AE$8:$BF$8,0)),Сценарии!$F$25:$F$136,$F461,Сценарии!$G$25:$G$136,"ИОР")</f>
        <v>1</v>
      </c>
      <c r="AP461" s="444">
        <f ca="1">SUMIFS(INDEX(Сценарии!$AE$25:$BF$136,,MATCH(AP$8,Сценарии!$AE$8:$BF$8,0)),Сценарии!$F$25:$F$136,$F461,Сценарии!$G$25:$G$136,"ИОР")</f>
        <v>1</v>
      </c>
      <c r="AQ461" s="444">
        <f ca="1">SUMIFS(INDEX(Сценарии!$AE$25:$BF$136,,MATCH(AQ$8,Сценарии!$AE$8:$BF$8,0)),Сценарии!$F$25:$F$136,$F461,Сценарии!$G$25:$G$136,"ИОР")</f>
        <v>1</v>
      </c>
      <c r="AR461" s="444">
        <f ca="1">SUMIFS(INDEX(Сценарии!$AE$25:$BF$136,,MATCH(AR$8,Сценарии!$AE$8:$BF$8,0)),Сценарии!$F$25:$F$136,$F461,Сценарии!$G$25:$G$136,"ИОР")</f>
        <v>1</v>
      </c>
      <c r="AS461" s="444">
        <f ca="1">SUMIFS(INDEX(Сценарии!$AE$25:$BF$136,,MATCH(AS$8,Сценарии!$AE$8:$BF$8,0)),Сценарии!$F$25:$F$136,$F461,Сценарии!$G$25:$G$136,"ИОР")</f>
        <v>1</v>
      </c>
      <c r="AT461" s="444">
        <v>1.0815348858</v>
      </c>
      <c r="AU461" s="776">
        <f ca="1">SUMIFS(INDEX(Сценарии!$AE$25:$BF$136,,MATCH(AU$8,Сценарии!$AE$8:$BF$8,0)),Сценарии!$F$25:$F$136,$F461,Сценарии!$G$25:$G$136,"ИОР")</f>
        <v>1</v>
      </c>
      <c r="AV461" s="776">
        <f ca="1">SUMIFS(INDEX(Сценарии!$AE$25:$BF$136,,MATCH(AV$8,Сценарии!$AE$8:$BF$8,0)),Сценарии!$F$25:$F$136,$F461,Сценарии!$G$25:$G$136,"ИОР")</f>
        <v>1</v>
      </c>
      <c r="AW461" s="444">
        <f ca="1">SUMIFS(INDEX(Сценарии!$AE$25:$BF$136,,MATCH(AW$8,Сценарии!$AE$8:$BF$8,0)),Сценарии!$F$25:$F$136,$F461,Сценарии!$G$25:$G$136,"ИОР")</f>
        <v>1</v>
      </c>
      <c r="AX461" s="444">
        <f ca="1">SUMIFS(INDEX(Сценарии!$AE$25:$BF$136,,MATCH(AX$8,Сценарии!$AE$8:$BF$8,0)),Сценарии!$F$25:$F$136,$F461,Сценарии!$G$25:$G$136,"ИОР")</f>
        <v>1</v>
      </c>
      <c r="AY461" s="444">
        <f ca="1">SUMIFS(INDEX(Сценарии!$AE$25:$BF$136,,MATCH(AY$8,Сценарии!$AE$8:$BF$8,0)),Сценарии!$F$25:$F$136,$F461,Сценарии!$G$25:$G$136,"ИОР")</f>
        <v>1</v>
      </c>
      <c r="AZ461" s="444">
        <f ca="1">SUMIFS(INDEX(Сценарии!$AE$25:$BF$136,,MATCH(AZ$8,Сценарии!$AE$8:$BF$8,0)),Сценарии!$F$25:$F$136,$F461,Сценарии!$G$25:$G$136,"ИОР")</f>
        <v>1</v>
      </c>
      <c r="BA461" s="444">
        <f ca="1">SUMIFS(INDEX(Сценарии!$AE$25:$BF$136,,MATCH(BA$8,Сценарии!$AE$8:$BF$8,0)),Сценарии!$F$25:$F$136,$F461,Сценарии!$G$25:$G$136,"ИОР")</f>
        <v>1</v>
      </c>
      <c r="BB461" s="444">
        <f ca="1">SUMIFS(INDEX(Сценарии!$AE$25:$BF$136,,MATCH(BB$8,Сценарии!$AE$8:$BF$8,0)),Сценарии!$F$25:$F$136,$F461,Сценарии!$G$25:$G$136,"ИОР")</f>
        <v>1</v>
      </c>
      <c r="BC461" s="444">
        <f ca="1">SUMIFS(INDEX(Сценарии!$AE$25:$BF$136,,MATCH(BC$8,Сценарии!$AE$8:$BF$8,0)),Сценарии!$F$25:$F$136,$F461,Сценарии!$G$25:$G$136,"ИОР")</f>
        <v>1</v>
      </c>
      <c r="BD461" s="542"/>
      <c r="BE461" s="542"/>
      <c r="BF461" s="542"/>
      <c r="BG461" s="542"/>
      <c r="BH461" s="542"/>
      <c r="BI461" s="542"/>
      <c r="BJ461" s="542"/>
      <c r="BK461" s="542"/>
      <c r="BL461" s="542"/>
      <c r="BM461" s="542"/>
      <c r="BN461" s="196"/>
      <c r="BO461" s="196"/>
      <c r="BP461" s="196"/>
      <c r="BS461" s="696" t="s">
        <v>1952</v>
      </c>
    </row>
    <row r="462" spans="1:75" s="331" customFormat="1" ht="40.5" customHeight="1" x14ac:dyDescent="0.25">
      <c r="A462" s="74"/>
      <c r="C462" s="74"/>
      <c r="D462" s="74"/>
      <c r="E462" s="510">
        <v>21</v>
      </c>
      <c r="F462" s="3" t="str" cm="1">
        <f t="array" aca="1" ref="F462" ca="1">OFFSET(E462,-1,1)</f>
        <v>3</v>
      </c>
      <c r="G462" s="74"/>
      <c r="H462" s="276"/>
      <c r="I462" s="276" t="s">
        <v>486</v>
      </c>
      <c r="J462" s="74"/>
      <c r="K462" s="276" t="s">
        <v>486</v>
      </c>
      <c r="L462" s="578" t="s">
        <v>331</v>
      </c>
      <c r="M462" s="578"/>
      <c r="N462" s="74"/>
      <c r="O462" s="74"/>
      <c r="P462" s="74"/>
      <c r="Q462" s="72" t="s">
        <v>2324</v>
      </c>
      <c r="R462" s="75" t="s">
        <v>2324</v>
      </c>
      <c r="S462" s="74"/>
      <c r="T462" s="353" t="b" cm="1">
        <f t="array" ref="T462">T461</f>
        <v>1</v>
      </c>
      <c r="U462" s="74"/>
      <c r="V462" s="74"/>
      <c r="W462" s="74"/>
      <c r="X462" s="990"/>
      <c r="Y462" s="74"/>
      <c r="Z462" s="967"/>
      <c r="AA462" s="74"/>
      <c r="AB462" s="160" t="s">
        <v>942</v>
      </c>
      <c r="AC462" s="263" t="s">
        <v>1738</v>
      </c>
      <c r="AD462" s="147" t="s">
        <v>828</v>
      </c>
      <c r="AE462" s="126">
        <f>SUM(AE463,AE466,AE467,AE470,AE471)</f>
        <v>9513.0792080331012</v>
      </c>
      <c r="AF462" s="126">
        <f>SUM(AF463,AF466,AF467,AF470,AF471)</f>
        <v>21181.326650787702</v>
      </c>
      <c r="AG462" s="126">
        <f>SUM(AG463,AG466,AG467,AG470,AG471)</f>
        <v>9513.0792080331012</v>
      </c>
      <c r="AH462" s="126">
        <f t="shared" si="135"/>
        <v>-11668.2474427546</v>
      </c>
      <c r="AI462" s="871">
        <f ca="1">SUM(AI463,AI466,AI467,AI470,AI471)</f>
        <v>0</v>
      </c>
      <c r="AJ462" s="444"/>
      <c r="AK462" s="129"/>
      <c r="AL462" s="129"/>
      <c r="AM462" s="129"/>
      <c r="AN462" s="129"/>
      <c r="AO462" s="129"/>
      <c r="AP462" s="129"/>
      <c r="AQ462" s="129"/>
      <c r="AR462" s="129"/>
      <c r="AS462" s="129"/>
      <c r="AT462" s="129"/>
      <c r="AU462" s="129"/>
      <c r="AV462" s="129"/>
      <c r="AW462" s="129"/>
      <c r="AX462" s="129"/>
      <c r="AY462" s="129"/>
      <c r="AZ462" s="129"/>
      <c r="BA462" s="129"/>
      <c r="BB462" s="129"/>
      <c r="BC462" s="129"/>
      <c r="BD462" s="129"/>
      <c r="BE462" s="129"/>
      <c r="BF462" s="129"/>
      <c r="BG462" s="129"/>
      <c r="BH462" s="129"/>
      <c r="BI462" s="129"/>
      <c r="BJ462" s="129"/>
      <c r="BK462" s="129"/>
      <c r="BL462" s="129"/>
      <c r="BM462" s="129"/>
      <c r="BN462" s="556"/>
      <c r="BO462" s="556"/>
      <c r="BP462" s="556"/>
      <c r="BQ462" s="74"/>
      <c r="BR462" s="74"/>
      <c r="BS462" s="694" t="s">
        <v>538</v>
      </c>
      <c r="BT462" s="701"/>
      <c r="BU462" s="701"/>
      <c r="BV462" s="510"/>
      <c r="BW462" s="510"/>
    </row>
    <row r="463" spans="1:75" ht="45.75" customHeight="1" x14ac:dyDescent="0.25">
      <c r="E463" s="507">
        <v>15</v>
      </c>
      <c r="F463" s="3" t="str" cm="1">
        <f t="array" aca="1" ref="F463" ca="1">OFFSET(E463,-1,1)</f>
        <v>3</v>
      </c>
      <c r="H463" s="277"/>
      <c r="I463" s="277" t="s">
        <v>1344</v>
      </c>
      <c r="K463" s="277" t="s">
        <v>1344</v>
      </c>
      <c r="L463" s="25" t="s">
        <v>482</v>
      </c>
      <c r="M463" s="25"/>
      <c r="Q463" s="72" t="s">
        <v>2324</v>
      </c>
      <c r="R463" s="75" t="s">
        <v>2324</v>
      </c>
      <c r="T463" s="353" t="b" cm="1">
        <f t="array" ref="T463">T462</f>
        <v>1</v>
      </c>
      <c r="X463" s="990"/>
      <c r="Z463" s="967"/>
      <c r="AB463" s="133" t="s">
        <v>1345</v>
      </c>
      <c r="AC463" s="134" t="s">
        <v>1953</v>
      </c>
      <c r="AD463" s="9" t="s">
        <v>828</v>
      </c>
      <c r="AE463" s="171">
        <f>SUM(AE464,AE465)</f>
        <v>233.46700358410001</v>
      </c>
      <c r="AF463" s="171">
        <f>SUM(AF464,AF465)</f>
        <v>70.923140783299999</v>
      </c>
      <c r="AG463" s="171">
        <f>SUM(AG464,AG465)</f>
        <v>233.46700358410001</v>
      </c>
      <c r="AH463" s="171">
        <f t="shared" si="135"/>
        <v>162.54386280080001</v>
      </c>
      <c r="AI463" s="872">
        <f>SUM(AI464,AI465)</f>
        <v>0</v>
      </c>
      <c r="AJ463" s="444"/>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c r="BF463" s="542"/>
      <c r="BG463" s="542"/>
      <c r="BH463" s="542"/>
      <c r="BI463" s="542"/>
      <c r="BJ463" s="542"/>
      <c r="BK463" s="542"/>
      <c r="BL463" s="542"/>
      <c r="BM463" s="542"/>
      <c r="BN463" s="196"/>
      <c r="BO463" s="196"/>
      <c r="BP463" s="196"/>
      <c r="BQ463" s="28"/>
      <c r="BS463" s="695" t="s">
        <v>1740</v>
      </c>
    </row>
    <row r="464" spans="1:75" ht="31.5" customHeight="1" x14ac:dyDescent="0.25">
      <c r="E464" s="507">
        <v>15</v>
      </c>
      <c r="F464" s="3" t="str" cm="1">
        <f t="array" aca="1" ref="F464" ca="1">OFFSET(E464,-1,1)</f>
        <v>3</v>
      </c>
      <c r="H464" s="277"/>
      <c r="I464" s="277" t="s">
        <v>1954</v>
      </c>
      <c r="K464" s="277" t="s">
        <v>1954</v>
      </c>
      <c r="L464" s="25" t="s">
        <v>1074</v>
      </c>
      <c r="M464" s="25"/>
      <c r="Q464" s="72" t="s">
        <v>2324</v>
      </c>
      <c r="R464" s="75" t="s">
        <v>2324</v>
      </c>
      <c r="T464" s="353" t="b" cm="1">
        <f t="array" ref="T464">T463</f>
        <v>1</v>
      </c>
      <c r="X464" s="990"/>
      <c r="Z464" s="967"/>
      <c r="AB464" s="133" t="s">
        <v>1955</v>
      </c>
      <c r="AC464" s="543" t="s">
        <v>1743</v>
      </c>
      <c r="AD464" s="9" t="s">
        <v>828</v>
      </c>
      <c r="AE464" s="128"/>
      <c r="AF464" s="128"/>
      <c r="AG464" s="128"/>
      <c r="AH464" s="171">
        <f t="shared" si="135"/>
        <v>0</v>
      </c>
      <c r="AI464" s="872"/>
      <c r="AJ464" s="444"/>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c r="BG464" s="542"/>
      <c r="BH464" s="542"/>
      <c r="BI464" s="542"/>
      <c r="BJ464" s="542"/>
      <c r="BK464" s="542"/>
      <c r="BL464" s="542"/>
      <c r="BM464" s="542"/>
      <c r="BN464" s="196"/>
      <c r="BO464" s="196"/>
      <c r="BP464" s="196"/>
      <c r="BS464" s="694" t="s">
        <v>1744</v>
      </c>
    </row>
    <row r="465" spans="1:75" ht="43.5" customHeight="1" x14ac:dyDescent="0.25">
      <c r="E465" s="507">
        <v>15</v>
      </c>
      <c r="F465" s="3" t="str" cm="1">
        <f t="array" aca="1" ref="F465" ca="1">OFFSET(E465,-1,1)</f>
        <v>3</v>
      </c>
      <c r="H465" s="277"/>
      <c r="I465" s="277" t="s">
        <v>1956</v>
      </c>
      <c r="K465" s="277" t="s">
        <v>1956</v>
      </c>
      <c r="L465" s="25" t="s">
        <v>1319</v>
      </c>
      <c r="M465" s="25"/>
      <c r="Q465" s="72" t="s">
        <v>2324</v>
      </c>
      <c r="R465" s="75" t="s">
        <v>2324</v>
      </c>
      <c r="T465" s="353" t="b" cm="1">
        <f t="array" ref="T465">T464</f>
        <v>1</v>
      </c>
      <c r="X465" s="990"/>
      <c r="Z465" s="967"/>
      <c r="AB465" s="133" t="s">
        <v>1957</v>
      </c>
      <c r="AC465" s="543" t="s">
        <v>1745</v>
      </c>
      <c r="AD465" s="9" t="s">
        <v>828</v>
      </c>
      <c r="AE465" s="128">
        <v>233.46700358410001</v>
      </c>
      <c r="AF465" s="128">
        <v>70.923140783299999</v>
      </c>
      <c r="AG465" s="128">
        <v>233.46700358410001</v>
      </c>
      <c r="AH465" s="171">
        <f t="shared" si="135"/>
        <v>162.54386280080001</v>
      </c>
      <c r="AI465" s="872"/>
      <c r="AJ465" s="444"/>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c r="BF465" s="542"/>
      <c r="BG465" s="542"/>
      <c r="BH465" s="542"/>
      <c r="BI465" s="542"/>
      <c r="BJ465" s="542"/>
      <c r="BK465" s="542"/>
      <c r="BL465" s="542"/>
      <c r="BM465" s="542"/>
      <c r="BN465" s="196"/>
      <c r="BO465" s="196"/>
      <c r="BP465" s="196"/>
      <c r="BS465" s="694" t="s">
        <v>1746</v>
      </c>
    </row>
    <row r="466" spans="1:75" ht="57" customHeight="1" x14ac:dyDescent="0.25">
      <c r="E466" s="507">
        <v>22.5</v>
      </c>
      <c r="F466" s="3" t="str" cm="1">
        <f t="array" aca="1" ref="F466" ca="1">OFFSET(E466,-1,1)</f>
        <v>3</v>
      </c>
      <c r="H466" s="277"/>
      <c r="I466" s="277" t="s">
        <v>1347</v>
      </c>
      <c r="K466" s="277" t="s">
        <v>1347</v>
      </c>
      <c r="L466" s="25" t="s">
        <v>489</v>
      </c>
      <c r="M466" s="25"/>
      <c r="Q466" s="72" t="s">
        <v>2324</v>
      </c>
      <c r="R466" s="75" t="s">
        <v>2324</v>
      </c>
      <c r="T466" s="353" t="b" cm="1">
        <f t="array" ref="T466">T465</f>
        <v>1</v>
      </c>
      <c r="X466" s="990"/>
      <c r="Z466" s="967"/>
      <c r="AB466" s="133" t="s">
        <v>1348</v>
      </c>
      <c r="AC466" s="134" t="s">
        <v>1958</v>
      </c>
      <c r="AD466" s="9" t="s">
        <v>828</v>
      </c>
      <c r="AE466" s="128">
        <v>2095.4195239999999</v>
      </c>
      <c r="AF466" s="128">
        <v>839.36703736710001</v>
      </c>
      <c r="AG466" s="128">
        <v>2095.4195239999999</v>
      </c>
      <c r="AH466" s="171">
        <f t="shared" si="135"/>
        <v>1256.0524866328999</v>
      </c>
      <c r="AI466" s="872"/>
      <c r="AJ466" s="444"/>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c r="BE466" s="542"/>
      <c r="BF466" s="542"/>
      <c r="BG466" s="542"/>
      <c r="BH466" s="542"/>
      <c r="BI466" s="542"/>
      <c r="BJ466" s="542"/>
      <c r="BK466" s="542"/>
      <c r="BL466" s="542"/>
      <c r="BM466" s="542"/>
      <c r="BN466" s="196"/>
      <c r="BO466" s="196"/>
      <c r="BP466" s="196"/>
      <c r="BS466" s="695" t="s">
        <v>1771</v>
      </c>
    </row>
    <row r="467" spans="1:75" ht="63.75" customHeight="1" x14ac:dyDescent="0.25">
      <c r="E467" s="507">
        <v>22.5</v>
      </c>
      <c r="F467" s="3" t="str" cm="1">
        <f t="array" aca="1" ref="F467" ca="1">OFFSET(E467,-1,1)</f>
        <v>3</v>
      </c>
      <c r="H467" s="277"/>
      <c r="I467" s="277" t="s">
        <v>1351</v>
      </c>
      <c r="K467" s="277" t="s">
        <v>1351</v>
      </c>
      <c r="L467" s="25" t="s">
        <v>493</v>
      </c>
      <c r="M467" s="25"/>
      <c r="Q467" s="72" t="s">
        <v>2324</v>
      </c>
      <c r="R467" s="75" t="s">
        <v>2324</v>
      </c>
      <c r="T467" s="353" t="b" cm="1">
        <f t="array" ref="T467">T466</f>
        <v>1</v>
      </c>
      <c r="X467" s="990"/>
      <c r="Z467" s="967"/>
      <c r="AB467" s="133" t="s">
        <v>1352</v>
      </c>
      <c r="AC467" s="134" t="s">
        <v>1959</v>
      </c>
      <c r="AD467" s="9" t="s">
        <v>828</v>
      </c>
      <c r="AE467" s="171">
        <f>AE468+AE469</f>
        <v>1545.662464449</v>
      </c>
      <c r="AF467" s="171">
        <f>AF468+AF469</f>
        <v>2684.0318176385999</v>
      </c>
      <c r="AG467" s="171">
        <f>AG468+AG469</f>
        <v>1545.662464449</v>
      </c>
      <c r="AH467" s="171">
        <f t="shared" si="135"/>
        <v>-1138.3693531895999</v>
      </c>
      <c r="AI467" s="872">
        <f ca="1">AI468+AI469</f>
        <v>0</v>
      </c>
      <c r="AJ467" s="444"/>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196"/>
      <c r="BO467" s="196"/>
      <c r="BP467" s="196"/>
      <c r="BS467" s="695" t="s">
        <v>1960</v>
      </c>
    </row>
    <row r="468" spans="1:75" ht="54.75" customHeight="1" x14ac:dyDescent="0.25">
      <c r="E468" s="507">
        <v>15</v>
      </c>
      <c r="F468" s="3" t="str" cm="1">
        <f t="array" aca="1" ref="F468" ca="1">OFFSET(E468,-1,1)</f>
        <v>3</v>
      </c>
      <c r="G468" s="253" t="s">
        <v>1162</v>
      </c>
      <c r="H468" s="277"/>
      <c r="I468" s="277" t="s">
        <v>1495</v>
      </c>
      <c r="K468" s="277" t="s">
        <v>1495</v>
      </c>
      <c r="L468" s="25" t="s">
        <v>1371</v>
      </c>
      <c r="M468" s="25"/>
      <c r="Q468" s="72" t="s">
        <v>2324</v>
      </c>
      <c r="R468" s="75" t="s">
        <v>2324</v>
      </c>
      <c r="T468" s="353" t="b" cm="1">
        <f t="array" ref="T468">T467</f>
        <v>1</v>
      </c>
      <c r="X468" s="990"/>
      <c r="Z468" s="967"/>
      <c r="AB468" s="133" t="s">
        <v>1961</v>
      </c>
      <c r="AC468" s="543" t="s">
        <v>1774</v>
      </c>
      <c r="AD468" s="9" t="s">
        <v>828</v>
      </c>
      <c r="AE468" s="128">
        <v>1183.6900478243001</v>
      </c>
      <c r="AF468" s="128">
        <v>2057.7487745621002</v>
      </c>
      <c r="AG468" s="128">
        <v>1183.6900478243001</v>
      </c>
      <c r="AH468" s="171">
        <f t="shared" si="135"/>
        <v>-874.05872673780004</v>
      </c>
      <c r="AI468" s="872"/>
      <c r="AJ468" s="444"/>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196"/>
      <c r="BO468" s="601" t="str">
        <f ca="1">IF(IFERROR(INDEX(ФОТ!$K$26:$L$127,MATCH($F468&amp;"1komm",ФОТ!$K$26:$K$127,0),2),"")=0,"",IFERROR(INDEX(ФОТ!$K$26:$L$127,MATCH($F468&amp;"1komm",ФОТ!$K$26:$K$127,0),2),""))</f>
        <v/>
      </c>
      <c r="BP468" s="196"/>
      <c r="BS468" s="694" t="s">
        <v>1775</v>
      </c>
    </row>
    <row r="469" spans="1:75" ht="52.5" customHeight="1" x14ac:dyDescent="0.25">
      <c r="E469" s="507">
        <v>22.5</v>
      </c>
      <c r="F469" s="3" t="str" cm="1">
        <f t="array" aca="1" ref="F469" ca="1">OFFSET(E469,-1,1)</f>
        <v>3</v>
      </c>
      <c r="G469" s="253" t="s">
        <v>1174</v>
      </c>
      <c r="H469" s="277"/>
      <c r="I469" s="277" t="s">
        <v>1499</v>
      </c>
      <c r="K469" s="277" t="s">
        <v>1499</v>
      </c>
      <c r="L469" s="25" t="s">
        <v>1372</v>
      </c>
      <c r="M469" s="25"/>
      <c r="Q469" s="72" t="s">
        <v>2324</v>
      </c>
      <c r="R469" s="75" t="s">
        <v>2324</v>
      </c>
      <c r="T469" s="353" t="b" cm="1">
        <f t="array" ref="T469">T468</f>
        <v>1</v>
      </c>
      <c r="X469" s="990"/>
      <c r="Z469" s="967"/>
      <c r="AB469" s="133" t="s">
        <v>1962</v>
      </c>
      <c r="AC469" s="543" t="s">
        <v>1963</v>
      </c>
      <c r="AD469" s="9" t="s">
        <v>828</v>
      </c>
      <c r="AE469" s="128">
        <v>361.97241662469997</v>
      </c>
      <c r="AF469" s="128">
        <v>626.28304307650001</v>
      </c>
      <c r="AG469" s="128">
        <v>361.97241662469997</v>
      </c>
      <c r="AH469" s="171">
        <f t="shared" si="135"/>
        <v>-264.31062645180003</v>
      </c>
      <c r="AI469" s="872">
        <f ca="1">AI468*SUMIFS(INDEX(Сценарии!$AE$25:$BF$136,,MATCH(AG$8,Сценарии!$AE$8:$BF$8,0)),Сценарии!$F$25:$F$136,$F469,Сценарии!$G$25:$G$136,"СВФОТ")/100</f>
        <v>0</v>
      </c>
      <c r="AJ469" s="444"/>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c r="BF469" s="542"/>
      <c r="BG469" s="542"/>
      <c r="BH469" s="542"/>
      <c r="BI469" s="542"/>
      <c r="BJ469" s="542"/>
      <c r="BK469" s="542"/>
      <c r="BL469" s="542"/>
      <c r="BM469" s="542"/>
      <c r="BN469" s="196"/>
      <c r="BO469" s="601" t="str">
        <f ca="1">IF(IFERROR(INDEX(ФОТ!$K$26:$L$127,MATCH($F469&amp;"2komm",ФОТ!$K$26:$K$127,0),2),"")=0,"",IFERROR(INDEX(ФОТ!$K$26:$L$127,MATCH($F469&amp;"2komm",ФОТ!$K$26:$K$127,0),2),""))</f>
        <v/>
      </c>
      <c r="BP469" s="196"/>
      <c r="BS469" s="694" t="s">
        <v>1777</v>
      </c>
    </row>
    <row r="470" spans="1:75" ht="30.75" customHeight="1" x14ac:dyDescent="0.25">
      <c r="E470" s="507">
        <v>15</v>
      </c>
      <c r="F470" s="3" t="str" cm="1">
        <f t="array" aca="1" ref="F470" ca="1">OFFSET(E470,-1,1)</f>
        <v>3</v>
      </c>
      <c r="H470" s="277"/>
      <c r="I470" s="277" t="s">
        <v>1510</v>
      </c>
      <c r="K470" s="277" t="s">
        <v>1510</v>
      </c>
      <c r="L470" s="25" t="s">
        <v>1779</v>
      </c>
      <c r="M470" s="25"/>
      <c r="Q470" s="72" t="s">
        <v>2324</v>
      </c>
      <c r="R470" s="75" t="s">
        <v>2324</v>
      </c>
      <c r="T470" s="353" t="b" cm="1">
        <f t="array" ref="T470">T469</f>
        <v>1</v>
      </c>
      <c r="X470" s="990"/>
      <c r="Z470" s="967"/>
      <c r="AB470" s="133" t="s">
        <v>1753</v>
      </c>
      <c r="AC470" s="134" t="s">
        <v>1964</v>
      </c>
      <c r="AD470" s="9" t="s">
        <v>828</v>
      </c>
      <c r="AE470" s="128">
        <v>208.88049599999999</v>
      </c>
      <c r="AF470" s="128"/>
      <c r="AG470" s="128">
        <v>208.88049599999999</v>
      </c>
      <c r="AH470" s="171">
        <f t="shared" si="135"/>
        <v>208.88049599999999</v>
      </c>
      <c r="AI470" s="872"/>
      <c r="AJ470" s="444"/>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c r="BF470" s="542"/>
      <c r="BG470" s="542"/>
      <c r="BH470" s="542"/>
      <c r="BI470" s="542"/>
      <c r="BJ470" s="542"/>
      <c r="BK470" s="542"/>
      <c r="BL470" s="542"/>
      <c r="BM470" s="542"/>
      <c r="BN470" s="196"/>
      <c r="BO470" s="196"/>
      <c r="BP470" s="196"/>
      <c r="BS470" s="695" t="s">
        <v>1782</v>
      </c>
    </row>
    <row r="471" spans="1:75" ht="14.25" customHeight="1" x14ac:dyDescent="0.25">
      <c r="E471" s="507">
        <v>15</v>
      </c>
      <c r="F471" s="3" t="str" cm="1">
        <f t="array" aca="1" ref="F471" ca="1">OFFSET(E471,-1,1)</f>
        <v>3</v>
      </c>
      <c r="H471" s="277"/>
      <c r="I471" s="277" t="s">
        <v>1514</v>
      </c>
      <c r="K471" s="277" t="s">
        <v>1514</v>
      </c>
      <c r="L471" s="25" t="s">
        <v>1783</v>
      </c>
      <c r="Q471" s="72" t="s">
        <v>2324</v>
      </c>
      <c r="R471" s="75" t="s">
        <v>2324</v>
      </c>
      <c r="T471" s="353" t="b" cm="1">
        <f t="array" ref="T471">T470</f>
        <v>1</v>
      </c>
      <c r="X471" s="990"/>
      <c r="Z471" s="967"/>
      <c r="AB471" s="133" t="s">
        <v>1755</v>
      </c>
      <c r="AC471" s="134" t="s">
        <v>1965</v>
      </c>
      <c r="AD471" s="7" t="s">
        <v>828</v>
      </c>
      <c r="AE471" s="171">
        <f>SUM(AE472:AE478)</f>
        <v>5429.6497200000003</v>
      </c>
      <c r="AF471" s="171">
        <f>SUM(AF472:AF478)</f>
        <v>17587.004654998702</v>
      </c>
      <c r="AG471" s="171">
        <f>SUM(AG472:AG478)</f>
        <v>5429.6497200000003</v>
      </c>
      <c r="AH471" s="171">
        <f t="shared" si="135"/>
        <v>-12157.354934998701</v>
      </c>
      <c r="AI471" s="872">
        <f>SUM(AI472:AI478)</f>
        <v>0</v>
      </c>
      <c r="AJ471" s="444"/>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c r="BF471" s="542"/>
      <c r="BG471" s="542"/>
      <c r="BH471" s="542"/>
      <c r="BI471" s="542"/>
      <c r="BJ471" s="542"/>
      <c r="BK471" s="542"/>
      <c r="BL471" s="542"/>
      <c r="BM471" s="542"/>
      <c r="BN471" s="196"/>
      <c r="BO471" s="196"/>
      <c r="BP471" s="196"/>
      <c r="BS471" s="695" t="s">
        <v>1966</v>
      </c>
    </row>
    <row r="472" spans="1:75" ht="14.25" customHeight="1" x14ac:dyDescent="0.25">
      <c r="E472" s="507">
        <v>15</v>
      </c>
      <c r="F472" s="3" t="str" cm="1">
        <f t="array" aca="1" ref="F472" ca="1">OFFSET(E472,-1,1)</f>
        <v>3</v>
      </c>
      <c r="H472" s="277"/>
      <c r="I472" s="277" t="s">
        <v>1967</v>
      </c>
      <c r="K472" s="277" t="s">
        <v>1967</v>
      </c>
      <c r="L472" s="25" t="s">
        <v>1783</v>
      </c>
      <c r="M472" s="25" t="s">
        <v>1791</v>
      </c>
      <c r="Q472" s="72" t="s">
        <v>2324</v>
      </c>
      <c r="R472" s="75" t="s">
        <v>2324</v>
      </c>
      <c r="T472" s="353" t="b" cm="1">
        <f t="array" ref="T472">T471</f>
        <v>1</v>
      </c>
      <c r="X472" s="990"/>
      <c r="Z472" s="967"/>
      <c r="AB472" s="133" t="s">
        <v>1968</v>
      </c>
      <c r="AC472" s="543" t="s">
        <v>1969</v>
      </c>
      <c r="AD472" s="7" t="s">
        <v>828</v>
      </c>
      <c r="AE472" s="128"/>
      <c r="AF472" s="128"/>
      <c r="AG472" s="128"/>
      <c r="AH472" s="171">
        <f t="shared" si="135"/>
        <v>0</v>
      </c>
      <c r="AI472" s="872"/>
      <c r="AJ472" s="444"/>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c r="BG472" s="542"/>
      <c r="BH472" s="542"/>
      <c r="BI472" s="542"/>
      <c r="BJ472" s="542"/>
      <c r="BK472" s="542"/>
      <c r="BL472" s="542"/>
      <c r="BM472" s="542"/>
      <c r="BN472" s="196"/>
      <c r="BO472" s="196"/>
      <c r="BP472" s="196"/>
      <c r="BS472" s="694" t="s">
        <v>1794</v>
      </c>
    </row>
    <row r="473" spans="1:75" ht="46.5" customHeight="1" x14ac:dyDescent="0.15">
      <c r="E473" s="507">
        <v>22.5</v>
      </c>
      <c r="F473" s="3" t="str" cm="1">
        <f t="array" aca="1" ref="F473" ca="1">OFFSET(E473,-1,1)</f>
        <v>3</v>
      </c>
      <c r="H473" s="277"/>
      <c r="I473" s="277" t="s">
        <v>1970</v>
      </c>
      <c r="K473" s="277" t="s">
        <v>1970</v>
      </c>
      <c r="L473" s="25" t="s">
        <v>1783</v>
      </c>
      <c r="M473" s="25" t="s">
        <v>1787</v>
      </c>
      <c r="Q473" s="72" t="s">
        <v>2324</v>
      </c>
      <c r="R473" s="75" t="s">
        <v>2324</v>
      </c>
      <c r="T473" s="353" t="b" cm="1">
        <f t="array" ref="T473">T472</f>
        <v>1</v>
      </c>
      <c r="X473" s="990"/>
      <c r="Z473" s="967"/>
      <c r="AB473" s="133" t="s">
        <v>1971</v>
      </c>
      <c r="AC473" s="543" t="s">
        <v>1972</v>
      </c>
      <c r="AD473" s="7" t="s">
        <v>828</v>
      </c>
      <c r="AE473" s="128"/>
      <c r="AF473" s="128"/>
      <c r="AG473" s="128"/>
      <c r="AH473" s="171">
        <f t="shared" si="135"/>
        <v>0</v>
      </c>
      <c r="AI473" s="872"/>
      <c r="AJ473" s="444"/>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c r="BF473" s="542"/>
      <c r="BG473" s="542"/>
      <c r="BH473" s="542"/>
      <c r="BI473" s="542"/>
      <c r="BJ473" s="542"/>
      <c r="BK473" s="542"/>
      <c r="BL473" s="542"/>
      <c r="BM473" s="542"/>
      <c r="BN473" s="196"/>
      <c r="BO473" s="196"/>
      <c r="BP473" s="196"/>
      <c r="BS473" s="696" t="s">
        <v>1973</v>
      </c>
    </row>
    <row r="474" spans="1:75" ht="54.75" customHeight="1" x14ac:dyDescent="0.15">
      <c r="E474" s="507">
        <v>22.5</v>
      </c>
      <c r="F474" s="3" t="str" cm="1">
        <f t="array" aca="1" ref="F474" ca="1">OFFSET(E474,-1,1)</f>
        <v>3</v>
      </c>
      <c r="H474" s="277"/>
      <c r="I474" s="277" t="s">
        <v>1974</v>
      </c>
      <c r="K474" s="277" t="s">
        <v>1974</v>
      </c>
      <c r="Q474" s="72" t="s">
        <v>2324</v>
      </c>
      <c r="R474" s="75" t="s">
        <v>2324</v>
      </c>
      <c r="T474" s="353" t="b" cm="1">
        <f t="array" ref="T474">T473</f>
        <v>1</v>
      </c>
      <c r="X474" s="990"/>
      <c r="Z474" s="967"/>
      <c r="AB474" s="133" t="s">
        <v>1975</v>
      </c>
      <c r="AC474" s="544" t="s">
        <v>1976</v>
      </c>
      <c r="AD474" s="7" t="s">
        <v>828</v>
      </c>
      <c r="AE474" s="128">
        <v>4515.6685200000002</v>
      </c>
      <c r="AF474" s="128">
        <v>9140.8470963236996</v>
      </c>
      <c r="AG474" s="128">
        <v>4515.6685200000002</v>
      </c>
      <c r="AH474" s="171">
        <f t="shared" si="135"/>
        <v>-4625.1785763236994</v>
      </c>
      <c r="AI474" s="872"/>
      <c r="AJ474" s="444"/>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196"/>
      <c r="BO474" s="196"/>
      <c r="BP474" s="196"/>
      <c r="BS474" s="696" t="s">
        <v>1977</v>
      </c>
    </row>
    <row r="475" spans="1:75" ht="44.25" customHeight="1" x14ac:dyDescent="0.15">
      <c r="E475" s="507">
        <v>22.5</v>
      </c>
      <c r="F475" s="3" t="str" cm="1">
        <f t="array" aca="1" ref="F475" ca="1">OFFSET(E475,-1,1)</f>
        <v>3</v>
      </c>
      <c r="H475" s="277"/>
      <c r="I475" s="277" t="s">
        <v>1978</v>
      </c>
      <c r="K475" s="277" t="s">
        <v>1978</v>
      </c>
      <c r="L475" s="25"/>
      <c r="Q475" s="72" t="s">
        <v>2324</v>
      </c>
      <c r="R475" s="75" t="s">
        <v>2324</v>
      </c>
      <c r="T475" s="353" t="b" cm="1">
        <f t="array" ref="T475">T474</f>
        <v>1</v>
      </c>
      <c r="X475" s="990"/>
      <c r="Z475" s="967"/>
      <c r="AB475" s="133" t="s">
        <v>1979</v>
      </c>
      <c r="AC475" s="544" t="s">
        <v>1980</v>
      </c>
      <c r="AD475" s="7" t="s">
        <v>828</v>
      </c>
      <c r="AE475" s="128"/>
      <c r="AF475" s="128"/>
      <c r="AG475" s="128"/>
      <c r="AH475" s="171">
        <f t="shared" si="135"/>
        <v>0</v>
      </c>
      <c r="AI475" s="872"/>
      <c r="AJ475" s="444"/>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196"/>
      <c r="BO475" s="196"/>
      <c r="BP475" s="196"/>
      <c r="BS475" s="696" t="s">
        <v>1981</v>
      </c>
    </row>
    <row r="476" spans="1:75" ht="43.5" customHeight="1" x14ac:dyDescent="0.15">
      <c r="E476" s="507">
        <v>45</v>
      </c>
      <c r="F476" s="3" t="str" cm="1">
        <f t="array" aca="1" ref="F476" ca="1">OFFSET(E476,-1,1)</f>
        <v>3</v>
      </c>
      <c r="H476" s="277"/>
      <c r="I476" s="277" t="s">
        <v>1982</v>
      </c>
      <c r="K476" s="277" t="s">
        <v>1982</v>
      </c>
      <c r="L476" s="25" t="s">
        <v>1783</v>
      </c>
      <c r="M476" s="25" t="s">
        <v>1795</v>
      </c>
      <c r="Q476" s="72" t="s">
        <v>2324</v>
      </c>
      <c r="R476" s="75" t="s">
        <v>2324</v>
      </c>
      <c r="T476" s="353" t="b" cm="1">
        <f t="array" ref="T476">T475</f>
        <v>1</v>
      </c>
      <c r="X476" s="990"/>
      <c r="Z476" s="967"/>
      <c r="AB476" s="133" t="s">
        <v>1983</v>
      </c>
      <c r="AC476" s="543" t="s">
        <v>1984</v>
      </c>
      <c r="AD476" s="7" t="s">
        <v>828</v>
      </c>
      <c r="AE476" s="128"/>
      <c r="AF476" s="128"/>
      <c r="AG476" s="128"/>
      <c r="AH476" s="171">
        <f t="shared" si="135"/>
        <v>0</v>
      </c>
      <c r="AI476" s="872"/>
      <c r="AJ476" s="444"/>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c r="BF476" s="542"/>
      <c r="BG476" s="542"/>
      <c r="BH476" s="542"/>
      <c r="BI476" s="542"/>
      <c r="BJ476" s="542"/>
      <c r="BK476" s="542"/>
      <c r="BL476" s="542"/>
      <c r="BM476" s="542"/>
      <c r="BN476" s="196"/>
      <c r="BO476" s="196"/>
      <c r="BP476" s="196"/>
      <c r="BS476" s="696" t="s">
        <v>1798</v>
      </c>
    </row>
    <row r="477" spans="1:75" ht="35.25" customHeight="1" x14ac:dyDescent="0.15">
      <c r="E477" s="507">
        <v>15</v>
      </c>
      <c r="F477" s="3" t="str" cm="1">
        <f t="array" aca="1" ref="F477" ca="1">OFFSET(E477,-1,1)</f>
        <v>3</v>
      </c>
      <c r="H477" s="277"/>
      <c r="I477" s="277" t="s">
        <v>1985</v>
      </c>
      <c r="K477" s="277" t="s">
        <v>1985</v>
      </c>
      <c r="L477" s="25" t="s">
        <v>1783</v>
      </c>
      <c r="M477" s="25" t="s">
        <v>1799</v>
      </c>
      <c r="Q477" s="72" t="s">
        <v>2324</v>
      </c>
      <c r="R477" s="75" t="s">
        <v>2324</v>
      </c>
      <c r="T477" s="353" t="b" cm="1">
        <f t="array" ref="T477">T476</f>
        <v>1</v>
      </c>
      <c r="X477" s="990"/>
      <c r="Z477" s="967"/>
      <c r="AB477" s="133" t="s">
        <v>1986</v>
      </c>
      <c r="AC477" s="543" t="s">
        <v>1801</v>
      </c>
      <c r="AD477" s="7" t="s">
        <v>828</v>
      </c>
      <c r="AE477" s="128"/>
      <c r="AF477" s="128"/>
      <c r="AG477" s="128"/>
      <c r="AH477" s="171">
        <f t="shared" si="135"/>
        <v>0</v>
      </c>
      <c r="AI477" s="872"/>
      <c r="AJ477" s="444"/>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c r="BF477" s="542"/>
      <c r="BG477" s="542"/>
      <c r="BH477" s="542"/>
      <c r="BI477" s="542"/>
      <c r="BJ477" s="542"/>
      <c r="BK477" s="542"/>
      <c r="BL477" s="542"/>
      <c r="BM477" s="542"/>
      <c r="BN477" s="196"/>
      <c r="BO477" s="196"/>
      <c r="BP477" s="196"/>
      <c r="BS477" s="696" t="s">
        <v>1802</v>
      </c>
    </row>
    <row r="478" spans="1:75" ht="40.5" customHeight="1" x14ac:dyDescent="0.15">
      <c r="E478" s="507">
        <v>15</v>
      </c>
      <c r="F478" s="3" t="str" cm="1">
        <f t="array" aca="1" ref="F478" ca="1">OFFSET(E478,-1,1)</f>
        <v>3</v>
      </c>
      <c r="H478" s="277"/>
      <c r="I478" s="277" t="s">
        <v>1987</v>
      </c>
      <c r="K478" s="277" t="s">
        <v>1987</v>
      </c>
      <c r="L478" s="25"/>
      <c r="M478" s="25"/>
      <c r="Q478" s="72" t="s">
        <v>2324</v>
      </c>
      <c r="R478" s="75" t="s">
        <v>2324</v>
      </c>
      <c r="T478" s="353" t="b" cm="1">
        <f t="array" ref="T478">T477</f>
        <v>1</v>
      </c>
      <c r="X478" s="990"/>
      <c r="Z478" s="967"/>
      <c r="AB478" s="133" t="s">
        <v>1988</v>
      </c>
      <c r="AC478" s="543" t="s">
        <v>1989</v>
      </c>
      <c r="AD478" s="7" t="s">
        <v>828</v>
      </c>
      <c r="AE478" s="128">
        <v>913.98119999999994</v>
      </c>
      <c r="AF478" s="128">
        <v>8446.1575586750005</v>
      </c>
      <c r="AG478" s="128">
        <v>913.98119999999994</v>
      </c>
      <c r="AH478" s="171">
        <f t="shared" si="135"/>
        <v>-7532.1763586750003</v>
      </c>
      <c r="AI478" s="872"/>
      <c r="AJ478" s="444"/>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c r="BG478" s="542"/>
      <c r="BH478" s="542"/>
      <c r="BI478" s="542"/>
      <c r="BJ478" s="542"/>
      <c r="BK478" s="542"/>
      <c r="BL478" s="542"/>
      <c r="BM478" s="542"/>
      <c r="BN478" s="196"/>
      <c r="BO478" s="196"/>
      <c r="BP478" s="196"/>
      <c r="BS478" s="696" t="s">
        <v>1786</v>
      </c>
    </row>
    <row r="479" spans="1:75" s="870" customFormat="1" ht="36" customHeight="1" x14ac:dyDescent="0.25">
      <c r="A479" s="76"/>
      <c r="B479" s="332"/>
      <c r="C479" s="76"/>
      <c r="D479" s="76"/>
      <c r="E479" s="511">
        <v>21</v>
      </c>
      <c r="F479" s="3" t="str" cm="1">
        <f t="array" aca="1" ref="F479" ca="1">OFFSET(E479,-1,1)</f>
        <v>3</v>
      </c>
      <c r="G479" s="76"/>
      <c r="H479" s="277"/>
      <c r="I479" s="277" t="s">
        <v>489</v>
      </c>
      <c r="J479" s="76"/>
      <c r="K479" s="277" t="s">
        <v>489</v>
      </c>
      <c r="L479" s="27"/>
      <c r="M479" s="27"/>
      <c r="N479" s="76"/>
      <c r="O479" s="76"/>
      <c r="P479" s="76"/>
      <c r="Q479" s="72" t="s">
        <v>2324</v>
      </c>
      <c r="R479" s="75" t="s">
        <v>2324</v>
      </c>
      <c r="S479" s="76"/>
      <c r="T479" s="353" t="b" cm="1">
        <f t="array" ref="T479">T478</f>
        <v>1</v>
      </c>
      <c r="U479" s="76"/>
      <c r="V479" s="76"/>
      <c r="W479" s="76"/>
      <c r="X479" s="990"/>
      <c r="Y479" s="76"/>
      <c r="Z479" s="967"/>
      <c r="AA479" s="76"/>
      <c r="AB479" s="131" t="s">
        <v>945</v>
      </c>
      <c r="AC479" s="263" t="s">
        <v>1806</v>
      </c>
      <c r="AD479" s="124" t="s">
        <v>828</v>
      </c>
      <c r="AE479" s="126">
        <f>AE480+AE481+AE482</f>
        <v>3441.4266376602</v>
      </c>
      <c r="AF479" s="126">
        <f>AF480+AF481+AF482</f>
        <v>5047.6956211898996</v>
      </c>
      <c r="AG479" s="126">
        <f>AG480+AG481+AG482</f>
        <v>3441.4266376602</v>
      </c>
      <c r="AH479" s="126">
        <f t="shared" si="135"/>
        <v>-1606.2689835296997</v>
      </c>
      <c r="AI479" s="871">
        <f>AI480+AI481+AI482</f>
        <v>0</v>
      </c>
      <c r="AJ479" s="444"/>
      <c r="AK479" s="129"/>
      <c r="AL479" s="129"/>
      <c r="AM479" s="129"/>
      <c r="AN479" s="129"/>
      <c r="AO479" s="129"/>
      <c r="AP479" s="129"/>
      <c r="AQ479" s="129"/>
      <c r="AR479" s="129"/>
      <c r="AS479" s="129"/>
      <c r="AT479" s="129"/>
      <c r="AU479" s="129"/>
      <c r="AV479" s="129"/>
      <c r="AW479" s="129"/>
      <c r="AX479" s="129"/>
      <c r="AY479" s="129"/>
      <c r="AZ479" s="129"/>
      <c r="BA479" s="129"/>
      <c r="BB479" s="129"/>
      <c r="BC479" s="129"/>
      <c r="BD479" s="129"/>
      <c r="BE479" s="129"/>
      <c r="BF479" s="129"/>
      <c r="BG479" s="129"/>
      <c r="BH479" s="129"/>
      <c r="BI479" s="129"/>
      <c r="BJ479" s="129"/>
      <c r="BK479" s="129"/>
      <c r="BL479" s="129"/>
      <c r="BM479" s="129"/>
      <c r="BN479" s="556"/>
      <c r="BO479" s="556"/>
      <c r="BP479" s="556"/>
      <c r="BQ479" s="76"/>
      <c r="BR479" s="76"/>
      <c r="BS479" s="695" t="s">
        <v>1807</v>
      </c>
      <c r="BT479" s="702"/>
      <c r="BU479" s="702"/>
      <c r="BV479" s="511"/>
      <c r="BW479" s="511"/>
    </row>
    <row r="480" spans="1:75" ht="65.25" customHeight="1" x14ac:dyDescent="0.25">
      <c r="E480" s="507">
        <v>22.5</v>
      </c>
      <c r="F480" s="3" t="str" cm="1">
        <f t="array" aca="1" ref="F480" ca="1">OFFSET(E480,-1,1)</f>
        <v>3</v>
      </c>
      <c r="H480" s="277"/>
      <c r="I480" s="277" t="s">
        <v>1357</v>
      </c>
      <c r="K480" s="277" t="s">
        <v>1357</v>
      </c>
      <c r="L480" s="25"/>
      <c r="M480" s="25"/>
      <c r="Q480" s="72" t="s">
        <v>2324</v>
      </c>
      <c r="R480" s="75" t="s">
        <v>2324</v>
      </c>
      <c r="T480" s="353" t="b" cm="1">
        <f t="array" ref="T480">T479</f>
        <v>1</v>
      </c>
      <c r="X480" s="990"/>
      <c r="Z480" s="967"/>
      <c r="AB480" s="133" t="s">
        <v>1358</v>
      </c>
      <c r="AC480" s="134" t="s">
        <v>1990</v>
      </c>
      <c r="AD480" s="7" t="s">
        <v>828</v>
      </c>
      <c r="AE480" s="128">
        <v>1169.1444333598999</v>
      </c>
      <c r="AF480" s="128">
        <v>1225.2239774124</v>
      </c>
      <c r="AG480" s="128">
        <v>1169.1444333598999</v>
      </c>
      <c r="AH480" s="171">
        <f t="shared" si="135"/>
        <v>-56.079544052500069</v>
      </c>
      <c r="AI480" s="872"/>
      <c r="AJ480" s="444"/>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c r="BF480" s="542"/>
      <c r="BG480" s="542"/>
      <c r="BH480" s="542"/>
      <c r="BI480" s="542"/>
      <c r="BJ480" s="542"/>
      <c r="BK480" s="542"/>
      <c r="BL480" s="542"/>
      <c r="BM480" s="542"/>
      <c r="BN480" s="196"/>
      <c r="BO480" s="196"/>
      <c r="BP480" s="196"/>
      <c r="BS480" s="694" t="s">
        <v>1809</v>
      </c>
    </row>
    <row r="481" spans="1:75" ht="66" customHeight="1" x14ac:dyDescent="0.15">
      <c r="E481" s="507">
        <v>22.5</v>
      </c>
      <c r="F481" s="3" t="str" cm="1">
        <f t="array" aca="1" ref="F481" ca="1">OFFSET(E481,-1,1)</f>
        <v>3</v>
      </c>
      <c r="H481" s="277"/>
      <c r="I481" s="277" t="s">
        <v>1361</v>
      </c>
      <c r="K481" s="277" t="s">
        <v>1361</v>
      </c>
      <c r="L481" s="25"/>
      <c r="M481" s="25"/>
      <c r="Q481" s="72" t="s">
        <v>2324</v>
      </c>
      <c r="R481" s="75" t="s">
        <v>2324</v>
      </c>
      <c r="T481" s="353" t="b" cm="1">
        <f t="array" ref="T481">T480</f>
        <v>1</v>
      </c>
      <c r="X481" s="990"/>
      <c r="Z481" s="967"/>
      <c r="AB481" s="133" t="s">
        <v>1362</v>
      </c>
      <c r="AC481" s="134" t="s">
        <v>1991</v>
      </c>
      <c r="AD481" s="7" t="s">
        <v>828</v>
      </c>
      <c r="AE481" s="128">
        <v>2272.2822043002998</v>
      </c>
      <c r="AF481" s="128">
        <v>3822.4716437775</v>
      </c>
      <c r="AG481" s="128">
        <v>2272.2822043002998</v>
      </c>
      <c r="AH481" s="171">
        <f t="shared" si="135"/>
        <v>-1550.1894394772003</v>
      </c>
      <c r="AI481" s="872"/>
      <c r="AJ481" s="444"/>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196"/>
      <c r="BO481" s="196"/>
      <c r="BP481" s="196"/>
      <c r="BS481" s="696" t="s">
        <v>1992</v>
      </c>
    </row>
    <row r="482" spans="1:75" ht="44.25" customHeight="1" x14ac:dyDescent="0.25">
      <c r="E482" s="507">
        <v>22.5</v>
      </c>
      <c r="F482" s="3" t="str" cm="1">
        <f t="array" aca="1" ref="F482" ca="1">OFFSET(E482,-1,1)</f>
        <v>3</v>
      </c>
      <c r="H482" s="277"/>
      <c r="I482" s="277" t="s">
        <v>1365</v>
      </c>
      <c r="K482" s="277" t="s">
        <v>1365</v>
      </c>
      <c r="L482" s="25" t="s">
        <v>503</v>
      </c>
      <c r="M482" s="25"/>
      <c r="Q482" s="72" t="s">
        <v>2324</v>
      </c>
      <c r="R482" s="75" t="s">
        <v>2324</v>
      </c>
      <c r="T482" s="353" t="b" cm="1">
        <f t="array" ref="T482">T481</f>
        <v>1</v>
      </c>
      <c r="X482" s="990"/>
      <c r="Z482" s="967"/>
      <c r="AB482" s="133" t="s">
        <v>1366</v>
      </c>
      <c r="AC482" s="134" t="s">
        <v>1993</v>
      </c>
      <c r="AD482" s="7" t="s">
        <v>828</v>
      </c>
      <c r="AE482" s="128">
        <v>0</v>
      </c>
      <c r="AF482" s="128"/>
      <c r="AG482" s="128"/>
      <c r="AH482" s="171">
        <f t="shared" si="135"/>
        <v>0</v>
      </c>
      <c r="AI482" s="872"/>
      <c r="AJ482" s="444"/>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196"/>
      <c r="BO482" s="196"/>
      <c r="BP482" s="196"/>
      <c r="BS482" s="694" t="s">
        <v>1811</v>
      </c>
    </row>
    <row r="483" spans="1:75" ht="23.25" customHeight="1" x14ac:dyDescent="0.25">
      <c r="E483" s="507">
        <v>15</v>
      </c>
      <c r="F483" s="3" t="str" cm="1">
        <f t="array" aca="1" ref="F483" ca="1">OFFSET(E483,-1,1)</f>
        <v>3</v>
      </c>
      <c r="G483" s="2" t="s">
        <v>1177</v>
      </c>
      <c r="H483" s="277"/>
      <c r="I483" s="277" t="s">
        <v>1994</v>
      </c>
      <c r="K483" s="277" t="s">
        <v>1994</v>
      </c>
      <c r="L483" s="25" t="s">
        <v>1812</v>
      </c>
      <c r="M483" s="25"/>
      <c r="Q483" s="72" t="s">
        <v>2324</v>
      </c>
      <c r="R483" s="75" t="s">
        <v>2324</v>
      </c>
      <c r="T483" s="353" t="b" cm="1">
        <f t="array" ref="T483">T482</f>
        <v>1</v>
      </c>
      <c r="X483" s="990"/>
      <c r="Z483" s="967"/>
      <c r="AB483" s="133" t="s">
        <v>1995</v>
      </c>
      <c r="AC483" s="543" t="s">
        <v>1813</v>
      </c>
      <c r="AD483" s="7" t="s">
        <v>828</v>
      </c>
      <c r="AE483" s="128">
        <v>0</v>
      </c>
      <c r="AF483" s="128"/>
      <c r="AG483" s="128"/>
      <c r="AH483" s="171">
        <f t="shared" si="135"/>
        <v>0</v>
      </c>
      <c r="AI483" s="872"/>
      <c r="AJ483" s="444"/>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c r="BF483" s="542"/>
      <c r="BG483" s="542"/>
      <c r="BH483" s="542"/>
      <c r="BI483" s="542"/>
      <c r="BJ483" s="542"/>
      <c r="BK483" s="542"/>
      <c r="BL483" s="542"/>
      <c r="BM483" s="542"/>
      <c r="BN483" s="196"/>
      <c r="BO483" s="601" t="str">
        <f ca="1">IF(IFERROR(INDEX(ФОТ!$K$26:$L$127,MATCH($F483&amp;"3komm",ФОТ!$K$26:$K$127,0),2),"")=0,"",IFERROR(INDEX(ФОТ!$K$26:$L$127,MATCH($F483&amp;"3komm",ФОТ!$K$26:$K$127,0),2),""))</f>
        <v/>
      </c>
      <c r="BP483" s="196"/>
      <c r="BS483" s="694" t="s">
        <v>1814</v>
      </c>
    </row>
    <row r="484" spans="1:75" ht="21.75" customHeight="1" x14ac:dyDescent="0.25">
      <c r="E484" s="507">
        <v>22.5</v>
      </c>
      <c r="F484" s="3" t="str" cm="1">
        <f t="array" aca="1" ref="F484" ca="1">OFFSET(E484,-1,1)</f>
        <v>3</v>
      </c>
      <c r="G484" s="2" t="s">
        <v>1182</v>
      </c>
      <c r="H484" s="277"/>
      <c r="I484" s="277" t="s">
        <v>1996</v>
      </c>
      <c r="K484" s="277" t="s">
        <v>1996</v>
      </c>
      <c r="L484" s="25" t="s">
        <v>1815</v>
      </c>
      <c r="M484" s="25"/>
      <c r="Q484" s="72" t="s">
        <v>2324</v>
      </c>
      <c r="R484" s="75" t="s">
        <v>2324</v>
      </c>
      <c r="T484" s="353" t="b" cm="1">
        <f t="array" ref="T484">T483</f>
        <v>1</v>
      </c>
      <c r="X484" s="990"/>
      <c r="Z484" s="967"/>
      <c r="AB484" s="133" t="s">
        <v>1997</v>
      </c>
      <c r="AC484" s="543" t="s">
        <v>1998</v>
      </c>
      <c r="AD484" s="7" t="s">
        <v>828</v>
      </c>
      <c r="AE484" s="128">
        <f ca="1">AE483*SUMIFS(INDEX(Сценарии!$AE$25:$BF$136,,MATCH(AE$8,Сценарии!$AE$8:$BF$8,0)),Сценарии!$F$25:$F$136,$F484,Сценарии!$G$25:$G$136,"СВФОТ")/100</f>
        <v>0</v>
      </c>
      <c r="AF484" s="128">
        <f ca="1">AF483*SUMIFS(INDEX(Сценарии!$AE$25:$BF$136,,MATCH(AF$8,Сценарии!$AE$8:$BF$8,0)),Сценарии!$F$25:$F$136,$F484,Сценарии!$G$25:$G$136,"СВФОТ")/100</f>
        <v>0</v>
      </c>
      <c r="AG484" s="128">
        <f ca="1">AG483*SUMIFS(INDEX(Сценарии!$AE$25:$BF$136,,MATCH(AG$8,Сценарии!$AE$8:$BF$8,0)),Сценарии!$F$25:$F$136,$F484,Сценарии!$G$25:$G$136,"СВФОТ")/100</f>
        <v>0</v>
      </c>
      <c r="AH484" s="171">
        <f t="shared" ca="1" si="135"/>
        <v>0</v>
      </c>
      <c r="AI484" s="872">
        <f ca="1">AI483*SUMIFS(INDEX(Сценарии!$AE$25:$BF$136,,MATCH(AG$8,Сценарии!$AE$8:$BF$8,0)),Сценарии!$F$25:$F$136,$F484,Сценарии!$G$25:$G$136,"СВФОТ")/100</f>
        <v>0</v>
      </c>
      <c r="AJ484" s="444"/>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c r="BF484" s="542"/>
      <c r="BG484" s="542"/>
      <c r="BH484" s="542"/>
      <c r="BI484" s="542"/>
      <c r="BJ484" s="542"/>
      <c r="BK484" s="542"/>
      <c r="BL484" s="542"/>
      <c r="BM484" s="542"/>
      <c r="BN484" s="196"/>
      <c r="BO484" s="601" t="str">
        <f ca="1">IF(IFERROR(INDEX(ФОТ!$K$26:$L$127,MATCH($F484&amp;"4komm",ФОТ!$K$26:$K$127,0),2),"")=0,"",IFERROR(INDEX(ФОТ!$K$26:$L$127,MATCH($F484&amp;"4komm",ФОТ!$K$26:$K$127,0),2),""))</f>
        <v/>
      </c>
      <c r="BP484" s="196"/>
      <c r="BS484" s="694" t="s">
        <v>1817</v>
      </c>
    </row>
    <row r="485" spans="1:75" s="870" customFormat="1" ht="20.25" customHeight="1" x14ac:dyDescent="0.25">
      <c r="A485" s="76"/>
      <c r="B485" s="332"/>
      <c r="C485" s="76"/>
      <c r="D485" s="76"/>
      <c r="E485" s="511">
        <v>21</v>
      </c>
      <c r="F485" s="3" t="str" cm="1">
        <f t="array" aca="1" ref="F485" ca="1">OFFSET(E485,-1,1)</f>
        <v>3</v>
      </c>
      <c r="G485" s="76"/>
      <c r="H485" s="277"/>
      <c r="I485" s="277" t="s">
        <v>493</v>
      </c>
      <c r="J485" s="76"/>
      <c r="K485" s="277" t="s">
        <v>493</v>
      </c>
      <c r="L485" s="27" t="s">
        <v>333</v>
      </c>
      <c r="M485" s="27"/>
      <c r="N485" s="76"/>
      <c r="O485" s="76"/>
      <c r="P485" s="76"/>
      <c r="Q485" s="72" t="s">
        <v>2324</v>
      </c>
      <c r="R485" s="75" t="s">
        <v>2324</v>
      </c>
      <c r="S485" s="76"/>
      <c r="T485" s="353" t="b" cm="1">
        <f t="array" ref="T485">T484</f>
        <v>1</v>
      </c>
      <c r="U485" s="76"/>
      <c r="V485" s="76"/>
      <c r="W485" s="76"/>
      <c r="X485" s="990"/>
      <c r="Y485" s="76"/>
      <c r="Z485" s="967"/>
      <c r="AA485" s="76"/>
      <c r="AB485" s="131" t="s">
        <v>948</v>
      </c>
      <c r="AC485" s="263" t="s">
        <v>1999</v>
      </c>
      <c r="AD485" s="124" t="s">
        <v>828</v>
      </c>
      <c r="AE485" s="126">
        <f ca="1">AE486+AE494+AE497+AE498+AE499+AE500+AE501</f>
        <v>0</v>
      </c>
      <c r="AF485" s="126">
        <f ca="1">AF486+AF494+AF497+AF498+AF499+AF500+AF501</f>
        <v>0</v>
      </c>
      <c r="AG485" s="126">
        <f ca="1">AG486+AG494+AG497+AG498+AG499+AG500+AG501</f>
        <v>0</v>
      </c>
      <c r="AH485" s="126">
        <f t="shared" ca="1" si="135"/>
        <v>0</v>
      </c>
      <c r="AI485" s="871">
        <f ca="1">AI486+AI494+AI497+AI498+AI499+AI500+AI501</f>
        <v>0</v>
      </c>
      <c r="AJ485" s="444"/>
      <c r="AK485" s="129"/>
      <c r="AL485" s="129"/>
      <c r="AM485" s="129"/>
      <c r="AN485" s="129"/>
      <c r="AO485" s="129"/>
      <c r="AP485" s="129"/>
      <c r="AQ485" s="129"/>
      <c r="AR485" s="129"/>
      <c r="AS485" s="129"/>
      <c r="AT485" s="129"/>
      <c r="AU485" s="129"/>
      <c r="AV485" s="129"/>
      <c r="AW485" s="129"/>
      <c r="AX485" s="129"/>
      <c r="AY485" s="129"/>
      <c r="AZ485" s="129"/>
      <c r="BA485" s="129"/>
      <c r="BB485" s="129"/>
      <c r="BC485" s="129"/>
      <c r="BD485" s="129"/>
      <c r="BE485" s="129"/>
      <c r="BF485" s="129"/>
      <c r="BG485" s="129"/>
      <c r="BH485" s="129"/>
      <c r="BI485" s="129"/>
      <c r="BJ485" s="129"/>
      <c r="BK485" s="129"/>
      <c r="BL485" s="129"/>
      <c r="BM485" s="129"/>
      <c r="BN485" s="556"/>
      <c r="BO485" s="556"/>
      <c r="BP485" s="556"/>
      <c r="BQ485" s="76"/>
      <c r="BR485" s="76"/>
      <c r="BS485" s="695" t="s">
        <v>1819</v>
      </c>
      <c r="BT485" s="702"/>
      <c r="BU485" s="702"/>
      <c r="BV485" s="511"/>
      <c r="BW485" s="511"/>
    </row>
    <row r="486" spans="1:75" ht="21.75" customHeight="1" x14ac:dyDescent="0.25">
      <c r="E486" s="507">
        <v>22.5</v>
      </c>
      <c r="F486" s="3" t="str" cm="1">
        <f t="array" aca="1" ref="F486" ca="1">OFFSET(E486,-1,1)</f>
        <v>3</v>
      </c>
      <c r="G486" s="72" t="s">
        <v>1203</v>
      </c>
      <c r="H486" s="277"/>
      <c r="I486" s="277" t="s">
        <v>1371</v>
      </c>
      <c r="K486" s="277" t="s">
        <v>1371</v>
      </c>
      <c r="L486" s="25" t="s">
        <v>969</v>
      </c>
      <c r="M486" s="25"/>
      <c r="Q486" s="72" t="s">
        <v>2324</v>
      </c>
      <c r="R486" s="75" t="s">
        <v>2324</v>
      </c>
      <c r="T486" s="353" t="b" cm="1">
        <f t="array" ref="T486">T485</f>
        <v>1</v>
      </c>
      <c r="X486" s="990"/>
      <c r="Z486" s="967"/>
      <c r="AB486" s="133" t="s">
        <v>1087</v>
      </c>
      <c r="AC486" s="134" t="s">
        <v>2000</v>
      </c>
      <c r="AD486" s="7" t="s">
        <v>828</v>
      </c>
      <c r="AE486" s="171">
        <f>SUM(AE487:AE493)</f>
        <v>0</v>
      </c>
      <c r="AF486" s="171">
        <f>SUM(AF487:AF493)</f>
        <v>0</v>
      </c>
      <c r="AG486" s="171">
        <f>SUM(AG487:AG493)</f>
        <v>0</v>
      </c>
      <c r="AH486" s="171">
        <f t="shared" si="135"/>
        <v>0</v>
      </c>
      <c r="AI486" s="872">
        <f>SUM(AI487:AI493)</f>
        <v>0</v>
      </c>
      <c r="AJ486" s="444"/>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c r="BF486" s="542"/>
      <c r="BG486" s="542"/>
      <c r="BH486" s="542"/>
      <c r="BI486" s="542"/>
      <c r="BJ486" s="542"/>
      <c r="BK486" s="542"/>
      <c r="BL486" s="542"/>
      <c r="BM486" s="542"/>
      <c r="BN486" s="196"/>
      <c r="BO486" s="601" t="str">
        <f ca="1">IF(IFERROR(INDEX(Административные!$K$26:$L$103,MATCH($F486&amp;"17komm",Административные!$K$26:$K$103,0),2),"")=0,"",IFERROR(INDEX(Административные!$K$26:$L$103,MATCH($F486&amp;"17komm",Административные!$K$26:$K$103,0),2),""))</f>
        <v/>
      </c>
      <c r="BP486" s="196"/>
      <c r="BS486" s="694" t="s">
        <v>1205</v>
      </c>
    </row>
    <row r="487" spans="1:75" ht="14.65" customHeight="1" x14ac:dyDescent="0.15">
      <c r="E487" s="507">
        <v>15</v>
      </c>
      <c r="F487" s="3" t="str" cm="1">
        <f t="array" aca="1" ref="F487" ca="1">OFFSET(E487,-1,1)</f>
        <v>3</v>
      </c>
      <c r="G487" s="72" t="s">
        <v>1206</v>
      </c>
      <c r="H487" s="277"/>
      <c r="I487" s="277" t="s">
        <v>2001</v>
      </c>
      <c r="K487" s="277" t="s">
        <v>2001</v>
      </c>
      <c r="L487" s="25"/>
      <c r="M487" s="25"/>
      <c r="Q487" s="72" t="s">
        <v>2324</v>
      </c>
      <c r="R487" s="75" t="s">
        <v>2324</v>
      </c>
      <c r="T487" s="353" t="b" cm="1">
        <f t="array" ref="T487">T486</f>
        <v>1</v>
      </c>
      <c r="X487" s="990"/>
      <c r="Z487" s="967"/>
      <c r="AB487" s="133" t="s">
        <v>2002</v>
      </c>
      <c r="AC487" s="543" t="s">
        <v>1207</v>
      </c>
      <c r="AD487" s="7" t="s">
        <v>828</v>
      </c>
      <c r="AE487" s="128">
        <v>0</v>
      </c>
      <c r="AF487" s="128"/>
      <c r="AG487" s="128"/>
      <c r="AH487" s="171">
        <f t="shared" si="135"/>
        <v>0</v>
      </c>
      <c r="AI487" s="872"/>
      <c r="AJ487" s="444"/>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c r="BG487" s="542"/>
      <c r="BH487" s="542"/>
      <c r="BI487" s="542"/>
      <c r="BJ487" s="542"/>
      <c r="BK487" s="542"/>
      <c r="BL487" s="542"/>
      <c r="BM487" s="542"/>
      <c r="BN487" s="196"/>
      <c r="BO487" s="601" t="str">
        <f ca="1">IF(IFERROR(INDEX(Административные!$K$26:$L$103,MATCH($F487&amp;"18komm",Административные!$K$26:$K$103,0),2),"")=0,"",IFERROR(INDEX(Административные!$K$26:$L$103,MATCH($F487&amp;"18komm",Административные!$K$26:$K$103,0),2),""))</f>
        <v/>
      </c>
      <c r="BP487" s="196"/>
      <c r="BS487" s="696" t="s">
        <v>1208</v>
      </c>
    </row>
    <row r="488" spans="1:75" ht="14.65" customHeight="1" x14ac:dyDescent="0.15">
      <c r="E488" s="507">
        <v>15</v>
      </c>
      <c r="F488" s="3" t="str" cm="1">
        <f t="array" aca="1" ref="F488" ca="1">OFFSET(E488,-1,1)</f>
        <v>3</v>
      </c>
      <c r="G488" s="72" t="s">
        <v>1209</v>
      </c>
      <c r="H488" s="277"/>
      <c r="I488" s="277" t="s">
        <v>2003</v>
      </c>
      <c r="K488" s="277" t="s">
        <v>2003</v>
      </c>
      <c r="L488" s="25"/>
      <c r="M488" s="25"/>
      <c r="Q488" s="72" t="s">
        <v>2324</v>
      </c>
      <c r="R488" s="75" t="s">
        <v>2324</v>
      </c>
      <c r="T488" s="353" t="b" cm="1">
        <f t="array" ref="T488">T487</f>
        <v>1</v>
      </c>
      <c r="X488" s="990"/>
      <c r="Z488" s="967"/>
      <c r="AB488" s="133" t="s">
        <v>2004</v>
      </c>
      <c r="AC488" s="543" t="s">
        <v>1210</v>
      </c>
      <c r="AD488" s="7" t="s">
        <v>828</v>
      </c>
      <c r="AE488" s="128">
        <v>0</v>
      </c>
      <c r="AF488" s="128"/>
      <c r="AG488" s="128"/>
      <c r="AH488" s="171">
        <f t="shared" si="135"/>
        <v>0</v>
      </c>
      <c r="AI488" s="872"/>
      <c r="AJ488" s="444"/>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196"/>
      <c r="BO488" s="601" t="str">
        <f ca="1">IF(IFERROR(INDEX(Административные!$K$26:$L$103,MATCH($F488&amp;"11komm",Административные!$K$26:$K$103,0),2),"")=0,"",IFERROR(INDEX(Административные!$K$26:$L$103,MATCH($F488&amp;"11komm",Административные!$K$26:$K$103,0),2),""))</f>
        <v/>
      </c>
      <c r="BP488" s="196"/>
      <c r="BS488" s="696" t="s">
        <v>1211</v>
      </c>
    </row>
    <row r="489" spans="1:75" ht="14.65" customHeight="1" x14ac:dyDescent="0.15">
      <c r="E489" s="507">
        <v>15</v>
      </c>
      <c r="F489" s="3" t="str" cm="1">
        <f t="array" aca="1" ref="F489" ca="1">OFFSET(E489,-1,1)</f>
        <v>3</v>
      </c>
      <c r="G489" s="72" t="s">
        <v>1212</v>
      </c>
      <c r="H489" s="277"/>
      <c r="I489" s="277" t="s">
        <v>2005</v>
      </c>
      <c r="K489" s="277" t="s">
        <v>2005</v>
      </c>
      <c r="L489" s="25"/>
      <c r="M489" s="25"/>
      <c r="Q489" s="72" t="s">
        <v>2324</v>
      </c>
      <c r="R489" s="75" t="s">
        <v>2324</v>
      </c>
      <c r="T489" s="353" t="b" cm="1">
        <f t="array" ref="T489">T488</f>
        <v>1</v>
      </c>
      <c r="X489" s="990"/>
      <c r="Z489" s="967"/>
      <c r="AB489" s="133" t="s">
        <v>2006</v>
      </c>
      <c r="AC489" s="543" t="s">
        <v>1213</v>
      </c>
      <c r="AD489" s="7" t="s">
        <v>828</v>
      </c>
      <c r="AE489" s="128">
        <v>0</v>
      </c>
      <c r="AF489" s="128"/>
      <c r="AG489" s="128"/>
      <c r="AH489" s="171">
        <f t="shared" si="135"/>
        <v>0</v>
      </c>
      <c r="AI489" s="872"/>
      <c r="AJ489" s="444"/>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196"/>
      <c r="BO489" s="601" t="str">
        <f ca="1">IF(IFERROR(INDEX(Административные!$K$26:$L$103,MATCH($F489&amp;"12komm",Административные!$K$26:$K$103,0),2),"")=0,"",IFERROR(INDEX(Административные!$K$26:$L$103,MATCH($F489&amp;"12komm",Административные!$K$26:$K$103,0),2),""))</f>
        <v/>
      </c>
      <c r="BP489" s="196"/>
      <c r="BS489" s="696" t="s">
        <v>1214</v>
      </c>
    </row>
    <row r="490" spans="1:75" ht="14.65" customHeight="1" x14ac:dyDescent="0.15">
      <c r="E490" s="507">
        <v>15</v>
      </c>
      <c r="F490" s="3" t="str" cm="1">
        <f t="array" aca="1" ref="F490" ca="1">OFFSET(E490,-1,1)</f>
        <v>3</v>
      </c>
      <c r="G490" s="72" t="s">
        <v>1215</v>
      </c>
      <c r="H490" s="277"/>
      <c r="I490" s="277" t="s">
        <v>2007</v>
      </c>
      <c r="K490" s="277" t="s">
        <v>2007</v>
      </c>
      <c r="L490" s="25"/>
      <c r="M490" s="25"/>
      <c r="Q490" s="72" t="s">
        <v>2324</v>
      </c>
      <c r="R490" s="75" t="s">
        <v>2324</v>
      </c>
      <c r="T490" s="353" t="b" cm="1">
        <f t="array" ref="T490">T489</f>
        <v>1</v>
      </c>
      <c r="X490" s="990"/>
      <c r="Z490" s="967"/>
      <c r="AB490" s="133" t="s">
        <v>2008</v>
      </c>
      <c r="AC490" s="543" t="s">
        <v>1216</v>
      </c>
      <c r="AD490" s="7" t="s">
        <v>828</v>
      </c>
      <c r="AE490" s="128">
        <v>0</v>
      </c>
      <c r="AF490" s="128"/>
      <c r="AG490" s="128"/>
      <c r="AH490" s="171">
        <f t="shared" si="135"/>
        <v>0</v>
      </c>
      <c r="AI490" s="872"/>
      <c r="AJ490" s="444"/>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c r="BF490" s="542"/>
      <c r="BG490" s="542"/>
      <c r="BH490" s="542"/>
      <c r="BI490" s="542"/>
      <c r="BJ490" s="542"/>
      <c r="BK490" s="542"/>
      <c r="BL490" s="542"/>
      <c r="BM490" s="542"/>
      <c r="BN490" s="196"/>
      <c r="BO490" s="601" t="str">
        <f ca="1">IF(IFERROR(INDEX(Административные!$K$26:$L$103,MATCH($F490&amp;"13komm",Административные!$K$26:$K$103,0),2),"")=0,"",IFERROR(INDEX(Административные!$K$26:$L$103,MATCH($F490&amp;"13komm",Административные!$K$26:$K$103,0),2),""))</f>
        <v/>
      </c>
      <c r="BP490" s="196"/>
      <c r="BS490" s="696" t="s">
        <v>1217</v>
      </c>
    </row>
    <row r="491" spans="1:75" ht="23.25" customHeight="1" x14ac:dyDescent="0.15">
      <c r="E491" s="507">
        <v>15</v>
      </c>
      <c r="F491" s="3" t="str" cm="1">
        <f t="array" aca="1" ref="F491" ca="1">OFFSET(E491,-1,1)</f>
        <v>3</v>
      </c>
      <c r="G491" s="72" t="s">
        <v>1218</v>
      </c>
      <c r="H491" s="277"/>
      <c r="I491" s="277" t="s">
        <v>2009</v>
      </c>
      <c r="K491" s="277" t="s">
        <v>2009</v>
      </c>
      <c r="L491" s="25"/>
      <c r="M491" s="25"/>
      <c r="Q491" s="72" t="s">
        <v>2324</v>
      </c>
      <c r="R491" s="75" t="s">
        <v>2324</v>
      </c>
      <c r="T491" s="353" t="b" cm="1">
        <f t="array" ref="T491">T490</f>
        <v>1</v>
      </c>
      <c r="X491" s="990"/>
      <c r="Z491" s="967"/>
      <c r="AB491" s="133" t="s">
        <v>2010</v>
      </c>
      <c r="AC491" s="543" t="s">
        <v>1219</v>
      </c>
      <c r="AD491" s="7" t="s">
        <v>828</v>
      </c>
      <c r="AE491" s="128">
        <v>0</v>
      </c>
      <c r="AF491" s="128"/>
      <c r="AG491" s="128"/>
      <c r="AH491" s="171">
        <f t="shared" si="135"/>
        <v>0</v>
      </c>
      <c r="AI491" s="872"/>
      <c r="AJ491" s="444"/>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c r="BF491" s="542"/>
      <c r="BG491" s="542"/>
      <c r="BH491" s="542"/>
      <c r="BI491" s="542"/>
      <c r="BJ491" s="542"/>
      <c r="BK491" s="542"/>
      <c r="BL491" s="542"/>
      <c r="BM491" s="542"/>
      <c r="BN491" s="196"/>
      <c r="BO491" s="601" t="str">
        <f ca="1">IF(IFERROR(INDEX(Административные!$K$26:$L$103,MATCH($F491&amp;"14komm",Административные!$K$26:$K$103,0),2),"")=0,"",IFERROR(INDEX(Административные!$K$26:$L$103,MATCH($F491&amp;"14komm",Административные!$K$26:$K$103,0),2),""))</f>
        <v/>
      </c>
      <c r="BP491" s="196"/>
      <c r="BS491" s="696" t="s">
        <v>2011</v>
      </c>
    </row>
    <row r="492" spans="1:75" ht="14.65" customHeight="1" x14ac:dyDescent="0.15">
      <c r="E492" s="507">
        <v>15</v>
      </c>
      <c r="F492" s="3" t="str" cm="1">
        <f t="array" aca="1" ref="F492" ca="1">OFFSET(E492,-1,1)</f>
        <v>3</v>
      </c>
      <c r="G492" s="72" t="s">
        <v>1221</v>
      </c>
      <c r="H492" s="277"/>
      <c r="I492" s="277" t="s">
        <v>2012</v>
      </c>
      <c r="K492" s="277" t="s">
        <v>2012</v>
      </c>
      <c r="L492" s="25"/>
      <c r="M492" s="25"/>
      <c r="Q492" s="72" t="s">
        <v>2324</v>
      </c>
      <c r="R492" s="75" t="s">
        <v>2324</v>
      </c>
      <c r="T492" s="353" t="b" cm="1">
        <f t="array" ref="T492">T491</f>
        <v>1</v>
      </c>
      <c r="X492" s="990"/>
      <c r="Z492" s="967"/>
      <c r="AB492" s="133" t="s">
        <v>2013</v>
      </c>
      <c r="AC492" s="543" t="s">
        <v>1224</v>
      </c>
      <c r="AD492" s="7" t="s">
        <v>828</v>
      </c>
      <c r="AE492" s="128">
        <v>0</v>
      </c>
      <c r="AF492" s="128"/>
      <c r="AG492" s="128"/>
      <c r="AH492" s="171">
        <f t="shared" ref="AH492:AH523" si="139">AG492-AF492</f>
        <v>0</v>
      </c>
      <c r="AI492" s="872"/>
      <c r="AJ492" s="444"/>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c r="BF492" s="542"/>
      <c r="BG492" s="542"/>
      <c r="BH492" s="542"/>
      <c r="BI492" s="542"/>
      <c r="BJ492" s="542"/>
      <c r="BK492" s="542"/>
      <c r="BL492" s="542"/>
      <c r="BM492" s="542"/>
      <c r="BN492" s="196"/>
      <c r="BO492" s="601" t="str">
        <f ca="1">IF(IFERROR(INDEX(Административные!$K$26:$L$103,MATCH($F492&amp;"15komm",Административные!$K$26:$K$103,0),2),"")=0,"",IFERROR(INDEX(Административные!$K$26:$L$103,MATCH($F492&amp;"15komm",Административные!$K$26:$K$103,0),2),""))</f>
        <v/>
      </c>
      <c r="BP492" s="196"/>
      <c r="BS492" s="696" t="s">
        <v>1225</v>
      </c>
    </row>
    <row r="493" spans="1:75" ht="14.65" customHeight="1" x14ac:dyDescent="0.15">
      <c r="E493" s="507">
        <v>15</v>
      </c>
      <c r="F493" s="3" t="str" cm="1">
        <f t="array" aca="1" ref="F493" ca="1">OFFSET(E493,-1,1)</f>
        <v>3</v>
      </c>
      <c r="G493" s="72" t="s">
        <v>1226</v>
      </c>
      <c r="H493" s="277"/>
      <c r="I493" s="277" t="s">
        <v>2014</v>
      </c>
      <c r="K493" s="277" t="s">
        <v>2014</v>
      </c>
      <c r="L493" s="25"/>
      <c r="M493" s="25"/>
      <c r="Q493" s="72" t="s">
        <v>2324</v>
      </c>
      <c r="R493" s="75" t="s">
        <v>2324</v>
      </c>
      <c r="T493" s="353" t="b" cm="1">
        <f t="array" ref="T493">T492</f>
        <v>1</v>
      </c>
      <c r="X493" s="990"/>
      <c r="Z493" s="967"/>
      <c r="AB493" s="133" t="s">
        <v>2015</v>
      </c>
      <c r="AC493" s="543" t="s">
        <v>1229</v>
      </c>
      <c r="AD493" s="7" t="s">
        <v>828</v>
      </c>
      <c r="AE493" s="128">
        <v>0</v>
      </c>
      <c r="AF493" s="128"/>
      <c r="AG493" s="128"/>
      <c r="AH493" s="171">
        <f t="shared" si="139"/>
        <v>0</v>
      </c>
      <c r="AI493" s="872"/>
      <c r="AJ493" s="444"/>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c r="BG493" s="542"/>
      <c r="BH493" s="542"/>
      <c r="BI493" s="542"/>
      <c r="BJ493" s="542"/>
      <c r="BK493" s="542"/>
      <c r="BL493" s="542"/>
      <c r="BM493" s="542"/>
      <c r="BN493" s="196"/>
      <c r="BO493" s="601" t="str">
        <f ca="1">IF(IFERROR(INDEX(Административные!$K$26:$L$103,MATCH($F493&amp;"16komm",Административные!$K$26:$K$103,0),2),"")=0,"",IFERROR(INDEX(Административные!$K$26:$L$103,MATCH($F493&amp;"16komm",Административные!$K$26:$K$103,0),2),""))</f>
        <v/>
      </c>
      <c r="BP493" s="196"/>
      <c r="BS493" s="696" t="s">
        <v>2016</v>
      </c>
    </row>
    <row r="494" spans="1:75" ht="21.75" customHeight="1" x14ac:dyDescent="0.25">
      <c r="E494" s="507">
        <v>22.5</v>
      </c>
      <c r="F494" s="3" t="str" cm="1">
        <f t="array" aca="1" ref="F494" ca="1">OFFSET(E494,-1,1)</f>
        <v>3</v>
      </c>
      <c r="H494" s="277"/>
      <c r="I494" s="277" t="s">
        <v>1372</v>
      </c>
      <c r="K494" s="277" t="s">
        <v>1372</v>
      </c>
      <c r="L494" s="25" t="s">
        <v>971</v>
      </c>
      <c r="M494" s="25"/>
      <c r="Q494" s="72" t="s">
        <v>2324</v>
      </c>
      <c r="R494" s="75" t="s">
        <v>2324</v>
      </c>
      <c r="T494" s="353" t="b" cm="1">
        <f t="array" ref="T494">T493</f>
        <v>1</v>
      </c>
      <c r="X494" s="990"/>
      <c r="Z494" s="967"/>
      <c r="AB494" s="133" t="s">
        <v>1090</v>
      </c>
      <c r="AC494" s="134" t="s">
        <v>2017</v>
      </c>
      <c r="AD494" s="7" t="s">
        <v>828</v>
      </c>
      <c r="AE494" s="171">
        <f ca="1">AE495+AE496</f>
        <v>0</v>
      </c>
      <c r="AF494" s="171">
        <f ca="1">AF495+AF496</f>
        <v>0</v>
      </c>
      <c r="AG494" s="171">
        <f ca="1">AG495+AG496</f>
        <v>0</v>
      </c>
      <c r="AH494" s="171">
        <f t="shared" ca="1" si="139"/>
        <v>0</v>
      </c>
      <c r="AI494" s="872">
        <f ca="1">AI495+AI496</f>
        <v>0</v>
      </c>
      <c r="AJ494" s="444"/>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c r="BF494" s="542"/>
      <c r="BG494" s="542"/>
      <c r="BH494" s="542"/>
      <c r="BI494" s="542"/>
      <c r="BJ494" s="542"/>
      <c r="BK494" s="542"/>
      <c r="BL494" s="542"/>
      <c r="BM494" s="542"/>
      <c r="BN494" s="196"/>
      <c r="BO494" s="196"/>
      <c r="BP494" s="196"/>
      <c r="BS494" s="694" t="s">
        <v>1822</v>
      </c>
    </row>
    <row r="495" spans="1:75" ht="23.25" customHeight="1" x14ac:dyDescent="0.25">
      <c r="E495" s="507">
        <v>15</v>
      </c>
      <c r="F495" s="3" t="str" cm="1">
        <f t="array" aca="1" ref="F495" ca="1">OFFSET(E495,-1,1)</f>
        <v>3</v>
      </c>
      <c r="G495" s="72" t="s">
        <v>1185</v>
      </c>
      <c r="H495" s="277"/>
      <c r="I495" s="277" t="s">
        <v>2018</v>
      </c>
      <c r="K495" s="277" t="s">
        <v>2018</v>
      </c>
      <c r="L495" s="25" t="s">
        <v>518</v>
      </c>
      <c r="M495" s="25"/>
      <c r="Q495" s="72" t="s">
        <v>2324</v>
      </c>
      <c r="R495" s="75" t="s">
        <v>2324</v>
      </c>
      <c r="T495" s="353" t="b" cm="1">
        <f t="array" ref="T495">T494</f>
        <v>1</v>
      </c>
      <c r="X495" s="990"/>
      <c r="Z495" s="967"/>
      <c r="AB495" s="133" t="s">
        <v>2019</v>
      </c>
      <c r="AC495" s="543" t="s">
        <v>1823</v>
      </c>
      <c r="AD495" s="545" t="s">
        <v>828</v>
      </c>
      <c r="AE495" s="128">
        <v>0</v>
      </c>
      <c r="AF495" s="128"/>
      <c r="AG495" s="128"/>
      <c r="AH495" s="171">
        <f t="shared" si="139"/>
        <v>0</v>
      </c>
      <c r="AI495" s="872"/>
      <c r="AJ495" s="444"/>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196"/>
      <c r="BO495" s="601" t="str">
        <f ca="1">IF(IFERROR(INDEX(ФОТ!$K$26:$L$127,MATCH($F495&amp;"5komm",ФОТ!$K$26:$K$127,0),2),"")=0,"",IFERROR(INDEX(ФОТ!$K$26:$L$127,MATCH($F495&amp;"5komm",ФОТ!$K$26:$K$127,0),2),""))</f>
        <v/>
      </c>
      <c r="BP495" s="196"/>
      <c r="BS495" s="694" t="s">
        <v>1202</v>
      </c>
    </row>
    <row r="496" spans="1:75" ht="21.75" customHeight="1" x14ac:dyDescent="0.25">
      <c r="E496" s="507">
        <v>22.5</v>
      </c>
      <c r="F496" s="3" t="str" cm="1">
        <f t="array" aca="1" ref="F496" ca="1">OFFSET(E496,-1,1)</f>
        <v>3</v>
      </c>
      <c r="G496" s="72" t="s">
        <v>1190</v>
      </c>
      <c r="H496" s="277"/>
      <c r="I496" s="277" t="s">
        <v>2020</v>
      </c>
      <c r="K496" s="277" t="s">
        <v>2020</v>
      </c>
      <c r="L496" s="25" t="s">
        <v>523</v>
      </c>
      <c r="M496" s="25"/>
      <c r="Q496" s="72" t="s">
        <v>2324</v>
      </c>
      <c r="R496" s="75" t="s">
        <v>2324</v>
      </c>
      <c r="T496" s="353" t="b" cm="1">
        <f t="array" ref="T496">T495</f>
        <v>1</v>
      </c>
      <c r="X496" s="990"/>
      <c r="Z496" s="967"/>
      <c r="AB496" s="133" t="s">
        <v>2021</v>
      </c>
      <c r="AC496" s="543" t="s">
        <v>2022</v>
      </c>
      <c r="AD496" s="7" t="s">
        <v>828</v>
      </c>
      <c r="AE496" s="128">
        <f ca="1">AE495*SUMIFS(INDEX(Сценарии!$AE$25:$BF$136,,MATCH(AE$8,Сценарии!$AE$8:$BF$8,0)),Сценарии!$F$25:$F$136,$F496,Сценарии!$G$25:$G$136,"СВФОТ")/100</f>
        <v>0</v>
      </c>
      <c r="AF496" s="128">
        <f ca="1">AF495*SUMIFS(INDEX(Сценарии!$AE$25:$BF$136,,MATCH(AF$8,Сценарии!$AE$8:$BF$8,0)),Сценарии!$F$25:$F$136,$F496,Сценарии!$G$25:$G$136,"СВФОТ")/100</f>
        <v>0</v>
      </c>
      <c r="AG496" s="128">
        <f ca="1">AG495*SUMIFS(INDEX(Сценарии!$AE$25:$BF$136,,MATCH(AG$8,Сценарии!$AE$8:$BF$8,0)),Сценарии!$F$25:$F$136,$F496,Сценарии!$G$25:$G$136,"СВФОТ")/100</f>
        <v>0</v>
      </c>
      <c r="AH496" s="171">
        <f t="shared" ca="1" si="139"/>
        <v>0</v>
      </c>
      <c r="AI496" s="872">
        <f ca="1">AI495*SUMIFS(INDEX(Сценарии!$AE$25:$BF$136,,MATCH(AG$8,Сценарии!$AE$8:$BF$8,0)),Сценарии!$F$25:$F$136,$F496,Сценарии!$G$25:$G$136,"СВФОТ")/100</f>
        <v>0</v>
      </c>
      <c r="AJ496" s="444"/>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196"/>
      <c r="BO496" s="601" t="str">
        <f ca="1">IF(IFERROR(INDEX(ФОТ!$K$26:$L$127,MATCH($F496&amp;"6komm",ФОТ!$K$26:$K$127,0),2),"")=0,"",IFERROR(INDEX(ФОТ!$K$26:$L$127,MATCH($F496&amp;"6komm",ФОТ!$K$26:$K$127,0),2),""))</f>
        <v/>
      </c>
      <c r="BP496" s="196"/>
      <c r="BS496" s="694" t="s">
        <v>1825</v>
      </c>
    </row>
    <row r="497" spans="1:75" ht="54.75" customHeight="1" x14ac:dyDescent="0.25">
      <c r="E497" s="507">
        <v>33.75</v>
      </c>
      <c r="F497" s="3" t="str" cm="1">
        <f t="array" aca="1" ref="F497" ca="1">OFFSET(E497,-1,1)</f>
        <v>3</v>
      </c>
      <c r="G497" s="2" t="s">
        <v>1231</v>
      </c>
      <c r="H497" s="277"/>
      <c r="I497" s="277" t="s">
        <v>1375</v>
      </c>
      <c r="K497" s="277" t="s">
        <v>1375</v>
      </c>
      <c r="L497" s="25" t="s">
        <v>973</v>
      </c>
      <c r="M497" s="25"/>
      <c r="Q497" s="72" t="s">
        <v>2324</v>
      </c>
      <c r="R497" s="75" t="s">
        <v>2324</v>
      </c>
      <c r="T497" s="353" t="b" cm="1">
        <f t="array" ref="T497">T496</f>
        <v>1</v>
      </c>
      <c r="X497" s="990"/>
      <c r="Z497" s="967"/>
      <c r="AB497" s="133" t="s">
        <v>1376</v>
      </c>
      <c r="AC497" s="134" t="s">
        <v>2023</v>
      </c>
      <c r="AD497" s="7" t="s">
        <v>828</v>
      </c>
      <c r="AE497" s="128">
        <v>0</v>
      </c>
      <c r="AF497" s="128"/>
      <c r="AG497" s="128"/>
      <c r="AH497" s="171">
        <f t="shared" si="139"/>
        <v>0</v>
      </c>
      <c r="AI497" s="872"/>
      <c r="AJ497" s="444"/>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c r="BF497" s="542"/>
      <c r="BG497" s="542"/>
      <c r="BH497" s="542"/>
      <c r="BI497" s="542"/>
      <c r="BJ497" s="542"/>
      <c r="BK497" s="542"/>
      <c r="BL497" s="542"/>
      <c r="BM497" s="542"/>
      <c r="BN497" s="196"/>
      <c r="BO497" s="601" t="str">
        <f ca="1">IF(IFERROR(INDEX(Административные!$K$26:$L$103,MATCH($F497&amp;"2komm",Административные!$K$26:$K$103,0),2),"")=0,"",IFERROR(INDEX(Административные!$K$26:$L$103,MATCH($F497&amp;"2komm",Административные!$K$26:$K$103,0),2),""))</f>
        <v/>
      </c>
      <c r="BP497" s="196"/>
      <c r="BS497" s="694" t="s">
        <v>1233</v>
      </c>
    </row>
    <row r="498" spans="1:75" ht="14.65" customHeight="1" x14ac:dyDescent="0.25">
      <c r="E498" s="507">
        <v>15</v>
      </c>
      <c r="F498" s="3" t="str" cm="1">
        <f t="array" aca="1" ref="F498" ca="1">OFFSET(E498,-1,1)</f>
        <v>3</v>
      </c>
      <c r="G498" s="2" t="s">
        <v>1234</v>
      </c>
      <c r="H498" s="277"/>
      <c r="I498" s="277" t="s">
        <v>1379</v>
      </c>
      <c r="K498" s="277" t="s">
        <v>1379</v>
      </c>
      <c r="L498" s="25" t="s">
        <v>975</v>
      </c>
      <c r="M498" s="25"/>
      <c r="Q498" s="72" t="s">
        <v>2324</v>
      </c>
      <c r="R498" s="75" t="s">
        <v>2324</v>
      </c>
      <c r="T498" s="353" t="b" cm="1">
        <f t="array" ref="T498">T497</f>
        <v>1</v>
      </c>
      <c r="X498" s="990"/>
      <c r="Z498" s="967"/>
      <c r="AB498" s="133" t="s">
        <v>1380</v>
      </c>
      <c r="AC498" s="134" t="s">
        <v>2024</v>
      </c>
      <c r="AD498" s="7" t="s">
        <v>828</v>
      </c>
      <c r="AE498" s="128">
        <v>0</v>
      </c>
      <c r="AF498" s="128"/>
      <c r="AG498" s="128"/>
      <c r="AH498" s="171">
        <f t="shared" si="139"/>
        <v>0</v>
      </c>
      <c r="AI498" s="872"/>
      <c r="AJ498" s="444"/>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c r="BF498" s="542"/>
      <c r="BG498" s="542"/>
      <c r="BH498" s="542"/>
      <c r="BI498" s="542"/>
      <c r="BJ498" s="542"/>
      <c r="BK498" s="542"/>
      <c r="BL498" s="542"/>
      <c r="BM498" s="542"/>
      <c r="BN498" s="196"/>
      <c r="BO498" s="601" t="str">
        <f ca="1">IF(IFERROR(INDEX(Административные!$K$26:$L$103,MATCH($F498&amp;"3komm",Административные!$K$26:$K$103,0),2),"")=0,"",IFERROR(INDEX(Административные!$K$26:$L$103,MATCH($F498&amp;"3komm",Административные!$K$26:$K$103,0),2),""))</f>
        <v/>
      </c>
      <c r="BP498" s="196"/>
      <c r="BS498" s="694" t="s">
        <v>1236</v>
      </c>
    </row>
    <row r="499" spans="1:75" ht="14.65" customHeight="1" x14ac:dyDescent="0.25">
      <c r="E499" s="507">
        <v>15</v>
      </c>
      <c r="F499" s="3" t="str" cm="1">
        <f t="array" aca="1" ref="F499" ca="1">OFFSET(E499,-1,1)</f>
        <v>3</v>
      </c>
      <c r="G499" s="2" t="s">
        <v>1237</v>
      </c>
      <c r="H499" s="277"/>
      <c r="I499" s="277" t="s">
        <v>2025</v>
      </c>
      <c r="K499" s="277" t="s">
        <v>2025</v>
      </c>
      <c r="L499" s="25" t="s">
        <v>978</v>
      </c>
      <c r="M499" s="25"/>
      <c r="Q499" s="72" t="s">
        <v>2324</v>
      </c>
      <c r="R499" s="75" t="s">
        <v>2324</v>
      </c>
      <c r="T499" s="353" t="b" cm="1">
        <f t="array" ref="T499">T498</f>
        <v>1</v>
      </c>
      <c r="X499" s="990"/>
      <c r="Z499" s="967"/>
      <c r="AB499" s="133" t="s">
        <v>2026</v>
      </c>
      <c r="AC499" s="134" t="s">
        <v>2027</v>
      </c>
      <c r="AD499" s="7" t="s">
        <v>828</v>
      </c>
      <c r="AE499" s="128">
        <v>0</v>
      </c>
      <c r="AF499" s="128"/>
      <c r="AG499" s="128"/>
      <c r="AH499" s="171">
        <f t="shared" si="139"/>
        <v>0</v>
      </c>
      <c r="AI499" s="872"/>
      <c r="AJ499" s="444"/>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c r="BF499" s="542"/>
      <c r="BG499" s="542"/>
      <c r="BH499" s="542"/>
      <c r="BI499" s="542"/>
      <c r="BJ499" s="542"/>
      <c r="BK499" s="542"/>
      <c r="BL499" s="542"/>
      <c r="BM499" s="542"/>
      <c r="BN499" s="196"/>
      <c r="BO499" s="601" t="str">
        <f ca="1">IF(IFERROR(INDEX(Административные!$K$26:$L$103,MATCH($F499&amp;"4komm",Административные!$K$26:$K$103,0),2),"")=0,"",IFERROR(INDEX(Административные!$K$26:$L$103,MATCH($F499&amp;"4komm",Административные!$K$26:$K$103,0),2),""))</f>
        <v/>
      </c>
      <c r="BP499" s="196"/>
      <c r="BS499" s="694" t="s">
        <v>1239</v>
      </c>
    </row>
    <row r="500" spans="1:75" ht="14.65" customHeight="1" x14ac:dyDescent="0.25">
      <c r="E500" s="507">
        <v>15</v>
      </c>
      <c r="F500" s="3" t="str" cm="1">
        <f t="array" aca="1" ref="F500" ca="1">OFFSET(E500,-1,1)</f>
        <v>3</v>
      </c>
      <c r="G500" s="2" t="s">
        <v>1240</v>
      </c>
      <c r="H500" s="277"/>
      <c r="I500" s="277" t="s">
        <v>2028</v>
      </c>
      <c r="K500" s="277" t="s">
        <v>2028</v>
      </c>
      <c r="L500" s="25" t="s">
        <v>1222</v>
      </c>
      <c r="M500" s="25"/>
      <c r="Q500" s="72" t="s">
        <v>2324</v>
      </c>
      <c r="R500" s="75" t="s">
        <v>2324</v>
      </c>
      <c r="T500" s="353" t="b" cm="1">
        <f t="array" ref="T500">T499</f>
        <v>1</v>
      </c>
      <c r="X500" s="990"/>
      <c r="Z500" s="967"/>
      <c r="AB500" s="133" t="s">
        <v>2029</v>
      </c>
      <c r="AC500" s="134" t="s">
        <v>2030</v>
      </c>
      <c r="AD500" s="7" t="s">
        <v>828</v>
      </c>
      <c r="AE500" s="128">
        <v>0</v>
      </c>
      <c r="AF500" s="128"/>
      <c r="AG500" s="128"/>
      <c r="AH500" s="171">
        <f t="shared" si="139"/>
        <v>0</v>
      </c>
      <c r="AI500" s="872"/>
      <c r="AJ500" s="444"/>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c r="BG500" s="542"/>
      <c r="BH500" s="542"/>
      <c r="BI500" s="542"/>
      <c r="BJ500" s="542"/>
      <c r="BK500" s="542"/>
      <c r="BL500" s="542"/>
      <c r="BM500" s="542"/>
      <c r="BN500" s="196"/>
      <c r="BO500" s="601" t="str">
        <f ca="1">IF(IFERROR(INDEX(Административные!$K$26:$L$103,MATCH($F500&amp;"5komm",Административные!$K$26:$K$103,0),2),"")=0,"",IFERROR(INDEX(Административные!$K$26:$L$103,MATCH($F500&amp;"5komm",Административные!$K$26:$K$103,0),2),""))</f>
        <v/>
      </c>
      <c r="BP500" s="196"/>
      <c r="BS500" s="694" t="s">
        <v>1827</v>
      </c>
    </row>
    <row r="501" spans="1:75" ht="14.25" customHeight="1" x14ac:dyDescent="0.25">
      <c r="E501" s="507">
        <v>15</v>
      </c>
      <c r="F501" s="3" t="str" cm="1">
        <f t="array" aca="1" ref="F501" ca="1">OFFSET(E501,-1,1)</f>
        <v>3</v>
      </c>
      <c r="G501" s="2" t="s">
        <v>1243</v>
      </c>
      <c r="H501" s="277"/>
      <c r="I501" s="277" t="s">
        <v>2031</v>
      </c>
      <c r="K501" s="277" t="s">
        <v>2031</v>
      </c>
      <c r="L501" s="25" t="s">
        <v>1227</v>
      </c>
      <c r="M501" s="25"/>
      <c r="Q501" s="72" t="s">
        <v>2324</v>
      </c>
      <c r="R501" s="75" t="s">
        <v>2324</v>
      </c>
      <c r="T501" s="353" t="b" cm="1">
        <f t="array" ref="T501">T500</f>
        <v>1</v>
      </c>
      <c r="X501" s="990"/>
      <c r="Z501" s="967"/>
      <c r="AB501" s="133" t="s">
        <v>2032</v>
      </c>
      <c r="AC501" s="134" t="s">
        <v>2033</v>
      </c>
      <c r="AD501" s="7" t="s">
        <v>828</v>
      </c>
      <c r="AE501" s="171">
        <f>SUM(AE502:AE504)</f>
        <v>0</v>
      </c>
      <c r="AF501" s="171">
        <f>SUM(AF502:AF504)</f>
        <v>0</v>
      </c>
      <c r="AG501" s="171">
        <f>SUM(AG502:AG504)</f>
        <v>0</v>
      </c>
      <c r="AH501" s="171">
        <f t="shared" si="139"/>
        <v>0</v>
      </c>
      <c r="AI501" s="872">
        <f>SUM(AI502:AI504)</f>
        <v>0</v>
      </c>
      <c r="AJ501" s="444"/>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c r="BG501" s="542"/>
      <c r="BH501" s="542"/>
      <c r="BI501" s="542"/>
      <c r="BJ501" s="542"/>
      <c r="BK501" s="542"/>
      <c r="BL501" s="542"/>
      <c r="BM501" s="542"/>
      <c r="BN501" s="196"/>
      <c r="BO501" s="601" t="str">
        <f ca="1">IF(IFERROR(INDEX(Административные!$K$26:$L$103,MATCH($F501&amp;"6komm",Административные!$K$26:$K$103,0),2),"")=0,"",IFERROR(INDEX(Административные!$K$26:$L$103,MATCH($F501&amp;"6komm",Административные!$K$26:$K$103,0),2),""))</f>
        <v/>
      </c>
      <c r="BP501" s="196"/>
      <c r="BS501" s="694" t="s">
        <v>1829</v>
      </c>
    </row>
    <row r="502" spans="1:75" ht="23.25" customHeight="1" x14ac:dyDescent="0.25">
      <c r="E502" s="507">
        <v>15</v>
      </c>
      <c r="F502" s="3" t="str" cm="1">
        <f t="array" aca="1" ref="F502" ca="1">OFFSET(E502,-1,1)</f>
        <v>3</v>
      </c>
      <c r="G502" s="2" t="s">
        <v>1245</v>
      </c>
      <c r="H502" s="277"/>
      <c r="I502" s="277" t="s">
        <v>2034</v>
      </c>
      <c r="K502" s="277" t="s">
        <v>2034</v>
      </c>
      <c r="L502" s="25" t="s">
        <v>1830</v>
      </c>
      <c r="M502" s="25"/>
      <c r="Q502" s="72" t="s">
        <v>2324</v>
      </c>
      <c r="R502" s="75" t="s">
        <v>2324</v>
      </c>
      <c r="T502" s="353" t="b" cm="1">
        <f t="array" ref="T502">T501</f>
        <v>1</v>
      </c>
      <c r="X502" s="990"/>
      <c r="Z502" s="967"/>
      <c r="AB502" s="133" t="s">
        <v>2035</v>
      </c>
      <c r="AC502" s="543" t="s">
        <v>1832</v>
      </c>
      <c r="AD502" s="7" t="s">
        <v>828</v>
      </c>
      <c r="AE502" s="128">
        <v>0</v>
      </c>
      <c r="AF502" s="128"/>
      <c r="AG502" s="128"/>
      <c r="AH502" s="171">
        <f t="shared" si="139"/>
        <v>0</v>
      </c>
      <c r="AI502" s="872"/>
      <c r="AJ502" s="444"/>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196"/>
      <c r="BO502" s="601" t="str">
        <f ca="1">IF(IFERROR(INDEX(Административные!$K$26:$L$103,MATCH($F502&amp;"7komm",Административные!$K$26:$K$103,0),2),"")=0,"",IFERROR(INDEX(Административные!$K$26:$L$103,MATCH($F502&amp;"7komm",Административные!$K$26:$K$103,0),2),""))</f>
        <v/>
      </c>
      <c r="BP502" s="196"/>
      <c r="BS502" s="694" t="s">
        <v>1833</v>
      </c>
    </row>
    <row r="503" spans="1:75" ht="14.65" customHeight="1" x14ac:dyDescent="0.25">
      <c r="E503" s="507">
        <v>15</v>
      </c>
      <c r="F503" s="3" t="str" cm="1">
        <f t="array" aca="1" ref="F503" ca="1">OFFSET(E503,-1,1)</f>
        <v>3</v>
      </c>
      <c r="G503" s="2" t="s">
        <v>1248</v>
      </c>
      <c r="H503" s="277"/>
      <c r="I503" s="277" t="s">
        <v>2036</v>
      </c>
      <c r="K503" s="277" t="s">
        <v>2036</v>
      </c>
      <c r="L503" s="25" t="s">
        <v>1834</v>
      </c>
      <c r="M503" s="25"/>
      <c r="Q503" s="72" t="s">
        <v>2324</v>
      </c>
      <c r="R503" s="75" t="s">
        <v>2324</v>
      </c>
      <c r="T503" s="353" t="b" cm="1">
        <f t="array" ref="T503">T502</f>
        <v>1</v>
      </c>
      <c r="X503" s="990"/>
      <c r="Z503" s="967"/>
      <c r="AB503" s="133" t="s">
        <v>2037</v>
      </c>
      <c r="AC503" s="543" t="s">
        <v>1249</v>
      </c>
      <c r="AD503" s="7" t="s">
        <v>828</v>
      </c>
      <c r="AE503" s="128">
        <v>0</v>
      </c>
      <c r="AF503" s="128"/>
      <c r="AG503" s="128"/>
      <c r="AH503" s="171">
        <f t="shared" si="139"/>
        <v>0</v>
      </c>
      <c r="AI503" s="872"/>
      <c r="AJ503" s="444"/>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196"/>
      <c r="BO503" s="601" t="str">
        <f ca="1">IF(IFERROR(INDEX(Административные!$K$26:$L$103,MATCH($F503&amp;"8komm",Административные!$K$26:$K$103,0),2),"")=0,"",IFERROR(INDEX(Административные!$K$26:$L$103,MATCH($F503&amp;"8komm",Административные!$K$26:$K$103,0),2),""))</f>
        <v/>
      </c>
      <c r="BP503" s="196"/>
      <c r="BS503" s="694" t="s">
        <v>1836</v>
      </c>
    </row>
    <row r="504" spans="1:75" ht="14.65" customHeight="1" x14ac:dyDescent="0.25">
      <c r="E504" s="507">
        <v>15</v>
      </c>
      <c r="F504" s="3" t="str" cm="1">
        <f t="array" aca="1" ref="F504" ca="1">OFFSET(E504,-1,1)</f>
        <v>3</v>
      </c>
      <c r="G504" s="72" t="s">
        <v>1251</v>
      </c>
      <c r="H504" s="277"/>
      <c r="I504" s="277" t="s">
        <v>2038</v>
      </c>
      <c r="K504" s="277" t="s">
        <v>2038</v>
      </c>
      <c r="L504" s="25" t="s">
        <v>1837</v>
      </c>
      <c r="M504" s="25"/>
      <c r="Q504" s="72" t="s">
        <v>2324</v>
      </c>
      <c r="R504" s="75" t="s">
        <v>2324</v>
      </c>
      <c r="T504" s="353" t="b" cm="1">
        <f t="array" ref="T504">T503</f>
        <v>1</v>
      </c>
      <c r="X504" s="990"/>
      <c r="Z504" s="967"/>
      <c r="AB504" s="133" t="s">
        <v>2039</v>
      </c>
      <c r="AC504" s="543" t="s">
        <v>1252</v>
      </c>
      <c r="AD504" s="7" t="s">
        <v>828</v>
      </c>
      <c r="AE504" s="128">
        <v>0</v>
      </c>
      <c r="AF504" s="128"/>
      <c r="AG504" s="128"/>
      <c r="AH504" s="171">
        <f t="shared" si="139"/>
        <v>0</v>
      </c>
      <c r="AI504" s="872"/>
      <c r="AJ504" s="444"/>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c r="BG504" s="542"/>
      <c r="BH504" s="542"/>
      <c r="BI504" s="542"/>
      <c r="BJ504" s="542"/>
      <c r="BK504" s="542"/>
      <c r="BL504" s="542"/>
      <c r="BM504" s="542"/>
      <c r="BN504" s="196"/>
      <c r="BO504" s="601" t="str">
        <f ca="1">IF(IFERROR(INDEX(Административные!$K$26:$L$103,MATCH($F504&amp;"9komm",Административные!$K$26:$K$103,0),2),"")=0,"",IFERROR(INDEX(Административные!$K$26:$L$103,MATCH($F504&amp;"9komm",Административные!$K$26:$K$103,0),2),""))</f>
        <v/>
      </c>
      <c r="BP504" s="196"/>
      <c r="BS504" s="694" t="s">
        <v>1839</v>
      </c>
    </row>
    <row r="505" spans="1:75" ht="21.75" hidden="1" customHeight="1" x14ac:dyDescent="0.25">
      <c r="B505" s="329" t="b">
        <f>STATUS_GO="да"</f>
        <v>0</v>
      </c>
      <c r="E505" s="507">
        <v>22.5</v>
      </c>
      <c r="F505" s="3" t="str" cm="1">
        <f t="array" aca="1" ref="F505" ca="1">OFFSET(E505,-1,1)</f>
        <v>3</v>
      </c>
      <c r="H505" s="277"/>
      <c r="I505" s="277" t="s">
        <v>951</v>
      </c>
      <c r="K505" s="277" t="s">
        <v>951</v>
      </c>
      <c r="L505" s="25" t="s">
        <v>335</v>
      </c>
      <c r="M505" s="25"/>
      <c r="Q505" s="72" t="s">
        <v>2324</v>
      </c>
      <c r="R505" s="75" t="s">
        <v>2324</v>
      </c>
      <c r="T505" s="353" t="b" cm="1">
        <f t="array" ref="T505">T504</f>
        <v>1</v>
      </c>
      <c r="X505" s="990"/>
      <c r="Z505" s="967"/>
      <c r="AB505" s="133" t="s">
        <v>952</v>
      </c>
      <c r="AC505" s="127" t="s">
        <v>2040</v>
      </c>
      <c r="AD505" s="7" t="s">
        <v>828</v>
      </c>
      <c r="AE505" s="778"/>
      <c r="AF505" s="778"/>
      <c r="AG505" s="778"/>
      <c r="AH505" s="171">
        <f t="shared" si="139"/>
        <v>0</v>
      </c>
      <c r="AI505" s="872"/>
      <c r="AJ505" s="444"/>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c r="BG505" s="542"/>
      <c r="BH505" s="542"/>
      <c r="BI505" s="542"/>
      <c r="BJ505" s="542"/>
      <c r="BK505" s="542"/>
      <c r="BL505" s="542"/>
      <c r="BM505" s="542"/>
      <c r="BN505" s="775"/>
      <c r="BO505" s="775"/>
      <c r="BP505" s="775"/>
      <c r="BS505" s="695" t="s">
        <v>1841</v>
      </c>
    </row>
    <row r="506" spans="1:75" ht="14.25" customHeight="1" x14ac:dyDescent="0.15">
      <c r="E506" s="507">
        <v>15</v>
      </c>
      <c r="F506" s="3" t="str" cm="1">
        <f t="array" aca="1" ref="F506" ca="1">OFFSET(E506,-1,1)</f>
        <v>3</v>
      </c>
      <c r="H506" s="277"/>
      <c r="I506" s="277" t="s">
        <v>1779</v>
      </c>
      <c r="K506" s="277" t="s">
        <v>1779</v>
      </c>
      <c r="L506" s="25"/>
      <c r="M506" s="25"/>
      <c r="Q506" s="72" t="s">
        <v>2324</v>
      </c>
      <c r="R506" s="75" t="s">
        <v>2324</v>
      </c>
      <c r="T506" s="353" t="b" cm="1">
        <f t="array" ref="T506">T505</f>
        <v>1</v>
      </c>
      <c r="X506" s="990"/>
      <c r="Z506" s="967"/>
      <c r="AB506" s="133" t="s">
        <v>1780</v>
      </c>
      <c r="AC506" s="127" t="s">
        <v>2041</v>
      </c>
      <c r="AD506" s="7" t="s">
        <v>828</v>
      </c>
      <c r="AE506" s="128"/>
      <c r="AF506" s="128"/>
      <c r="AG506" s="128"/>
      <c r="AH506" s="171">
        <f t="shared" si="139"/>
        <v>0</v>
      </c>
      <c r="AI506" s="872"/>
      <c r="AJ506" s="444"/>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542"/>
      <c r="BL506" s="542"/>
      <c r="BM506" s="542"/>
      <c r="BN506" s="196"/>
      <c r="BO506" s="196"/>
      <c r="BP506" s="196"/>
      <c r="BS506" s="696" t="s">
        <v>2042</v>
      </c>
    </row>
    <row r="507" spans="1:75" s="870" customFormat="1" ht="20.25" customHeight="1" x14ac:dyDescent="0.15">
      <c r="A507" s="76"/>
      <c r="B507" s="332"/>
      <c r="C507" s="76"/>
      <c r="D507" s="76"/>
      <c r="E507" s="511">
        <v>21</v>
      </c>
      <c r="F507" s="3" t="str" cm="1">
        <f t="array" aca="1" ref="F507" ca="1">OFFSET(E507,-1,1)</f>
        <v>3</v>
      </c>
      <c r="G507" s="76"/>
      <c r="H507" s="277"/>
      <c r="I507" s="277" t="s">
        <v>1783</v>
      </c>
      <c r="J507" s="76"/>
      <c r="K507" s="277" t="s">
        <v>1783</v>
      </c>
      <c r="L507" s="27"/>
      <c r="M507" s="27"/>
      <c r="N507" s="76"/>
      <c r="O507" s="76"/>
      <c r="P507" s="76"/>
      <c r="Q507" s="72" t="s">
        <v>2324</v>
      </c>
      <c r="R507" s="75" t="s">
        <v>2324</v>
      </c>
      <c r="S507" s="76"/>
      <c r="T507" s="353" t="b" cm="1">
        <f t="array" ref="T507">T506</f>
        <v>1</v>
      </c>
      <c r="U507" s="76"/>
      <c r="V507" s="76"/>
      <c r="W507" s="76"/>
      <c r="X507" s="990"/>
      <c r="Y507" s="76"/>
      <c r="Z507" s="967"/>
      <c r="AA507" s="76"/>
      <c r="AB507" s="131" t="s">
        <v>1784</v>
      </c>
      <c r="AC507" s="263" t="s">
        <v>2043</v>
      </c>
      <c r="AD507" s="124" t="s">
        <v>828</v>
      </c>
      <c r="AE507" s="126">
        <f>SUM(AE508:AE509)</f>
        <v>0</v>
      </c>
      <c r="AF507" s="126">
        <f>SUM(AF508:AF509)</f>
        <v>0</v>
      </c>
      <c r="AG507" s="126">
        <f>SUM(AG508:AG509)</f>
        <v>0</v>
      </c>
      <c r="AH507" s="126">
        <f t="shared" si="139"/>
        <v>0</v>
      </c>
      <c r="AI507" s="871">
        <f>SUM(AI508:AI509)</f>
        <v>0</v>
      </c>
      <c r="AJ507" s="444"/>
      <c r="AK507" s="129"/>
      <c r="AL507" s="129"/>
      <c r="AM507" s="129"/>
      <c r="AN507" s="129"/>
      <c r="AO507" s="129"/>
      <c r="AP507" s="129"/>
      <c r="AQ507" s="129"/>
      <c r="AR507" s="129"/>
      <c r="AS507" s="129"/>
      <c r="AT507" s="542"/>
      <c r="AU507" s="542"/>
      <c r="AV507" s="129"/>
      <c r="AW507" s="129"/>
      <c r="AX507" s="129"/>
      <c r="AY507" s="129"/>
      <c r="AZ507" s="129"/>
      <c r="BA507" s="129"/>
      <c r="BB507" s="129"/>
      <c r="BC507" s="129"/>
      <c r="BD507" s="129"/>
      <c r="BE507" s="129"/>
      <c r="BF507" s="129"/>
      <c r="BG507" s="129"/>
      <c r="BH507" s="129"/>
      <c r="BI507" s="129"/>
      <c r="BJ507" s="129"/>
      <c r="BK507" s="129"/>
      <c r="BL507" s="129"/>
      <c r="BM507" s="129"/>
      <c r="BN507" s="556"/>
      <c r="BO507" s="556"/>
      <c r="BP507" s="556"/>
      <c r="BQ507" s="76"/>
      <c r="BR507" s="76"/>
      <c r="BS507" s="702" t="s">
        <v>2044</v>
      </c>
      <c r="BT507" s="702"/>
      <c r="BU507" s="702"/>
      <c r="BV507" s="511"/>
      <c r="BW507" s="511"/>
    </row>
    <row r="508" spans="1:75" ht="14.25" hidden="1" customHeight="1" x14ac:dyDescent="0.15">
      <c r="E508" s="507">
        <v>15</v>
      </c>
      <c r="F508" s="3" t="str" cm="1">
        <f t="array" aca="1" ref="F508" ca="1">OFFSET(E508,-1,1)</f>
        <v>3</v>
      </c>
      <c r="I508" s="277" t="s">
        <v>1783</v>
      </c>
      <c r="J508" s="72" cm="1">
        <f t="array" ref="J508">AC508</f>
        <v>0</v>
      </c>
      <c r="K508" s="277" t="s">
        <v>1783</v>
      </c>
      <c r="L508" s="25"/>
      <c r="M508" s="25"/>
      <c r="Q508" s="72" t="s">
        <v>2324</v>
      </c>
      <c r="R508" s="75" t="s">
        <v>2324</v>
      </c>
      <c r="T508" s="353" t="b">
        <f ca="1">AND(F508&gt;0,Y508&gt;0)</f>
        <v>0</v>
      </c>
      <c r="W508" s="72" t="s">
        <v>172</v>
      </c>
      <c r="X508" s="990"/>
      <c r="Y508" s="72">
        <v>0</v>
      </c>
      <c r="Z508" s="967"/>
      <c r="AA508" s="320" t="s">
        <v>173</v>
      </c>
      <c r="AB508" s="7" t="str">
        <f>"1.7."&amp;Y508</f>
        <v>1.7.0</v>
      </c>
      <c r="AC508" s="780"/>
      <c r="AD508" s="7" t="s">
        <v>828</v>
      </c>
      <c r="AE508" s="778"/>
      <c r="AF508" s="778"/>
      <c r="AG508" s="778"/>
      <c r="AH508" s="171">
        <f t="shared" si="139"/>
        <v>0</v>
      </c>
      <c r="AI508" s="872"/>
      <c r="AJ508" s="128"/>
      <c r="AK508" s="542"/>
      <c r="AL508" s="542"/>
      <c r="AM508" s="542"/>
      <c r="AN508" s="542"/>
      <c r="AO508" s="542"/>
      <c r="AP508" s="542"/>
      <c r="AQ508" s="542"/>
      <c r="AR508" s="542"/>
      <c r="AS508" s="542"/>
      <c r="AT508" s="542"/>
      <c r="AU508" s="542"/>
      <c r="AV508" s="542"/>
      <c r="AW508" s="542"/>
      <c r="AX508" s="542"/>
      <c r="AY508" s="542"/>
      <c r="AZ508" s="542"/>
      <c r="BA508" s="542"/>
      <c r="BB508" s="542"/>
      <c r="BC508" s="542"/>
      <c r="BD508" s="129"/>
      <c r="BE508" s="542"/>
      <c r="BF508" s="542"/>
      <c r="BG508" s="542"/>
      <c r="BH508" s="542"/>
      <c r="BI508" s="542"/>
      <c r="BJ508" s="542"/>
      <c r="BK508" s="542"/>
      <c r="BL508" s="542"/>
      <c r="BM508" s="542"/>
      <c r="BN508" s="775"/>
      <c r="BO508" s="775"/>
      <c r="BP508" s="775"/>
      <c r="BS508" s="696" t="s">
        <v>2044</v>
      </c>
      <c r="BT508" s="696" t="s">
        <v>2045</v>
      </c>
      <c r="BU508" s="696" cm="1">
        <f t="array" ref="BU508">AC508</f>
        <v>0</v>
      </c>
      <c r="BW508" s="507" t="b">
        <v>1</v>
      </c>
    </row>
    <row r="509" spans="1:75" ht="14.25" customHeight="1" x14ac:dyDescent="0.15">
      <c r="E509" s="507">
        <v>15</v>
      </c>
      <c r="F509" s="3" t="str" cm="1">
        <f t="array" aca="1" ref="F509" ca="1">OFFSET(E509,-1,1)</f>
        <v>3</v>
      </c>
      <c r="G509" s="266"/>
      <c r="J509" s="72" t="s">
        <v>2046</v>
      </c>
      <c r="L509" s="25"/>
      <c r="M509" s="25"/>
      <c r="T509" s="353" t="b">
        <f ca="1">F509&gt;0</f>
        <v>1</v>
      </c>
      <c r="W509" s="506" t="s">
        <v>2325</v>
      </c>
      <c r="X509" s="990"/>
      <c r="Z509" s="967"/>
      <c r="AB509" s="546"/>
      <c r="AC509" s="172" t="s">
        <v>176</v>
      </c>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8"/>
      <c r="BV509" s="507" t="s">
        <v>2045</v>
      </c>
    </row>
    <row r="510" spans="1:75" s="870" customFormat="1" ht="33.75" customHeight="1" x14ac:dyDescent="0.15">
      <c r="A510" s="76"/>
      <c r="B510" s="332"/>
      <c r="C510" s="76"/>
      <c r="D510" s="76"/>
      <c r="E510" s="511">
        <v>21</v>
      </c>
      <c r="F510" s="3" t="str" cm="1">
        <f t="array" aca="1" ref="F510" ca="1">OFFSET(E510,-1,1)</f>
        <v>3</v>
      </c>
      <c r="G510" s="76"/>
      <c r="H510" s="72"/>
      <c r="I510" s="72" t="s">
        <v>332</v>
      </c>
      <c r="J510" s="76"/>
      <c r="K510" s="72" t="s">
        <v>332</v>
      </c>
      <c r="L510" s="27"/>
      <c r="M510" s="27"/>
      <c r="N510" s="76"/>
      <c r="O510" s="76"/>
      <c r="P510" s="76"/>
      <c r="Q510" s="76"/>
      <c r="R510" s="76"/>
      <c r="S510" s="76"/>
      <c r="T510" s="353" t="b" cm="1">
        <f t="array" aca="1" ref="T510" ca="1">T509</f>
        <v>1</v>
      </c>
      <c r="U510" s="76"/>
      <c r="V510" s="76"/>
      <c r="W510" s="76"/>
      <c r="X510" s="990"/>
      <c r="Y510" s="76"/>
      <c r="Z510" s="967"/>
      <c r="AA510" s="76"/>
      <c r="AB510" s="160" t="s">
        <v>285</v>
      </c>
      <c r="AC510" s="125" t="s">
        <v>2047</v>
      </c>
      <c r="AD510" s="147" t="s">
        <v>828</v>
      </c>
      <c r="AE510" s="126">
        <f ca="1">AE511+AE523+AE524++AE535+AE536+AE537+AE539+AE540+AE541+AE542+AE545</f>
        <v>8366.505524872</v>
      </c>
      <c r="AF510" s="126">
        <f ca="1">AF511+AF523+AF524++AF535+AF536+AF537+AF539+AF540+AF541+AF542+AF545</f>
        <v>9903.7782006891994</v>
      </c>
      <c r="AG510" s="126">
        <f ca="1">AG511+AG523+AG524++AG535+AG536+AG537+AG539+AG540+AG541+AG542+AG545</f>
        <v>6053.9390089628005</v>
      </c>
      <c r="AH510" s="126">
        <f t="shared" ref="AH510:AH555" ca="1" si="140">AG510-AF510</f>
        <v>-3849.8391917263989</v>
      </c>
      <c r="AI510" s="126">
        <f t="shared" ref="AI510:BC510" ca="1" si="141">AI511+AI523+AI524++AI535+AI536+AI537+AI539+AI540+AI541+AI542+AI545</f>
        <v>6202.5640455283001</v>
      </c>
      <c r="AJ510" s="126">
        <f t="shared" ca="1" si="141"/>
        <v>18453.778100442902</v>
      </c>
      <c r="AK510" s="126">
        <f t="shared" ca="1" si="141"/>
        <v>0</v>
      </c>
      <c r="AL510" s="126">
        <f t="shared" ca="1" si="141"/>
        <v>0</v>
      </c>
      <c r="AM510" s="126">
        <f t="shared" ca="1" si="141"/>
        <v>0</v>
      </c>
      <c r="AN510" s="126">
        <f t="shared" ca="1" si="141"/>
        <v>0</v>
      </c>
      <c r="AO510" s="126">
        <f t="shared" ca="1" si="141"/>
        <v>0</v>
      </c>
      <c r="AP510" s="126">
        <f t="shared" ca="1" si="141"/>
        <v>0</v>
      </c>
      <c r="AQ510" s="126">
        <f t="shared" ca="1" si="141"/>
        <v>0</v>
      </c>
      <c r="AR510" s="126">
        <f t="shared" ca="1" si="141"/>
        <v>0</v>
      </c>
      <c r="AS510" s="126">
        <f t="shared" ca="1" si="141"/>
        <v>0</v>
      </c>
      <c r="AT510" s="126">
        <f t="shared" ca="1" si="141"/>
        <v>5939.2180786582003</v>
      </c>
      <c r="AU510" s="126">
        <f t="shared" ca="1" si="141"/>
        <v>0</v>
      </c>
      <c r="AV510" s="126">
        <f t="shared" ca="1" si="141"/>
        <v>0</v>
      </c>
      <c r="AW510" s="126">
        <f t="shared" ca="1" si="141"/>
        <v>0</v>
      </c>
      <c r="AX510" s="126">
        <f t="shared" ca="1" si="141"/>
        <v>0</v>
      </c>
      <c r="AY510" s="126">
        <f t="shared" ca="1" si="141"/>
        <v>0</v>
      </c>
      <c r="AZ510" s="126">
        <f t="shared" ca="1" si="141"/>
        <v>0</v>
      </c>
      <c r="BA510" s="126">
        <f t="shared" ca="1" si="141"/>
        <v>0</v>
      </c>
      <c r="BB510" s="126">
        <f t="shared" ca="1" si="141"/>
        <v>0</v>
      </c>
      <c r="BC510" s="126">
        <f t="shared" ca="1" si="141"/>
        <v>0</v>
      </c>
      <c r="BD510" s="126">
        <f t="shared" ref="BD510:BD555" ca="1" si="142">IF(AI510=0,0,(AT510-AI510)/AI510*100)</f>
        <v>-4.2457597364102577</v>
      </c>
      <c r="BE510" s="126">
        <f t="shared" ref="BE510:BE555" ca="1" si="143">IF(AT510=0,0,(AU510-AT510)/AT510*100)</f>
        <v>-100</v>
      </c>
      <c r="BF510" s="126">
        <f t="shared" ref="BF510:BF555" ca="1" si="144">IF(AU510=0,0,(AV510-AU510)/AU510*100)</f>
        <v>0</v>
      </c>
      <c r="BG510" s="126">
        <f t="shared" ref="BG510:BG555" ca="1" si="145">IF(AV510=0,0,(AW510-AV510)/AV510*100)</f>
        <v>0</v>
      </c>
      <c r="BH510" s="126">
        <f t="shared" ref="BH510:BH555" ca="1" si="146">IF(AW510=0,0,(AX510-AW510)/AW510*100)</f>
        <v>0</v>
      </c>
      <c r="BI510" s="126">
        <f t="shared" ref="BI510:BI555" ca="1" si="147">IF(AX510=0,0,(AY510-AX510)/AX510*100)</f>
        <v>0</v>
      </c>
      <c r="BJ510" s="126">
        <f t="shared" ref="BJ510:BJ555" ca="1" si="148">IF(AY510=0,0,(AZ510-AY510)/AY510*100)</f>
        <v>0</v>
      </c>
      <c r="BK510" s="126">
        <f t="shared" ref="BK510:BK555" ca="1" si="149">IF(AZ510=0,0,(BA510-AZ510)/AZ510*100)</f>
        <v>0</v>
      </c>
      <c r="BL510" s="126">
        <f t="shared" ref="BL510:BL555" ca="1" si="150">IF(BA510=0,0,(BB510-BA510)/BA510*100)</f>
        <v>0</v>
      </c>
      <c r="BM510" s="126">
        <f t="shared" ref="BM510:BM555" ca="1" si="151">IF(BB510=0,0,(BC510-BB510)/BB510*100)</f>
        <v>0</v>
      </c>
      <c r="BN510" s="196"/>
      <c r="BO510" s="196" t="s">
        <v>2242</v>
      </c>
      <c r="BP510" s="196"/>
      <c r="BQ510" s="74"/>
      <c r="BR510" s="76"/>
      <c r="BS510" s="702" t="s">
        <v>2048</v>
      </c>
      <c r="BT510" s="702"/>
      <c r="BU510" s="702"/>
      <c r="BV510" s="511"/>
      <c r="BW510" s="511"/>
    </row>
    <row r="511" spans="1:75" s="870" customFormat="1" ht="21.75" customHeight="1" x14ac:dyDescent="0.15">
      <c r="A511" s="76"/>
      <c r="B511" s="332"/>
      <c r="C511" s="76"/>
      <c r="D511" s="76"/>
      <c r="E511" s="511">
        <v>22.5</v>
      </c>
      <c r="F511" s="3" t="str" cm="1">
        <f t="array" aca="1" ref="F511" ca="1">OFFSET(E511,-1,1)</f>
        <v>3</v>
      </c>
      <c r="G511" s="76"/>
      <c r="H511" s="72"/>
      <c r="I511" s="72" t="s">
        <v>500</v>
      </c>
      <c r="J511" s="76"/>
      <c r="K511" s="72" t="s">
        <v>500</v>
      </c>
      <c r="L511" s="27" t="s">
        <v>486</v>
      </c>
      <c r="M511" s="27"/>
      <c r="N511" s="76"/>
      <c r="O511" s="76"/>
      <c r="P511" s="76"/>
      <c r="Q511" s="76"/>
      <c r="R511" s="76"/>
      <c r="S511" s="76"/>
      <c r="T511" s="353" t="b" cm="1">
        <f t="array" aca="1" ref="T511" ca="1">T510</f>
        <v>1</v>
      </c>
      <c r="U511" s="76"/>
      <c r="V511" s="76"/>
      <c r="W511" s="76"/>
      <c r="X511" s="990"/>
      <c r="Y511" s="76"/>
      <c r="Z511" s="967"/>
      <c r="AA511" s="76"/>
      <c r="AB511" s="131" t="s">
        <v>561</v>
      </c>
      <c r="AC511" s="263" t="s">
        <v>2049</v>
      </c>
      <c r="AD511" s="124" t="s">
        <v>828</v>
      </c>
      <c r="AE511" s="126">
        <f ca="1">SUM(AE512:AE522)</f>
        <v>0</v>
      </c>
      <c r="AF511" s="126">
        <f ca="1">SUM(AF512:AF522)</f>
        <v>0</v>
      </c>
      <c r="AG511" s="126">
        <f ca="1">SUM(AG512:AG522)</f>
        <v>0</v>
      </c>
      <c r="AH511" s="126">
        <f t="shared" ca="1" si="140"/>
        <v>0</v>
      </c>
      <c r="AI511" s="126">
        <f t="shared" ref="AI511:BC511" ca="1" si="152">SUM(AI512:AI522)</f>
        <v>0</v>
      </c>
      <c r="AJ511" s="126">
        <f t="shared" ca="1" si="152"/>
        <v>0</v>
      </c>
      <c r="AK511" s="126">
        <f t="shared" ca="1" si="152"/>
        <v>0</v>
      </c>
      <c r="AL511" s="126">
        <f t="shared" ca="1" si="152"/>
        <v>0</v>
      </c>
      <c r="AM511" s="126">
        <f t="shared" ca="1" si="152"/>
        <v>0</v>
      </c>
      <c r="AN511" s="126">
        <f t="shared" ca="1" si="152"/>
        <v>0</v>
      </c>
      <c r="AO511" s="126">
        <f t="shared" ca="1" si="152"/>
        <v>0</v>
      </c>
      <c r="AP511" s="126">
        <f t="shared" ca="1" si="152"/>
        <v>0</v>
      </c>
      <c r="AQ511" s="126">
        <f t="shared" ca="1" si="152"/>
        <v>0</v>
      </c>
      <c r="AR511" s="126">
        <f t="shared" ca="1" si="152"/>
        <v>0</v>
      </c>
      <c r="AS511" s="126">
        <f t="shared" ca="1" si="152"/>
        <v>0</v>
      </c>
      <c r="AT511" s="126">
        <f t="shared" ca="1" si="152"/>
        <v>0</v>
      </c>
      <c r="AU511" s="126">
        <f t="shared" ca="1" si="152"/>
        <v>0</v>
      </c>
      <c r="AV511" s="126">
        <f t="shared" ca="1" si="152"/>
        <v>0</v>
      </c>
      <c r="AW511" s="126">
        <f t="shared" ca="1" si="152"/>
        <v>0</v>
      </c>
      <c r="AX511" s="126">
        <f t="shared" ca="1" si="152"/>
        <v>0</v>
      </c>
      <c r="AY511" s="126">
        <f t="shared" ca="1" si="152"/>
        <v>0</v>
      </c>
      <c r="AZ511" s="126">
        <f t="shared" ca="1" si="152"/>
        <v>0</v>
      </c>
      <c r="BA511" s="126">
        <f t="shared" ca="1" si="152"/>
        <v>0</v>
      </c>
      <c r="BB511" s="126">
        <f t="shared" ca="1" si="152"/>
        <v>0</v>
      </c>
      <c r="BC511" s="126">
        <f t="shared" ca="1" si="152"/>
        <v>0</v>
      </c>
      <c r="BD511" s="126">
        <f t="shared" ca="1" si="142"/>
        <v>0</v>
      </c>
      <c r="BE511" s="126">
        <f t="shared" ca="1" si="143"/>
        <v>0</v>
      </c>
      <c r="BF511" s="126">
        <f t="shared" ca="1" si="144"/>
        <v>0</v>
      </c>
      <c r="BG511" s="126">
        <f t="shared" ca="1" si="145"/>
        <v>0</v>
      </c>
      <c r="BH511" s="126">
        <f t="shared" ca="1" si="146"/>
        <v>0</v>
      </c>
      <c r="BI511" s="126">
        <f t="shared" ca="1" si="147"/>
        <v>0</v>
      </c>
      <c r="BJ511" s="126">
        <f t="shared" ca="1" si="148"/>
        <v>0</v>
      </c>
      <c r="BK511" s="126">
        <f t="shared" ca="1" si="149"/>
        <v>0</v>
      </c>
      <c r="BL511" s="126">
        <f t="shared" ca="1" si="150"/>
        <v>0</v>
      </c>
      <c r="BM511" s="126">
        <f t="shared" ca="1" si="151"/>
        <v>0</v>
      </c>
      <c r="BN511" s="556"/>
      <c r="BO511" s="556"/>
      <c r="BP511" s="556"/>
      <c r="BQ511" s="76"/>
      <c r="BR511" s="76"/>
      <c r="BS511" s="702" t="s">
        <v>2050</v>
      </c>
      <c r="BT511" s="702"/>
      <c r="BU511" s="702"/>
      <c r="BV511" s="511"/>
      <c r="BW511" s="511"/>
    </row>
    <row r="512" spans="1:75" ht="14.25" customHeight="1" x14ac:dyDescent="0.15">
      <c r="E512" s="507">
        <v>15</v>
      </c>
      <c r="F512" s="3" t="str" cm="1">
        <f t="array" aca="1" ref="F512" ca="1">OFFSET(E512,-1,1)</f>
        <v>3</v>
      </c>
      <c r="G512" s="72" t="s">
        <v>1148</v>
      </c>
      <c r="I512" s="72" t="s">
        <v>1570</v>
      </c>
      <c r="K512" s="72" t="s">
        <v>1570</v>
      </c>
      <c r="L512" s="25" t="s">
        <v>1347</v>
      </c>
      <c r="M512" s="25"/>
      <c r="T512" s="353" t="b" cm="1">
        <f t="array" aca="1" ref="T512" ca="1">T511</f>
        <v>1</v>
      </c>
      <c r="X512" s="990"/>
      <c r="Z512" s="967"/>
      <c r="AB512" s="133" t="s">
        <v>508</v>
      </c>
      <c r="AC512" s="134" t="s">
        <v>2051</v>
      </c>
      <c r="AD512" s="7" t="s">
        <v>828</v>
      </c>
      <c r="AE512" s="171">
        <f ca="1">SUMIFS(Покупка!AE$25:AE$150,Покупка!$F$25:$F$150,$F512,Покупка!$AC$25:$AC$150,$G512)</f>
        <v>0</v>
      </c>
      <c r="AF512" s="171">
        <f ca="1">SUMIFS(Покупка!AF$25:AF$150,Покупка!$F$25:$F$150,$F512,Покупка!$AC$25:$AC$150,$G512)</f>
        <v>0</v>
      </c>
      <c r="AG512" s="171">
        <f ca="1">SUMIFS(Покупка!AG$25:AG$150,Покупка!$F$25:$F$150,$F512,Покупка!$AC$25:$AC$150,$G512)</f>
        <v>0</v>
      </c>
      <c r="AH512" s="171">
        <f t="shared" ca="1" si="140"/>
        <v>0</v>
      </c>
      <c r="AI512" s="171">
        <f ca="1">SUMIFS(Покупка!AH$25:AH$150,Покупка!$F$25:$F$150,$F512,Покупка!$AC$25:$AC$150,$G512)</f>
        <v>0</v>
      </c>
      <c r="AJ512" s="171">
        <f ca="1">SUMIFS(Покупка!AI$25:AI$150,Покупка!$F$25:$F$150,$F512,Покупка!$AC$25:$AC$150,$G512)</f>
        <v>0</v>
      </c>
      <c r="AK512" s="171">
        <f ca="1">SUMIFS(Покупка!AJ$25:AJ$150,Покупка!$F$25:$F$150,$F512,Покупка!$AC$25:$AC$150,$G512)</f>
        <v>0</v>
      </c>
      <c r="AL512" s="171">
        <f ca="1">SUMIFS(Покупка!AK$25:AK$150,Покупка!$F$25:$F$150,$F512,Покупка!$AC$25:$AC$150,$G512)</f>
        <v>0</v>
      </c>
      <c r="AM512" s="171">
        <f ca="1">SUMIFS(Покупка!AL$25:AL$150,Покупка!$F$25:$F$150,$F512,Покупка!$AC$25:$AC$150,$G512)</f>
        <v>0</v>
      </c>
      <c r="AN512" s="171">
        <f ca="1">SUMIFS(Покупка!AM$25:AM$150,Покупка!$F$25:$F$150,$F512,Покупка!$AC$25:$AC$150,$G512)</f>
        <v>0</v>
      </c>
      <c r="AO512" s="171">
        <f ca="1">SUMIFS(Покупка!AN$25:AN$150,Покупка!$F$25:$F$150,$F512,Покупка!$AC$25:$AC$150,$G512)</f>
        <v>0</v>
      </c>
      <c r="AP512" s="171">
        <f ca="1">SUMIFS(Покупка!AO$25:AO$150,Покупка!$F$25:$F$150,$F512,Покупка!$AC$25:$AC$150,$G512)</f>
        <v>0</v>
      </c>
      <c r="AQ512" s="171">
        <f ca="1">SUMIFS(Покупка!AP$25:AP$150,Покупка!$F$25:$F$150,$F512,Покупка!$AC$25:$AC$150,$G512)</f>
        <v>0</v>
      </c>
      <c r="AR512" s="171">
        <f ca="1">SUMIFS(Покупка!AQ$25:AQ$150,Покупка!$F$25:$F$150,$F512,Покупка!$AC$25:$AC$150,$G512)</f>
        <v>0</v>
      </c>
      <c r="AS512" s="171">
        <f ca="1">SUMIFS(Покупка!AR$25:AR$150,Покупка!$F$25:$F$150,$F512,Покупка!$AC$25:$AC$150,$G512)</f>
        <v>0</v>
      </c>
      <c r="AT512" s="171">
        <f ca="1">SUMIFS(Покупка!AS$25:AS$150,Покупка!$F$25:$F$150,$F512,Покупка!$AC$25:$AC$150,$G512)</f>
        <v>0</v>
      </c>
      <c r="AU512" s="171">
        <f ca="1">SUMIFS(Покупка!AT$25:AT$150,Покупка!$F$25:$F$150,$F512,Покупка!$AC$25:$AC$150,$G512)</f>
        <v>0</v>
      </c>
      <c r="AV512" s="171">
        <f ca="1">SUMIFS(Покупка!AU$25:AU$150,Покупка!$F$25:$F$150,$F512,Покупка!$AC$25:$AC$150,$G512)</f>
        <v>0</v>
      </c>
      <c r="AW512" s="171">
        <f ca="1">SUMIFS(Покупка!AV$25:AV$150,Покупка!$F$25:$F$150,$F512,Покупка!$AC$25:$AC$150,$G512)</f>
        <v>0</v>
      </c>
      <c r="AX512" s="171">
        <f ca="1">SUMIFS(Покупка!AW$25:AW$150,Покупка!$F$25:$F$150,$F512,Покупка!$AC$25:$AC$150,$G512)</f>
        <v>0</v>
      </c>
      <c r="AY512" s="171">
        <f ca="1">SUMIFS(Покупка!AX$25:AX$150,Покупка!$F$25:$F$150,$F512,Покупка!$AC$25:$AC$150,$G512)</f>
        <v>0</v>
      </c>
      <c r="AZ512" s="171">
        <f ca="1">SUMIFS(Покупка!AY$25:AY$150,Покупка!$F$25:$F$150,$F512,Покупка!$AC$25:$AC$150,$G512)</f>
        <v>0</v>
      </c>
      <c r="BA512" s="171">
        <f ca="1">SUMIFS(Покупка!AZ$25:AZ$150,Покупка!$F$25:$F$150,$F512,Покупка!$AC$25:$AC$150,$G512)</f>
        <v>0</v>
      </c>
      <c r="BB512" s="171">
        <f ca="1">SUMIFS(Покупка!BA$25:BA$150,Покупка!$F$25:$F$150,$F512,Покупка!$AC$25:$AC$150,$G512)</f>
        <v>0</v>
      </c>
      <c r="BC512" s="171">
        <f ca="1">SUMIFS(Покупка!BB$25:BB$150,Покупка!$F$25:$F$150,$F512,Покупка!$AC$25:$AC$150,$G512)</f>
        <v>0</v>
      </c>
      <c r="BD512" s="171">
        <f t="shared" ca="1" si="142"/>
        <v>0</v>
      </c>
      <c r="BE512" s="171">
        <f t="shared" ca="1" si="143"/>
        <v>0</v>
      </c>
      <c r="BF512" s="171">
        <f t="shared" ca="1" si="144"/>
        <v>0</v>
      </c>
      <c r="BG512" s="171">
        <f t="shared" ca="1" si="145"/>
        <v>0</v>
      </c>
      <c r="BH512" s="171">
        <f t="shared" ca="1" si="146"/>
        <v>0</v>
      </c>
      <c r="BI512" s="171">
        <f t="shared" ca="1" si="147"/>
        <v>0</v>
      </c>
      <c r="BJ512" s="171">
        <f t="shared" ca="1" si="148"/>
        <v>0</v>
      </c>
      <c r="BK512" s="171">
        <f t="shared" ca="1" si="149"/>
        <v>0</v>
      </c>
      <c r="BL512" s="171">
        <f t="shared" ca="1" si="150"/>
        <v>0</v>
      </c>
      <c r="BM512" s="171">
        <f t="shared" ca="1" si="151"/>
        <v>0</v>
      </c>
      <c r="BN512" s="196"/>
      <c r="BO512" s="601" t="str">
        <f ca="1">IF(IFERROR(INDEX(Покупка!$K$26:$L$150,MATCH($F512&amp;"6komm",Покупка!$K$26:$K$150,0),2),"")=0,"",IFERROR(INDEX(Покупка!$K$26:$L$150,MATCH($F512&amp;"6komm",Покупка!$K$26:$K$150,0),2),""))</f>
        <v/>
      </c>
      <c r="BP512" s="196"/>
      <c r="BS512" s="696" t="s">
        <v>1149</v>
      </c>
    </row>
    <row r="513" spans="1:75" ht="14.25" customHeight="1" x14ac:dyDescent="0.15">
      <c r="B513" s="15"/>
      <c r="C513" s="25"/>
      <c r="D513" s="25"/>
      <c r="E513" s="451">
        <v>15</v>
      </c>
      <c r="F513" s="3" t="str" cm="1">
        <f t="array" aca="1" ref="F513" ca="1">OFFSET(E513,-1,1)</f>
        <v>3</v>
      </c>
      <c r="G513" s="25" t="s">
        <v>1150</v>
      </c>
      <c r="H513" s="25"/>
      <c r="I513" s="25" t="s">
        <v>1574</v>
      </c>
      <c r="J513" s="25"/>
      <c r="K513" s="25" t="s">
        <v>1574</v>
      </c>
      <c r="L513" s="25" t="s">
        <v>1351</v>
      </c>
      <c r="M513" s="25"/>
      <c r="N513" s="25"/>
      <c r="O513" s="25"/>
      <c r="P513" s="25"/>
      <c r="Q513" s="25"/>
      <c r="R513" s="25"/>
      <c r="S513" s="25"/>
      <c r="T513" s="353" t="b" cm="1">
        <f t="array" aca="1" ref="T513" ca="1">T512</f>
        <v>1</v>
      </c>
      <c r="U513" s="25"/>
      <c r="V513" s="25"/>
      <c r="X513" s="990"/>
      <c r="Z513" s="967"/>
      <c r="AB513" s="133" t="s">
        <v>2052</v>
      </c>
      <c r="AC513" s="134" t="s">
        <v>2053</v>
      </c>
      <c r="AD513" s="7" t="s">
        <v>828</v>
      </c>
      <c r="AE513" s="171">
        <f ca="1">SUMIFS(Покупка!AE$25:AE$150,Покупка!$F$25:$F$150,$F513,Покупка!$AC$25:$AC$150,$G513)</f>
        <v>0</v>
      </c>
      <c r="AF513" s="171">
        <f ca="1">SUMIFS(Покупка!AF$25:AF$150,Покупка!$F$25:$F$150,$F513,Покупка!$AC$25:$AC$150,$G513)</f>
        <v>0</v>
      </c>
      <c r="AG513" s="171">
        <f ca="1">SUMIFS(Покупка!AG$25:AG$150,Покупка!$F$25:$F$150,$F513,Покупка!$AC$25:$AC$150,$G513)</f>
        <v>0</v>
      </c>
      <c r="AH513" s="171">
        <f t="shared" ca="1" si="140"/>
        <v>0</v>
      </c>
      <c r="AI513" s="171">
        <f ca="1">SUMIFS(Покупка!AH$25:AH$150,Покупка!$F$25:$F$150,$F513,Покупка!$AC$25:$AC$150,$G513)</f>
        <v>0</v>
      </c>
      <c r="AJ513" s="171">
        <f ca="1">SUMIFS(Покупка!AI$25:AI$150,Покупка!$F$25:$F$150,$F513,Покупка!$AC$25:$AC$150,$G513)</f>
        <v>0</v>
      </c>
      <c r="AK513" s="171">
        <f ca="1">SUMIFS(Покупка!AJ$25:AJ$150,Покупка!$F$25:$F$150,$F513,Покупка!$AC$25:$AC$150,$G513)</f>
        <v>0</v>
      </c>
      <c r="AL513" s="171">
        <f ca="1">SUMIFS(Покупка!AK$25:AK$150,Покупка!$F$25:$F$150,$F513,Покупка!$AC$25:$AC$150,$G513)</f>
        <v>0</v>
      </c>
      <c r="AM513" s="171">
        <f ca="1">SUMIFS(Покупка!AL$25:AL$150,Покупка!$F$25:$F$150,$F513,Покупка!$AC$25:$AC$150,$G513)</f>
        <v>0</v>
      </c>
      <c r="AN513" s="171">
        <f ca="1">SUMIFS(Покупка!AM$25:AM$150,Покупка!$F$25:$F$150,$F513,Покупка!$AC$25:$AC$150,$G513)</f>
        <v>0</v>
      </c>
      <c r="AO513" s="171">
        <f ca="1">SUMIFS(Покупка!AN$25:AN$150,Покупка!$F$25:$F$150,$F513,Покупка!$AC$25:$AC$150,$G513)</f>
        <v>0</v>
      </c>
      <c r="AP513" s="171">
        <f ca="1">SUMIFS(Покупка!AO$25:AO$150,Покупка!$F$25:$F$150,$F513,Покупка!$AC$25:$AC$150,$G513)</f>
        <v>0</v>
      </c>
      <c r="AQ513" s="171">
        <f ca="1">SUMIFS(Покупка!AP$25:AP$150,Покупка!$F$25:$F$150,$F513,Покупка!$AC$25:$AC$150,$G513)</f>
        <v>0</v>
      </c>
      <c r="AR513" s="171">
        <f ca="1">SUMIFS(Покупка!AQ$25:AQ$150,Покупка!$F$25:$F$150,$F513,Покупка!$AC$25:$AC$150,$G513)</f>
        <v>0</v>
      </c>
      <c r="AS513" s="171">
        <f ca="1">SUMIFS(Покупка!AR$25:AR$150,Покупка!$F$25:$F$150,$F513,Покупка!$AC$25:$AC$150,$G513)</f>
        <v>0</v>
      </c>
      <c r="AT513" s="171">
        <f ca="1">SUMIFS(Покупка!AS$25:AS$150,Покупка!$F$25:$F$150,$F513,Покупка!$AC$25:$AC$150,$G513)</f>
        <v>0</v>
      </c>
      <c r="AU513" s="171">
        <f ca="1">SUMIFS(Покупка!AT$25:AT$150,Покупка!$F$25:$F$150,$F513,Покупка!$AC$25:$AC$150,$G513)</f>
        <v>0</v>
      </c>
      <c r="AV513" s="171">
        <f ca="1">SUMIFS(Покупка!AU$25:AU$150,Покупка!$F$25:$F$150,$F513,Покупка!$AC$25:$AC$150,$G513)</f>
        <v>0</v>
      </c>
      <c r="AW513" s="171">
        <f ca="1">SUMIFS(Покупка!AV$25:AV$150,Покупка!$F$25:$F$150,$F513,Покупка!$AC$25:$AC$150,$G513)</f>
        <v>0</v>
      </c>
      <c r="AX513" s="171">
        <f ca="1">SUMIFS(Покупка!AW$25:AW$150,Покупка!$F$25:$F$150,$F513,Покупка!$AC$25:$AC$150,$G513)</f>
        <v>0</v>
      </c>
      <c r="AY513" s="171">
        <f ca="1">SUMIFS(Покупка!AX$25:AX$150,Покупка!$F$25:$F$150,$F513,Покупка!$AC$25:$AC$150,$G513)</f>
        <v>0</v>
      </c>
      <c r="AZ513" s="171">
        <f ca="1">SUMIFS(Покупка!AY$25:AY$150,Покупка!$F$25:$F$150,$F513,Покупка!$AC$25:$AC$150,$G513)</f>
        <v>0</v>
      </c>
      <c r="BA513" s="171">
        <f ca="1">SUMIFS(Покупка!AZ$25:AZ$150,Покупка!$F$25:$F$150,$F513,Покупка!$AC$25:$AC$150,$G513)</f>
        <v>0</v>
      </c>
      <c r="BB513" s="171">
        <f ca="1">SUMIFS(Покупка!BA$25:BA$150,Покупка!$F$25:$F$150,$F513,Покупка!$AC$25:$AC$150,$G513)</f>
        <v>0</v>
      </c>
      <c r="BC513" s="171">
        <f ca="1">SUMIFS(Покупка!BB$25:BB$150,Покупка!$F$25:$F$150,$F513,Покупка!$AC$25:$AC$150,$G513)</f>
        <v>0</v>
      </c>
      <c r="BD513" s="171">
        <f t="shared" ca="1" si="142"/>
        <v>0</v>
      </c>
      <c r="BE513" s="171">
        <f t="shared" ca="1" si="143"/>
        <v>0</v>
      </c>
      <c r="BF513" s="171">
        <f t="shared" ca="1" si="144"/>
        <v>0</v>
      </c>
      <c r="BG513" s="171">
        <f t="shared" ca="1" si="145"/>
        <v>0</v>
      </c>
      <c r="BH513" s="171">
        <f t="shared" ca="1" si="146"/>
        <v>0</v>
      </c>
      <c r="BI513" s="171">
        <f t="shared" ca="1" si="147"/>
        <v>0</v>
      </c>
      <c r="BJ513" s="171">
        <f t="shared" ca="1" si="148"/>
        <v>0</v>
      </c>
      <c r="BK513" s="171">
        <f t="shared" ca="1" si="149"/>
        <v>0</v>
      </c>
      <c r="BL513" s="171">
        <f t="shared" ca="1" si="150"/>
        <v>0</v>
      </c>
      <c r="BM513" s="171">
        <f t="shared" ca="1" si="151"/>
        <v>0</v>
      </c>
      <c r="BN513" s="196"/>
      <c r="BO513" s="601" t="str">
        <f ca="1">IF(IFERROR(INDEX(Покупка!$K$26:$L$150,MATCH($F513&amp;"7komm",Покупка!$K$26:$K$150,0),2),"")=0,"",IFERROR(INDEX(Покупка!$K$26:$L$150,MATCH($F513&amp;"7komm",Покупка!$K$26:$K$150,0),2),""))</f>
        <v/>
      </c>
      <c r="BP513" s="196"/>
      <c r="BS513" s="696" t="s">
        <v>1151</v>
      </c>
    </row>
    <row r="514" spans="1:75" ht="14.25" customHeight="1" x14ac:dyDescent="0.15">
      <c r="B514" s="15"/>
      <c r="C514" s="25"/>
      <c r="D514" s="25"/>
      <c r="E514" s="451">
        <v>15</v>
      </c>
      <c r="F514" s="3" t="str" cm="1">
        <f t="array" aca="1" ref="F514" ca="1">OFFSET(E514,-1,1)</f>
        <v>3</v>
      </c>
      <c r="G514" s="25" t="s">
        <v>1125</v>
      </c>
      <c r="H514" s="25"/>
      <c r="I514" s="25" t="s">
        <v>1681</v>
      </c>
      <c r="J514" s="25"/>
      <c r="K514" s="25" t="s">
        <v>1681</v>
      </c>
      <c r="L514" s="25" t="s">
        <v>1519</v>
      </c>
      <c r="M514" s="25"/>
      <c r="N514" s="25"/>
      <c r="O514" s="25"/>
      <c r="P514" s="25"/>
      <c r="Q514" s="25"/>
      <c r="R514" s="25"/>
      <c r="S514" s="25"/>
      <c r="T514" s="353" t="b" cm="1">
        <f t="array" aca="1" ref="T514" ca="1">T513</f>
        <v>1</v>
      </c>
      <c r="U514" s="25"/>
      <c r="V514" s="25"/>
      <c r="X514" s="990"/>
      <c r="Z514" s="967"/>
      <c r="AB514" s="133" t="s">
        <v>2054</v>
      </c>
      <c r="AC514" s="134" t="s">
        <v>2055</v>
      </c>
      <c r="AD514" s="7" t="s">
        <v>828</v>
      </c>
      <c r="AE514" s="171">
        <f ca="1">SUMIFS(Покупка!AE$25:AE$150,Покупка!$F$25:$F$150,$F514,Покупка!$AC$25:$AC$150,$G514)</f>
        <v>0</v>
      </c>
      <c r="AF514" s="171">
        <f ca="1">SUMIFS(Покупка!AF$25:AF$150,Покупка!$F$25:$F$150,$F514,Покупка!$AC$25:$AC$150,$G514)</f>
        <v>0</v>
      </c>
      <c r="AG514" s="171">
        <f ca="1">SUMIFS(Покупка!AG$25:AG$150,Покупка!$F$25:$F$150,$F514,Покупка!$AC$25:$AC$150,$G514)</f>
        <v>0</v>
      </c>
      <c r="AH514" s="171">
        <f t="shared" ca="1" si="140"/>
        <v>0</v>
      </c>
      <c r="AI514" s="171">
        <f ca="1">SUMIFS(Покупка!AH$25:AH$150,Покупка!$F$25:$F$150,$F514,Покупка!$AC$25:$AC$150,$G514)</f>
        <v>0</v>
      </c>
      <c r="AJ514" s="171">
        <f ca="1">SUMIFS(Покупка!AI$25:AI$150,Покупка!$F$25:$F$150,$F514,Покупка!$AC$25:$AC$150,$G514)</f>
        <v>0</v>
      </c>
      <c r="AK514" s="171">
        <f ca="1">SUMIFS(Покупка!AJ$25:AJ$150,Покупка!$F$25:$F$150,$F514,Покупка!$AC$25:$AC$150,$G514)</f>
        <v>0</v>
      </c>
      <c r="AL514" s="171">
        <f ca="1">SUMIFS(Покупка!AK$25:AK$150,Покупка!$F$25:$F$150,$F514,Покупка!$AC$25:$AC$150,$G514)</f>
        <v>0</v>
      </c>
      <c r="AM514" s="171">
        <f ca="1">SUMIFS(Покупка!AL$25:AL$150,Покупка!$F$25:$F$150,$F514,Покупка!$AC$25:$AC$150,$G514)</f>
        <v>0</v>
      </c>
      <c r="AN514" s="171">
        <f ca="1">SUMIFS(Покупка!AM$25:AM$150,Покупка!$F$25:$F$150,$F514,Покупка!$AC$25:$AC$150,$G514)</f>
        <v>0</v>
      </c>
      <c r="AO514" s="171">
        <f ca="1">SUMIFS(Покупка!AN$25:AN$150,Покупка!$F$25:$F$150,$F514,Покупка!$AC$25:$AC$150,$G514)</f>
        <v>0</v>
      </c>
      <c r="AP514" s="171">
        <f ca="1">SUMIFS(Покупка!AO$25:AO$150,Покупка!$F$25:$F$150,$F514,Покупка!$AC$25:$AC$150,$G514)</f>
        <v>0</v>
      </c>
      <c r="AQ514" s="171">
        <f ca="1">SUMIFS(Покупка!AP$25:AP$150,Покупка!$F$25:$F$150,$F514,Покупка!$AC$25:$AC$150,$G514)</f>
        <v>0</v>
      </c>
      <c r="AR514" s="171">
        <f ca="1">SUMIFS(Покупка!AQ$25:AQ$150,Покупка!$F$25:$F$150,$F514,Покупка!$AC$25:$AC$150,$G514)</f>
        <v>0</v>
      </c>
      <c r="AS514" s="171">
        <f ca="1">SUMIFS(Покупка!AR$25:AR$150,Покупка!$F$25:$F$150,$F514,Покупка!$AC$25:$AC$150,$G514)</f>
        <v>0</v>
      </c>
      <c r="AT514" s="171">
        <f ca="1">SUMIFS(Покупка!AS$25:AS$150,Покупка!$F$25:$F$150,$F514,Покупка!$AC$25:$AC$150,$G514)</f>
        <v>0</v>
      </c>
      <c r="AU514" s="171">
        <f ca="1">SUMIFS(Покупка!AT$25:AT$150,Покупка!$F$25:$F$150,$F514,Покупка!$AC$25:$AC$150,$G514)</f>
        <v>0</v>
      </c>
      <c r="AV514" s="171">
        <f ca="1">SUMIFS(Покупка!AU$25:AU$150,Покупка!$F$25:$F$150,$F514,Покупка!$AC$25:$AC$150,$G514)</f>
        <v>0</v>
      </c>
      <c r="AW514" s="171">
        <f ca="1">SUMIFS(Покупка!AV$25:AV$150,Покупка!$F$25:$F$150,$F514,Покупка!$AC$25:$AC$150,$G514)</f>
        <v>0</v>
      </c>
      <c r="AX514" s="171">
        <f ca="1">SUMIFS(Покупка!AW$25:AW$150,Покупка!$F$25:$F$150,$F514,Покупка!$AC$25:$AC$150,$G514)</f>
        <v>0</v>
      </c>
      <c r="AY514" s="171">
        <f ca="1">SUMIFS(Покупка!AX$25:AX$150,Покупка!$F$25:$F$150,$F514,Покупка!$AC$25:$AC$150,$G514)</f>
        <v>0</v>
      </c>
      <c r="AZ514" s="171">
        <f ca="1">SUMIFS(Покупка!AY$25:AY$150,Покупка!$F$25:$F$150,$F514,Покупка!$AC$25:$AC$150,$G514)</f>
        <v>0</v>
      </c>
      <c r="BA514" s="171">
        <f ca="1">SUMIFS(Покупка!AZ$25:AZ$150,Покупка!$F$25:$F$150,$F514,Покупка!$AC$25:$AC$150,$G514)</f>
        <v>0</v>
      </c>
      <c r="BB514" s="171">
        <f ca="1">SUMIFS(Покупка!BA$25:BA$150,Покупка!$F$25:$F$150,$F514,Покупка!$AC$25:$AC$150,$G514)</f>
        <v>0</v>
      </c>
      <c r="BC514" s="171">
        <f ca="1">SUMIFS(Покупка!BB$25:BB$150,Покупка!$F$25:$F$150,$F514,Покупка!$AC$25:$AC$150,$G514)</f>
        <v>0</v>
      </c>
      <c r="BD514" s="171">
        <f t="shared" ca="1" si="142"/>
        <v>0</v>
      </c>
      <c r="BE514" s="171">
        <f t="shared" ca="1" si="143"/>
        <v>0</v>
      </c>
      <c r="BF514" s="171">
        <f t="shared" ca="1" si="144"/>
        <v>0</v>
      </c>
      <c r="BG514" s="171">
        <f t="shared" ca="1" si="145"/>
        <v>0</v>
      </c>
      <c r="BH514" s="171">
        <f t="shared" ca="1" si="146"/>
        <v>0</v>
      </c>
      <c r="BI514" s="171">
        <f t="shared" ca="1" si="147"/>
        <v>0</v>
      </c>
      <c r="BJ514" s="171">
        <f t="shared" ca="1" si="148"/>
        <v>0</v>
      </c>
      <c r="BK514" s="171">
        <f t="shared" ca="1" si="149"/>
        <v>0</v>
      </c>
      <c r="BL514" s="171">
        <f t="shared" ca="1" si="150"/>
        <v>0</v>
      </c>
      <c r="BM514" s="171">
        <f t="shared" ca="1" si="151"/>
        <v>0</v>
      </c>
      <c r="BN514" s="196"/>
      <c r="BO514" s="601" t="str">
        <f ca="1">IF(IFERROR(INDEX(Покупка!$K$26:$L$150,MATCH($F514&amp;"2komm",Покупка!$K$26:$K$150,0),2),"")=0,"",IFERROR(INDEX(Покупка!$K$26:$L$150,MATCH($F514&amp;"2komm",Покупка!$K$26:$K$150,0),2),""))</f>
        <v/>
      </c>
      <c r="BP514" s="196"/>
      <c r="BS514" s="696" t="s">
        <v>2056</v>
      </c>
    </row>
    <row r="515" spans="1:75" ht="14.25" customHeight="1" x14ac:dyDescent="0.15">
      <c r="B515" s="15"/>
      <c r="C515" s="25"/>
      <c r="D515" s="25"/>
      <c r="E515" s="451">
        <v>15</v>
      </c>
      <c r="F515" s="3" t="str" cm="1">
        <f t="array" aca="1" ref="F515" ca="1">OFFSET(E515,-1,1)</f>
        <v>3</v>
      </c>
      <c r="G515" s="25" t="s">
        <v>1116</v>
      </c>
      <c r="H515" s="25"/>
      <c r="I515" s="25" t="s">
        <v>1683</v>
      </c>
      <c r="J515" s="25"/>
      <c r="K515" s="25" t="s">
        <v>1683</v>
      </c>
      <c r="L515" s="25" t="s">
        <v>1514</v>
      </c>
      <c r="M515" s="25"/>
      <c r="N515" s="25"/>
      <c r="O515" s="25"/>
      <c r="P515" s="25"/>
      <c r="Q515" s="25"/>
      <c r="R515" s="25"/>
      <c r="S515" s="25"/>
      <c r="T515" s="353" t="b" cm="1">
        <f t="array" aca="1" ref="T515" ca="1">T514</f>
        <v>1</v>
      </c>
      <c r="U515" s="25"/>
      <c r="V515" s="25"/>
      <c r="X515" s="990"/>
      <c r="Z515" s="967"/>
      <c r="AB515" s="133" t="s">
        <v>2057</v>
      </c>
      <c r="AC515" s="134" t="s">
        <v>2058</v>
      </c>
      <c r="AD515" s="7" t="s">
        <v>828</v>
      </c>
      <c r="AE515" s="171">
        <f ca="1">SUMIFS(Покупка!AE$25:AE$150,Покупка!$F$25:$F$150,$F515,Покупка!$AC$25:$AC$150,$G515)</f>
        <v>0</v>
      </c>
      <c r="AF515" s="171">
        <f ca="1">SUMIFS(Покупка!AF$25:AF$150,Покупка!$F$25:$F$150,$F515,Покупка!$AC$25:$AC$150,$G515)</f>
        <v>0</v>
      </c>
      <c r="AG515" s="171">
        <f ca="1">SUMIFS(Покупка!AG$25:AG$150,Покупка!$F$25:$F$150,$F515,Покупка!$AC$25:$AC$150,$G515)</f>
        <v>0</v>
      </c>
      <c r="AH515" s="171">
        <f t="shared" ca="1" si="140"/>
        <v>0</v>
      </c>
      <c r="AI515" s="171">
        <f ca="1">SUMIFS(Покупка!AH$25:AH$150,Покупка!$F$25:$F$150,$F515,Покупка!$AC$25:$AC$150,$G515)</f>
        <v>0</v>
      </c>
      <c r="AJ515" s="171">
        <f ca="1">SUMIFS(Покупка!AI$25:AI$150,Покупка!$F$25:$F$150,$F515,Покупка!$AC$25:$AC$150,$G515)</f>
        <v>0</v>
      </c>
      <c r="AK515" s="171">
        <f ca="1">SUMIFS(Покупка!AJ$25:AJ$150,Покупка!$F$25:$F$150,$F515,Покупка!$AC$25:$AC$150,$G515)</f>
        <v>0</v>
      </c>
      <c r="AL515" s="171">
        <f ca="1">SUMIFS(Покупка!AK$25:AK$150,Покупка!$F$25:$F$150,$F515,Покупка!$AC$25:$AC$150,$G515)</f>
        <v>0</v>
      </c>
      <c r="AM515" s="171">
        <f ca="1">SUMIFS(Покупка!AL$25:AL$150,Покупка!$F$25:$F$150,$F515,Покупка!$AC$25:$AC$150,$G515)</f>
        <v>0</v>
      </c>
      <c r="AN515" s="171">
        <f ca="1">SUMIFS(Покупка!AM$25:AM$150,Покупка!$F$25:$F$150,$F515,Покупка!$AC$25:$AC$150,$G515)</f>
        <v>0</v>
      </c>
      <c r="AO515" s="171">
        <f ca="1">SUMIFS(Покупка!AN$25:AN$150,Покупка!$F$25:$F$150,$F515,Покупка!$AC$25:$AC$150,$G515)</f>
        <v>0</v>
      </c>
      <c r="AP515" s="171">
        <f ca="1">SUMIFS(Покупка!AO$25:AO$150,Покупка!$F$25:$F$150,$F515,Покупка!$AC$25:$AC$150,$G515)</f>
        <v>0</v>
      </c>
      <c r="AQ515" s="171">
        <f ca="1">SUMIFS(Покупка!AP$25:AP$150,Покупка!$F$25:$F$150,$F515,Покупка!$AC$25:$AC$150,$G515)</f>
        <v>0</v>
      </c>
      <c r="AR515" s="171">
        <f ca="1">SUMIFS(Покупка!AQ$25:AQ$150,Покупка!$F$25:$F$150,$F515,Покупка!$AC$25:$AC$150,$G515)</f>
        <v>0</v>
      </c>
      <c r="AS515" s="171">
        <f ca="1">SUMIFS(Покупка!AR$25:AR$150,Покупка!$F$25:$F$150,$F515,Покупка!$AC$25:$AC$150,$G515)</f>
        <v>0</v>
      </c>
      <c r="AT515" s="171">
        <f ca="1">SUMIFS(Покупка!AS$25:AS$150,Покупка!$F$25:$F$150,$F515,Покупка!$AC$25:$AC$150,$G515)</f>
        <v>0</v>
      </c>
      <c r="AU515" s="171">
        <f ca="1">SUMIFS(Покупка!AT$25:AT$150,Покупка!$F$25:$F$150,$F515,Покупка!$AC$25:$AC$150,$G515)</f>
        <v>0</v>
      </c>
      <c r="AV515" s="171">
        <f ca="1">SUMIFS(Покупка!AU$25:AU$150,Покупка!$F$25:$F$150,$F515,Покупка!$AC$25:$AC$150,$G515)</f>
        <v>0</v>
      </c>
      <c r="AW515" s="171">
        <f ca="1">SUMIFS(Покупка!AV$25:AV$150,Покупка!$F$25:$F$150,$F515,Покупка!$AC$25:$AC$150,$G515)</f>
        <v>0</v>
      </c>
      <c r="AX515" s="171">
        <f ca="1">SUMIFS(Покупка!AW$25:AW$150,Покупка!$F$25:$F$150,$F515,Покупка!$AC$25:$AC$150,$G515)</f>
        <v>0</v>
      </c>
      <c r="AY515" s="171">
        <f ca="1">SUMIFS(Покупка!AX$25:AX$150,Покупка!$F$25:$F$150,$F515,Покупка!$AC$25:$AC$150,$G515)</f>
        <v>0</v>
      </c>
      <c r="AZ515" s="171">
        <f ca="1">SUMIFS(Покупка!AY$25:AY$150,Покупка!$F$25:$F$150,$F515,Покупка!$AC$25:$AC$150,$G515)</f>
        <v>0</v>
      </c>
      <c r="BA515" s="171">
        <f ca="1">SUMIFS(Покупка!AZ$25:AZ$150,Покупка!$F$25:$F$150,$F515,Покупка!$AC$25:$AC$150,$G515)</f>
        <v>0</v>
      </c>
      <c r="BB515" s="171">
        <f ca="1">SUMIFS(Покупка!BA$25:BA$150,Покупка!$F$25:$F$150,$F515,Покупка!$AC$25:$AC$150,$G515)</f>
        <v>0</v>
      </c>
      <c r="BC515" s="171">
        <f ca="1">SUMIFS(Покупка!BB$25:BB$150,Покупка!$F$25:$F$150,$F515,Покупка!$AC$25:$AC$150,$G515)</f>
        <v>0</v>
      </c>
      <c r="BD515" s="171">
        <f t="shared" ca="1" si="142"/>
        <v>0</v>
      </c>
      <c r="BE515" s="171">
        <f t="shared" ca="1" si="143"/>
        <v>0</v>
      </c>
      <c r="BF515" s="171">
        <f t="shared" ca="1" si="144"/>
        <v>0</v>
      </c>
      <c r="BG515" s="171">
        <f t="shared" ca="1" si="145"/>
        <v>0</v>
      </c>
      <c r="BH515" s="171">
        <f t="shared" ca="1" si="146"/>
        <v>0</v>
      </c>
      <c r="BI515" s="171">
        <f t="shared" ca="1" si="147"/>
        <v>0</v>
      </c>
      <c r="BJ515" s="171">
        <f t="shared" ca="1" si="148"/>
        <v>0</v>
      </c>
      <c r="BK515" s="171">
        <f t="shared" ca="1" si="149"/>
        <v>0</v>
      </c>
      <c r="BL515" s="171">
        <f t="shared" ca="1" si="150"/>
        <v>0</v>
      </c>
      <c r="BM515" s="171">
        <f t="shared" ca="1" si="151"/>
        <v>0</v>
      </c>
      <c r="BN515" s="196"/>
      <c r="BO515" s="601" t="str">
        <f ca="1">IF(IFERROR(INDEX(Покупка!$K$26:$L$150,MATCH($F515&amp;"1komm",Покупка!$K$26:$K$150,0),2),"")=0,"",IFERROR(INDEX(Покупка!$K$26:$L$150,MATCH($F515&amp;"1komm",Покупка!$K$26:$K$150,0),2),""))</f>
        <v/>
      </c>
      <c r="BP515" s="196"/>
      <c r="BS515" s="696" t="s">
        <v>2059</v>
      </c>
    </row>
    <row r="516" spans="1:75" ht="14.25" customHeight="1" x14ac:dyDescent="0.15">
      <c r="B516" s="15"/>
      <c r="C516" s="25"/>
      <c r="D516" s="25"/>
      <c r="E516" s="451">
        <v>15</v>
      </c>
      <c r="F516" s="3" t="str" cm="1">
        <f t="array" aca="1" ref="F516" ca="1">OFFSET(E516,-1,1)</f>
        <v>3</v>
      </c>
      <c r="G516" s="25" t="s">
        <v>1152</v>
      </c>
      <c r="H516" s="25"/>
      <c r="I516" s="25" t="s">
        <v>1686</v>
      </c>
      <c r="J516" s="25"/>
      <c r="K516" s="25" t="s">
        <v>1686</v>
      </c>
      <c r="L516" s="25"/>
      <c r="M516" s="25"/>
      <c r="N516" s="25"/>
      <c r="O516" s="25"/>
      <c r="P516" s="25"/>
      <c r="Q516" s="25"/>
      <c r="R516" s="25"/>
      <c r="S516" s="25"/>
      <c r="T516" s="353" t="b" cm="1">
        <f t="array" aca="1" ref="T516" ca="1">T515</f>
        <v>1</v>
      </c>
      <c r="U516" s="25"/>
      <c r="V516" s="25"/>
      <c r="X516" s="990"/>
      <c r="Z516" s="967"/>
      <c r="AB516" s="133" t="s">
        <v>2060</v>
      </c>
      <c r="AC516" s="134" t="s">
        <v>2061</v>
      </c>
      <c r="AD516" s="7" t="s">
        <v>828</v>
      </c>
      <c r="AE516" s="171">
        <f ca="1">SUMIFS(Покупка!AE$25:AE$150,Покупка!$F$25:$F$150,$F516,Покупка!$AC$25:$AC$150,$G516)</f>
        <v>0</v>
      </c>
      <c r="AF516" s="171">
        <f ca="1">SUMIFS(Покупка!AF$25:AF$150,Покупка!$F$25:$F$150,$F516,Покупка!$AC$25:$AC$150,$G516)</f>
        <v>0</v>
      </c>
      <c r="AG516" s="171">
        <f ca="1">SUMIFS(Покупка!AG$25:AG$150,Покупка!$F$25:$F$150,$F516,Покупка!$AC$25:$AC$150,$G516)</f>
        <v>0</v>
      </c>
      <c r="AH516" s="171">
        <f t="shared" ca="1" si="140"/>
        <v>0</v>
      </c>
      <c r="AI516" s="171">
        <f ca="1">SUMIFS(Покупка!AH$25:AH$150,Покупка!$F$25:$F$150,$F516,Покупка!$AC$25:$AC$150,$G516)</f>
        <v>0</v>
      </c>
      <c r="AJ516" s="171">
        <f ca="1">SUMIFS(Покупка!AI$25:AI$150,Покупка!$F$25:$F$150,$F516,Покупка!$AC$25:$AC$150,$G516)</f>
        <v>0</v>
      </c>
      <c r="AK516" s="171">
        <f ca="1">SUMIFS(Покупка!AJ$25:AJ$150,Покупка!$F$25:$F$150,$F516,Покупка!$AC$25:$AC$150,$G516)</f>
        <v>0</v>
      </c>
      <c r="AL516" s="171">
        <f ca="1">SUMIFS(Покупка!AK$25:AK$150,Покупка!$F$25:$F$150,$F516,Покупка!$AC$25:$AC$150,$G516)</f>
        <v>0</v>
      </c>
      <c r="AM516" s="171">
        <f ca="1">SUMIFS(Покупка!AL$25:AL$150,Покупка!$F$25:$F$150,$F516,Покупка!$AC$25:$AC$150,$G516)</f>
        <v>0</v>
      </c>
      <c r="AN516" s="171">
        <f ca="1">SUMIFS(Покупка!AM$25:AM$150,Покупка!$F$25:$F$150,$F516,Покупка!$AC$25:$AC$150,$G516)</f>
        <v>0</v>
      </c>
      <c r="AO516" s="171">
        <f ca="1">SUMIFS(Покупка!AN$25:AN$150,Покупка!$F$25:$F$150,$F516,Покупка!$AC$25:$AC$150,$G516)</f>
        <v>0</v>
      </c>
      <c r="AP516" s="171">
        <f ca="1">SUMIFS(Покупка!AO$25:AO$150,Покупка!$F$25:$F$150,$F516,Покупка!$AC$25:$AC$150,$G516)</f>
        <v>0</v>
      </c>
      <c r="AQ516" s="171">
        <f ca="1">SUMIFS(Покупка!AP$25:AP$150,Покупка!$F$25:$F$150,$F516,Покупка!$AC$25:$AC$150,$G516)</f>
        <v>0</v>
      </c>
      <c r="AR516" s="171">
        <f ca="1">SUMIFS(Покупка!AQ$25:AQ$150,Покупка!$F$25:$F$150,$F516,Покупка!$AC$25:$AC$150,$G516)</f>
        <v>0</v>
      </c>
      <c r="AS516" s="171">
        <f ca="1">SUMIFS(Покупка!AR$25:AR$150,Покупка!$F$25:$F$150,$F516,Покупка!$AC$25:$AC$150,$G516)</f>
        <v>0</v>
      </c>
      <c r="AT516" s="171">
        <f ca="1">SUMIFS(Покупка!AS$25:AS$150,Покупка!$F$25:$F$150,$F516,Покупка!$AC$25:$AC$150,$G516)</f>
        <v>0</v>
      </c>
      <c r="AU516" s="171">
        <f ca="1">SUMIFS(Покупка!AT$25:AT$150,Покупка!$F$25:$F$150,$F516,Покупка!$AC$25:$AC$150,$G516)</f>
        <v>0</v>
      </c>
      <c r="AV516" s="171">
        <f ca="1">SUMIFS(Покупка!AU$25:AU$150,Покупка!$F$25:$F$150,$F516,Покупка!$AC$25:$AC$150,$G516)</f>
        <v>0</v>
      </c>
      <c r="AW516" s="171">
        <f ca="1">SUMIFS(Покупка!AV$25:AV$150,Покупка!$F$25:$F$150,$F516,Покупка!$AC$25:$AC$150,$G516)</f>
        <v>0</v>
      </c>
      <c r="AX516" s="171">
        <f ca="1">SUMIFS(Покупка!AW$25:AW$150,Покупка!$F$25:$F$150,$F516,Покупка!$AC$25:$AC$150,$G516)</f>
        <v>0</v>
      </c>
      <c r="AY516" s="171">
        <f ca="1">SUMIFS(Покупка!AX$25:AX$150,Покупка!$F$25:$F$150,$F516,Покупка!$AC$25:$AC$150,$G516)</f>
        <v>0</v>
      </c>
      <c r="AZ516" s="171">
        <f ca="1">SUMIFS(Покупка!AY$25:AY$150,Покупка!$F$25:$F$150,$F516,Покупка!$AC$25:$AC$150,$G516)</f>
        <v>0</v>
      </c>
      <c r="BA516" s="171">
        <f ca="1">SUMIFS(Покупка!AZ$25:AZ$150,Покупка!$F$25:$F$150,$F516,Покупка!$AC$25:$AC$150,$G516)</f>
        <v>0</v>
      </c>
      <c r="BB516" s="171">
        <f ca="1">SUMIFS(Покупка!BA$25:BA$150,Покупка!$F$25:$F$150,$F516,Покупка!$AC$25:$AC$150,$G516)</f>
        <v>0</v>
      </c>
      <c r="BC516" s="171">
        <f ca="1">SUMIFS(Покупка!BB$25:BB$150,Покупка!$F$25:$F$150,$F516,Покупка!$AC$25:$AC$150,$G516)</f>
        <v>0</v>
      </c>
      <c r="BD516" s="171">
        <f t="shared" ca="1" si="142"/>
        <v>0</v>
      </c>
      <c r="BE516" s="171">
        <f t="shared" ca="1" si="143"/>
        <v>0</v>
      </c>
      <c r="BF516" s="171">
        <f t="shared" ca="1" si="144"/>
        <v>0</v>
      </c>
      <c r="BG516" s="171">
        <f t="shared" ca="1" si="145"/>
        <v>0</v>
      </c>
      <c r="BH516" s="171">
        <f t="shared" ca="1" si="146"/>
        <v>0</v>
      </c>
      <c r="BI516" s="171">
        <f t="shared" ca="1" si="147"/>
        <v>0</v>
      </c>
      <c r="BJ516" s="171">
        <f t="shared" ca="1" si="148"/>
        <v>0</v>
      </c>
      <c r="BK516" s="171">
        <f t="shared" ca="1" si="149"/>
        <v>0</v>
      </c>
      <c r="BL516" s="171">
        <f t="shared" ca="1" si="150"/>
        <v>0</v>
      </c>
      <c r="BM516" s="171">
        <f t="shared" ca="1" si="151"/>
        <v>0</v>
      </c>
      <c r="BN516" s="196"/>
      <c r="BO516" s="601" t="str">
        <f ca="1">IF(IFERROR(INDEX(Покупка!$K$26:$L$150,MATCH($F516&amp;"8komm",Покупка!$K$26:$K$150,0),2),"")=0,"",IFERROR(INDEX(Покупка!$K$26:$L$150,MATCH($F516&amp;"8komm",Покупка!$K$26:$K$150,0),2),""))</f>
        <v/>
      </c>
      <c r="BP516" s="196"/>
      <c r="BS516" s="696" t="s">
        <v>1153</v>
      </c>
    </row>
    <row r="517" spans="1:75" ht="14.25" customHeight="1" x14ac:dyDescent="0.15">
      <c r="B517" s="15"/>
      <c r="C517" s="25"/>
      <c r="D517" s="25"/>
      <c r="E517" s="451">
        <v>15</v>
      </c>
      <c r="F517" s="3" t="str" cm="1">
        <f t="array" aca="1" ref="F517" ca="1">OFFSET(E517,-1,1)</f>
        <v>3</v>
      </c>
      <c r="G517" s="25"/>
      <c r="H517" s="25"/>
      <c r="I517" s="25" t="s">
        <v>2062</v>
      </c>
      <c r="J517" s="25"/>
      <c r="K517" s="25" t="s">
        <v>2062</v>
      </c>
      <c r="L517" s="25"/>
      <c r="M517" s="25"/>
      <c r="N517" s="25"/>
      <c r="O517" s="25"/>
      <c r="P517" s="25"/>
      <c r="Q517" s="25"/>
      <c r="R517" s="25"/>
      <c r="S517" s="25"/>
      <c r="T517" s="353" t="b" cm="1">
        <f t="array" aca="1" ref="T517" ca="1">T516</f>
        <v>1</v>
      </c>
      <c r="U517" s="25"/>
      <c r="V517" s="25"/>
      <c r="X517" s="990"/>
      <c r="Z517" s="967"/>
      <c r="AB517" s="133" t="s">
        <v>2063</v>
      </c>
      <c r="AC517" s="134" t="s">
        <v>2064</v>
      </c>
      <c r="AD517" s="7" t="s">
        <v>828</v>
      </c>
      <c r="AE517" s="128"/>
      <c r="AF517" s="128"/>
      <c r="AG517" s="128"/>
      <c r="AH517" s="171">
        <f t="shared" si="140"/>
        <v>0</v>
      </c>
      <c r="AI517" s="128"/>
      <c r="AJ517" s="128"/>
      <c r="AK517" s="778"/>
      <c r="AL517" s="778"/>
      <c r="AM517" s="128"/>
      <c r="AN517" s="128"/>
      <c r="AO517" s="128"/>
      <c r="AP517" s="128"/>
      <c r="AQ517" s="128"/>
      <c r="AR517" s="128"/>
      <c r="AS517" s="128"/>
      <c r="AT517" s="128"/>
      <c r="AU517" s="778"/>
      <c r="AV517" s="778"/>
      <c r="AW517" s="128"/>
      <c r="AX517" s="128"/>
      <c r="AY517" s="128"/>
      <c r="AZ517" s="128"/>
      <c r="BA517" s="128"/>
      <c r="BB517" s="128"/>
      <c r="BC517" s="128"/>
      <c r="BD517" s="171">
        <f t="shared" si="142"/>
        <v>0</v>
      </c>
      <c r="BE517" s="171">
        <f t="shared" si="143"/>
        <v>0</v>
      </c>
      <c r="BF517" s="171">
        <f t="shared" si="144"/>
        <v>0</v>
      </c>
      <c r="BG517" s="171">
        <f t="shared" si="145"/>
        <v>0</v>
      </c>
      <c r="BH517" s="171">
        <f t="shared" si="146"/>
        <v>0</v>
      </c>
      <c r="BI517" s="171">
        <f t="shared" si="147"/>
        <v>0</v>
      </c>
      <c r="BJ517" s="171">
        <f t="shared" si="148"/>
        <v>0</v>
      </c>
      <c r="BK517" s="171">
        <f t="shared" si="149"/>
        <v>0</v>
      </c>
      <c r="BL517" s="171">
        <f t="shared" si="150"/>
        <v>0</v>
      </c>
      <c r="BM517" s="171">
        <f t="shared" si="151"/>
        <v>0</v>
      </c>
      <c r="BN517" s="196"/>
      <c r="BO517" s="196"/>
      <c r="BP517" s="196"/>
      <c r="BS517" s="696" t="s">
        <v>2065</v>
      </c>
    </row>
    <row r="518" spans="1:75" ht="14.25" customHeight="1" x14ac:dyDescent="0.15">
      <c r="B518" s="15"/>
      <c r="C518" s="25"/>
      <c r="D518" s="25"/>
      <c r="E518" s="451">
        <v>15</v>
      </c>
      <c r="F518" s="3" t="str" cm="1">
        <f t="array" aca="1" ref="F518" ca="1">OFFSET(E518,-1,1)</f>
        <v>3</v>
      </c>
      <c r="G518" s="25"/>
      <c r="H518" s="25"/>
      <c r="I518" s="25" t="s">
        <v>2066</v>
      </c>
      <c r="J518" s="25"/>
      <c r="K518" s="25" t="s">
        <v>2066</v>
      </c>
      <c r="L518" s="25"/>
      <c r="M518" s="25"/>
      <c r="N518" s="25"/>
      <c r="O518" s="25"/>
      <c r="P518" s="25"/>
      <c r="Q518" s="25"/>
      <c r="R518" s="25"/>
      <c r="S518" s="25"/>
      <c r="T518" s="353" t="b" cm="1">
        <f t="array" aca="1" ref="T518" ca="1">T517</f>
        <v>1</v>
      </c>
      <c r="U518" s="25"/>
      <c r="V518" s="25"/>
      <c r="X518" s="990"/>
      <c r="Z518" s="967"/>
      <c r="AB518" s="133" t="s">
        <v>2067</v>
      </c>
      <c r="AC518" s="134" t="s">
        <v>2068</v>
      </c>
      <c r="AD518" s="7" t="s">
        <v>828</v>
      </c>
      <c r="AE518" s="128"/>
      <c r="AF518" s="128"/>
      <c r="AG518" s="128"/>
      <c r="AH518" s="171">
        <f t="shared" si="140"/>
        <v>0</v>
      </c>
      <c r="AI518" s="128"/>
      <c r="AJ518" s="128"/>
      <c r="AK518" s="778"/>
      <c r="AL518" s="778"/>
      <c r="AM518" s="128"/>
      <c r="AN518" s="128"/>
      <c r="AO518" s="128"/>
      <c r="AP518" s="128"/>
      <c r="AQ518" s="128"/>
      <c r="AR518" s="128"/>
      <c r="AS518" s="128"/>
      <c r="AT518" s="128"/>
      <c r="AU518" s="778"/>
      <c r="AV518" s="778"/>
      <c r="AW518" s="128"/>
      <c r="AX518" s="128"/>
      <c r="AY518" s="128"/>
      <c r="AZ518" s="128"/>
      <c r="BA518" s="128"/>
      <c r="BB518" s="128"/>
      <c r="BC518" s="128"/>
      <c r="BD518" s="171">
        <f t="shared" si="142"/>
        <v>0</v>
      </c>
      <c r="BE518" s="171">
        <f t="shared" si="143"/>
        <v>0</v>
      </c>
      <c r="BF518" s="171">
        <f t="shared" si="144"/>
        <v>0</v>
      </c>
      <c r="BG518" s="171">
        <f t="shared" si="145"/>
        <v>0</v>
      </c>
      <c r="BH518" s="171">
        <f t="shared" si="146"/>
        <v>0</v>
      </c>
      <c r="BI518" s="171">
        <f t="shared" si="147"/>
        <v>0</v>
      </c>
      <c r="BJ518" s="171">
        <f t="shared" si="148"/>
        <v>0</v>
      </c>
      <c r="BK518" s="171">
        <f t="shared" si="149"/>
        <v>0</v>
      </c>
      <c r="BL518" s="171">
        <f t="shared" si="150"/>
        <v>0</v>
      </c>
      <c r="BM518" s="171">
        <f t="shared" si="151"/>
        <v>0</v>
      </c>
      <c r="BN518" s="196"/>
      <c r="BO518" s="196"/>
      <c r="BP518" s="196"/>
      <c r="BS518" s="696" t="s">
        <v>2069</v>
      </c>
    </row>
    <row r="519" spans="1:75" ht="14.25" customHeight="1" x14ac:dyDescent="0.15">
      <c r="B519" s="15"/>
      <c r="C519" s="25"/>
      <c r="D519" s="25"/>
      <c r="E519" s="451">
        <v>15</v>
      </c>
      <c r="F519" s="3" t="str" cm="1">
        <f t="array" aca="1" ref="F519" ca="1">OFFSET(E519,-1,1)</f>
        <v>3</v>
      </c>
      <c r="G519" s="25" t="s">
        <v>1130</v>
      </c>
      <c r="H519" s="25"/>
      <c r="I519" s="25" t="s">
        <v>2070</v>
      </c>
      <c r="J519" s="25"/>
      <c r="K519" s="25" t="s">
        <v>2070</v>
      </c>
      <c r="L519" s="25" t="s">
        <v>1528</v>
      </c>
      <c r="M519" s="25"/>
      <c r="N519" s="25"/>
      <c r="O519" s="25"/>
      <c r="P519" s="25"/>
      <c r="Q519" s="25"/>
      <c r="R519" s="25"/>
      <c r="S519" s="25"/>
      <c r="T519" s="353" t="b" cm="1">
        <f t="array" aca="1" ref="T519" ca="1">T518</f>
        <v>1</v>
      </c>
      <c r="U519" s="25"/>
      <c r="V519" s="25"/>
      <c r="X519" s="990"/>
      <c r="Z519" s="967"/>
      <c r="AB519" s="133" t="s">
        <v>2071</v>
      </c>
      <c r="AC519" s="134" t="s">
        <v>2072</v>
      </c>
      <c r="AD519" s="7" t="s">
        <v>828</v>
      </c>
      <c r="AE519" s="171">
        <f ca="1">SUMIFS(Покупка!AE$25:AE$150,Покупка!$F$25:$F$150,$F519,Покупка!$AC$25:$AC$150,$G519)</f>
        <v>0</v>
      </c>
      <c r="AF519" s="171">
        <f ca="1">SUMIFS(Покупка!AF$25:AF$150,Покупка!$F$25:$F$150,$F519,Покупка!$AC$25:$AC$150,$G519)</f>
        <v>0</v>
      </c>
      <c r="AG519" s="171">
        <f ca="1">SUMIFS(Покупка!AG$25:AG$150,Покупка!$F$25:$F$150,$F519,Покупка!$AC$25:$AC$150,$G519)</f>
        <v>0</v>
      </c>
      <c r="AH519" s="171">
        <f t="shared" ca="1" si="140"/>
        <v>0</v>
      </c>
      <c r="AI519" s="171">
        <f ca="1">SUMIFS(Покупка!AH$25:AH$150,Покупка!$F$25:$F$150,$F519,Покупка!$AC$25:$AC$150,$G519)</f>
        <v>0</v>
      </c>
      <c r="AJ519" s="171">
        <f ca="1">SUMIFS(Покупка!AI$25:AI$150,Покупка!$F$25:$F$150,$F519,Покупка!$AC$25:$AC$150,$G519)</f>
        <v>0</v>
      </c>
      <c r="AK519" s="171">
        <f ca="1">SUMIFS(Покупка!AJ$25:AJ$150,Покупка!$F$25:$F$150,$F519,Покупка!$AC$25:$AC$150,$G519)</f>
        <v>0</v>
      </c>
      <c r="AL519" s="171">
        <f ca="1">SUMIFS(Покупка!AK$25:AK$150,Покупка!$F$25:$F$150,$F519,Покупка!$AC$25:$AC$150,$G519)</f>
        <v>0</v>
      </c>
      <c r="AM519" s="171">
        <f ca="1">SUMIFS(Покупка!AL$25:AL$150,Покупка!$F$25:$F$150,$F519,Покупка!$AC$25:$AC$150,$G519)</f>
        <v>0</v>
      </c>
      <c r="AN519" s="171">
        <f ca="1">SUMIFS(Покупка!AM$25:AM$150,Покупка!$F$25:$F$150,$F519,Покупка!$AC$25:$AC$150,$G519)</f>
        <v>0</v>
      </c>
      <c r="AO519" s="171">
        <f ca="1">SUMIFS(Покупка!AN$25:AN$150,Покупка!$F$25:$F$150,$F519,Покупка!$AC$25:$AC$150,$G519)</f>
        <v>0</v>
      </c>
      <c r="AP519" s="171">
        <f ca="1">SUMIFS(Покупка!AO$25:AO$150,Покупка!$F$25:$F$150,$F519,Покупка!$AC$25:$AC$150,$G519)</f>
        <v>0</v>
      </c>
      <c r="AQ519" s="171">
        <f ca="1">SUMIFS(Покупка!AP$25:AP$150,Покупка!$F$25:$F$150,$F519,Покупка!$AC$25:$AC$150,$G519)</f>
        <v>0</v>
      </c>
      <c r="AR519" s="171">
        <f ca="1">SUMIFS(Покупка!AQ$25:AQ$150,Покупка!$F$25:$F$150,$F519,Покупка!$AC$25:$AC$150,$G519)</f>
        <v>0</v>
      </c>
      <c r="AS519" s="171">
        <f ca="1">SUMIFS(Покупка!AR$25:AR$150,Покупка!$F$25:$F$150,$F519,Покупка!$AC$25:$AC$150,$G519)</f>
        <v>0</v>
      </c>
      <c r="AT519" s="171">
        <f ca="1">SUMIFS(Покупка!AS$25:AS$150,Покупка!$F$25:$F$150,$F519,Покупка!$AC$25:$AC$150,$G519)</f>
        <v>0</v>
      </c>
      <c r="AU519" s="171">
        <f ca="1">SUMIFS(Покупка!AT$25:AT$150,Покупка!$F$25:$F$150,$F519,Покупка!$AC$25:$AC$150,$G519)</f>
        <v>0</v>
      </c>
      <c r="AV519" s="171">
        <f ca="1">SUMIFS(Покупка!AU$25:AU$150,Покупка!$F$25:$F$150,$F519,Покупка!$AC$25:$AC$150,$G519)</f>
        <v>0</v>
      </c>
      <c r="AW519" s="171">
        <f ca="1">SUMIFS(Покупка!AV$25:AV$150,Покупка!$F$25:$F$150,$F519,Покупка!$AC$25:$AC$150,$G519)</f>
        <v>0</v>
      </c>
      <c r="AX519" s="171">
        <f ca="1">SUMIFS(Покупка!AW$25:AW$150,Покупка!$F$25:$F$150,$F519,Покупка!$AC$25:$AC$150,$G519)</f>
        <v>0</v>
      </c>
      <c r="AY519" s="171">
        <f ca="1">SUMIFS(Покупка!AX$25:AX$150,Покупка!$F$25:$F$150,$F519,Покупка!$AC$25:$AC$150,$G519)</f>
        <v>0</v>
      </c>
      <c r="AZ519" s="171">
        <f ca="1">SUMIFS(Покупка!AY$25:AY$150,Покупка!$F$25:$F$150,$F519,Покупка!$AC$25:$AC$150,$G519)</f>
        <v>0</v>
      </c>
      <c r="BA519" s="171">
        <f ca="1">SUMIFS(Покупка!AZ$25:AZ$150,Покупка!$F$25:$F$150,$F519,Покупка!$AC$25:$AC$150,$G519)</f>
        <v>0</v>
      </c>
      <c r="BB519" s="171">
        <f ca="1">SUMIFS(Покупка!BA$25:BA$150,Покупка!$F$25:$F$150,$F519,Покупка!$AC$25:$AC$150,$G519)</f>
        <v>0</v>
      </c>
      <c r="BC519" s="171">
        <f ca="1">SUMIFS(Покупка!BB$25:BB$150,Покупка!$F$25:$F$150,$F519,Покупка!$AC$25:$AC$150,$G519)</f>
        <v>0</v>
      </c>
      <c r="BD519" s="171">
        <f t="shared" ca="1" si="142"/>
        <v>0</v>
      </c>
      <c r="BE519" s="171">
        <f t="shared" ca="1" si="143"/>
        <v>0</v>
      </c>
      <c r="BF519" s="171">
        <f t="shared" ca="1" si="144"/>
        <v>0</v>
      </c>
      <c r="BG519" s="171">
        <f t="shared" ca="1" si="145"/>
        <v>0</v>
      </c>
      <c r="BH519" s="171">
        <f t="shared" ca="1" si="146"/>
        <v>0</v>
      </c>
      <c r="BI519" s="171">
        <f t="shared" ca="1" si="147"/>
        <v>0</v>
      </c>
      <c r="BJ519" s="171">
        <f t="shared" ca="1" si="148"/>
        <v>0</v>
      </c>
      <c r="BK519" s="171">
        <f t="shared" ca="1" si="149"/>
        <v>0</v>
      </c>
      <c r="BL519" s="171">
        <f t="shared" ca="1" si="150"/>
        <v>0</v>
      </c>
      <c r="BM519" s="171">
        <f t="shared" ca="1" si="151"/>
        <v>0</v>
      </c>
      <c r="BN519" s="196"/>
      <c r="BO519" s="601" t="str">
        <f ca="1">IF(IFERROR(INDEX(Покупка!$K$26:$L$150,MATCH($F519&amp;"3komm",Покупка!$K$26:$K$150,0),2),"")=0,"",IFERROR(INDEX(Покупка!$K$26:$L$150,MATCH($F519&amp;"3komm",Покупка!$K$26:$K$150,0),2),""))</f>
        <v/>
      </c>
      <c r="BP519" s="196"/>
      <c r="BS519" s="696" t="s">
        <v>1763</v>
      </c>
    </row>
    <row r="520" spans="1:75" ht="14.25" customHeight="1" x14ac:dyDescent="0.15">
      <c r="B520" s="15"/>
      <c r="C520" s="25"/>
      <c r="D520" s="25"/>
      <c r="E520" s="451">
        <v>15</v>
      </c>
      <c r="F520" s="3" t="str" cm="1">
        <f t="array" aca="1" ref="F520" ca="1">OFFSET(E520,-1,1)</f>
        <v>3</v>
      </c>
      <c r="G520" s="25" t="s">
        <v>1136</v>
      </c>
      <c r="H520" s="25"/>
      <c r="I520" s="25" t="s">
        <v>2073</v>
      </c>
      <c r="J520" s="25"/>
      <c r="K520" s="25" t="s">
        <v>2073</v>
      </c>
      <c r="L520" s="25" t="s">
        <v>1533</v>
      </c>
      <c r="M520" s="25"/>
      <c r="N520" s="25"/>
      <c r="O520" s="25"/>
      <c r="P520" s="25"/>
      <c r="Q520" s="25"/>
      <c r="R520" s="25"/>
      <c r="S520" s="25"/>
      <c r="T520" s="353" t="b" cm="1">
        <f t="array" aca="1" ref="T520" ca="1">T519</f>
        <v>1</v>
      </c>
      <c r="U520" s="25"/>
      <c r="V520" s="25"/>
      <c r="X520" s="990"/>
      <c r="Z520" s="967"/>
      <c r="AB520" s="133" t="s">
        <v>2074</v>
      </c>
      <c r="AC520" s="134" t="s">
        <v>2075</v>
      </c>
      <c r="AD520" s="7" t="s">
        <v>828</v>
      </c>
      <c r="AE520" s="171">
        <f ca="1">SUMIFS(Покупка!AE$25:AE$150,Покупка!$F$25:$F$150,$F520,Покупка!$AC$25:$AC$150,$G520)</f>
        <v>0</v>
      </c>
      <c r="AF520" s="171">
        <f ca="1">SUMIFS(Покупка!AF$25:AF$150,Покупка!$F$25:$F$150,$F520,Покупка!$AC$25:$AC$150,$G520)</f>
        <v>0</v>
      </c>
      <c r="AG520" s="171">
        <f ca="1">SUMIFS(Покупка!AG$25:AG$150,Покупка!$F$25:$F$150,$F520,Покупка!$AC$25:$AC$150,$G520)</f>
        <v>0</v>
      </c>
      <c r="AH520" s="171">
        <f t="shared" ca="1" si="140"/>
        <v>0</v>
      </c>
      <c r="AI520" s="171">
        <f ca="1">SUMIFS(Покупка!AH$25:AH$150,Покупка!$F$25:$F$150,$F520,Покупка!$AC$25:$AC$150,$G520)</f>
        <v>0</v>
      </c>
      <c r="AJ520" s="171">
        <f ca="1">SUMIFS(Покупка!AI$25:AI$150,Покупка!$F$25:$F$150,$F520,Покупка!$AC$25:$AC$150,$G520)</f>
        <v>0</v>
      </c>
      <c r="AK520" s="171">
        <f ca="1">SUMIFS(Покупка!AJ$25:AJ$150,Покупка!$F$25:$F$150,$F520,Покупка!$AC$25:$AC$150,$G520)</f>
        <v>0</v>
      </c>
      <c r="AL520" s="171">
        <f ca="1">SUMIFS(Покупка!AK$25:AK$150,Покупка!$F$25:$F$150,$F520,Покупка!$AC$25:$AC$150,$G520)</f>
        <v>0</v>
      </c>
      <c r="AM520" s="171">
        <f ca="1">SUMIFS(Покупка!AL$25:AL$150,Покупка!$F$25:$F$150,$F520,Покупка!$AC$25:$AC$150,$G520)</f>
        <v>0</v>
      </c>
      <c r="AN520" s="171">
        <f ca="1">SUMIFS(Покупка!AM$25:AM$150,Покупка!$F$25:$F$150,$F520,Покупка!$AC$25:$AC$150,$G520)</f>
        <v>0</v>
      </c>
      <c r="AO520" s="171">
        <f ca="1">SUMIFS(Покупка!AN$25:AN$150,Покупка!$F$25:$F$150,$F520,Покупка!$AC$25:$AC$150,$G520)</f>
        <v>0</v>
      </c>
      <c r="AP520" s="171">
        <f ca="1">SUMIFS(Покупка!AO$25:AO$150,Покупка!$F$25:$F$150,$F520,Покупка!$AC$25:$AC$150,$G520)</f>
        <v>0</v>
      </c>
      <c r="AQ520" s="171">
        <f ca="1">SUMIFS(Покупка!AP$25:AP$150,Покупка!$F$25:$F$150,$F520,Покупка!$AC$25:$AC$150,$G520)</f>
        <v>0</v>
      </c>
      <c r="AR520" s="171">
        <f ca="1">SUMIFS(Покупка!AQ$25:AQ$150,Покупка!$F$25:$F$150,$F520,Покупка!$AC$25:$AC$150,$G520)</f>
        <v>0</v>
      </c>
      <c r="AS520" s="171">
        <f ca="1">SUMIFS(Покупка!AR$25:AR$150,Покупка!$F$25:$F$150,$F520,Покупка!$AC$25:$AC$150,$G520)</f>
        <v>0</v>
      </c>
      <c r="AT520" s="171">
        <f ca="1">SUMIFS(Покупка!AS$25:AS$150,Покупка!$F$25:$F$150,$F520,Покупка!$AC$25:$AC$150,$G520)</f>
        <v>0</v>
      </c>
      <c r="AU520" s="171">
        <f ca="1">SUMIFS(Покупка!AT$25:AT$150,Покупка!$F$25:$F$150,$F520,Покупка!$AC$25:$AC$150,$G520)</f>
        <v>0</v>
      </c>
      <c r="AV520" s="171">
        <f ca="1">SUMIFS(Покупка!AU$25:AU$150,Покупка!$F$25:$F$150,$F520,Покупка!$AC$25:$AC$150,$G520)</f>
        <v>0</v>
      </c>
      <c r="AW520" s="171">
        <f ca="1">SUMIFS(Покупка!AV$25:AV$150,Покупка!$F$25:$F$150,$F520,Покупка!$AC$25:$AC$150,$G520)</f>
        <v>0</v>
      </c>
      <c r="AX520" s="171">
        <f ca="1">SUMIFS(Покупка!AW$25:AW$150,Покупка!$F$25:$F$150,$F520,Покупка!$AC$25:$AC$150,$G520)</f>
        <v>0</v>
      </c>
      <c r="AY520" s="171">
        <f ca="1">SUMIFS(Покупка!AX$25:AX$150,Покупка!$F$25:$F$150,$F520,Покупка!$AC$25:$AC$150,$G520)</f>
        <v>0</v>
      </c>
      <c r="AZ520" s="171">
        <f ca="1">SUMIFS(Покупка!AY$25:AY$150,Покупка!$F$25:$F$150,$F520,Покупка!$AC$25:$AC$150,$G520)</f>
        <v>0</v>
      </c>
      <c r="BA520" s="171">
        <f ca="1">SUMIFS(Покупка!AZ$25:AZ$150,Покупка!$F$25:$F$150,$F520,Покупка!$AC$25:$AC$150,$G520)</f>
        <v>0</v>
      </c>
      <c r="BB520" s="171">
        <f ca="1">SUMIFS(Покупка!BA$25:BA$150,Покупка!$F$25:$F$150,$F520,Покупка!$AC$25:$AC$150,$G520)</f>
        <v>0</v>
      </c>
      <c r="BC520" s="171">
        <f ca="1">SUMIFS(Покупка!BB$25:BB$150,Покупка!$F$25:$F$150,$F520,Покупка!$AC$25:$AC$150,$G520)</f>
        <v>0</v>
      </c>
      <c r="BD520" s="171">
        <f t="shared" ca="1" si="142"/>
        <v>0</v>
      </c>
      <c r="BE520" s="171">
        <f t="shared" ca="1" si="143"/>
        <v>0</v>
      </c>
      <c r="BF520" s="171">
        <f t="shared" ca="1" si="144"/>
        <v>0</v>
      </c>
      <c r="BG520" s="171">
        <f t="shared" ca="1" si="145"/>
        <v>0</v>
      </c>
      <c r="BH520" s="171">
        <f t="shared" ca="1" si="146"/>
        <v>0</v>
      </c>
      <c r="BI520" s="171">
        <f t="shared" ca="1" si="147"/>
        <v>0</v>
      </c>
      <c r="BJ520" s="171">
        <f t="shared" ca="1" si="148"/>
        <v>0</v>
      </c>
      <c r="BK520" s="171">
        <f t="shared" ca="1" si="149"/>
        <v>0</v>
      </c>
      <c r="BL520" s="171">
        <f t="shared" ca="1" si="150"/>
        <v>0</v>
      </c>
      <c r="BM520" s="171">
        <f t="shared" ca="1" si="151"/>
        <v>0</v>
      </c>
      <c r="BN520" s="196"/>
      <c r="BO520" s="601" t="str">
        <f ca="1">IF(IFERROR(INDEX(Покупка!$K$26:$L$150,MATCH($F520&amp;"4komm",Покупка!$K$26:$K$150,0),2),"")=0,"",IFERROR(INDEX(Покупка!$K$26:$L$150,MATCH($F519&amp;"3komm",Покупка!$K$26:$K$150,0),2),""))</f>
        <v/>
      </c>
      <c r="BP520" s="196"/>
      <c r="BS520" s="696" t="s">
        <v>1766</v>
      </c>
    </row>
    <row r="521" spans="1:75" ht="14.25" customHeight="1" x14ac:dyDescent="0.15">
      <c r="B521" s="15"/>
      <c r="C521" s="25"/>
      <c r="D521" s="25"/>
      <c r="E521" s="451">
        <v>15</v>
      </c>
      <c r="F521" s="3" t="str" cm="1">
        <f t="array" aca="1" ref="F521" ca="1">OFFSET(E521,-1,1)</f>
        <v>3</v>
      </c>
      <c r="G521" s="25" t="s">
        <v>1142</v>
      </c>
      <c r="H521" s="25"/>
      <c r="I521" s="25" t="s">
        <v>2076</v>
      </c>
      <c r="J521" s="25"/>
      <c r="K521" s="25" t="s">
        <v>2076</v>
      </c>
      <c r="L521" s="25" t="s">
        <v>1543</v>
      </c>
      <c r="M521" s="25"/>
      <c r="N521" s="25"/>
      <c r="O521" s="25"/>
      <c r="P521" s="25"/>
      <c r="Q521" s="25"/>
      <c r="R521" s="25"/>
      <c r="S521" s="25"/>
      <c r="T521" s="353" t="b" cm="1">
        <f t="array" aca="1" ref="T521" ca="1">T520</f>
        <v>1</v>
      </c>
      <c r="U521" s="25"/>
      <c r="V521" s="25"/>
      <c r="X521" s="990"/>
      <c r="Z521" s="967"/>
      <c r="AB521" s="133" t="s">
        <v>2077</v>
      </c>
      <c r="AC521" s="134" t="s">
        <v>2078</v>
      </c>
      <c r="AD521" s="7" t="s">
        <v>828</v>
      </c>
      <c r="AE521" s="171">
        <f ca="1">SUMIFS(Покупка!AE$25:AE$150,Покупка!$F$25:$F$150,$F521,Покупка!$AC$25:$AC$150,$G521)</f>
        <v>0</v>
      </c>
      <c r="AF521" s="171">
        <f ca="1">SUMIFS(Покупка!AF$25:AF$150,Покупка!$F$25:$F$150,$F521,Покупка!$AC$25:$AC$150,$G521)</f>
        <v>0</v>
      </c>
      <c r="AG521" s="171">
        <f ca="1">SUMIFS(Покупка!AG$25:AG$150,Покупка!$F$25:$F$150,$F521,Покупка!$AC$25:$AC$150,$G521)</f>
        <v>0</v>
      </c>
      <c r="AH521" s="171">
        <f t="shared" ca="1" si="140"/>
        <v>0</v>
      </c>
      <c r="AI521" s="171">
        <f ca="1">SUMIFS(Покупка!AH$25:AH$150,Покупка!$F$25:$F$150,$F521,Покупка!$AC$25:$AC$150,$G521)</f>
        <v>0</v>
      </c>
      <c r="AJ521" s="171">
        <f ca="1">SUMIFS(Покупка!AI$25:AI$150,Покупка!$F$25:$F$150,$F521,Покупка!$AC$25:$AC$150,$G521)</f>
        <v>0</v>
      </c>
      <c r="AK521" s="171">
        <f ca="1">SUMIFS(Покупка!AJ$25:AJ$150,Покупка!$F$25:$F$150,$F521,Покупка!$AC$25:$AC$150,$G521)</f>
        <v>0</v>
      </c>
      <c r="AL521" s="171">
        <f ca="1">SUMIFS(Покупка!AK$25:AK$150,Покупка!$F$25:$F$150,$F521,Покупка!$AC$25:$AC$150,$G521)</f>
        <v>0</v>
      </c>
      <c r="AM521" s="171">
        <f ca="1">SUMIFS(Покупка!AL$25:AL$150,Покупка!$F$25:$F$150,$F521,Покупка!$AC$25:$AC$150,$G521)</f>
        <v>0</v>
      </c>
      <c r="AN521" s="171">
        <f ca="1">SUMIFS(Покупка!AM$25:AM$150,Покупка!$F$25:$F$150,$F521,Покупка!$AC$25:$AC$150,$G521)</f>
        <v>0</v>
      </c>
      <c r="AO521" s="171">
        <f ca="1">SUMIFS(Покупка!AN$25:AN$150,Покупка!$F$25:$F$150,$F521,Покупка!$AC$25:$AC$150,$G521)</f>
        <v>0</v>
      </c>
      <c r="AP521" s="171">
        <f ca="1">SUMIFS(Покупка!AO$25:AO$150,Покупка!$F$25:$F$150,$F521,Покупка!$AC$25:$AC$150,$G521)</f>
        <v>0</v>
      </c>
      <c r="AQ521" s="171">
        <f ca="1">SUMIFS(Покупка!AP$25:AP$150,Покупка!$F$25:$F$150,$F521,Покупка!$AC$25:$AC$150,$G521)</f>
        <v>0</v>
      </c>
      <c r="AR521" s="171">
        <f ca="1">SUMIFS(Покупка!AQ$25:AQ$150,Покупка!$F$25:$F$150,$F521,Покупка!$AC$25:$AC$150,$G521)</f>
        <v>0</v>
      </c>
      <c r="AS521" s="171">
        <f ca="1">SUMIFS(Покупка!AR$25:AR$150,Покупка!$F$25:$F$150,$F521,Покупка!$AC$25:$AC$150,$G521)</f>
        <v>0</v>
      </c>
      <c r="AT521" s="171">
        <f ca="1">SUMIFS(Покупка!AS$25:AS$150,Покупка!$F$25:$F$150,$F521,Покупка!$AC$25:$AC$150,$G521)</f>
        <v>0</v>
      </c>
      <c r="AU521" s="171">
        <f ca="1">SUMIFS(Покупка!AT$25:AT$150,Покупка!$F$25:$F$150,$F521,Покупка!$AC$25:$AC$150,$G521)</f>
        <v>0</v>
      </c>
      <c r="AV521" s="171">
        <f ca="1">SUMIFS(Покупка!AU$25:AU$150,Покупка!$F$25:$F$150,$F521,Покупка!$AC$25:$AC$150,$G521)</f>
        <v>0</v>
      </c>
      <c r="AW521" s="171">
        <f ca="1">SUMIFS(Покупка!AV$25:AV$150,Покупка!$F$25:$F$150,$F521,Покупка!$AC$25:$AC$150,$G521)</f>
        <v>0</v>
      </c>
      <c r="AX521" s="171">
        <f ca="1">SUMIFS(Покупка!AW$25:AW$150,Покупка!$F$25:$F$150,$F521,Покупка!$AC$25:$AC$150,$G521)</f>
        <v>0</v>
      </c>
      <c r="AY521" s="171">
        <f ca="1">SUMIFS(Покупка!AX$25:AX$150,Покупка!$F$25:$F$150,$F521,Покупка!$AC$25:$AC$150,$G521)</f>
        <v>0</v>
      </c>
      <c r="AZ521" s="171">
        <f ca="1">SUMIFS(Покупка!AY$25:AY$150,Покупка!$F$25:$F$150,$F521,Покупка!$AC$25:$AC$150,$G521)</f>
        <v>0</v>
      </c>
      <c r="BA521" s="171">
        <f ca="1">SUMIFS(Покупка!AZ$25:AZ$150,Покупка!$F$25:$F$150,$F521,Покупка!$AC$25:$AC$150,$G521)</f>
        <v>0</v>
      </c>
      <c r="BB521" s="171">
        <f ca="1">SUMIFS(Покупка!BA$25:BA$150,Покупка!$F$25:$F$150,$F521,Покупка!$AC$25:$AC$150,$G521)</f>
        <v>0</v>
      </c>
      <c r="BC521" s="171">
        <f ca="1">SUMIFS(Покупка!BB$25:BB$150,Покупка!$F$25:$F$150,$F521,Покупка!$AC$25:$AC$150,$G521)</f>
        <v>0</v>
      </c>
      <c r="BD521" s="171">
        <f t="shared" ca="1" si="142"/>
        <v>0</v>
      </c>
      <c r="BE521" s="171">
        <f t="shared" ca="1" si="143"/>
        <v>0</v>
      </c>
      <c r="BF521" s="171">
        <f t="shared" ca="1" si="144"/>
        <v>0</v>
      </c>
      <c r="BG521" s="171">
        <f t="shared" ca="1" si="145"/>
        <v>0</v>
      </c>
      <c r="BH521" s="171">
        <f t="shared" ca="1" si="146"/>
        <v>0</v>
      </c>
      <c r="BI521" s="171">
        <f t="shared" ca="1" si="147"/>
        <v>0</v>
      </c>
      <c r="BJ521" s="171">
        <f t="shared" ca="1" si="148"/>
        <v>0</v>
      </c>
      <c r="BK521" s="171">
        <f t="shared" ca="1" si="149"/>
        <v>0</v>
      </c>
      <c r="BL521" s="171">
        <f t="shared" ca="1" si="150"/>
        <v>0</v>
      </c>
      <c r="BM521" s="171">
        <f t="shared" ca="1" si="151"/>
        <v>0</v>
      </c>
      <c r="BN521" s="196"/>
      <c r="BO521" s="601" t="str">
        <f ca="1">IF(IFERROR(INDEX(Покупка!$K$26:$L$150,MATCH($F521&amp;"5komm",Покупка!$K$26:$K$150,0),2),"")=0,"",IFERROR(INDEX(Покупка!$K$26:$L$150,MATCH($F521&amp;"5komm",Покупка!$K$26:$K$150,0),2),""))</f>
        <v/>
      </c>
      <c r="BP521" s="196"/>
      <c r="BS521" s="696" t="s">
        <v>1769</v>
      </c>
    </row>
    <row r="522" spans="1:75" s="376" customFormat="1" ht="14.25" customHeight="1" x14ac:dyDescent="0.15">
      <c r="B522" s="15"/>
      <c r="C522" s="25"/>
      <c r="D522" s="25"/>
      <c r="E522" s="451">
        <v>15</v>
      </c>
      <c r="F522" s="3" t="str" cm="1">
        <f t="array" aca="1" ref="F522" ca="1">OFFSET(E522,-1,1)</f>
        <v>3</v>
      </c>
      <c r="G522" s="25" t="s">
        <v>1154</v>
      </c>
      <c r="H522" s="25"/>
      <c r="I522" s="25"/>
      <c r="J522" s="25"/>
      <c r="K522" s="25"/>
      <c r="L522" s="25" t="s">
        <v>1510</v>
      </c>
      <c r="M522" s="25"/>
      <c r="N522" s="25"/>
      <c r="O522" s="25"/>
      <c r="P522" s="25"/>
      <c r="Q522" s="25"/>
      <c r="R522" s="25"/>
      <c r="S522" s="25"/>
      <c r="T522" s="353" t="b" cm="1">
        <f t="array" aca="1" ref="T522" ca="1">T521</f>
        <v>1</v>
      </c>
      <c r="U522" s="25"/>
      <c r="V522" s="25"/>
      <c r="X522" s="990"/>
      <c r="Z522" s="967"/>
      <c r="AB522" s="133" t="s">
        <v>2079</v>
      </c>
      <c r="AC522" s="134" t="s">
        <v>2080</v>
      </c>
      <c r="AD522" s="7" t="s">
        <v>828</v>
      </c>
      <c r="AE522" s="171">
        <f ca="1">SUMIFS(Покупка!AE$25:AE$150,Покупка!$F$25:$F$150,$F522,Покупка!$AC$25:$AC$150,$G522)</f>
        <v>0</v>
      </c>
      <c r="AF522" s="171">
        <f ca="1">SUMIFS(Покупка!AF$25:AF$150,Покупка!$F$25:$F$150,$F522,Покупка!$AC$25:$AC$150,$G522)</f>
        <v>0</v>
      </c>
      <c r="AG522" s="171">
        <f ca="1">SUMIFS(Покупка!AG$25:AG$150,Покупка!$F$25:$F$150,$F522,Покупка!$AC$25:$AC$150,$G522)</f>
        <v>0</v>
      </c>
      <c r="AH522" s="171">
        <f t="shared" ca="1" si="140"/>
        <v>0</v>
      </c>
      <c r="AI522" s="171">
        <f ca="1">SUMIFS(Покупка!AH$25:AH$150,Покупка!$F$25:$F$150,$F522,Покупка!$AC$25:$AC$150,$G522)</f>
        <v>0</v>
      </c>
      <c r="AJ522" s="171">
        <f ca="1">SUMIFS(Покупка!AI$25:AI$150,Покупка!$F$25:$F$150,$F522,Покупка!$AC$25:$AC$150,$G522)</f>
        <v>0</v>
      </c>
      <c r="AK522" s="171">
        <f ca="1">SUMIFS(Покупка!AJ$25:AJ$150,Покупка!$F$25:$F$150,$F522,Покупка!$AC$25:$AC$150,$G522)</f>
        <v>0</v>
      </c>
      <c r="AL522" s="171">
        <f ca="1">SUMIFS(Покупка!AK$25:AK$150,Покупка!$F$25:$F$150,$F522,Покупка!$AC$25:$AC$150,$G522)</f>
        <v>0</v>
      </c>
      <c r="AM522" s="171">
        <f ca="1">SUMIFS(Покупка!AL$25:AL$150,Покупка!$F$25:$F$150,$F522,Покупка!$AC$25:$AC$150,$G522)</f>
        <v>0</v>
      </c>
      <c r="AN522" s="171">
        <f ca="1">SUMIFS(Покупка!AM$25:AM$150,Покупка!$F$25:$F$150,$F522,Покупка!$AC$25:$AC$150,$G522)</f>
        <v>0</v>
      </c>
      <c r="AO522" s="171">
        <f ca="1">SUMIFS(Покупка!AN$25:AN$150,Покупка!$F$25:$F$150,$F522,Покупка!$AC$25:$AC$150,$G522)</f>
        <v>0</v>
      </c>
      <c r="AP522" s="171">
        <f ca="1">SUMIFS(Покупка!AO$25:AO$150,Покупка!$F$25:$F$150,$F522,Покупка!$AC$25:$AC$150,$G522)</f>
        <v>0</v>
      </c>
      <c r="AQ522" s="171">
        <f ca="1">SUMIFS(Покупка!AP$25:AP$150,Покупка!$F$25:$F$150,$F522,Покупка!$AC$25:$AC$150,$G522)</f>
        <v>0</v>
      </c>
      <c r="AR522" s="171">
        <f ca="1">SUMIFS(Покупка!AQ$25:AQ$150,Покупка!$F$25:$F$150,$F522,Покупка!$AC$25:$AC$150,$G522)</f>
        <v>0</v>
      </c>
      <c r="AS522" s="171">
        <f ca="1">SUMIFS(Покупка!AR$25:AR$150,Покупка!$F$25:$F$150,$F522,Покупка!$AC$25:$AC$150,$G522)</f>
        <v>0</v>
      </c>
      <c r="AT522" s="171">
        <f ca="1">SUMIFS(Покупка!AS$25:AS$150,Покупка!$F$25:$F$150,$F522,Покупка!$AC$25:$AC$150,$G522)</f>
        <v>0</v>
      </c>
      <c r="AU522" s="171">
        <f ca="1">SUMIFS(Покупка!AT$25:AT$150,Покупка!$F$25:$F$150,$F522,Покупка!$AC$25:$AC$150,$G522)</f>
        <v>0</v>
      </c>
      <c r="AV522" s="171">
        <f ca="1">SUMIFS(Покупка!AU$25:AU$150,Покупка!$F$25:$F$150,$F522,Покупка!$AC$25:$AC$150,$G522)</f>
        <v>0</v>
      </c>
      <c r="AW522" s="171">
        <f ca="1">SUMIFS(Покупка!AV$25:AV$150,Покупка!$F$25:$F$150,$F522,Покупка!$AC$25:$AC$150,$G522)</f>
        <v>0</v>
      </c>
      <c r="AX522" s="171">
        <f ca="1">SUMIFS(Покупка!AW$25:AW$150,Покупка!$F$25:$F$150,$F522,Покупка!$AC$25:$AC$150,$G522)</f>
        <v>0</v>
      </c>
      <c r="AY522" s="171">
        <f ca="1">SUMIFS(Покупка!AX$25:AX$150,Покупка!$F$25:$F$150,$F522,Покупка!$AC$25:$AC$150,$G522)</f>
        <v>0</v>
      </c>
      <c r="AZ522" s="171">
        <f ca="1">SUMIFS(Покупка!AY$25:AY$150,Покупка!$F$25:$F$150,$F522,Покупка!$AC$25:$AC$150,$G522)</f>
        <v>0</v>
      </c>
      <c r="BA522" s="171">
        <f ca="1">SUMIFS(Покупка!AZ$25:AZ$150,Покупка!$F$25:$F$150,$F522,Покупка!$AC$25:$AC$150,$G522)</f>
        <v>0</v>
      </c>
      <c r="BB522" s="171">
        <f ca="1">SUMIFS(Покупка!BA$25:BA$150,Покупка!$F$25:$F$150,$F522,Покупка!$AC$25:$AC$150,$G522)</f>
        <v>0</v>
      </c>
      <c r="BC522" s="171">
        <f ca="1">SUMIFS(Покупка!BB$25:BB$150,Покупка!$F$25:$F$150,$F522,Покупка!$AC$25:$AC$150,$G522)</f>
        <v>0</v>
      </c>
      <c r="BD522" s="171">
        <f t="shared" ca="1" si="142"/>
        <v>0</v>
      </c>
      <c r="BE522" s="171">
        <f t="shared" ca="1" si="143"/>
        <v>0</v>
      </c>
      <c r="BF522" s="171">
        <f t="shared" ca="1" si="144"/>
        <v>0</v>
      </c>
      <c r="BG522" s="171">
        <f t="shared" ca="1" si="145"/>
        <v>0</v>
      </c>
      <c r="BH522" s="171">
        <f t="shared" ca="1" si="146"/>
        <v>0</v>
      </c>
      <c r="BI522" s="171">
        <f t="shared" ca="1" si="147"/>
        <v>0</v>
      </c>
      <c r="BJ522" s="171">
        <f t="shared" ca="1" si="148"/>
        <v>0</v>
      </c>
      <c r="BK522" s="171">
        <f t="shared" ca="1" si="149"/>
        <v>0</v>
      </c>
      <c r="BL522" s="171">
        <f t="shared" ca="1" si="150"/>
        <v>0</v>
      </c>
      <c r="BM522" s="171">
        <f t="shared" ca="1" si="151"/>
        <v>0</v>
      </c>
      <c r="BN522" s="196"/>
      <c r="BO522" s="601" t="str">
        <f ca="1">IF(IFERROR(INDEX(Покупка!$K$26:$L$150,MATCH($F522&amp;"9komm",Покупка!$K$26:$K$150,0),2),"")=0,"",IFERROR(INDEX(Покупка!$K$26:$L$150,MATCH($F522&amp;"9komm",Покупка!$K$26:$K$150,0),2),""))</f>
        <v/>
      </c>
      <c r="BP522" s="196"/>
      <c r="BS522" s="696" t="s">
        <v>1155</v>
      </c>
      <c r="BT522" s="696"/>
      <c r="BU522" s="696"/>
      <c r="BV522" s="507"/>
      <c r="BW522" s="507"/>
    </row>
    <row r="523" spans="1:75" ht="14.25" customHeight="1" x14ac:dyDescent="0.15">
      <c r="B523" s="15"/>
      <c r="C523" s="25"/>
      <c r="D523" s="25"/>
      <c r="E523" s="451">
        <v>15</v>
      </c>
      <c r="F523" s="3" t="str" cm="1">
        <f t="array" aca="1" ref="F523" ca="1">OFFSET(E523,-1,1)</f>
        <v>3</v>
      </c>
      <c r="G523" s="25"/>
      <c r="H523" s="25"/>
      <c r="I523" s="25" t="s">
        <v>503</v>
      </c>
      <c r="J523" s="25"/>
      <c r="K523" s="25" t="s">
        <v>503</v>
      </c>
      <c r="L523" s="25"/>
      <c r="M523" s="25"/>
      <c r="N523" s="25"/>
      <c r="O523" s="25"/>
      <c r="P523" s="25"/>
      <c r="Q523" s="25"/>
      <c r="R523" s="25"/>
      <c r="S523" s="25"/>
      <c r="T523" s="353" t="b" cm="1">
        <f t="array" aca="1" ref="T523" ca="1">T522</f>
        <v>1</v>
      </c>
      <c r="U523" s="25"/>
      <c r="V523" s="25"/>
      <c r="X523" s="990"/>
      <c r="Z523" s="967"/>
      <c r="AB523" s="133" t="s">
        <v>565</v>
      </c>
      <c r="AC523" s="127" t="s">
        <v>2081</v>
      </c>
      <c r="AD523" s="99" t="s">
        <v>828</v>
      </c>
      <c r="AE523" s="171">
        <f ca="1">SUMIFS('Сырье и материалы'!AE$25:AE$48,'Сырье и материалы'!$F$25:$F$48,$F523,'Сырье и материалы'!$AC$25:$AC$48,"Всего по тарифу")</f>
        <v>0</v>
      </c>
      <c r="AF523" s="171">
        <f ca="1">SUMIFS('Сырье и материалы'!AF$25:AF$48,'Сырье и материалы'!$F$25:$F$48,$F523,'Сырье и материалы'!$AC$25:$AC$48,"Всего по тарифу")</f>
        <v>0</v>
      </c>
      <c r="AG523" s="171">
        <f ca="1">SUMIFS('Сырье и материалы'!AG$25:AG$48,'Сырье и материалы'!$F$25:$F$48,$F523,'Сырье и материалы'!$AC$25:$AC$48,"Всего по тарифу")</f>
        <v>0</v>
      </c>
      <c r="AH523" s="171">
        <f t="shared" ca="1" si="140"/>
        <v>0</v>
      </c>
      <c r="AI523" s="171">
        <f ca="1">SUMIFS('Сырье и материалы'!AH$25:AH$48,'Сырье и материалы'!$F$25:$F$48,$F523,'Сырье и материалы'!$AC$25:$AC$48,"Всего по тарифу")</f>
        <v>0</v>
      </c>
      <c r="AJ523" s="171">
        <f ca="1">SUMIFS('Сырье и материалы'!AI$25:AI$48,'Сырье и материалы'!$F$25:$F$48,$F523,'Сырье и материалы'!$AC$25:$AC$48,"Всего по тарифу")</f>
        <v>0</v>
      </c>
      <c r="AK523" s="171">
        <f ca="1">SUMIFS('Сырье и материалы'!AJ$25:AJ$48,'Сырье и материалы'!$F$25:$F$48,$F523,'Сырье и материалы'!$AC$25:$AC$48,"Всего по тарифу")</f>
        <v>0</v>
      </c>
      <c r="AL523" s="171">
        <f ca="1">SUMIFS('Сырье и материалы'!AK$25:AK$48,'Сырье и материалы'!$F$25:$F$48,$F523,'Сырье и материалы'!$AC$25:$AC$48,"Всего по тарифу")</f>
        <v>0</v>
      </c>
      <c r="AM523" s="171">
        <f ca="1">SUMIFS('Сырье и материалы'!AL$25:AL$48,'Сырье и материалы'!$F$25:$F$48,$F523,'Сырье и материалы'!$AC$25:$AC$48,"Всего по тарифу")</f>
        <v>0</v>
      </c>
      <c r="AN523" s="171">
        <f ca="1">SUMIFS('Сырье и материалы'!AM$25:AM$48,'Сырье и материалы'!$F$25:$F$48,$F523,'Сырье и материалы'!$AC$25:$AC$48,"Всего по тарифу")</f>
        <v>0</v>
      </c>
      <c r="AO523" s="171">
        <f ca="1">SUMIFS('Сырье и материалы'!AN$25:AN$48,'Сырье и материалы'!$F$25:$F$48,$F523,'Сырье и материалы'!$AC$25:$AC$48,"Всего по тарифу")</f>
        <v>0</v>
      </c>
      <c r="AP523" s="171">
        <f ca="1">SUMIFS('Сырье и материалы'!AO$25:AO$48,'Сырье и материалы'!$F$25:$F$48,$F523,'Сырье и материалы'!$AC$25:$AC$48,"Всего по тарифу")</f>
        <v>0</v>
      </c>
      <c r="AQ523" s="171">
        <f ca="1">SUMIFS('Сырье и материалы'!AP$25:AP$48,'Сырье и материалы'!$F$25:$F$48,$F523,'Сырье и материалы'!$AC$25:$AC$48,"Всего по тарифу")</f>
        <v>0</v>
      </c>
      <c r="AR523" s="171">
        <f ca="1">SUMIFS('Сырье и материалы'!AQ$25:AQ$48,'Сырье и материалы'!$F$25:$F$48,$F523,'Сырье и материалы'!$AC$25:$AC$48,"Всего по тарифу")</f>
        <v>0</v>
      </c>
      <c r="AS523" s="171">
        <f ca="1">SUMIFS('Сырье и материалы'!AR$25:AR$48,'Сырье и материалы'!$F$25:$F$48,$F523,'Сырье и материалы'!$AC$25:$AC$48,"Всего по тарифу")</f>
        <v>0</v>
      </c>
      <c r="AT523" s="171">
        <f ca="1">SUMIFS('Сырье и материалы'!AS$25:AS$48,'Сырье и материалы'!$F$25:$F$48,$F523,'Сырье и материалы'!$AC$25:$AC$48,"Всего по тарифу")</f>
        <v>0</v>
      </c>
      <c r="AU523" s="171">
        <f ca="1">SUMIFS('Сырье и материалы'!AT$25:AT$48,'Сырье и материалы'!$F$25:$F$48,$F523,'Сырье и материалы'!$AC$25:$AC$48,"Всего по тарифу")</f>
        <v>0</v>
      </c>
      <c r="AV523" s="171">
        <f ca="1">SUMIFS('Сырье и материалы'!AU$25:AU$48,'Сырье и материалы'!$F$25:$F$48,$F523,'Сырье и материалы'!$AC$25:$AC$48,"Всего по тарифу")</f>
        <v>0</v>
      </c>
      <c r="AW523" s="171">
        <f ca="1">SUMIFS('Сырье и материалы'!AV$25:AV$48,'Сырье и материалы'!$F$25:$F$48,$F523,'Сырье и материалы'!$AC$25:$AC$48,"Всего по тарифу")</f>
        <v>0</v>
      </c>
      <c r="AX523" s="171">
        <f ca="1">SUMIFS('Сырье и материалы'!AW$25:AW$48,'Сырье и материалы'!$F$25:$F$48,$F523,'Сырье и материалы'!$AC$25:$AC$48,"Всего по тарифу")</f>
        <v>0</v>
      </c>
      <c r="AY523" s="171">
        <f ca="1">SUMIFS('Сырье и материалы'!AX$25:AX$48,'Сырье и материалы'!$F$25:$F$48,$F523,'Сырье и материалы'!$AC$25:$AC$48,"Всего по тарифу")</f>
        <v>0</v>
      </c>
      <c r="AZ523" s="171">
        <f ca="1">SUMIFS('Сырье и материалы'!AY$25:AY$48,'Сырье и материалы'!$F$25:$F$48,$F523,'Сырье и материалы'!$AC$25:$AC$48,"Всего по тарифу")</f>
        <v>0</v>
      </c>
      <c r="BA523" s="171">
        <f ca="1">SUMIFS('Сырье и материалы'!AZ$25:AZ$48,'Сырье и материалы'!$F$25:$F$48,$F523,'Сырье и материалы'!$AC$25:$AC$48,"Всего по тарифу")</f>
        <v>0</v>
      </c>
      <c r="BB523" s="171">
        <f ca="1">SUMIFS('Сырье и материалы'!BA$25:BA$48,'Сырье и материалы'!$F$25:$F$48,$F523,'Сырье и материалы'!$AC$25:$AC$48,"Всего по тарифу")</f>
        <v>0</v>
      </c>
      <c r="BC523" s="171">
        <f ca="1">SUMIFS('Сырье и материалы'!BB$25:BB$48,'Сырье и материалы'!$F$25:$F$48,$F523,'Сырье и материалы'!$AC$25:$AC$48,"Всего по тарифу")</f>
        <v>0</v>
      </c>
      <c r="BD523" s="171">
        <f t="shared" ca="1" si="142"/>
        <v>0</v>
      </c>
      <c r="BE523" s="171">
        <f t="shared" ca="1" si="143"/>
        <v>0</v>
      </c>
      <c r="BF523" s="171">
        <f t="shared" ca="1" si="144"/>
        <v>0</v>
      </c>
      <c r="BG523" s="171">
        <f t="shared" ca="1" si="145"/>
        <v>0</v>
      </c>
      <c r="BH523" s="171">
        <f t="shared" ca="1" si="146"/>
        <v>0</v>
      </c>
      <c r="BI523" s="171">
        <f t="shared" ca="1" si="147"/>
        <v>0</v>
      </c>
      <c r="BJ523" s="171">
        <f t="shared" ca="1" si="148"/>
        <v>0</v>
      </c>
      <c r="BK523" s="171">
        <f t="shared" ca="1" si="149"/>
        <v>0</v>
      </c>
      <c r="BL523" s="171">
        <f t="shared" ca="1" si="150"/>
        <v>0</v>
      </c>
      <c r="BM523" s="171">
        <f t="shared" ca="1" si="151"/>
        <v>0</v>
      </c>
      <c r="BN523" s="196"/>
      <c r="BO523" s="601" t="str">
        <f ca="1">IF(IFERROR(INDEX('Сырье и материалы'!$K$26:$L$48,MATCH($F523&amp;"komm",'Сырье и материалы'!$K$26:$K$48,0),2),"")=0,"",IFERROR(INDEX('Сырье и материалы'!$K$26:$L$48,MATCH($F523&amp;"komm",'Сырье и материалы'!$K$26:$K$48,0),2),""))</f>
        <v/>
      </c>
      <c r="BP523" s="196"/>
      <c r="BS523" s="696" t="s">
        <v>1742</v>
      </c>
    </row>
    <row r="524" spans="1:75" s="870" customFormat="1" ht="33.75" customHeight="1" x14ac:dyDescent="0.15">
      <c r="A524" s="76"/>
      <c r="B524" s="29"/>
      <c r="C524" s="27"/>
      <c r="D524" s="27"/>
      <c r="E524" s="559">
        <v>21</v>
      </c>
      <c r="F524" s="3" t="str" cm="1">
        <f t="array" aca="1" ref="F524" ca="1">OFFSET(E524,-1,1)</f>
        <v>3</v>
      </c>
      <c r="G524" s="27"/>
      <c r="H524" s="25"/>
      <c r="I524" s="25" t="s">
        <v>959</v>
      </c>
      <c r="J524" s="27"/>
      <c r="K524" s="25" t="s">
        <v>959</v>
      </c>
      <c r="L524" s="27" t="s">
        <v>535</v>
      </c>
      <c r="M524" s="27"/>
      <c r="N524" s="27"/>
      <c r="O524" s="27"/>
      <c r="P524" s="27"/>
      <c r="Q524" s="27"/>
      <c r="R524" s="27"/>
      <c r="S524" s="27"/>
      <c r="T524" s="353" t="b" cm="1">
        <f t="array" aca="1" ref="T524" ca="1">T523</f>
        <v>1</v>
      </c>
      <c r="U524" s="27"/>
      <c r="V524" s="27"/>
      <c r="W524" s="76"/>
      <c r="X524" s="990"/>
      <c r="Y524" s="76"/>
      <c r="Z524" s="967"/>
      <c r="AA524" s="76"/>
      <c r="AB524" s="131" t="s">
        <v>569</v>
      </c>
      <c r="AC524" s="263" t="s">
        <v>2082</v>
      </c>
      <c r="AD524" s="124" t="s">
        <v>828</v>
      </c>
      <c r="AE524" s="126">
        <f ca="1">SUM(AE525:AE534)</f>
        <v>2064.0943790719998</v>
      </c>
      <c r="AF524" s="126">
        <f ca="1">SUM(AF525:AF534)</f>
        <v>301.19613069579998</v>
      </c>
      <c r="AG524" s="126">
        <f ca="1">SUM(AG525:AG534)</f>
        <v>301.19613069579998</v>
      </c>
      <c r="AH524" s="126">
        <f t="shared" ca="1" si="140"/>
        <v>0</v>
      </c>
      <c r="AI524" s="126">
        <f t="shared" ref="AI524:BC524" ca="1" si="153">SUM(AI525:AI534)</f>
        <v>127.87089852</v>
      </c>
      <c r="AJ524" s="126">
        <f t="shared" ca="1" si="153"/>
        <v>280.07739749960001</v>
      </c>
      <c r="AK524" s="126">
        <f t="shared" ca="1" si="153"/>
        <v>0</v>
      </c>
      <c r="AL524" s="126">
        <f t="shared" ca="1" si="153"/>
        <v>0</v>
      </c>
      <c r="AM524" s="126">
        <f t="shared" ca="1" si="153"/>
        <v>0</v>
      </c>
      <c r="AN524" s="126">
        <f t="shared" ca="1" si="153"/>
        <v>0</v>
      </c>
      <c r="AO524" s="126">
        <f t="shared" ca="1" si="153"/>
        <v>0</v>
      </c>
      <c r="AP524" s="126">
        <f t="shared" ca="1" si="153"/>
        <v>0</v>
      </c>
      <c r="AQ524" s="126">
        <f t="shared" ca="1" si="153"/>
        <v>0</v>
      </c>
      <c r="AR524" s="126">
        <f t="shared" ca="1" si="153"/>
        <v>0</v>
      </c>
      <c r="AS524" s="126">
        <f t="shared" ca="1" si="153"/>
        <v>0</v>
      </c>
      <c r="AT524" s="126">
        <f t="shared" ca="1" si="153"/>
        <v>186.47520039119999</v>
      </c>
      <c r="AU524" s="126">
        <f t="shared" ca="1" si="153"/>
        <v>0</v>
      </c>
      <c r="AV524" s="126">
        <f t="shared" ca="1" si="153"/>
        <v>0</v>
      </c>
      <c r="AW524" s="126">
        <f t="shared" ca="1" si="153"/>
        <v>0</v>
      </c>
      <c r="AX524" s="126">
        <f t="shared" ca="1" si="153"/>
        <v>0</v>
      </c>
      <c r="AY524" s="126">
        <f t="shared" ca="1" si="153"/>
        <v>0</v>
      </c>
      <c r="AZ524" s="126">
        <f t="shared" ca="1" si="153"/>
        <v>0</v>
      </c>
      <c r="BA524" s="126">
        <f t="shared" ca="1" si="153"/>
        <v>0</v>
      </c>
      <c r="BB524" s="126">
        <f t="shared" ca="1" si="153"/>
        <v>0</v>
      </c>
      <c r="BC524" s="126">
        <f t="shared" ca="1" si="153"/>
        <v>0</v>
      </c>
      <c r="BD524" s="126">
        <f t="shared" ca="1" si="142"/>
        <v>45.830836061603044</v>
      </c>
      <c r="BE524" s="126">
        <f t="shared" ca="1" si="143"/>
        <v>-100</v>
      </c>
      <c r="BF524" s="126">
        <f t="shared" ca="1" si="144"/>
        <v>0</v>
      </c>
      <c r="BG524" s="126">
        <f t="shared" ca="1" si="145"/>
        <v>0</v>
      </c>
      <c r="BH524" s="126">
        <f t="shared" ca="1" si="146"/>
        <v>0</v>
      </c>
      <c r="BI524" s="126">
        <f t="shared" ca="1" si="147"/>
        <v>0</v>
      </c>
      <c r="BJ524" s="126">
        <f t="shared" ca="1" si="148"/>
        <v>0</v>
      </c>
      <c r="BK524" s="126">
        <f t="shared" ca="1" si="149"/>
        <v>0</v>
      </c>
      <c r="BL524" s="126">
        <f t="shared" ca="1" si="150"/>
        <v>0</v>
      </c>
      <c r="BM524" s="126">
        <f t="shared" ca="1" si="151"/>
        <v>0</v>
      </c>
      <c r="BN524" s="556"/>
      <c r="BO524" s="601" t="s">
        <v>2245</v>
      </c>
      <c r="BP524" s="556"/>
      <c r="BQ524" s="76"/>
      <c r="BR524" s="76"/>
      <c r="BS524" s="702" t="s">
        <v>1275</v>
      </c>
      <c r="BT524" s="702"/>
      <c r="BU524" s="702"/>
      <c r="BV524" s="511"/>
      <c r="BW524" s="511"/>
    </row>
    <row r="525" spans="1:75" ht="14.25" customHeight="1" x14ac:dyDescent="0.15">
      <c r="B525" s="15"/>
      <c r="C525" s="25"/>
      <c r="D525" s="25"/>
      <c r="E525" s="451">
        <v>15</v>
      </c>
      <c r="F525" s="3" t="str" cm="1">
        <f t="array" aca="1" ref="F525" ca="1">OFFSET(E525,-1,1)</f>
        <v>3</v>
      </c>
      <c r="G525" s="611">
        <v>7</v>
      </c>
      <c r="H525" s="25"/>
      <c r="I525" s="25" t="s">
        <v>2083</v>
      </c>
      <c r="J525" s="25"/>
      <c r="K525" s="25" t="s">
        <v>2083</v>
      </c>
      <c r="L525" s="25"/>
      <c r="M525" s="25"/>
      <c r="N525" s="25"/>
      <c r="O525" s="25"/>
      <c r="P525" s="25"/>
      <c r="Q525" s="25"/>
      <c r="R525" s="25"/>
      <c r="S525" s="25"/>
      <c r="T525" s="353" t="b" cm="1">
        <f t="array" aca="1" ref="T525" ca="1">T524</f>
        <v>1</v>
      </c>
      <c r="U525" s="25"/>
      <c r="V525" s="25"/>
      <c r="X525" s="990"/>
      <c r="Z525" s="967"/>
      <c r="AB525" s="133" t="s">
        <v>519</v>
      </c>
      <c r="AC525" s="134" t="s">
        <v>1289</v>
      </c>
      <c r="AD525" s="7" t="s">
        <v>828</v>
      </c>
      <c r="AE525" s="171">
        <f ca="1">SUMIFS(Налоги!AE$25:AE$83,Налоги!$F$25:$F$83,$F525,Налоги!$AB$25:$AB$83,$G525)</f>
        <v>0</v>
      </c>
      <c r="AF525" s="171">
        <f ca="1">SUMIFS(Налоги!AF$25:AF$83,Налоги!$F$25:$F$83,$F525,Налоги!$AB$25:$AB$83,$G525)</f>
        <v>0</v>
      </c>
      <c r="AG525" s="171">
        <f ca="1">SUMIFS(Налоги!AG$25:AG$83,Налоги!$F$25:$F$83,$F525,Налоги!$AB$25:$AB$83,$G525)</f>
        <v>0</v>
      </c>
      <c r="AH525" s="171">
        <f t="shared" ca="1" si="140"/>
        <v>0</v>
      </c>
      <c r="AI525" s="171">
        <f ca="1">SUMIFS(Налоги!AH$25:AH$83,Налоги!$F$25:$F$83,$F525,Налоги!$AB$25:$AB$83,$G525)</f>
        <v>0</v>
      </c>
      <c r="AJ525" s="171">
        <f ca="1">SUMIFS(Налоги!AI$25:AI$83,Налоги!$F$25:$F$83,$F525,Налоги!$AB$25:$AB$83,$G525)</f>
        <v>0</v>
      </c>
      <c r="AK525" s="171">
        <f ca="1">SUMIFS(Налоги!AJ$25:AJ$83,Налоги!$F$25:$F$83,$F525,Налоги!$AB$25:$AB$83,$G525)</f>
        <v>0</v>
      </c>
      <c r="AL525" s="171">
        <f ca="1">SUMIFS(Налоги!AK$25:AK$83,Налоги!$F$25:$F$83,$F525,Налоги!$AB$25:$AB$83,$G525)</f>
        <v>0</v>
      </c>
      <c r="AM525" s="171">
        <f ca="1">SUMIFS(Налоги!AL$25:AL$83,Налоги!$F$25:$F$83,$F525,Налоги!$AB$25:$AB$83,$G525)</f>
        <v>0</v>
      </c>
      <c r="AN525" s="171">
        <f ca="1">SUMIFS(Налоги!AM$25:AM$83,Налоги!$F$25:$F$83,$F525,Налоги!$AB$25:$AB$83,$G525)</f>
        <v>0</v>
      </c>
      <c r="AO525" s="171">
        <f ca="1">SUMIFS(Налоги!AN$25:AN$83,Налоги!$F$25:$F$83,$F525,Налоги!$AB$25:$AB$83,$G525)</f>
        <v>0</v>
      </c>
      <c r="AP525" s="171">
        <f ca="1">SUMIFS(Налоги!AO$25:AO$83,Налоги!$F$25:$F$83,$F525,Налоги!$AB$25:$AB$83,$G525)</f>
        <v>0</v>
      </c>
      <c r="AQ525" s="171">
        <f ca="1">SUMIFS(Налоги!AP$25:AP$83,Налоги!$F$25:$F$83,$F525,Налоги!$AB$25:$AB$83,$G525)</f>
        <v>0</v>
      </c>
      <c r="AR525" s="171">
        <f ca="1">SUMIFS(Налоги!AQ$25:AQ$83,Налоги!$F$25:$F$83,$F525,Налоги!$AB$25:$AB$83,$G525)</f>
        <v>0</v>
      </c>
      <c r="AS525" s="171">
        <f ca="1">SUMIFS(Налоги!AR$25:AR$83,Налоги!$F$25:$F$83,$F525,Налоги!$AB$25:$AB$83,$G525)</f>
        <v>0</v>
      </c>
      <c r="AT525" s="171">
        <f ca="1">SUMIFS(Налоги!AS$25:AS$83,Налоги!$F$25:$F$83,$F525,Налоги!$AB$25:$AB$83,$G525)</f>
        <v>0</v>
      </c>
      <c r="AU525" s="171">
        <f ca="1">SUMIFS(Налоги!AT$25:AT$83,Налоги!$F$25:$F$83,$F525,Налоги!$AB$25:$AB$83,$G525)</f>
        <v>0</v>
      </c>
      <c r="AV525" s="171">
        <f ca="1">SUMIFS(Налоги!AU$25:AU$83,Налоги!$F$25:$F$83,$F525,Налоги!$AB$25:$AB$83,$G525)</f>
        <v>0</v>
      </c>
      <c r="AW525" s="171">
        <f ca="1">SUMIFS(Налоги!AV$25:AV$83,Налоги!$F$25:$F$83,$F525,Налоги!$AB$25:$AB$83,$G525)</f>
        <v>0</v>
      </c>
      <c r="AX525" s="171">
        <f ca="1">SUMIFS(Налоги!AW$25:AW$83,Налоги!$F$25:$F$83,$F525,Налоги!$AB$25:$AB$83,$G525)</f>
        <v>0</v>
      </c>
      <c r="AY525" s="171">
        <f ca="1">SUMIFS(Налоги!AX$25:AX$83,Налоги!$F$25:$F$83,$F525,Налоги!$AB$25:$AB$83,$G525)</f>
        <v>0</v>
      </c>
      <c r="AZ525" s="171">
        <f ca="1">SUMIFS(Налоги!AY$25:AY$83,Налоги!$F$25:$F$83,$F525,Налоги!$AB$25:$AB$83,$G525)</f>
        <v>0</v>
      </c>
      <c r="BA525" s="171">
        <f ca="1">SUMIFS(Налоги!AZ$25:AZ$83,Налоги!$F$25:$F$83,$F525,Налоги!$AB$25:$AB$83,$G525)</f>
        <v>0</v>
      </c>
      <c r="BB525" s="171">
        <f ca="1">SUMIFS(Налоги!BA$25:BA$83,Налоги!$F$25:$F$83,$F525,Налоги!$AB$25:$AB$83,$G525)</f>
        <v>0</v>
      </c>
      <c r="BC525" s="171">
        <f ca="1">SUMIFS(Налоги!BB$25:BB$83,Налоги!$F$25:$F$83,$F525,Налоги!$AB$25:$AB$83,$G525)</f>
        <v>0</v>
      </c>
      <c r="BD525" s="171">
        <f t="shared" ca="1" si="142"/>
        <v>0</v>
      </c>
      <c r="BE525" s="171">
        <f t="shared" ca="1" si="143"/>
        <v>0</v>
      </c>
      <c r="BF525" s="171">
        <f t="shared" ca="1" si="144"/>
        <v>0</v>
      </c>
      <c r="BG525" s="171">
        <f t="shared" ca="1" si="145"/>
        <v>0</v>
      </c>
      <c r="BH525" s="171">
        <f t="shared" ca="1" si="146"/>
        <v>0</v>
      </c>
      <c r="BI525" s="171">
        <f t="shared" ca="1" si="147"/>
        <v>0</v>
      </c>
      <c r="BJ525" s="171">
        <f t="shared" ca="1" si="148"/>
        <v>0</v>
      </c>
      <c r="BK525" s="171">
        <f t="shared" ca="1" si="149"/>
        <v>0</v>
      </c>
      <c r="BL525" s="171">
        <f t="shared" ca="1" si="150"/>
        <v>0</v>
      </c>
      <c r="BM525" s="171">
        <f t="shared" ca="1" si="151"/>
        <v>0</v>
      </c>
      <c r="BN525" s="196"/>
      <c r="BO525" s="601" t="str">
        <f ca="1">IF(IFERROR(INDEX(Налоги!$K$26:$L$83,MATCH($F525&amp;"7komm",Налоги!$K$26:$K$83,0),2),"")=0,"",IFERROR(INDEX(Налоги!$K$26:$L$83,MATCH($F525&amp;"7komm",Налоги!$K$26:$K$83,0),2),""))</f>
        <v/>
      </c>
      <c r="BP525" s="196"/>
      <c r="BS525" s="696" t="s">
        <v>2084</v>
      </c>
    </row>
    <row r="526" spans="1:75" ht="108.75" customHeight="1" x14ac:dyDescent="0.15">
      <c r="B526" s="15"/>
      <c r="C526" s="25"/>
      <c r="D526" s="25"/>
      <c r="E526" s="451">
        <v>15</v>
      </c>
      <c r="F526" s="3" t="str" cm="1">
        <f t="array" aca="1" ref="F526" ca="1">OFFSET(E526,-1,1)</f>
        <v>3</v>
      </c>
      <c r="G526" s="611">
        <v>6</v>
      </c>
      <c r="H526" s="25"/>
      <c r="I526" s="25" t="s">
        <v>2085</v>
      </c>
      <c r="J526" s="25"/>
      <c r="K526" s="25" t="s">
        <v>2085</v>
      </c>
      <c r="L526" s="25"/>
      <c r="M526" s="25"/>
      <c r="N526" s="25"/>
      <c r="O526" s="25"/>
      <c r="P526" s="25"/>
      <c r="Q526" s="25"/>
      <c r="R526" s="25"/>
      <c r="S526" s="25"/>
      <c r="T526" s="353" t="b" cm="1">
        <f t="array" aca="1" ref="T526" ca="1">T525</f>
        <v>1</v>
      </c>
      <c r="U526" s="25"/>
      <c r="V526" s="25"/>
      <c r="X526" s="990"/>
      <c r="Z526" s="967"/>
      <c r="AB526" s="133" t="s">
        <v>1500</v>
      </c>
      <c r="AC526" s="134" t="s">
        <v>2086</v>
      </c>
      <c r="AD526" s="7" t="s">
        <v>828</v>
      </c>
      <c r="AE526" s="171">
        <f ca="1">SUMIFS(Налоги!AE$25:AE$83,Налоги!$F$25:$F$83,$F526,Налоги!$AB$25:$AB$83,$G526)</f>
        <v>2064.0943790719998</v>
      </c>
      <c r="AF526" s="171">
        <f ca="1">SUMIFS(Налоги!AF$25:AF$83,Налоги!$F$25:$F$83,$F526,Налоги!$AB$25:$AB$83,$G526)</f>
        <v>301.19613069579998</v>
      </c>
      <c r="AG526" s="171">
        <f ca="1">SUMIFS(Налоги!AG$25:AG$83,Налоги!$F$25:$F$83,$F526,Налоги!$AB$25:$AB$83,$G526)</f>
        <v>301.19613069579998</v>
      </c>
      <c r="AH526" s="171">
        <f t="shared" ca="1" si="140"/>
        <v>0</v>
      </c>
      <c r="AI526" s="171">
        <f ca="1">SUMIFS(Налоги!AH$25:AH$83,Налоги!$F$25:$F$83,$F526,Налоги!$AB$25:$AB$83,$G526)</f>
        <v>127.87089852</v>
      </c>
      <c r="AJ526" s="171">
        <f ca="1">SUMIFS(Налоги!AI$25:AI$83,Налоги!$F$25:$F$83,$F526,Налоги!$AB$25:$AB$83,$G526)</f>
        <v>280.07739749960001</v>
      </c>
      <c r="AK526" s="171">
        <f ca="1">SUMIFS(Налоги!AJ$25:AJ$83,Налоги!$F$25:$F$83,$F526,Налоги!$AB$25:$AB$83,$G526)</f>
        <v>0</v>
      </c>
      <c r="AL526" s="171">
        <f ca="1">SUMIFS(Налоги!AK$25:AK$83,Налоги!$F$25:$F$83,$F526,Налоги!$AB$25:$AB$83,$G526)</f>
        <v>0</v>
      </c>
      <c r="AM526" s="171">
        <f ca="1">SUMIFS(Налоги!AL$25:AL$83,Налоги!$F$25:$F$83,$F526,Налоги!$AB$25:$AB$83,$G526)</f>
        <v>0</v>
      </c>
      <c r="AN526" s="171">
        <f ca="1">SUMIFS(Налоги!AM$25:AM$83,Налоги!$F$25:$F$83,$F526,Налоги!$AB$25:$AB$83,$G526)</f>
        <v>0</v>
      </c>
      <c r="AO526" s="171">
        <f ca="1">SUMIFS(Налоги!AN$25:AN$83,Налоги!$F$25:$F$83,$F526,Налоги!$AB$25:$AB$83,$G526)</f>
        <v>0</v>
      </c>
      <c r="AP526" s="171">
        <f ca="1">SUMIFS(Налоги!AO$25:AO$83,Налоги!$F$25:$F$83,$F526,Налоги!$AB$25:$AB$83,$G526)</f>
        <v>0</v>
      </c>
      <c r="AQ526" s="171">
        <f ca="1">SUMIFS(Налоги!AP$25:AP$83,Налоги!$F$25:$F$83,$F526,Налоги!$AB$25:$AB$83,$G526)</f>
        <v>0</v>
      </c>
      <c r="AR526" s="171">
        <f ca="1">SUMIFS(Налоги!AQ$25:AQ$83,Налоги!$F$25:$F$83,$F526,Налоги!$AB$25:$AB$83,$G526)</f>
        <v>0</v>
      </c>
      <c r="AS526" s="171">
        <f ca="1">SUMIFS(Налоги!AR$25:AR$83,Налоги!$F$25:$F$83,$F526,Налоги!$AB$25:$AB$83,$G526)</f>
        <v>0</v>
      </c>
      <c r="AT526" s="171">
        <f ca="1">SUMIFS(Налоги!AS$25:AS$83,Налоги!$F$25:$F$83,$F526,Налоги!$AB$25:$AB$83,$G526)</f>
        <v>186.47520039119999</v>
      </c>
      <c r="AU526" s="171">
        <f ca="1">SUMIFS(Налоги!AT$25:AT$83,Налоги!$F$25:$F$83,$F526,Налоги!$AB$25:$AB$83,$G526)</f>
        <v>0</v>
      </c>
      <c r="AV526" s="171">
        <f ca="1">SUMIFS(Налоги!AU$25:AU$83,Налоги!$F$25:$F$83,$F526,Налоги!$AB$25:$AB$83,$G526)</f>
        <v>0</v>
      </c>
      <c r="AW526" s="171">
        <f ca="1">SUMIFS(Налоги!AV$25:AV$83,Налоги!$F$25:$F$83,$F526,Налоги!$AB$25:$AB$83,$G526)</f>
        <v>0</v>
      </c>
      <c r="AX526" s="171">
        <f ca="1">SUMIFS(Налоги!AW$25:AW$83,Налоги!$F$25:$F$83,$F526,Налоги!$AB$25:$AB$83,$G526)</f>
        <v>0</v>
      </c>
      <c r="AY526" s="171">
        <f ca="1">SUMIFS(Налоги!AX$25:AX$83,Налоги!$F$25:$F$83,$F526,Налоги!$AB$25:$AB$83,$G526)</f>
        <v>0</v>
      </c>
      <c r="AZ526" s="171">
        <f ca="1">SUMIFS(Налоги!AY$25:AY$83,Налоги!$F$25:$F$83,$F526,Налоги!$AB$25:$AB$83,$G526)</f>
        <v>0</v>
      </c>
      <c r="BA526" s="171">
        <f ca="1">SUMIFS(Налоги!AZ$25:AZ$83,Налоги!$F$25:$F$83,$F526,Налоги!$AB$25:$AB$83,$G526)</f>
        <v>0</v>
      </c>
      <c r="BB526" s="171">
        <f ca="1">SUMIFS(Налоги!BA$25:BA$83,Налоги!$F$25:$F$83,$F526,Налоги!$AB$25:$AB$83,$G526)</f>
        <v>0</v>
      </c>
      <c r="BC526" s="171">
        <f ca="1">SUMIFS(Налоги!BB$25:BB$83,Налоги!$F$25:$F$83,$F526,Налоги!$AB$25:$AB$83,$G526)</f>
        <v>0</v>
      </c>
      <c r="BD526" s="171">
        <f t="shared" ca="1" si="142"/>
        <v>45.830836061603044</v>
      </c>
      <c r="BE526" s="171">
        <f t="shared" ca="1" si="143"/>
        <v>-100</v>
      </c>
      <c r="BF526" s="171">
        <f t="shared" ca="1" si="144"/>
        <v>0</v>
      </c>
      <c r="BG526" s="171">
        <f t="shared" ca="1" si="145"/>
        <v>0</v>
      </c>
      <c r="BH526" s="171">
        <f t="shared" ca="1" si="146"/>
        <v>0</v>
      </c>
      <c r="BI526" s="171">
        <f t="shared" ca="1" si="147"/>
        <v>0</v>
      </c>
      <c r="BJ526" s="171">
        <f t="shared" ca="1" si="148"/>
        <v>0</v>
      </c>
      <c r="BK526" s="171">
        <f t="shared" ca="1" si="149"/>
        <v>0</v>
      </c>
      <c r="BL526" s="171">
        <f t="shared" ca="1" si="150"/>
        <v>0</v>
      </c>
      <c r="BM526" s="171">
        <f t="shared" ca="1" si="151"/>
        <v>0</v>
      </c>
      <c r="BN526" s="196"/>
      <c r="BO526" s="601" t="s">
        <v>2247</v>
      </c>
      <c r="BP526" s="196" t="s">
        <v>2248</v>
      </c>
      <c r="BS526" s="696" t="s">
        <v>2087</v>
      </c>
    </row>
    <row r="527" spans="1:75" ht="14.25" customHeight="1" x14ac:dyDescent="0.15">
      <c r="B527" s="15"/>
      <c r="C527" s="25"/>
      <c r="D527" s="25"/>
      <c r="E527" s="451">
        <v>15</v>
      </c>
      <c r="F527" s="3" t="str" cm="1">
        <f t="array" aca="1" ref="F527" ca="1">OFFSET(E527,-1,1)</f>
        <v>3</v>
      </c>
      <c r="G527" s="611">
        <v>2</v>
      </c>
      <c r="H527" s="25"/>
      <c r="I527" s="25" t="s">
        <v>2088</v>
      </c>
      <c r="J527" s="25"/>
      <c r="K527" s="25" t="s">
        <v>2088</v>
      </c>
      <c r="L527" s="25"/>
      <c r="M527" s="25"/>
      <c r="N527" s="25"/>
      <c r="O527" s="25"/>
      <c r="P527" s="25"/>
      <c r="Q527" s="25"/>
      <c r="R527" s="25"/>
      <c r="S527" s="25"/>
      <c r="T527" s="353" t="b" cm="1">
        <f t="array" aca="1" ref="T527" ca="1">T526</f>
        <v>1</v>
      </c>
      <c r="U527" s="25"/>
      <c r="V527" s="25"/>
      <c r="X527" s="990"/>
      <c r="Z527" s="967"/>
      <c r="AB527" s="133" t="s">
        <v>1505</v>
      </c>
      <c r="AC527" s="134" t="s">
        <v>2089</v>
      </c>
      <c r="AD527" s="7" t="s">
        <v>828</v>
      </c>
      <c r="AE527" s="171">
        <f ca="1">SUMIFS(Налоги!AE$25:AE$83,Налоги!$F$25:$F$83,$F527,Налоги!$AB$25:$AB$83,$G527)</f>
        <v>0</v>
      </c>
      <c r="AF527" s="171">
        <f ca="1">SUMIFS(Налоги!AF$25:AF$83,Налоги!$F$25:$F$83,$F527,Налоги!$AB$25:$AB$83,$G527)</f>
        <v>0</v>
      </c>
      <c r="AG527" s="171">
        <f ca="1">SUMIFS(Налоги!AG$25:AG$83,Налоги!$F$25:$F$83,$F527,Налоги!$AB$25:$AB$83,$G527)</f>
        <v>0</v>
      </c>
      <c r="AH527" s="171">
        <f t="shared" ca="1" si="140"/>
        <v>0</v>
      </c>
      <c r="AI527" s="171">
        <f ca="1">SUMIFS(Налоги!AH$25:AH$83,Налоги!$F$25:$F$83,$F527,Налоги!$AB$25:$AB$83,$G527)</f>
        <v>0</v>
      </c>
      <c r="AJ527" s="171">
        <f ca="1">SUMIFS(Налоги!AI$25:AI$83,Налоги!$F$25:$F$83,$F527,Налоги!$AB$25:$AB$83,$G527)</f>
        <v>0</v>
      </c>
      <c r="AK527" s="171">
        <f ca="1">SUMIFS(Налоги!AJ$25:AJ$83,Налоги!$F$25:$F$83,$F527,Налоги!$AB$25:$AB$83,$G527)</f>
        <v>0</v>
      </c>
      <c r="AL527" s="171">
        <f ca="1">SUMIFS(Налоги!AK$25:AK$83,Налоги!$F$25:$F$83,$F527,Налоги!$AB$25:$AB$83,$G527)</f>
        <v>0</v>
      </c>
      <c r="AM527" s="171">
        <f ca="1">SUMIFS(Налоги!AL$25:AL$83,Налоги!$F$25:$F$83,$F527,Налоги!$AB$25:$AB$83,$G527)</f>
        <v>0</v>
      </c>
      <c r="AN527" s="171">
        <f ca="1">SUMIFS(Налоги!AM$25:AM$83,Налоги!$F$25:$F$83,$F527,Налоги!$AB$25:$AB$83,$G527)</f>
        <v>0</v>
      </c>
      <c r="AO527" s="171">
        <f ca="1">SUMIFS(Налоги!AN$25:AN$83,Налоги!$F$25:$F$83,$F527,Налоги!$AB$25:$AB$83,$G527)</f>
        <v>0</v>
      </c>
      <c r="AP527" s="171">
        <f ca="1">SUMIFS(Налоги!AO$25:AO$83,Налоги!$F$25:$F$83,$F527,Налоги!$AB$25:$AB$83,$G527)</f>
        <v>0</v>
      </c>
      <c r="AQ527" s="171">
        <f ca="1">SUMIFS(Налоги!AP$25:AP$83,Налоги!$F$25:$F$83,$F527,Налоги!$AB$25:$AB$83,$G527)</f>
        <v>0</v>
      </c>
      <c r="AR527" s="171">
        <f ca="1">SUMIFS(Налоги!AQ$25:AQ$83,Налоги!$F$25:$F$83,$F527,Налоги!$AB$25:$AB$83,$G527)</f>
        <v>0</v>
      </c>
      <c r="AS527" s="171">
        <f ca="1">SUMIFS(Налоги!AR$25:AR$83,Налоги!$F$25:$F$83,$F527,Налоги!$AB$25:$AB$83,$G527)</f>
        <v>0</v>
      </c>
      <c r="AT527" s="171">
        <f ca="1">SUMIFS(Налоги!AS$25:AS$83,Налоги!$F$25:$F$83,$F527,Налоги!$AB$25:$AB$83,$G527)</f>
        <v>0</v>
      </c>
      <c r="AU527" s="171">
        <f ca="1">SUMIFS(Налоги!AT$25:AT$83,Налоги!$F$25:$F$83,$F527,Налоги!$AB$25:$AB$83,$G527)</f>
        <v>0</v>
      </c>
      <c r="AV527" s="171">
        <f ca="1">SUMIFS(Налоги!AU$25:AU$83,Налоги!$F$25:$F$83,$F527,Налоги!$AB$25:$AB$83,$G527)</f>
        <v>0</v>
      </c>
      <c r="AW527" s="171">
        <f ca="1">SUMIFS(Налоги!AV$25:AV$83,Налоги!$F$25:$F$83,$F527,Налоги!$AB$25:$AB$83,$G527)</f>
        <v>0</v>
      </c>
      <c r="AX527" s="171">
        <f ca="1">SUMIFS(Налоги!AW$25:AW$83,Налоги!$F$25:$F$83,$F527,Налоги!$AB$25:$AB$83,$G527)</f>
        <v>0</v>
      </c>
      <c r="AY527" s="171">
        <f ca="1">SUMIFS(Налоги!AX$25:AX$83,Налоги!$F$25:$F$83,$F527,Налоги!$AB$25:$AB$83,$G527)</f>
        <v>0</v>
      </c>
      <c r="AZ527" s="171">
        <f ca="1">SUMIFS(Налоги!AY$25:AY$83,Налоги!$F$25:$F$83,$F527,Налоги!$AB$25:$AB$83,$G527)</f>
        <v>0</v>
      </c>
      <c r="BA527" s="171">
        <f ca="1">SUMIFS(Налоги!AZ$25:AZ$83,Налоги!$F$25:$F$83,$F527,Налоги!$AB$25:$AB$83,$G527)</f>
        <v>0</v>
      </c>
      <c r="BB527" s="171">
        <f ca="1">SUMIFS(Налоги!BA$25:BA$83,Налоги!$F$25:$F$83,$F527,Налоги!$AB$25:$AB$83,$G527)</f>
        <v>0</v>
      </c>
      <c r="BC527" s="171">
        <f ca="1">SUMIFS(Налоги!BB$25:BB$83,Налоги!$F$25:$F$83,$F527,Налоги!$AB$25:$AB$83,$G527)</f>
        <v>0</v>
      </c>
      <c r="BD527" s="171">
        <f t="shared" ca="1" si="142"/>
        <v>0</v>
      </c>
      <c r="BE527" s="171">
        <f t="shared" ca="1" si="143"/>
        <v>0</v>
      </c>
      <c r="BF527" s="171">
        <f t="shared" ca="1" si="144"/>
        <v>0</v>
      </c>
      <c r="BG527" s="171">
        <f t="shared" ca="1" si="145"/>
        <v>0</v>
      </c>
      <c r="BH527" s="171">
        <f t="shared" ca="1" si="146"/>
        <v>0</v>
      </c>
      <c r="BI527" s="171">
        <f t="shared" ca="1" si="147"/>
        <v>0</v>
      </c>
      <c r="BJ527" s="171">
        <f t="shared" ca="1" si="148"/>
        <v>0</v>
      </c>
      <c r="BK527" s="171">
        <f t="shared" ca="1" si="149"/>
        <v>0</v>
      </c>
      <c r="BL527" s="171">
        <f t="shared" ca="1" si="150"/>
        <v>0</v>
      </c>
      <c r="BM527" s="171">
        <f t="shared" ca="1" si="151"/>
        <v>0</v>
      </c>
      <c r="BN527" s="196"/>
      <c r="BO527" s="601" t="str">
        <f ca="1">IF(IFERROR(INDEX(Налоги!$K$26:$L$83,MATCH($F527&amp;"2komm",Налоги!$K$26:$K$83,0),2),"")=0,"",IFERROR(INDEX(Налоги!$K$26:$L$83,MATCH($F527&amp;"2komm",Налоги!$K$26:$K$83,0),2),""))</f>
        <v/>
      </c>
      <c r="BP527" s="196"/>
      <c r="BS527" s="696" t="s">
        <v>2090</v>
      </c>
    </row>
    <row r="528" spans="1:75" ht="14.25" customHeight="1" x14ac:dyDescent="0.15">
      <c r="B528" s="15"/>
      <c r="C528" s="25"/>
      <c r="D528" s="25"/>
      <c r="E528" s="451">
        <v>15</v>
      </c>
      <c r="F528" s="3" t="str" cm="1">
        <f t="array" aca="1" ref="F528" ca="1">OFFSET(E528,-1,1)</f>
        <v>3</v>
      </c>
      <c r="G528" s="611">
        <v>4</v>
      </c>
      <c r="H528" s="25"/>
      <c r="I528" s="25" t="s">
        <v>2091</v>
      </c>
      <c r="J528" s="25"/>
      <c r="K528" s="25" t="s">
        <v>2091</v>
      </c>
      <c r="L528" s="25"/>
      <c r="M528" s="25"/>
      <c r="N528" s="25"/>
      <c r="O528" s="25"/>
      <c r="P528" s="25"/>
      <c r="Q528" s="25"/>
      <c r="R528" s="25"/>
      <c r="S528" s="25"/>
      <c r="T528" s="353" t="b" cm="1">
        <f t="array" aca="1" ref="T528" ca="1">T527</f>
        <v>1</v>
      </c>
      <c r="U528" s="25"/>
      <c r="V528" s="25"/>
      <c r="X528" s="990"/>
      <c r="Z528" s="967"/>
      <c r="AB528" s="133" t="s">
        <v>2092</v>
      </c>
      <c r="AC528" s="134" t="s">
        <v>2093</v>
      </c>
      <c r="AD528" s="7" t="s">
        <v>828</v>
      </c>
      <c r="AE528" s="171">
        <f ca="1">SUMIFS(Налоги!AE$25:AE$83,Налоги!$F$25:$F$83,$F528,Налоги!$AB$25:$AB$83,$G528)</f>
        <v>0</v>
      </c>
      <c r="AF528" s="171">
        <f ca="1">SUMIFS(Налоги!AF$25:AF$83,Налоги!$F$25:$F$83,$F528,Налоги!$AB$25:$AB$83,$G528)</f>
        <v>0</v>
      </c>
      <c r="AG528" s="171">
        <f ca="1">SUMIFS(Налоги!AG$25:AG$83,Налоги!$F$25:$F$83,$F528,Налоги!$AB$25:$AB$83,$G528)</f>
        <v>0</v>
      </c>
      <c r="AH528" s="171">
        <f t="shared" ca="1" si="140"/>
        <v>0</v>
      </c>
      <c r="AI528" s="171">
        <f ca="1">SUMIFS(Налоги!AH$25:AH$83,Налоги!$F$25:$F$83,$F528,Налоги!$AB$25:$AB$83,$G528)</f>
        <v>0</v>
      </c>
      <c r="AJ528" s="171">
        <f ca="1">SUMIFS(Налоги!AI$25:AI$83,Налоги!$F$25:$F$83,$F528,Налоги!$AB$25:$AB$83,$G528)</f>
        <v>0</v>
      </c>
      <c r="AK528" s="171">
        <f ca="1">SUMIFS(Налоги!AJ$25:AJ$83,Налоги!$F$25:$F$83,$F528,Налоги!$AB$25:$AB$83,$G528)</f>
        <v>0</v>
      </c>
      <c r="AL528" s="171">
        <f ca="1">SUMIFS(Налоги!AK$25:AK$83,Налоги!$F$25:$F$83,$F528,Налоги!$AB$25:$AB$83,$G528)</f>
        <v>0</v>
      </c>
      <c r="AM528" s="171">
        <f ca="1">SUMIFS(Налоги!AL$25:AL$83,Налоги!$F$25:$F$83,$F528,Налоги!$AB$25:$AB$83,$G528)</f>
        <v>0</v>
      </c>
      <c r="AN528" s="171">
        <f ca="1">SUMIFS(Налоги!AM$25:AM$83,Налоги!$F$25:$F$83,$F528,Налоги!$AB$25:$AB$83,$G528)</f>
        <v>0</v>
      </c>
      <c r="AO528" s="171">
        <f ca="1">SUMIFS(Налоги!AN$25:AN$83,Налоги!$F$25:$F$83,$F528,Налоги!$AB$25:$AB$83,$G528)</f>
        <v>0</v>
      </c>
      <c r="AP528" s="171">
        <f ca="1">SUMIFS(Налоги!AO$25:AO$83,Налоги!$F$25:$F$83,$F528,Налоги!$AB$25:$AB$83,$G528)</f>
        <v>0</v>
      </c>
      <c r="AQ528" s="171">
        <f ca="1">SUMIFS(Налоги!AP$25:AP$83,Налоги!$F$25:$F$83,$F528,Налоги!$AB$25:$AB$83,$G528)</f>
        <v>0</v>
      </c>
      <c r="AR528" s="171">
        <f ca="1">SUMIFS(Налоги!AQ$25:AQ$83,Налоги!$F$25:$F$83,$F528,Налоги!$AB$25:$AB$83,$G528)</f>
        <v>0</v>
      </c>
      <c r="AS528" s="171">
        <f ca="1">SUMIFS(Налоги!AR$25:AR$83,Налоги!$F$25:$F$83,$F528,Налоги!$AB$25:$AB$83,$G528)</f>
        <v>0</v>
      </c>
      <c r="AT528" s="171">
        <f ca="1">SUMIFS(Налоги!AS$25:AS$83,Налоги!$F$25:$F$83,$F528,Налоги!$AB$25:$AB$83,$G528)</f>
        <v>0</v>
      </c>
      <c r="AU528" s="171">
        <f ca="1">SUMIFS(Налоги!AT$25:AT$83,Налоги!$F$25:$F$83,$F528,Налоги!$AB$25:$AB$83,$G528)</f>
        <v>0</v>
      </c>
      <c r="AV528" s="171">
        <f ca="1">SUMIFS(Налоги!AU$25:AU$83,Налоги!$F$25:$F$83,$F528,Налоги!$AB$25:$AB$83,$G528)</f>
        <v>0</v>
      </c>
      <c r="AW528" s="171">
        <f ca="1">SUMIFS(Налоги!AV$25:AV$83,Налоги!$F$25:$F$83,$F528,Налоги!$AB$25:$AB$83,$G528)</f>
        <v>0</v>
      </c>
      <c r="AX528" s="171">
        <f ca="1">SUMIFS(Налоги!AW$25:AW$83,Налоги!$F$25:$F$83,$F528,Налоги!$AB$25:$AB$83,$G528)</f>
        <v>0</v>
      </c>
      <c r="AY528" s="171">
        <f ca="1">SUMIFS(Налоги!AX$25:AX$83,Налоги!$F$25:$F$83,$F528,Налоги!$AB$25:$AB$83,$G528)</f>
        <v>0</v>
      </c>
      <c r="AZ528" s="171">
        <f ca="1">SUMIFS(Налоги!AY$25:AY$83,Налоги!$F$25:$F$83,$F528,Налоги!$AB$25:$AB$83,$G528)</f>
        <v>0</v>
      </c>
      <c r="BA528" s="171">
        <f ca="1">SUMIFS(Налоги!AZ$25:AZ$83,Налоги!$F$25:$F$83,$F528,Налоги!$AB$25:$AB$83,$G528)</f>
        <v>0</v>
      </c>
      <c r="BB528" s="171">
        <f ca="1">SUMIFS(Налоги!BA$25:BA$83,Налоги!$F$25:$F$83,$F528,Налоги!$AB$25:$AB$83,$G528)</f>
        <v>0</v>
      </c>
      <c r="BC528" s="171">
        <f ca="1">SUMIFS(Налоги!BB$25:BB$83,Налоги!$F$25:$F$83,$F528,Налоги!$AB$25:$AB$83,$G528)</f>
        <v>0</v>
      </c>
      <c r="BD528" s="171">
        <f t="shared" ca="1" si="142"/>
        <v>0</v>
      </c>
      <c r="BE528" s="171">
        <f t="shared" ca="1" si="143"/>
        <v>0</v>
      </c>
      <c r="BF528" s="171">
        <f t="shared" ca="1" si="144"/>
        <v>0</v>
      </c>
      <c r="BG528" s="171">
        <f t="shared" ca="1" si="145"/>
        <v>0</v>
      </c>
      <c r="BH528" s="171">
        <f t="shared" ca="1" si="146"/>
        <v>0</v>
      </c>
      <c r="BI528" s="171">
        <f t="shared" ca="1" si="147"/>
        <v>0</v>
      </c>
      <c r="BJ528" s="171">
        <f t="shared" ca="1" si="148"/>
        <v>0</v>
      </c>
      <c r="BK528" s="171">
        <f t="shared" ca="1" si="149"/>
        <v>0</v>
      </c>
      <c r="BL528" s="171">
        <f t="shared" ca="1" si="150"/>
        <v>0</v>
      </c>
      <c r="BM528" s="171">
        <f t="shared" ca="1" si="151"/>
        <v>0</v>
      </c>
      <c r="BN528" s="196"/>
      <c r="BO528" s="601" t="str">
        <f ca="1">IF(IFERROR(INDEX(Налоги!$K$26:$L$83,MATCH($F528&amp;"4komm",Налоги!$K$26:$K$83,0),2),"")=0,"",IFERROR(INDEX(Налоги!$K$26:$L$83,MATCH($F528&amp;"4komm",Налоги!$K$26:$K$83,0),2),""))</f>
        <v/>
      </c>
      <c r="BP528" s="196"/>
      <c r="BS528" s="696" t="s">
        <v>2094</v>
      </c>
    </row>
    <row r="529" spans="2:75" ht="14.25" customHeight="1" x14ac:dyDescent="0.15">
      <c r="B529" s="15"/>
      <c r="C529" s="25"/>
      <c r="D529" s="25"/>
      <c r="E529" s="451">
        <v>15</v>
      </c>
      <c r="F529" s="3" t="str" cm="1">
        <f t="array" aca="1" ref="F529" ca="1">OFFSET(E529,-1,1)</f>
        <v>3</v>
      </c>
      <c r="G529" s="611">
        <v>5</v>
      </c>
      <c r="H529" s="25"/>
      <c r="I529" s="25" t="s">
        <v>2095</v>
      </c>
      <c r="J529" s="25"/>
      <c r="K529" s="25" t="s">
        <v>2095</v>
      </c>
      <c r="L529" s="25"/>
      <c r="M529" s="25"/>
      <c r="N529" s="25"/>
      <c r="O529" s="25"/>
      <c r="P529" s="25"/>
      <c r="Q529" s="25"/>
      <c r="R529" s="25"/>
      <c r="S529" s="25"/>
      <c r="T529" s="353" t="b" cm="1">
        <f t="array" aca="1" ref="T529" ca="1">T528</f>
        <v>1</v>
      </c>
      <c r="U529" s="25"/>
      <c r="V529" s="25"/>
      <c r="X529" s="990"/>
      <c r="Z529" s="967"/>
      <c r="AB529" s="133" t="s">
        <v>2096</v>
      </c>
      <c r="AC529" s="134" t="s">
        <v>2097</v>
      </c>
      <c r="AD529" s="7" t="s">
        <v>828</v>
      </c>
      <c r="AE529" s="171">
        <f ca="1">SUMIFS(Налоги!AE$25:AE$83,Налоги!$F$25:$F$83,$F529,Налоги!$AB$25:$AB$83,$G529)</f>
        <v>0</v>
      </c>
      <c r="AF529" s="171">
        <f ca="1">SUMIFS(Налоги!AF$25:AF$83,Налоги!$F$25:$F$83,$F529,Налоги!$AB$25:$AB$83,$G529)</f>
        <v>0</v>
      </c>
      <c r="AG529" s="171">
        <f ca="1">SUMIFS(Налоги!AG$25:AG$83,Налоги!$F$25:$F$83,$F529,Налоги!$AB$25:$AB$83,$G529)</f>
        <v>0</v>
      </c>
      <c r="AH529" s="171">
        <f t="shared" ca="1" si="140"/>
        <v>0</v>
      </c>
      <c r="AI529" s="171">
        <f ca="1">SUMIFS(Налоги!AH$25:AH$83,Налоги!$F$25:$F$83,$F529,Налоги!$AB$25:$AB$83,$G529)</f>
        <v>0</v>
      </c>
      <c r="AJ529" s="171">
        <f ca="1">SUMIFS(Налоги!AI$25:AI$83,Налоги!$F$25:$F$83,$F529,Налоги!$AB$25:$AB$83,$G529)</f>
        <v>0</v>
      </c>
      <c r="AK529" s="171">
        <f ca="1">SUMIFS(Налоги!AJ$25:AJ$83,Налоги!$F$25:$F$83,$F529,Налоги!$AB$25:$AB$83,$G529)</f>
        <v>0</v>
      </c>
      <c r="AL529" s="171">
        <f ca="1">SUMIFS(Налоги!AK$25:AK$83,Налоги!$F$25:$F$83,$F529,Налоги!$AB$25:$AB$83,$G529)</f>
        <v>0</v>
      </c>
      <c r="AM529" s="171">
        <f ca="1">SUMIFS(Налоги!AL$25:AL$83,Налоги!$F$25:$F$83,$F529,Налоги!$AB$25:$AB$83,$G529)</f>
        <v>0</v>
      </c>
      <c r="AN529" s="171">
        <f ca="1">SUMIFS(Налоги!AM$25:AM$83,Налоги!$F$25:$F$83,$F529,Налоги!$AB$25:$AB$83,$G529)</f>
        <v>0</v>
      </c>
      <c r="AO529" s="171">
        <f ca="1">SUMIFS(Налоги!AN$25:AN$83,Налоги!$F$25:$F$83,$F529,Налоги!$AB$25:$AB$83,$G529)</f>
        <v>0</v>
      </c>
      <c r="AP529" s="171">
        <f ca="1">SUMIFS(Налоги!AO$25:AO$83,Налоги!$F$25:$F$83,$F529,Налоги!$AB$25:$AB$83,$G529)</f>
        <v>0</v>
      </c>
      <c r="AQ529" s="171">
        <f ca="1">SUMIFS(Налоги!AP$25:AP$83,Налоги!$F$25:$F$83,$F529,Налоги!$AB$25:$AB$83,$G529)</f>
        <v>0</v>
      </c>
      <c r="AR529" s="171">
        <f ca="1">SUMIFS(Налоги!AQ$25:AQ$83,Налоги!$F$25:$F$83,$F529,Налоги!$AB$25:$AB$83,$G529)</f>
        <v>0</v>
      </c>
      <c r="AS529" s="171">
        <f ca="1">SUMIFS(Налоги!AR$25:AR$83,Налоги!$F$25:$F$83,$F529,Налоги!$AB$25:$AB$83,$G529)</f>
        <v>0</v>
      </c>
      <c r="AT529" s="171">
        <f ca="1">SUMIFS(Налоги!AS$25:AS$83,Налоги!$F$25:$F$83,$F529,Налоги!$AB$25:$AB$83,$G529)</f>
        <v>0</v>
      </c>
      <c r="AU529" s="171">
        <f ca="1">SUMIFS(Налоги!AT$25:AT$83,Налоги!$F$25:$F$83,$F529,Налоги!$AB$25:$AB$83,$G529)</f>
        <v>0</v>
      </c>
      <c r="AV529" s="171">
        <f ca="1">SUMIFS(Налоги!AU$25:AU$83,Налоги!$F$25:$F$83,$F529,Налоги!$AB$25:$AB$83,$G529)</f>
        <v>0</v>
      </c>
      <c r="AW529" s="171">
        <f ca="1">SUMIFS(Налоги!AV$25:AV$83,Налоги!$F$25:$F$83,$F529,Налоги!$AB$25:$AB$83,$G529)</f>
        <v>0</v>
      </c>
      <c r="AX529" s="171">
        <f ca="1">SUMIFS(Налоги!AW$25:AW$83,Налоги!$F$25:$F$83,$F529,Налоги!$AB$25:$AB$83,$G529)</f>
        <v>0</v>
      </c>
      <c r="AY529" s="171">
        <f ca="1">SUMIFS(Налоги!AX$25:AX$83,Налоги!$F$25:$F$83,$F529,Налоги!$AB$25:$AB$83,$G529)</f>
        <v>0</v>
      </c>
      <c r="AZ529" s="171">
        <f ca="1">SUMIFS(Налоги!AY$25:AY$83,Налоги!$F$25:$F$83,$F529,Налоги!$AB$25:$AB$83,$G529)</f>
        <v>0</v>
      </c>
      <c r="BA529" s="171">
        <f ca="1">SUMIFS(Налоги!AZ$25:AZ$83,Налоги!$F$25:$F$83,$F529,Налоги!$AB$25:$AB$83,$G529)</f>
        <v>0</v>
      </c>
      <c r="BB529" s="171">
        <f ca="1">SUMIFS(Налоги!BA$25:BA$83,Налоги!$F$25:$F$83,$F529,Налоги!$AB$25:$AB$83,$G529)</f>
        <v>0</v>
      </c>
      <c r="BC529" s="171">
        <f ca="1">SUMIFS(Налоги!BB$25:BB$83,Налоги!$F$25:$F$83,$F529,Налоги!$AB$25:$AB$83,$G529)</f>
        <v>0</v>
      </c>
      <c r="BD529" s="171">
        <f t="shared" ca="1" si="142"/>
        <v>0</v>
      </c>
      <c r="BE529" s="171">
        <f t="shared" ca="1" si="143"/>
        <v>0</v>
      </c>
      <c r="BF529" s="171">
        <f t="shared" ca="1" si="144"/>
        <v>0</v>
      </c>
      <c r="BG529" s="171">
        <f t="shared" ca="1" si="145"/>
        <v>0</v>
      </c>
      <c r="BH529" s="171">
        <f t="shared" ca="1" si="146"/>
        <v>0</v>
      </c>
      <c r="BI529" s="171">
        <f t="shared" ca="1" si="147"/>
        <v>0</v>
      </c>
      <c r="BJ529" s="171">
        <f t="shared" ca="1" si="148"/>
        <v>0</v>
      </c>
      <c r="BK529" s="171">
        <f t="shared" ca="1" si="149"/>
        <v>0</v>
      </c>
      <c r="BL529" s="171">
        <f t="shared" ca="1" si="150"/>
        <v>0</v>
      </c>
      <c r="BM529" s="171">
        <f t="shared" ca="1" si="151"/>
        <v>0</v>
      </c>
      <c r="BN529" s="196"/>
      <c r="BO529" s="601" t="str">
        <f ca="1">IF(IFERROR(INDEX(Налоги!$K$26:$L$83,MATCH($F529&amp;"5komm",Налоги!$K$26:$K$83,0),2),"")=0,"",IFERROR(INDEX(Налоги!$K$26:$L$83,MATCH($F529&amp;"5komm",Налоги!$K$26:$K$83,0),2),""))</f>
        <v/>
      </c>
      <c r="BP529" s="196"/>
      <c r="BS529" s="696" t="s">
        <v>2098</v>
      </c>
    </row>
    <row r="530" spans="2:75" ht="14.25" customHeight="1" x14ac:dyDescent="0.15">
      <c r="B530" s="15"/>
      <c r="C530" s="25"/>
      <c r="D530" s="25"/>
      <c r="E530" s="451">
        <v>15</v>
      </c>
      <c r="F530" s="3" t="str" cm="1">
        <f t="array" aca="1" ref="F530" ca="1">OFFSET(E530,-1,1)</f>
        <v>3</v>
      </c>
      <c r="G530" s="611">
        <v>1</v>
      </c>
      <c r="H530" s="25"/>
      <c r="I530" s="25" t="s">
        <v>2099</v>
      </c>
      <c r="J530" s="25"/>
      <c r="K530" s="25" t="s">
        <v>2099</v>
      </c>
      <c r="L530" s="25"/>
      <c r="M530" s="25"/>
      <c r="N530" s="25"/>
      <c r="O530" s="25"/>
      <c r="P530" s="25"/>
      <c r="Q530" s="25"/>
      <c r="R530" s="25"/>
      <c r="S530" s="25"/>
      <c r="T530" s="353" t="b" cm="1">
        <f t="array" aca="1" ref="T530" ca="1">T529</f>
        <v>1</v>
      </c>
      <c r="U530" s="25"/>
      <c r="V530" s="25"/>
      <c r="X530" s="990"/>
      <c r="Z530" s="967"/>
      <c r="AB530" s="133" t="s">
        <v>2100</v>
      </c>
      <c r="AC530" s="134" t="s">
        <v>2101</v>
      </c>
      <c r="AD530" s="7" t="s">
        <v>828</v>
      </c>
      <c r="AE530" s="171">
        <f ca="1">SUMIFS(Налоги!AE$25:AE$83,Налоги!$F$25:$F$83,$F530,Налоги!$AB$25:$AB$83,$G530)</f>
        <v>0</v>
      </c>
      <c r="AF530" s="171">
        <f ca="1">SUMIFS(Налоги!AF$25:AF$83,Налоги!$F$25:$F$83,$F530,Налоги!$AB$25:$AB$83,$G530)</f>
        <v>0</v>
      </c>
      <c r="AG530" s="171">
        <f ca="1">SUMIFS(Налоги!AG$25:AG$83,Налоги!$F$25:$F$83,$F530,Налоги!$AB$25:$AB$83,$G530)</f>
        <v>0</v>
      </c>
      <c r="AH530" s="171">
        <f t="shared" ca="1" si="140"/>
        <v>0</v>
      </c>
      <c r="AI530" s="171">
        <f ca="1">SUMIFS(Налоги!AH$25:AH$83,Налоги!$F$25:$F$83,$F530,Налоги!$AB$25:$AB$83,$G530)</f>
        <v>0</v>
      </c>
      <c r="AJ530" s="171">
        <f ca="1">SUMIFS(Налоги!AI$25:AI$83,Налоги!$F$25:$F$83,$F530,Налоги!$AB$25:$AB$83,$G530)</f>
        <v>0</v>
      </c>
      <c r="AK530" s="171">
        <f ca="1">SUMIFS(Налоги!AJ$25:AJ$83,Налоги!$F$25:$F$83,$F530,Налоги!$AB$25:$AB$83,$G530)</f>
        <v>0</v>
      </c>
      <c r="AL530" s="171">
        <f ca="1">SUMIFS(Налоги!AK$25:AK$83,Налоги!$F$25:$F$83,$F530,Налоги!$AB$25:$AB$83,$G530)</f>
        <v>0</v>
      </c>
      <c r="AM530" s="171">
        <f ca="1">SUMIFS(Налоги!AL$25:AL$83,Налоги!$F$25:$F$83,$F530,Налоги!$AB$25:$AB$83,$G530)</f>
        <v>0</v>
      </c>
      <c r="AN530" s="171">
        <f ca="1">SUMIFS(Налоги!AM$25:AM$83,Налоги!$F$25:$F$83,$F530,Налоги!$AB$25:$AB$83,$G530)</f>
        <v>0</v>
      </c>
      <c r="AO530" s="171">
        <f ca="1">SUMIFS(Налоги!AN$25:AN$83,Налоги!$F$25:$F$83,$F530,Налоги!$AB$25:$AB$83,$G530)</f>
        <v>0</v>
      </c>
      <c r="AP530" s="171">
        <f ca="1">SUMIFS(Налоги!AO$25:AO$83,Налоги!$F$25:$F$83,$F530,Налоги!$AB$25:$AB$83,$G530)</f>
        <v>0</v>
      </c>
      <c r="AQ530" s="171">
        <f ca="1">SUMIFS(Налоги!AP$25:AP$83,Налоги!$F$25:$F$83,$F530,Налоги!$AB$25:$AB$83,$G530)</f>
        <v>0</v>
      </c>
      <c r="AR530" s="171">
        <f ca="1">SUMIFS(Налоги!AQ$25:AQ$83,Налоги!$F$25:$F$83,$F530,Налоги!$AB$25:$AB$83,$G530)</f>
        <v>0</v>
      </c>
      <c r="AS530" s="171">
        <f ca="1">SUMIFS(Налоги!AR$25:AR$83,Налоги!$F$25:$F$83,$F530,Налоги!$AB$25:$AB$83,$G530)</f>
        <v>0</v>
      </c>
      <c r="AT530" s="171">
        <f ca="1">SUMIFS(Налоги!AS$25:AS$83,Налоги!$F$25:$F$83,$F530,Налоги!$AB$25:$AB$83,$G530)</f>
        <v>0</v>
      </c>
      <c r="AU530" s="171">
        <f ca="1">SUMIFS(Налоги!AT$25:AT$83,Налоги!$F$25:$F$83,$F530,Налоги!$AB$25:$AB$83,$G530)</f>
        <v>0</v>
      </c>
      <c r="AV530" s="171">
        <f ca="1">SUMIFS(Налоги!AU$25:AU$83,Налоги!$F$25:$F$83,$F530,Налоги!$AB$25:$AB$83,$G530)</f>
        <v>0</v>
      </c>
      <c r="AW530" s="171">
        <f ca="1">SUMIFS(Налоги!AV$25:AV$83,Налоги!$F$25:$F$83,$F530,Налоги!$AB$25:$AB$83,$G530)</f>
        <v>0</v>
      </c>
      <c r="AX530" s="171">
        <f ca="1">SUMIFS(Налоги!AW$25:AW$83,Налоги!$F$25:$F$83,$F530,Налоги!$AB$25:$AB$83,$G530)</f>
        <v>0</v>
      </c>
      <c r="AY530" s="171">
        <f ca="1">SUMIFS(Налоги!AX$25:AX$83,Налоги!$F$25:$F$83,$F530,Налоги!$AB$25:$AB$83,$G530)</f>
        <v>0</v>
      </c>
      <c r="AZ530" s="171">
        <f ca="1">SUMIFS(Налоги!AY$25:AY$83,Налоги!$F$25:$F$83,$F530,Налоги!$AB$25:$AB$83,$G530)</f>
        <v>0</v>
      </c>
      <c r="BA530" s="171">
        <f ca="1">SUMIFS(Налоги!AZ$25:AZ$83,Налоги!$F$25:$F$83,$F530,Налоги!$AB$25:$AB$83,$G530)</f>
        <v>0</v>
      </c>
      <c r="BB530" s="171">
        <f ca="1">SUMIFS(Налоги!BA$25:BA$83,Налоги!$F$25:$F$83,$F530,Налоги!$AB$25:$AB$83,$G530)</f>
        <v>0</v>
      </c>
      <c r="BC530" s="171">
        <f ca="1">SUMIFS(Налоги!BB$25:BB$83,Налоги!$F$25:$F$83,$F530,Налоги!$AB$25:$AB$83,$G530)</f>
        <v>0</v>
      </c>
      <c r="BD530" s="171">
        <f t="shared" ca="1" si="142"/>
        <v>0</v>
      </c>
      <c r="BE530" s="171">
        <f t="shared" ca="1" si="143"/>
        <v>0</v>
      </c>
      <c r="BF530" s="171">
        <f t="shared" ca="1" si="144"/>
        <v>0</v>
      </c>
      <c r="BG530" s="171">
        <f t="shared" ca="1" si="145"/>
        <v>0</v>
      </c>
      <c r="BH530" s="171">
        <f t="shared" ca="1" si="146"/>
        <v>0</v>
      </c>
      <c r="BI530" s="171">
        <f t="shared" ca="1" si="147"/>
        <v>0</v>
      </c>
      <c r="BJ530" s="171">
        <f t="shared" ca="1" si="148"/>
        <v>0</v>
      </c>
      <c r="BK530" s="171">
        <f t="shared" ca="1" si="149"/>
        <v>0</v>
      </c>
      <c r="BL530" s="171">
        <f t="shared" ca="1" si="150"/>
        <v>0</v>
      </c>
      <c r="BM530" s="171">
        <f t="shared" ca="1" si="151"/>
        <v>0</v>
      </c>
      <c r="BN530" s="196"/>
      <c r="BO530" s="601" t="str">
        <f ca="1">IF(IFERROR(INDEX(Налоги!$K$26:$L$83,MATCH($F530&amp;"1komm",Налоги!$K$26:$K$83,0),2),"")=0,"",IFERROR(INDEX(Налоги!$K$26:$L$83,MATCH($F530&amp;"1komm",Налоги!$K$26:$K$83,0),2),""))</f>
        <v/>
      </c>
      <c r="BP530" s="196"/>
      <c r="BS530" s="696" t="s">
        <v>2102</v>
      </c>
    </row>
    <row r="531" spans="2:75" ht="14.25" customHeight="1" x14ac:dyDescent="0.15">
      <c r="B531" s="15"/>
      <c r="C531" s="25"/>
      <c r="D531" s="25"/>
      <c r="E531" s="451">
        <v>15</v>
      </c>
      <c r="F531" s="3" t="str" cm="1">
        <f t="array" aca="1" ref="F531" ca="1">OFFSET(E531,-1,1)</f>
        <v>3</v>
      </c>
      <c r="G531" s="611">
        <v>3</v>
      </c>
      <c r="H531" s="25"/>
      <c r="I531" s="25" t="s">
        <v>2103</v>
      </c>
      <c r="J531" s="25"/>
      <c r="K531" s="25" t="s">
        <v>2103</v>
      </c>
      <c r="L531" s="25"/>
      <c r="M531" s="25"/>
      <c r="N531" s="25"/>
      <c r="O531" s="25"/>
      <c r="P531" s="25"/>
      <c r="Q531" s="25"/>
      <c r="R531" s="25"/>
      <c r="S531" s="25"/>
      <c r="T531" s="353" t="b" cm="1">
        <f t="array" aca="1" ref="T531" ca="1">T530</f>
        <v>1</v>
      </c>
      <c r="U531" s="25"/>
      <c r="V531" s="25"/>
      <c r="X531" s="990"/>
      <c r="Z531" s="967"/>
      <c r="AB531" s="133" t="s">
        <v>2104</v>
      </c>
      <c r="AC531" s="134" t="s">
        <v>2105</v>
      </c>
      <c r="AD531" s="7" t="s">
        <v>828</v>
      </c>
      <c r="AE531" s="128">
        <f ca="1">SUMIFS(Налоги!AE$25:AE$83,Налоги!$F$25:$F$83,$F531,Налоги!$AB$25:$AB$83,$G531)</f>
        <v>0</v>
      </c>
      <c r="AF531" s="128">
        <f ca="1">SUMIFS(Налоги!AF$25:AF$83,Налоги!$F$25:$F$83,$F531,Налоги!$AB$25:$AB$83,$G531)</f>
        <v>0</v>
      </c>
      <c r="AG531" s="128">
        <f ca="1">SUMIFS(Налоги!AG$25:AG$83,Налоги!$F$25:$F$83,$F531,Налоги!$AB$25:$AB$83,$G531)</f>
        <v>0</v>
      </c>
      <c r="AH531" s="171">
        <f t="shared" ca="1" si="140"/>
        <v>0</v>
      </c>
      <c r="AI531" s="128">
        <f ca="1">SUMIFS(Налоги!AH$25:AH$83,Налоги!$F$25:$F$83,$F531,Налоги!$AB$25:$AB$83,$G531)</f>
        <v>0</v>
      </c>
      <c r="AJ531" s="128">
        <f ca="1">SUMIFS(Налоги!AI$25:AI$83,Налоги!$F$25:$F$83,$F531,Налоги!$AB$25:$AB$83,$G531)</f>
        <v>0</v>
      </c>
      <c r="AK531" s="778">
        <f ca="1">SUMIFS(Налоги!AJ$25:AJ$83,Налоги!$F$25:$F$83,$F531,Налоги!$AB$25:$AB$83,$G531)</f>
        <v>0</v>
      </c>
      <c r="AL531" s="778">
        <f ca="1">SUMIFS(Налоги!AK$25:AK$83,Налоги!$F$25:$F$83,$F531,Налоги!$AB$25:$AB$83,$G531)</f>
        <v>0</v>
      </c>
      <c r="AM531" s="128">
        <f ca="1">SUMIFS(Налоги!AL$25:AL$83,Налоги!$F$25:$F$83,$F531,Налоги!$AB$25:$AB$83,$G531)</f>
        <v>0</v>
      </c>
      <c r="AN531" s="128">
        <f ca="1">SUMIFS(Налоги!AM$25:AM$83,Налоги!$F$25:$F$83,$F531,Налоги!$AB$25:$AB$83,$G531)</f>
        <v>0</v>
      </c>
      <c r="AO531" s="128">
        <f ca="1">SUMIFS(Налоги!AN$25:AN$83,Налоги!$F$25:$F$83,$F531,Налоги!$AB$25:$AB$83,$G531)</f>
        <v>0</v>
      </c>
      <c r="AP531" s="128">
        <f ca="1">SUMIFS(Налоги!AO$25:AO$83,Налоги!$F$25:$F$83,$F531,Налоги!$AB$25:$AB$83,$G531)</f>
        <v>0</v>
      </c>
      <c r="AQ531" s="128">
        <f ca="1">SUMIFS(Налоги!AP$25:AP$83,Налоги!$F$25:$F$83,$F531,Налоги!$AB$25:$AB$83,$G531)</f>
        <v>0</v>
      </c>
      <c r="AR531" s="128">
        <f ca="1">SUMIFS(Налоги!AQ$25:AQ$83,Налоги!$F$25:$F$83,$F531,Налоги!$AB$25:$AB$83,$G531)</f>
        <v>0</v>
      </c>
      <c r="AS531" s="128">
        <f ca="1">SUMIFS(Налоги!AR$25:AR$83,Налоги!$F$25:$F$83,$F531,Налоги!$AB$25:$AB$83,$G531)</f>
        <v>0</v>
      </c>
      <c r="AT531" s="128">
        <f ca="1">SUMIFS(Налоги!AS$25:AS$83,Налоги!$F$25:$F$83,$F531,Налоги!$AB$25:$AB$83,$G531)</f>
        <v>0</v>
      </c>
      <c r="AU531" s="778">
        <f ca="1">SUMIFS(Налоги!AT$25:AT$83,Налоги!$F$25:$F$83,$F531,Налоги!$AB$25:$AB$83,$G531)</f>
        <v>0</v>
      </c>
      <c r="AV531" s="778">
        <f ca="1">SUMIFS(Налоги!AU$25:AU$83,Налоги!$F$25:$F$83,$F531,Налоги!$AB$25:$AB$83,$G531)</f>
        <v>0</v>
      </c>
      <c r="AW531" s="128">
        <f ca="1">SUMIFS(Налоги!AV$25:AV$83,Налоги!$F$25:$F$83,$F531,Налоги!$AB$25:$AB$83,$G531)</f>
        <v>0</v>
      </c>
      <c r="AX531" s="128">
        <f ca="1">SUMIFS(Налоги!AW$25:AW$83,Налоги!$F$25:$F$83,$F531,Налоги!$AB$25:$AB$83,$G531)</f>
        <v>0</v>
      </c>
      <c r="AY531" s="128">
        <f ca="1">SUMIFS(Налоги!AX$25:AX$83,Налоги!$F$25:$F$83,$F531,Налоги!$AB$25:$AB$83,$G531)</f>
        <v>0</v>
      </c>
      <c r="AZ531" s="128">
        <f ca="1">SUMIFS(Налоги!AY$25:AY$83,Налоги!$F$25:$F$83,$F531,Налоги!$AB$25:$AB$83,$G531)</f>
        <v>0</v>
      </c>
      <c r="BA531" s="128">
        <f ca="1">SUMIFS(Налоги!AZ$25:AZ$83,Налоги!$F$25:$F$83,$F531,Налоги!$AB$25:$AB$83,$G531)</f>
        <v>0</v>
      </c>
      <c r="BB531" s="128">
        <f ca="1">SUMIFS(Налоги!BA$25:BA$83,Налоги!$F$25:$F$83,$F531,Налоги!$AB$25:$AB$83,$G531)</f>
        <v>0</v>
      </c>
      <c r="BC531" s="128">
        <f ca="1">SUMIFS(Налоги!BB$25:BB$83,Налоги!$F$25:$F$83,$F531,Налоги!$AB$25:$AB$83,$G531)</f>
        <v>0</v>
      </c>
      <c r="BD531" s="171">
        <f t="shared" ca="1" si="142"/>
        <v>0</v>
      </c>
      <c r="BE531" s="171">
        <f t="shared" ca="1" si="143"/>
        <v>0</v>
      </c>
      <c r="BF531" s="171">
        <f t="shared" ca="1" si="144"/>
        <v>0</v>
      </c>
      <c r="BG531" s="171">
        <f t="shared" ca="1" si="145"/>
        <v>0</v>
      </c>
      <c r="BH531" s="171">
        <f t="shared" ca="1" si="146"/>
        <v>0</v>
      </c>
      <c r="BI531" s="171">
        <f t="shared" ca="1" si="147"/>
        <v>0</v>
      </c>
      <c r="BJ531" s="171">
        <f t="shared" ca="1" si="148"/>
        <v>0</v>
      </c>
      <c r="BK531" s="171">
        <f t="shared" ca="1" si="149"/>
        <v>0</v>
      </c>
      <c r="BL531" s="171">
        <f t="shared" ca="1" si="150"/>
        <v>0</v>
      </c>
      <c r="BM531" s="171">
        <f t="shared" ca="1" si="151"/>
        <v>0</v>
      </c>
      <c r="BN531" s="196"/>
      <c r="BO531" s="601" t="str">
        <f ca="1">IF(IFERROR(INDEX(Налоги!$K$26:$L$83,MATCH($F531&amp;"5komm",Налоги!$K$26:$K$83,0),2),"")=0,"",IFERROR(INDEX(Налоги!$K$26:$L$83,MATCH($F531&amp;"5komm",Налоги!$K$26:$K$83,0),2),""))</f>
        <v/>
      </c>
      <c r="BP531" s="196"/>
      <c r="BS531" s="696" t="s">
        <v>2106</v>
      </c>
    </row>
    <row r="532" spans="2:75" ht="14.25" customHeight="1" x14ac:dyDescent="0.15">
      <c r="B532" s="15"/>
      <c r="C532" s="25"/>
      <c r="D532" s="25"/>
      <c r="E532" s="451">
        <v>15</v>
      </c>
      <c r="F532" s="3" t="str" cm="1">
        <f t="array" aca="1" ref="F532" ca="1">OFFSET(E532,-1,1)</f>
        <v>3</v>
      </c>
      <c r="G532" s="611">
        <v>8</v>
      </c>
      <c r="H532" s="25"/>
      <c r="I532" s="25" t="s">
        <v>2107</v>
      </c>
      <c r="J532" s="25"/>
      <c r="K532" s="25" t="s">
        <v>2107</v>
      </c>
      <c r="L532" s="25"/>
      <c r="M532" s="25"/>
      <c r="N532" s="25"/>
      <c r="O532" s="25"/>
      <c r="P532" s="25"/>
      <c r="Q532" s="25"/>
      <c r="R532" s="25"/>
      <c r="S532" s="25"/>
      <c r="T532" s="353" t="b" cm="1">
        <f t="array" aca="1" ref="T532" ca="1">T531</f>
        <v>1</v>
      </c>
      <c r="U532" s="25"/>
      <c r="V532" s="25"/>
      <c r="X532" s="990"/>
      <c r="Z532" s="967"/>
      <c r="AB532" s="133" t="s">
        <v>2108</v>
      </c>
      <c r="AC532" s="134" t="s">
        <v>2109</v>
      </c>
      <c r="AD532" s="7" t="s">
        <v>828</v>
      </c>
      <c r="AE532" s="171">
        <f ca="1">SUMIFS(Налоги!AE$25:AE$83,Налоги!$F$25:$F$83,$F532,Налоги!$AB$25:$AB$83,$G532)</f>
        <v>0</v>
      </c>
      <c r="AF532" s="171">
        <f ca="1">SUMIFS(Налоги!AF$25:AF$83,Налоги!$F$25:$F$83,$F532,Налоги!$AB$25:$AB$83,$G532)</f>
        <v>0</v>
      </c>
      <c r="AG532" s="171">
        <f ca="1">SUMIFS(Налоги!AG$25:AG$83,Налоги!$F$25:$F$83,$F532,Налоги!$AB$25:$AB$83,$G532)</f>
        <v>0</v>
      </c>
      <c r="AH532" s="171">
        <f t="shared" ca="1" si="140"/>
        <v>0</v>
      </c>
      <c r="AI532" s="171">
        <f ca="1">SUMIFS(Налоги!AH$25:AH$83,Налоги!$F$25:$F$83,$F532,Налоги!$AB$25:$AB$83,$G532)</f>
        <v>0</v>
      </c>
      <c r="AJ532" s="171">
        <f ca="1">SUMIFS(Налоги!AI$25:AI$83,Налоги!$F$25:$F$83,$F532,Налоги!$AB$25:$AB$83,$G532)</f>
        <v>0</v>
      </c>
      <c r="AK532" s="171">
        <f ca="1">SUMIFS(Налоги!AJ$25:AJ$83,Налоги!$F$25:$F$83,$F532,Налоги!$AB$25:$AB$83,$G532)</f>
        <v>0</v>
      </c>
      <c r="AL532" s="171">
        <f ca="1">SUMIFS(Налоги!AK$25:AK$83,Налоги!$F$25:$F$83,$F532,Налоги!$AB$25:$AB$83,$G532)</f>
        <v>0</v>
      </c>
      <c r="AM532" s="171">
        <f ca="1">SUMIFS(Налоги!AL$25:AL$83,Налоги!$F$25:$F$83,$F532,Налоги!$AB$25:$AB$83,$G532)</f>
        <v>0</v>
      </c>
      <c r="AN532" s="171">
        <f ca="1">SUMIFS(Налоги!AM$25:AM$83,Налоги!$F$25:$F$83,$F532,Налоги!$AB$25:$AB$83,$G532)</f>
        <v>0</v>
      </c>
      <c r="AO532" s="171">
        <f ca="1">SUMIFS(Налоги!AN$25:AN$83,Налоги!$F$25:$F$83,$F532,Налоги!$AB$25:$AB$83,$G532)</f>
        <v>0</v>
      </c>
      <c r="AP532" s="171">
        <f ca="1">SUMIFS(Налоги!AO$25:AO$83,Налоги!$F$25:$F$83,$F532,Налоги!$AB$25:$AB$83,$G532)</f>
        <v>0</v>
      </c>
      <c r="AQ532" s="171">
        <f ca="1">SUMIFS(Налоги!AP$25:AP$83,Налоги!$F$25:$F$83,$F532,Налоги!$AB$25:$AB$83,$G532)</f>
        <v>0</v>
      </c>
      <c r="AR532" s="171">
        <f ca="1">SUMIFS(Налоги!AQ$25:AQ$83,Налоги!$F$25:$F$83,$F532,Налоги!$AB$25:$AB$83,$G532)</f>
        <v>0</v>
      </c>
      <c r="AS532" s="171">
        <f ca="1">SUMIFS(Налоги!AR$25:AR$83,Налоги!$F$25:$F$83,$F532,Налоги!$AB$25:$AB$83,$G532)</f>
        <v>0</v>
      </c>
      <c r="AT532" s="171">
        <f ca="1">SUMIFS(Налоги!AS$25:AS$83,Налоги!$F$25:$F$83,$F532,Налоги!$AB$25:$AB$83,$G532)</f>
        <v>0</v>
      </c>
      <c r="AU532" s="171">
        <f ca="1">SUMIFS(Налоги!AT$25:AT$83,Налоги!$F$25:$F$83,$F532,Налоги!$AB$25:$AB$83,$G532)</f>
        <v>0</v>
      </c>
      <c r="AV532" s="171">
        <f ca="1">SUMIFS(Налоги!AU$25:AU$83,Налоги!$F$25:$F$83,$F532,Налоги!$AB$25:$AB$83,$G532)</f>
        <v>0</v>
      </c>
      <c r="AW532" s="171">
        <f ca="1">SUMIFS(Налоги!AV$25:AV$83,Налоги!$F$25:$F$83,$F532,Налоги!$AB$25:$AB$83,$G532)</f>
        <v>0</v>
      </c>
      <c r="AX532" s="171">
        <f ca="1">SUMIFS(Налоги!AW$25:AW$83,Налоги!$F$25:$F$83,$F532,Налоги!$AB$25:$AB$83,$G532)</f>
        <v>0</v>
      </c>
      <c r="AY532" s="171">
        <f ca="1">SUMIFS(Налоги!AX$25:AX$83,Налоги!$F$25:$F$83,$F532,Налоги!$AB$25:$AB$83,$G532)</f>
        <v>0</v>
      </c>
      <c r="AZ532" s="171">
        <f ca="1">SUMIFS(Налоги!AY$25:AY$83,Налоги!$F$25:$F$83,$F532,Налоги!$AB$25:$AB$83,$G532)</f>
        <v>0</v>
      </c>
      <c r="BA532" s="171">
        <f ca="1">SUMIFS(Налоги!AZ$25:AZ$83,Налоги!$F$25:$F$83,$F532,Налоги!$AB$25:$AB$83,$G532)</f>
        <v>0</v>
      </c>
      <c r="BB532" s="171">
        <f ca="1">SUMIFS(Налоги!BA$25:BA$83,Налоги!$F$25:$F$83,$F532,Налоги!$AB$25:$AB$83,$G532)</f>
        <v>0</v>
      </c>
      <c r="BC532" s="171">
        <f ca="1">SUMIFS(Налоги!BB$25:BB$83,Налоги!$F$25:$F$83,$F532,Налоги!$AB$25:$AB$83,$G532)</f>
        <v>0</v>
      </c>
      <c r="BD532" s="171">
        <f t="shared" ca="1" si="142"/>
        <v>0</v>
      </c>
      <c r="BE532" s="171">
        <f t="shared" ca="1" si="143"/>
        <v>0</v>
      </c>
      <c r="BF532" s="171">
        <f t="shared" ca="1" si="144"/>
        <v>0</v>
      </c>
      <c r="BG532" s="171">
        <f t="shared" ca="1" si="145"/>
        <v>0</v>
      </c>
      <c r="BH532" s="171">
        <f t="shared" ca="1" si="146"/>
        <v>0</v>
      </c>
      <c r="BI532" s="171">
        <f t="shared" ca="1" si="147"/>
        <v>0</v>
      </c>
      <c r="BJ532" s="171">
        <f t="shared" ca="1" si="148"/>
        <v>0</v>
      </c>
      <c r="BK532" s="171">
        <f t="shared" ca="1" si="149"/>
        <v>0</v>
      </c>
      <c r="BL532" s="171">
        <f t="shared" ca="1" si="150"/>
        <v>0</v>
      </c>
      <c r="BM532" s="171">
        <f t="shared" ca="1" si="151"/>
        <v>0</v>
      </c>
      <c r="BN532" s="196"/>
      <c r="BO532" s="601" t="str">
        <f ca="1">IF(IFERROR(INDEX(Налоги!$K$26:$L$83,MATCH($F532&amp;"8komm",Налоги!$K$26:$K$83,0),2),"")=0,"",IFERROR(INDEX(Налоги!$K$26:$L$83,MATCH($F532&amp;"8komm",Налоги!$K$26:$K$83,0),2),""))</f>
        <v/>
      </c>
      <c r="BP532" s="196"/>
      <c r="BS532" s="696" t="s">
        <v>1293</v>
      </c>
    </row>
    <row r="533" spans="2:75" s="376" customFormat="1" ht="14.25" customHeight="1" x14ac:dyDescent="0.15">
      <c r="B533" s="15"/>
      <c r="C533" s="25"/>
      <c r="D533" s="25"/>
      <c r="E533" s="451">
        <v>15</v>
      </c>
      <c r="F533" s="3" t="str" cm="1">
        <f t="array" aca="1" ref="F533" ca="1">OFFSET(E533,-1,1)</f>
        <v>3</v>
      </c>
      <c r="G533" s="611">
        <v>9</v>
      </c>
      <c r="H533" s="25"/>
      <c r="I533" s="25"/>
      <c r="J533" s="25"/>
      <c r="K533" s="25"/>
      <c r="L533" s="25"/>
      <c r="M533" s="25"/>
      <c r="N533" s="25"/>
      <c r="O533" s="25"/>
      <c r="P533" s="25"/>
      <c r="Q533" s="25"/>
      <c r="R533" s="25"/>
      <c r="S533" s="25"/>
      <c r="T533" s="353" t="b" cm="1">
        <f t="array" aca="1" ref="T533" ca="1">T532</f>
        <v>1</v>
      </c>
      <c r="U533" s="25"/>
      <c r="V533" s="25"/>
      <c r="X533" s="990"/>
      <c r="Z533" s="967"/>
      <c r="AB533" s="133" t="s">
        <v>2110</v>
      </c>
      <c r="AC533" s="549" t="s">
        <v>2111</v>
      </c>
      <c r="AD533" s="7" t="s">
        <v>828</v>
      </c>
      <c r="AE533" s="171">
        <f ca="1">SUMIFS(Налоги!AE$25:AE$83,Налоги!$F$25:$F$83,$F533,Налоги!$AB$25:$AB$83,$G533)</f>
        <v>0</v>
      </c>
      <c r="AF533" s="171">
        <f ca="1">SUMIFS(Налоги!AF$25:AF$83,Налоги!$F$25:$F$83,$F533,Налоги!$AB$25:$AB$83,$G533)</f>
        <v>0</v>
      </c>
      <c r="AG533" s="171">
        <f ca="1">SUMIFS(Налоги!AG$25:AG$83,Налоги!$F$25:$F$83,$F533,Налоги!$AB$25:$AB$83,$G533)</f>
        <v>0</v>
      </c>
      <c r="AH533" s="171">
        <f t="shared" ca="1" si="140"/>
        <v>0</v>
      </c>
      <c r="AI533" s="171">
        <f ca="1">SUMIFS(Налоги!AH$25:AH$83,Налоги!$F$25:$F$83,$F533,Налоги!$AB$25:$AB$83,$G533)</f>
        <v>0</v>
      </c>
      <c r="AJ533" s="171">
        <f ca="1">SUMIFS(Налоги!AI$25:AI$83,Налоги!$F$25:$F$83,$F533,Налоги!$AB$25:$AB$83,$G533)</f>
        <v>0</v>
      </c>
      <c r="AK533" s="171">
        <f ca="1">SUMIFS(Налоги!AJ$25:AJ$83,Налоги!$F$25:$F$83,$F533,Налоги!$AB$25:$AB$83,$G533)</f>
        <v>0</v>
      </c>
      <c r="AL533" s="171">
        <f ca="1">SUMIFS(Налоги!AK$25:AK$83,Налоги!$F$25:$F$83,$F533,Налоги!$AB$25:$AB$83,$G533)</f>
        <v>0</v>
      </c>
      <c r="AM533" s="171">
        <f ca="1">SUMIFS(Налоги!AL$25:AL$83,Налоги!$F$25:$F$83,$F533,Налоги!$AB$25:$AB$83,$G533)</f>
        <v>0</v>
      </c>
      <c r="AN533" s="171">
        <f ca="1">SUMIFS(Налоги!AM$25:AM$83,Налоги!$F$25:$F$83,$F533,Налоги!$AB$25:$AB$83,$G533)</f>
        <v>0</v>
      </c>
      <c r="AO533" s="171">
        <f ca="1">SUMIFS(Налоги!AN$25:AN$83,Налоги!$F$25:$F$83,$F533,Налоги!$AB$25:$AB$83,$G533)</f>
        <v>0</v>
      </c>
      <c r="AP533" s="171">
        <f ca="1">SUMIFS(Налоги!AO$25:AO$83,Налоги!$F$25:$F$83,$F533,Налоги!$AB$25:$AB$83,$G533)</f>
        <v>0</v>
      </c>
      <c r="AQ533" s="171">
        <f ca="1">SUMIFS(Налоги!AP$25:AP$83,Налоги!$F$25:$F$83,$F533,Налоги!$AB$25:$AB$83,$G533)</f>
        <v>0</v>
      </c>
      <c r="AR533" s="171">
        <f ca="1">SUMIFS(Налоги!AQ$25:AQ$83,Налоги!$F$25:$F$83,$F533,Налоги!$AB$25:$AB$83,$G533)</f>
        <v>0</v>
      </c>
      <c r="AS533" s="171">
        <f ca="1">SUMIFS(Налоги!AR$25:AR$83,Налоги!$F$25:$F$83,$F533,Налоги!$AB$25:$AB$83,$G533)</f>
        <v>0</v>
      </c>
      <c r="AT533" s="171">
        <f ca="1">SUMIFS(Налоги!AS$25:AS$83,Налоги!$F$25:$F$83,$F533,Налоги!$AB$25:$AB$83,$G533)</f>
        <v>0</v>
      </c>
      <c r="AU533" s="171">
        <f ca="1">SUMIFS(Налоги!AT$25:AT$83,Налоги!$F$25:$F$83,$F533,Налоги!$AB$25:$AB$83,$G533)</f>
        <v>0</v>
      </c>
      <c r="AV533" s="171">
        <f ca="1">SUMIFS(Налоги!AU$25:AU$83,Налоги!$F$25:$F$83,$F533,Налоги!$AB$25:$AB$83,$G533)</f>
        <v>0</v>
      </c>
      <c r="AW533" s="171">
        <f ca="1">SUMIFS(Налоги!AV$25:AV$83,Налоги!$F$25:$F$83,$F533,Налоги!$AB$25:$AB$83,$G533)</f>
        <v>0</v>
      </c>
      <c r="AX533" s="171">
        <f ca="1">SUMIFS(Налоги!AW$25:AW$83,Налоги!$F$25:$F$83,$F533,Налоги!$AB$25:$AB$83,$G533)</f>
        <v>0</v>
      </c>
      <c r="AY533" s="171">
        <f ca="1">SUMIFS(Налоги!AX$25:AX$83,Налоги!$F$25:$F$83,$F533,Налоги!$AB$25:$AB$83,$G533)</f>
        <v>0</v>
      </c>
      <c r="AZ533" s="171">
        <f ca="1">SUMIFS(Налоги!AY$25:AY$83,Налоги!$F$25:$F$83,$F533,Налоги!$AB$25:$AB$83,$G533)</f>
        <v>0</v>
      </c>
      <c r="BA533" s="171">
        <f ca="1">SUMIFS(Налоги!AZ$25:AZ$83,Налоги!$F$25:$F$83,$F533,Налоги!$AB$25:$AB$83,$G533)</f>
        <v>0</v>
      </c>
      <c r="BB533" s="171">
        <f ca="1">SUMIFS(Налоги!BA$25:BA$83,Налоги!$F$25:$F$83,$F533,Налоги!$AB$25:$AB$83,$G533)</f>
        <v>0</v>
      </c>
      <c r="BC533" s="171">
        <f ca="1">SUMIFS(Налоги!BB$25:BB$83,Налоги!$F$25:$F$83,$F533,Налоги!$AB$25:$AB$83,$G533)</f>
        <v>0</v>
      </c>
      <c r="BD533" s="171">
        <f t="shared" ca="1" si="142"/>
        <v>0</v>
      </c>
      <c r="BE533" s="171">
        <f t="shared" ca="1" si="143"/>
        <v>0</v>
      </c>
      <c r="BF533" s="171">
        <f t="shared" ca="1" si="144"/>
        <v>0</v>
      </c>
      <c r="BG533" s="171">
        <f t="shared" ca="1" si="145"/>
        <v>0</v>
      </c>
      <c r="BH533" s="171">
        <f t="shared" ca="1" si="146"/>
        <v>0</v>
      </c>
      <c r="BI533" s="171">
        <f t="shared" ca="1" si="147"/>
        <v>0</v>
      </c>
      <c r="BJ533" s="171">
        <f t="shared" ca="1" si="148"/>
        <v>0</v>
      </c>
      <c r="BK533" s="171">
        <f t="shared" ca="1" si="149"/>
        <v>0</v>
      </c>
      <c r="BL533" s="171">
        <f t="shared" ca="1" si="150"/>
        <v>0</v>
      </c>
      <c r="BM533" s="171">
        <f t="shared" ca="1" si="151"/>
        <v>0</v>
      </c>
      <c r="BN533" s="196"/>
      <c r="BO533" s="601" t="str">
        <f ca="1">IF(IFERROR(INDEX(Налоги!$K$26:$L$83,MATCH($F533&amp;"9komm",Налоги!$K$26:$K$83,0),2),"")=0,"",IFERROR(INDEX(Налоги!$K$26:$L$83,MATCH($F533&amp;"9komm",Налоги!$K$26:$K$83,0),2),""))</f>
        <v/>
      </c>
      <c r="BP533" s="196"/>
      <c r="BS533" s="703" t="s">
        <v>2112</v>
      </c>
      <c r="BT533" s="703"/>
      <c r="BU533" s="703"/>
      <c r="BV533" s="704"/>
      <c r="BW533" s="704"/>
    </row>
    <row r="534" spans="2:75" ht="14.25" customHeight="1" x14ac:dyDescent="0.15">
      <c r="B534" s="15"/>
      <c r="C534" s="25"/>
      <c r="D534" s="25"/>
      <c r="E534" s="451">
        <v>15</v>
      </c>
      <c r="F534" s="3" t="str" cm="1">
        <f t="array" aca="1" ref="F534" ca="1">OFFSET(E534,-1,1)</f>
        <v>3</v>
      </c>
      <c r="G534" s="611">
        <v>10</v>
      </c>
      <c r="H534" s="25"/>
      <c r="I534" s="25" t="s">
        <v>2113</v>
      </c>
      <c r="J534" s="25"/>
      <c r="K534" s="25" t="s">
        <v>2113</v>
      </c>
      <c r="L534" s="25"/>
      <c r="M534" s="25"/>
      <c r="N534" s="25"/>
      <c r="O534" s="25"/>
      <c r="P534" s="25"/>
      <c r="Q534" s="25"/>
      <c r="R534" s="25"/>
      <c r="S534" s="25"/>
      <c r="T534" s="353" t="b" cm="1">
        <f t="array" aca="1" ref="T534" ca="1">T533</f>
        <v>1</v>
      </c>
      <c r="U534" s="25"/>
      <c r="V534" s="25"/>
      <c r="X534" s="990"/>
      <c r="Z534" s="967"/>
      <c r="AB534" s="133" t="s">
        <v>2114</v>
      </c>
      <c r="AC534" s="549" t="s">
        <v>2115</v>
      </c>
      <c r="AD534" s="7" t="s">
        <v>828</v>
      </c>
      <c r="AE534" s="171">
        <f ca="1">SUMIFS(Налоги!AE$25:AE$83,Налоги!$F$25:$F$83,$F534,Налоги!$AB$25:$AB$83,$G534)</f>
        <v>0</v>
      </c>
      <c r="AF534" s="171">
        <f ca="1">SUMIFS(Налоги!AF$25:AF$83,Налоги!$F$25:$F$83,$F534,Налоги!$AB$25:$AB$83,$G534)</f>
        <v>0</v>
      </c>
      <c r="AG534" s="171">
        <f ca="1">SUMIFS(Налоги!AG$25:AG$83,Налоги!$F$25:$F$83,$F534,Налоги!$AB$25:$AB$83,$G534)</f>
        <v>0</v>
      </c>
      <c r="AH534" s="171">
        <f t="shared" ca="1" si="140"/>
        <v>0</v>
      </c>
      <c r="AI534" s="171">
        <f ca="1">SUMIFS(Налоги!AH$25:AH$83,Налоги!$F$25:$F$83,$F534,Налоги!$AB$25:$AB$83,$G534)</f>
        <v>0</v>
      </c>
      <c r="AJ534" s="171">
        <f ca="1">SUMIFS(Налоги!AI$25:AI$83,Налоги!$F$25:$F$83,$F534,Налоги!$AB$25:$AB$83,$G534)</f>
        <v>0</v>
      </c>
      <c r="AK534" s="171">
        <f ca="1">SUMIFS(Налоги!AJ$25:AJ$83,Налоги!$F$25:$F$83,$F534,Налоги!$AB$25:$AB$83,$G534)</f>
        <v>0</v>
      </c>
      <c r="AL534" s="171">
        <f ca="1">SUMIFS(Налоги!AK$25:AK$83,Налоги!$F$25:$F$83,$F534,Налоги!$AB$25:$AB$83,$G534)</f>
        <v>0</v>
      </c>
      <c r="AM534" s="171">
        <f ca="1">SUMIFS(Налоги!AL$25:AL$83,Налоги!$F$25:$F$83,$F534,Налоги!$AB$25:$AB$83,$G534)</f>
        <v>0</v>
      </c>
      <c r="AN534" s="171">
        <f ca="1">SUMIFS(Налоги!AM$25:AM$83,Налоги!$F$25:$F$83,$F534,Налоги!$AB$25:$AB$83,$G534)</f>
        <v>0</v>
      </c>
      <c r="AO534" s="171">
        <f ca="1">SUMIFS(Налоги!AN$25:AN$83,Налоги!$F$25:$F$83,$F534,Налоги!$AB$25:$AB$83,$G534)</f>
        <v>0</v>
      </c>
      <c r="AP534" s="171">
        <f ca="1">SUMIFS(Налоги!AO$25:AO$83,Налоги!$F$25:$F$83,$F534,Налоги!$AB$25:$AB$83,$G534)</f>
        <v>0</v>
      </c>
      <c r="AQ534" s="171">
        <f ca="1">SUMIFS(Налоги!AP$25:AP$83,Налоги!$F$25:$F$83,$F534,Налоги!$AB$25:$AB$83,$G534)</f>
        <v>0</v>
      </c>
      <c r="AR534" s="171">
        <f ca="1">SUMIFS(Налоги!AQ$25:AQ$83,Налоги!$F$25:$F$83,$F534,Налоги!$AB$25:$AB$83,$G534)</f>
        <v>0</v>
      </c>
      <c r="AS534" s="171">
        <f ca="1">SUMIFS(Налоги!AR$25:AR$83,Налоги!$F$25:$F$83,$F534,Налоги!$AB$25:$AB$83,$G534)</f>
        <v>0</v>
      </c>
      <c r="AT534" s="171">
        <f ca="1">SUMIFS(Налоги!AS$25:AS$83,Налоги!$F$25:$F$83,$F534,Налоги!$AB$25:$AB$83,$G534)</f>
        <v>0</v>
      </c>
      <c r="AU534" s="171">
        <f ca="1">SUMIFS(Налоги!AT$25:AT$83,Налоги!$F$25:$F$83,$F534,Налоги!$AB$25:$AB$83,$G534)</f>
        <v>0</v>
      </c>
      <c r="AV534" s="171">
        <f ca="1">SUMIFS(Налоги!AU$25:AU$83,Налоги!$F$25:$F$83,$F534,Налоги!$AB$25:$AB$83,$G534)</f>
        <v>0</v>
      </c>
      <c r="AW534" s="171">
        <f ca="1">SUMIFS(Налоги!AV$25:AV$83,Налоги!$F$25:$F$83,$F534,Налоги!$AB$25:$AB$83,$G534)</f>
        <v>0</v>
      </c>
      <c r="AX534" s="171">
        <f ca="1">SUMIFS(Налоги!AW$25:AW$83,Налоги!$F$25:$F$83,$F534,Налоги!$AB$25:$AB$83,$G534)</f>
        <v>0</v>
      </c>
      <c r="AY534" s="171">
        <f ca="1">SUMIFS(Налоги!AX$25:AX$83,Налоги!$F$25:$F$83,$F534,Налоги!$AB$25:$AB$83,$G534)</f>
        <v>0</v>
      </c>
      <c r="AZ534" s="171">
        <f ca="1">SUMIFS(Налоги!AY$25:AY$83,Налоги!$F$25:$F$83,$F534,Налоги!$AB$25:$AB$83,$G534)</f>
        <v>0</v>
      </c>
      <c r="BA534" s="171">
        <f ca="1">SUMIFS(Налоги!AZ$25:AZ$83,Налоги!$F$25:$F$83,$F534,Налоги!$AB$25:$AB$83,$G534)</f>
        <v>0</v>
      </c>
      <c r="BB534" s="171">
        <f ca="1">SUMIFS(Налоги!BA$25:BA$83,Налоги!$F$25:$F$83,$F534,Налоги!$AB$25:$AB$83,$G534)</f>
        <v>0</v>
      </c>
      <c r="BC534" s="171">
        <f ca="1">SUMIFS(Налоги!BB$25:BB$83,Налоги!$F$25:$F$83,$F534,Налоги!$AB$25:$AB$83,$G534)</f>
        <v>0</v>
      </c>
      <c r="BD534" s="171">
        <f t="shared" ca="1" si="142"/>
        <v>0</v>
      </c>
      <c r="BE534" s="171">
        <f t="shared" ca="1" si="143"/>
        <v>0</v>
      </c>
      <c r="BF534" s="171">
        <f t="shared" ca="1" si="144"/>
        <v>0</v>
      </c>
      <c r="BG534" s="171">
        <f t="shared" ca="1" si="145"/>
        <v>0</v>
      </c>
      <c r="BH534" s="171">
        <f t="shared" ca="1" si="146"/>
        <v>0</v>
      </c>
      <c r="BI534" s="171">
        <f t="shared" ca="1" si="147"/>
        <v>0</v>
      </c>
      <c r="BJ534" s="171">
        <f t="shared" ca="1" si="148"/>
        <v>0</v>
      </c>
      <c r="BK534" s="171">
        <f t="shared" ca="1" si="149"/>
        <v>0</v>
      </c>
      <c r="BL534" s="171">
        <f t="shared" ca="1" si="150"/>
        <v>0</v>
      </c>
      <c r="BM534" s="171">
        <f t="shared" ca="1" si="151"/>
        <v>0</v>
      </c>
      <c r="BN534" s="196"/>
      <c r="BO534" s="601" t="str">
        <f ca="1">IF(IFERROR(INDEX(Налоги!$K$26:$L$83,MATCH($F534&amp;"10komm",Налоги!$K$26:$K$83,0),2),"")=0,"",IFERROR(INDEX(Налоги!$K$26:$L$83,MATCH($F534&amp;"10komm",Налоги!$K$26:$K$83,0),2),""))</f>
        <v/>
      </c>
      <c r="BP534" s="196"/>
      <c r="BS534" s="696" t="s">
        <v>2116</v>
      </c>
    </row>
    <row r="535" spans="2:75" ht="65.25" customHeight="1" x14ac:dyDescent="0.15">
      <c r="E535" s="507">
        <v>67.5</v>
      </c>
      <c r="F535" s="3" t="str" cm="1">
        <f t="array" aca="1" ref="F535" ca="1">OFFSET(E535,-1,1)</f>
        <v>3</v>
      </c>
      <c r="G535" s="72" t="s">
        <v>1453</v>
      </c>
      <c r="I535" s="72" t="s">
        <v>961</v>
      </c>
      <c r="K535" s="72" t="s">
        <v>961</v>
      </c>
      <c r="L535" s="25"/>
      <c r="M535" s="25"/>
      <c r="T535" s="353" t="b" cm="1">
        <f t="array" aca="1" ref="T535" ca="1">T534</f>
        <v>1</v>
      </c>
      <c r="X535" s="990"/>
      <c r="Z535" s="967"/>
      <c r="AB535" s="133" t="s">
        <v>962</v>
      </c>
      <c r="AC535" s="550" t="s">
        <v>1456</v>
      </c>
      <c r="AD535" s="7" t="s">
        <v>828</v>
      </c>
      <c r="AE535" s="141"/>
      <c r="AF535" s="141"/>
      <c r="AG535" s="141"/>
      <c r="AH535" s="171">
        <f t="shared" si="140"/>
        <v>0</v>
      </c>
      <c r="AI535" s="141"/>
      <c r="AJ535" s="141"/>
      <c r="AK535" s="781"/>
      <c r="AL535" s="781"/>
      <c r="AM535" s="141"/>
      <c r="AN535" s="141"/>
      <c r="AO535" s="141"/>
      <c r="AP535" s="141"/>
      <c r="AQ535" s="141"/>
      <c r="AR535" s="141"/>
      <c r="AS535" s="141"/>
      <c r="AT535" s="141"/>
      <c r="AU535" s="781"/>
      <c r="AV535" s="781"/>
      <c r="AW535" s="141"/>
      <c r="AX535" s="141"/>
      <c r="AY535" s="141"/>
      <c r="AZ535" s="141"/>
      <c r="BA535" s="141"/>
      <c r="BB535" s="141"/>
      <c r="BC535" s="141"/>
      <c r="BD535" s="171">
        <f t="shared" si="142"/>
        <v>0</v>
      </c>
      <c r="BE535" s="171">
        <f t="shared" si="143"/>
        <v>0</v>
      </c>
      <c r="BF535" s="171">
        <f t="shared" si="144"/>
        <v>0</v>
      </c>
      <c r="BG535" s="171">
        <f t="shared" si="145"/>
        <v>0</v>
      </c>
      <c r="BH535" s="171">
        <f t="shared" si="146"/>
        <v>0</v>
      </c>
      <c r="BI535" s="171">
        <f t="shared" si="147"/>
        <v>0</v>
      </c>
      <c r="BJ535" s="171">
        <f t="shared" si="148"/>
        <v>0</v>
      </c>
      <c r="BK535" s="171">
        <f t="shared" si="149"/>
        <v>0</v>
      </c>
      <c r="BL535" s="171">
        <f t="shared" si="150"/>
        <v>0</v>
      </c>
      <c r="BM535" s="171">
        <f t="shared" si="151"/>
        <v>0</v>
      </c>
      <c r="BN535" s="196"/>
      <c r="BO535" s="196"/>
      <c r="BP535" s="196"/>
      <c r="BS535" s="696" t="s">
        <v>2117</v>
      </c>
    </row>
    <row r="536" spans="2:75" ht="223.5" customHeight="1" x14ac:dyDescent="0.15">
      <c r="E536" s="507">
        <v>15</v>
      </c>
      <c r="F536" s="3" t="str" cm="1">
        <f t="array" aca="1" ref="F536" ca="1">OFFSET(E536,-1,1)</f>
        <v>3</v>
      </c>
      <c r="G536" s="72" t="s">
        <v>1065</v>
      </c>
      <c r="I536" s="72" t="s">
        <v>964</v>
      </c>
      <c r="K536" s="72" t="s">
        <v>964</v>
      </c>
      <c r="L536" s="25" t="s">
        <v>532</v>
      </c>
      <c r="M536" s="25"/>
      <c r="T536" s="353" t="b" cm="1">
        <f t="array" aca="1" ref="T536" ca="1">T535</f>
        <v>1</v>
      </c>
      <c r="X536" s="990"/>
      <c r="Z536" s="967"/>
      <c r="AB536" s="133" t="s">
        <v>965</v>
      </c>
      <c r="AC536" s="127" t="s">
        <v>1065</v>
      </c>
      <c r="AD536" s="7" t="s">
        <v>828</v>
      </c>
      <c r="AE536" s="171">
        <f ca="1">SUMIFS(Аренда!AE$25:AE$67,Аренда!$F$25:$F$67,$F536,Аренда!$G$25:$G$67,"Арендная и концессионная плата, лизинговые платежи")</f>
        <v>6302.4111457999998</v>
      </c>
      <c r="AF536" s="171">
        <f ca="1">SUMIFS(Аренда!AF$25:AF$67,Аренда!$F$25:$F$67,$F536,Аренда!$G$25:$G$67,"Арендная и концессионная плата, лизинговые платежи")</f>
        <v>9602.5820699933993</v>
      </c>
      <c r="AG536" s="171">
        <f ca="1">SUMIFS(Аренда!AG$25:AG$67,Аренда!$F$25:$F$67,$F536,Аренда!$G$25:$G$67,"Арендная и концессионная плата, лизинговые платежи")</f>
        <v>5752.7428782670004</v>
      </c>
      <c r="AH536" s="171">
        <f t="shared" ca="1" si="140"/>
        <v>-3849.8391917263989</v>
      </c>
      <c r="AI536" s="171">
        <f ca="1">SUMIFS(Аренда!AH$25:AH$67,Аренда!$F$25:$F$67,$F536,Аренда!$G$25:$G$67,"Арендная и концессионная плата, лизинговые платежи")</f>
        <v>6074.6931470083</v>
      </c>
      <c r="AJ536" s="171">
        <f ca="1">SUMIFS(Аренда!AI$25:AI$67,Аренда!$F$25:$F$67,$F536,Аренда!$G$25:$G$67,"Арендная и концессионная плата, лизинговые платежи")</f>
        <v>18173.700702943301</v>
      </c>
      <c r="AK536" s="171">
        <f ca="1">SUMIFS(Аренда!AJ$25:AJ$67,Аренда!$F$25:$F$67,$F536,Аренда!$G$25:$G$67,"Арендная и концессионная плата, лизинговые платежи")</f>
        <v>0</v>
      </c>
      <c r="AL536" s="171">
        <f ca="1">SUMIFS(Аренда!AK$25:AK$67,Аренда!$F$25:$F$67,$F536,Аренда!$G$25:$G$67,"Арендная и концессионная плата, лизинговые платежи")</f>
        <v>0</v>
      </c>
      <c r="AM536" s="171">
        <f ca="1">SUMIFS(Аренда!AL$25:AL$67,Аренда!$F$25:$F$67,$F536,Аренда!$G$25:$G$67,"Арендная и концессионная плата, лизинговые платежи")</f>
        <v>0</v>
      </c>
      <c r="AN536" s="171">
        <f ca="1">SUMIFS(Аренда!AM$25:AM$67,Аренда!$F$25:$F$67,$F536,Аренда!$G$25:$G$67,"Арендная и концессионная плата, лизинговые платежи")</f>
        <v>0</v>
      </c>
      <c r="AO536" s="171">
        <f ca="1">SUMIFS(Аренда!AN$25:AN$67,Аренда!$F$25:$F$67,$F536,Аренда!$G$25:$G$67,"Арендная и концессионная плата, лизинговые платежи")</f>
        <v>0</v>
      </c>
      <c r="AP536" s="171">
        <f ca="1">SUMIFS(Аренда!AO$25:AO$67,Аренда!$F$25:$F$67,$F536,Аренда!$G$25:$G$67,"Арендная и концессионная плата, лизинговые платежи")</f>
        <v>0</v>
      </c>
      <c r="AQ536" s="171">
        <f ca="1">SUMIFS(Аренда!AP$25:AP$67,Аренда!$F$25:$F$67,$F536,Аренда!$G$25:$G$67,"Арендная и концессионная плата, лизинговые платежи")</f>
        <v>0</v>
      </c>
      <c r="AR536" s="171">
        <f ca="1">SUMIFS(Аренда!AQ$25:AQ$67,Аренда!$F$25:$F$67,$F536,Аренда!$G$25:$G$67,"Арендная и концессионная плата, лизинговые платежи")</f>
        <v>0</v>
      </c>
      <c r="AS536" s="171">
        <f ca="1">SUMIFS(Аренда!AR$25:AR$67,Аренда!$F$25:$F$67,$F536,Аренда!$G$25:$G$67,"Арендная и концессионная плата, лизинговые платежи")</f>
        <v>0</v>
      </c>
      <c r="AT536" s="171">
        <f ca="1">SUMIFS(Аренда!AS$25:AS$67,Аренда!$F$25:$F$67,$F536,Аренда!$G$25:$G$67,"Арендная и концессионная плата, лизинговые платежи")</f>
        <v>5752.7428782670004</v>
      </c>
      <c r="AU536" s="171">
        <f ca="1">SUMIFS(Аренда!AT$25:AT$67,Аренда!$F$25:$F$67,$F536,Аренда!$G$25:$G$67,"Арендная и концессионная плата, лизинговые платежи")</f>
        <v>0</v>
      </c>
      <c r="AV536" s="171">
        <f ca="1">SUMIFS(Аренда!AU$25:AU$67,Аренда!$F$25:$F$67,$F536,Аренда!$G$25:$G$67,"Арендная и концессионная плата, лизинговые платежи")</f>
        <v>0</v>
      </c>
      <c r="AW536" s="171">
        <f ca="1">SUMIFS(Аренда!AV$25:AV$67,Аренда!$F$25:$F$67,$F536,Аренда!$G$25:$G$67,"Арендная и концессионная плата, лизинговые платежи")</f>
        <v>0</v>
      </c>
      <c r="AX536" s="171">
        <f ca="1">SUMIFS(Аренда!AW$25:AW$67,Аренда!$F$25:$F$67,$F536,Аренда!$G$25:$G$67,"Арендная и концессионная плата, лизинговые платежи")</f>
        <v>0</v>
      </c>
      <c r="AY536" s="171">
        <f ca="1">SUMIFS(Аренда!AX$25:AX$67,Аренда!$F$25:$F$67,$F536,Аренда!$G$25:$G$67,"Арендная и концессионная плата, лизинговые платежи")</f>
        <v>0</v>
      </c>
      <c r="AZ536" s="171">
        <f ca="1">SUMIFS(Аренда!AY$25:AY$67,Аренда!$F$25:$F$67,$F536,Аренда!$G$25:$G$67,"Арендная и концессионная плата, лизинговые платежи")</f>
        <v>0</v>
      </c>
      <c r="BA536" s="171">
        <f ca="1">SUMIFS(Аренда!AZ$25:AZ$67,Аренда!$F$25:$F$67,$F536,Аренда!$G$25:$G$67,"Арендная и концессионная плата, лизинговые платежи")</f>
        <v>0</v>
      </c>
      <c r="BB536" s="171">
        <f ca="1">SUMIFS(Аренда!BA$25:BA$67,Аренда!$F$25:$F$67,$F536,Аренда!$G$25:$G$67,"Арендная и концессионная плата, лизинговые платежи")</f>
        <v>0</v>
      </c>
      <c r="BC536" s="171">
        <f ca="1">SUMIFS(Аренда!BB$25:BB$67,Аренда!$F$25:$F$67,$F536,Аренда!$G$25:$G$67,"Арендная и концессионная плата, лизинговые платежи")</f>
        <v>0</v>
      </c>
      <c r="BD536" s="171">
        <f t="shared" ca="1" si="142"/>
        <v>-5.2998606011870013</v>
      </c>
      <c r="BE536" s="171">
        <f t="shared" ca="1" si="143"/>
        <v>-100</v>
      </c>
      <c r="BF536" s="171">
        <f t="shared" ca="1" si="144"/>
        <v>0</v>
      </c>
      <c r="BG536" s="171">
        <f t="shared" ca="1" si="145"/>
        <v>0</v>
      </c>
      <c r="BH536" s="171">
        <f t="shared" ca="1" si="146"/>
        <v>0</v>
      </c>
      <c r="BI536" s="171">
        <f t="shared" ca="1" si="147"/>
        <v>0</v>
      </c>
      <c r="BJ536" s="171">
        <f t="shared" ca="1" si="148"/>
        <v>0</v>
      </c>
      <c r="BK536" s="171">
        <f t="shared" ca="1" si="149"/>
        <v>0</v>
      </c>
      <c r="BL536" s="171">
        <f t="shared" ca="1" si="150"/>
        <v>0</v>
      </c>
      <c r="BM536" s="171">
        <f t="shared" ca="1" si="151"/>
        <v>0</v>
      </c>
      <c r="BN536" s="196"/>
      <c r="BO536" s="601" t="s">
        <v>2310</v>
      </c>
      <c r="BP536" s="196" t="s">
        <v>2311</v>
      </c>
      <c r="BS536" s="696" t="s">
        <v>2118</v>
      </c>
    </row>
    <row r="537" spans="2:75" ht="14.25" hidden="1" customHeight="1" x14ac:dyDescent="0.15">
      <c r="B537" s="329" t="b">
        <f>STATUS_GO="да"</f>
        <v>0</v>
      </c>
      <c r="E537" s="507">
        <v>15</v>
      </c>
      <c r="F537" s="3" t="str" cm="1">
        <f t="array" aca="1" ref="F537" ca="1">OFFSET(E537,-1,1)</f>
        <v>3</v>
      </c>
      <c r="I537" s="72" t="s">
        <v>2119</v>
      </c>
      <c r="K537" s="72" t="s">
        <v>2119</v>
      </c>
      <c r="L537" s="25"/>
      <c r="M537" s="25"/>
      <c r="T537" s="353" t="b" cm="1">
        <f t="array" aca="1" ref="T537" ca="1">T536</f>
        <v>1</v>
      </c>
      <c r="X537" s="990"/>
      <c r="Z537" s="967"/>
      <c r="AB537" s="133" t="s">
        <v>1520</v>
      </c>
      <c r="AC537" s="127" t="s">
        <v>2120</v>
      </c>
      <c r="AD537" s="7" t="s">
        <v>828</v>
      </c>
      <c r="AE537" s="778"/>
      <c r="AF537" s="778"/>
      <c r="AG537" s="778"/>
      <c r="AH537" s="171">
        <f t="shared" si="140"/>
        <v>0</v>
      </c>
      <c r="AI537" s="778"/>
      <c r="AJ537" s="128"/>
      <c r="AK537" s="778"/>
      <c r="AL537" s="778"/>
      <c r="AM537" s="778"/>
      <c r="AN537" s="778"/>
      <c r="AO537" s="778"/>
      <c r="AP537" s="778"/>
      <c r="AQ537" s="778"/>
      <c r="AR537" s="778"/>
      <c r="AS537" s="778"/>
      <c r="AT537" s="128"/>
      <c r="AU537" s="778"/>
      <c r="AV537" s="778"/>
      <c r="AW537" s="778"/>
      <c r="AX537" s="778"/>
      <c r="AY537" s="778"/>
      <c r="AZ537" s="778"/>
      <c r="BA537" s="778"/>
      <c r="BB537" s="778"/>
      <c r="BC537" s="778"/>
      <c r="BD537" s="171">
        <f t="shared" si="142"/>
        <v>0</v>
      </c>
      <c r="BE537" s="171">
        <f t="shared" si="143"/>
        <v>0</v>
      </c>
      <c r="BF537" s="171">
        <f t="shared" si="144"/>
        <v>0</v>
      </c>
      <c r="BG537" s="171">
        <f t="shared" si="145"/>
        <v>0</v>
      </c>
      <c r="BH537" s="171">
        <f t="shared" si="146"/>
        <v>0</v>
      </c>
      <c r="BI537" s="171">
        <f t="shared" si="147"/>
        <v>0</v>
      </c>
      <c r="BJ537" s="171">
        <f t="shared" si="148"/>
        <v>0</v>
      </c>
      <c r="BK537" s="171">
        <f t="shared" si="149"/>
        <v>0</v>
      </c>
      <c r="BL537" s="171">
        <f t="shared" si="150"/>
        <v>0</v>
      </c>
      <c r="BM537" s="171">
        <f t="shared" si="151"/>
        <v>0</v>
      </c>
      <c r="BN537" s="775"/>
      <c r="BO537" s="775"/>
      <c r="BP537" s="775"/>
      <c r="BS537" s="696" t="s">
        <v>2121</v>
      </c>
    </row>
    <row r="538" spans="2:75" ht="14.25" hidden="1" customHeight="1" x14ac:dyDescent="0.15">
      <c r="B538" s="329" t="b">
        <f>STATUS_GO="да"</f>
        <v>0</v>
      </c>
      <c r="E538" s="507">
        <v>15</v>
      </c>
      <c r="F538" s="3" t="str" cm="1">
        <f t="array" aca="1" ref="F538" ca="1">OFFSET(E538,-1,1)</f>
        <v>3</v>
      </c>
      <c r="G538" s="72" t="s">
        <v>1462</v>
      </c>
      <c r="I538" s="72" t="s">
        <v>2122</v>
      </c>
      <c r="K538" s="72" t="s">
        <v>2122</v>
      </c>
      <c r="L538" s="25"/>
      <c r="M538" s="25"/>
      <c r="T538" s="353" t="b" cm="1">
        <f t="array" aca="1" ref="T538" ca="1">T537</f>
        <v>1</v>
      </c>
      <c r="X538" s="990"/>
      <c r="Z538" s="967"/>
      <c r="AB538" s="133" t="s">
        <v>2123</v>
      </c>
      <c r="AC538" s="134" t="s">
        <v>1462</v>
      </c>
      <c r="AD538" s="7" t="s">
        <v>828</v>
      </c>
      <c r="AE538" s="778"/>
      <c r="AF538" s="778"/>
      <c r="AG538" s="778"/>
      <c r="AH538" s="171">
        <f t="shared" si="140"/>
        <v>0</v>
      </c>
      <c r="AI538" s="778"/>
      <c r="AJ538" s="128"/>
      <c r="AK538" s="778"/>
      <c r="AL538" s="778"/>
      <c r="AM538" s="778"/>
      <c r="AN538" s="778"/>
      <c r="AO538" s="778"/>
      <c r="AP538" s="778"/>
      <c r="AQ538" s="778"/>
      <c r="AR538" s="778"/>
      <c r="AS538" s="778"/>
      <c r="AT538" s="128"/>
      <c r="AU538" s="778"/>
      <c r="AV538" s="778"/>
      <c r="AW538" s="778"/>
      <c r="AX538" s="778"/>
      <c r="AY538" s="778"/>
      <c r="AZ538" s="778"/>
      <c r="BA538" s="778"/>
      <c r="BB538" s="778"/>
      <c r="BC538" s="778"/>
      <c r="BD538" s="171">
        <f t="shared" si="142"/>
        <v>0</v>
      </c>
      <c r="BE538" s="171">
        <f t="shared" si="143"/>
        <v>0</v>
      </c>
      <c r="BF538" s="171">
        <f t="shared" si="144"/>
        <v>0</v>
      </c>
      <c r="BG538" s="171">
        <f t="shared" si="145"/>
        <v>0</v>
      </c>
      <c r="BH538" s="171">
        <f t="shared" si="146"/>
        <v>0</v>
      </c>
      <c r="BI538" s="171">
        <f t="shared" si="147"/>
        <v>0</v>
      </c>
      <c r="BJ538" s="171">
        <f t="shared" si="148"/>
        <v>0</v>
      </c>
      <c r="BK538" s="171">
        <f t="shared" si="149"/>
        <v>0</v>
      </c>
      <c r="BL538" s="171">
        <f t="shared" si="150"/>
        <v>0</v>
      </c>
      <c r="BM538" s="171">
        <f t="shared" si="151"/>
        <v>0</v>
      </c>
      <c r="BN538" s="775"/>
      <c r="BO538" s="779" t="str">
        <f ca="1">IF(IFERROR(INDEX('Сбытовые расходы ГО'!$K$26:$M$75,MATCH($F538&amp;"komm",'Сбытовые расходы ГО'!$K$26:$K$75,0),2),"")=0,"",IFERROR(INDEX('Сбытовые расходы ГО'!$K$26:$M$75,MATCH($F538&amp;"komm",'Сбытовые расходы ГО'!$K$26:$K$75,0),2),""))</f>
        <v/>
      </c>
      <c r="BP538" s="775"/>
      <c r="BS538" s="696" t="s">
        <v>2124</v>
      </c>
    </row>
    <row r="539" spans="2:75" ht="14.65" customHeight="1" x14ac:dyDescent="0.15">
      <c r="E539" s="507">
        <v>15</v>
      </c>
      <c r="F539" s="3" t="str" cm="1">
        <f t="array" aca="1" ref="F539" ca="1">OFFSET(E539,-1,1)</f>
        <v>3</v>
      </c>
      <c r="G539" s="72" t="s">
        <v>1467</v>
      </c>
      <c r="I539" s="72" t="s">
        <v>2125</v>
      </c>
      <c r="K539" s="72" t="s">
        <v>2125</v>
      </c>
      <c r="L539" s="25"/>
      <c r="M539" s="25"/>
      <c r="T539" s="353" t="b" cm="1">
        <f t="array" aca="1" ref="T539" ca="1">T538</f>
        <v>1</v>
      </c>
      <c r="X539" s="990"/>
      <c r="Z539" s="967"/>
      <c r="AB539" s="133" t="s">
        <v>1525</v>
      </c>
      <c r="AC539" s="127" t="s">
        <v>1467</v>
      </c>
      <c r="AD539" s="7" t="s">
        <v>828</v>
      </c>
      <c r="AE539" s="128">
        <v>0</v>
      </c>
      <c r="AF539" s="128"/>
      <c r="AG539" s="128"/>
      <c r="AH539" s="171">
        <f t="shared" si="140"/>
        <v>0</v>
      </c>
      <c r="AI539" s="128">
        <v>0</v>
      </c>
      <c r="AJ539" s="128">
        <f ca="1">SUMIFS(Экономия_корр!AE$25:AE$59,Экономия_корр!$F$25:$F$59,$F539,Экономия_корр!$AC$25:$AC$59,"Экономия расходов с учетом ИПЦ")</f>
        <v>0</v>
      </c>
      <c r="AK539" s="778">
        <f ca="1">SUMIFS(Экономия_корр!AF$25:AF$59,Экономия_корр!$F$25:$F$59,$F539,Экономия_корр!$AC$25:$AC$59,"Экономия расходов с учетом ИПЦ")</f>
        <v>0</v>
      </c>
      <c r="AL539" s="778">
        <f ca="1">SUMIFS(Экономия_корр!AG$25:AG$59,Экономия_корр!$F$25:$F$59,$F539,Экономия_корр!$AC$25:$AC$59,"Экономия расходов с учетом ИПЦ")</f>
        <v>0</v>
      </c>
      <c r="AM539" s="128">
        <f ca="1">SUMIFS(Экономия_корр!AH$25:AH$59,Экономия_корр!$F$25:$F$59,$F539,Экономия_корр!$AC$25:$AC$59,"Экономия расходов с учетом ИПЦ")</f>
        <v>0</v>
      </c>
      <c r="AN539" s="128">
        <f ca="1">SUMIFS(Экономия_корр!AI$25:AI$59,Экономия_корр!$F$25:$F$59,$F539,Экономия_корр!$AC$25:$AC$59,"Экономия расходов с учетом ИПЦ")</f>
        <v>0</v>
      </c>
      <c r="AO539" s="128">
        <f ca="1">SUMIFS(Экономия_корр!AJ$25:AJ$59,Экономия_корр!$F$25:$F$59,$F539,Экономия_корр!$AC$25:$AC$59,"Экономия расходов с учетом ИПЦ")</f>
        <v>0</v>
      </c>
      <c r="AP539" s="128">
        <f ca="1">SUMIFS(Экономия_корр!AK$25:AK$59,Экономия_корр!$F$25:$F$59,$F539,Экономия_корр!$AC$25:$AC$59,"Экономия расходов с учетом ИПЦ")</f>
        <v>0</v>
      </c>
      <c r="AQ539" s="128">
        <f ca="1">SUMIFS(Экономия_корр!AL$25:AL$59,Экономия_корр!$F$25:$F$59,$F539,Экономия_корр!$AC$25:$AC$59,"Экономия расходов с учетом ИПЦ")</f>
        <v>0</v>
      </c>
      <c r="AR539" s="128">
        <f ca="1">SUMIFS(Экономия_корр!AM$25:AM$59,Экономия_корр!$F$25:$F$59,$F539,Экономия_корр!$AC$25:$AC$59,"Экономия расходов с учетом ИПЦ")</f>
        <v>0</v>
      </c>
      <c r="AS539" s="128">
        <f ca="1">SUMIFS(Экономия_корр!AN$25:AN$59,Экономия_корр!$F$25:$F$59,$F539,Экономия_корр!$AC$25:$AC$59,"Экономия расходов с учетом ИПЦ")</f>
        <v>0</v>
      </c>
      <c r="AT539" s="128">
        <f ca="1">SUMIFS(Экономия_корр!AO$25:AO$59,Экономия_корр!$F$25:$F$59,$F539,Экономия_корр!$AC$25:$AC$59,"Экономия расходов с учетом ИПЦ")</f>
        <v>0</v>
      </c>
      <c r="AU539" s="778">
        <f ca="1">SUMIFS(Экономия_корр!AP$25:AP$59,Экономия_корр!$F$25:$F$59,$F539,Экономия_корр!$AC$25:$AC$59,"Экономия расходов с учетом ИПЦ")</f>
        <v>0</v>
      </c>
      <c r="AV539" s="778">
        <f ca="1">SUMIFS(Экономия_корр!AQ$25:AQ$59,Экономия_корр!$F$25:$F$59,$F539,Экономия_корр!$AC$25:$AC$59,"Экономия расходов с учетом ИПЦ")</f>
        <v>0</v>
      </c>
      <c r="AW539" s="128">
        <f ca="1">SUMIFS(Экономия_корр!AR$25:AR$59,Экономия_корр!$F$25:$F$59,$F539,Экономия_корр!$AC$25:$AC$59,"Экономия расходов с учетом ИПЦ")</f>
        <v>0</v>
      </c>
      <c r="AX539" s="128">
        <f ca="1">SUMIFS(Экономия_корр!AS$25:AS$59,Экономия_корр!$F$25:$F$59,$F539,Экономия_корр!$AC$25:$AC$59,"Экономия расходов с учетом ИПЦ")</f>
        <v>0</v>
      </c>
      <c r="AY539" s="128">
        <f ca="1">SUMIFS(Экономия_корр!AT$25:AT$59,Экономия_корр!$F$25:$F$59,$F539,Экономия_корр!$AC$25:$AC$59,"Экономия расходов с учетом ИПЦ")</f>
        <v>0</v>
      </c>
      <c r="AZ539" s="128">
        <f ca="1">SUMIFS(Экономия_корр!AU$25:AU$59,Экономия_корр!$F$25:$F$59,$F539,Экономия_корр!$AC$25:$AC$59,"Экономия расходов с учетом ИПЦ")</f>
        <v>0</v>
      </c>
      <c r="BA539" s="128">
        <f ca="1">SUMIFS(Экономия_корр!AV$25:AV$59,Экономия_корр!$F$25:$F$59,$F539,Экономия_корр!$AC$25:$AC$59,"Экономия расходов с учетом ИПЦ")</f>
        <v>0</v>
      </c>
      <c r="BB539" s="128">
        <f ca="1">SUMIFS(Экономия_корр!AW$25:AW$59,Экономия_корр!$F$25:$F$59,$F539,Экономия_корр!$AC$25:$AC$59,"Экономия расходов с учетом ИПЦ")</f>
        <v>0</v>
      </c>
      <c r="BC539" s="128">
        <f ca="1">SUMIFS(Экономия_корр!AX$25:AX$59,Экономия_корр!$F$25:$F$59,$F539,Экономия_корр!$AC$25:$AC$59,"Экономия расходов с учетом ИПЦ")</f>
        <v>0</v>
      </c>
      <c r="BD539" s="171">
        <f t="shared" si="142"/>
        <v>0</v>
      </c>
      <c r="BE539" s="171">
        <f t="shared" ca="1" si="143"/>
        <v>0</v>
      </c>
      <c r="BF539" s="171">
        <f t="shared" ca="1" si="144"/>
        <v>0</v>
      </c>
      <c r="BG539" s="171">
        <f t="shared" ca="1" si="145"/>
        <v>0</v>
      </c>
      <c r="BH539" s="171">
        <f t="shared" ca="1" si="146"/>
        <v>0</v>
      </c>
      <c r="BI539" s="171">
        <f t="shared" ca="1" si="147"/>
        <v>0</v>
      </c>
      <c r="BJ539" s="171">
        <f t="shared" ca="1" si="148"/>
        <v>0</v>
      </c>
      <c r="BK539" s="171">
        <f t="shared" ca="1" si="149"/>
        <v>0</v>
      </c>
      <c r="BL539" s="171">
        <f t="shared" ca="1" si="150"/>
        <v>0</v>
      </c>
      <c r="BM539" s="171">
        <f t="shared" ca="1" si="151"/>
        <v>0</v>
      </c>
      <c r="BN539" s="196"/>
      <c r="BO539" s="196"/>
      <c r="BP539" s="196"/>
      <c r="BS539" s="696" t="s">
        <v>2126</v>
      </c>
    </row>
    <row r="540" spans="2:75" ht="14.25" customHeight="1" x14ac:dyDescent="0.15">
      <c r="E540" s="507">
        <v>15</v>
      </c>
      <c r="F540" s="3" t="str" cm="1">
        <f t="array" aca="1" ref="F540" ca="1">OFFSET(E540,-1,1)</f>
        <v>3</v>
      </c>
      <c r="G540" s="72" t="s">
        <v>1472</v>
      </c>
      <c r="I540" s="72" t="s">
        <v>2127</v>
      </c>
      <c r="K540" s="72" t="s">
        <v>2127</v>
      </c>
      <c r="L540" s="25"/>
      <c r="M540" s="25"/>
      <c r="T540" s="353" t="b" cm="1">
        <f t="array" aca="1" ref="T540" ca="1">T539</f>
        <v>1</v>
      </c>
      <c r="X540" s="990"/>
      <c r="Z540" s="967"/>
      <c r="AB540" s="133" t="s">
        <v>2128</v>
      </c>
      <c r="AC540" s="127" t="s">
        <v>1472</v>
      </c>
      <c r="AD540" s="7" t="s">
        <v>828</v>
      </c>
      <c r="AE540" s="128"/>
      <c r="AF540" s="128"/>
      <c r="AG540" s="128"/>
      <c r="AH540" s="171">
        <f t="shared" si="140"/>
        <v>0</v>
      </c>
      <c r="AI540" s="128"/>
      <c r="AJ540" s="128"/>
      <c r="AK540" s="778"/>
      <c r="AL540" s="778"/>
      <c r="AM540" s="128"/>
      <c r="AN540" s="128"/>
      <c r="AO540" s="128"/>
      <c r="AP540" s="128"/>
      <c r="AQ540" s="128"/>
      <c r="AR540" s="128"/>
      <c r="AS540" s="128"/>
      <c r="AT540" s="128"/>
      <c r="AU540" s="778"/>
      <c r="AV540" s="778"/>
      <c r="AW540" s="128"/>
      <c r="AX540" s="128"/>
      <c r="AY540" s="128"/>
      <c r="AZ540" s="128"/>
      <c r="BA540" s="128"/>
      <c r="BB540" s="128"/>
      <c r="BC540" s="128"/>
      <c r="BD540" s="171">
        <f t="shared" si="142"/>
        <v>0</v>
      </c>
      <c r="BE540" s="171">
        <f t="shared" si="143"/>
        <v>0</v>
      </c>
      <c r="BF540" s="171">
        <f t="shared" si="144"/>
        <v>0</v>
      </c>
      <c r="BG540" s="171">
        <f t="shared" si="145"/>
        <v>0</v>
      </c>
      <c r="BH540" s="171">
        <f t="shared" si="146"/>
        <v>0</v>
      </c>
      <c r="BI540" s="171">
        <f t="shared" si="147"/>
        <v>0</v>
      </c>
      <c r="BJ540" s="171">
        <f t="shared" si="148"/>
        <v>0</v>
      </c>
      <c r="BK540" s="171">
        <f t="shared" si="149"/>
        <v>0</v>
      </c>
      <c r="BL540" s="171">
        <f t="shared" si="150"/>
        <v>0</v>
      </c>
      <c r="BM540" s="171">
        <f t="shared" si="151"/>
        <v>0</v>
      </c>
      <c r="BN540" s="196"/>
      <c r="BO540" s="196"/>
      <c r="BP540" s="196"/>
      <c r="BS540" s="696" t="s">
        <v>1856</v>
      </c>
    </row>
    <row r="541" spans="2:75" ht="14.25" customHeight="1" x14ac:dyDescent="0.15">
      <c r="E541" s="507">
        <v>15</v>
      </c>
      <c r="F541" s="3" t="str" cm="1">
        <f t="array" aca="1" ref="F541" ca="1">OFFSET(E541,-1,1)</f>
        <v>3</v>
      </c>
      <c r="G541" s="72" t="s">
        <v>1477</v>
      </c>
      <c r="I541" s="72" t="s">
        <v>2129</v>
      </c>
      <c r="K541" s="72" t="s">
        <v>2129</v>
      </c>
      <c r="L541" s="25"/>
      <c r="M541" s="25"/>
      <c r="T541" s="353" t="b" cm="1">
        <f t="array" aca="1" ref="T541" ca="1">T540</f>
        <v>1</v>
      </c>
      <c r="X541" s="990"/>
      <c r="Z541" s="967"/>
      <c r="AB541" s="133" t="s">
        <v>1544</v>
      </c>
      <c r="AC541" s="127" t="s">
        <v>1477</v>
      </c>
      <c r="AD541" s="7" t="s">
        <v>828</v>
      </c>
      <c r="AE541" s="128"/>
      <c r="AF541" s="128"/>
      <c r="AG541" s="128"/>
      <c r="AH541" s="171">
        <f t="shared" si="140"/>
        <v>0</v>
      </c>
      <c r="AI541" s="128"/>
      <c r="AJ541" s="128"/>
      <c r="AK541" s="778"/>
      <c r="AL541" s="778"/>
      <c r="AM541" s="128"/>
      <c r="AN541" s="128"/>
      <c r="AO541" s="128"/>
      <c r="AP541" s="128"/>
      <c r="AQ541" s="128"/>
      <c r="AR541" s="128"/>
      <c r="AS541" s="128"/>
      <c r="AT541" s="128"/>
      <c r="AU541" s="778"/>
      <c r="AV541" s="778"/>
      <c r="AW541" s="128"/>
      <c r="AX541" s="128"/>
      <c r="AY541" s="128"/>
      <c r="AZ541" s="128"/>
      <c r="BA541" s="128"/>
      <c r="BB541" s="128"/>
      <c r="BC541" s="128"/>
      <c r="BD541" s="171">
        <f t="shared" si="142"/>
        <v>0</v>
      </c>
      <c r="BE541" s="171">
        <f t="shared" si="143"/>
        <v>0</v>
      </c>
      <c r="BF541" s="171">
        <f t="shared" si="144"/>
        <v>0</v>
      </c>
      <c r="BG541" s="171">
        <f t="shared" si="145"/>
        <v>0</v>
      </c>
      <c r="BH541" s="171">
        <f t="shared" si="146"/>
        <v>0</v>
      </c>
      <c r="BI541" s="171">
        <f t="shared" si="147"/>
        <v>0</v>
      </c>
      <c r="BJ541" s="171">
        <f t="shared" si="148"/>
        <v>0</v>
      </c>
      <c r="BK541" s="171">
        <f t="shared" si="149"/>
        <v>0</v>
      </c>
      <c r="BL541" s="171">
        <f t="shared" si="150"/>
        <v>0</v>
      </c>
      <c r="BM541" s="171">
        <f t="shared" si="151"/>
        <v>0</v>
      </c>
      <c r="BN541" s="196"/>
      <c r="BO541" s="196"/>
      <c r="BP541" s="196"/>
      <c r="BS541" s="696" t="s">
        <v>2130</v>
      </c>
    </row>
    <row r="542" spans="2:75" ht="14.25" customHeight="1" x14ac:dyDescent="0.15">
      <c r="E542" s="507">
        <v>15</v>
      </c>
      <c r="F542" s="3" t="str" cm="1">
        <f t="array" aca="1" ref="F542" ca="1">OFFSET(E542,-1,1)</f>
        <v>3</v>
      </c>
      <c r="G542" s="72" t="s">
        <v>1482</v>
      </c>
      <c r="I542" s="72" t="s">
        <v>2131</v>
      </c>
      <c r="K542" s="72" t="s">
        <v>2131</v>
      </c>
      <c r="L542" s="25"/>
      <c r="M542" s="25"/>
      <c r="T542" s="353" t="b" cm="1">
        <f t="array" aca="1" ref="T542" ca="1">T541</f>
        <v>1</v>
      </c>
      <c r="X542" s="990"/>
      <c r="Z542" s="967"/>
      <c r="AB542" s="133" t="s">
        <v>1548</v>
      </c>
      <c r="AC542" s="127" t="s">
        <v>1482</v>
      </c>
      <c r="AD542" s="7" t="s">
        <v>828</v>
      </c>
      <c r="AE542" s="171">
        <f>SUM(AE543,AE544)</f>
        <v>0</v>
      </c>
      <c r="AF542" s="171">
        <f>SUM(AF543,AF544)</f>
        <v>0</v>
      </c>
      <c r="AG542" s="171">
        <f>SUM(AG543,AG544)</f>
        <v>0</v>
      </c>
      <c r="AH542" s="171">
        <f t="shared" si="140"/>
        <v>0</v>
      </c>
      <c r="AI542" s="171">
        <f t="shared" ref="AI542:BC542" si="154">SUM(AI543,AI544)</f>
        <v>0</v>
      </c>
      <c r="AJ542" s="171">
        <f t="shared" si="154"/>
        <v>0</v>
      </c>
      <c r="AK542" s="171">
        <f t="shared" si="154"/>
        <v>0</v>
      </c>
      <c r="AL542" s="171">
        <f t="shared" si="154"/>
        <v>0</v>
      </c>
      <c r="AM542" s="171">
        <f t="shared" si="154"/>
        <v>0</v>
      </c>
      <c r="AN542" s="171">
        <f t="shared" si="154"/>
        <v>0</v>
      </c>
      <c r="AO542" s="171">
        <f t="shared" si="154"/>
        <v>0</v>
      </c>
      <c r="AP542" s="171">
        <f t="shared" si="154"/>
        <v>0</v>
      </c>
      <c r="AQ542" s="171">
        <f t="shared" si="154"/>
        <v>0</v>
      </c>
      <c r="AR542" s="171">
        <f t="shared" si="154"/>
        <v>0</v>
      </c>
      <c r="AS542" s="171">
        <f t="shared" si="154"/>
        <v>0</v>
      </c>
      <c r="AT542" s="171">
        <f t="shared" si="154"/>
        <v>0</v>
      </c>
      <c r="AU542" s="171">
        <f t="shared" si="154"/>
        <v>0</v>
      </c>
      <c r="AV542" s="171">
        <f t="shared" si="154"/>
        <v>0</v>
      </c>
      <c r="AW542" s="171">
        <f t="shared" si="154"/>
        <v>0</v>
      </c>
      <c r="AX542" s="171">
        <f t="shared" si="154"/>
        <v>0</v>
      </c>
      <c r="AY542" s="171">
        <f t="shared" si="154"/>
        <v>0</v>
      </c>
      <c r="AZ542" s="171">
        <f t="shared" si="154"/>
        <v>0</v>
      </c>
      <c r="BA542" s="171">
        <f t="shared" si="154"/>
        <v>0</v>
      </c>
      <c r="BB542" s="171">
        <f t="shared" si="154"/>
        <v>0</v>
      </c>
      <c r="BC542" s="171">
        <f t="shared" si="154"/>
        <v>0</v>
      </c>
      <c r="BD542" s="171">
        <f t="shared" si="142"/>
        <v>0</v>
      </c>
      <c r="BE542" s="171">
        <f t="shared" si="143"/>
        <v>0</v>
      </c>
      <c r="BF542" s="171">
        <f t="shared" si="144"/>
        <v>0</v>
      </c>
      <c r="BG542" s="171">
        <f t="shared" si="145"/>
        <v>0</v>
      </c>
      <c r="BH542" s="171">
        <f t="shared" si="146"/>
        <v>0</v>
      </c>
      <c r="BI542" s="171">
        <f t="shared" si="147"/>
        <v>0</v>
      </c>
      <c r="BJ542" s="171">
        <f t="shared" si="148"/>
        <v>0</v>
      </c>
      <c r="BK542" s="171">
        <f t="shared" si="149"/>
        <v>0</v>
      </c>
      <c r="BL542" s="171">
        <f t="shared" si="150"/>
        <v>0</v>
      </c>
      <c r="BM542" s="171">
        <f t="shared" si="151"/>
        <v>0</v>
      </c>
      <c r="BN542" s="196"/>
      <c r="BO542" s="196"/>
      <c r="BP542" s="196"/>
      <c r="BS542" s="696" t="s">
        <v>2132</v>
      </c>
    </row>
    <row r="543" spans="2:75" ht="14.25" customHeight="1" x14ac:dyDescent="0.15">
      <c r="E543" s="507">
        <v>15</v>
      </c>
      <c r="F543" s="3" t="str" cm="1">
        <f t="array" aca="1" ref="F543" ca="1">OFFSET(E543,-1,1)</f>
        <v>3</v>
      </c>
      <c r="I543" s="72" t="s">
        <v>2133</v>
      </c>
      <c r="K543" s="72" t="s">
        <v>2133</v>
      </c>
      <c r="L543" s="25"/>
      <c r="M543" s="25"/>
      <c r="T543" s="353" t="b" cm="1">
        <f t="array" aca="1" ref="T543" ca="1">T542</f>
        <v>1</v>
      </c>
      <c r="X543" s="990"/>
      <c r="Z543" s="967"/>
      <c r="AB543" s="133" t="s">
        <v>2134</v>
      </c>
      <c r="AC543" s="134" t="s">
        <v>2135</v>
      </c>
      <c r="AD543" s="7" t="s">
        <v>828</v>
      </c>
      <c r="AE543" s="128"/>
      <c r="AF543" s="128"/>
      <c r="AG543" s="128"/>
      <c r="AH543" s="171">
        <f t="shared" si="140"/>
        <v>0</v>
      </c>
      <c r="AI543" s="128"/>
      <c r="AJ543" s="128"/>
      <c r="AK543" s="778"/>
      <c r="AL543" s="778"/>
      <c r="AM543" s="128"/>
      <c r="AN543" s="128"/>
      <c r="AO543" s="128"/>
      <c r="AP543" s="128"/>
      <c r="AQ543" s="128"/>
      <c r="AR543" s="128"/>
      <c r="AS543" s="128"/>
      <c r="AT543" s="128"/>
      <c r="AU543" s="778"/>
      <c r="AV543" s="778"/>
      <c r="AW543" s="128"/>
      <c r="AX543" s="128"/>
      <c r="AY543" s="128"/>
      <c r="AZ543" s="128"/>
      <c r="BA543" s="128"/>
      <c r="BB543" s="128"/>
      <c r="BC543" s="128"/>
      <c r="BD543" s="171">
        <f t="shared" si="142"/>
        <v>0</v>
      </c>
      <c r="BE543" s="171">
        <f t="shared" si="143"/>
        <v>0</v>
      </c>
      <c r="BF543" s="171">
        <f t="shared" si="144"/>
        <v>0</v>
      </c>
      <c r="BG543" s="171">
        <f t="shared" si="145"/>
        <v>0</v>
      </c>
      <c r="BH543" s="171">
        <f t="shared" si="146"/>
        <v>0</v>
      </c>
      <c r="BI543" s="171">
        <f t="shared" si="147"/>
        <v>0</v>
      </c>
      <c r="BJ543" s="171">
        <f t="shared" si="148"/>
        <v>0</v>
      </c>
      <c r="BK543" s="171">
        <f t="shared" si="149"/>
        <v>0</v>
      </c>
      <c r="BL543" s="171">
        <f t="shared" si="150"/>
        <v>0</v>
      </c>
      <c r="BM543" s="171">
        <f t="shared" si="151"/>
        <v>0</v>
      </c>
      <c r="BN543" s="196"/>
      <c r="BO543" s="196"/>
      <c r="BP543" s="196"/>
      <c r="BS543" s="696" t="s">
        <v>1268</v>
      </c>
    </row>
    <row r="544" spans="2:75" ht="14.25" customHeight="1" x14ac:dyDescent="0.15">
      <c r="E544" s="507">
        <v>15</v>
      </c>
      <c r="F544" s="3" t="str" cm="1">
        <f t="array" aca="1" ref="F544" ca="1">OFFSET(E544,-1,1)</f>
        <v>3</v>
      </c>
      <c r="I544" s="72" t="s">
        <v>2136</v>
      </c>
      <c r="K544" s="72" t="s">
        <v>2136</v>
      </c>
      <c r="L544" s="25" t="s">
        <v>951</v>
      </c>
      <c r="M544" s="25"/>
      <c r="T544" s="353" t="b" cm="1">
        <f t="array" aca="1" ref="T544" ca="1">T543</f>
        <v>1</v>
      </c>
      <c r="X544" s="990"/>
      <c r="Z544" s="967"/>
      <c r="AB544" s="133" t="s">
        <v>2137</v>
      </c>
      <c r="AC544" s="134" t="s">
        <v>2138</v>
      </c>
      <c r="AD544" s="7" t="s">
        <v>828</v>
      </c>
      <c r="AE544" s="128"/>
      <c r="AF544" s="128"/>
      <c r="AG544" s="128"/>
      <c r="AH544" s="171">
        <f t="shared" si="140"/>
        <v>0</v>
      </c>
      <c r="AI544" s="128"/>
      <c r="AJ544" s="128"/>
      <c r="AK544" s="778"/>
      <c r="AL544" s="778"/>
      <c r="AM544" s="128"/>
      <c r="AN544" s="128"/>
      <c r="AO544" s="128"/>
      <c r="AP544" s="128"/>
      <c r="AQ544" s="128"/>
      <c r="AR544" s="128"/>
      <c r="AS544" s="128"/>
      <c r="AT544" s="128"/>
      <c r="AU544" s="778"/>
      <c r="AV544" s="778"/>
      <c r="AW544" s="128"/>
      <c r="AX544" s="128"/>
      <c r="AY544" s="128"/>
      <c r="AZ544" s="128"/>
      <c r="BA544" s="128"/>
      <c r="BB544" s="128"/>
      <c r="BC544" s="128"/>
      <c r="BD544" s="171">
        <f t="shared" si="142"/>
        <v>0</v>
      </c>
      <c r="BE544" s="171">
        <f t="shared" si="143"/>
        <v>0</v>
      </c>
      <c r="BF544" s="171">
        <f t="shared" si="144"/>
        <v>0</v>
      </c>
      <c r="BG544" s="171">
        <f t="shared" si="145"/>
        <v>0</v>
      </c>
      <c r="BH544" s="171">
        <f t="shared" si="146"/>
        <v>0</v>
      </c>
      <c r="BI544" s="171">
        <f t="shared" si="147"/>
        <v>0</v>
      </c>
      <c r="BJ544" s="171">
        <f t="shared" si="148"/>
        <v>0</v>
      </c>
      <c r="BK544" s="171">
        <f t="shared" si="149"/>
        <v>0</v>
      </c>
      <c r="BL544" s="171">
        <f t="shared" si="150"/>
        <v>0</v>
      </c>
      <c r="BM544" s="171">
        <f t="shared" si="151"/>
        <v>0</v>
      </c>
      <c r="BN544" s="196"/>
      <c r="BO544" s="196"/>
      <c r="BP544" s="196"/>
      <c r="BS544" s="696" t="s">
        <v>2139</v>
      </c>
    </row>
    <row r="545" spans="1:75" ht="21.75" customHeight="1" x14ac:dyDescent="0.15">
      <c r="E545" s="507">
        <v>22.5</v>
      </c>
      <c r="F545" s="3" t="str" cm="1">
        <f t="array" aca="1" ref="F545" ca="1">OFFSET(E545,-1,1)</f>
        <v>3</v>
      </c>
      <c r="G545" s="72" t="s">
        <v>1487</v>
      </c>
      <c r="I545" s="72" t="s">
        <v>2140</v>
      </c>
      <c r="K545" s="72" t="s">
        <v>2140</v>
      </c>
      <c r="L545" s="25"/>
      <c r="M545" s="25"/>
      <c r="T545" s="353" t="b" cm="1">
        <f t="array" aca="1" ref="T545" ca="1">T544</f>
        <v>1</v>
      </c>
      <c r="X545" s="990"/>
      <c r="Z545" s="967"/>
      <c r="AB545" s="133" t="s">
        <v>1551</v>
      </c>
      <c r="AC545" s="127" t="s">
        <v>2141</v>
      </c>
      <c r="AD545" s="7" t="s">
        <v>828</v>
      </c>
      <c r="AE545" s="128"/>
      <c r="AF545" s="128"/>
      <c r="AG545" s="128"/>
      <c r="AH545" s="171">
        <f t="shared" si="140"/>
        <v>0</v>
      </c>
      <c r="AI545" s="128"/>
      <c r="AJ545" s="128"/>
      <c r="AK545" s="778"/>
      <c r="AL545" s="778"/>
      <c r="AM545" s="128"/>
      <c r="AN545" s="128"/>
      <c r="AO545" s="128"/>
      <c r="AP545" s="128"/>
      <c r="AQ545" s="128"/>
      <c r="AR545" s="128"/>
      <c r="AS545" s="128"/>
      <c r="AT545" s="128"/>
      <c r="AU545" s="778"/>
      <c r="AV545" s="778"/>
      <c r="AW545" s="128"/>
      <c r="AX545" s="128"/>
      <c r="AY545" s="128"/>
      <c r="AZ545" s="128"/>
      <c r="BA545" s="128"/>
      <c r="BB545" s="128"/>
      <c r="BC545" s="128"/>
      <c r="BD545" s="171">
        <f t="shared" si="142"/>
        <v>0</v>
      </c>
      <c r="BE545" s="171">
        <f t="shared" si="143"/>
        <v>0</v>
      </c>
      <c r="BF545" s="171">
        <f t="shared" si="144"/>
        <v>0</v>
      </c>
      <c r="BG545" s="171">
        <f t="shared" si="145"/>
        <v>0</v>
      </c>
      <c r="BH545" s="171">
        <f t="shared" si="146"/>
        <v>0</v>
      </c>
      <c r="BI545" s="171">
        <f t="shared" si="147"/>
        <v>0</v>
      </c>
      <c r="BJ545" s="171">
        <f t="shared" si="148"/>
        <v>0</v>
      </c>
      <c r="BK545" s="171">
        <f t="shared" si="149"/>
        <v>0</v>
      </c>
      <c r="BL545" s="171">
        <f t="shared" si="150"/>
        <v>0</v>
      </c>
      <c r="BM545" s="171">
        <f t="shared" si="151"/>
        <v>0</v>
      </c>
      <c r="BN545" s="196"/>
      <c r="BO545" s="196"/>
      <c r="BP545" s="196"/>
      <c r="BS545" s="696" t="s">
        <v>2142</v>
      </c>
    </row>
    <row r="546" spans="1:75" s="870" customFormat="1" ht="131.25" customHeight="1" x14ac:dyDescent="0.15">
      <c r="A546" s="76"/>
      <c r="B546" s="332"/>
      <c r="C546" s="76"/>
      <c r="D546" s="76"/>
      <c r="E546" s="511">
        <v>21</v>
      </c>
      <c r="F546" s="3" t="str" cm="1">
        <f t="array" aca="1" ref="F546" ca="1">OFFSET(E546,-1,1)</f>
        <v>3</v>
      </c>
      <c r="G546" s="72" t="s">
        <v>2143</v>
      </c>
      <c r="H546" s="72"/>
      <c r="I546" s="72" t="s">
        <v>333</v>
      </c>
      <c r="J546" s="76"/>
      <c r="K546" s="72" t="s">
        <v>333</v>
      </c>
      <c r="L546" s="27" t="s">
        <v>1344</v>
      </c>
      <c r="M546" s="27"/>
      <c r="N546" s="76"/>
      <c r="O546" s="76"/>
      <c r="P546" s="76"/>
      <c r="Q546" s="76"/>
      <c r="R546" s="76"/>
      <c r="S546" s="76"/>
      <c r="T546" s="353" t="b" cm="1">
        <f t="array" aca="1" ref="T546" ca="1">T545</f>
        <v>1</v>
      </c>
      <c r="U546" s="76"/>
      <c r="V546" s="76"/>
      <c r="W546" s="76"/>
      <c r="X546" s="990"/>
      <c r="Y546" s="76"/>
      <c r="Z546" s="967"/>
      <c r="AA546" s="76"/>
      <c r="AB546" s="131" t="s">
        <v>291</v>
      </c>
      <c r="AC546" s="125" t="s">
        <v>2144</v>
      </c>
      <c r="AD546" s="124" t="s">
        <v>828</v>
      </c>
      <c r="AE546" s="126">
        <f ca="1">SUMIFS(ЭЭ!AE$25:AE$116,ЭЭ!$F$25:$F$116,$F546,ЭЭ!$AC$25:$AC$116,"Всего по тарифу")</f>
        <v>4118.42</v>
      </c>
      <c r="AF546" s="126">
        <f ca="1">SUMIFS(ЭЭ!AF$25:AF$116,ЭЭ!$F$25:$F$116,$F546,ЭЭ!$AC$25:$AC$116,"Всего по тарифу")</f>
        <v>4272.4124135077</v>
      </c>
      <c r="AG546" s="126">
        <f ca="1">SUMIFS(ЭЭ!AG$25:AG$116,ЭЭ!$F$25:$F$116,$F546,ЭЭ!$AC$25:$AC$116,"Всего по тарифу")</f>
        <v>3891.2199667892</v>
      </c>
      <c r="AH546" s="126">
        <f t="shared" ca="1" si="140"/>
        <v>-381.19244671849992</v>
      </c>
      <c r="AI546" s="126">
        <f ca="1">SUMIFS(ЭЭ!AH$25:AH$116,ЭЭ!$F$25:$F$116,$F546,ЭЭ!$AC$25:$AC$116,"Всего по тарифу")</f>
        <v>4193.6099999999997</v>
      </c>
      <c r="AJ546" s="126">
        <f ca="1">SUMIFS(ЭЭ!AI$25:AI$116,ЭЭ!$F$25:$F$116,$F546,ЭЭ!$AC$25:$AC$116,"Всего по тарифу")</f>
        <v>4842.2209178392004</v>
      </c>
      <c r="AK546" s="126">
        <f ca="1">SUMIFS(ЭЭ!AJ$25:AJ$116,ЭЭ!$F$25:$F$116,$F546,ЭЭ!$AC$25:$AC$116,"Всего по тарифу")</f>
        <v>0</v>
      </c>
      <c r="AL546" s="126">
        <f ca="1">SUMIFS(ЭЭ!AK$25:AK$116,ЭЭ!$F$25:$F$116,$F546,ЭЭ!$AC$25:$AC$116,"Всего по тарифу")</f>
        <v>0</v>
      </c>
      <c r="AM546" s="126">
        <f ca="1">SUMIFS(ЭЭ!AL$25:AL$116,ЭЭ!$F$25:$F$116,$F546,ЭЭ!$AC$25:$AC$116,"Всего по тарифу")</f>
        <v>0</v>
      </c>
      <c r="AN546" s="126">
        <f ca="1">SUMIFS(ЭЭ!AM$25:AM$116,ЭЭ!$F$25:$F$116,$F546,ЭЭ!$AC$25:$AC$116,"Всего по тарифу")</f>
        <v>0</v>
      </c>
      <c r="AO546" s="126">
        <f ca="1">SUMIFS(ЭЭ!AN$25:AN$116,ЭЭ!$F$25:$F$116,$F546,ЭЭ!$AC$25:$AC$116,"Всего по тарифу")</f>
        <v>0</v>
      </c>
      <c r="AP546" s="126">
        <f ca="1">SUMIFS(ЭЭ!AO$25:AO$116,ЭЭ!$F$25:$F$116,$F546,ЭЭ!$AC$25:$AC$116,"Всего по тарифу")</f>
        <v>0</v>
      </c>
      <c r="AQ546" s="126">
        <f ca="1">SUMIFS(ЭЭ!AP$25:AP$116,ЭЭ!$F$25:$F$116,$F546,ЭЭ!$AC$25:$AC$116,"Всего по тарифу")</f>
        <v>0</v>
      </c>
      <c r="AR546" s="126">
        <f ca="1">SUMIFS(ЭЭ!AQ$25:AQ$116,ЭЭ!$F$25:$F$116,$F546,ЭЭ!$AC$25:$AC$116,"Всего по тарифу")</f>
        <v>0</v>
      </c>
      <c r="AS546" s="126">
        <f ca="1">SUMIFS(ЭЭ!AR$25:AR$116,ЭЭ!$F$25:$F$116,$F546,ЭЭ!$AC$25:$AC$116,"Всего по тарифу")</f>
        <v>0</v>
      </c>
      <c r="AT546" s="126">
        <f ca="1">SUMIFS(ЭЭ!AS$25:AS$116,ЭЭ!$F$25:$F$116,$F546,ЭЭ!$AC$25:$AC$116,"Всего по тарифу")</f>
        <v>4245.9698580841005</v>
      </c>
      <c r="AU546" s="126">
        <f ca="1">SUMIFS(ЭЭ!AT$25:AT$116,ЭЭ!$F$25:$F$116,$F546,ЭЭ!$AC$25:$AC$116,"Всего по тарифу")</f>
        <v>0</v>
      </c>
      <c r="AV546" s="126">
        <f ca="1">SUMIFS(ЭЭ!AU$25:AU$116,ЭЭ!$F$25:$F$116,$F546,ЭЭ!$AC$25:$AC$116,"Всего по тарифу")</f>
        <v>0</v>
      </c>
      <c r="AW546" s="126">
        <f ca="1">SUMIFS(ЭЭ!AV$25:AV$116,ЭЭ!$F$25:$F$116,$F546,ЭЭ!$AC$25:$AC$116,"Всего по тарифу")</f>
        <v>0</v>
      </c>
      <c r="AX546" s="126">
        <f ca="1">SUMIFS(ЭЭ!AW$25:AW$116,ЭЭ!$F$25:$F$116,$F546,ЭЭ!$AC$25:$AC$116,"Всего по тарифу")</f>
        <v>0</v>
      </c>
      <c r="AY546" s="126">
        <f ca="1">SUMIFS(ЭЭ!AX$25:AX$116,ЭЭ!$F$25:$F$116,$F546,ЭЭ!$AC$25:$AC$116,"Всего по тарифу")</f>
        <v>0</v>
      </c>
      <c r="AZ546" s="126">
        <f ca="1">SUMIFS(ЭЭ!AY$25:AY$116,ЭЭ!$F$25:$F$116,$F546,ЭЭ!$AC$25:$AC$116,"Всего по тарифу")</f>
        <v>0</v>
      </c>
      <c r="BA546" s="126">
        <f ca="1">SUMIFS(ЭЭ!AZ$25:AZ$116,ЭЭ!$F$25:$F$116,$F546,ЭЭ!$AC$25:$AC$116,"Всего по тарифу")</f>
        <v>0</v>
      </c>
      <c r="BB546" s="126">
        <f ca="1">SUMIFS(ЭЭ!BA$25:BA$116,ЭЭ!$F$25:$F$116,$F546,ЭЭ!$AC$25:$AC$116,"Всего по тарифу")</f>
        <v>0</v>
      </c>
      <c r="BC546" s="126">
        <f ca="1">SUMIFS(ЭЭ!BB$25:BB$116,ЭЭ!$F$25:$F$116,$F546,ЭЭ!$AC$25:$AC$116,"Всего по тарифу")</f>
        <v>0</v>
      </c>
      <c r="BD546" s="126">
        <f t="shared" ca="1" si="142"/>
        <v>1.2485628869661409</v>
      </c>
      <c r="BE546" s="126">
        <f t="shared" ca="1" si="143"/>
        <v>-100</v>
      </c>
      <c r="BF546" s="126">
        <f t="shared" ca="1" si="144"/>
        <v>0</v>
      </c>
      <c r="BG546" s="126">
        <f t="shared" ca="1" si="145"/>
        <v>0</v>
      </c>
      <c r="BH546" s="126">
        <f t="shared" ca="1" si="146"/>
        <v>0</v>
      </c>
      <c r="BI546" s="126">
        <f t="shared" ca="1" si="147"/>
        <v>0</v>
      </c>
      <c r="BJ546" s="126">
        <f t="shared" ca="1" si="148"/>
        <v>0</v>
      </c>
      <c r="BK546" s="126">
        <f t="shared" ca="1" si="149"/>
        <v>0</v>
      </c>
      <c r="BL546" s="126">
        <f t="shared" ca="1" si="150"/>
        <v>0</v>
      </c>
      <c r="BM546" s="126">
        <f t="shared" ca="1" si="151"/>
        <v>0</v>
      </c>
      <c r="BN546" s="196"/>
      <c r="BO546" s="601" t="s">
        <v>2252</v>
      </c>
      <c r="BP546" s="196" t="s">
        <v>2253</v>
      </c>
      <c r="BQ546" s="76"/>
      <c r="BR546" s="76"/>
      <c r="BS546" s="702" t="s">
        <v>1750</v>
      </c>
      <c r="BT546" s="702"/>
      <c r="BU546" s="702"/>
      <c r="BV546" s="511"/>
      <c r="BW546" s="511"/>
    </row>
    <row r="547" spans="1:75" s="870" customFormat="1" ht="76.5" customHeight="1" x14ac:dyDescent="0.15">
      <c r="A547" s="76"/>
      <c r="B547" s="76" t="b">
        <f>method_reg="Метод индексации"</f>
        <v>1</v>
      </c>
      <c r="C547" s="76"/>
      <c r="D547" s="76"/>
      <c r="E547" s="511">
        <v>22.5</v>
      </c>
      <c r="F547" s="3" t="str" cm="1">
        <f t="array" aca="1" ref="F547" ca="1">OFFSET(E547,-1,1)</f>
        <v>3</v>
      </c>
      <c r="G547" s="72" t="s">
        <v>1509</v>
      </c>
      <c r="H547" s="72"/>
      <c r="I547" s="72" t="s">
        <v>335</v>
      </c>
      <c r="J547" s="76"/>
      <c r="K547" s="72" t="s">
        <v>335</v>
      </c>
      <c r="L547" s="27" t="s">
        <v>334</v>
      </c>
      <c r="M547" s="27"/>
      <c r="N547" s="76"/>
      <c r="O547" s="76"/>
      <c r="P547" s="76"/>
      <c r="Q547" s="76"/>
      <c r="R547" s="76"/>
      <c r="S547" s="76"/>
      <c r="T547" s="353" t="b" cm="1">
        <f t="array" aca="1" ref="T547" ca="1">T546</f>
        <v>1</v>
      </c>
      <c r="U547" s="76"/>
      <c r="V547" s="76"/>
      <c r="W547" s="76"/>
      <c r="X547" s="990"/>
      <c r="Y547" s="76"/>
      <c r="Z547" s="967"/>
      <c r="AA547" s="76"/>
      <c r="AB547" s="131" t="s">
        <v>454</v>
      </c>
      <c r="AC547" s="125" t="s">
        <v>2145</v>
      </c>
      <c r="AD547" s="124" t="s">
        <v>828</v>
      </c>
      <c r="AE547" s="126">
        <f ca="1">SUMIFS(Амортизация!AE$25:AE$223,Амортизация!$F$25:$F$223,$F547,Амортизация!$AC$25:$AC$223,"Сумма амортизационных отчислений")</f>
        <v>2296.6681277419002</v>
      </c>
      <c r="AF547" s="126">
        <f ca="1">SUMIFS(Амортизация!AF$25:AF$223,Амортизация!$F$25:$F$223,$F547,Амортизация!$AC$25:$AC$223,"Сумма амортизационных отчислений")</f>
        <v>3415.5763004400001</v>
      </c>
      <c r="AG547" s="126">
        <f ca="1">SUMIFS(Амортизация!AG$25:AG$223,Амортизация!$F$25:$F$223,$F547,Амортизация!$AC$25:$AC$223,"Сумма амортизационных отчислений")</f>
        <v>2979.2072494399999</v>
      </c>
      <c r="AH547" s="126">
        <f t="shared" ca="1" si="140"/>
        <v>-436.36905100000013</v>
      </c>
      <c r="AI547" s="126">
        <f ca="1">SUMIFS(Амортизация!AH$25:AH$223,Амортизация!$F$25:$F$223,$F547,Амортизация!$AC$25:$AC$223,"Сумма амортизационных отчислений")</f>
        <v>2984.7425312382002</v>
      </c>
      <c r="AJ547" s="126">
        <f ca="1">SUMIFS(Амортизация!AI$25:AI$223,Амортизация!$F$25:$F$223,$F547,Амортизация!$AC$25:$AC$223,"Сумма амортизационных отчислений")</f>
        <v>3736.6829633222001</v>
      </c>
      <c r="AK547" s="126">
        <f ca="1">SUMIFS(Амортизация!AJ$25:AJ$223,Амортизация!$F$25:$F$223,$F547,Амортизация!$AC$25:$AC$223,"Сумма амортизационных отчислений")</f>
        <v>0</v>
      </c>
      <c r="AL547" s="126">
        <f ca="1">SUMIFS(Амортизация!AK$25:AK$223,Амортизация!$F$25:$F$223,$F547,Амортизация!$AC$25:$AC$223,"Сумма амортизационных отчислений")</f>
        <v>0</v>
      </c>
      <c r="AM547" s="126">
        <f ca="1">SUMIFS(Амортизация!AL$25:AL$223,Амортизация!$F$25:$F$223,$F547,Амортизация!$AC$25:$AC$223,"Сумма амортизационных отчислений")</f>
        <v>0</v>
      </c>
      <c r="AN547" s="126">
        <f ca="1">SUMIFS(Амортизация!AM$25:AM$223,Амортизация!$F$25:$F$223,$F547,Амортизация!$AC$25:$AC$223,"Сумма амортизационных отчислений")</f>
        <v>0</v>
      </c>
      <c r="AO547" s="126">
        <f ca="1">SUMIFS(Амортизация!AN$25:AN$223,Амортизация!$F$25:$F$223,$F547,Амортизация!$AC$25:$AC$223,"Сумма амортизационных отчислений")</f>
        <v>0</v>
      </c>
      <c r="AP547" s="126">
        <f ca="1">SUMIFS(Амортизация!AO$25:AO$223,Амортизация!$F$25:$F$223,$F547,Амортизация!$AC$25:$AC$223,"Сумма амортизационных отчислений")</f>
        <v>0</v>
      </c>
      <c r="AQ547" s="126">
        <f ca="1">SUMIFS(Амортизация!AP$25:AP$223,Амортизация!$F$25:$F$223,$F547,Амортизация!$AC$25:$AC$223,"Сумма амортизационных отчислений")</f>
        <v>0</v>
      </c>
      <c r="AR547" s="126">
        <f ca="1">SUMIFS(Амортизация!AQ$25:AQ$223,Амортизация!$F$25:$F$223,$F547,Амортизация!$AC$25:$AC$223,"Сумма амортизационных отчислений")</f>
        <v>0</v>
      </c>
      <c r="AS547" s="126">
        <f ca="1">SUMIFS(Амортизация!AR$25:AR$223,Амортизация!$F$25:$F$223,$F547,Амортизация!$AC$25:$AC$223,"Сумма амортизационных отчислений")</f>
        <v>0</v>
      </c>
      <c r="AT547" s="126">
        <f ca="1">SUMIFS(Амортизация!AS$25:AS$223,Амортизация!$F$25:$F$223,$F547,Амортизация!$AC$25:$AC$223,"Сумма амортизационных отчислений")</f>
        <v>2821.26167244</v>
      </c>
      <c r="AU547" s="126">
        <f ca="1">SUMIFS(Амортизация!AT$25:AT$223,Амортизация!$F$25:$F$223,$F547,Амортизация!$AC$25:$AC$223,"Сумма амортизационных отчислений")</f>
        <v>0</v>
      </c>
      <c r="AV547" s="126">
        <f ca="1">SUMIFS(Амортизация!AU$25:AU$223,Амортизация!$F$25:$F$223,$F547,Амортизация!$AC$25:$AC$223,"Сумма амортизационных отчислений")</f>
        <v>0</v>
      </c>
      <c r="AW547" s="126">
        <f ca="1">SUMIFS(Амортизация!AV$25:AV$223,Амортизация!$F$25:$F$223,$F547,Амортизация!$AC$25:$AC$223,"Сумма амортизационных отчислений")</f>
        <v>0</v>
      </c>
      <c r="AX547" s="126">
        <f ca="1">SUMIFS(Амортизация!AW$25:AW$223,Амортизация!$F$25:$F$223,$F547,Амортизация!$AC$25:$AC$223,"Сумма амортизационных отчислений")</f>
        <v>0</v>
      </c>
      <c r="AY547" s="126">
        <f ca="1">SUMIFS(Амортизация!AX$25:AX$223,Амортизация!$F$25:$F$223,$F547,Амортизация!$AC$25:$AC$223,"Сумма амортизационных отчислений")</f>
        <v>0</v>
      </c>
      <c r="AZ547" s="126">
        <f ca="1">SUMIFS(Амортизация!AY$25:AY$223,Амортизация!$F$25:$F$223,$F547,Амортизация!$AC$25:$AC$223,"Сумма амортизационных отчислений")</f>
        <v>0</v>
      </c>
      <c r="BA547" s="126">
        <f ca="1">SUMIFS(Амортизация!AZ$25:AZ$223,Амортизация!$F$25:$F$223,$F547,Амортизация!$AC$25:$AC$223,"Сумма амортизационных отчислений")</f>
        <v>0</v>
      </c>
      <c r="BB547" s="126">
        <f ca="1">SUMIFS(Амортизация!BA$25:BA$223,Амортизация!$F$25:$F$223,$F547,Амортизация!$AC$25:$AC$223,"Сумма амортизационных отчислений")</f>
        <v>0</v>
      </c>
      <c r="BC547" s="126">
        <f ca="1">SUMIFS(Амортизация!BB$25:BB$223,Амортизация!$F$25:$F$223,$F547,Амортизация!$AC$25:$AC$223,"Сумма амортизационных отчислений")</f>
        <v>0</v>
      </c>
      <c r="BD547" s="126">
        <f t="shared" ca="1" si="142"/>
        <v>-5.4772181214029629</v>
      </c>
      <c r="BE547" s="126">
        <f t="shared" ca="1" si="143"/>
        <v>-100</v>
      </c>
      <c r="BF547" s="126">
        <f t="shared" ca="1" si="144"/>
        <v>0</v>
      </c>
      <c r="BG547" s="126">
        <f t="shared" ca="1" si="145"/>
        <v>0</v>
      </c>
      <c r="BH547" s="126">
        <f t="shared" ca="1" si="146"/>
        <v>0</v>
      </c>
      <c r="BI547" s="126">
        <f t="shared" ca="1" si="147"/>
        <v>0</v>
      </c>
      <c r="BJ547" s="126">
        <f t="shared" ca="1" si="148"/>
        <v>0</v>
      </c>
      <c r="BK547" s="126">
        <f t="shared" ca="1" si="149"/>
        <v>0</v>
      </c>
      <c r="BL547" s="126">
        <f t="shared" ca="1" si="150"/>
        <v>0</v>
      </c>
      <c r="BM547" s="126">
        <f t="shared" ca="1" si="151"/>
        <v>0</v>
      </c>
      <c r="BN547" s="196"/>
      <c r="BO547" s="601" t="s">
        <v>2255</v>
      </c>
      <c r="BP547" s="196" t="s">
        <v>2256</v>
      </c>
      <c r="BQ547" s="76"/>
      <c r="BR547" s="76"/>
      <c r="BS547" s="702" t="s">
        <v>1247</v>
      </c>
      <c r="BT547" s="702"/>
      <c r="BU547" s="702"/>
      <c r="BV547" s="511"/>
      <c r="BW547" s="511"/>
    </row>
    <row r="548" spans="1:75" ht="14.25" customHeight="1" x14ac:dyDescent="0.15">
      <c r="B548" s="329" t="b" cm="1">
        <f t="array" ref="B548">B547</f>
        <v>1</v>
      </c>
      <c r="E548" s="507">
        <v>15</v>
      </c>
      <c r="F548" s="3" t="str" cm="1">
        <f t="array" aca="1" ref="F548" ca="1">OFFSET(E548,-1,1)</f>
        <v>3</v>
      </c>
      <c r="I548" s="72" t="s">
        <v>560</v>
      </c>
      <c r="K548" s="72" t="s">
        <v>560</v>
      </c>
      <c r="L548" s="25" t="s">
        <v>574</v>
      </c>
      <c r="M548" s="25"/>
      <c r="T548" s="353" t="b" cm="1">
        <f t="array" aca="1" ref="T548" ca="1">T547</f>
        <v>1</v>
      </c>
      <c r="X548" s="990"/>
      <c r="Z548" s="967"/>
      <c r="AB548" s="133" t="s">
        <v>697</v>
      </c>
      <c r="AC548" s="127" t="s">
        <v>1843</v>
      </c>
      <c r="AD548" s="7" t="s">
        <v>828</v>
      </c>
      <c r="AE548" s="128">
        <f ca="1">SUMIFS('ИП + источники'!AF$27:AF$145,'ИП + источники'!$F$27:$F$145,$F548,'ИП + источники'!$AC$27:$AC$145,"Амортизационные отчисления")+SUMIFS('ИП + источники'!AF$27:AF$145,'ИП + источники'!$F$27:$F$145,$F548,'ИП + источники'!$AC$27:$AC$145,"погашение займов и кредитов из амортизации")</f>
        <v>0</v>
      </c>
      <c r="AF548" s="128">
        <f ca="1">SUMIFS('ИП + источники'!AG$27:AG$145,'ИП + источники'!$F$27:$F$145,$F548,'ИП + источники'!$AC$27:$AC$145,"Амортизационные отчисления")+SUMIFS('ИП + источники'!AG$27:AG$145,'ИП + источники'!$F$27:$F$145,$F548,'ИП + источники'!$AC$27:$AC$145,"погашение займов и кредитов из амортизации")</f>
        <v>0</v>
      </c>
      <c r="AG548" s="128">
        <f ca="1">SUMIFS('ИП + источники'!AH$27:AH$145,'ИП + источники'!$F$27:$F$145,$F548,'ИП + источники'!$AC$27:$AC$145,"Амортизационные отчисления")+SUMIFS('ИП + источники'!AH$27:AH$145,'ИП + источники'!$F$27:$F$145,$F548,'ИП + источники'!$AC$27:$AC$145,"погашение займов и кредитов из амортизации")</f>
        <v>0</v>
      </c>
      <c r="AH548" s="171">
        <f t="shared" ca="1" si="140"/>
        <v>0</v>
      </c>
      <c r="AI548" s="128">
        <f ca="1">SUMIFS('ИП + источники'!AJ$27:AJ$145,'ИП + источники'!$F$27:$F$145,$F548,'ИП + источники'!$AC$27:$AC$145,"Амортизационные отчисления")+SUMIFS('ИП + источники'!AJ$27:AJ$145,'ИП + источники'!$F$27:$F$145,$F548,'ИП + источники'!$AC$27:$AC$145,"погашение займов и кредитов из амортизации")</f>
        <v>0</v>
      </c>
      <c r="AJ548" s="128">
        <f ca="1">SUMIFS('ИП + источники'!AK$27:AK$145,'ИП + источники'!$F$27:$F$145,$F548,'ИП + источники'!$AC$27:$AC$145,"Амортизационные отчисления")+SUMIFS('ИП + источники'!AK$27:AK$145,'ИП + источники'!$F$27:$F$145,$F548,'ИП + источники'!$AC$27:$AC$145,"погашение займов и кредитов из амортизации")</f>
        <v>0</v>
      </c>
      <c r="AK548" s="778">
        <f ca="1">SUMIFS('ИП + источники'!AL$27:AL$145,'ИП + источники'!$F$27:$F$145,$F548,'ИП + источники'!$AC$27:$AC$145,"Амортизационные отчисления")+SUMIFS('ИП + источники'!AL$27:AL$145,'ИП + источники'!$F$27:$F$145,$F548,'ИП + источники'!$AC$27:$AC$145,"погашение займов и кредитов из амортизации")</f>
        <v>0</v>
      </c>
      <c r="AL548" s="778">
        <f ca="1">SUMIFS('ИП + источники'!AM$27:AM$145,'ИП + источники'!$F$27:$F$145,$F548,'ИП + источники'!$AC$27:$AC$145,"Амортизационные отчисления")+SUMIFS('ИП + источники'!AM$27:AM$145,'ИП + источники'!$F$27:$F$145,$F548,'ИП + источники'!$AC$27:$AC$145,"погашение займов и кредитов из амортизации")</f>
        <v>0</v>
      </c>
      <c r="AM548" s="128">
        <f ca="1">SUMIFS('ИП + источники'!AN$27:AN$145,'ИП + источники'!$F$27:$F$145,$F548,'ИП + источники'!$AC$27:$AC$145,"Амортизационные отчисления")+SUMIFS('ИП + источники'!AN$27:AN$145,'ИП + источники'!$F$27:$F$145,$F548,'ИП + источники'!$AC$27:$AC$145,"погашение займов и кредитов из амортизации")</f>
        <v>0</v>
      </c>
      <c r="AN548" s="128">
        <f ca="1">SUMIFS('ИП + источники'!AO$27:AO$145,'ИП + источники'!$F$27:$F$145,$F548,'ИП + источники'!$AC$27:$AC$145,"Амортизационные отчисления")+SUMIFS('ИП + источники'!AO$27:AO$145,'ИП + источники'!$F$27:$F$145,$F548,'ИП + источники'!$AC$27:$AC$145,"погашение займов и кредитов из амортизации")</f>
        <v>0</v>
      </c>
      <c r="AO548" s="128">
        <f ca="1">SUMIFS('ИП + источники'!AP$27:AP$145,'ИП + источники'!$F$27:$F$145,$F548,'ИП + источники'!$AC$27:$AC$145,"Амортизационные отчисления")+SUMIFS('ИП + источники'!AP$27:AP$145,'ИП + источники'!$F$27:$F$145,$F548,'ИП + источники'!$AC$27:$AC$145,"погашение займов и кредитов из амортизации")</f>
        <v>0</v>
      </c>
      <c r="AP548" s="128">
        <f ca="1">SUMIFS('ИП + источники'!AQ$27:AQ$145,'ИП + источники'!$F$27:$F$145,$F548,'ИП + источники'!$AC$27:$AC$145,"Амортизационные отчисления")+SUMIFS('ИП + источники'!AQ$27:AQ$145,'ИП + источники'!$F$27:$F$145,$F548,'ИП + источники'!$AC$27:$AC$145,"погашение займов и кредитов из амортизации")</f>
        <v>0</v>
      </c>
      <c r="AQ548" s="128">
        <f ca="1">SUMIFS('ИП + источники'!AR$27:AR$145,'ИП + источники'!$F$27:$F$145,$F548,'ИП + источники'!$AC$27:$AC$145,"Амортизационные отчисления")+SUMIFS('ИП + источники'!AR$27:AR$145,'ИП + источники'!$F$27:$F$145,$F548,'ИП + источники'!$AC$27:$AC$145,"погашение займов и кредитов из амортизации")</f>
        <v>0</v>
      </c>
      <c r="AR548" s="128">
        <f ca="1">SUMIFS('ИП + источники'!AS$27:AS$145,'ИП + источники'!$F$27:$F$145,$F548,'ИП + источники'!$AC$27:$AC$145,"Амортизационные отчисления")+SUMIFS('ИП + источники'!AS$27:AS$145,'ИП + источники'!$F$27:$F$145,$F548,'ИП + источники'!$AC$27:$AC$145,"погашение займов и кредитов из амортизации")</f>
        <v>0</v>
      </c>
      <c r="AS548" s="128">
        <f ca="1">SUMIFS('ИП + источники'!AT$27:AT$145,'ИП + источники'!$F$27:$F$145,$F548,'ИП + источники'!$AC$27:$AC$145,"Амортизационные отчисления")+SUMIFS('ИП + источники'!AT$27:AT$145,'ИП + источники'!$F$27:$F$145,$F548,'ИП + источники'!$AC$27:$AC$145,"погашение займов и кредитов из амортизации")</f>
        <v>0</v>
      </c>
      <c r="AT548" s="128">
        <f ca="1">SUMIFS('ИП + источники'!AU$27:AU$145,'ИП + источники'!$F$27:$F$145,$F548,'ИП + источники'!$AC$27:$AC$145,"Амортизационные отчисления")+SUMIFS('ИП + источники'!AU$27:AU$145,'ИП + источники'!$F$27:$F$145,$F548,'ИП + источники'!$AC$27:$AC$145,"погашение займов и кредитов из амортизации")</f>
        <v>0</v>
      </c>
      <c r="AU548" s="778">
        <f ca="1">SUMIFS('ИП + источники'!AV$27:AV$145,'ИП + источники'!$F$27:$F$145,$F548,'ИП + источники'!$AC$27:$AC$145,"Амортизационные отчисления")+SUMIFS('ИП + источники'!AV$27:AV$145,'ИП + источники'!$F$27:$F$145,$F548,'ИП + источники'!$AC$27:$AC$145,"погашение займов и кредитов из амортизации")</f>
        <v>0</v>
      </c>
      <c r="AV548" s="778">
        <f ca="1">SUMIFS('ИП + источники'!AW$27:AW$145,'ИП + источники'!$F$27:$F$145,$F548,'ИП + источники'!$AC$27:$AC$145,"Амортизационные отчисления")+SUMIFS('ИП + источники'!AW$27:AW$145,'ИП + источники'!$F$27:$F$145,$F548,'ИП + источники'!$AC$27:$AC$145,"погашение займов и кредитов из амортизации")</f>
        <v>0</v>
      </c>
      <c r="AW548" s="128">
        <f ca="1">SUMIFS('ИП + источники'!AX$27:AX$145,'ИП + источники'!$F$27:$F$145,$F548,'ИП + источники'!$AC$27:$AC$145,"Амортизационные отчисления")+SUMIFS('ИП + источники'!AX$27:AX$145,'ИП + источники'!$F$27:$F$145,$F548,'ИП + источники'!$AC$27:$AC$145,"погашение займов и кредитов из амортизации")</f>
        <v>0</v>
      </c>
      <c r="AX548" s="128">
        <f ca="1">SUMIFS('ИП + источники'!AY$27:AY$145,'ИП + источники'!$F$27:$F$145,$F548,'ИП + источники'!$AC$27:$AC$145,"Амортизационные отчисления")+SUMIFS('ИП + источники'!AY$27:AY$145,'ИП + источники'!$F$27:$F$145,$F548,'ИП + источники'!$AC$27:$AC$145,"погашение займов и кредитов из амортизации")</f>
        <v>0</v>
      </c>
      <c r="AY548" s="128">
        <f ca="1">SUMIFS('ИП + источники'!AZ$27:AZ$145,'ИП + источники'!$F$27:$F$145,$F548,'ИП + источники'!$AC$27:$AC$145,"Амортизационные отчисления")+SUMIFS('ИП + источники'!AZ$27:AZ$145,'ИП + источники'!$F$27:$F$145,$F548,'ИП + источники'!$AC$27:$AC$145,"погашение займов и кредитов из амортизации")</f>
        <v>0</v>
      </c>
      <c r="AZ548" s="128">
        <f ca="1">SUMIFS('ИП + источники'!BA$27:BA$145,'ИП + источники'!$F$27:$F$145,$F548,'ИП + источники'!$AC$27:$AC$145,"Амортизационные отчисления")+SUMIFS('ИП + источники'!BA$27:BA$145,'ИП + источники'!$F$27:$F$145,$F548,'ИП + источники'!$AC$27:$AC$145,"погашение займов и кредитов из амортизации")</f>
        <v>0</v>
      </c>
      <c r="BA548" s="128">
        <f ca="1">SUMIFS('ИП + источники'!BB$27:BB$145,'ИП + источники'!$F$27:$F$145,$F548,'ИП + источники'!$AC$27:$AC$145,"Амортизационные отчисления")+SUMIFS('ИП + источники'!BB$27:BB$145,'ИП + источники'!$F$27:$F$145,$F548,'ИП + источники'!$AC$27:$AC$145,"погашение займов и кредитов из амортизации")</f>
        <v>0</v>
      </c>
      <c r="BB548" s="128">
        <f ca="1">SUMIFS('ИП + источники'!BC$27:BC$145,'ИП + источники'!$F$27:$F$145,$F548,'ИП + источники'!$AC$27:$AC$145,"Амортизационные отчисления")+SUMIFS('ИП + источники'!BC$27:BC$145,'ИП + источники'!$F$27:$F$145,$F548,'ИП + источники'!$AC$27:$AC$145,"погашение займов и кредитов из амортизации")</f>
        <v>0</v>
      </c>
      <c r="BC548" s="128">
        <f ca="1">SUMIFS('ИП + источники'!BD$27:BD$145,'ИП + источники'!$F$27:$F$145,$F548,'ИП + источники'!$AC$27:$AC$145,"Амортизационные отчисления")+SUMIFS('ИП + источники'!BD$27:BD$145,'ИП + источники'!$F$27:$F$145,$F548,'ИП + источники'!$AC$27:$AC$145,"погашение займов и кредитов из амортизации")</f>
        <v>0</v>
      </c>
      <c r="BD548" s="171">
        <f t="shared" ca="1" si="142"/>
        <v>0</v>
      </c>
      <c r="BE548" s="171">
        <f t="shared" ca="1" si="143"/>
        <v>0</v>
      </c>
      <c r="BF548" s="171">
        <f t="shared" ca="1" si="144"/>
        <v>0</v>
      </c>
      <c r="BG548" s="171">
        <f t="shared" ca="1" si="145"/>
        <v>0</v>
      </c>
      <c r="BH548" s="171">
        <f t="shared" ca="1" si="146"/>
        <v>0</v>
      </c>
      <c r="BI548" s="171">
        <f t="shared" ca="1" si="147"/>
        <v>0</v>
      </c>
      <c r="BJ548" s="171">
        <f t="shared" ca="1" si="148"/>
        <v>0</v>
      </c>
      <c r="BK548" s="171">
        <f t="shared" ca="1" si="149"/>
        <v>0</v>
      </c>
      <c r="BL548" s="171">
        <f t="shared" ca="1" si="150"/>
        <v>0</v>
      </c>
      <c r="BM548" s="171">
        <f t="shared" ca="1" si="151"/>
        <v>0</v>
      </c>
      <c r="BN548" s="196"/>
      <c r="BO548" s="196"/>
      <c r="BP548" s="196"/>
      <c r="BS548" s="696" t="s">
        <v>1844</v>
      </c>
    </row>
    <row r="549" spans="1:75" s="870" customFormat="1" ht="33.75" customHeight="1" x14ac:dyDescent="0.25">
      <c r="A549" s="76"/>
      <c r="B549" s="329" t="b" cm="1">
        <f t="array" ref="B549">B548</f>
        <v>1</v>
      </c>
      <c r="C549" s="76"/>
      <c r="D549" s="76"/>
      <c r="E549" s="511">
        <v>21</v>
      </c>
      <c r="F549" s="3" t="str" cm="1">
        <f t="array" aca="1" ref="F549" ca="1">OFFSET(E549,-1,1)</f>
        <v>3</v>
      </c>
      <c r="G549" s="72" t="s">
        <v>1513</v>
      </c>
      <c r="H549" s="72"/>
      <c r="I549" s="72" t="s">
        <v>334</v>
      </c>
      <c r="J549" s="76"/>
      <c r="K549" s="72" t="s">
        <v>334</v>
      </c>
      <c r="L549" s="27" t="s">
        <v>586</v>
      </c>
      <c r="M549" s="27"/>
      <c r="N549" s="76"/>
      <c r="O549" s="76"/>
      <c r="P549" s="76"/>
      <c r="Q549" s="76"/>
      <c r="R549" s="76"/>
      <c r="S549" s="76"/>
      <c r="T549" s="353" t="b" cm="1">
        <f t="array" aca="1" ref="T549" ca="1">T548</f>
        <v>1</v>
      </c>
      <c r="U549" s="76"/>
      <c r="V549" s="76"/>
      <c r="W549" s="76"/>
      <c r="X549" s="990"/>
      <c r="Y549" s="76"/>
      <c r="Z549" s="967"/>
      <c r="AA549" s="76"/>
      <c r="AB549" s="131" t="s">
        <v>460</v>
      </c>
      <c r="AC549" s="125" t="s">
        <v>1513</v>
      </c>
      <c r="AD549" s="147" t="s">
        <v>828</v>
      </c>
      <c r="AE549" s="126">
        <f ca="1">AE550+AE551+AE552+AE553</f>
        <v>0</v>
      </c>
      <c r="AF549" s="126">
        <f ca="1">AF550+AF551+AF552+AF553</f>
        <v>0</v>
      </c>
      <c r="AG549" s="126">
        <f ca="1">AG550+AG551+AG552+AG553</f>
        <v>0</v>
      </c>
      <c r="AH549" s="126">
        <f t="shared" ca="1" si="140"/>
        <v>0</v>
      </c>
      <c r="AI549" s="126">
        <f t="shared" ref="AI549:BC549" ca="1" si="155">AI550+AI551+AI552+AI553</f>
        <v>0</v>
      </c>
      <c r="AJ549" s="126">
        <f t="shared" ca="1" si="155"/>
        <v>0</v>
      </c>
      <c r="AK549" s="126">
        <f t="shared" ca="1" si="155"/>
        <v>0</v>
      </c>
      <c r="AL549" s="126">
        <f t="shared" ca="1" si="155"/>
        <v>0</v>
      </c>
      <c r="AM549" s="126">
        <f t="shared" ca="1" si="155"/>
        <v>0</v>
      </c>
      <c r="AN549" s="126">
        <f t="shared" ca="1" si="155"/>
        <v>0</v>
      </c>
      <c r="AO549" s="126">
        <f t="shared" ca="1" si="155"/>
        <v>0</v>
      </c>
      <c r="AP549" s="126">
        <f t="shared" ca="1" si="155"/>
        <v>0</v>
      </c>
      <c r="AQ549" s="126">
        <f t="shared" ca="1" si="155"/>
        <v>0</v>
      </c>
      <c r="AR549" s="126">
        <f t="shared" ca="1" si="155"/>
        <v>0</v>
      </c>
      <c r="AS549" s="126">
        <f t="shared" ca="1" si="155"/>
        <v>0</v>
      </c>
      <c r="AT549" s="126">
        <f t="shared" ca="1" si="155"/>
        <v>0</v>
      </c>
      <c r="AU549" s="126">
        <f t="shared" ca="1" si="155"/>
        <v>0</v>
      </c>
      <c r="AV549" s="126">
        <f t="shared" ca="1" si="155"/>
        <v>0</v>
      </c>
      <c r="AW549" s="126">
        <f t="shared" ca="1" si="155"/>
        <v>0</v>
      </c>
      <c r="AX549" s="126">
        <f t="shared" ca="1" si="155"/>
        <v>0</v>
      </c>
      <c r="AY549" s="126">
        <f t="shared" ca="1" si="155"/>
        <v>0</v>
      </c>
      <c r="AZ549" s="126">
        <f t="shared" ca="1" si="155"/>
        <v>0</v>
      </c>
      <c r="BA549" s="126">
        <f t="shared" ca="1" si="155"/>
        <v>0</v>
      </c>
      <c r="BB549" s="126">
        <f t="shared" ca="1" si="155"/>
        <v>0</v>
      </c>
      <c r="BC549" s="126">
        <f t="shared" ca="1" si="155"/>
        <v>0</v>
      </c>
      <c r="BD549" s="126">
        <f t="shared" ca="1" si="142"/>
        <v>0</v>
      </c>
      <c r="BE549" s="126">
        <f t="shared" ca="1" si="143"/>
        <v>0</v>
      </c>
      <c r="BF549" s="126">
        <f t="shared" ca="1" si="144"/>
        <v>0</v>
      </c>
      <c r="BG549" s="126">
        <f t="shared" ca="1" si="145"/>
        <v>0</v>
      </c>
      <c r="BH549" s="126">
        <f t="shared" ca="1" si="146"/>
        <v>0</v>
      </c>
      <c r="BI549" s="126">
        <f t="shared" ca="1" si="147"/>
        <v>0</v>
      </c>
      <c r="BJ549" s="126">
        <f t="shared" ca="1" si="148"/>
        <v>0</v>
      </c>
      <c r="BK549" s="126">
        <f t="shared" ca="1" si="149"/>
        <v>0</v>
      </c>
      <c r="BL549" s="126">
        <f t="shared" ca="1" si="150"/>
        <v>0</v>
      </c>
      <c r="BM549" s="126">
        <f t="shared" ca="1" si="151"/>
        <v>0</v>
      </c>
      <c r="BN549" s="196"/>
      <c r="BO549" s="196" t="s">
        <v>2257</v>
      </c>
      <c r="BP549" s="196"/>
      <c r="BQ549" s="76"/>
      <c r="BR549" s="76"/>
      <c r="BS549" s="695" t="s">
        <v>1517</v>
      </c>
      <c r="BT549" s="702"/>
      <c r="BU549" s="702"/>
      <c r="BV549" s="511"/>
      <c r="BW549" s="511"/>
    </row>
    <row r="550" spans="1:75" ht="14.25" customHeight="1" x14ac:dyDescent="0.15">
      <c r="B550" s="329" t="b" cm="1">
        <f t="array" ref="B550">B549</f>
        <v>1</v>
      </c>
      <c r="E550" s="507">
        <v>15</v>
      </c>
      <c r="F550" s="3" t="str" cm="1">
        <f t="array" aca="1" ref="F550" ca="1">OFFSET(E550,-1,1)</f>
        <v>3</v>
      </c>
      <c r="I550" s="72" t="s">
        <v>574</v>
      </c>
      <c r="K550" s="72" t="s">
        <v>574</v>
      </c>
      <c r="L550" s="25"/>
      <c r="M550" s="25"/>
      <c r="T550" s="353" t="b" cm="1">
        <f t="array" aca="1" ref="T550" ca="1">T549</f>
        <v>1</v>
      </c>
      <c r="X550" s="990"/>
      <c r="Z550" s="967"/>
      <c r="AB550" s="133" t="s">
        <v>704</v>
      </c>
      <c r="AC550" s="127" t="s">
        <v>2146</v>
      </c>
      <c r="AD550" s="7" t="s">
        <v>828</v>
      </c>
      <c r="AE550" s="128">
        <f ca="1">SUMIFS('ИП + источники'!AF$27:AF$145,'ИП + источники'!$F$27:$F$145,$F550,'ИП + источники'!$AC$27:$AC$145,"погашение займов и кредитов из нормативной прибыли")</f>
        <v>0</v>
      </c>
      <c r="AF550" s="128">
        <f ca="1">SUMIFS('ИП + источники'!AG$27:AG$145,'ИП + источники'!$F$27:$F$145,$F550,'ИП + источники'!$AC$27:$AC$145,"погашение займов и кредитов из нормативной прибыли")</f>
        <v>0</v>
      </c>
      <c r="AG550" s="128">
        <f ca="1">SUMIFS('ИП + источники'!AH$27:AH$145,'ИП + источники'!$F$27:$F$145,$F550,'ИП + источники'!$AC$27:$AC$145,"погашение займов и кредитов из нормативной прибыли")</f>
        <v>0</v>
      </c>
      <c r="AH550" s="171">
        <f t="shared" ca="1" si="140"/>
        <v>0</v>
      </c>
      <c r="AI550" s="128">
        <f ca="1">SUMIFS('ИП + источники'!AJ$27:AJ$145,'ИП + источники'!$F$27:$F$145,$F550,'ИП + источники'!$AC$27:$AC$145,"погашение займов и кредитов из нормативной прибыли")</f>
        <v>0</v>
      </c>
      <c r="AJ550" s="128">
        <f ca="1">SUMIFS('ИП + источники'!AK$27:AK$145,'ИП + источники'!$F$27:$F$145,$F550,'ИП + источники'!$AC$27:$AC$145,"погашение займов и кредитов из нормативной прибыли")</f>
        <v>0</v>
      </c>
      <c r="AK550" s="778">
        <f ca="1">SUMIFS('ИП + источники'!AL$27:AL$145,'ИП + источники'!$F$27:$F$145,$F550,'ИП + источники'!$AC$27:$AC$145,"погашение займов и кредитов из нормативной прибыли")</f>
        <v>0</v>
      </c>
      <c r="AL550" s="778">
        <f ca="1">SUMIFS('ИП + источники'!AM$27:AM$145,'ИП + источники'!$F$27:$F$145,$F550,'ИП + источники'!$AC$27:$AC$145,"погашение займов и кредитов из нормативной прибыли")</f>
        <v>0</v>
      </c>
      <c r="AM550" s="128">
        <f ca="1">SUMIFS('ИП + источники'!AN$27:AN$145,'ИП + источники'!$F$27:$F$145,$F550,'ИП + источники'!$AC$27:$AC$145,"погашение займов и кредитов из нормативной прибыли")</f>
        <v>0</v>
      </c>
      <c r="AN550" s="128">
        <f ca="1">SUMIFS('ИП + источники'!AO$27:AO$145,'ИП + источники'!$F$27:$F$145,$F550,'ИП + источники'!$AC$27:$AC$145,"погашение займов и кредитов из нормативной прибыли")</f>
        <v>0</v>
      </c>
      <c r="AO550" s="128">
        <f ca="1">SUMIFS('ИП + источники'!AP$27:AP$145,'ИП + источники'!$F$27:$F$145,$F550,'ИП + источники'!$AC$27:$AC$145,"погашение займов и кредитов из нормативной прибыли")</f>
        <v>0</v>
      </c>
      <c r="AP550" s="128">
        <f ca="1">SUMIFS('ИП + источники'!AQ$27:AQ$145,'ИП + источники'!$F$27:$F$145,$F550,'ИП + источники'!$AC$27:$AC$145,"погашение займов и кредитов из нормативной прибыли")</f>
        <v>0</v>
      </c>
      <c r="AQ550" s="128">
        <f ca="1">SUMIFS('ИП + источники'!AR$27:AR$145,'ИП + источники'!$F$27:$F$145,$F550,'ИП + источники'!$AC$27:$AC$145,"погашение займов и кредитов из нормативной прибыли")</f>
        <v>0</v>
      </c>
      <c r="AR550" s="128">
        <f ca="1">SUMIFS('ИП + источники'!AS$27:AS$145,'ИП + источники'!$F$27:$F$145,$F550,'ИП + источники'!$AC$27:$AC$145,"погашение займов и кредитов из нормативной прибыли")</f>
        <v>0</v>
      </c>
      <c r="AS550" s="128">
        <f ca="1">SUMIFS('ИП + источники'!AT$27:AT$145,'ИП + источники'!$F$27:$F$145,$F550,'ИП + источники'!$AC$27:$AC$145,"погашение займов и кредитов из нормативной прибыли")</f>
        <v>0</v>
      </c>
      <c r="AT550" s="128">
        <f ca="1">SUMIFS('ИП + источники'!AU$27:AU$145,'ИП + источники'!$F$27:$F$145,$F550,'ИП + источники'!$AC$27:$AC$145,"погашение займов и кредитов из нормативной прибыли")</f>
        <v>0</v>
      </c>
      <c r="AU550" s="778">
        <f ca="1">SUMIFS('ИП + источники'!AV$27:AV$145,'ИП + источники'!$F$27:$F$145,$F550,'ИП + источники'!$AC$27:$AC$145,"погашение займов и кредитов из нормативной прибыли")</f>
        <v>0</v>
      </c>
      <c r="AV550" s="778">
        <f ca="1">SUMIFS('ИП + источники'!AW$27:AW$145,'ИП + источники'!$F$27:$F$145,$F550,'ИП + источники'!$AC$27:$AC$145,"погашение займов и кредитов из нормативной прибыли")</f>
        <v>0</v>
      </c>
      <c r="AW550" s="128">
        <f ca="1">SUMIFS('ИП + источники'!AX$27:AX$145,'ИП + источники'!$F$27:$F$145,$F550,'ИП + источники'!$AC$27:$AC$145,"погашение займов и кредитов из нормативной прибыли")</f>
        <v>0</v>
      </c>
      <c r="AX550" s="128">
        <f ca="1">SUMIFS('ИП + источники'!AY$27:AY$145,'ИП + источники'!$F$27:$F$145,$F550,'ИП + источники'!$AC$27:$AC$145,"погашение займов и кредитов из нормативной прибыли")</f>
        <v>0</v>
      </c>
      <c r="AY550" s="128">
        <f ca="1">SUMIFS('ИП + источники'!AZ$27:AZ$145,'ИП + источники'!$F$27:$F$145,$F550,'ИП + источники'!$AC$27:$AC$145,"погашение займов и кредитов из нормативной прибыли")</f>
        <v>0</v>
      </c>
      <c r="AZ550" s="128">
        <f ca="1">SUMIFS('ИП + источники'!BA$27:BA$145,'ИП + источники'!$F$27:$F$145,$F550,'ИП + источники'!$AC$27:$AC$145,"погашение займов и кредитов из нормативной прибыли")</f>
        <v>0</v>
      </c>
      <c r="BA550" s="128">
        <f ca="1">SUMIFS('ИП + источники'!BB$27:BB$145,'ИП + источники'!$F$27:$F$145,$F550,'ИП + источники'!$AC$27:$AC$145,"погашение займов и кредитов из нормативной прибыли")</f>
        <v>0</v>
      </c>
      <c r="BB550" s="128">
        <f ca="1">SUMIFS('ИП + источники'!BC$27:BC$145,'ИП + источники'!$F$27:$F$145,$F550,'ИП + источники'!$AC$27:$AC$145,"погашение займов и кредитов из нормативной прибыли")</f>
        <v>0</v>
      </c>
      <c r="BC550" s="128">
        <f ca="1">SUMIFS('ИП + источники'!BD$27:BD$145,'ИП + источники'!$F$27:$F$145,$F550,'ИП + источники'!$AC$27:$AC$145,"погашение займов и кредитов из нормативной прибыли")</f>
        <v>0</v>
      </c>
      <c r="BD550" s="171">
        <f t="shared" ca="1" si="142"/>
        <v>0</v>
      </c>
      <c r="BE550" s="171">
        <f t="shared" ca="1" si="143"/>
        <v>0</v>
      </c>
      <c r="BF550" s="171">
        <f t="shared" ca="1" si="144"/>
        <v>0</v>
      </c>
      <c r="BG550" s="171">
        <f t="shared" ca="1" si="145"/>
        <v>0</v>
      </c>
      <c r="BH550" s="171">
        <f t="shared" ca="1" si="146"/>
        <v>0</v>
      </c>
      <c r="BI550" s="171">
        <f t="shared" ca="1" si="147"/>
        <v>0</v>
      </c>
      <c r="BJ550" s="171">
        <f t="shared" ca="1" si="148"/>
        <v>0</v>
      </c>
      <c r="BK550" s="171">
        <f t="shared" ca="1" si="149"/>
        <v>0</v>
      </c>
      <c r="BL550" s="171">
        <f t="shared" ca="1" si="150"/>
        <v>0</v>
      </c>
      <c r="BM550" s="171">
        <f t="shared" ca="1" si="151"/>
        <v>0</v>
      </c>
      <c r="BN550" s="196"/>
      <c r="BO550" s="601" t="str">
        <f ca="1">IF(IFERROR(INDEX('ИП + источники'!$K$28:$L$145,MATCH($F550&amp;"2komm",'ИП + источники'!$K$28:$K$145,0),2),"")=0,"",IFERROR(INDEX('ИП + источники'!$K$28:$L$145,MATCH($F550&amp;"2komm",'ИП + источники'!$K$28:$K$145,0),2),""))</f>
        <v/>
      </c>
      <c r="BP550" s="196"/>
      <c r="BS550" s="696" t="s">
        <v>2147</v>
      </c>
    </row>
    <row r="551" spans="1:75" ht="14.25" customHeight="1" x14ac:dyDescent="0.15">
      <c r="B551" s="329" t="b" cm="1">
        <f t="array" ref="B551">B550</f>
        <v>1</v>
      </c>
      <c r="E551" s="507">
        <v>15</v>
      </c>
      <c r="F551" s="3" t="str" cm="1">
        <f t="array" aca="1" ref="F551" ca="1">OFFSET(E551,-1,1)</f>
        <v>3</v>
      </c>
      <c r="I551" s="72" t="s">
        <v>578</v>
      </c>
      <c r="K551" s="72" t="s">
        <v>578</v>
      </c>
      <c r="L551" s="25"/>
      <c r="M551" s="25"/>
      <c r="T551" s="353" t="b" cm="1">
        <f t="array" aca="1" ref="T551" ca="1">T550</f>
        <v>1</v>
      </c>
      <c r="X551" s="990"/>
      <c r="Z551" s="967"/>
      <c r="AB551" s="133" t="s">
        <v>707</v>
      </c>
      <c r="AC551" s="127" t="s">
        <v>2148</v>
      </c>
      <c r="AD551" s="7" t="s">
        <v>828</v>
      </c>
      <c r="AE551" s="128">
        <f ca="1">SUMIFS('ИП + источники'!AF$27:AF$145,'ИП + источники'!$F$27:$F$145,$F551,'ИП + источники'!$AC$27:$AC$145,"уплата процентов по кредитам из нормативной прибыли")</f>
        <v>0</v>
      </c>
      <c r="AF551" s="128">
        <f ca="1">SUMIFS('ИП + источники'!AG$27:AG$145,'ИП + источники'!$F$27:$F$145,$F551,'ИП + источники'!$AC$27:$AC$145,"уплата процентов по кредитам из нормативной прибыли")</f>
        <v>0</v>
      </c>
      <c r="AG551" s="128">
        <f ca="1">SUMIFS('ИП + источники'!AH$27:AH$145,'ИП + источники'!$F$27:$F$145,$F551,'ИП + источники'!$AC$27:$AC$145,"уплата процентов по кредитам из нормативной прибыли")</f>
        <v>0</v>
      </c>
      <c r="AH551" s="171">
        <f t="shared" ca="1" si="140"/>
        <v>0</v>
      </c>
      <c r="AI551" s="128">
        <f ca="1">SUMIFS('ИП + источники'!AJ$27:AJ$145,'ИП + источники'!$F$27:$F$145,$F551,'ИП + источники'!$AC$27:$AC$145,"уплата процентов по кредитам из нормативной прибыли")</f>
        <v>0</v>
      </c>
      <c r="AJ551" s="128">
        <f ca="1">SUMIFS('ИП + источники'!AK$27:AK$145,'ИП + источники'!$F$27:$F$145,$F551,'ИП + источники'!$AC$27:$AC$145,"уплата процентов по кредитам из нормативной прибыли")</f>
        <v>0</v>
      </c>
      <c r="AK551" s="778">
        <f ca="1">SUMIFS('ИП + источники'!AL$27:AL$145,'ИП + источники'!$F$27:$F$145,$F551,'ИП + источники'!$AC$27:$AC$145,"уплата процентов по кредитам из нормативной прибыли")</f>
        <v>0</v>
      </c>
      <c r="AL551" s="778">
        <f ca="1">SUMIFS('ИП + источники'!AM$27:AM$145,'ИП + источники'!$F$27:$F$145,$F551,'ИП + источники'!$AC$27:$AC$145,"уплата процентов по кредитам из нормативной прибыли")</f>
        <v>0</v>
      </c>
      <c r="AM551" s="128">
        <f ca="1">SUMIFS('ИП + источники'!AN$27:AN$145,'ИП + источники'!$F$27:$F$145,$F551,'ИП + источники'!$AC$27:$AC$145,"уплата процентов по кредитам из нормативной прибыли")</f>
        <v>0</v>
      </c>
      <c r="AN551" s="128">
        <f ca="1">SUMIFS('ИП + источники'!AO$27:AO$145,'ИП + источники'!$F$27:$F$145,$F551,'ИП + источники'!$AC$27:$AC$145,"уплата процентов по кредитам из нормативной прибыли")</f>
        <v>0</v>
      </c>
      <c r="AO551" s="128">
        <f ca="1">SUMIFS('ИП + источники'!AP$27:AP$145,'ИП + источники'!$F$27:$F$145,$F551,'ИП + источники'!$AC$27:$AC$145,"уплата процентов по кредитам из нормативной прибыли")</f>
        <v>0</v>
      </c>
      <c r="AP551" s="128">
        <f ca="1">SUMIFS('ИП + источники'!AQ$27:AQ$145,'ИП + источники'!$F$27:$F$145,$F551,'ИП + источники'!$AC$27:$AC$145,"уплата процентов по кредитам из нормативной прибыли")</f>
        <v>0</v>
      </c>
      <c r="AQ551" s="128">
        <f ca="1">SUMIFS('ИП + источники'!AR$27:AR$145,'ИП + источники'!$F$27:$F$145,$F551,'ИП + источники'!$AC$27:$AC$145,"уплата процентов по кредитам из нормативной прибыли")</f>
        <v>0</v>
      </c>
      <c r="AR551" s="128">
        <f ca="1">SUMIFS('ИП + источники'!AS$27:AS$145,'ИП + источники'!$F$27:$F$145,$F551,'ИП + источники'!$AC$27:$AC$145,"уплата процентов по кредитам из нормативной прибыли")</f>
        <v>0</v>
      </c>
      <c r="AS551" s="128">
        <f ca="1">SUMIFS('ИП + источники'!AT$27:AT$145,'ИП + источники'!$F$27:$F$145,$F551,'ИП + источники'!$AC$27:$AC$145,"уплата процентов по кредитам из нормативной прибыли")</f>
        <v>0</v>
      </c>
      <c r="AT551" s="128">
        <f ca="1">SUMIFS('ИП + источники'!AU$27:AU$145,'ИП + источники'!$F$27:$F$145,$F551,'ИП + источники'!$AC$27:$AC$145,"уплата процентов по кредитам из нормативной прибыли")</f>
        <v>0</v>
      </c>
      <c r="AU551" s="778">
        <f ca="1">SUMIFS('ИП + источники'!AV$27:AV$145,'ИП + источники'!$F$27:$F$145,$F551,'ИП + источники'!$AC$27:$AC$145,"уплата процентов по кредитам из нормативной прибыли")</f>
        <v>0</v>
      </c>
      <c r="AV551" s="778">
        <f ca="1">SUMIFS('ИП + источники'!AW$27:AW$145,'ИП + источники'!$F$27:$F$145,$F551,'ИП + источники'!$AC$27:$AC$145,"уплата процентов по кредитам из нормативной прибыли")</f>
        <v>0</v>
      </c>
      <c r="AW551" s="128">
        <f ca="1">SUMIFS('ИП + источники'!AX$27:AX$145,'ИП + источники'!$F$27:$F$145,$F551,'ИП + источники'!$AC$27:$AC$145,"уплата процентов по кредитам из нормативной прибыли")</f>
        <v>0</v>
      </c>
      <c r="AX551" s="128">
        <f ca="1">SUMIFS('ИП + источники'!AY$27:AY$145,'ИП + источники'!$F$27:$F$145,$F551,'ИП + источники'!$AC$27:$AC$145,"уплата процентов по кредитам из нормативной прибыли")</f>
        <v>0</v>
      </c>
      <c r="AY551" s="128">
        <f ca="1">SUMIFS('ИП + источники'!AZ$27:AZ$145,'ИП + источники'!$F$27:$F$145,$F551,'ИП + источники'!$AC$27:$AC$145,"уплата процентов по кредитам из нормативной прибыли")</f>
        <v>0</v>
      </c>
      <c r="AZ551" s="128">
        <f ca="1">SUMIFS('ИП + источники'!BA$27:BA$145,'ИП + источники'!$F$27:$F$145,$F551,'ИП + источники'!$AC$27:$AC$145,"уплата процентов по кредитам из нормативной прибыли")</f>
        <v>0</v>
      </c>
      <c r="BA551" s="128">
        <f ca="1">SUMIFS('ИП + источники'!BB$27:BB$145,'ИП + источники'!$F$27:$F$145,$F551,'ИП + источники'!$AC$27:$AC$145,"уплата процентов по кредитам из нормативной прибыли")</f>
        <v>0</v>
      </c>
      <c r="BB551" s="128">
        <f ca="1">SUMIFS('ИП + источники'!BC$27:BC$145,'ИП + источники'!$F$27:$F$145,$F551,'ИП + источники'!$AC$27:$AC$145,"уплата процентов по кредитам из нормативной прибыли")</f>
        <v>0</v>
      </c>
      <c r="BC551" s="128">
        <f ca="1">SUMIFS('ИП + источники'!BD$27:BD$145,'ИП + источники'!$F$27:$F$145,$F551,'ИП + источники'!$AC$27:$AC$145,"уплата процентов по кредитам из нормативной прибыли")</f>
        <v>0</v>
      </c>
      <c r="BD551" s="171">
        <f t="shared" ca="1" si="142"/>
        <v>0</v>
      </c>
      <c r="BE551" s="171">
        <f t="shared" ca="1" si="143"/>
        <v>0</v>
      </c>
      <c r="BF551" s="171">
        <f t="shared" ca="1" si="144"/>
        <v>0</v>
      </c>
      <c r="BG551" s="171">
        <f t="shared" ca="1" si="145"/>
        <v>0</v>
      </c>
      <c r="BH551" s="171">
        <f t="shared" ca="1" si="146"/>
        <v>0</v>
      </c>
      <c r="BI551" s="171">
        <f t="shared" ca="1" si="147"/>
        <v>0</v>
      </c>
      <c r="BJ551" s="171">
        <f t="shared" ca="1" si="148"/>
        <v>0</v>
      </c>
      <c r="BK551" s="171">
        <f t="shared" ca="1" si="149"/>
        <v>0</v>
      </c>
      <c r="BL551" s="171">
        <f t="shared" ca="1" si="150"/>
        <v>0</v>
      </c>
      <c r="BM551" s="171">
        <f t="shared" ca="1" si="151"/>
        <v>0</v>
      </c>
      <c r="BN551" s="196"/>
      <c r="BO551" s="601" t="str">
        <f ca="1">IF(IFERROR(INDEX('ИП + источники'!$K$28:$L$145,MATCH($F551&amp;"3komm",'ИП + источники'!$K$28:$K$145,0),2),"")=0,"",IFERROR(INDEX('ИП + источники'!$K$28:$L$145,MATCH($F551&amp;"3komm",'ИП + источники'!$K$28:$K$145,0),2),""))</f>
        <v/>
      </c>
      <c r="BP551" s="196"/>
      <c r="BS551" s="696" t="s">
        <v>2149</v>
      </c>
    </row>
    <row r="552" spans="1:75" ht="14.25" customHeight="1" x14ac:dyDescent="0.15">
      <c r="B552" s="329" t="b" cm="1">
        <f t="array" ref="B552">B551</f>
        <v>1</v>
      </c>
      <c r="E552" s="507">
        <v>15</v>
      </c>
      <c r="F552" s="3" t="str" cm="1">
        <f t="array" aca="1" ref="F552" ca="1">OFFSET(E552,-1,1)</f>
        <v>3</v>
      </c>
      <c r="I552" s="72" t="s">
        <v>794</v>
      </c>
      <c r="K552" s="72" t="s">
        <v>794</v>
      </c>
      <c r="L552" s="25" t="s">
        <v>593</v>
      </c>
      <c r="M552" s="25"/>
      <c r="T552" s="353" t="b" cm="1">
        <f t="array" aca="1" ref="T552" ca="1">T551</f>
        <v>1</v>
      </c>
      <c r="X552" s="990"/>
      <c r="Z552" s="967"/>
      <c r="AB552" s="133" t="s">
        <v>994</v>
      </c>
      <c r="AC552" s="127" t="s">
        <v>2150</v>
      </c>
      <c r="AD552" s="7" t="s">
        <v>828</v>
      </c>
      <c r="AE552" s="128">
        <f ca="1">SUMIFS('ИП + источники'!AF$27:AF$145,'ИП + источники'!$F$27:$F$145,$F552,'ИП + источники'!$AC$27:$AC$145,"Прибыль на капвложения")</f>
        <v>0</v>
      </c>
      <c r="AF552" s="128">
        <f ca="1">SUMIFS('ИП + источники'!AG$27:AG$145,'ИП + источники'!$F$27:$F$145,$F552,'ИП + источники'!$AC$27:$AC$145,"Прибыль на капвложения")</f>
        <v>0</v>
      </c>
      <c r="AG552" s="128">
        <f ca="1">SUMIFS('ИП + источники'!AH$27:AH$145,'ИП + источники'!$F$27:$F$145,$F552,'ИП + источники'!$AC$27:$AC$145,"Прибыль на капвложения")</f>
        <v>0</v>
      </c>
      <c r="AH552" s="171">
        <f t="shared" ca="1" si="140"/>
        <v>0</v>
      </c>
      <c r="AI552" s="128">
        <f ca="1">SUMIFS('ИП + источники'!AJ$27:AJ$145,'ИП + источники'!$F$27:$F$145,$F552,'ИП + источники'!$AC$27:$AC$145,"Прибыль на капвложения")</f>
        <v>0</v>
      </c>
      <c r="AJ552" s="128">
        <f ca="1">SUMIFS('ИП + источники'!AK$27:AK$145,'ИП + источники'!$F$27:$F$145,$F552,'ИП + источники'!$AC$27:$AC$145,"Прибыль на капвложения")</f>
        <v>0</v>
      </c>
      <c r="AK552" s="778">
        <f ca="1">SUMIFS('ИП + источники'!AL$27:AL$145,'ИП + источники'!$F$27:$F$145,$F552,'ИП + источники'!$AC$27:$AC$145,"Прибыль на капвложения")</f>
        <v>0</v>
      </c>
      <c r="AL552" s="778">
        <f ca="1">SUMIFS('ИП + источники'!AM$27:AM$145,'ИП + источники'!$F$27:$F$145,$F552,'ИП + источники'!$AC$27:$AC$145,"Прибыль на капвложения")</f>
        <v>0</v>
      </c>
      <c r="AM552" s="128">
        <f ca="1">SUMIFS('ИП + источники'!AN$27:AN$145,'ИП + источники'!$F$27:$F$145,$F552,'ИП + источники'!$AC$27:$AC$145,"Прибыль на капвложения")</f>
        <v>0</v>
      </c>
      <c r="AN552" s="128">
        <f ca="1">SUMIFS('ИП + источники'!AO$27:AO$145,'ИП + источники'!$F$27:$F$145,$F552,'ИП + источники'!$AC$27:$AC$145,"Прибыль на капвложения")</f>
        <v>0</v>
      </c>
      <c r="AO552" s="128">
        <f ca="1">SUMIFS('ИП + источники'!AP$27:AP$145,'ИП + источники'!$F$27:$F$145,$F552,'ИП + источники'!$AC$27:$AC$145,"Прибыль на капвложения")</f>
        <v>0</v>
      </c>
      <c r="AP552" s="128">
        <f ca="1">SUMIFS('ИП + источники'!AQ$27:AQ$145,'ИП + источники'!$F$27:$F$145,$F552,'ИП + источники'!$AC$27:$AC$145,"Прибыль на капвложения")</f>
        <v>0</v>
      </c>
      <c r="AQ552" s="128">
        <f ca="1">SUMIFS('ИП + источники'!AR$27:AR$145,'ИП + источники'!$F$27:$F$145,$F552,'ИП + источники'!$AC$27:$AC$145,"Прибыль на капвложения")</f>
        <v>0</v>
      </c>
      <c r="AR552" s="128">
        <f ca="1">SUMIFS('ИП + источники'!AS$27:AS$145,'ИП + источники'!$F$27:$F$145,$F552,'ИП + источники'!$AC$27:$AC$145,"Прибыль на капвложения")</f>
        <v>0</v>
      </c>
      <c r="AS552" s="128">
        <f ca="1">SUMIFS('ИП + источники'!AT$27:AT$145,'ИП + источники'!$F$27:$F$145,$F552,'ИП + источники'!$AC$27:$AC$145,"Прибыль на капвложения")</f>
        <v>0</v>
      </c>
      <c r="AT552" s="128">
        <f ca="1">SUMIFS('ИП + источники'!AU$27:AU$145,'ИП + источники'!$F$27:$F$145,$F552,'ИП + источники'!$AC$27:$AC$145,"Прибыль на капвложения")</f>
        <v>0</v>
      </c>
      <c r="AU552" s="778">
        <f ca="1">SUMIFS('ИП + источники'!AV$27:AV$145,'ИП + источники'!$F$27:$F$145,$F552,'ИП + источники'!$AC$27:$AC$145,"Прибыль на капвложения")</f>
        <v>0</v>
      </c>
      <c r="AV552" s="778">
        <f ca="1">SUMIFS('ИП + источники'!AW$27:AW$145,'ИП + источники'!$F$27:$F$145,$F552,'ИП + источники'!$AC$27:$AC$145,"Прибыль на капвложения")</f>
        <v>0</v>
      </c>
      <c r="AW552" s="128">
        <f ca="1">SUMIFS('ИП + источники'!AX$27:AX$145,'ИП + источники'!$F$27:$F$145,$F552,'ИП + источники'!$AC$27:$AC$145,"Прибыль на капвложения")</f>
        <v>0</v>
      </c>
      <c r="AX552" s="128">
        <f ca="1">SUMIFS('ИП + источники'!AY$27:AY$145,'ИП + источники'!$F$27:$F$145,$F552,'ИП + источники'!$AC$27:$AC$145,"Прибыль на капвложения")</f>
        <v>0</v>
      </c>
      <c r="AY552" s="128">
        <f ca="1">SUMIFS('ИП + источники'!AZ$27:AZ$145,'ИП + источники'!$F$27:$F$145,$F552,'ИП + источники'!$AC$27:$AC$145,"Прибыль на капвложения")</f>
        <v>0</v>
      </c>
      <c r="AZ552" s="128">
        <f ca="1">SUMIFS('ИП + источники'!BA$27:BA$145,'ИП + источники'!$F$27:$F$145,$F552,'ИП + источники'!$AC$27:$AC$145,"Прибыль на капвложения")</f>
        <v>0</v>
      </c>
      <c r="BA552" s="128">
        <f ca="1">SUMIFS('ИП + источники'!BB$27:BB$145,'ИП + источники'!$F$27:$F$145,$F552,'ИП + источники'!$AC$27:$AC$145,"Прибыль на капвложения")</f>
        <v>0</v>
      </c>
      <c r="BB552" s="128">
        <f ca="1">SUMIFS('ИП + источники'!BC$27:BC$145,'ИП + источники'!$F$27:$F$145,$F552,'ИП + источники'!$AC$27:$AC$145,"Прибыль на капвложения")</f>
        <v>0</v>
      </c>
      <c r="BC552" s="128">
        <f ca="1">SUMIFS('ИП + источники'!BD$27:BD$145,'ИП + источники'!$F$27:$F$145,$F552,'ИП + источники'!$AC$27:$AC$145,"Прибыль на капвложения")</f>
        <v>0</v>
      </c>
      <c r="BD552" s="171">
        <f t="shared" ca="1" si="142"/>
        <v>0</v>
      </c>
      <c r="BE552" s="171">
        <f t="shared" ca="1" si="143"/>
        <v>0</v>
      </c>
      <c r="BF552" s="171">
        <f t="shared" ca="1" si="144"/>
        <v>0</v>
      </c>
      <c r="BG552" s="171">
        <f t="shared" ca="1" si="145"/>
        <v>0</v>
      </c>
      <c r="BH552" s="171">
        <f t="shared" ca="1" si="146"/>
        <v>0</v>
      </c>
      <c r="BI552" s="171">
        <f t="shared" ca="1" si="147"/>
        <v>0</v>
      </c>
      <c r="BJ552" s="171">
        <f t="shared" ca="1" si="148"/>
        <v>0</v>
      </c>
      <c r="BK552" s="171">
        <f t="shared" ca="1" si="149"/>
        <v>0</v>
      </c>
      <c r="BL552" s="171">
        <f t="shared" ca="1" si="150"/>
        <v>0</v>
      </c>
      <c r="BM552" s="171">
        <f t="shared" ca="1" si="151"/>
        <v>0</v>
      </c>
      <c r="BN552" s="196"/>
      <c r="BO552" s="601" t="str">
        <f ca="1">IF(IFERROR(INDEX('ИП + источники'!$K$28:$L$145,MATCH($F552&amp;"1komm",'ИП + источники'!$K$28:$K$145,0),2),"")=0,"",IFERROR(INDEX('ИП + источники'!$K$28:$L$145,MATCH($F552&amp;"1komm",'ИП + источники'!$K$28:$K$145,0),2),""))</f>
        <v/>
      </c>
      <c r="BP552" s="196"/>
      <c r="BS552" s="696" t="s">
        <v>1851</v>
      </c>
    </row>
    <row r="553" spans="1:75" ht="21.75" customHeight="1" x14ac:dyDescent="0.15">
      <c r="B553" s="329" t="b" cm="1">
        <f t="array" ref="B553">B552</f>
        <v>1</v>
      </c>
      <c r="E553" s="507">
        <v>22.5</v>
      </c>
      <c r="F553" s="3" t="str" cm="1">
        <f t="array" aca="1" ref="F553" ca="1">OFFSET(E553,-1,1)</f>
        <v>3</v>
      </c>
      <c r="G553" s="72" t="s">
        <v>2151</v>
      </c>
      <c r="I553" s="72" t="s">
        <v>996</v>
      </c>
      <c r="K553" s="72" t="s">
        <v>996</v>
      </c>
      <c r="L553" s="25" t="s">
        <v>597</v>
      </c>
      <c r="M553" s="25"/>
      <c r="T553" s="353" t="b" cm="1">
        <f t="array" aca="1" ref="T553" ca="1">T552</f>
        <v>1</v>
      </c>
      <c r="X553" s="990"/>
      <c r="Z553" s="967"/>
      <c r="AB553" s="133" t="s">
        <v>997</v>
      </c>
      <c r="AC553" s="127" t="s">
        <v>2152</v>
      </c>
      <c r="AD553" s="7" t="s">
        <v>828</v>
      </c>
      <c r="AE553" s="128"/>
      <c r="AF553" s="128"/>
      <c r="AG553" s="128"/>
      <c r="AH553" s="171">
        <f t="shared" si="140"/>
        <v>0</v>
      </c>
      <c r="AI553" s="128"/>
      <c r="AJ553" s="128"/>
      <c r="AK553" s="778"/>
      <c r="AL553" s="778"/>
      <c r="AM553" s="128"/>
      <c r="AN553" s="128"/>
      <c r="AO553" s="128"/>
      <c r="AP553" s="128"/>
      <c r="AQ553" s="128"/>
      <c r="AR553" s="128"/>
      <c r="AS553" s="128"/>
      <c r="AT553" s="128"/>
      <c r="AU553" s="778"/>
      <c r="AV553" s="778"/>
      <c r="AW553" s="128"/>
      <c r="AX553" s="128"/>
      <c r="AY553" s="128"/>
      <c r="AZ553" s="128"/>
      <c r="BA553" s="128"/>
      <c r="BB553" s="128"/>
      <c r="BC553" s="128"/>
      <c r="BD553" s="171">
        <f t="shared" si="142"/>
        <v>0</v>
      </c>
      <c r="BE553" s="171">
        <f t="shared" si="143"/>
        <v>0</v>
      </c>
      <c r="BF553" s="171">
        <f t="shared" si="144"/>
        <v>0</v>
      </c>
      <c r="BG553" s="171">
        <f t="shared" si="145"/>
        <v>0</v>
      </c>
      <c r="BH553" s="171">
        <f t="shared" si="146"/>
        <v>0</v>
      </c>
      <c r="BI553" s="171">
        <f t="shared" si="147"/>
        <v>0</v>
      </c>
      <c r="BJ553" s="171">
        <f t="shared" si="148"/>
        <v>0</v>
      </c>
      <c r="BK553" s="171">
        <f t="shared" si="149"/>
        <v>0</v>
      </c>
      <c r="BL553" s="171">
        <f t="shared" si="150"/>
        <v>0</v>
      </c>
      <c r="BM553" s="171">
        <f t="shared" si="151"/>
        <v>0</v>
      </c>
      <c r="BN553" s="196"/>
      <c r="BO553" s="196"/>
      <c r="BP553" s="196"/>
      <c r="BS553" s="696" t="s">
        <v>2153</v>
      </c>
    </row>
    <row r="554" spans="1:75" ht="14.25" hidden="1" customHeight="1" x14ac:dyDescent="0.15">
      <c r="B554" s="329" t="b">
        <f>AND(method_reg="Метод индексации",STATUS_GO="да")</f>
        <v>0</v>
      </c>
      <c r="E554" s="507">
        <v>15</v>
      </c>
      <c r="F554" s="3" t="str" cm="1">
        <f t="array" aca="1" ref="F554" ca="1">OFFSET(E554,-1,1)</f>
        <v>3</v>
      </c>
      <c r="G554" s="72" t="s">
        <v>1854</v>
      </c>
      <c r="I554" s="72" t="s">
        <v>532</v>
      </c>
      <c r="K554" s="72" t="s">
        <v>532</v>
      </c>
      <c r="L554" s="25" t="s">
        <v>601</v>
      </c>
      <c r="M554" s="25"/>
      <c r="T554" s="353" t="b" cm="1">
        <f t="array" aca="1" ref="T554" ca="1">T553</f>
        <v>1</v>
      </c>
      <c r="X554" s="990"/>
      <c r="Z554" s="967"/>
      <c r="AB554" s="133" t="s">
        <v>536</v>
      </c>
      <c r="AC554" s="346" t="s">
        <v>1854</v>
      </c>
      <c r="AD554" s="7" t="s">
        <v>828</v>
      </c>
      <c r="AE554" s="778"/>
      <c r="AF554" s="778"/>
      <c r="AG554" s="778"/>
      <c r="AH554" s="171">
        <f t="shared" si="140"/>
        <v>0</v>
      </c>
      <c r="AI554" s="778"/>
      <c r="AJ554" s="128"/>
      <c r="AK554" s="778"/>
      <c r="AL554" s="778"/>
      <c r="AM554" s="778"/>
      <c r="AN554" s="778"/>
      <c r="AO554" s="778"/>
      <c r="AP554" s="778"/>
      <c r="AQ554" s="778"/>
      <c r="AR554" s="778"/>
      <c r="AS554" s="778"/>
      <c r="AT554" s="128"/>
      <c r="AU554" s="778"/>
      <c r="AV554" s="778"/>
      <c r="AW554" s="778"/>
      <c r="AX554" s="778"/>
      <c r="AY554" s="778"/>
      <c r="AZ554" s="778"/>
      <c r="BA554" s="778"/>
      <c r="BB554" s="778"/>
      <c r="BC554" s="778"/>
      <c r="BD554" s="171">
        <f t="shared" si="142"/>
        <v>0</v>
      </c>
      <c r="BE554" s="171">
        <f t="shared" si="143"/>
        <v>0</v>
      </c>
      <c r="BF554" s="171">
        <f t="shared" si="144"/>
        <v>0</v>
      </c>
      <c r="BG554" s="171">
        <f t="shared" si="145"/>
        <v>0</v>
      </c>
      <c r="BH554" s="171">
        <f t="shared" si="146"/>
        <v>0</v>
      </c>
      <c r="BI554" s="171">
        <f t="shared" si="147"/>
        <v>0</v>
      </c>
      <c r="BJ554" s="171">
        <f t="shared" si="148"/>
        <v>0</v>
      </c>
      <c r="BK554" s="171">
        <f t="shared" si="149"/>
        <v>0</v>
      </c>
      <c r="BL554" s="171">
        <f t="shared" si="150"/>
        <v>0</v>
      </c>
      <c r="BM554" s="171">
        <f t="shared" si="151"/>
        <v>0</v>
      </c>
      <c r="BN554" s="775"/>
      <c r="BO554" s="775"/>
      <c r="BP554" s="775"/>
      <c r="BS554" s="696" t="s">
        <v>1855</v>
      </c>
    </row>
    <row r="555" spans="1:75" ht="14.25" hidden="1" customHeight="1" x14ac:dyDescent="0.15">
      <c r="B555" s="644" t="b">
        <f>method_reg="Метод обеспечения доходности инвестированного капитала"</f>
        <v>0</v>
      </c>
      <c r="E555" s="507">
        <v>15</v>
      </c>
      <c r="F555" s="3" t="str" cm="1">
        <f t="array" aca="1" ref="F555" ca="1">OFFSET(E555,-1,1)</f>
        <v>3</v>
      </c>
      <c r="K555" s="25" t="s">
        <v>335</v>
      </c>
      <c r="L555" s="25"/>
      <c r="M555" s="25"/>
      <c r="T555" s="353" t="b" cm="1">
        <f t="array" aca="1" ref="T555" ca="1">T554</f>
        <v>1</v>
      </c>
      <c r="X555" s="990"/>
      <c r="Z555" s="967"/>
      <c r="AB555" s="131" t="s">
        <v>454</v>
      </c>
      <c r="AC555" s="132" t="s">
        <v>2154</v>
      </c>
      <c r="AD555" s="124" t="s">
        <v>828</v>
      </c>
      <c r="AE555" s="774"/>
      <c r="AF555" s="774"/>
      <c r="AG555" s="774"/>
      <c r="AH555" s="126">
        <f t="shared" si="140"/>
        <v>0</v>
      </c>
      <c r="AI555" s="774"/>
      <c r="AJ555" s="138"/>
      <c r="AK555" s="774"/>
      <c r="AL555" s="774"/>
      <c r="AM555" s="774"/>
      <c r="AN555" s="774"/>
      <c r="AO555" s="774"/>
      <c r="AP555" s="774"/>
      <c r="AQ555" s="774"/>
      <c r="AR555" s="774"/>
      <c r="AS555" s="774"/>
      <c r="AT555" s="138"/>
      <c r="AU555" s="774"/>
      <c r="AV555" s="774"/>
      <c r="AW555" s="774"/>
      <c r="AX555" s="774"/>
      <c r="AY555" s="774"/>
      <c r="AZ555" s="774"/>
      <c r="BA555" s="774"/>
      <c r="BB555" s="774"/>
      <c r="BC555" s="774"/>
      <c r="BD555" s="126">
        <f t="shared" si="142"/>
        <v>0</v>
      </c>
      <c r="BE555" s="126">
        <f t="shared" si="143"/>
        <v>0</v>
      </c>
      <c r="BF555" s="126">
        <f t="shared" si="144"/>
        <v>0</v>
      </c>
      <c r="BG555" s="126">
        <f t="shared" si="145"/>
        <v>0</v>
      </c>
      <c r="BH555" s="126">
        <f t="shared" si="146"/>
        <v>0</v>
      </c>
      <c r="BI555" s="126">
        <f t="shared" si="147"/>
        <v>0</v>
      </c>
      <c r="BJ555" s="126">
        <f t="shared" si="148"/>
        <v>0</v>
      </c>
      <c r="BK555" s="126">
        <f t="shared" si="149"/>
        <v>0</v>
      </c>
      <c r="BL555" s="126">
        <f t="shared" si="150"/>
        <v>0</v>
      </c>
      <c r="BM555" s="126">
        <f t="shared" si="151"/>
        <v>0</v>
      </c>
      <c r="BN555" s="777"/>
      <c r="BO555" s="777"/>
      <c r="BP555" s="777"/>
      <c r="BS555" s="696" t="s">
        <v>2155</v>
      </c>
    </row>
    <row r="556" spans="1:75" ht="14.25" hidden="1" customHeight="1" x14ac:dyDescent="0.15">
      <c r="B556" s="644" t="b" cm="1">
        <f t="array" ref="B556">B555</f>
        <v>0</v>
      </c>
      <c r="E556" s="507">
        <v>15</v>
      </c>
      <c r="F556" s="3" t="str" cm="1">
        <f t="array" aca="1" ref="F556" ca="1">OFFSET(E556,-1,1)</f>
        <v>3</v>
      </c>
      <c r="K556" s="25" t="s">
        <v>560</v>
      </c>
      <c r="L556" s="25"/>
      <c r="M556" s="25"/>
      <c r="T556" s="353" t="b" cm="1">
        <f t="array" aca="1" ref="T556" ca="1">T555</f>
        <v>1</v>
      </c>
      <c r="X556" s="990"/>
      <c r="Z556" s="967"/>
      <c r="AB556" s="133" t="s">
        <v>697</v>
      </c>
      <c r="AC556" s="127" t="s">
        <v>2156</v>
      </c>
      <c r="AD556" s="7" t="s">
        <v>828</v>
      </c>
      <c r="AE556" s="778"/>
      <c r="AF556" s="778"/>
      <c r="AG556" s="778"/>
      <c r="AH556" s="542"/>
      <c r="AI556" s="778"/>
      <c r="AJ556" s="128"/>
      <c r="AK556" s="778"/>
      <c r="AL556" s="778"/>
      <c r="AM556" s="778"/>
      <c r="AN556" s="778"/>
      <c r="AO556" s="778"/>
      <c r="AP556" s="778"/>
      <c r="AQ556" s="778"/>
      <c r="AR556" s="778"/>
      <c r="AS556" s="778"/>
      <c r="AT556" s="128"/>
      <c r="AU556" s="778"/>
      <c r="AV556" s="778"/>
      <c r="AW556" s="778"/>
      <c r="AX556" s="778"/>
      <c r="AY556" s="778"/>
      <c r="AZ556" s="778"/>
      <c r="BA556" s="778"/>
      <c r="BB556" s="778"/>
      <c r="BC556" s="778"/>
      <c r="BD556" s="542"/>
      <c r="BE556" s="542"/>
      <c r="BF556" s="542"/>
      <c r="BG556" s="542"/>
      <c r="BH556" s="542"/>
      <c r="BI556" s="542"/>
      <c r="BJ556" s="542"/>
      <c r="BK556" s="542"/>
      <c r="BL556" s="542"/>
      <c r="BM556" s="542"/>
      <c r="BN556" s="775"/>
      <c r="BO556" s="775"/>
      <c r="BP556" s="775"/>
      <c r="BS556" s="696" t="s">
        <v>2157</v>
      </c>
    </row>
    <row r="557" spans="1:75" ht="14.25" hidden="1" customHeight="1" x14ac:dyDescent="0.15">
      <c r="B557" s="644" t="b" cm="1">
        <f t="array" ref="B557">B556</f>
        <v>0</v>
      </c>
      <c r="E557" s="507">
        <v>15</v>
      </c>
      <c r="F557" s="3" t="str" cm="1">
        <f t="array" aca="1" ref="F557" ca="1">OFFSET(E557,-1,1)</f>
        <v>3</v>
      </c>
      <c r="K557" s="25" t="s">
        <v>564</v>
      </c>
      <c r="L557" s="25"/>
      <c r="M557" s="25"/>
      <c r="T557" s="353" t="b" cm="1">
        <f t="array" aca="1" ref="T557" ca="1">T556</f>
        <v>1</v>
      </c>
      <c r="X557" s="990"/>
      <c r="Z557" s="967"/>
      <c r="AB557" s="133" t="s">
        <v>700</v>
      </c>
      <c r="AC557" s="127" t="s">
        <v>2158</v>
      </c>
      <c r="AD557" s="7" t="s">
        <v>2159</v>
      </c>
      <c r="AE557" s="778"/>
      <c r="AF557" s="778"/>
      <c r="AG557" s="778"/>
      <c r="AH557" s="542"/>
      <c r="AI557" s="778"/>
      <c r="AJ557" s="128"/>
      <c r="AK557" s="778"/>
      <c r="AL557" s="778"/>
      <c r="AM557" s="778"/>
      <c r="AN557" s="778"/>
      <c r="AO557" s="778"/>
      <c r="AP557" s="778"/>
      <c r="AQ557" s="778"/>
      <c r="AR557" s="778"/>
      <c r="AS557" s="778"/>
      <c r="AT557" s="128"/>
      <c r="AU557" s="778"/>
      <c r="AV557" s="778"/>
      <c r="AW557" s="778"/>
      <c r="AX557" s="778"/>
      <c r="AY557" s="778"/>
      <c r="AZ557" s="778"/>
      <c r="BA557" s="778"/>
      <c r="BB557" s="778"/>
      <c r="BC557" s="778"/>
      <c r="BD557" s="542"/>
      <c r="BE557" s="542"/>
      <c r="BF557" s="542"/>
      <c r="BG557" s="542"/>
      <c r="BH557" s="542"/>
      <c r="BI557" s="542"/>
      <c r="BJ557" s="542"/>
      <c r="BK557" s="542"/>
      <c r="BL557" s="542"/>
      <c r="BM557" s="542"/>
      <c r="BN557" s="775"/>
      <c r="BO557" s="775"/>
      <c r="BP557" s="775"/>
      <c r="BS557" s="696" t="s">
        <v>2160</v>
      </c>
    </row>
    <row r="558" spans="1:75" ht="14.25" hidden="1" customHeight="1" x14ac:dyDescent="0.15">
      <c r="B558" s="644" t="b" cm="1">
        <f t="array" ref="B558">B557</f>
        <v>0</v>
      </c>
      <c r="E558" s="507">
        <v>15</v>
      </c>
      <c r="F558" s="3" t="str" cm="1">
        <f t="array" aca="1" ref="F558" ca="1">OFFSET(E558,-1,1)</f>
        <v>3</v>
      </c>
      <c r="K558" s="25" t="s">
        <v>334</v>
      </c>
      <c r="L558" s="25"/>
      <c r="M558" s="25"/>
      <c r="T558" s="353" t="b" cm="1">
        <f t="array" aca="1" ref="T558" ca="1">T557</f>
        <v>1</v>
      </c>
      <c r="X558" s="990"/>
      <c r="Z558" s="967"/>
      <c r="AB558" s="131" t="s">
        <v>460</v>
      </c>
      <c r="AC558" s="132" t="s">
        <v>2161</v>
      </c>
      <c r="AD558" s="124" t="s">
        <v>828</v>
      </c>
      <c r="AE558" s="774"/>
      <c r="AF558" s="774"/>
      <c r="AG558" s="774"/>
      <c r="AH558" s="126">
        <f>AG558-AF558</f>
        <v>0</v>
      </c>
      <c r="AI558" s="774"/>
      <c r="AJ558" s="138"/>
      <c r="AK558" s="774"/>
      <c r="AL558" s="774"/>
      <c r="AM558" s="774"/>
      <c r="AN558" s="774"/>
      <c r="AO558" s="774"/>
      <c r="AP558" s="774"/>
      <c r="AQ558" s="774"/>
      <c r="AR558" s="774"/>
      <c r="AS558" s="774"/>
      <c r="AT558" s="138"/>
      <c r="AU558" s="774"/>
      <c r="AV558" s="774"/>
      <c r="AW558" s="774"/>
      <c r="AX558" s="774"/>
      <c r="AY558" s="774"/>
      <c r="AZ558" s="774"/>
      <c r="BA558" s="774"/>
      <c r="BB558" s="774"/>
      <c r="BC558" s="774"/>
      <c r="BD558" s="126">
        <f>IF(AI558=0,0,(AT558-AI558)/AI558*100)</f>
        <v>0</v>
      </c>
      <c r="BE558" s="126">
        <f t="shared" ref="BE558:BM558" si="156">IF(AT558=0,0,(AU558-AT558)/AT558*100)</f>
        <v>0</v>
      </c>
      <c r="BF558" s="126">
        <f t="shared" si="156"/>
        <v>0</v>
      </c>
      <c r="BG558" s="126">
        <f t="shared" si="156"/>
        <v>0</v>
      </c>
      <c r="BH558" s="126">
        <f t="shared" si="156"/>
        <v>0</v>
      </c>
      <c r="BI558" s="126">
        <f t="shared" si="156"/>
        <v>0</v>
      </c>
      <c r="BJ558" s="126">
        <f t="shared" si="156"/>
        <v>0</v>
      </c>
      <c r="BK558" s="126">
        <f t="shared" si="156"/>
        <v>0</v>
      </c>
      <c r="BL558" s="126">
        <f t="shared" si="156"/>
        <v>0</v>
      </c>
      <c r="BM558" s="126">
        <f t="shared" si="156"/>
        <v>0</v>
      </c>
      <c r="BN558" s="777"/>
      <c r="BO558" s="777"/>
      <c r="BP558" s="777"/>
      <c r="BS558" s="696" t="s">
        <v>2162</v>
      </c>
    </row>
    <row r="559" spans="1:75" ht="14.25" hidden="1" customHeight="1" x14ac:dyDescent="0.15">
      <c r="B559" s="644" t="b" cm="1">
        <f t="array" ref="B559">B558</f>
        <v>0</v>
      </c>
      <c r="E559" s="507">
        <v>15</v>
      </c>
      <c r="F559" s="3" t="str" cm="1">
        <f t="array" aca="1" ref="F559" ca="1">OFFSET(E559,-1,1)</f>
        <v>3</v>
      </c>
      <c r="K559" s="25" t="s">
        <v>574</v>
      </c>
      <c r="L559" s="25"/>
      <c r="M559" s="25"/>
      <c r="T559" s="353" t="b" cm="1">
        <f t="array" aca="1" ref="T559" ca="1">T558</f>
        <v>1</v>
      </c>
      <c r="X559" s="990"/>
      <c r="Z559" s="967"/>
      <c r="AB559" s="133" t="s">
        <v>704</v>
      </c>
      <c r="AC559" s="127" t="s">
        <v>2163</v>
      </c>
      <c r="AD559" s="7" t="s">
        <v>828</v>
      </c>
      <c r="AE559" s="778"/>
      <c r="AF559" s="778"/>
      <c r="AG559" s="778"/>
      <c r="AH559" s="542"/>
      <c r="AI559" s="778"/>
      <c r="AJ559" s="128"/>
      <c r="AK559" s="778"/>
      <c r="AL559" s="778"/>
      <c r="AM559" s="778"/>
      <c r="AN559" s="778"/>
      <c r="AO559" s="778"/>
      <c r="AP559" s="778"/>
      <c r="AQ559" s="778"/>
      <c r="AR559" s="778"/>
      <c r="AS559" s="778"/>
      <c r="AT559" s="128"/>
      <c r="AU559" s="778"/>
      <c r="AV559" s="778"/>
      <c r="AW559" s="778"/>
      <c r="AX559" s="778"/>
      <c r="AY559" s="778"/>
      <c r="AZ559" s="778"/>
      <c r="BA559" s="778"/>
      <c r="BB559" s="778"/>
      <c r="BC559" s="778"/>
      <c r="BD559" s="542"/>
      <c r="BE559" s="542"/>
      <c r="BF559" s="542"/>
      <c r="BG559" s="542"/>
      <c r="BH559" s="542"/>
      <c r="BI559" s="542"/>
      <c r="BJ559" s="542"/>
      <c r="BK559" s="542"/>
      <c r="BL559" s="542"/>
      <c r="BM559" s="542"/>
      <c r="BN559" s="775"/>
      <c r="BO559" s="775"/>
      <c r="BP559" s="775"/>
      <c r="BS559" s="696" t="s">
        <v>2164</v>
      </c>
    </row>
    <row r="560" spans="1:75" ht="14.25" hidden="1" customHeight="1" x14ac:dyDescent="0.15">
      <c r="B560" s="644" t="b" cm="1">
        <f t="array" ref="B560">B559</f>
        <v>0</v>
      </c>
      <c r="E560" s="507">
        <v>15</v>
      </c>
      <c r="F560" s="3" t="str" cm="1">
        <f t="array" aca="1" ref="F560" ca="1">OFFSET(E560,-1,1)</f>
        <v>3</v>
      </c>
      <c r="K560" s="25" t="s">
        <v>578</v>
      </c>
      <c r="L560" s="25"/>
      <c r="M560" s="25"/>
      <c r="T560" s="353" t="b" cm="1">
        <f t="array" aca="1" ref="T560" ca="1">T559</f>
        <v>1</v>
      </c>
      <c r="X560" s="990"/>
      <c r="Z560" s="967"/>
      <c r="AB560" s="133" t="s">
        <v>707</v>
      </c>
      <c r="AC560" s="127" t="s">
        <v>2165</v>
      </c>
      <c r="AD560" s="7" t="s">
        <v>476</v>
      </c>
      <c r="AE560" s="778"/>
      <c r="AF560" s="778"/>
      <c r="AG560" s="778"/>
      <c r="AH560" s="542"/>
      <c r="AI560" s="778"/>
      <c r="AJ560" s="128"/>
      <c r="AK560" s="778"/>
      <c r="AL560" s="778"/>
      <c r="AM560" s="778"/>
      <c r="AN560" s="778"/>
      <c r="AO560" s="778"/>
      <c r="AP560" s="778"/>
      <c r="AQ560" s="778"/>
      <c r="AR560" s="778"/>
      <c r="AS560" s="778"/>
      <c r="AT560" s="128"/>
      <c r="AU560" s="778"/>
      <c r="AV560" s="778"/>
      <c r="AW560" s="778"/>
      <c r="AX560" s="778"/>
      <c r="AY560" s="778"/>
      <c r="AZ560" s="778"/>
      <c r="BA560" s="778"/>
      <c r="BB560" s="778"/>
      <c r="BC560" s="778"/>
      <c r="BD560" s="542"/>
      <c r="BE560" s="542"/>
      <c r="BF560" s="542"/>
      <c r="BG560" s="542"/>
      <c r="BH560" s="542"/>
      <c r="BI560" s="542"/>
      <c r="BJ560" s="542"/>
      <c r="BK560" s="542"/>
      <c r="BL560" s="542"/>
      <c r="BM560" s="542"/>
      <c r="BN560" s="775"/>
      <c r="BO560" s="775"/>
      <c r="BP560" s="775"/>
      <c r="BS560" s="696" t="s">
        <v>2166</v>
      </c>
    </row>
    <row r="561" spans="1:75" ht="14.25" hidden="1" customHeight="1" x14ac:dyDescent="0.15">
      <c r="B561" s="644" t="b" cm="1">
        <f t="array" ref="B561">B560</f>
        <v>0</v>
      </c>
      <c r="E561" s="507">
        <v>15</v>
      </c>
      <c r="F561" s="3" t="str" cm="1">
        <f t="array" aca="1" ref="F561" ca="1">OFFSET(E561,-1,1)</f>
        <v>3</v>
      </c>
      <c r="K561" s="25" t="s">
        <v>794</v>
      </c>
      <c r="L561" s="25"/>
      <c r="M561" s="25"/>
      <c r="T561" s="353" t="b" cm="1">
        <f t="array" aca="1" ref="T561" ca="1">T560</f>
        <v>1</v>
      </c>
      <c r="X561" s="990"/>
      <c r="Z561" s="967"/>
      <c r="AB561" s="133" t="s">
        <v>994</v>
      </c>
      <c r="AC561" s="127" t="s">
        <v>2167</v>
      </c>
      <c r="AD561" s="7" t="s">
        <v>828</v>
      </c>
      <c r="AE561" s="778"/>
      <c r="AF561" s="778"/>
      <c r="AG561" s="778"/>
      <c r="AH561" s="542"/>
      <c r="AI561" s="778"/>
      <c r="AJ561" s="128"/>
      <c r="AK561" s="778"/>
      <c r="AL561" s="778"/>
      <c r="AM561" s="778"/>
      <c r="AN561" s="778"/>
      <c r="AO561" s="778"/>
      <c r="AP561" s="778"/>
      <c r="AQ561" s="778"/>
      <c r="AR561" s="778"/>
      <c r="AS561" s="778"/>
      <c r="AT561" s="128"/>
      <c r="AU561" s="778"/>
      <c r="AV561" s="778"/>
      <c r="AW561" s="778"/>
      <c r="AX561" s="778"/>
      <c r="AY561" s="778"/>
      <c r="AZ561" s="778"/>
      <c r="BA561" s="778"/>
      <c r="BB561" s="778"/>
      <c r="BC561" s="778"/>
      <c r="BD561" s="542"/>
      <c r="BE561" s="542"/>
      <c r="BF561" s="542"/>
      <c r="BG561" s="542"/>
      <c r="BH561" s="542"/>
      <c r="BI561" s="542"/>
      <c r="BJ561" s="542"/>
      <c r="BK561" s="542"/>
      <c r="BL561" s="542"/>
      <c r="BM561" s="542"/>
      <c r="BN561" s="775"/>
      <c r="BO561" s="775"/>
      <c r="BP561" s="775"/>
      <c r="BS561" s="696" t="s">
        <v>2168</v>
      </c>
    </row>
    <row r="562" spans="1:75" ht="14.25" hidden="1" customHeight="1" x14ac:dyDescent="0.15">
      <c r="B562" s="644" t="b" cm="1">
        <f t="array" ref="B562">B561</f>
        <v>0</v>
      </c>
      <c r="E562" s="507">
        <v>15</v>
      </c>
      <c r="F562" s="3" t="str" cm="1">
        <f t="array" aca="1" ref="F562" ca="1">OFFSET(E562,-1,1)</f>
        <v>3</v>
      </c>
      <c r="K562" s="25" t="s">
        <v>996</v>
      </c>
      <c r="L562" s="25"/>
      <c r="M562" s="25"/>
      <c r="T562" s="353" t="b" cm="1">
        <f t="array" aca="1" ref="T562" ca="1">T561</f>
        <v>1</v>
      </c>
      <c r="X562" s="990"/>
      <c r="Z562" s="967"/>
      <c r="AB562" s="133" t="s">
        <v>997</v>
      </c>
      <c r="AC562" s="127" t="s">
        <v>2169</v>
      </c>
      <c r="AD562" s="7" t="s">
        <v>828</v>
      </c>
      <c r="AE562" s="778"/>
      <c r="AF562" s="778"/>
      <c r="AG562" s="778"/>
      <c r="AH562" s="542"/>
      <c r="AI562" s="778"/>
      <c r="AJ562" s="128"/>
      <c r="AK562" s="778"/>
      <c r="AL562" s="778"/>
      <c r="AM562" s="778"/>
      <c r="AN562" s="778"/>
      <c r="AO562" s="778"/>
      <c r="AP562" s="778"/>
      <c r="AQ562" s="778"/>
      <c r="AR562" s="778"/>
      <c r="AS562" s="778"/>
      <c r="AT562" s="128"/>
      <c r="AU562" s="778"/>
      <c r="AV562" s="778"/>
      <c r="AW562" s="778"/>
      <c r="AX562" s="778"/>
      <c r="AY562" s="778"/>
      <c r="AZ562" s="778"/>
      <c r="BA562" s="778"/>
      <c r="BB562" s="778"/>
      <c r="BC562" s="778"/>
      <c r="BD562" s="542"/>
      <c r="BE562" s="542"/>
      <c r="BF562" s="542"/>
      <c r="BG562" s="542"/>
      <c r="BH562" s="542"/>
      <c r="BI562" s="542"/>
      <c r="BJ562" s="542"/>
      <c r="BK562" s="542"/>
      <c r="BL562" s="542"/>
      <c r="BM562" s="542"/>
      <c r="BN562" s="775"/>
      <c r="BO562" s="775"/>
      <c r="BP562" s="775"/>
      <c r="BS562" s="696" t="s">
        <v>2170</v>
      </c>
    </row>
    <row r="563" spans="1:75" ht="14.25" hidden="1" customHeight="1" x14ac:dyDescent="0.15">
      <c r="B563" s="644" t="b" cm="1">
        <f t="array" ref="B563">B562</f>
        <v>0</v>
      </c>
      <c r="E563" s="507">
        <v>15</v>
      </c>
      <c r="F563" s="3" t="str" cm="1">
        <f t="array" aca="1" ref="F563" ca="1">OFFSET(E563,-1,1)</f>
        <v>3</v>
      </c>
      <c r="K563" s="25" t="s">
        <v>2171</v>
      </c>
      <c r="L563" s="25"/>
      <c r="M563" s="25"/>
      <c r="T563" s="353" t="b" cm="1">
        <f t="array" aca="1" ref="T563" ca="1">T562</f>
        <v>1</v>
      </c>
      <c r="X563" s="990"/>
      <c r="Z563" s="967"/>
      <c r="AB563" s="133" t="s">
        <v>2172</v>
      </c>
      <c r="AC563" s="134" t="s">
        <v>2173</v>
      </c>
      <c r="AD563" s="7" t="s">
        <v>476</v>
      </c>
      <c r="AE563" s="778"/>
      <c r="AF563" s="778"/>
      <c r="AG563" s="778"/>
      <c r="AH563" s="542"/>
      <c r="AI563" s="778"/>
      <c r="AJ563" s="128"/>
      <c r="AK563" s="778"/>
      <c r="AL563" s="778"/>
      <c r="AM563" s="778"/>
      <c r="AN563" s="778"/>
      <c r="AO563" s="778"/>
      <c r="AP563" s="778"/>
      <c r="AQ563" s="778"/>
      <c r="AR563" s="778"/>
      <c r="AS563" s="778"/>
      <c r="AT563" s="128"/>
      <c r="AU563" s="778"/>
      <c r="AV563" s="778"/>
      <c r="AW563" s="778"/>
      <c r="AX563" s="778"/>
      <c r="AY563" s="778"/>
      <c r="AZ563" s="778"/>
      <c r="BA563" s="778"/>
      <c r="BB563" s="778"/>
      <c r="BC563" s="778"/>
      <c r="BD563" s="542"/>
      <c r="BE563" s="542"/>
      <c r="BF563" s="542"/>
      <c r="BG563" s="542"/>
      <c r="BH563" s="542"/>
      <c r="BI563" s="542"/>
      <c r="BJ563" s="542"/>
      <c r="BK563" s="542"/>
      <c r="BL563" s="542"/>
      <c r="BM563" s="542"/>
      <c r="BN563" s="775"/>
      <c r="BO563" s="775"/>
      <c r="BP563" s="775"/>
      <c r="BS563" s="696" t="s">
        <v>2174</v>
      </c>
    </row>
    <row r="564" spans="1:75" ht="14.25" hidden="1" customHeight="1" x14ac:dyDescent="0.15">
      <c r="B564" s="644" t="b" cm="1">
        <f t="array" ref="B564">B563</f>
        <v>0</v>
      </c>
      <c r="E564" s="507">
        <v>15</v>
      </c>
      <c r="F564" s="3" t="str" cm="1">
        <f t="array" aca="1" ref="F564" ca="1">OFFSET(E564,-1,1)</f>
        <v>3</v>
      </c>
      <c r="K564" s="25" t="s">
        <v>999</v>
      </c>
      <c r="L564" s="25"/>
      <c r="M564" s="25"/>
      <c r="T564" s="353" t="b" cm="1">
        <f t="array" aca="1" ref="T564" ca="1">T563</f>
        <v>1</v>
      </c>
      <c r="X564" s="990"/>
      <c r="Z564" s="967"/>
      <c r="AB564" s="133" t="s">
        <v>1000</v>
      </c>
      <c r="AC564" s="127" t="s">
        <v>2175</v>
      </c>
      <c r="AD564" s="7" t="s">
        <v>476</v>
      </c>
      <c r="AE564" s="778"/>
      <c r="AF564" s="778"/>
      <c r="AG564" s="778"/>
      <c r="AH564" s="542"/>
      <c r="AI564" s="778"/>
      <c r="AJ564" s="128"/>
      <c r="AK564" s="778"/>
      <c r="AL564" s="778"/>
      <c r="AM564" s="778"/>
      <c r="AN564" s="778"/>
      <c r="AO564" s="778"/>
      <c r="AP564" s="778"/>
      <c r="AQ564" s="778"/>
      <c r="AR564" s="778"/>
      <c r="AS564" s="778"/>
      <c r="AT564" s="128"/>
      <c r="AU564" s="778"/>
      <c r="AV564" s="778"/>
      <c r="AW564" s="778"/>
      <c r="AX564" s="778"/>
      <c r="AY564" s="778"/>
      <c r="AZ564" s="778"/>
      <c r="BA564" s="778"/>
      <c r="BB564" s="778"/>
      <c r="BC564" s="778"/>
      <c r="BD564" s="542"/>
      <c r="BE564" s="542"/>
      <c r="BF564" s="542"/>
      <c r="BG564" s="542"/>
      <c r="BH564" s="542"/>
      <c r="BI564" s="542"/>
      <c r="BJ564" s="542"/>
      <c r="BK564" s="542"/>
      <c r="BL564" s="542"/>
      <c r="BM564" s="542"/>
      <c r="BN564" s="775"/>
      <c r="BO564" s="775"/>
      <c r="BP564" s="775"/>
      <c r="BS564" s="696" t="s">
        <v>2176</v>
      </c>
    </row>
    <row r="565" spans="1:75" ht="14.25" hidden="1" customHeight="1" x14ac:dyDescent="0.15">
      <c r="B565" s="644" t="b" cm="1">
        <f t="array" ref="B565">B564</f>
        <v>0</v>
      </c>
      <c r="E565" s="507">
        <v>15</v>
      </c>
      <c r="F565" s="3" t="str" cm="1">
        <f t="array" aca="1" ref="F565" ca="1">OFFSET(E565,-1,1)</f>
        <v>3</v>
      </c>
      <c r="K565" s="25" t="s">
        <v>2177</v>
      </c>
      <c r="L565" s="25"/>
      <c r="M565" s="25"/>
      <c r="T565" s="353" t="b" cm="1">
        <f t="array" aca="1" ref="T565" ca="1">T564</f>
        <v>1</v>
      </c>
      <c r="X565" s="990"/>
      <c r="Z565" s="967"/>
      <c r="AB565" s="133" t="s">
        <v>2178</v>
      </c>
      <c r="AC565" s="134" t="s">
        <v>2179</v>
      </c>
      <c r="AD565" s="7" t="s">
        <v>476</v>
      </c>
      <c r="AE565" s="778"/>
      <c r="AF565" s="778"/>
      <c r="AG565" s="778"/>
      <c r="AH565" s="542"/>
      <c r="AI565" s="778"/>
      <c r="AJ565" s="128"/>
      <c r="AK565" s="778"/>
      <c r="AL565" s="778"/>
      <c r="AM565" s="778"/>
      <c r="AN565" s="778"/>
      <c r="AO565" s="778"/>
      <c r="AP565" s="778"/>
      <c r="AQ565" s="778"/>
      <c r="AR565" s="778"/>
      <c r="AS565" s="778"/>
      <c r="AT565" s="128"/>
      <c r="AU565" s="778"/>
      <c r="AV565" s="778"/>
      <c r="AW565" s="778"/>
      <c r="AX565" s="778"/>
      <c r="AY565" s="778"/>
      <c r="AZ565" s="778"/>
      <c r="BA565" s="778"/>
      <c r="BB565" s="778"/>
      <c r="BC565" s="778"/>
      <c r="BD565" s="542"/>
      <c r="BE565" s="542"/>
      <c r="BF565" s="542"/>
      <c r="BG565" s="542"/>
      <c r="BH565" s="542"/>
      <c r="BI565" s="542"/>
      <c r="BJ565" s="542"/>
      <c r="BK565" s="542"/>
      <c r="BL565" s="542"/>
      <c r="BM565" s="542"/>
      <c r="BN565" s="775"/>
      <c r="BO565" s="775"/>
      <c r="BP565" s="775"/>
      <c r="BS565" s="696" t="s">
        <v>2180</v>
      </c>
    </row>
    <row r="566" spans="1:75" ht="14.25" hidden="1" customHeight="1" x14ac:dyDescent="0.15">
      <c r="B566" s="644" t="b" cm="1">
        <f t="array" ref="B566">B565</f>
        <v>0</v>
      </c>
      <c r="E566" s="507">
        <v>15</v>
      </c>
      <c r="F566" s="3" t="str" cm="1">
        <f t="array" aca="1" ref="F566" ca="1">OFFSET(E566,-1,1)</f>
        <v>3</v>
      </c>
      <c r="K566" s="25" t="s">
        <v>2181</v>
      </c>
      <c r="L566" s="25"/>
      <c r="M566" s="25"/>
      <c r="T566" s="353" t="b" cm="1">
        <f t="array" aca="1" ref="T566" ca="1">T565</f>
        <v>1</v>
      </c>
      <c r="X566" s="990"/>
      <c r="Z566" s="967"/>
      <c r="AB566" s="133" t="s">
        <v>2182</v>
      </c>
      <c r="AC566" s="134" t="s">
        <v>2183</v>
      </c>
      <c r="AD566" s="7" t="s">
        <v>476</v>
      </c>
      <c r="AE566" s="778"/>
      <c r="AF566" s="778"/>
      <c r="AG566" s="778"/>
      <c r="AH566" s="542"/>
      <c r="AI566" s="778"/>
      <c r="AJ566" s="128"/>
      <c r="AK566" s="778"/>
      <c r="AL566" s="778"/>
      <c r="AM566" s="778"/>
      <c r="AN566" s="778"/>
      <c r="AO566" s="778"/>
      <c r="AP566" s="778"/>
      <c r="AQ566" s="778"/>
      <c r="AR566" s="778"/>
      <c r="AS566" s="778"/>
      <c r="AT566" s="128"/>
      <c r="AU566" s="778"/>
      <c r="AV566" s="778"/>
      <c r="AW566" s="778"/>
      <c r="AX566" s="778"/>
      <c r="AY566" s="778"/>
      <c r="AZ566" s="778"/>
      <c r="BA566" s="778"/>
      <c r="BB566" s="778"/>
      <c r="BC566" s="778"/>
      <c r="BD566" s="542"/>
      <c r="BE566" s="542"/>
      <c r="BF566" s="542"/>
      <c r="BG566" s="542"/>
      <c r="BH566" s="542"/>
      <c r="BI566" s="542"/>
      <c r="BJ566" s="542"/>
      <c r="BK566" s="542"/>
      <c r="BL566" s="542"/>
      <c r="BM566" s="542"/>
      <c r="BN566" s="775"/>
      <c r="BO566" s="775"/>
      <c r="BP566" s="775"/>
      <c r="BS566" s="696" t="s">
        <v>2184</v>
      </c>
    </row>
    <row r="567" spans="1:75" s="870" customFormat="1" ht="23.25" customHeight="1" x14ac:dyDescent="0.15">
      <c r="A567" s="76"/>
      <c r="B567" s="332"/>
      <c r="C567" s="76"/>
      <c r="D567" s="27" t="str">
        <f>IF(B566,"6","7")</f>
        <v>7</v>
      </c>
      <c r="E567" s="511">
        <v>21</v>
      </c>
      <c r="F567" s="3" t="str" cm="1">
        <f t="array" aca="1" ref="F567" ca="1">OFFSET(E567,-1,1)</f>
        <v>3</v>
      </c>
      <c r="G567" s="72" t="s">
        <v>2185</v>
      </c>
      <c r="H567" s="72"/>
      <c r="I567" s="279" t="s">
        <v>2186</v>
      </c>
      <c r="J567" s="76"/>
      <c r="K567" s="279" t="s">
        <v>2186</v>
      </c>
      <c r="L567" s="27"/>
      <c r="M567" s="27"/>
      <c r="N567" s="76"/>
      <c r="O567" s="76"/>
      <c r="P567" s="76"/>
      <c r="Q567" s="76"/>
      <c r="R567" s="76"/>
      <c r="S567" s="76"/>
      <c r="T567" s="353" t="b" cm="1">
        <f t="array" aca="1" ref="T567" ca="1">T566</f>
        <v>1</v>
      </c>
      <c r="U567" s="76"/>
      <c r="V567" s="76"/>
      <c r="W567" s="76"/>
      <c r="X567" s="990"/>
      <c r="Y567" s="76"/>
      <c r="Z567" s="967"/>
      <c r="AA567" s="76"/>
      <c r="AB567" s="124" t="str" cm="1">
        <f t="array" ref="AB567">D567</f>
        <v>7</v>
      </c>
      <c r="AC567" s="132" t="s">
        <v>1598</v>
      </c>
      <c r="AD567" s="124" t="s">
        <v>828</v>
      </c>
      <c r="AE567" s="138">
        <v>269.2</v>
      </c>
      <c r="AF567" s="138"/>
      <c r="AG567" s="138">
        <v>269.20999999999998</v>
      </c>
      <c r="AH567" s="126">
        <f>AG567-AF567</f>
        <v>269.20999999999998</v>
      </c>
      <c r="AI567" s="138">
        <v>-333.75783480960001</v>
      </c>
      <c r="AJ567" s="128">
        <v>20180.601621527599</v>
      </c>
      <c r="AK567" s="774"/>
      <c r="AL567" s="774"/>
      <c r="AM567" s="138"/>
      <c r="AN567" s="138"/>
      <c r="AO567" s="138"/>
      <c r="AP567" s="138"/>
      <c r="AQ567" s="138"/>
      <c r="AR567" s="138"/>
      <c r="AS567" s="138"/>
      <c r="AT567" s="128">
        <v>-3496.0300254938002</v>
      </c>
      <c r="AU567" s="774"/>
      <c r="AV567" s="774"/>
      <c r="AW567" s="138"/>
      <c r="AX567" s="138"/>
      <c r="AY567" s="138"/>
      <c r="AZ567" s="138"/>
      <c r="BA567" s="138"/>
      <c r="BB567" s="138"/>
      <c r="BC567" s="138"/>
      <c r="BD567" s="126">
        <f>IF(AI567=0,0,(AT567-AI567)/AI567*100)</f>
        <v>947.47504354113289</v>
      </c>
      <c r="BE567" s="126">
        <f t="shared" ref="BE567:BM567" si="157">IF(AT567=0,0,(AU567-AT567)/AT567*100)</f>
        <v>-100</v>
      </c>
      <c r="BF567" s="126">
        <f t="shared" si="157"/>
        <v>0</v>
      </c>
      <c r="BG567" s="126">
        <f t="shared" si="157"/>
        <v>0</v>
      </c>
      <c r="BH567" s="126">
        <f t="shared" si="157"/>
        <v>0</v>
      </c>
      <c r="BI567" s="126">
        <f t="shared" si="157"/>
        <v>0</v>
      </c>
      <c r="BJ567" s="126">
        <f t="shared" si="157"/>
        <v>0</v>
      </c>
      <c r="BK567" s="126">
        <f t="shared" si="157"/>
        <v>0</v>
      </c>
      <c r="BL567" s="126">
        <f t="shared" si="157"/>
        <v>0</v>
      </c>
      <c r="BM567" s="126">
        <f t="shared" si="157"/>
        <v>0</v>
      </c>
      <c r="BN567" s="556"/>
      <c r="BO567" s="601" t="str">
        <f ca="1">IF(IFERROR(INDEX('Корректировка НВВ'!$K$26:$L$231,MATCH($F567&amp;"11komm",'Корректировка НВВ'!$K$26:$K$231,0),2),"")=0,"",IFERROR(INDEX('Корректировка НВВ'!$K$26:$L$231,MATCH($F567&amp;"11komm",'Корректировка НВВ'!$K$26:$K$231,0),2),""))</f>
        <v/>
      </c>
      <c r="BP567" s="556"/>
      <c r="BQ567" s="76"/>
      <c r="BR567" s="76"/>
      <c r="BS567" s="702" t="s">
        <v>2187</v>
      </c>
      <c r="BT567" s="702"/>
      <c r="BU567" s="702"/>
      <c r="BV567" s="511"/>
      <c r="BW567" s="511"/>
    </row>
    <row r="568" spans="1:75" ht="14.25" customHeight="1" x14ac:dyDescent="0.15">
      <c r="D568" s="25" t="str" cm="1">
        <f t="array" ref="D568">D567</f>
        <v>7</v>
      </c>
      <c r="E568" s="507">
        <v>15</v>
      </c>
      <c r="F568" s="3" t="str" cm="1">
        <f t="array" aca="1" ref="F568" ca="1">OFFSET(E568,-1,1)</f>
        <v>3</v>
      </c>
      <c r="L568" s="25"/>
      <c r="M568" s="25"/>
      <c r="T568" s="353" t="b" cm="1">
        <f t="array" aca="1" ref="T568" ca="1">T567</f>
        <v>1</v>
      </c>
      <c r="X568" s="990"/>
      <c r="Z568" s="967"/>
      <c r="AB568" s="7"/>
      <c r="AC568" s="346" t="s">
        <v>2188</v>
      </c>
      <c r="AD568" s="7"/>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386"/>
      <c r="BO568" s="386"/>
      <c r="BP568" s="386"/>
    </row>
    <row r="569" spans="1:75" ht="44.25" customHeight="1" x14ac:dyDescent="0.15">
      <c r="D569" s="25" t="str" cm="1">
        <f t="array" ref="D569">D568</f>
        <v>7</v>
      </c>
      <c r="E569" s="507">
        <v>22.5</v>
      </c>
      <c r="F569" s="3" t="str" cm="1">
        <f t="array" aca="1" ref="F569" ca="1">OFFSET(E569,-1,1)</f>
        <v>3</v>
      </c>
      <c r="G569" s="72" t="s">
        <v>373</v>
      </c>
      <c r="I569" s="72" t="s">
        <v>535</v>
      </c>
      <c r="K569" s="72" t="s">
        <v>535</v>
      </c>
      <c r="L569" s="25"/>
      <c r="M569" s="25"/>
      <c r="T569" s="353" t="b" cm="1">
        <f t="array" aca="1" ref="T569" ca="1">T568</f>
        <v>1</v>
      </c>
      <c r="X569" s="990"/>
      <c r="Z569" s="967"/>
      <c r="AB569" s="7" t="str">
        <f>D569&amp;".1"</f>
        <v>7.1</v>
      </c>
      <c r="AC569" s="127" t="s">
        <v>2189</v>
      </c>
      <c r="AD569" s="7" t="s">
        <v>828</v>
      </c>
      <c r="AE569" s="128">
        <v>0</v>
      </c>
      <c r="AF569" s="128"/>
      <c r="AG569" s="128"/>
      <c r="AH569" s="171">
        <f t="shared" ref="AH569:AH582" si="158">AG569-AF569</f>
        <v>0</v>
      </c>
      <c r="AI569" s="128">
        <v>0</v>
      </c>
      <c r="AJ569" s="128">
        <f ca="1">SUMIFS('Корректировка НВВ'!$AF$25:$AF$231,'Корректировка НВВ'!$F$25:$F$231,$F569,'Корректировка НВВ'!$I$25:$I$231,$G569)</f>
        <v>0</v>
      </c>
      <c r="AK569" s="778"/>
      <c r="AL569" s="778"/>
      <c r="AM569" s="128"/>
      <c r="AN569" s="128"/>
      <c r="AO569" s="128"/>
      <c r="AP569" s="128"/>
      <c r="AQ569" s="128"/>
      <c r="AR569" s="128"/>
      <c r="AS569" s="128"/>
      <c r="AT569" s="128">
        <f ca="1">SUMIFS('Корректировка НВВ'!$AG$25:$AG$231,'Корректировка НВВ'!$F$25:$F$231,$F569,'Корректировка НВВ'!$I$25:$I$231,$G569)</f>
        <v>0</v>
      </c>
      <c r="AU569" s="778"/>
      <c r="AV569" s="778"/>
      <c r="AW569" s="128"/>
      <c r="AX569" s="128"/>
      <c r="AY569" s="128"/>
      <c r="AZ569" s="128"/>
      <c r="BA569" s="128"/>
      <c r="BB569" s="128"/>
      <c r="BC569" s="128"/>
      <c r="BD569" s="542"/>
      <c r="BE569" s="542"/>
      <c r="BF569" s="542"/>
      <c r="BG569" s="542"/>
      <c r="BH569" s="542"/>
      <c r="BI569" s="542"/>
      <c r="BJ569" s="542"/>
      <c r="BK569" s="542"/>
      <c r="BL569" s="542"/>
      <c r="BM569" s="542"/>
      <c r="BN569" s="196"/>
      <c r="BO569" s="601" t="str">
        <f ca="1">IF(IFERROR(INDEX('Корректировка НВВ'!$K$26:$L$231,MATCH($F569&amp;"1komm",'Корректировка НВВ'!$K$26:$K$231,0),2),"")=0,"",IFERROR(INDEX('Корректировка НВВ'!$K$26:$L$231,MATCH($F569&amp;"1komm",'Корректировка НВВ'!$K$26:$K$231,0),2),""))</f>
        <v/>
      </c>
      <c r="BP569" s="196"/>
      <c r="BS569" s="696" t="s">
        <v>2190</v>
      </c>
    </row>
    <row r="570" spans="1:75" ht="187.35" customHeight="1" x14ac:dyDescent="0.15">
      <c r="D570" s="25" t="str" cm="1">
        <f t="array" ref="D570">D569</f>
        <v>7</v>
      </c>
      <c r="E570" s="507">
        <v>101.25</v>
      </c>
      <c r="F570" s="3" t="str" cm="1">
        <f t="array" aca="1" ref="F570" ca="1">OFFSET(E570,-1,1)</f>
        <v>3</v>
      </c>
      <c r="G570" s="72" t="s">
        <v>2191</v>
      </c>
      <c r="I570" s="72" t="s">
        <v>586</v>
      </c>
      <c r="K570" s="72" t="s">
        <v>586</v>
      </c>
      <c r="L570" s="25"/>
      <c r="M570" s="25"/>
      <c r="T570" s="353" t="b" cm="1">
        <f t="array" aca="1" ref="T570" ca="1">T569</f>
        <v>1</v>
      </c>
      <c r="X570" s="990"/>
      <c r="Z570" s="967"/>
      <c r="AB570" s="7" t="str">
        <f>D570&amp;".2"</f>
        <v>7.2</v>
      </c>
      <c r="AC570" s="127" t="s">
        <v>2192</v>
      </c>
      <c r="AD570" s="7" t="s">
        <v>828</v>
      </c>
      <c r="AE570" s="128">
        <v>0</v>
      </c>
      <c r="AF570" s="128"/>
      <c r="AG570" s="128"/>
      <c r="AH570" s="171">
        <f t="shared" si="158"/>
        <v>0</v>
      </c>
      <c r="AI570" s="128">
        <v>-775.44314062399997</v>
      </c>
      <c r="AJ570" s="128">
        <f ca="1">SUMIFS('Корректировка НВВ'!$AF$25:$AF$231,'Корректировка НВВ'!$F$25:$F$231,$F570,'Корректировка НВВ'!$I$25:$I$231,$G570)</f>
        <v>0</v>
      </c>
      <c r="AK570" s="778"/>
      <c r="AL570" s="778"/>
      <c r="AM570" s="128"/>
      <c r="AN570" s="128"/>
      <c r="AO570" s="128"/>
      <c r="AP570" s="128"/>
      <c r="AQ570" s="128"/>
      <c r="AR570" s="128"/>
      <c r="AS570" s="128"/>
      <c r="AT570" s="128">
        <v>-856.99615618960001</v>
      </c>
      <c r="AU570" s="778"/>
      <c r="AV570" s="778"/>
      <c r="AW570" s="128"/>
      <c r="AX570" s="128"/>
      <c r="AY570" s="128"/>
      <c r="AZ570" s="128"/>
      <c r="BA570" s="128"/>
      <c r="BB570" s="128"/>
      <c r="BC570" s="128"/>
      <c r="BD570" s="542"/>
      <c r="BE570" s="542"/>
      <c r="BF570" s="542"/>
      <c r="BG570" s="542"/>
      <c r="BH570" s="542"/>
      <c r="BI570" s="542"/>
      <c r="BJ570" s="542"/>
      <c r="BK570" s="542"/>
      <c r="BL570" s="542"/>
      <c r="BM570" s="542"/>
      <c r="BN570" s="196"/>
      <c r="BO570" s="601" t="s">
        <v>2259</v>
      </c>
      <c r="BP570" s="196" t="s">
        <v>2315</v>
      </c>
      <c r="BS570" s="696" t="s">
        <v>2193</v>
      </c>
    </row>
    <row r="571" spans="1:75" ht="75.75" customHeight="1" x14ac:dyDescent="0.15">
      <c r="D571" s="25" t="str" cm="1">
        <f t="array" ref="D571">D570</f>
        <v>7</v>
      </c>
      <c r="E571" s="507">
        <v>45</v>
      </c>
      <c r="F571" s="3" t="str" cm="1">
        <f t="array" aca="1" ref="F571" ca="1">OFFSET(E571,-1,1)</f>
        <v>3</v>
      </c>
      <c r="I571" s="72" t="s">
        <v>601</v>
      </c>
      <c r="K571" s="72" t="s">
        <v>601</v>
      </c>
      <c r="L571" s="25"/>
      <c r="M571" s="25"/>
      <c r="T571" s="353" t="b" cm="1">
        <f t="array" aca="1" ref="T571" ca="1">T570</f>
        <v>1</v>
      </c>
      <c r="X571" s="990"/>
      <c r="Z571" s="967"/>
      <c r="AB571" s="7" t="str">
        <f>D571&amp;".3"</f>
        <v>7.3</v>
      </c>
      <c r="AC571" s="127" t="s">
        <v>2194</v>
      </c>
      <c r="AD571" s="7" t="s">
        <v>828</v>
      </c>
      <c r="AE571" s="128"/>
      <c r="AF571" s="128"/>
      <c r="AG571" s="128"/>
      <c r="AH571" s="171">
        <f t="shared" si="158"/>
        <v>0</v>
      </c>
      <c r="AI571" s="128">
        <v>-96.714694185599996</v>
      </c>
      <c r="AJ571" s="128">
        <v>20180.601621527599</v>
      </c>
      <c r="AK571" s="778"/>
      <c r="AL571" s="778"/>
      <c r="AM571" s="128"/>
      <c r="AN571" s="128"/>
      <c r="AO571" s="128"/>
      <c r="AP571" s="128"/>
      <c r="AQ571" s="128"/>
      <c r="AR571" s="128"/>
      <c r="AS571" s="128"/>
      <c r="AT571" s="128">
        <v>-535.27386930420005</v>
      </c>
      <c r="AU571" s="778"/>
      <c r="AV571" s="778"/>
      <c r="AW571" s="128"/>
      <c r="AX571" s="128"/>
      <c r="AY571" s="128"/>
      <c r="AZ571" s="128"/>
      <c r="BA571" s="128"/>
      <c r="BB571" s="128"/>
      <c r="BC571" s="128"/>
      <c r="BD571" s="542"/>
      <c r="BE571" s="542"/>
      <c r="BF571" s="542"/>
      <c r="BG571" s="542"/>
      <c r="BH571" s="542"/>
      <c r="BI571" s="542"/>
      <c r="BJ571" s="542"/>
      <c r="BK571" s="542"/>
      <c r="BL571" s="542"/>
      <c r="BM571" s="542"/>
      <c r="BN571" s="196"/>
      <c r="BO571" s="601" t="s">
        <v>2261</v>
      </c>
      <c r="BP571" s="196" t="s">
        <v>2316</v>
      </c>
      <c r="BS571" s="696" t="s">
        <v>2195</v>
      </c>
    </row>
    <row r="572" spans="1:75" ht="138.75" customHeight="1" x14ac:dyDescent="0.25">
      <c r="B572" s="341" t="b">
        <f>S459="Водоотведение"</f>
        <v>1</v>
      </c>
      <c r="D572" s="25" t="str" cm="1">
        <f t="array" ref="D572">D571</f>
        <v>7</v>
      </c>
      <c r="E572" s="507">
        <v>90</v>
      </c>
      <c r="F572" s="3" t="str" cm="1">
        <f t="array" aca="1" ref="F572" ca="1">OFFSET(E572,-1,1)</f>
        <v>3</v>
      </c>
      <c r="G572" s="72" t="s">
        <v>2196</v>
      </c>
      <c r="H572" s="2"/>
      <c r="I572" s="72" t="s">
        <v>770</v>
      </c>
      <c r="K572" s="72" t="s">
        <v>770</v>
      </c>
      <c r="L572" s="25" t="s">
        <v>767</v>
      </c>
      <c r="M572" s="25"/>
      <c r="T572" s="353" t="b" cm="1">
        <f t="array" aca="1" ref="T572" ca="1">T571</f>
        <v>1</v>
      </c>
      <c r="X572" s="990"/>
      <c r="Z572" s="967"/>
      <c r="AB572" s="7" t="str">
        <f>D572&amp;".4"</f>
        <v>7.4</v>
      </c>
      <c r="AC572" s="127" t="s">
        <v>1857</v>
      </c>
      <c r="AD572" s="9" t="s">
        <v>828</v>
      </c>
      <c r="AE572" s="128">
        <v>0</v>
      </c>
      <c r="AF572" s="128"/>
      <c r="AG572" s="128"/>
      <c r="AH572" s="171">
        <f t="shared" si="158"/>
        <v>0</v>
      </c>
      <c r="AI572" s="128">
        <v>0</v>
      </c>
      <c r="AJ572" s="128">
        <f ca="1">SUMIFS('Корректировка НВВ'!$AF$25:$AF$231,'Корректировка НВВ'!$F$25:$F$231,$F572,'Корректировка НВВ'!$I$25:$I$231,$G572)</f>
        <v>0</v>
      </c>
      <c r="AK572" s="778"/>
      <c r="AL572" s="778"/>
      <c r="AM572" s="128"/>
      <c r="AN572" s="128"/>
      <c r="AO572" s="128"/>
      <c r="AP572" s="128"/>
      <c r="AQ572" s="128"/>
      <c r="AR572" s="128"/>
      <c r="AS572" s="128"/>
      <c r="AT572" s="128">
        <f ca="1">SUMIFS('Корректировка НВВ'!$AG$25:$AG$231,'Корректировка НВВ'!$F$25:$F$231,$F572,'Корректировка НВВ'!$I$25:$I$231,$G572)</f>
        <v>0</v>
      </c>
      <c r="AU572" s="778"/>
      <c r="AV572" s="778"/>
      <c r="AW572" s="128"/>
      <c r="AX572" s="128"/>
      <c r="AY572" s="128"/>
      <c r="AZ572" s="128"/>
      <c r="BA572" s="128"/>
      <c r="BB572" s="128"/>
      <c r="BC572" s="128"/>
      <c r="BD572" s="542"/>
      <c r="BE572" s="542"/>
      <c r="BF572" s="542"/>
      <c r="BG572" s="542"/>
      <c r="BH572" s="542"/>
      <c r="BI572" s="542"/>
      <c r="BJ572" s="542"/>
      <c r="BK572" s="542"/>
      <c r="BL572" s="542"/>
      <c r="BM572" s="542"/>
      <c r="BN572" s="196"/>
      <c r="BO572" s="601" t="str">
        <f ca="1">IF(IFERROR(INDEX('Корректировка НВВ'!$K$26:$L$231,MATCH($F572&amp;"3komm",'Корректировка НВВ'!$K$26:$K$231,0),2),"")=0,"",IFERROR(INDEX('Корректировка НВВ'!$K$26:$L$231,MATCH($F572&amp;"3komm",'Корректировка НВВ'!$K$26:$K$231,0),2),""))</f>
        <v/>
      </c>
      <c r="BP572" s="196"/>
      <c r="BS572" s="696" t="s">
        <v>1374</v>
      </c>
    </row>
    <row r="573" spans="1:75" ht="96.75" customHeight="1" x14ac:dyDescent="0.25">
      <c r="B573" s="341" t="b" cm="1">
        <f t="array" ref="B573">B572</f>
        <v>1</v>
      </c>
      <c r="D573" s="25" t="str" cm="1">
        <f t="array" ref="D573">D572</f>
        <v>7</v>
      </c>
      <c r="E573" s="507">
        <v>56.25</v>
      </c>
      <c r="F573" s="3" t="str" cm="1">
        <f t="array" aca="1" ref="F573" ca="1">OFFSET(E573,-1,1)</f>
        <v>3</v>
      </c>
      <c r="G573" s="72" t="s">
        <v>2197</v>
      </c>
      <c r="H573" s="2"/>
      <c r="I573" s="72" t="s">
        <v>806</v>
      </c>
      <c r="K573" s="72" t="s">
        <v>806</v>
      </c>
      <c r="L573" s="25" t="s">
        <v>770</v>
      </c>
      <c r="M573" s="25"/>
      <c r="T573" s="353" t="b" cm="1">
        <f t="array" aca="1" ref="T573" ca="1">T572</f>
        <v>1</v>
      </c>
      <c r="X573" s="990"/>
      <c r="Z573" s="967"/>
      <c r="AB573" s="7" t="str">
        <f>D573&amp;".5"</f>
        <v>7.5</v>
      </c>
      <c r="AC573" s="127" t="s">
        <v>1859</v>
      </c>
      <c r="AD573" s="9" t="s">
        <v>828</v>
      </c>
      <c r="AE573" s="128">
        <v>0</v>
      </c>
      <c r="AF573" s="128"/>
      <c r="AG573" s="128"/>
      <c r="AH573" s="171">
        <f t="shared" si="158"/>
        <v>0</v>
      </c>
      <c r="AI573" s="128">
        <v>0</v>
      </c>
      <c r="AJ573" s="128">
        <f ca="1">SUMIFS('Корректировка НВВ'!$AF$25:$AF$231,'Корректировка НВВ'!$F$25:$F$231,$F573,'Корректировка НВВ'!$I$25:$I$231,$G573)</f>
        <v>0</v>
      </c>
      <c r="AK573" s="778"/>
      <c r="AL573" s="778"/>
      <c r="AM573" s="128"/>
      <c r="AN573" s="128"/>
      <c r="AO573" s="128"/>
      <c r="AP573" s="128"/>
      <c r="AQ573" s="128"/>
      <c r="AR573" s="128"/>
      <c r="AS573" s="128"/>
      <c r="AT573" s="128">
        <f ca="1">SUMIFS('Корректировка НВВ'!$AG$25:$AG$231,'Корректировка НВВ'!$F$25:$F$231,$F573,'Корректировка НВВ'!$I$25:$I$231,$G573)</f>
        <v>0</v>
      </c>
      <c r="AU573" s="778"/>
      <c r="AV573" s="778"/>
      <c r="AW573" s="128"/>
      <c r="AX573" s="128"/>
      <c r="AY573" s="128"/>
      <c r="AZ573" s="128"/>
      <c r="BA573" s="128"/>
      <c r="BB573" s="128"/>
      <c r="BC573" s="128"/>
      <c r="BD573" s="542"/>
      <c r="BE573" s="542"/>
      <c r="BF573" s="542"/>
      <c r="BG573" s="542"/>
      <c r="BH573" s="542"/>
      <c r="BI573" s="542"/>
      <c r="BJ573" s="542"/>
      <c r="BK573" s="542"/>
      <c r="BL573" s="542"/>
      <c r="BM573" s="542"/>
      <c r="BN573" s="196"/>
      <c r="BO573" s="601" t="str">
        <f ca="1">IF(IFERROR(INDEX('Корректировка НВВ'!$K$26:$L$231,MATCH($F573&amp;"4komm",'Корректировка НВВ'!$K$26:$K$231,0),2),"")=0,"",IFERROR(INDEX('Корректировка НВВ'!$K$26:$L$231,MATCH($F573&amp;"4komm",'Корректировка НВВ'!$K$26:$K$231,0),2),""))</f>
        <v/>
      </c>
      <c r="BP573" s="196"/>
      <c r="BS573" s="696" t="s">
        <v>1378</v>
      </c>
    </row>
    <row r="574" spans="1:75" ht="66" customHeight="1" x14ac:dyDescent="0.15">
      <c r="D574" s="25" t="str" cm="1">
        <f t="array" ref="D574">D573</f>
        <v>7</v>
      </c>
      <c r="E574" s="507">
        <v>15</v>
      </c>
      <c r="F574" s="3" t="str" cm="1">
        <f t="array" aca="1" ref="F574" ca="1">OFFSET(E574,-1,1)</f>
        <v>3</v>
      </c>
      <c r="G574" s="72" t="s">
        <v>2198</v>
      </c>
      <c r="I574" s="72" t="s">
        <v>807</v>
      </c>
      <c r="K574" s="72" t="s">
        <v>807</v>
      </c>
      <c r="L574" s="25" t="s">
        <v>806</v>
      </c>
      <c r="M574" s="25"/>
      <c r="T574" s="353" t="b" cm="1">
        <f t="array" aca="1" ref="T574" ca="1">T573</f>
        <v>1</v>
      </c>
      <c r="X574" s="990"/>
      <c r="Z574" s="967"/>
      <c r="AB574" s="7" t="str">
        <f>IF(B573,D574&amp;".6",D574&amp;".4")</f>
        <v>7.6</v>
      </c>
      <c r="AC574" s="127" t="s">
        <v>1591</v>
      </c>
      <c r="AD574" s="7" t="s">
        <v>828</v>
      </c>
      <c r="AE574" s="128">
        <v>269.2</v>
      </c>
      <c r="AF574" s="128"/>
      <c r="AG574" s="128">
        <v>269.2</v>
      </c>
      <c r="AH574" s="171">
        <f t="shared" si="158"/>
        <v>269.2</v>
      </c>
      <c r="AI574" s="128">
        <v>538.4</v>
      </c>
      <c r="AJ574" s="128">
        <v>1320.6009442879999</v>
      </c>
      <c r="AK574" s="778"/>
      <c r="AL574" s="778"/>
      <c r="AM574" s="128"/>
      <c r="AN574" s="128"/>
      <c r="AO574" s="128"/>
      <c r="AP574" s="128"/>
      <c r="AQ574" s="128"/>
      <c r="AR574" s="128"/>
      <c r="AS574" s="128"/>
      <c r="AT574" s="128">
        <f ca="1">SUMIFS('Корректировка НВВ'!$AG$25:$AG$231,'Корректировка НВВ'!$F$25:$F$231,$F574,'Корректировка НВВ'!$I$25:$I$231,$G574)</f>
        <v>0</v>
      </c>
      <c r="AU574" s="778"/>
      <c r="AV574" s="778"/>
      <c r="AW574" s="128"/>
      <c r="AX574" s="128"/>
      <c r="AY574" s="128"/>
      <c r="AZ574" s="128"/>
      <c r="BA574" s="128"/>
      <c r="BB574" s="128"/>
      <c r="BC574" s="128"/>
      <c r="BD574" s="542"/>
      <c r="BE574" s="542"/>
      <c r="BF574" s="542"/>
      <c r="BG574" s="542"/>
      <c r="BH574" s="542"/>
      <c r="BI574" s="542"/>
      <c r="BJ574" s="542"/>
      <c r="BK574" s="542"/>
      <c r="BL574" s="542"/>
      <c r="BM574" s="542"/>
      <c r="BN574" s="196"/>
      <c r="BO574" s="601" t="s">
        <v>2289</v>
      </c>
      <c r="BP574" s="196" t="s">
        <v>2318</v>
      </c>
      <c r="BS574" s="696" t="s">
        <v>2199</v>
      </c>
    </row>
    <row r="575" spans="1:75" ht="23.25" customHeight="1" x14ac:dyDescent="0.15">
      <c r="D575" s="25" t="str" cm="1">
        <f t="array" ref="D575">D574</f>
        <v>7</v>
      </c>
      <c r="E575" s="507">
        <v>15</v>
      </c>
      <c r="F575" s="3" t="str" cm="1">
        <f t="array" aca="1" ref="F575" ca="1">OFFSET(E575,-1,1)</f>
        <v>3</v>
      </c>
      <c r="G575" s="72" t="s">
        <v>2200</v>
      </c>
      <c r="I575" s="72" t="s">
        <v>1869</v>
      </c>
      <c r="K575" s="72" t="s">
        <v>1869</v>
      </c>
      <c r="L575" s="25" t="s">
        <v>807</v>
      </c>
      <c r="M575" s="25"/>
      <c r="T575" s="353" t="b" cm="1">
        <f t="array" aca="1" ref="T575" ca="1">T574</f>
        <v>1</v>
      </c>
      <c r="X575" s="990"/>
      <c r="Z575" s="967"/>
      <c r="AB575" s="7" t="str">
        <f>IF(B573,D574&amp;".7",D574&amp;".5")</f>
        <v>7.7</v>
      </c>
      <c r="AC575" s="127" t="s">
        <v>1553</v>
      </c>
      <c r="AD575" s="7" t="s">
        <v>828</v>
      </c>
      <c r="AE575" s="128">
        <f>AE576+AE577</f>
        <v>0</v>
      </c>
      <c r="AF575" s="128">
        <f>AF576+AF577</f>
        <v>0</v>
      </c>
      <c r="AG575" s="128">
        <f>AG576+AG577</f>
        <v>0</v>
      </c>
      <c r="AH575" s="171">
        <f t="shared" si="158"/>
        <v>0</v>
      </c>
      <c r="AI575" s="128">
        <f>AI576+AI577</f>
        <v>0</v>
      </c>
      <c r="AJ575" s="128">
        <f ca="1">SUMIFS('Корректировка НВВ'!$AF$25:$AF$231,'Корректировка НВВ'!$F$25:$F$231,$F575,'Корректировка НВВ'!$I$25:$I$231,$G575)</f>
        <v>0</v>
      </c>
      <c r="AK575" s="778">
        <f t="shared" ref="AK575:AS575" si="159">AK576+AK577</f>
        <v>0</v>
      </c>
      <c r="AL575" s="778">
        <f t="shared" si="159"/>
        <v>0</v>
      </c>
      <c r="AM575" s="128">
        <f t="shared" si="159"/>
        <v>0</v>
      </c>
      <c r="AN575" s="128">
        <f t="shared" si="159"/>
        <v>0</v>
      </c>
      <c r="AO575" s="128">
        <f t="shared" si="159"/>
        <v>0</v>
      </c>
      <c r="AP575" s="128">
        <f t="shared" si="159"/>
        <v>0</v>
      </c>
      <c r="AQ575" s="128">
        <f t="shared" si="159"/>
        <v>0</v>
      </c>
      <c r="AR575" s="128">
        <f t="shared" si="159"/>
        <v>0</v>
      </c>
      <c r="AS575" s="128">
        <f t="shared" si="159"/>
        <v>0</v>
      </c>
      <c r="AT575" s="128">
        <v>2103.77</v>
      </c>
      <c r="AU575" s="778">
        <f t="shared" ref="AU575:BC575" si="160">AU576+AU577</f>
        <v>0</v>
      </c>
      <c r="AV575" s="778">
        <f t="shared" si="160"/>
        <v>0</v>
      </c>
      <c r="AW575" s="128">
        <f t="shared" si="160"/>
        <v>0</v>
      </c>
      <c r="AX575" s="128">
        <f t="shared" si="160"/>
        <v>0</v>
      </c>
      <c r="AY575" s="128">
        <f t="shared" si="160"/>
        <v>0</v>
      </c>
      <c r="AZ575" s="128">
        <f t="shared" si="160"/>
        <v>0</v>
      </c>
      <c r="BA575" s="128">
        <f t="shared" si="160"/>
        <v>0</v>
      </c>
      <c r="BB575" s="128">
        <f t="shared" si="160"/>
        <v>0</v>
      </c>
      <c r="BC575" s="128">
        <f t="shared" si="160"/>
        <v>0</v>
      </c>
      <c r="BD575" s="171">
        <f>IF(AI575=0,0,(AT575-AI575)/AI575*100)</f>
        <v>0</v>
      </c>
      <c r="BE575" s="171">
        <f t="shared" ref="BE575:BM575" si="161">IF(AT575=0,0,(AU575-AT575)/AT575*100)</f>
        <v>-100</v>
      </c>
      <c r="BF575" s="171">
        <f t="shared" si="161"/>
        <v>0</v>
      </c>
      <c r="BG575" s="171">
        <f t="shared" si="161"/>
        <v>0</v>
      </c>
      <c r="BH575" s="171">
        <f t="shared" si="161"/>
        <v>0</v>
      </c>
      <c r="BI575" s="171">
        <f t="shared" si="161"/>
        <v>0</v>
      </c>
      <c r="BJ575" s="171">
        <f t="shared" si="161"/>
        <v>0</v>
      </c>
      <c r="BK575" s="171">
        <f t="shared" si="161"/>
        <v>0</v>
      </c>
      <c r="BL575" s="171">
        <f t="shared" si="161"/>
        <v>0</v>
      </c>
      <c r="BM575" s="171">
        <f t="shared" si="161"/>
        <v>0</v>
      </c>
      <c r="BN575" s="196"/>
      <c r="BO575" s="601" t="str">
        <f ca="1">IF(IFERROR(INDEX('Корректировка НВВ'!$K$26:$L$231,MATCH($F575&amp;"6komm",'Корректировка НВВ'!$K$26:$K$231,0),2),"")=0,"",IFERROR(INDEX('Корректировка НВВ'!$K$26:$L$231,MATCH($F575&amp;"6komm",'Корректировка НВВ'!$K$26:$K$231,0),2),""))</f>
        <v/>
      </c>
      <c r="BP575" s="196"/>
      <c r="BS575" s="696" t="s">
        <v>1555</v>
      </c>
    </row>
    <row r="576" spans="1:75" ht="116.25" customHeight="1" x14ac:dyDescent="0.15">
      <c r="D576" s="25" t="str" cm="1">
        <f t="array" ref="D576">D575</f>
        <v>7</v>
      </c>
      <c r="E576" s="507">
        <v>22.5</v>
      </c>
      <c r="F576" s="3" t="str" cm="1">
        <f t="array" aca="1" ref="F576" ca="1">OFFSET(E576,-1,1)</f>
        <v>3</v>
      </c>
      <c r="G576" s="72" t="s">
        <v>2201</v>
      </c>
      <c r="I576" s="72" t="s">
        <v>2202</v>
      </c>
      <c r="K576" s="72" t="s">
        <v>2202</v>
      </c>
      <c r="L576" s="25" t="s">
        <v>1864</v>
      </c>
      <c r="M576" s="25"/>
      <c r="T576" s="353" t="b" cm="1">
        <f t="array" aca="1" ref="T576" ca="1">T575</f>
        <v>1</v>
      </c>
      <c r="X576" s="990"/>
      <c r="Z576" s="967"/>
      <c r="AB576" s="7" t="str">
        <f>AB575&amp;".1"</f>
        <v>7.7.1</v>
      </c>
      <c r="AC576" s="549" t="s">
        <v>1556</v>
      </c>
      <c r="AD576" s="7" t="s">
        <v>828</v>
      </c>
      <c r="AE576" s="128"/>
      <c r="AF576" s="128"/>
      <c r="AG576" s="128"/>
      <c r="AH576" s="171">
        <f t="shared" si="158"/>
        <v>0</v>
      </c>
      <c r="AI576" s="128">
        <v>0</v>
      </c>
      <c r="AJ576" s="128">
        <f ca="1">SUMIFS('Корректировка НВВ'!$AF$25:$AF$231,'Корректировка НВВ'!$F$25:$F$231,$F576,'Корректировка НВВ'!$I$25:$I$231,$G576)</f>
        <v>0</v>
      </c>
      <c r="AK576" s="778"/>
      <c r="AL576" s="778"/>
      <c r="AM576" s="128"/>
      <c r="AN576" s="128"/>
      <c r="AO576" s="128"/>
      <c r="AP576" s="128"/>
      <c r="AQ576" s="128"/>
      <c r="AR576" s="128"/>
      <c r="AS576" s="128"/>
      <c r="AT576" s="128">
        <v>2103.77</v>
      </c>
      <c r="AU576" s="778"/>
      <c r="AV576" s="778"/>
      <c r="AW576" s="128"/>
      <c r="AX576" s="128"/>
      <c r="AY576" s="128"/>
      <c r="AZ576" s="128"/>
      <c r="BA576" s="128"/>
      <c r="BB576" s="128"/>
      <c r="BC576" s="128"/>
      <c r="BD576" s="542"/>
      <c r="BE576" s="542"/>
      <c r="BF576" s="542"/>
      <c r="BG576" s="542"/>
      <c r="BH576" s="542"/>
      <c r="BI576" s="542"/>
      <c r="BJ576" s="542"/>
      <c r="BK576" s="542"/>
      <c r="BL576" s="542"/>
      <c r="BM576" s="542"/>
      <c r="BN576" s="196"/>
      <c r="BO576" s="601" t="s">
        <v>2291</v>
      </c>
      <c r="BP576" s="196" t="s">
        <v>2319</v>
      </c>
      <c r="BS576" s="696" t="s">
        <v>1557</v>
      </c>
    </row>
    <row r="577" spans="1:75" ht="33.75" customHeight="1" x14ac:dyDescent="0.15">
      <c r="D577" s="25" t="str" cm="1">
        <f t="array" ref="D577">D576</f>
        <v>7</v>
      </c>
      <c r="E577" s="507">
        <v>22.5</v>
      </c>
      <c r="F577" s="3" t="str" cm="1">
        <f t="array" aca="1" ref="F577" ca="1">OFFSET(E577,-1,1)</f>
        <v>3</v>
      </c>
      <c r="G577" s="72" t="s">
        <v>2203</v>
      </c>
      <c r="I577" s="72" t="s">
        <v>2204</v>
      </c>
      <c r="K577" s="72" t="s">
        <v>2204</v>
      </c>
      <c r="L577" s="25" t="s">
        <v>1866</v>
      </c>
      <c r="M577" s="25"/>
      <c r="T577" s="353" t="b" cm="1">
        <f t="array" aca="1" ref="T577" ca="1">T576</f>
        <v>1</v>
      </c>
      <c r="X577" s="990"/>
      <c r="Z577" s="967"/>
      <c r="AB577" s="7" t="str">
        <f>AB575&amp;".2"</f>
        <v>7.7.2</v>
      </c>
      <c r="AC577" s="549" t="s">
        <v>1558</v>
      </c>
      <c r="AD577" s="7" t="s">
        <v>828</v>
      </c>
      <c r="AE577" s="128"/>
      <c r="AF577" s="128"/>
      <c r="AG577" s="128"/>
      <c r="AH577" s="171">
        <f t="shared" si="158"/>
        <v>0</v>
      </c>
      <c r="AI577" s="128">
        <v>0</v>
      </c>
      <c r="AJ577" s="128">
        <f ca="1">SUMIFS('Корректировка НВВ'!$AF$25:$AF$231,'Корректировка НВВ'!$F$25:$F$231,$F577,'Корректировка НВВ'!$I$25:$I$231,$G577)</f>
        <v>0</v>
      </c>
      <c r="AK577" s="778"/>
      <c r="AL577" s="778"/>
      <c r="AM577" s="128"/>
      <c r="AN577" s="128"/>
      <c r="AO577" s="128"/>
      <c r="AP577" s="128"/>
      <c r="AQ577" s="128"/>
      <c r="AR577" s="128"/>
      <c r="AS577" s="128"/>
      <c r="AT577" s="128">
        <f ca="1">SUMIFS('Корректировка НВВ'!$AG$25:$AG$231,'Корректировка НВВ'!$F$25:$F$231,$F577,'Корректировка НВВ'!$I$25:$I$231,$G577)</f>
        <v>0</v>
      </c>
      <c r="AU577" s="778"/>
      <c r="AV577" s="778"/>
      <c r="AW577" s="128"/>
      <c r="AX577" s="128"/>
      <c r="AY577" s="128"/>
      <c r="AZ577" s="128"/>
      <c r="BA577" s="128"/>
      <c r="BB577" s="128"/>
      <c r="BC577" s="128"/>
      <c r="BD577" s="542"/>
      <c r="BE577" s="542"/>
      <c r="BF577" s="542"/>
      <c r="BG577" s="542"/>
      <c r="BH577" s="542"/>
      <c r="BI577" s="542"/>
      <c r="BJ577" s="542"/>
      <c r="BK577" s="542"/>
      <c r="BL577" s="542"/>
      <c r="BM577" s="542"/>
      <c r="BN577" s="196"/>
      <c r="BO577" s="601" t="str">
        <f ca="1">IF(IFERROR(INDEX('Корректировка НВВ'!$K$26:$L$231,MATCH($F577&amp;"8komm",'Корректировка НВВ'!$K$26:$K$231,0),2),"")=0,"",IFERROR(INDEX('Корректировка НВВ'!$K$26:$L$231,MATCH($F577&amp;"8komm",'Корректировка НВВ'!$K$26:$K$231,0),2),""))</f>
        <v/>
      </c>
      <c r="BP577" s="196"/>
      <c r="BS577" s="696" t="s">
        <v>1559</v>
      </c>
    </row>
    <row r="578" spans="1:75" ht="23.25" customHeight="1" x14ac:dyDescent="0.15">
      <c r="D578" s="25" t="str" cm="1">
        <f t="array" ref="D578">D577</f>
        <v>7</v>
      </c>
      <c r="E578" s="507">
        <v>15</v>
      </c>
      <c r="F578" s="3" t="str" cm="1">
        <f t="array" aca="1" ref="F578" ca="1">OFFSET(E578,-1,1)</f>
        <v>3</v>
      </c>
      <c r="G578" s="72" t="s">
        <v>319</v>
      </c>
      <c r="I578" s="72" t="s">
        <v>1870</v>
      </c>
      <c r="K578" s="72" t="s">
        <v>1870</v>
      </c>
      <c r="L578" s="25" t="s">
        <v>1869</v>
      </c>
      <c r="M578" s="25"/>
      <c r="T578" s="353" t="b" cm="1">
        <f t="array" aca="1" ref="T578" ca="1">T577</f>
        <v>1</v>
      </c>
      <c r="X578" s="990"/>
      <c r="Z578" s="967"/>
      <c r="AB578" s="7" t="str">
        <f>IF(B573,D574&amp;".8",D574&amp;".6")</f>
        <v>7.8</v>
      </c>
      <c r="AC578" s="550" t="s">
        <v>1560</v>
      </c>
      <c r="AD578" s="7" t="s">
        <v>828</v>
      </c>
      <c r="AE578" s="128"/>
      <c r="AF578" s="128"/>
      <c r="AG578" s="128"/>
      <c r="AH578" s="171">
        <f t="shared" si="158"/>
        <v>0</v>
      </c>
      <c r="AI578" s="128">
        <v>0</v>
      </c>
      <c r="AJ578" s="128">
        <f ca="1">SUMIFS('Корректировка НВВ'!$AF$25:$AF$231,'Корректировка НВВ'!$F$25:$F$231,$F578,'Корректировка НВВ'!$I$25:$I$231,$G578)</f>
        <v>0</v>
      </c>
      <c r="AK578" s="778"/>
      <c r="AL578" s="778"/>
      <c r="AM578" s="128"/>
      <c r="AN578" s="128"/>
      <c r="AO578" s="128"/>
      <c r="AP578" s="128"/>
      <c r="AQ578" s="128"/>
      <c r="AR578" s="128"/>
      <c r="AS578" s="128"/>
      <c r="AT578" s="128">
        <f ca="1">SUMIFS('Корректировка НВВ'!$AG$25:$AG$231,'Корректировка НВВ'!$F$25:$F$231,$F578,'Корректировка НВВ'!$I$25:$I$231,$G578)</f>
        <v>0</v>
      </c>
      <c r="AU578" s="778"/>
      <c r="AV578" s="778"/>
      <c r="AW578" s="128"/>
      <c r="AX578" s="128"/>
      <c r="AY578" s="128"/>
      <c r="AZ578" s="128"/>
      <c r="BA578" s="128"/>
      <c r="BB578" s="128"/>
      <c r="BC578" s="128"/>
      <c r="BD578" s="542"/>
      <c r="BE578" s="542"/>
      <c r="BF578" s="542"/>
      <c r="BG578" s="542"/>
      <c r="BH578" s="542"/>
      <c r="BI578" s="542"/>
      <c r="BJ578" s="542"/>
      <c r="BK578" s="542"/>
      <c r="BL578" s="542"/>
      <c r="BM578" s="542"/>
      <c r="BN578" s="196"/>
      <c r="BO578" s="601" t="str">
        <f ca="1">IF(IFERROR(INDEX('Корректировка НВВ'!$K$26:$L$231,MATCH($F578&amp;"9komm",'Корректировка НВВ'!$K$26:$K$231,0),2),"")=0,"",IFERROR(INDEX('Корректировка НВВ'!$K$26:$L$231,MATCH($F578&amp;"9komm",'Корректировка НВВ'!$K$26:$K$231,0),2),""))</f>
        <v/>
      </c>
      <c r="BP578" s="196"/>
      <c r="BS578" s="696" t="s">
        <v>2205</v>
      </c>
    </row>
    <row r="579" spans="1:75" ht="23.25" customHeight="1" x14ac:dyDescent="0.15">
      <c r="D579" s="25" t="str" cm="1">
        <f t="array" ref="D579">D578</f>
        <v>7</v>
      </c>
      <c r="E579" s="507">
        <v>15</v>
      </c>
      <c r="F579" s="3" t="str" cm="1">
        <f t="array" aca="1" ref="F579" ca="1">OFFSET(E579,-1,1)</f>
        <v>3</v>
      </c>
      <c r="G579" s="72" t="s">
        <v>2206</v>
      </c>
      <c r="I579" s="72" t="s">
        <v>1872</v>
      </c>
      <c r="K579" s="72" t="s">
        <v>1872</v>
      </c>
      <c r="L579" s="25" t="s">
        <v>1870</v>
      </c>
      <c r="M579" s="25"/>
      <c r="T579" s="353" t="b" cm="1">
        <f t="array" aca="1" ref="T579" ca="1">T578</f>
        <v>1</v>
      </c>
      <c r="X579" s="990"/>
      <c r="Z579" s="967"/>
      <c r="AB579" s="7" t="str">
        <f>IF(B573,D574&amp;".9",D574&amp;".7")</f>
        <v>7.9</v>
      </c>
      <c r="AC579" s="550" t="s">
        <v>1562</v>
      </c>
      <c r="AD579" s="7" t="s">
        <v>828</v>
      </c>
      <c r="AE579" s="128"/>
      <c r="AF579" s="128"/>
      <c r="AG579" s="128"/>
      <c r="AH579" s="171">
        <f t="shared" si="158"/>
        <v>0</v>
      </c>
      <c r="AI579" s="128">
        <v>0</v>
      </c>
      <c r="AJ579" s="128">
        <f ca="1">SUMIFS('Корректировка НВВ'!$AF$25:$AF$231,'Корректировка НВВ'!$F$25:$F$231,$F579,'Корректировка НВВ'!$I$25:$I$231,$G579)</f>
        <v>0</v>
      </c>
      <c r="AK579" s="778"/>
      <c r="AL579" s="778"/>
      <c r="AM579" s="128"/>
      <c r="AN579" s="128"/>
      <c r="AO579" s="128"/>
      <c r="AP579" s="128"/>
      <c r="AQ579" s="128"/>
      <c r="AR579" s="128"/>
      <c r="AS579" s="128"/>
      <c r="AT579" s="128">
        <f ca="1">SUMIFS('Корректировка НВВ'!$AG$25:$AG$231,'Корректировка НВВ'!$F$25:$F$231,$F579,'Корректировка НВВ'!$I$25:$I$231,$G579)</f>
        <v>0</v>
      </c>
      <c r="AU579" s="778"/>
      <c r="AV579" s="778"/>
      <c r="AW579" s="128"/>
      <c r="AX579" s="128"/>
      <c r="AY579" s="128"/>
      <c r="AZ579" s="128"/>
      <c r="BA579" s="128"/>
      <c r="BB579" s="128"/>
      <c r="BC579" s="128"/>
      <c r="BD579" s="542"/>
      <c r="BE579" s="542"/>
      <c r="BF579" s="542"/>
      <c r="BG579" s="542"/>
      <c r="BH579" s="542"/>
      <c r="BI579" s="542"/>
      <c r="BJ579" s="542"/>
      <c r="BK579" s="542"/>
      <c r="BL579" s="542"/>
      <c r="BM579" s="542"/>
      <c r="BN579" s="196"/>
      <c r="BO579" s="601" t="str">
        <f ca="1">IF(IFERROR(INDEX('Корректировка НВВ'!$K$26:$L$231,MATCH($F579&amp;"10komm",'Корректировка НВВ'!$K$26:$K$231,0),2),"")=0,"",IFERROR(INDEX('Корректировка НВВ'!$K$26:$L$231,MATCH($F579&amp;"10komm",'Корректировка НВВ'!$K$26:$K$231,0),2),""))</f>
        <v/>
      </c>
      <c r="BP579" s="196"/>
      <c r="BS579" s="696" t="s">
        <v>1563</v>
      </c>
    </row>
    <row r="580" spans="1:75" s="870" customFormat="1" ht="65.25" customHeight="1" x14ac:dyDescent="0.15">
      <c r="A580" s="76"/>
      <c r="B580" s="332"/>
      <c r="C580" s="76"/>
      <c r="D580" s="27">
        <f>D579+1</f>
        <v>8</v>
      </c>
      <c r="E580" s="511">
        <v>21</v>
      </c>
      <c r="F580" s="3" t="str" cm="1">
        <f t="array" aca="1" ref="F580" ca="1">OFFSET(E580,-1,1)</f>
        <v>3</v>
      </c>
      <c r="G580" s="76"/>
      <c r="H580" s="76"/>
      <c r="I580" s="76" t="s">
        <v>609</v>
      </c>
      <c r="J580" s="76"/>
      <c r="K580" s="76" t="s">
        <v>609</v>
      </c>
      <c r="L580" s="27"/>
      <c r="M580" s="27"/>
      <c r="N580" s="76"/>
      <c r="O580" s="76"/>
      <c r="P580" s="76"/>
      <c r="Q580" s="76"/>
      <c r="R580" s="76"/>
      <c r="S580" s="76"/>
      <c r="T580" s="353" t="b" cm="1">
        <f t="array" aca="1" ref="T580" ca="1">T579</f>
        <v>1</v>
      </c>
      <c r="U580" s="76"/>
      <c r="V580" s="76"/>
      <c r="W580" s="76"/>
      <c r="X580" s="990"/>
      <c r="Y580" s="76"/>
      <c r="Z580" s="967"/>
      <c r="AA580" s="76"/>
      <c r="AB580" s="124" cm="1">
        <f t="array" ref="AB580">D580</f>
        <v>8</v>
      </c>
      <c r="AC580" s="125" t="s">
        <v>2207</v>
      </c>
      <c r="AD580" s="124" t="s">
        <v>828</v>
      </c>
      <c r="AE580" s="138">
        <v>-2783.41</v>
      </c>
      <c r="AF580" s="138"/>
      <c r="AG580" s="138">
        <v>-2783.41</v>
      </c>
      <c r="AH580" s="126">
        <f t="shared" si="158"/>
        <v>-2783.41</v>
      </c>
      <c r="AI580" s="138">
        <v>1900.68</v>
      </c>
      <c r="AJ580" s="138"/>
      <c r="AK580" s="774"/>
      <c r="AL580" s="774"/>
      <c r="AM580" s="138"/>
      <c r="AN580" s="138"/>
      <c r="AO580" s="138"/>
      <c r="AP580" s="138"/>
      <c r="AQ580" s="138"/>
      <c r="AR580" s="138"/>
      <c r="AS580" s="138"/>
      <c r="AT580" s="138">
        <v>882.73</v>
      </c>
      <c r="AU580" s="774"/>
      <c r="AV580" s="774"/>
      <c r="AW580" s="138"/>
      <c r="AX580" s="138"/>
      <c r="AY580" s="138"/>
      <c r="AZ580" s="138"/>
      <c r="BA580" s="138"/>
      <c r="BB580" s="138"/>
      <c r="BC580" s="138"/>
      <c r="BD580" s="129"/>
      <c r="BE580" s="129"/>
      <c r="BF580" s="129"/>
      <c r="BG580" s="129"/>
      <c r="BH580" s="129"/>
      <c r="BI580" s="129"/>
      <c r="BJ580" s="129"/>
      <c r="BK580" s="129"/>
      <c r="BL580" s="129"/>
      <c r="BM580" s="129"/>
      <c r="BN580" s="556"/>
      <c r="BO580" s="556" t="s">
        <v>2263</v>
      </c>
      <c r="BP580" s="556" t="s">
        <v>2320</v>
      </c>
      <c r="BQ580" s="76"/>
      <c r="BR580" s="76"/>
      <c r="BS580" s="702" t="s">
        <v>2208</v>
      </c>
      <c r="BT580" s="702"/>
      <c r="BU580" s="702"/>
      <c r="BV580" s="511"/>
      <c r="BW580" s="511"/>
    </row>
    <row r="581" spans="1:75" ht="14.25" customHeight="1" x14ac:dyDescent="0.15">
      <c r="D581" s="27" cm="1">
        <f t="array" ref="D581">D580</f>
        <v>8</v>
      </c>
      <c r="E581" s="507">
        <v>15</v>
      </c>
      <c r="F581" s="3" t="str" cm="1">
        <f t="array" aca="1" ref="F581" ca="1">OFFSET(E581,-1,1)</f>
        <v>3</v>
      </c>
      <c r="I581" s="72" t="s">
        <v>613</v>
      </c>
      <c r="K581" s="72" t="s">
        <v>613</v>
      </c>
      <c r="L581" s="25"/>
      <c r="M581" s="25"/>
      <c r="T581" s="353" t="b" cm="1">
        <f t="array" aca="1" ref="T581" ca="1">T580</f>
        <v>1</v>
      </c>
      <c r="X581" s="990"/>
      <c r="Z581" s="967"/>
      <c r="AB581" s="7" t="str">
        <f>D581&amp;".1"</f>
        <v>8.1</v>
      </c>
      <c r="AC581" s="127" t="s">
        <v>2209</v>
      </c>
      <c r="AD581" s="7" t="s">
        <v>476</v>
      </c>
      <c r="AE581" s="171">
        <f ca="1">IF(AE582=0,0,AE580/(AE582+AE567)*100)</f>
        <v>-9.938868892183228</v>
      </c>
      <c r="AF581" s="171">
        <f ca="1">IF(AF582=0,0,AF580/(AF582+AF567)*100)</f>
        <v>0</v>
      </c>
      <c r="AG581" s="171">
        <f ca="1">IF(AG582=0,0,AG580/(AG582+AG567)*100)</f>
        <v>-10.644796021575901</v>
      </c>
      <c r="AH581" s="171">
        <f t="shared" ca="1" si="158"/>
        <v>-10.644796021575901</v>
      </c>
      <c r="AI581" s="171">
        <f t="shared" ref="AI581:BC581" ca="1" si="162">IF(AI582=0,0,AI580/(AI582+AI567)*100)</f>
        <v>7.1966099077628343</v>
      </c>
      <c r="AJ581" s="171">
        <f t="shared" ca="1" si="162"/>
        <v>0</v>
      </c>
      <c r="AK581" s="171">
        <f t="shared" ca="1" si="162"/>
        <v>0</v>
      </c>
      <c r="AL581" s="171">
        <f t="shared" ca="1" si="162"/>
        <v>0</v>
      </c>
      <c r="AM581" s="171">
        <f t="shared" ca="1" si="162"/>
        <v>0</v>
      </c>
      <c r="AN581" s="171">
        <f t="shared" ca="1" si="162"/>
        <v>0</v>
      </c>
      <c r="AO581" s="171">
        <f t="shared" ca="1" si="162"/>
        <v>0</v>
      </c>
      <c r="AP581" s="171">
        <f t="shared" ca="1" si="162"/>
        <v>0</v>
      </c>
      <c r="AQ581" s="171">
        <f t="shared" ca="1" si="162"/>
        <v>0</v>
      </c>
      <c r="AR581" s="171">
        <f t="shared" ca="1" si="162"/>
        <v>0</v>
      </c>
      <c r="AS581" s="171">
        <f t="shared" ca="1" si="162"/>
        <v>0</v>
      </c>
      <c r="AT581" s="171">
        <f t="shared" ca="1" si="162"/>
        <v>3.7529171194452724</v>
      </c>
      <c r="AU581" s="171">
        <f t="shared" ca="1" si="162"/>
        <v>0</v>
      </c>
      <c r="AV581" s="171">
        <f t="shared" ca="1" si="162"/>
        <v>0</v>
      </c>
      <c r="AW581" s="171">
        <f t="shared" ca="1" si="162"/>
        <v>0</v>
      </c>
      <c r="AX581" s="171">
        <f t="shared" ca="1" si="162"/>
        <v>0</v>
      </c>
      <c r="AY581" s="171">
        <f t="shared" ca="1" si="162"/>
        <v>0</v>
      </c>
      <c r="AZ581" s="171">
        <f t="shared" ca="1" si="162"/>
        <v>0</v>
      </c>
      <c r="BA581" s="171">
        <f t="shared" ca="1" si="162"/>
        <v>0</v>
      </c>
      <c r="BB581" s="171">
        <f t="shared" ca="1" si="162"/>
        <v>0</v>
      </c>
      <c r="BC581" s="171">
        <f t="shared" ca="1" si="162"/>
        <v>0</v>
      </c>
      <c r="BD581" s="542"/>
      <c r="BE581" s="542"/>
      <c r="BF581" s="542"/>
      <c r="BG581" s="542"/>
      <c r="BH581" s="542"/>
      <c r="BI581" s="542"/>
      <c r="BJ581" s="542"/>
      <c r="BK581" s="542"/>
      <c r="BL581" s="542"/>
      <c r="BM581" s="542"/>
      <c r="BN581" s="196"/>
      <c r="BO581" s="196"/>
      <c r="BP581" s="196"/>
      <c r="BS581" s="696" t="s">
        <v>2210</v>
      </c>
    </row>
    <row r="582" spans="1:75" s="870" customFormat="1" ht="36" customHeight="1" x14ac:dyDescent="0.15">
      <c r="A582" s="76"/>
      <c r="B582" s="332"/>
      <c r="C582" s="76"/>
      <c r="D582" s="27">
        <f>D581+1</f>
        <v>9</v>
      </c>
      <c r="E582" s="511">
        <v>21</v>
      </c>
      <c r="F582" s="3" t="str" cm="1">
        <f t="array" aca="1" ref="F582" ca="1">OFFSET(E582,-1,1)</f>
        <v>3</v>
      </c>
      <c r="G582" s="76"/>
      <c r="H582" s="72"/>
      <c r="I582" s="72" t="s">
        <v>767</v>
      </c>
      <c r="J582" s="76"/>
      <c r="K582" s="72" t="s">
        <v>767</v>
      </c>
      <c r="L582" s="27" t="s">
        <v>1872</v>
      </c>
      <c r="M582" s="27"/>
      <c r="N582" s="76"/>
      <c r="O582" s="76"/>
      <c r="P582" s="76"/>
      <c r="Q582" s="76"/>
      <c r="R582" s="76"/>
      <c r="S582" s="76"/>
      <c r="T582" s="353" t="b" cm="1">
        <f t="array" aca="1" ref="T582" ca="1">T581</f>
        <v>1</v>
      </c>
      <c r="U582" s="76"/>
      <c r="V582" s="76"/>
      <c r="W582" s="76"/>
      <c r="X582" s="990"/>
      <c r="Y582" s="76"/>
      <c r="Z582" s="967"/>
      <c r="AA582" s="76"/>
      <c r="AB582" s="124" cm="1">
        <f t="array" ref="AB582">D582</f>
        <v>9</v>
      </c>
      <c r="AC582" s="125" t="s">
        <v>1874</v>
      </c>
      <c r="AD582" s="147" t="s">
        <v>828</v>
      </c>
      <c r="AE582" s="126">
        <f ca="1">AE460+AE510+AE546+AE547+AE549+AE554+AE555+AE558</f>
        <v>27736.099498307198</v>
      </c>
      <c r="AF582" s="126">
        <f ca="1">AF460+AF510+AF546+AF547+AF549+AF554+AF555+AF558</f>
        <v>43820.7891866145</v>
      </c>
      <c r="AG582" s="126">
        <f ca="1">AG460+AG510+AG546+AG547+AG549+AG554+AG555+AG558</f>
        <v>25878.8720708853</v>
      </c>
      <c r="AH582" s="126">
        <f t="shared" ca="1" si="158"/>
        <v>-17941.9171157292</v>
      </c>
      <c r="AI582" s="126">
        <f t="shared" ref="AI582:BC582" ca="1" si="163">AI460+AI510+AI546+AI547+AI549+AI554+AI555+AI558</f>
        <v>26744.526576766501</v>
      </c>
      <c r="AJ582" s="126">
        <f t="shared" ca="1" si="163"/>
        <v>50617.769361391605</v>
      </c>
      <c r="AK582" s="126">
        <f t="shared" ca="1" si="163"/>
        <v>23585.087379787299</v>
      </c>
      <c r="AL582" s="126">
        <f t="shared" ca="1" si="163"/>
        <v>23585.087379787299</v>
      </c>
      <c r="AM582" s="126">
        <f t="shared" ca="1" si="163"/>
        <v>23585.087379787299</v>
      </c>
      <c r="AN582" s="126">
        <f t="shared" ca="1" si="163"/>
        <v>23585.087379787299</v>
      </c>
      <c r="AO582" s="126">
        <f t="shared" ca="1" si="163"/>
        <v>23585.087379787299</v>
      </c>
      <c r="AP582" s="126">
        <f t="shared" ca="1" si="163"/>
        <v>23585.087379787299</v>
      </c>
      <c r="AQ582" s="126">
        <f t="shared" ca="1" si="163"/>
        <v>23585.087379787299</v>
      </c>
      <c r="AR582" s="126">
        <f t="shared" ca="1" si="163"/>
        <v>23585.087379787299</v>
      </c>
      <c r="AS582" s="126">
        <f t="shared" ca="1" si="163"/>
        <v>23585.087379787299</v>
      </c>
      <c r="AT582" s="126">
        <f t="shared" ca="1" si="163"/>
        <v>27017.199609182298</v>
      </c>
      <c r="AU582" s="126">
        <f t="shared" ca="1" si="163"/>
        <v>14010.75</v>
      </c>
      <c r="AV582" s="126">
        <f t="shared" ca="1" si="163"/>
        <v>14010.75</v>
      </c>
      <c r="AW582" s="126">
        <f t="shared" ca="1" si="163"/>
        <v>14010.75</v>
      </c>
      <c r="AX582" s="126">
        <f t="shared" ca="1" si="163"/>
        <v>14010.75</v>
      </c>
      <c r="AY582" s="126">
        <f t="shared" ca="1" si="163"/>
        <v>14010.75</v>
      </c>
      <c r="AZ582" s="126">
        <f t="shared" ca="1" si="163"/>
        <v>14010.75</v>
      </c>
      <c r="BA582" s="126">
        <f t="shared" ca="1" si="163"/>
        <v>14010.75</v>
      </c>
      <c r="BB582" s="126">
        <f t="shared" ca="1" si="163"/>
        <v>14010.75</v>
      </c>
      <c r="BC582" s="126">
        <f t="shared" ca="1" si="163"/>
        <v>14010.75</v>
      </c>
      <c r="BD582" s="126">
        <f ca="1">IF(AI582=0,0,(AT582-AI582)/AI582*100)</f>
        <v>1.0195470524898893</v>
      </c>
      <c r="BE582" s="126">
        <f t="shared" ref="BE582:BM583" ca="1" si="164">IF(AT582=0,0,(AU582-AT582)/AT582*100)</f>
        <v>-48.141368451679995</v>
      </c>
      <c r="BF582" s="126">
        <f t="shared" ca="1" si="164"/>
        <v>0</v>
      </c>
      <c r="BG582" s="126">
        <f t="shared" ca="1" si="164"/>
        <v>0</v>
      </c>
      <c r="BH582" s="126">
        <f t="shared" ca="1" si="164"/>
        <v>0</v>
      </c>
      <c r="BI582" s="126">
        <f t="shared" ca="1" si="164"/>
        <v>0</v>
      </c>
      <c r="BJ582" s="126">
        <f t="shared" ca="1" si="164"/>
        <v>0</v>
      </c>
      <c r="BK582" s="126">
        <f t="shared" ca="1" si="164"/>
        <v>0</v>
      </c>
      <c r="BL582" s="126">
        <f t="shared" ca="1" si="164"/>
        <v>0</v>
      </c>
      <c r="BM582" s="126">
        <f t="shared" ca="1" si="164"/>
        <v>0</v>
      </c>
      <c r="BN582" s="196"/>
      <c r="BO582" s="196"/>
      <c r="BP582" s="196"/>
      <c r="BQ582" s="76"/>
      <c r="BR582" s="76"/>
      <c r="BS582" s="702" t="s">
        <v>1875</v>
      </c>
      <c r="BT582" s="702"/>
      <c r="BU582" s="702"/>
      <c r="BV582" s="511"/>
      <c r="BW582" s="511"/>
    </row>
    <row r="583" spans="1:75" s="870" customFormat="1" ht="42" customHeight="1" x14ac:dyDescent="0.15">
      <c r="A583" s="76"/>
      <c r="B583" s="332"/>
      <c r="C583" s="76"/>
      <c r="D583" s="27">
        <f>D582+1</f>
        <v>10</v>
      </c>
      <c r="E583" s="511">
        <v>21</v>
      </c>
      <c r="F583" s="3" t="str" cm="1">
        <f t="array" aca="1" ref="F583" ca="1">OFFSET(E583,-1,1)</f>
        <v>3</v>
      </c>
      <c r="G583" s="76"/>
      <c r="H583" s="72"/>
      <c r="I583" s="72" t="s">
        <v>1884</v>
      </c>
      <c r="J583" s="76"/>
      <c r="K583" s="72" t="s">
        <v>1884</v>
      </c>
      <c r="L583" s="27"/>
      <c r="M583" s="27"/>
      <c r="N583" s="76"/>
      <c r="O583" s="76"/>
      <c r="P583" s="76"/>
      <c r="Q583" s="76"/>
      <c r="R583" s="76"/>
      <c r="S583" s="76"/>
      <c r="T583" s="353" t="b" cm="1">
        <f t="array" aca="1" ref="T583" ca="1">T582</f>
        <v>1</v>
      </c>
      <c r="U583" s="76"/>
      <c r="V583" s="76"/>
      <c r="W583" s="76"/>
      <c r="X583" s="990"/>
      <c r="Y583" s="76"/>
      <c r="Z583" s="967"/>
      <c r="AA583" s="76"/>
      <c r="AB583" s="124" cm="1">
        <f t="array" ref="AB583">D583</f>
        <v>10</v>
      </c>
      <c r="AC583" s="125" t="s">
        <v>2211</v>
      </c>
      <c r="AD583" s="124" t="s">
        <v>828</v>
      </c>
      <c r="AE583" s="126">
        <f t="shared" ref="AE583:BC583" ca="1" si="165">AE582+AE567+AE580</f>
        <v>25221.889498307199</v>
      </c>
      <c r="AF583" s="126">
        <f t="shared" ca="1" si="165"/>
        <v>43820.7891866145</v>
      </c>
      <c r="AG583" s="126">
        <f t="shared" ca="1" si="165"/>
        <v>23364.672070885299</v>
      </c>
      <c r="AH583" s="126">
        <f t="shared" ca="1" si="165"/>
        <v>-20456.117115729201</v>
      </c>
      <c r="AI583" s="126">
        <f t="shared" ca="1" si="165"/>
        <v>28311.448741956901</v>
      </c>
      <c r="AJ583" s="126">
        <f t="shared" ca="1" si="165"/>
        <v>70798.370982919208</v>
      </c>
      <c r="AK583" s="126">
        <f t="shared" ca="1" si="165"/>
        <v>23585.087379787299</v>
      </c>
      <c r="AL583" s="126">
        <f t="shared" ca="1" si="165"/>
        <v>23585.087379787299</v>
      </c>
      <c r="AM583" s="126">
        <f t="shared" ca="1" si="165"/>
        <v>23585.087379787299</v>
      </c>
      <c r="AN583" s="126">
        <f t="shared" ca="1" si="165"/>
        <v>23585.087379787299</v>
      </c>
      <c r="AO583" s="126">
        <f t="shared" ca="1" si="165"/>
        <v>23585.087379787299</v>
      </c>
      <c r="AP583" s="126">
        <f t="shared" ca="1" si="165"/>
        <v>23585.087379787299</v>
      </c>
      <c r="AQ583" s="126">
        <f t="shared" ca="1" si="165"/>
        <v>23585.087379787299</v>
      </c>
      <c r="AR583" s="126">
        <f t="shared" ca="1" si="165"/>
        <v>23585.087379787299</v>
      </c>
      <c r="AS583" s="126">
        <f t="shared" ca="1" si="165"/>
        <v>23585.087379787299</v>
      </c>
      <c r="AT583" s="126">
        <f t="shared" ca="1" si="165"/>
        <v>24403.899583688497</v>
      </c>
      <c r="AU583" s="126">
        <f t="shared" ca="1" si="165"/>
        <v>14010.75</v>
      </c>
      <c r="AV583" s="126">
        <f t="shared" ca="1" si="165"/>
        <v>14010.75</v>
      </c>
      <c r="AW583" s="126">
        <f t="shared" ca="1" si="165"/>
        <v>14010.75</v>
      </c>
      <c r="AX583" s="126">
        <f t="shared" ca="1" si="165"/>
        <v>14010.75</v>
      </c>
      <c r="AY583" s="126">
        <f t="shared" ca="1" si="165"/>
        <v>14010.75</v>
      </c>
      <c r="AZ583" s="126">
        <f t="shared" ca="1" si="165"/>
        <v>14010.75</v>
      </c>
      <c r="BA583" s="126">
        <f t="shared" ca="1" si="165"/>
        <v>14010.75</v>
      </c>
      <c r="BB583" s="126">
        <f t="shared" ca="1" si="165"/>
        <v>14010.75</v>
      </c>
      <c r="BC583" s="126">
        <f t="shared" ca="1" si="165"/>
        <v>14010.75</v>
      </c>
      <c r="BD583" s="126">
        <f ca="1">IF(AI583=0,0,(AT583-AI583)/AI583*100)</f>
        <v>-13.802010606675555</v>
      </c>
      <c r="BE583" s="126">
        <f t="shared" ca="1" si="164"/>
        <v>-42.588068960238026</v>
      </c>
      <c r="BF583" s="126">
        <f t="shared" ca="1" si="164"/>
        <v>0</v>
      </c>
      <c r="BG583" s="126">
        <f t="shared" ca="1" si="164"/>
        <v>0</v>
      </c>
      <c r="BH583" s="126">
        <f t="shared" ca="1" si="164"/>
        <v>0</v>
      </c>
      <c r="BI583" s="126">
        <f t="shared" ca="1" si="164"/>
        <v>0</v>
      </c>
      <c r="BJ583" s="126">
        <f t="shared" ca="1" si="164"/>
        <v>0</v>
      </c>
      <c r="BK583" s="126">
        <f t="shared" ca="1" si="164"/>
        <v>0</v>
      </c>
      <c r="BL583" s="126">
        <f t="shared" ca="1" si="164"/>
        <v>0</v>
      </c>
      <c r="BM583" s="126">
        <f t="shared" ca="1" si="164"/>
        <v>0</v>
      </c>
      <c r="BN583" s="196"/>
      <c r="BO583" s="196"/>
      <c r="BP583" s="196"/>
      <c r="BQ583" s="76"/>
      <c r="BR583" s="76"/>
      <c r="BS583" s="702" t="s">
        <v>2212</v>
      </c>
      <c r="BT583" s="702"/>
      <c r="BU583" s="702"/>
      <c r="BV583" s="511"/>
      <c r="BW583" s="511"/>
    </row>
    <row r="584" spans="1:75" ht="14.25" hidden="1" customHeight="1" x14ac:dyDescent="0.25">
      <c r="B584" s="341" t="b">
        <f>A459="двухставочный"</f>
        <v>0</v>
      </c>
      <c r="D584" s="25" cm="1">
        <f t="array" ref="D584">D583</f>
        <v>10</v>
      </c>
      <c r="E584" s="507">
        <v>15</v>
      </c>
      <c r="F584" s="3" t="str" cm="1">
        <f t="array" aca="1" ref="F584" ca="1">OFFSET(E584,-1,1)</f>
        <v>3</v>
      </c>
      <c r="H584" s="2"/>
      <c r="I584" s="278" t="s">
        <v>1888</v>
      </c>
      <c r="K584" s="278" t="s">
        <v>1888</v>
      </c>
      <c r="L584" s="25" t="s">
        <v>1876</v>
      </c>
      <c r="M584" s="25"/>
      <c r="T584" s="353" t="b" cm="1">
        <f t="array" aca="1" ref="T584" ca="1">T583</f>
        <v>1</v>
      </c>
      <c r="X584" s="990"/>
      <c r="Z584" s="967"/>
      <c r="AB584" s="7" t="str">
        <f>D584&amp;".1"</f>
        <v>10.1</v>
      </c>
      <c r="AC584" s="550" t="s">
        <v>1878</v>
      </c>
      <c r="AD584" s="7" t="s">
        <v>828</v>
      </c>
      <c r="AE584" s="778"/>
      <c r="AF584" s="778"/>
      <c r="AG584" s="778"/>
      <c r="AH584" s="171">
        <f t="shared" ref="AH584:AH590" si="166">AG584-AF584</f>
        <v>0</v>
      </c>
      <c r="AI584" s="778"/>
      <c r="AJ584" s="128"/>
      <c r="AK584" s="778"/>
      <c r="AL584" s="778"/>
      <c r="AM584" s="778"/>
      <c r="AN584" s="778"/>
      <c r="AO584" s="778"/>
      <c r="AP584" s="778"/>
      <c r="AQ584" s="778"/>
      <c r="AR584" s="778"/>
      <c r="AS584" s="778"/>
      <c r="AT584" s="128"/>
      <c r="AU584" s="778"/>
      <c r="AV584" s="778"/>
      <c r="AW584" s="778"/>
      <c r="AX584" s="778"/>
      <c r="AY584" s="778"/>
      <c r="AZ584" s="778"/>
      <c r="BA584" s="778"/>
      <c r="BB584" s="778"/>
      <c r="BC584" s="778"/>
      <c r="BD584" s="542"/>
      <c r="BE584" s="542"/>
      <c r="BF584" s="542"/>
      <c r="BG584" s="542"/>
      <c r="BH584" s="542"/>
      <c r="BI584" s="542"/>
      <c r="BJ584" s="542"/>
      <c r="BK584" s="542"/>
      <c r="BL584" s="542"/>
      <c r="BM584" s="542"/>
      <c r="BN584" s="775"/>
      <c r="BO584" s="775"/>
      <c r="BP584" s="775"/>
      <c r="BS584" s="694" t="s">
        <v>1879</v>
      </c>
    </row>
    <row r="585" spans="1:75" ht="14.25" hidden="1" customHeight="1" x14ac:dyDescent="0.25">
      <c r="B585" s="341" t="b">
        <f>A459="двухставочный"</f>
        <v>0</v>
      </c>
      <c r="D585" s="25" cm="1">
        <f t="array" ref="D585">D584</f>
        <v>10</v>
      </c>
      <c r="E585" s="507">
        <v>15</v>
      </c>
      <c r="F585" s="3" t="str" cm="1">
        <f t="array" aca="1" ref="F585" ca="1">OFFSET(E585,-1,1)</f>
        <v>3</v>
      </c>
      <c r="H585" s="2"/>
      <c r="I585" s="278" t="s">
        <v>1892</v>
      </c>
      <c r="K585" s="278" t="s">
        <v>1892</v>
      </c>
      <c r="L585" s="25" t="s">
        <v>1880</v>
      </c>
      <c r="M585" s="25"/>
      <c r="T585" s="353" t="b" cm="1">
        <f t="array" aca="1" ref="T585" ca="1">T584</f>
        <v>1</v>
      </c>
      <c r="X585" s="990"/>
      <c r="Z585" s="967"/>
      <c r="AB585" s="7" t="str">
        <f>D585&amp;".2"</f>
        <v>10.2</v>
      </c>
      <c r="AC585" s="550" t="s">
        <v>1882</v>
      </c>
      <c r="AD585" s="7" t="s">
        <v>828</v>
      </c>
      <c r="AE585" s="778"/>
      <c r="AF585" s="778"/>
      <c r="AG585" s="778"/>
      <c r="AH585" s="171">
        <f t="shared" si="166"/>
        <v>0</v>
      </c>
      <c r="AI585" s="778"/>
      <c r="AJ585" s="128"/>
      <c r="AK585" s="778"/>
      <c r="AL585" s="778"/>
      <c r="AM585" s="778"/>
      <c r="AN585" s="778"/>
      <c r="AO585" s="778"/>
      <c r="AP585" s="778"/>
      <c r="AQ585" s="778"/>
      <c r="AR585" s="778"/>
      <c r="AS585" s="778"/>
      <c r="AT585" s="128"/>
      <c r="AU585" s="778"/>
      <c r="AV585" s="778"/>
      <c r="AW585" s="778"/>
      <c r="AX585" s="778"/>
      <c r="AY585" s="778"/>
      <c r="AZ585" s="778"/>
      <c r="BA585" s="778"/>
      <c r="BB585" s="778"/>
      <c r="BC585" s="778"/>
      <c r="BD585" s="542"/>
      <c r="BE585" s="542"/>
      <c r="BF585" s="542"/>
      <c r="BG585" s="542"/>
      <c r="BH585" s="542"/>
      <c r="BI585" s="542"/>
      <c r="BJ585" s="542"/>
      <c r="BK585" s="542"/>
      <c r="BL585" s="542"/>
      <c r="BM585" s="542"/>
      <c r="BN585" s="775"/>
      <c r="BO585" s="775"/>
      <c r="BP585" s="775"/>
      <c r="BS585" s="694" t="s">
        <v>1883</v>
      </c>
    </row>
    <row r="586" spans="1:75" s="870" customFormat="1" ht="32.1" customHeight="1" x14ac:dyDescent="0.25">
      <c r="A586" s="76"/>
      <c r="B586" s="332"/>
      <c r="C586" s="76"/>
      <c r="D586" s="27">
        <f>D585+1</f>
        <v>11</v>
      </c>
      <c r="E586" s="511">
        <v>21</v>
      </c>
      <c r="F586" s="3" t="str" cm="1">
        <f t="array" aca="1" ref="F586" ca="1">OFFSET(E586,-1,1)</f>
        <v>3</v>
      </c>
      <c r="G586" s="72" t="s">
        <v>1653</v>
      </c>
      <c r="H586" s="72"/>
      <c r="I586" s="72" t="s">
        <v>1912</v>
      </c>
      <c r="J586" s="76"/>
      <c r="K586" s="72" t="s">
        <v>1912</v>
      </c>
      <c r="L586" s="27" t="s">
        <v>1884</v>
      </c>
      <c r="M586" s="27"/>
      <c r="N586" s="76"/>
      <c r="O586" s="76"/>
      <c r="P586" s="76"/>
      <c r="Q586" s="76"/>
      <c r="R586" s="76"/>
      <c r="S586" s="76"/>
      <c r="T586" s="353" t="b" cm="1">
        <f t="array" aca="1" ref="T586" ca="1">T585</f>
        <v>1</v>
      </c>
      <c r="U586" s="76"/>
      <c r="V586" s="76"/>
      <c r="W586" s="76"/>
      <c r="X586" s="990"/>
      <c r="Y586" s="76"/>
      <c r="Z586" s="967"/>
      <c r="AA586" s="76"/>
      <c r="AB586" s="124" cm="1">
        <f t="array" ref="AB586">D586</f>
        <v>11</v>
      </c>
      <c r="AC586" s="125" t="s">
        <v>1886</v>
      </c>
      <c r="AD586" s="124" t="s">
        <v>558</v>
      </c>
      <c r="AE586" s="552">
        <f ca="1">SUMIFS(Баланс!AE$26:AE$391,Баланс!$F$26:$F$391,$F586,Баланс!$G$26:$G$391,"ПО")</f>
        <v>51631.311000000002</v>
      </c>
      <c r="AF586" s="552">
        <f ca="1">SUMIFS(Баланс!AF$26:AF$391,Баланс!$F$26:$F$391,$F586,Баланс!$G$26:$G$391,"ПО")</f>
        <v>48925.161524000003</v>
      </c>
      <c r="AG586" s="552">
        <f ca="1">SUMIFS(Баланс!AG$26:AG$391,Баланс!$F$26:$F$391,$F586,Баланс!$G$26:$G$391,"ПО")</f>
        <v>48925.161524000003</v>
      </c>
      <c r="AH586" s="552">
        <f t="shared" ca="1" si="166"/>
        <v>0</v>
      </c>
      <c r="AI586" s="552">
        <f ca="1">SUMIFS(Баланс!AH$26:AH$391,Баланс!$F$26:$F$391,$F586,Баланс!$G$26:$G$391,"ПО")</f>
        <v>51011.618589999998</v>
      </c>
      <c r="AJ586" s="552">
        <f ca="1">SUMIFS(Баланс!AI$26:AI$391,Баланс!$F$26:$F$391,$F586,Баланс!$G$26:$G$391,"ПО")</f>
        <v>52692.608</v>
      </c>
      <c r="AK586" s="552">
        <f ca="1">SUMIFS(Баланс!AJ$26:AJ$391,Баланс!$F$26:$F$391,$F586,Баланс!$G$26:$G$391,"ПО")</f>
        <v>0</v>
      </c>
      <c r="AL586" s="552">
        <f ca="1">SUMIFS(Баланс!AK$26:AK$391,Баланс!$F$26:$F$391,$F586,Баланс!$G$26:$G$391,"ПО")</f>
        <v>0</v>
      </c>
      <c r="AM586" s="552">
        <f ca="1">SUMIFS(Баланс!AL$26:AL$391,Баланс!$F$26:$F$391,$F586,Баланс!$G$26:$G$391,"ПО")</f>
        <v>0</v>
      </c>
      <c r="AN586" s="552">
        <f ca="1">SUMIFS(Баланс!AM$26:AM$391,Баланс!$F$26:$F$391,$F586,Баланс!$G$26:$G$391,"ПО")</f>
        <v>0</v>
      </c>
      <c r="AO586" s="552">
        <f ca="1">SUMIFS(Баланс!AN$26:AN$391,Баланс!$F$26:$F$391,$F586,Баланс!$G$26:$G$391,"ПО")</f>
        <v>0</v>
      </c>
      <c r="AP586" s="552">
        <f ca="1">SUMIFS(Баланс!AO$26:AO$391,Баланс!$F$26:$F$391,$F586,Баланс!$G$26:$G$391,"ПО")</f>
        <v>0</v>
      </c>
      <c r="AQ586" s="552">
        <f ca="1">SUMIFS(Баланс!AP$26:AP$391,Баланс!$F$26:$F$391,$F586,Баланс!$G$26:$G$391,"ПО")</f>
        <v>0</v>
      </c>
      <c r="AR586" s="552">
        <f ca="1">SUMIFS(Баланс!AQ$26:AQ$391,Баланс!$F$26:$F$391,$F586,Баланс!$G$26:$G$391,"ПО")</f>
        <v>0</v>
      </c>
      <c r="AS586" s="552">
        <f ca="1">SUMIFS(Баланс!AR$26:AR$391,Баланс!$F$26:$F$391,$F586,Баланс!$G$26:$G$391,"ПО")</f>
        <v>0</v>
      </c>
      <c r="AT586" s="552">
        <f ca="1">SUMIFS(Баланс!AS$26:AS$391,Баланс!$F$26:$F$391,$F586,Баланс!$G$26:$G$391,"ПО")</f>
        <v>46750.756560000002</v>
      </c>
      <c r="AU586" s="552">
        <f ca="1">SUMIFS(Баланс!AT$26:AT$391,Баланс!$F$26:$F$391,$F586,Баланс!$G$26:$G$391,"ПО")</f>
        <v>0</v>
      </c>
      <c r="AV586" s="552">
        <f ca="1">SUMIFS(Баланс!AU$26:AU$391,Баланс!$F$26:$F$391,$F586,Баланс!$G$26:$G$391,"ПО")</f>
        <v>0</v>
      </c>
      <c r="AW586" s="552">
        <f ca="1">SUMIFS(Баланс!AV$26:AV$391,Баланс!$F$26:$F$391,$F586,Баланс!$G$26:$G$391,"ПО")</f>
        <v>0</v>
      </c>
      <c r="AX586" s="552">
        <f ca="1">SUMIFS(Баланс!AW$26:AW$391,Баланс!$F$26:$F$391,$F586,Баланс!$G$26:$G$391,"ПО")</f>
        <v>0</v>
      </c>
      <c r="AY586" s="552">
        <f ca="1">SUMIFS(Баланс!AX$26:AX$391,Баланс!$F$26:$F$391,$F586,Баланс!$G$26:$G$391,"ПО")</f>
        <v>0</v>
      </c>
      <c r="AZ586" s="552">
        <f ca="1">SUMIFS(Баланс!AY$26:AY$391,Баланс!$F$26:$F$391,$F586,Баланс!$G$26:$G$391,"ПО")</f>
        <v>0</v>
      </c>
      <c r="BA586" s="552">
        <f ca="1">SUMIFS(Баланс!AZ$26:AZ$391,Баланс!$F$26:$F$391,$F586,Баланс!$G$26:$G$391,"ПО")</f>
        <v>0</v>
      </c>
      <c r="BB586" s="552">
        <f ca="1">SUMIFS(Баланс!BA$26:BA$391,Баланс!$F$26:$F$391,$F586,Баланс!$G$26:$G$391,"ПО")</f>
        <v>0</v>
      </c>
      <c r="BC586" s="552">
        <f ca="1">SUMIFS(Баланс!BB$26:BB$391,Баланс!$F$26:$F$391,$F586,Баланс!$G$26:$G$391,"ПО")</f>
        <v>0</v>
      </c>
      <c r="BD586" s="129"/>
      <c r="BE586" s="129"/>
      <c r="BF586" s="129"/>
      <c r="BG586" s="129"/>
      <c r="BH586" s="129"/>
      <c r="BI586" s="129"/>
      <c r="BJ586" s="129"/>
      <c r="BK586" s="129"/>
      <c r="BL586" s="129"/>
      <c r="BM586" s="129"/>
      <c r="BN586" s="196"/>
      <c r="BO586" s="196"/>
      <c r="BP586" s="196"/>
      <c r="BQ586" s="76"/>
      <c r="BR586" s="76"/>
      <c r="BS586" s="695" t="s">
        <v>1887</v>
      </c>
      <c r="BT586" s="702"/>
      <c r="BU586" s="702"/>
      <c r="BV586" s="511"/>
      <c r="BW586" s="511"/>
    </row>
    <row r="587" spans="1:75" ht="38.25" customHeight="1" x14ac:dyDescent="0.25">
      <c r="D587" s="25" cm="1">
        <f t="array" ref="D587">D586</f>
        <v>11</v>
      </c>
      <c r="E587" s="507">
        <v>15</v>
      </c>
      <c r="F587" s="3" t="str" cm="1">
        <f t="array" aca="1" ref="F587" ca="1">OFFSET(E587,-1,1)</f>
        <v>3</v>
      </c>
      <c r="G587" s="72" t="s">
        <v>1680</v>
      </c>
      <c r="I587" s="72" t="s">
        <v>2213</v>
      </c>
      <c r="K587" s="72" t="s">
        <v>2213</v>
      </c>
      <c r="L587" s="25" t="s">
        <v>1888</v>
      </c>
      <c r="M587" s="25"/>
      <c r="T587" s="353" t="b" cm="1">
        <f t="array" aca="1" ref="T587" ca="1">T586</f>
        <v>1</v>
      </c>
      <c r="X587" s="990"/>
      <c r="Z587" s="967"/>
      <c r="AB587" s="7" t="str">
        <f>D587&amp;".1"</f>
        <v>11.1</v>
      </c>
      <c r="AC587" s="127" t="s">
        <v>1890</v>
      </c>
      <c r="AD587" s="7" t="s">
        <v>558</v>
      </c>
      <c r="AE587" s="444">
        <v>25815.655500000001</v>
      </c>
      <c r="AF587" s="444">
        <v>24462.580762000001</v>
      </c>
      <c r="AG587" s="444">
        <v>24462.580762000001</v>
      </c>
      <c r="AH587" s="558">
        <f t="shared" si="166"/>
        <v>0</v>
      </c>
      <c r="AI587" s="444">
        <v>25505.809294999999</v>
      </c>
      <c r="AJ587" s="444">
        <v>26346.304</v>
      </c>
      <c r="AK587" s="776">
        <f ca="1">IF(god=2025,AK586/12*9,AK586/2)</f>
        <v>0</v>
      </c>
      <c r="AL587" s="776">
        <f t="shared" ref="AL587:AS587" ca="1" si="167">AL586/2</f>
        <v>0</v>
      </c>
      <c r="AM587" s="444">
        <f t="shared" ca="1" si="167"/>
        <v>0</v>
      </c>
      <c r="AN587" s="444">
        <f t="shared" ca="1" si="167"/>
        <v>0</v>
      </c>
      <c r="AO587" s="444">
        <f t="shared" ca="1" si="167"/>
        <v>0</v>
      </c>
      <c r="AP587" s="444">
        <f t="shared" ca="1" si="167"/>
        <v>0</v>
      </c>
      <c r="AQ587" s="444">
        <f t="shared" ca="1" si="167"/>
        <v>0</v>
      </c>
      <c r="AR587" s="444">
        <f t="shared" ca="1" si="167"/>
        <v>0</v>
      </c>
      <c r="AS587" s="444">
        <f t="shared" ca="1" si="167"/>
        <v>0</v>
      </c>
      <c r="AT587" s="444">
        <v>35063.067419999999</v>
      </c>
      <c r="AU587" s="776">
        <f ca="1">IF(god=2025,AU586/12*9,AU586/2)</f>
        <v>0</v>
      </c>
      <c r="AV587" s="776">
        <f t="shared" ref="AV587:BC587" ca="1" si="168">AV586/2</f>
        <v>0</v>
      </c>
      <c r="AW587" s="444">
        <f t="shared" ca="1" si="168"/>
        <v>0</v>
      </c>
      <c r="AX587" s="444">
        <f t="shared" ca="1" si="168"/>
        <v>0</v>
      </c>
      <c r="AY587" s="444">
        <f t="shared" ca="1" si="168"/>
        <v>0</v>
      </c>
      <c r="AZ587" s="444">
        <f t="shared" ca="1" si="168"/>
        <v>0</v>
      </c>
      <c r="BA587" s="444">
        <f t="shared" ca="1" si="168"/>
        <v>0</v>
      </c>
      <c r="BB587" s="444">
        <f t="shared" ca="1" si="168"/>
        <v>0</v>
      </c>
      <c r="BC587" s="444">
        <f t="shared" ca="1" si="168"/>
        <v>0</v>
      </c>
      <c r="BD587" s="542"/>
      <c r="BE587" s="542"/>
      <c r="BF587" s="542"/>
      <c r="BG587" s="542"/>
      <c r="BH587" s="542"/>
      <c r="BI587" s="542"/>
      <c r="BJ587" s="542"/>
      <c r="BK587" s="542"/>
      <c r="BL587" s="542"/>
      <c r="BM587" s="542"/>
      <c r="BN587" s="196"/>
      <c r="BO587" s="196"/>
      <c r="BP587" s="196"/>
      <c r="BS587" s="694" t="s">
        <v>1891</v>
      </c>
    </row>
    <row r="588" spans="1:75" ht="78.75" customHeight="1" x14ac:dyDescent="0.25">
      <c r="D588" s="25" cm="1">
        <f t="array" ref="D588">D587</f>
        <v>11</v>
      </c>
      <c r="E588" s="507">
        <v>15</v>
      </c>
      <c r="F588" s="3" t="str" cm="1">
        <f t="array" aca="1" ref="F588" ca="1">OFFSET(E588,-1,1)</f>
        <v>3</v>
      </c>
      <c r="G588" s="72" t="s">
        <v>1641</v>
      </c>
      <c r="I588" s="72" t="s">
        <v>2214</v>
      </c>
      <c r="K588" s="72" t="s">
        <v>2214</v>
      </c>
      <c r="L588" s="25" t="s">
        <v>1892</v>
      </c>
      <c r="M588" s="25"/>
      <c r="T588" s="353" t="b" cm="1">
        <f t="array" aca="1" ref="T588" ca="1">T587</f>
        <v>1</v>
      </c>
      <c r="X588" s="990"/>
      <c r="Z588" s="967"/>
      <c r="AB588" s="7" t="str">
        <f>D588&amp;".2"</f>
        <v>11.2</v>
      </c>
      <c r="AC588" s="127" t="s">
        <v>1894</v>
      </c>
      <c r="AD588" s="7" t="s">
        <v>1644</v>
      </c>
      <c r="AE588" s="128">
        <v>0.44800000000000001</v>
      </c>
      <c r="AF588" s="128">
        <v>0.89566987259999997</v>
      </c>
      <c r="AG588" s="128">
        <v>0.47755942629999998</v>
      </c>
      <c r="AH588" s="171">
        <f t="shared" si="166"/>
        <v>-0.41811044629999999</v>
      </c>
      <c r="AI588" s="128">
        <v>0.52900000000000003</v>
      </c>
      <c r="AJ588" s="128">
        <v>1.3436110617999999</v>
      </c>
      <c r="AK588" s="778"/>
      <c r="AL588" s="778"/>
      <c r="AM588" s="128"/>
      <c r="AN588" s="128"/>
      <c r="AO588" s="128"/>
      <c r="AP588" s="128"/>
      <c r="AQ588" s="128"/>
      <c r="AR588" s="128"/>
      <c r="AS588" s="128"/>
      <c r="AT588" s="128">
        <v>0.52200009970000005</v>
      </c>
      <c r="AU588" s="778" cm="1">
        <f t="array" ref="AU588">AT590</f>
        <v>0.52200009970000005</v>
      </c>
      <c r="AV588" s="778" cm="1">
        <f t="array" aca="1" ref="AV588" ca="1">AU590</f>
        <v>0</v>
      </c>
      <c r="AW588" s="128" cm="1">
        <f t="array" aca="1" ref="AW588" ca="1">AV590</f>
        <v>0</v>
      </c>
      <c r="AX588" s="128" cm="1">
        <f t="array" aca="1" ref="AX588" ca="1">AW590</f>
        <v>0</v>
      </c>
      <c r="AY588" s="128" cm="1">
        <f t="array" aca="1" ref="AY588" ca="1">AX590</f>
        <v>0</v>
      </c>
      <c r="AZ588" s="128" cm="1">
        <f t="array" aca="1" ref="AZ588" ca="1">AY590</f>
        <v>0</v>
      </c>
      <c r="BA588" s="128" cm="1">
        <f t="array" aca="1" ref="BA588" ca="1">AZ590</f>
        <v>0</v>
      </c>
      <c r="BB588" s="128" cm="1">
        <f t="array" aca="1" ref="BB588" ca="1">BA590</f>
        <v>0</v>
      </c>
      <c r="BC588" s="128" cm="1">
        <f t="array" aca="1" ref="BC588" ca="1">BB590</f>
        <v>0</v>
      </c>
      <c r="BD588" s="542"/>
      <c r="BE588" s="542"/>
      <c r="BF588" s="542"/>
      <c r="BG588" s="542"/>
      <c r="BH588" s="542"/>
      <c r="BI588" s="542"/>
      <c r="BJ588" s="542"/>
      <c r="BK588" s="542"/>
      <c r="BL588" s="542"/>
      <c r="BM588" s="542"/>
      <c r="BN588" s="196"/>
      <c r="BO588" s="196" t="s">
        <v>2326</v>
      </c>
      <c r="BP588" s="196" t="s">
        <v>2327</v>
      </c>
      <c r="BS588" s="694" t="s">
        <v>1895</v>
      </c>
    </row>
    <row r="589" spans="1:75" ht="26.1" customHeight="1" x14ac:dyDescent="0.25">
      <c r="D589" s="25" cm="1">
        <f t="array" ref="D589">D588</f>
        <v>11</v>
      </c>
      <c r="E589" s="507">
        <v>15</v>
      </c>
      <c r="F589" s="3" t="str" cm="1">
        <f t="array" aca="1" ref="F589" ca="1">OFFSET(E589,-1,1)</f>
        <v>3</v>
      </c>
      <c r="G589" s="72" t="s">
        <v>1693</v>
      </c>
      <c r="I589" s="72" t="s">
        <v>2215</v>
      </c>
      <c r="K589" s="72" t="s">
        <v>2215</v>
      </c>
      <c r="L589" s="25" t="s">
        <v>1896</v>
      </c>
      <c r="M589" s="25"/>
      <c r="T589" s="353" t="b" cm="1">
        <f t="array" aca="1" ref="T589" ca="1">T588</f>
        <v>1</v>
      </c>
      <c r="X589" s="990"/>
      <c r="Z589" s="967"/>
      <c r="AB589" s="7" t="str">
        <f>D589&amp;".3"</f>
        <v>11.3</v>
      </c>
      <c r="AC589" s="127" t="s">
        <v>2216</v>
      </c>
      <c r="AD589" s="7" t="s">
        <v>558</v>
      </c>
      <c r="AE589" s="558">
        <f ca="1">AE586-AE587</f>
        <v>25815.655500000001</v>
      </c>
      <c r="AF589" s="558">
        <f ca="1">AF586-AF587</f>
        <v>24462.580762000001</v>
      </c>
      <c r="AG589" s="558">
        <f ca="1">AG586-AG587</f>
        <v>24462.580762000001</v>
      </c>
      <c r="AH589" s="558">
        <f t="shared" ca="1" si="166"/>
        <v>0</v>
      </c>
      <c r="AI589" s="558">
        <f t="shared" ref="AI589:BC589" ca="1" si="169">AI586-AI587</f>
        <v>25505.809294999999</v>
      </c>
      <c r="AJ589" s="558">
        <f t="shared" ca="1" si="169"/>
        <v>26346.304</v>
      </c>
      <c r="AK589" s="558">
        <f t="shared" ca="1" si="169"/>
        <v>0</v>
      </c>
      <c r="AL589" s="558">
        <f t="shared" ca="1" si="169"/>
        <v>0</v>
      </c>
      <c r="AM589" s="558">
        <f t="shared" ca="1" si="169"/>
        <v>0</v>
      </c>
      <c r="AN589" s="558">
        <f t="shared" ca="1" si="169"/>
        <v>0</v>
      </c>
      <c r="AO589" s="558">
        <f t="shared" ca="1" si="169"/>
        <v>0</v>
      </c>
      <c r="AP589" s="558">
        <f t="shared" ca="1" si="169"/>
        <v>0</v>
      </c>
      <c r="AQ589" s="558">
        <f t="shared" ca="1" si="169"/>
        <v>0</v>
      </c>
      <c r="AR589" s="558">
        <f t="shared" ca="1" si="169"/>
        <v>0</v>
      </c>
      <c r="AS589" s="558">
        <f t="shared" ca="1" si="169"/>
        <v>0</v>
      </c>
      <c r="AT589" s="558">
        <f t="shared" ca="1" si="169"/>
        <v>11687.689140000002</v>
      </c>
      <c r="AU589" s="558">
        <f t="shared" ca="1" si="169"/>
        <v>0</v>
      </c>
      <c r="AV589" s="558">
        <f t="shared" ca="1" si="169"/>
        <v>0</v>
      </c>
      <c r="AW589" s="558">
        <f t="shared" ca="1" si="169"/>
        <v>0</v>
      </c>
      <c r="AX589" s="558">
        <f t="shared" ca="1" si="169"/>
        <v>0</v>
      </c>
      <c r="AY589" s="558">
        <f t="shared" ca="1" si="169"/>
        <v>0</v>
      </c>
      <c r="AZ589" s="558">
        <f t="shared" ca="1" si="169"/>
        <v>0</v>
      </c>
      <c r="BA589" s="558">
        <f t="shared" ca="1" si="169"/>
        <v>0</v>
      </c>
      <c r="BB589" s="558">
        <f t="shared" ca="1" si="169"/>
        <v>0</v>
      </c>
      <c r="BC589" s="558">
        <f t="shared" ca="1" si="169"/>
        <v>0</v>
      </c>
      <c r="BD589" s="542"/>
      <c r="BE589" s="542"/>
      <c r="BF589" s="542"/>
      <c r="BG589" s="542"/>
      <c r="BH589" s="542"/>
      <c r="BI589" s="542"/>
      <c r="BJ589" s="542"/>
      <c r="BK589" s="542"/>
      <c r="BL589" s="542"/>
      <c r="BM589" s="542"/>
      <c r="BN589" s="196"/>
      <c r="BO589" s="196"/>
      <c r="BP589" s="196"/>
      <c r="BS589" s="694" t="s">
        <v>1899</v>
      </c>
    </row>
    <row r="590" spans="1:75" ht="29.1" customHeight="1" x14ac:dyDescent="0.25">
      <c r="D590" s="25" cm="1">
        <f t="array" ref="D590">D589</f>
        <v>11</v>
      </c>
      <c r="E590" s="507">
        <v>15</v>
      </c>
      <c r="F590" s="3" t="str" cm="1">
        <f t="array" aca="1" ref="F590" ca="1">OFFSET(E590,-1,1)</f>
        <v>3</v>
      </c>
      <c r="G590" s="72" t="s">
        <v>1646</v>
      </c>
      <c r="I590" s="72" t="s">
        <v>2217</v>
      </c>
      <c r="K590" s="72" t="s">
        <v>2217</v>
      </c>
      <c r="L590" s="25" t="s">
        <v>1900</v>
      </c>
      <c r="M590" s="25"/>
      <c r="T590" s="353" t="b" cm="1">
        <f t="array" aca="1" ref="T590" ca="1">T589</f>
        <v>1</v>
      </c>
      <c r="X590" s="990"/>
      <c r="Z590" s="967"/>
      <c r="AB590" s="7" t="str">
        <f>D590&amp;".4"</f>
        <v>11.4</v>
      </c>
      <c r="AC590" s="127" t="s">
        <v>1902</v>
      </c>
      <c r="AD590" s="7" t="s">
        <v>1644</v>
      </c>
      <c r="AE590" s="128">
        <v>0.52899977050000002</v>
      </c>
      <c r="AF590" s="128">
        <v>0.89566970889999997</v>
      </c>
      <c r="AG590" s="128">
        <v>0.47755942629999998</v>
      </c>
      <c r="AH590" s="171">
        <f t="shared" si="166"/>
        <v>-0.41811028259999999</v>
      </c>
      <c r="AI590" s="128">
        <v>0.58099999999999996</v>
      </c>
      <c r="AJ590" s="128">
        <v>1.3436110617999999</v>
      </c>
      <c r="AK590" s="778">
        <f t="shared" ref="AK590:AS590" ca="1" si="170">IF(AK589=0,0,(AK583-AK587*AK588)/AK589)</f>
        <v>0</v>
      </c>
      <c r="AL590" s="778">
        <f t="shared" ca="1" si="170"/>
        <v>0</v>
      </c>
      <c r="AM590" s="128">
        <f t="shared" ca="1" si="170"/>
        <v>0</v>
      </c>
      <c r="AN590" s="128">
        <f t="shared" ca="1" si="170"/>
        <v>0</v>
      </c>
      <c r="AO590" s="128">
        <f t="shared" ca="1" si="170"/>
        <v>0</v>
      </c>
      <c r="AP590" s="128">
        <f t="shared" ca="1" si="170"/>
        <v>0</v>
      </c>
      <c r="AQ590" s="128">
        <f t="shared" ca="1" si="170"/>
        <v>0</v>
      </c>
      <c r="AR590" s="128">
        <f t="shared" ca="1" si="170"/>
        <v>0</v>
      </c>
      <c r="AS590" s="128">
        <f t="shared" ca="1" si="170"/>
        <v>0</v>
      </c>
      <c r="AT590" s="128">
        <v>0.52200009970000005</v>
      </c>
      <c r="AU590" s="778">
        <f t="shared" ref="AU590:BC590" ca="1" si="171">IF(AU589=0,0,(AU583-AU587*AU588)/AU589)</f>
        <v>0</v>
      </c>
      <c r="AV590" s="778">
        <f t="shared" ca="1" si="171"/>
        <v>0</v>
      </c>
      <c r="AW590" s="128">
        <f t="shared" ca="1" si="171"/>
        <v>0</v>
      </c>
      <c r="AX590" s="128">
        <f t="shared" ca="1" si="171"/>
        <v>0</v>
      </c>
      <c r="AY590" s="128">
        <f t="shared" ca="1" si="171"/>
        <v>0</v>
      </c>
      <c r="AZ590" s="128">
        <f t="shared" ca="1" si="171"/>
        <v>0</v>
      </c>
      <c r="BA590" s="128">
        <f t="shared" ca="1" si="171"/>
        <v>0</v>
      </c>
      <c r="BB590" s="128">
        <f t="shared" ca="1" si="171"/>
        <v>0</v>
      </c>
      <c r="BC590" s="128">
        <f t="shared" ca="1" si="171"/>
        <v>0</v>
      </c>
      <c r="BD590" s="542"/>
      <c r="BE590" s="542"/>
      <c r="BF590" s="542"/>
      <c r="BG590" s="542"/>
      <c r="BH590" s="542"/>
      <c r="BI590" s="542"/>
      <c r="BJ590" s="542"/>
      <c r="BK590" s="542"/>
      <c r="BL590" s="542"/>
      <c r="BM590" s="542"/>
      <c r="BN590" s="196"/>
      <c r="BO590" s="196"/>
      <c r="BP590" s="196"/>
      <c r="BS590" s="694" t="s">
        <v>1903</v>
      </c>
    </row>
    <row r="591" spans="1:75" ht="24.75" customHeight="1" x14ac:dyDescent="0.25">
      <c r="D591" s="25" cm="1">
        <f t="array" ref="D591">D590</f>
        <v>11</v>
      </c>
      <c r="E591" s="507">
        <v>15</v>
      </c>
      <c r="F591" s="3" t="str" cm="1">
        <f t="array" aca="1" ref="F591" ca="1">OFFSET(E591,-1,1)</f>
        <v>3</v>
      </c>
      <c r="I591" s="72" t="s">
        <v>2218</v>
      </c>
      <c r="K591" s="72" t="s">
        <v>2218</v>
      </c>
      <c r="L591" s="25" t="s">
        <v>1904</v>
      </c>
      <c r="M591" s="25"/>
      <c r="T591" s="353" t="b" cm="1">
        <f t="array" aca="1" ref="T591" ca="1">T590</f>
        <v>1</v>
      </c>
      <c r="X591" s="990"/>
      <c r="Z591" s="967"/>
      <c r="AB591" s="7" t="str">
        <f>D591&amp;".5"</f>
        <v>11.5</v>
      </c>
      <c r="AC591" s="127" t="s">
        <v>1906</v>
      </c>
      <c r="AD591" s="7" t="s">
        <v>476</v>
      </c>
      <c r="AE591" s="171">
        <f>IF(AE588=0,0,AE590/AE588*100)</f>
        <v>118.08030591517857</v>
      </c>
      <c r="AF591" s="171">
        <f>IF(AF588=0,0,AF590/AF588*100)</f>
        <v>99.999981723176703</v>
      </c>
      <c r="AG591" s="171">
        <f>IF(AG588=0,0,AG590/AG588*100)</f>
        <v>100</v>
      </c>
      <c r="AH591" s="542"/>
      <c r="AI591" s="171">
        <f t="shared" ref="AI591:BC591" si="172">IF(AI588=0,0,AI590/AI588*100)</f>
        <v>109.82986767485821</v>
      </c>
      <c r="AJ591" s="171">
        <f t="shared" si="172"/>
        <v>100</v>
      </c>
      <c r="AK591" s="171">
        <f t="shared" si="172"/>
        <v>0</v>
      </c>
      <c r="AL591" s="171">
        <f t="shared" si="172"/>
        <v>0</v>
      </c>
      <c r="AM591" s="171">
        <f t="shared" si="172"/>
        <v>0</v>
      </c>
      <c r="AN591" s="171">
        <f t="shared" si="172"/>
        <v>0</v>
      </c>
      <c r="AO591" s="171">
        <f t="shared" si="172"/>
        <v>0</v>
      </c>
      <c r="AP591" s="171">
        <f t="shared" si="172"/>
        <v>0</v>
      </c>
      <c r="AQ591" s="171">
        <f t="shared" si="172"/>
        <v>0</v>
      </c>
      <c r="AR591" s="171">
        <f t="shared" si="172"/>
        <v>0</v>
      </c>
      <c r="AS591" s="171">
        <f t="shared" si="172"/>
        <v>0</v>
      </c>
      <c r="AT591" s="171">
        <f t="shared" si="172"/>
        <v>100</v>
      </c>
      <c r="AU591" s="171">
        <f t="shared" ca="1" si="172"/>
        <v>0</v>
      </c>
      <c r="AV591" s="171">
        <f t="shared" ca="1" si="172"/>
        <v>0</v>
      </c>
      <c r="AW591" s="171">
        <f t="shared" ca="1" si="172"/>
        <v>0</v>
      </c>
      <c r="AX591" s="171">
        <f t="shared" ca="1" si="172"/>
        <v>0</v>
      </c>
      <c r="AY591" s="171">
        <f t="shared" ca="1" si="172"/>
        <v>0</v>
      </c>
      <c r="AZ591" s="171">
        <f t="shared" ca="1" si="172"/>
        <v>0</v>
      </c>
      <c r="BA591" s="171">
        <f t="shared" ca="1" si="172"/>
        <v>0</v>
      </c>
      <c r="BB591" s="171">
        <f t="shared" ca="1" si="172"/>
        <v>0</v>
      </c>
      <c r="BC591" s="171">
        <f t="shared" ca="1" si="172"/>
        <v>0</v>
      </c>
      <c r="BD591" s="542"/>
      <c r="BE591" s="542"/>
      <c r="BF591" s="542"/>
      <c r="BG591" s="542"/>
      <c r="BH591" s="542"/>
      <c r="BI591" s="542"/>
      <c r="BJ591" s="542"/>
      <c r="BK591" s="542"/>
      <c r="BL591" s="542"/>
      <c r="BM591" s="542"/>
      <c r="BN591" s="196"/>
      <c r="BO591" s="196"/>
      <c r="BP591" s="196"/>
      <c r="BS591" s="694" t="s">
        <v>1907</v>
      </c>
    </row>
    <row r="592" spans="1:75" ht="44.25" customHeight="1" x14ac:dyDescent="0.25">
      <c r="D592" s="25" cm="1">
        <f t="array" ref="D592">D591</f>
        <v>11</v>
      </c>
      <c r="E592" s="507">
        <v>15</v>
      </c>
      <c r="F592" s="3" t="str" cm="1">
        <f t="array" aca="1" ref="F592" ca="1">OFFSET(E592,-1,1)</f>
        <v>3</v>
      </c>
      <c r="I592" s="72" t="s">
        <v>2219</v>
      </c>
      <c r="K592" s="72" t="s">
        <v>2219</v>
      </c>
      <c r="L592" s="25" t="s">
        <v>1908</v>
      </c>
      <c r="M592" s="25"/>
      <c r="T592" s="353" t="b" cm="1">
        <f t="array" aca="1" ref="T592" ca="1">T591</f>
        <v>1</v>
      </c>
      <c r="X592" s="990"/>
      <c r="Z592" s="967"/>
      <c r="AB592" s="7" t="str">
        <f>D592&amp;".6"</f>
        <v>11.6</v>
      </c>
      <c r="AC592" s="127" t="s">
        <v>1910</v>
      </c>
      <c r="AD592" s="7" t="s">
        <v>1644</v>
      </c>
      <c r="AE592" s="128">
        <v>0.48849988519999998</v>
      </c>
      <c r="AF592" s="128">
        <v>0.89566979079999998</v>
      </c>
      <c r="AG592" s="128">
        <v>0.47755942629999998</v>
      </c>
      <c r="AH592" s="171">
        <f>AG592-AF592</f>
        <v>-0.4181103645</v>
      </c>
      <c r="AI592" s="128">
        <v>0.54549986390000005</v>
      </c>
      <c r="AJ592" s="128">
        <v>1.3436110617999999</v>
      </c>
      <c r="AK592" s="778">
        <f t="shared" ref="AK592:AS592" ca="1" si="173">IF(AK586=0,0,AK583/AK586)</f>
        <v>0</v>
      </c>
      <c r="AL592" s="778">
        <f t="shared" ca="1" si="173"/>
        <v>0</v>
      </c>
      <c r="AM592" s="128">
        <f t="shared" ca="1" si="173"/>
        <v>0</v>
      </c>
      <c r="AN592" s="128">
        <f t="shared" ca="1" si="173"/>
        <v>0</v>
      </c>
      <c r="AO592" s="128">
        <f t="shared" ca="1" si="173"/>
        <v>0</v>
      </c>
      <c r="AP592" s="128">
        <f t="shared" ca="1" si="173"/>
        <v>0</v>
      </c>
      <c r="AQ592" s="128">
        <f t="shared" ca="1" si="173"/>
        <v>0</v>
      </c>
      <c r="AR592" s="128">
        <f t="shared" ca="1" si="173"/>
        <v>0</v>
      </c>
      <c r="AS592" s="128">
        <f t="shared" ca="1" si="173"/>
        <v>0</v>
      </c>
      <c r="AT592" s="128">
        <v>0.52200009970000005</v>
      </c>
      <c r="AU592" s="778">
        <f t="shared" ref="AU592:BC592" ca="1" si="174">IF(AU586=0,0,AU583/AU586)</f>
        <v>0</v>
      </c>
      <c r="AV592" s="778">
        <f t="shared" ca="1" si="174"/>
        <v>0</v>
      </c>
      <c r="AW592" s="128">
        <f t="shared" ca="1" si="174"/>
        <v>0</v>
      </c>
      <c r="AX592" s="128">
        <f t="shared" ca="1" si="174"/>
        <v>0</v>
      </c>
      <c r="AY592" s="128">
        <f t="shared" ca="1" si="174"/>
        <v>0</v>
      </c>
      <c r="AZ592" s="128">
        <f t="shared" ca="1" si="174"/>
        <v>0</v>
      </c>
      <c r="BA592" s="128">
        <f t="shared" ca="1" si="174"/>
        <v>0</v>
      </c>
      <c r="BB592" s="128">
        <f t="shared" ca="1" si="174"/>
        <v>0</v>
      </c>
      <c r="BC592" s="128">
        <f t="shared" ca="1" si="174"/>
        <v>0</v>
      </c>
      <c r="BD592" s="542"/>
      <c r="BE592" s="542"/>
      <c r="BF592" s="542"/>
      <c r="BG592" s="542"/>
      <c r="BH592" s="542"/>
      <c r="BI592" s="542"/>
      <c r="BJ592" s="542"/>
      <c r="BK592" s="542"/>
      <c r="BL592" s="542"/>
      <c r="BM592" s="542"/>
      <c r="BN592" s="196"/>
      <c r="BO592" s="196"/>
      <c r="BP592" s="196" t="s">
        <v>2322</v>
      </c>
      <c r="BS592" s="694" t="s">
        <v>1911</v>
      </c>
    </row>
    <row r="593" spans="1:75" s="870" customFormat="1" ht="20.25" customHeight="1" x14ac:dyDescent="0.25">
      <c r="A593" s="76"/>
      <c r="B593" s="332"/>
      <c r="C593" s="76"/>
      <c r="D593" s="27">
        <f>D592+1</f>
        <v>12</v>
      </c>
      <c r="E593" s="511">
        <v>21</v>
      </c>
      <c r="F593" s="3" t="str" cm="1">
        <f t="array" aca="1" ref="F593" ca="1">OFFSET(E593,-1,1)</f>
        <v>3</v>
      </c>
      <c r="G593" s="76"/>
      <c r="H593" s="72"/>
      <c r="I593" s="72" t="s">
        <v>1916</v>
      </c>
      <c r="J593" s="76"/>
      <c r="K593" s="72" t="s">
        <v>1916</v>
      </c>
      <c r="L593" s="27" t="s">
        <v>1912</v>
      </c>
      <c r="M593" s="27"/>
      <c r="N593" s="76"/>
      <c r="O593" s="76"/>
      <c r="P593" s="76"/>
      <c r="Q593" s="76"/>
      <c r="R593" s="76"/>
      <c r="S593" s="76"/>
      <c r="T593" s="353" t="b" cm="1">
        <f t="array" aca="1" ref="T593" ca="1">T592</f>
        <v>1</v>
      </c>
      <c r="U593" s="76"/>
      <c r="V593" s="76"/>
      <c r="W593" s="76"/>
      <c r="X593" s="990"/>
      <c r="Y593" s="76"/>
      <c r="Z593" s="967"/>
      <c r="AA593" s="76"/>
      <c r="AB593" s="124" cm="1">
        <f t="array" ref="AB593">D593</f>
        <v>12</v>
      </c>
      <c r="AC593" s="125" t="s">
        <v>1914</v>
      </c>
      <c r="AD593" s="124" t="s">
        <v>828</v>
      </c>
      <c r="AE593" s="138">
        <f ca="1">IF(AE586=0,0,AE583/AE586*AE594)</f>
        <v>0</v>
      </c>
      <c r="AF593" s="138">
        <f ca="1">IF(AF586=0,0,AF583/AF586*AF594)</f>
        <v>0</v>
      </c>
      <c r="AG593" s="138">
        <f ca="1">IF(AG586=0,0,AG583/AG586*AG594)</f>
        <v>0</v>
      </c>
      <c r="AH593" s="126">
        <f ca="1">AH595*AH596+AH597*AH598</f>
        <v>0</v>
      </c>
      <c r="AI593" s="138">
        <f t="shared" ref="AI593:BC593" ca="1" si="175">IF(AI586=0,0,AI583/AI586*AI594)</f>
        <v>0</v>
      </c>
      <c r="AJ593" s="138">
        <f t="shared" ca="1" si="175"/>
        <v>0</v>
      </c>
      <c r="AK593" s="774">
        <f t="shared" ca="1" si="175"/>
        <v>0</v>
      </c>
      <c r="AL593" s="774">
        <f t="shared" ca="1" si="175"/>
        <v>0</v>
      </c>
      <c r="AM593" s="138">
        <f t="shared" ca="1" si="175"/>
        <v>0</v>
      </c>
      <c r="AN593" s="138">
        <f t="shared" ca="1" si="175"/>
        <v>0</v>
      </c>
      <c r="AO593" s="138">
        <f t="shared" ca="1" si="175"/>
        <v>0</v>
      </c>
      <c r="AP593" s="138">
        <f t="shared" ca="1" si="175"/>
        <v>0</v>
      </c>
      <c r="AQ593" s="138">
        <f t="shared" ca="1" si="175"/>
        <v>0</v>
      </c>
      <c r="AR593" s="138">
        <f t="shared" ca="1" si="175"/>
        <v>0</v>
      </c>
      <c r="AS593" s="138">
        <f t="shared" ca="1" si="175"/>
        <v>0</v>
      </c>
      <c r="AT593" s="138">
        <f t="shared" ca="1" si="175"/>
        <v>0</v>
      </c>
      <c r="AU593" s="774">
        <f t="shared" ca="1" si="175"/>
        <v>0</v>
      </c>
      <c r="AV593" s="774">
        <f t="shared" ca="1" si="175"/>
        <v>0</v>
      </c>
      <c r="AW593" s="138">
        <f t="shared" ca="1" si="175"/>
        <v>0</v>
      </c>
      <c r="AX593" s="138">
        <f t="shared" ca="1" si="175"/>
        <v>0</v>
      </c>
      <c r="AY593" s="138">
        <f t="shared" ca="1" si="175"/>
        <v>0</v>
      </c>
      <c r="AZ593" s="138">
        <f t="shared" ca="1" si="175"/>
        <v>0</v>
      </c>
      <c r="BA593" s="138">
        <f t="shared" ca="1" si="175"/>
        <v>0</v>
      </c>
      <c r="BB593" s="138">
        <f t="shared" ca="1" si="175"/>
        <v>0</v>
      </c>
      <c r="BC593" s="138">
        <f t="shared" ca="1" si="175"/>
        <v>0</v>
      </c>
      <c r="BD593" s="126">
        <f ca="1">IF(AI593=0,0,(AT593-AI593)/AI593*100)</f>
        <v>0</v>
      </c>
      <c r="BE593" s="126">
        <f t="shared" ref="BE593:BM593" ca="1" si="176">IF(AT593=0,0,(AU593-AT593)/AT593*100)</f>
        <v>0</v>
      </c>
      <c r="BF593" s="126">
        <f t="shared" ca="1" si="176"/>
        <v>0</v>
      </c>
      <c r="BG593" s="126">
        <f t="shared" ca="1" si="176"/>
        <v>0</v>
      </c>
      <c r="BH593" s="126">
        <f t="shared" ca="1" si="176"/>
        <v>0</v>
      </c>
      <c r="BI593" s="126">
        <f t="shared" ca="1" si="176"/>
        <v>0</v>
      </c>
      <c r="BJ593" s="126">
        <f t="shared" ca="1" si="176"/>
        <v>0</v>
      </c>
      <c r="BK593" s="126">
        <f t="shared" ca="1" si="176"/>
        <v>0</v>
      </c>
      <c r="BL593" s="126">
        <f t="shared" ca="1" si="176"/>
        <v>0</v>
      </c>
      <c r="BM593" s="126">
        <f t="shared" ca="1" si="176"/>
        <v>0</v>
      </c>
      <c r="BN593" s="196"/>
      <c r="BO593" s="196"/>
      <c r="BP593" s="196"/>
      <c r="BQ593" s="76"/>
      <c r="BR593" s="76"/>
      <c r="BS593" s="695" t="s">
        <v>1915</v>
      </c>
      <c r="BT593" s="702"/>
      <c r="BU593" s="702"/>
      <c r="BV593" s="511"/>
      <c r="BW593" s="511"/>
    </row>
    <row r="594" spans="1:75" s="870" customFormat="1" ht="20.25" customHeight="1" x14ac:dyDescent="0.25">
      <c r="A594" s="76"/>
      <c r="B594" s="332"/>
      <c r="C594" s="76"/>
      <c r="D594" s="27">
        <f>D593+1</f>
        <v>13</v>
      </c>
      <c r="E594" s="511">
        <v>21</v>
      </c>
      <c r="F594" s="3" t="str" cm="1">
        <f t="array" aca="1" ref="F594" ca="1">OFFSET(E594,-1,1)</f>
        <v>3</v>
      </c>
      <c r="G594" s="72" t="s">
        <v>1666</v>
      </c>
      <c r="H594" s="72"/>
      <c r="I594" s="72" t="s">
        <v>2220</v>
      </c>
      <c r="J594" s="76"/>
      <c r="K594" s="72" t="s">
        <v>2220</v>
      </c>
      <c r="L594" s="27" t="s">
        <v>1916</v>
      </c>
      <c r="M594" s="27"/>
      <c r="N594" s="76"/>
      <c r="O594" s="76"/>
      <c r="P594" s="76"/>
      <c r="Q594" s="76"/>
      <c r="R594" s="76"/>
      <c r="S594" s="76"/>
      <c r="T594" s="353" t="b" cm="1">
        <f t="array" aca="1" ref="T594" ca="1">T593</f>
        <v>1</v>
      </c>
      <c r="U594" s="76"/>
      <c r="V594" s="76"/>
      <c r="W594" s="76"/>
      <c r="X594" s="990"/>
      <c r="Y594" s="76"/>
      <c r="Z594" s="967"/>
      <c r="AA594" s="76"/>
      <c r="AB594" s="124" cm="1">
        <f t="array" ref="AB594">D594</f>
        <v>13</v>
      </c>
      <c r="AC594" s="125" t="s">
        <v>1918</v>
      </c>
      <c r="AD594" s="124" t="s">
        <v>558</v>
      </c>
      <c r="AE594" s="552">
        <f ca="1">SUMIFS(Баланс!AE$26:AE$391,Баланс!$F$26:$F$391,$F594,Баланс!$G$26:$G$391,"население")</f>
        <v>0</v>
      </c>
      <c r="AF594" s="552">
        <f ca="1">SUMIFS(Баланс!AF$26:AF$391,Баланс!$F$26:$F$391,$F594,Баланс!$G$26:$G$391,"население")</f>
        <v>0</v>
      </c>
      <c r="AG594" s="552">
        <f ca="1">SUMIFS(Баланс!AG$26:AG$391,Баланс!$F$26:$F$391,$F594,Баланс!$G$26:$G$391,"население")</f>
        <v>0</v>
      </c>
      <c r="AH594" s="552">
        <f ca="1">AG594-AF594</f>
        <v>0</v>
      </c>
      <c r="AI594" s="552">
        <f ca="1">SUMIFS(Баланс!AH$26:AH$391,Баланс!$F$26:$F$391,$F594,Баланс!$G$26:$G$391,"население")</f>
        <v>0</v>
      </c>
      <c r="AJ594" s="552">
        <f ca="1">SUMIFS(Баланс!AI$26:AI$391,Баланс!$F$26:$F$391,$F594,Баланс!$G$26:$G$391,"население")</f>
        <v>0</v>
      </c>
      <c r="AK594" s="552">
        <f ca="1">SUMIFS(Баланс!AJ$26:AJ$391,Баланс!$F$26:$F$391,$F594,Баланс!$G$26:$G$391,"население")</f>
        <v>0</v>
      </c>
      <c r="AL594" s="552">
        <f ca="1">SUMIFS(Баланс!AK$26:AK$391,Баланс!$F$26:$F$391,$F594,Баланс!$G$26:$G$391,"население")</f>
        <v>0</v>
      </c>
      <c r="AM594" s="552">
        <f ca="1">SUMIFS(Баланс!AL$26:AL$391,Баланс!$F$26:$F$391,$F594,Баланс!$G$26:$G$391,"население")</f>
        <v>0</v>
      </c>
      <c r="AN594" s="552">
        <f ca="1">SUMIFS(Баланс!AM$26:AM$391,Баланс!$F$26:$F$391,$F594,Баланс!$G$26:$G$391,"население")</f>
        <v>0</v>
      </c>
      <c r="AO594" s="552">
        <f ca="1">SUMIFS(Баланс!AN$26:AN$391,Баланс!$F$26:$F$391,$F594,Баланс!$G$26:$G$391,"население")</f>
        <v>0</v>
      </c>
      <c r="AP594" s="552">
        <f ca="1">SUMIFS(Баланс!AO$26:AO$391,Баланс!$F$26:$F$391,$F594,Баланс!$G$26:$G$391,"население")</f>
        <v>0</v>
      </c>
      <c r="AQ594" s="552">
        <f ca="1">SUMIFS(Баланс!AP$26:AP$391,Баланс!$F$26:$F$391,$F594,Баланс!$G$26:$G$391,"население")</f>
        <v>0</v>
      </c>
      <c r="AR594" s="552">
        <f ca="1">SUMIFS(Баланс!AQ$26:AQ$391,Баланс!$F$26:$F$391,$F594,Баланс!$G$26:$G$391,"население")</f>
        <v>0</v>
      </c>
      <c r="AS594" s="552">
        <f ca="1">SUMIFS(Баланс!AR$26:AR$391,Баланс!$F$26:$F$391,$F594,Баланс!$G$26:$G$391,"население")</f>
        <v>0</v>
      </c>
      <c r="AT594" s="552">
        <f ca="1">SUMIFS(Баланс!AS$26:AS$391,Баланс!$F$26:$F$391,$F594,Баланс!$G$26:$G$391,"население")</f>
        <v>0</v>
      </c>
      <c r="AU594" s="552">
        <f ca="1">SUMIFS(Баланс!AT$26:AT$391,Баланс!$F$26:$F$391,$F594,Баланс!$G$26:$G$391,"население")</f>
        <v>0</v>
      </c>
      <c r="AV594" s="552">
        <f ca="1">SUMIFS(Баланс!AU$26:AU$391,Баланс!$F$26:$F$391,$F594,Баланс!$G$26:$G$391,"население")</f>
        <v>0</v>
      </c>
      <c r="AW594" s="552">
        <f ca="1">SUMIFS(Баланс!AV$26:AV$391,Баланс!$F$26:$F$391,$F594,Баланс!$G$26:$G$391,"население")</f>
        <v>0</v>
      </c>
      <c r="AX594" s="552">
        <f ca="1">SUMIFS(Баланс!AW$26:AW$391,Баланс!$F$26:$F$391,$F594,Баланс!$G$26:$G$391,"население")</f>
        <v>0</v>
      </c>
      <c r="AY594" s="552">
        <f ca="1">SUMIFS(Баланс!AX$26:AX$391,Баланс!$F$26:$F$391,$F594,Баланс!$G$26:$G$391,"население")</f>
        <v>0</v>
      </c>
      <c r="AZ594" s="552">
        <f ca="1">SUMIFS(Баланс!AY$26:AY$391,Баланс!$F$26:$F$391,$F594,Баланс!$G$26:$G$391,"население")</f>
        <v>0</v>
      </c>
      <c r="BA594" s="552">
        <f ca="1">SUMIFS(Баланс!AZ$26:AZ$391,Баланс!$F$26:$F$391,$F594,Баланс!$G$26:$G$391,"население")</f>
        <v>0</v>
      </c>
      <c r="BB594" s="552">
        <f ca="1">SUMIFS(Баланс!BA$26:BA$391,Баланс!$F$26:$F$391,$F594,Баланс!$G$26:$G$391,"население")</f>
        <v>0</v>
      </c>
      <c r="BC594" s="552">
        <f ca="1">SUMIFS(Баланс!BB$26:BB$391,Баланс!$F$26:$F$391,$F594,Баланс!$G$26:$G$391,"население")</f>
        <v>0</v>
      </c>
      <c r="BD594" s="129"/>
      <c r="BE594" s="129"/>
      <c r="BF594" s="129"/>
      <c r="BG594" s="129"/>
      <c r="BH594" s="129"/>
      <c r="BI594" s="129"/>
      <c r="BJ594" s="129"/>
      <c r="BK594" s="129"/>
      <c r="BL594" s="129"/>
      <c r="BM594" s="129"/>
      <c r="BN594" s="196"/>
      <c r="BO594" s="196"/>
      <c r="BP594" s="196"/>
      <c r="BQ594" s="76"/>
      <c r="BR594" s="76"/>
      <c r="BS594" s="695" t="s">
        <v>1919</v>
      </c>
      <c r="BT594" s="702"/>
      <c r="BU594" s="702"/>
      <c r="BV594" s="511"/>
      <c r="BW594" s="511"/>
    </row>
    <row r="595" spans="1:75" ht="14.25" customHeight="1" x14ac:dyDescent="0.25">
      <c r="D595" s="25" cm="1">
        <f t="array" ref="D595">D594</f>
        <v>13</v>
      </c>
      <c r="E595" s="507">
        <v>15</v>
      </c>
      <c r="F595" s="3" t="str" cm="1">
        <f t="array" aca="1" ref="F595" ca="1">OFFSET(E595,-1,1)</f>
        <v>3</v>
      </c>
      <c r="G595" s="72" t="s">
        <v>1700</v>
      </c>
      <c r="I595" s="72" t="s">
        <v>2221</v>
      </c>
      <c r="K595" s="72" t="s">
        <v>2221</v>
      </c>
      <c r="L595" s="25" t="s">
        <v>1920</v>
      </c>
      <c r="M595" s="25"/>
      <c r="T595" s="353" t="b" cm="1">
        <f t="array" aca="1" ref="T595" ca="1">T594</f>
        <v>1</v>
      </c>
      <c r="X595" s="990"/>
      <c r="Z595" s="967"/>
      <c r="AB595" s="7" t="str">
        <f>D595&amp;".1"</f>
        <v>13.1</v>
      </c>
      <c r="AC595" s="127" t="s">
        <v>1922</v>
      </c>
      <c r="AD595" s="7" t="s">
        <v>558</v>
      </c>
      <c r="AE595" s="444">
        <f ca="1">AE594/2</f>
        <v>0</v>
      </c>
      <c r="AF595" s="444">
        <f ca="1">AF594/2</f>
        <v>0</v>
      </c>
      <c r="AG595" s="444">
        <f ca="1">AG594/2</f>
        <v>0</v>
      </c>
      <c r="AH595" s="558">
        <f ca="1">AG595-AF595</f>
        <v>0</v>
      </c>
      <c r="AI595" s="444">
        <f ca="1">AI594/2</f>
        <v>0</v>
      </c>
      <c r="AJ595" s="444">
        <f ca="1">IF(god=2026,AJ594/12*9,AJ594/2)</f>
        <v>0</v>
      </c>
      <c r="AK595" s="776">
        <f ca="1">IF(god=2025,AK594/12*9,AK594/2)</f>
        <v>0</v>
      </c>
      <c r="AL595" s="776">
        <f t="shared" ref="AL595:AS595" ca="1" si="177">AL594/2</f>
        <v>0</v>
      </c>
      <c r="AM595" s="444">
        <f t="shared" ca="1" si="177"/>
        <v>0</v>
      </c>
      <c r="AN595" s="444">
        <f t="shared" ca="1" si="177"/>
        <v>0</v>
      </c>
      <c r="AO595" s="444">
        <f t="shared" ca="1" si="177"/>
        <v>0</v>
      </c>
      <c r="AP595" s="444">
        <f t="shared" ca="1" si="177"/>
        <v>0</v>
      </c>
      <c r="AQ595" s="444">
        <f t="shared" ca="1" si="177"/>
        <v>0</v>
      </c>
      <c r="AR595" s="444">
        <f t="shared" ca="1" si="177"/>
        <v>0</v>
      </c>
      <c r="AS595" s="444">
        <f t="shared" ca="1" si="177"/>
        <v>0</v>
      </c>
      <c r="AT595" s="444">
        <f ca="1">IF(god=2026,AT594/12*9,AT594/2)</f>
        <v>0</v>
      </c>
      <c r="AU595" s="776">
        <f ca="1">IF(god=2025,AU594/12*9,AU594/2)</f>
        <v>0</v>
      </c>
      <c r="AV595" s="776">
        <f t="shared" ref="AV595:BC595" ca="1" si="178">AV594/2</f>
        <v>0</v>
      </c>
      <c r="AW595" s="444">
        <f t="shared" ca="1" si="178"/>
        <v>0</v>
      </c>
      <c r="AX595" s="444">
        <f t="shared" ca="1" si="178"/>
        <v>0</v>
      </c>
      <c r="AY595" s="444">
        <f t="shared" ca="1" si="178"/>
        <v>0</v>
      </c>
      <c r="AZ595" s="444">
        <f t="shared" ca="1" si="178"/>
        <v>0</v>
      </c>
      <c r="BA595" s="444">
        <f t="shared" ca="1" si="178"/>
        <v>0</v>
      </c>
      <c r="BB595" s="444">
        <f t="shared" ca="1" si="178"/>
        <v>0</v>
      </c>
      <c r="BC595" s="444">
        <f t="shared" ca="1" si="178"/>
        <v>0</v>
      </c>
      <c r="BD595" s="542"/>
      <c r="BE595" s="542"/>
      <c r="BF595" s="542"/>
      <c r="BG595" s="542"/>
      <c r="BH595" s="542"/>
      <c r="BI595" s="542"/>
      <c r="BJ595" s="542"/>
      <c r="BK595" s="542"/>
      <c r="BL595" s="542"/>
      <c r="BM595" s="542"/>
      <c r="BN595" s="196"/>
      <c r="BO595" s="196"/>
      <c r="BP595" s="196"/>
      <c r="BS595" s="694" t="s">
        <v>1923</v>
      </c>
    </row>
    <row r="596" spans="1:75" ht="14.25" customHeight="1" x14ac:dyDescent="0.25">
      <c r="D596" s="25" cm="1">
        <f t="array" ref="D596">D595</f>
        <v>13</v>
      </c>
      <c r="E596" s="507">
        <v>15</v>
      </c>
      <c r="F596" s="3" t="str" cm="1">
        <f t="array" aca="1" ref="F596" ca="1">OFFSET(E596,-1,1)</f>
        <v>3</v>
      </c>
      <c r="G596" s="72" t="s">
        <v>1656</v>
      </c>
      <c r="I596" s="72" t="s">
        <v>2222</v>
      </c>
      <c r="K596" s="72" t="s">
        <v>2222</v>
      </c>
      <c r="L596" s="25" t="s">
        <v>1924</v>
      </c>
      <c r="M596" s="25"/>
      <c r="T596" s="353" t="b" cm="1">
        <f t="array" aca="1" ref="T596" ca="1">T595</f>
        <v>1</v>
      </c>
      <c r="X596" s="990"/>
      <c r="Z596" s="967"/>
      <c r="AB596" s="7" t="str">
        <f>D596&amp;".2"</f>
        <v>13.2</v>
      </c>
      <c r="AC596" s="127" t="s">
        <v>1926</v>
      </c>
      <c r="AD596" s="7" t="s">
        <v>1644</v>
      </c>
      <c r="AE596" s="128">
        <f ca="1">IF(AE594=0,0,AE588*(1+Сценарии!AE$26))</f>
        <v>0</v>
      </c>
      <c r="AF596" s="128">
        <f ca="1">IF(AF594=0,0,AF588*(1+Сценарии!AF$26))</f>
        <v>0</v>
      </c>
      <c r="AG596" s="128">
        <f ca="1">IF(AG594=0,0,AG588*(1+Сценарии!AG$26))</f>
        <v>0</v>
      </c>
      <c r="AH596" s="171">
        <f ca="1">AG596-AF596</f>
        <v>0</v>
      </c>
      <c r="AI596" s="128">
        <f ca="1">IF(AI594=0,0,AI588*(1+Сценарии!AI$26))</f>
        <v>0</v>
      </c>
      <c r="AJ596" s="128">
        <f ca="1">IF(AJ594=0,0,AJ588*(1+Сценарии!AJ$26))</f>
        <v>0</v>
      </c>
      <c r="AK596" s="778">
        <f ca="1">IF(AK594=0,0,AK588*(1+Сценарии!AO$26))</f>
        <v>0</v>
      </c>
      <c r="AL596" s="778">
        <f ca="1">IF(AL594=0,0,AL588*(1+Сценарии!AP$26))</f>
        <v>0</v>
      </c>
      <c r="AM596" s="128">
        <f ca="1">IF(AM594=0,0,AM588*(1+Сценарии!AQ$26))</f>
        <v>0</v>
      </c>
      <c r="AN596" s="128">
        <f ca="1">IF(AN594=0,0,AN588*(1+Сценарии!AR$26))</f>
        <v>0</v>
      </c>
      <c r="AO596" s="128">
        <f ca="1">IF(AO594=0,0,AO588*(1+Сценарии!AS$26))</f>
        <v>0</v>
      </c>
      <c r="AP596" s="128">
        <f ca="1">IF(AP594=0,0,AP588*(1+Сценарии!AT$26))</f>
        <v>0</v>
      </c>
      <c r="AQ596" s="128">
        <f ca="1">IF(AQ594=0,0,AQ588*(1+Сценарии!AU$26))</f>
        <v>0</v>
      </c>
      <c r="AR596" s="128">
        <f ca="1">IF(AR594=0,0,AR588*(1+Сценарии!AV$26))</f>
        <v>0</v>
      </c>
      <c r="AS596" s="128">
        <f ca="1">IF(AS594=0,0,AS588*(1+Сценарии!AW$26))</f>
        <v>0</v>
      </c>
      <c r="AT596" s="128">
        <f ca="1">IF(AT594=0,0,AT588*(1+Сценарии!AK$26))</f>
        <v>0</v>
      </c>
      <c r="AU596" s="778">
        <f ca="1">IF(AU594=0,0,AU588*(1+Сценарии!AX$26))</f>
        <v>0</v>
      </c>
      <c r="AV596" s="778">
        <f ca="1">IF(AV594=0,0,AV588*(1+Сценарии!AY$26))</f>
        <v>0</v>
      </c>
      <c r="AW596" s="128">
        <f ca="1">IF(AW594=0,0,AW588*(1+Сценарии!AZ$26))</f>
        <v>0</v>
      </c>
      <c r="AX596" s="128">
        <f ca="1">IF(AX594=0,0,AX588*(1+Сценарии!BA$26))</f>
        <v>0</v>
      </c>
      <c r="AY596" s="128">
        <f ca="1">IF(AY594=0,0,AY588*(1+Сценарии!BB$26))</f>
        <v>0</v>
      </c>
      <c r="AZ596" s="128">
        <f ca="1">IF(AZ594=0,0,AZ588*(1+Сценарии!BC$26))</f>
        <v>0</v>
      </c>
      <c r="BA596" s="128">
        <f ca="1">IF(BA594=0,0,BA588*(1+Сценарии!BD$26))</f>
        <v>0</v>
      </c>
      <c r="BB596" s="128">
        <f ca="1">IF(BB594=0,0,BB588*(1+Сценарии!BE$26))</f>
        <v>0</v>
      </c>
      <c r="BC596" s="128">
        <f ca="1">IF(BC594=0,0,BC588*(1+Сценарии!BF$26))</f>
        <v>0</v>
      </c>
      <c r="BD596" s="542"/>
      <c r="BE596" s="542"/>
      <c r="BF596" s="542"/>
      <c r="BG596" s="542"/>
      <c r="BH596" s="542"/>
      <c r="BI596" s="542"/>
      <c r="BJ596" s="542"/>
      <c r="BK596" s="542"/>
      <c r="BL596" s="542"/>
      <c r="BM596" s="542"/>
      <c r="BN596" s="196"/>
      <c r="BO596" s="196"/>
      <c r="BP596" s="196"/>
      <c r="BS596" s="694" t="s">
        <v>1927</v>
      </c>
    </row>
    <row r="597" spans="1:75" ht="14.25" customHeight="1" x14ac:dyDescent="0.25">
      <c r="B597" s="15"/>
      <c r="C597" s="25"/>
      <c r="D597" s="25" cm="1">
        <f t="array" ref="D597">D596</f>
        <v>13</v>
      </c>
      <c r="E597" s="451">
        <v>15</v>
      </c>
      <c r="F597" s="3" t="str" cm="1">
        <f t="array" aca="1" ref="F597" ca="1">OFFSET(E597,-1,1)</f>
        <v>3</v>
      </c>
      <c r="G597" s="25" t="s">
        <v>1707</v>
      </c>
      <c r="H597" s="25"/>
      <c r="I597" s="25" t="s">
        <v>2223</v>
      </c>
      <c r="J597" s="25"/>
      <c r="K597" s="25" t="s">
        <v>2223</v>
      </c>
      <c r="L597" s="25" t="s">
        <v>1928</v>
      </c>
      <c r="M597" s="25"/>
      <c r="N597" s="25"/>
      <c r="O597" s="25"/>
      <c r="P597" s="25"/>
      <c r="Q597" s="25"/>
      <c r="R597" s="25"/>
      <c r="S597" s="25"/>
      <c r="T597" s="353" t="b" cm="1">
        <f t="array" aca="1" ref="T597" ca="1">T596</f>
        <v>1</v>
      </c>
      <c r="U597" s="25"/>
      <c r="V597" s="25"/>
      <c r="W597" s="25"/>
      <c r="X597" s="990"/>
      <c r="Z597" s="967"/>
      <c r="AB597" s="7" t="str">
        <f>D597&amp;".3"</f>
        <v>13.3</v>
      </c>
      <c r="AC597" s="127" t="s">
        <v>1898</v>
      </c>
      <c r="AD597" s="7" t="s">
        <v>558</v>
      </c>
      <c r="AE597" s="558">
        <f ca="1">AE594-AE595</f>
        <v>0</v>
      </c>
      <c r="AF597" s="558">
        <f ca="1">AF594-AF595</f>
        <v>0</v>
      </c>
      <c r="AG597" s="558">
        <f ca="1">AG594-AG595</f>
        <v>0</v>
      </c>
      <c r="AH597" s="558">
        <f ca="1">AG597-AF597</f>
        <v>0</v>
      </c>
      <c r="AI597" s="558">
        <f t="shared" ref="AI597:BC597" ca="1" si="179">AI594-AI595</f>
        <v>0</v>
      </c>
      <c r="AJ597" s="558">
        <f t="shared" ca="1" si="179"/>
        <v>0</v>
      </c>
      <c r="AK597" s="558">
        <f t="shared" ca="1" si="179"/>
        <v>0</v>
      </c>
      <c r="AL597" s="558">
        <f t="shared" ca="1" si="179"/>
        <v>0</v>
      </c>
      <c r="AM597" s="558">
        <f t="shared" ca="1" si="179"/>
        <v>0</v>
      </c>
      <c r="AN597" s="558">
        <f t="shared" ca="1" si="179"/>
        <v>0</v>
      </c>
      <c r="AO597" s="558">
        <f t="shared" ca="1" si="179"/>
        <v>0</v>
      </c>
      <c r="AP597" s="558">
        <f t="shared" ca="1" si="179"/>
        <v>0</v>
      </c>
      <c r="AQ597" s="558">
        <f t="shared" ca="1" si="179"/>
        <v>0</v>
      </c>
      <c r="AR597" s="558">
        <f t="shared" ca="1" si="179"/>
        <v>0</v>
      </c>
      <c r="AS597" s="558">
        <f t="shared" ca="1" si="179"/>
        <v>0</v>
      </c>
      <c r="AT597" s="558">
        <f t="shared" ca="1" si="179"/>
        <v>0</v>
      </c>
      <c r="AU597" s="558">
        <f t="shared" ca="1" si="179"/>
        <v>0</v>
      </c>
      <c r="AV597" s="558">
        <f t="shared" ca="1" si="179"/>
        <v>0</v>
      </c>
      <c r="AW597" s="558">
        <f t="shared" ca="1" si="179"/>
        <v>0</v>
      </c>
      <c r="AX597" s="558">
        <f t="shared" ca="1" si="179"/>
        <v>0</v>
      </c>
      <c r="AY597" s="558">
        <f t="shared" ca="1" si="179"/>
        <v>0</v>
      </c>
      <c r="AZ597" s="558">
        <f t="shared" ca="1" si="179"/>
        <v>0</v>
      </c>
      <c r="BA597" s="558">
        <f t="shared" ca="1" si="179"/>
        <v>0</v>
      </c>
      <c r="BB597" s="558">
        <f t="shared" ca="1" si="179"/>
        <v>0</v>
      </c>
      <c r="BC597" s="558">
        <f t="shared" ca="1" si="179"/>
        <v>0</v>
      </c>
      <c r="BD597" s="542"/>
      <c r="BE597" s="542"/>
      <c r="BF597" s="542"/>
      <c r="BG597" s="542"/>
      <c r="BH597" s="542"/>
      <c r="BI597" s="542"/>
      <c r="BJ597" s="542"/>
      <c r="BK597" s="542"/>
      <c r="BL597" s="542"/>
      <c r="BM597" s="542"/>
      <c r="BN597" s="196"/>
      <c r="BO597" s="196"/>
      <c r="BP597" s="196"/>
      <c r="BS597" s="694" t="s">
        <v>1930</v>
      </c>
    </row>
    <row r="598" spans="1:75" ht="14.25" customHeight="1" x14ac:dyDescent="0.25">
      <c r="B598" s="15"/>
      <c r="C598" s="25"/>
      <c r="D598" s="25" cm="1">
        <f t="array" ref="D598">D597</f>
        <v>13</v>
      </c>
      <c r="E598" s="451">
        <v>15</v>
      </c>
      <c r="F598" s="3" t="str" cm="1">
        <f t="array" aca="1" ref="F598" ca="1">OFFSET(E598,-1,1)</f>
        <v>3</v>
      </c>
      <c r="G598" s="25" t="s">
        <v>1660</v>
      </c>
      <c r="H598" s="25"/>
      <c r="I598" s="25" t="s">
        <v>2224</v>
      </c>
      <c r="J598" s="25"/>
      <c r="K598" s="25" t="s">
        <v>2224</v>
      </c>
      <c r="L598" s="25" t="s">
        <v>1931</v>
      </c>
      <c r="M598" s="25"/>
      <c r="N598" s="25"/>
      <c r="O598" s="25"/>
      <c r="P598" s="25"/>
      <c r="Q598" s="25"/>
      <c r="R598" s="25"/>
      <c r="S598" s="25"/>
      <c r="T598" s="353" t="b" cm="1">
        <f t="array" aca="1" ref="T598" ca="1">T597</f>
        <v>1</v>
      </c>
      <c r="U598" s="25"/>
      <c r="V598" s="25"/>
      <c r="W598" s="25"/>
      <c r="X598" s="990"/>
      <c r="Z598" s="967"/>
      <c r="AB598" s="7" t="str">
        <f>D598&amp;".4"</f>
        <v>13.4</v>
      </c>
      <c r="AC598" s="127" t="s">
        <v>1902</v>
      </c>
      <c r="AD598" s="7" t="s">
        <v>1644</v>
      </c>
      <c r="AE598" s="128">
        <f ca="1">IF(AE594=0,0,AE590*(1+Сценарии!AE$26))</f>
        <v>0</v>
      </c>
      <c r="AF598" s="128">
        <f ca="1">IF(AF594=0,0,AF590*(1+Сценарии!AF$26))</f>
        <v>0</v>
      </c>
      <c r="AG598" s="128">
        <f ca="1">IF(AG594=0,0,AG590*(1+Сценарии!AG$26))</f>
        <v>0</v>
      </c>
      <c r="AH598" s="171">
        <f ca="1">AG598-AF598</f>
        <v>0</v>
      </c>
      <c r="AI598" s="128">
        <f ca="1">IF(AI594=0,0,AI590*(1+Сценарии!AI$26))</f>
        <v>0</v>
      </c>
      <c r="AJ598" s="128">
        <f ca="1">IF(AJ594=0,0,AJ590*(1+Сценарии!AJ$26))</f>
        <v>0</v>
      </c>
      <c r="AK598" s="778">
        <f ca="1">IF(AK594=0,0,AK590*(1+Сценарии!AO$26))</f>
        <v>0</v>
      </c>
      <c r="AL598" s="778">
        <f ca="1">IF(AL594=0,0,AL590*(1+Сценарии!AP$26))</f>
        <v>0</v>
      </c>
      <c r="AM598" s="128">
        <f ca="1">IF(AM594=0,0,AM590*(1+Сценарии!AQ$26))</f>
        <v>0</v>
      </c>
      <c r="AN598" s="128">
        <f ca="1">IF(AN594=0,0,AN590*(1+Сценарии!AR$26))</f>
        <v>0</v>
      </c>
      <c r="AO598" s="128">
        <f ca="1">IF(AO594=0,0,AO590*(1+Сценарии!AS$26))</f>
        <v>0</v>
      </c>
      <c r="AP598" s="128">
        <f ca="1">IF(AP594=0,0,AP590*(1+Сценарии!AT$26))</f>
        <v>0</v>
      </c>
      <c r="AQ598" s="128">
        <f ca="1">IF(AQ594=0,0,AQ590*(1+Сценарии!AU$26))</f>
        <v>0</v>
      </c>
      <c r="AR598" s="128">
        <f ca="1">IF(AR594=0,0,AR590*(1+Сценарии!AV$26))</f>
        <v>0</v>
      </c>
      <c r="AS598" s="128">
        <f ca="1">IF(AS594=0,0,AS590*(1+Сценарии!AW$26))</f>
        <v>0</v>
      </c>
      <c r="AT598" s="128">
        <f ca="1">IF(AT594=0,0,AT590*(1+Сценарии!AK$26))</f>
        <v>0</v>
      </c>
      <c r="AU598" s="778">
        <f ca="1">IF(AU594=0,0,AU590*(1+Сценарии!AX$26))</f>
        <v>0</v>
      </c>
      <c r="AV598" s="778">
        <f ca="1">IF(AV594=0,0,AV590*(1+Сценарии!AY$26))</f>
        <v>0</v>
      </c>
      <c r="AW598" s="128">
        <f ca="1">IF(AW594=0,0,AW590*(1+Сценарии!AZ$26))</f>
        <v>0</v>
      </c>
      <c r="AX598" s="128">
        <f ca="1">IF(AX594=0,0,AX590*(1+Сценарии!BA$26))</f>
        <v>0</v>
      </c>
      <c r="AY598" s="128">
        <f ca="1">IF(AY594=0,0,AY590*(1+Сценарии!BB$26))</f>
        <v>0</v>
      </c>
      <c r="AZ598" s="128">
        <f ca="1">IF(AZ594=0,0,AZ590*(1+Сценарии!BC$26))</f>
        <v>0</v>
      </c>
      <c r="BA598" s="128">
        <f ca="1">IF(BA594=0,0,BA590*(1+Сценарии!BD$26))</f>
        <v>0</v>
      </c>
      <c r="BB598" s="128">
        <f ca="1">IF(BB594=0,0,BB590*(1+Сценарии!BE$26))</f>
        <v>0</v>
      </c>
      <c r="BC598" s="128">
        <f ca="1">IF(BC594=0,0,BC590*(1+Сценарии!BF$26))</f>
        <v>0</v>
      </c>
      <c r="BD598" s="542"/>
      <c r="BE598" s="542"/>
      <c r="BF598" s="542"/>
      <c r="BG598" s="542"/>
      <c r="BH598" s="542"/>
      <c r="BI598" s="542"/>
      <c r="BJ598" s="542"/>
      <c r="BK598" s="542"/>
      <c r="BL598" s="542"/>
      <c r="BM598" s="542"/>
      <c r="BN598" s="196"/>
      <c r="BO598" s="196"/>
      <c r="BP598" s="196"/>
      <c r="BS598" s="694" t="s">
        <v>1934</v>
      </c>
    </row>
    <row r="599" spans="1:75" ht="21" customHeight="1" x14ac:dyDescent="0.25">
      <c r="B599" s="15"/>
      <c r="C599" s="25"/>
      <c r="D599" s="25">
        <f>D598+1</f>
        <v>14</v>
      </c>
      <c r="E599" s="451">
        <v>15</v>
      </c>
      <c r="F599" s="3" t="str" cm="1">
        <f t="array" aca="1" ref="F599" ca="1">OFFSET(E599,-1,1)</f>
        <v>3</v>
      </c>
      <c r="G599" s="25"/>
      <c r="H599" s="25"/>
      <c r="I599" s="25"/>
      <c r="J599" s="25"/>
      <c r="K599" s="25"/>
      <c r="L599" s="25"/>
      <c r="M599" s="25"/>
      <c r="N599" s="25"/>
      <c r="O599" s="25"/>
      <c r="P599" s="25"/>
      <c r="Q599" s="25"/>
      <c r="R599" s="25"/>
      <c r="S599" s="25"/>
      <c r="T599" s="353" t="b" cm="1">
        <f t="array" aca="1" ref="T599" ca="1">T598</f>
        <v>1</v>
      </c>
      <c r="U599" s="25"/>
      <c r="V599" s="25"/>
      <c r="W599" s="25"/>
      <c r="X599" s="990"/>
      <c r="Z599" s="967"/>
      <c r="AB599" s="124" cm="1">
        <f t="array" ref="AB599">D599</f>
        <v>14</v>
      </c>
      <c r="AC599" s="125" t="s">
        <v>1936</v>
      </c>
      <c r="AD599" s="124" t="s">
        <v>828</v>
      </c>
      <c r="AE599" s="128"/>
      <c r="AF599" s="128"/>
      <c r="AG599" s="128"/>
      <c r="AH599" s="171"/>
      <c r="AI599" s="128"/>
      <c r="AJ599" s="128"/>
      <c r="AK599" s="778"/>
      <c r="AL599" s="778"/>
      <c r="AM599" s="128"/>
      <c r="AN599" s="128"/>
      <c r="AO599" s="128"/>
      <c r="AP599" s="128"/>
      <c r="AQ599" s="128"/>
      <c r="AR599" s="128"/>
      <c r="AS599" s="128"/>
      <c r="AT599" s="128"/>
      <c r="AU599" s="778"/>
      <c r="AV599" s="778"/>
      <c r="AW599" s="128"/>
      <c r="AX599" s="128"/>
      <c r="AY599" s="128"/>
      <c r="AZ599" s="128"/>
      <c r="BA599" s="128"/>
      <c r="BB599" s="128"/>
      <c r="BC599" s="128"/>
      <c r="BD599" s="542"/>
      <c r="BE599" s="542"/>
      <c r="BF599" s="542"/>
      <c r="BG599" s="542"/>
      <c r="BH599" s="542"/>
      <c r="BI599" s="542"/>
      <c r="BJ599" s="542"/>
      <c r="BK599" s="542"/>
      <c r="BL599" s="542"/>
      <c r="BM599" s="542"/>
      <c r="BN599" s="196"/>
      <c r="BO599" s="196"/>
      <c r="BP599" s="196"/>
      <c r="BS599" s="694" t="s">
        <v>1937</v>
      </c>
    </row>
    <row r="600" spans="1:75" ht="35.450000000000003" customHeight="1" x14ac:dyDescent="0.25">
      <c r="B600" s="15"/>
      <c r="C600" s="25"/>
      <c r="D600" s="25" cm="1">
        <f t="array" ref="D600">D599</f>
        <v>14</v>
      </c>
      <c r="E600" s="451">
        <v>21</v>
      </c>
      <c r="F600" s="3" t="str" cm="1">
        <f t="array" aca="1" ref="F600" ca="1">OFFSET(E600,-1,1)</f>
        <v>3</v>
      </c>
      <c r="G600" s="25"/>
      <c r="H600" s="25"/>
      <c r="I600" s="25"/>
      <c r="J600" s="25"/>
      <c r="K600" s="25"/>
      <c r="L600" s="25"/>
      <c r="M600" s="25"/>
      <c r="N600" s="25"/>
      <c r="O600" s="25"/>
      <c r="P600" s="25"/>
      <c r="Q600" s="25"/>
      <c r="R600" s="25"/>
      <c r="S600" s="25"/>
      <c r="T600" s="353" t="b" cm="1">
        <f t="array" aca="1" ref="T600" ca="1">T599</f>
        <v>1</v>
      </c>
      <c r="U600" s="25"/>
      <c r="V600" s="25"/>
      <c r="W600" s="25"/>
      <c r="X600" s="990"/>
      <c r="Z600" s="967"/>
      <c r="AB600" s="7" t="str">
        <f>D600&amp;".1"</f>
        <v>14.1</v>
      </c>
      <c r="AC600" s="127" t="s">
        <v>1939</v>
      </c>
      <c r="AD600" s="7" t="s">
        <v>828</v>
      </c>
      <c r="AE600" s="128"/>
      <c r="AF600" s="128"/>
      <c r="AG600" s="128"/>
      <c r="AH600" s="171">
        <f>AG600-AF600</f>
        <v>0</v>
      </c>
      <c r="AI600" s="128"/>
      <c r="AJ600" s="128"/>
      <c r="AK600" s="778"/>
      <c r="AL600" s="778"/>
      <c r="AM600" s="128"/>
      <c r="AN600" s="128"/>
      <c r="AO600" s="128"/>
      <c r="AP600" s="128"/>
      <c r="AQ600" s="128"/>
      <c r="AR600" s="128"/>
      <c r="AS600" s="128"/>
      <c r="AT600" s="128"/>
      <c r="AU600" s="778"/>
      <c r="AV600" s="778"/>
      <c r="AW600" s="128"/>
      <c r="AX600" s="128"/>
      <c r="AY600" s="128"/>
      <c r="AZ600" s="128"/>
      <c r="BA600" s="128"/>
      <c r="BB600" s="128"/>
      <c r="BC600" s="128"/>
      <c r="BD600" s="542"/>
      <c r="BE600" s="542"/>
      <c r="BF600" s="542"/>
      <c r="BG600" s="542"/>
      <c r="BH600" s="542"/>
      <c r="BI600" s="542"/>
      <c r="BJ600" s="542"/>
      <c r="BK600" s="542"/>
      <c r="BL600" s="542"/>
      <c r="BM600" s="542"/>
      <c r="BN600" s="196"/>
      <c r="BO600" s="196"/>
      <c r="BP600" s="196"/>
      <c r="BS600" s="694" t="s">
        <v>1940</v>
      </c>
      <c r="BT600" s="703"/>
      <c r="BU600" s="703"/>
      <c r="BV600" s="704"/>
      <c r="BW600" s="704"/>
    </row>
    <row r="601" spans="1:75" ht="69.75" customHeight="1" x14ac:dyDescent="0.25">
      <c r="B601" s="15"/>
      <c r="C601" s="25"/>
      <c r="D601" s="25" cm="1">
        <f t="array" ref="D601">D600</f>
        <v>14</v>
      </c>
      <c r="E601" s="451">
        <v>66.599999999999994</v>
      </c>
      <c r="F601" s="3" t="str" cm="1">
        <f t="array" aca="1" ref="F601" ca="1">OFFSET(E601,-1,1)</f>
        <v>3</v>
      </c>
      <c r="G601" s="25"/>
      <c r="H601" s="25"/>
      <c r="I601" s="25"/>
      <c r="J601" s="25"/>
      <c r="K601" s="25"/>
      <c r="L601" s="25"/>
      <c r="M601" s="25"/>
      <c r="N601" s="25"/>
      <c r="O601" s="25"/>
      <c r="P601" s="25"/>
      <c r="Q601" s="25"/>
      <c r="R601" s="25"/>
      <c r="S601" s="25"/>
      <c r="T601" s="353" t="b" cm="1">
        <f t="array" aca="1" ref="T601" ca="1">T600</f>
        <v>1</v>
      </c>
      <c r="U601" s="25"/>
      <c r="V601" s="25"/>
      <c r="W601" s="25"/>
      <c r="X601" s="990"/>
      <c r="Z601" s="967"/>
      <c r="AB601" s="7" t="str">
        <f>D601&amp;".2"</f>
        <v>14.2</v>
      </c>
      <c r="AC601" s="127" t="s">
        <v>1942</v>
      </c>
      <c r="AD601" s="7" t="s">
        <v>828</v>
      </c>
      <c r="AE601" s="128"/>
      <c r="AF601" s="128"/>
      <c r="AG601" s="128"/>
      <c r="AH601" s="171">
        <f>AG601-AF601</f>
        <v>0</v>
      </c>
      <c r="AI601" s="128"/>
      <c r="AJ601" s="128"/>
      <c r="AK601" s="778"/>
      <c r="AL601" s="778"/>
      <c r="AM601" s="128"/>
      <c r="AN601" s="128"/>
      <c r="AO601" s="128"/>
      <c r="AP601" s="128"/>
      <c r="AQ601" s="128"/>
      <c r="AR601" s="128"/>
      <c r="AS601" s="128"/>
      <c r="AT601" s="128"/>
      <c r="AU601" s="778"/>
      <c r="AV601" s="778"/>
      <c r="AW601" s="128"/>
      <c r="AX601" s="128"/>
      <c r="AY601" s="128"/>
      <c r="AZ601" s="128"/>
      <c r="BA601" s="128"/>
      <c r="BB601" s="128"/>
      <c r="BC601" s="128"/>
      <c r="BD601" s="542"/>
      <c r="BE601" s="542"/>
      <c r="BF601" s="542"/>
      <c r="BG601" s="542"/>
      <c r="BH601" s="542"/>
      <c r="BI601" s="542"/>
      <c r="BJ601" s="542"/>
      <c r="BK601" s="542"/>
      <c r="BL601" s="542"/>
      <c r="BM601" s="542"/>
      <c r="BN601" s="196"/>
      <c r="BO601" s="196"/>
      <c r="BP601" s="196"/>
      <c r="BS601" s="694" t="s">
        <v>1943</v>
      </c>
      <c r="BT601" s="703"/>
      <c r="BU601" s="703"/>
      <c r="BV601" s="704"/>
      <c r="BW601" s="704"/>
    </row>
    <row r="602" spans="1:75" ht="44.25" customHeight="1" x14ac:dyDescent="0.15">
      <c r="A602" s="376"/>
      <c r="B602" s="537"/>
      <c r="C602" s="25"/>
      <c r="D602" s="25" cm="1">
        <f t="array" ref="D602">D601</f>
        <v>14</v>
      </c>
      <c r="E602" s="451">
        <v>45.6</v>
      </c>
      <c r="F602" s="3" t="str" cm="1">
        <f t="array" aca="1" ref="F602" ca="1">OFFSET(E602,-1,1)</f>
        <v>3</v>
      </c>
      <c r="G602" s="25"/>
      <c r="H602" s="25"/>
      <c r="I602" s="25"/>
      <c r="J602" s="25"/>
      <c r="K602" s="25"/>
      <c r="L602" s="25"/>
      <c r="M602" s="25"/>
      <c r="N602" s="25"/>
      <c r="O602" s="25"/>
      <c r="P602" s="25"/>
      <c r="Q602" s="25"/>
      <c r="R602" s="25"/>
      <c r="S602" s="25"/>
      <c r="T602" s="353" t="b" cm="1">
        <f t="array" aca="1" ref="T602" ca="1">T601</f>
        <v>1</v>
      </c>
      <c r="U602" s="25"/>
      <c r="V602" s="25"/>
      <c r="W602" s="25"/>
      <c r="X602" s="990"/>
      <c r="Y602" s="376"/>
      <c r="Z602" s="967"/>
      <c r="AA602" s="376"/>
      <c r="AB602" s="7" t="str">
        <f>D602&amp;".3"</f>
        <v>14.3</v>
      </c>
      <c r="AC602" s="127" t="s">
        <v>2225</v>
      </c>
      <c r="AD602" s="7" t="s">
        <v>828</v>
      </c>
      <c r="AE602" s="542"/>
      <c r="AF602" s="128"/>
      <c r="AG602" s="128"/>
      <c r="AH602" s="171">
        <f>AG602-AF602</f>
        <v>0</v>
      </c>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196"/>
      <c r="BO602" s="196"/>
      <c r="BP602" s="196"/>
      <c r="BS602" s="703" t="s">
        <v>2226</v>
      </c>
      <c r="BT602" s="703"/>
      <c r="BU602" s="703"/>
      <c r="BV602" s="704"/>
      <c r="BW602" s="704"/>
    </row>
    <row r="603" spans="1:75" ht="10.9" customHeight="1" x14ac:dyDescent="0.15">
      <c r="A603"/>
      <c r="B603" s="411"/>
      <c r="C603"/>
      <c r="D603"/>
      <c r="E603" s="454">
        <v>11.25</v>
      </c>
      <c r="F603" s="4"/>
      <c r="G603"/>
      <c r="H603"/>
      <c r="I603"/>
      <c r="J603"/>
      <c r="K603"/>
      <c r="L603"/>
      <c r="M603"/>
      <c r="N603"/>
      <c r="O603"/>
      <c r="P603"/>
      <c r="Q603"/>
      <c r="R603"/>
      <c r="S603"/>
      <c r="T603"/>
      <c r="U603" t="s">
        <v>176</v>
      </c>
      <c r="V603" s="506" t="s">
        <v>2328</v>
      </c>
      <c r="W603"/>
      <c r="X603"/>
      <c r="Y603"/>
      <c r="Z603"/>
      <c r="AA603"/>
      <c r="AB603"/>
      <c r="AC603" s="315"/>
      <c r="AD603" s="315"/>
      <c r="AE603" s="315"/>
      <c r="AF603" s="315"/>
      <c r="AG603"/>
      <c r="AH603"/>
      <c r="AI603"/>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c r="BO603"/>
      <c r="BP603"/>
      <c r="BQ603"/>
      <c r="BR603"/>
      <c r="BS603" s="661"/>
      <c r="BT603" s="661"/>
      <c r="BU603" s="661"/>
      <c r="BV603" s="454"/>
      <c r="BW603" s="454"/>
    </row>
    <row r="604" spans="1:75" ht="14.65" customHeight="1" x14ac:dyDescent="0.15">
      <c r="B604" s="15"/>
      <c r="C604" s="25"/>
      <c r="D604" s="25"/>
      <c r="E604" s="451">
        <v>15</v>
      </c>
      <c r="F604" s="25"/>
      <c r="G604" s="25"/>
      <c r="H604" s="25"/>
      <c r="I604" s="25"/>
      <c r="J604" s="25"/>
      <c r="K604" s="25"/>
      <c r="L604" s="25"/>
      <c r="M604" s="25"/>
      <c r="N604" s="25"/>
      <c r="O604" s="25"/>
      <c r="P604" s="25"/>
      <c r="Q604" s="25"/>
      <c r="R604" s="25"/>
      <c r="S604" s="25"/>
      <c r="T604" s="25"/>
      <c r="U604" s="25"/>
      <c r="V604" s="25"/>
      <c r="W604" s="25"/>
      <c r="AB604" s="993" t="s">
        <v>408</v>
      </c>
      <c r="AC604" s="993"/>
      <c r="AD604" s="993"/>
      <c r="AE604" s="993"/>
      <c r="AF604" s="993"/>
      <c r="AG604" s="993"/>
      <c r="AH604" s="993"/>
      <c r="AI604" s="993"/>
      <c r="AJ604" s="993"/>
      <c r="AK604" s="993"/>
      <c r="AL604" s="993"/>
      <c r="AM604" s="993"/>
      <c r="AN604" s="993"/>
      <c r="AO604" s="993"/>
      <c r="AP604" s="993"/>
      <c r="AQ604" s="993"/>
      <c r="AR604" s="993"/>
      <c r="AS604" s="993"/>
      <c r="AT604" s="993"/>
      <c r="AU604" s="993"/>
      <c r="AV604" s="993"/>
      <c r="AW604" s="993"/>
      <c r="AX604" s="993"/>
      <c r="AY604" s="993"/>
      <c r="AZ604" s="993"/>
      <c r="BA604" s="993"/>
      <c r="BB604" s="993"/>
      <c r="BC604" s="993"/>
      <c r="BD604" s="993"/>
      <c r="BE604" s="993"/>
      <c r="BF604" s="993"/>
      <c r="BG604" s="993"/>
      <c r="BH604" s="993"/>
      <c r="BI604" s="993"/>
      <c r="BJ604" s="993"/>
      <c r="BK604" s="993"/>
      <c r="BL604" s="993"/>
      <c r="BM604" s="993"/>
      <c r="BN604" s="993"/>
      <c r="BO604" s="993"/>
      <c r="BP604" s="993"/>
    </row>
    <row r="605" spans="1:75" ht="29.85" customHeight="1" x14ac:dyDescent="0.15">
      <c r="B605" s="15"/>
      <c r="C605" s="25"/>
      <c r="D605" s="25"/>
      <c r="E605" s="451">
        <v>15</v>
      </c>
      <c r="F605" s="25"/>
      <c r="G605" s="25"/>
      <c r="H605" s="25"/>
      <c r="I605" s="25"/>
      <c r="J605" s="25"/>
      <c r="K605" s="25"/>
      <c r="N605" s="25"/>
      <c r="O605" s="25"/>
      <c r="P605" s="25"/>
      <c r="Q605" s="25"/>
      <c r="R605" s="25"/>
      <c r="S605" s="25"/>
      <c r="T605" s="25"/>
      <c r="U605" s="25"/>
      <c r="V605" s="25"/>
      <c r="W605" s="25"/>
      <c r="AA605" s="87"/>
      <c r="AB605" s="1060" t="s">
        <v>1730</v>
      </c>
      <c r="AC605" s="1063"/>
      <c r="AD605" s="1063"/>
      <c r="AE605" s="1063"/>
      <c r="AF605" s="1063"/>
      <c r="AG605" s="1063"/>
      <c r="AH605" s="1063"/>
      <c r="AI605" s="1063"/>
      <c r="AJ605" s="1063"/>
      <c r="AK605" s="1063"/>
      <c r="AL605" s="1063"/>
      <c r="AM605" s="1063"/>
      <c r="AN605" s="1063"/>
      <c r="AO605" s="1063"/>
      <c r="AP605" s="1063"/>
      <c r="AQ605" s="1063"/>
      <c r="AR605" s="1063"/>
      <c r="AS605" s="1063"/>
      <c r="AT605" s="1063"/>
      <c r="AU605" s="1063"/>
      <c r="AV605" s="1063"/>
      <c r="AW605" s="1063"/>
      <c r="AX605" s="1063"/>
      <c r="AY605" s="1063"/>
      <c r="AZ605" s="1063"/>
      <c r="BA605" s="1063"/>
      <c r="BB605" s="1063"/>
      <c r="BC605" s="1063"/>
      <c r="BD605" s="1063"/>
      <c r="BE605" s="1063"/>
      <c r="BF605" s="1063"/>
      <c r="BG605" s="1063"/>
      <c r="BH605" s="1063"/>
      <c r="BI605" s="1063"/>
      <c r="BJ605" s="1063"/>
      <c r="BK605" s="1063"/>
      <c r="BL605" s="1063"/>
      <c r="BM605" s="1063"/>
      <c r="BN605" s="1063"/>
      <c r="BO605" s="1063"/>
      <c r="BP605" s="1063"/>
    </row>
    <row r="606" spans="1:75" ht="14.65" hidden="1" customHeight="1" x14ac:dyDescent="0.15">
      <c r="B606" s="15"/>
      <c r="C606" s="25"/>
      <c r="D606" s="25"/>
      <c r="E606" s="451">
        <v>15</v>
      </c>
      <c r="F606" s="25"/>
      <c r="G606" s="25"/>
      <c r="H606" s="25"/>
      <c r="I606" s="25"/>
      <c r="J606" s="25"/>
      <c r="K606" s="25"/>
      <c r="N606" s="25"/>
      <c r="O606" s="25"/>
      <c r="P606" s="25"/>
      <c r="Q606" s="25"/>
      <c r="R606" s="25"/>
      <c r="S606" s="25"/>
      <c r="T606" s="353" t="b">
        <f>ROW(W606)&gt;ROW(W$606)</f>
        <v>0</v>
      </c>
      <c r="U606" s="25"/>
      <c r="V606" s="25"/>
      <c r="W606" s="25" t="s">
        <v>172</v>
      </c>
      <c r="AA606" s="320" t="s">
        <v>173</v>
      </c>
      <c r="AB606" s="1061" t="s">
        <v>225</v>
      </c>
      <c r="AC606" s="1063"/>
      <c r="AD606" s="1063"/>
      <c r="AE606" s="1063"/>
      <c r="AF606" s="1063"/>
      <c r="AG606" s="1063"/>
      <c r="AH606" s="1063"/>
      <c r="AI606" s="1063"/>
      <c r="AJ606" s="1063"/>
      <c r="AK606" s="1063"/>
      <c r="AL606" s="1063"/>
      <c r="AM606" s="1063"/>
      <c r="AN606" s="1063"/>
      <c r="AO606" s="1063"/>
      <c r="AP606" s="1063"/>
      <c r="AQ606" s="1063"/>
      <c r="AR606" s="1063"/>
      <c r="AS606" s="1063"/>
      <c r="AT606" s="1063"/>
      <c r="AU606" s="1063"/>
      <c r="AV606" s="1063"/>
      <c r="AW606" s="1063"/>
      <c r="AX606" s="1063"/>
      <c r="AY606" s="1063"/>
      <c r="AZ606" s="1063"/>
      <c r="BA606" s="1063"/>
      <c r="BB606" s="1063"/>
      <c r="BC606" s="1063"/>
      <c r="BD606" s="1063"/>
      <c r="BE606" s="1063"/>
      <c r="BF606" s="1063"/>
      <c r="BG606" s="1063"/>
      <c r="BH606" s="1063"/>
      <c r="BI606" s="1063"/>
      <c r="BJ606" s="1063"/>
      <c r="BK606" s="1063"/>
      <c r="BL606" s="1063"/>
      <c r="BM606" s="1063"/>
      <c r="BN606" s="1063"/>
      <c r="BO606" s="1063"/>
      <c r="BP606" s="1063"/>
    </row>
    <row r="607" spans="1:75" ht="32.25" customHeight="1" x14ac:dyDescent="0.15">
      <c r="B607" s="15"/>
      <c r="C607" s="25"/>
      <c r="D607" s="25"/>
      <c r="E607" s="451">
        <v>15</v>
      </c>
      <c r="F607" s="25"/>
      <c r="G607" s="25"/>
      <c r="H607" s="25"/>
      <c r="I607" s="25"/>
      <c r="J607" s="25"/>
      <c r="K607" s="25"/>
      <c r="N607" s="25"/>
      <c r="O607" s="25"/>
      <c r="P607" s="25"/>
      <c r="Q607" s="25"/>
      <c r="R607" s="25"/>
      <c r="S607" s="25"/>
      <c r="T607" s="353" t="b">
        <f>ROW(W607)&gt;ROW(W$606)</f>
        <v>1</v>
      </c>
      <c r="U607" s="25"/>
      <c r="V607" s="25"/>
      <c r="W607" s="25"/>
      <c r="Y607" s="72" t="s">
        <v>225</v>
      </c>
      <c r="AA607" s="320" t="s">
        <v>173</v>
      </c>
      <c r="AB607" s="1060" t="s">
        <v>2329</v>
      </c>
      <c r="AC607" s="1063"/>
      <c r="AD607" s="1063"/>
      <c r="AE607" s="1063"/>
      <c r="AF607" s="1063"/>
      <c r="AG607" s="1063"/>
      <c r="AH607" s="1063"/>
      <c r="AI607" s="1063"/>
      <c r="AJ607" s="1063"/>
      <c r="AK607" s="1063"/>
      <c r="AL607" s="1063"/>
      <c r="AM607" s="1063"/>
      <c r="AN607" s="1063"/>
      <c r="AO607" s="1063"/>
      <c r="AP607" s="1063"/>
      <c r="AQ607" s="1063"/>
      <c r="AR607" s="1063"/>
      <c r="AS607" s="1063"/>
      <c r="AT607" s="1063"/>
      <c r="AU607" s="1063"/>
      <c r="AV607" s="1063"/>
      <c r="AW607" s="1063"/>
      <c r="AX607" s="1063"/>
      <c r="AY607" s="1063"/>
      <c r="AZ607" s="1063"/>
      <c r="BA607" s="1063"/>
      <c r="BB607" s="1063"/>
      <c r="BC607" s="1063"/>
      <c r="BD607" s="1063"/>
      <c r="BE607" s="1063"/>
      <c r="BF607" s="1063"/>
      <c r="BG607" s="1063"/>
      <c r="BH607" s="1063"/>
      <c r="BI607" s="1063"/>
      <c r="BJ607" s="1063"/>
      <c r="BK607" s="1063"/>
      <c r="BL607" s="1063"/>
      <c r="BM607" s="1063"/>
      <c r="BN607" s="1063"/>
      <c r="BO607" s="1063"/>
      <c r="BP607" s="1063"/>
    </row>
    <row r="608" spans="1:75" ht="14.65" customHeight="1" x14ac:dyDescent="0.15">
      <c r="B608" s="15"/>
      <c r="C608" s="25"/>
      <c r="D608" s="25"/>
      <c r="E608" s="451">
        <v>15</v>
      </c>
      <c r="F608" s="25"/>
      <c r="G608" s="25"/>
      <c r="H608" s="25"/>
      <c r="I608" s="25"/>
      <c r="J608" s="25"/>
      <c r="K608" s="25"/>
      <c r="N608" s="25"/>
      <c r="O608" s="25"/>
      <c r="P608" s="25"/>
      <c r="Q608" s="25"/>
      <c r="R608" s="25"/>
      <c r="S608" s="25"/>
      <c r="T608" s="25"/>
      <c r="U608" s="25"/>
      <c r="V608" s="25"/>
      <c r="W608" s="506" t="s">
        <v>419</v>
      </c>
      <c r="AB608" s="553"/>
      <c r="AC608" s="382" t="s">
        <v>420</v>
      </c>
      <c r="AD608" s="554"/>
      <c r="AE608" s="554"/>
      <c r="AF608" s="554"/>
      <c r="AG608" s="554"/>
      <c r="AH608" s="554"/>
      <c r="AI608" s="554"/>
      <c r="AJ608" s="554"/>
      <c r="AK608" s="554"/>
      <c r="AL608" s="554"/>
      <c r="AM608" s="554"/>
      <c r="AN608" s="554"/>
      <c r="AO608" s="554"/>
      <c r="AP608" s="554"/>
      <c r="AQ608" s="554"/>
      <c r="AR608" s="554"/>
      <c r="AS608" s="554"/>
      <c r="AT608" s="554"/>
      <c r="AU608" s="554"/>
      <c r="AV608" s="554"/>
      <c r="AW608" s="554"/>
      <c r="AX608" s="554"/>
      <c r="AY608" s="554"/>
      <c r="AZ608" s="554"/>
      <c r="BA608" s="554"/>
      <c r="BB608" s="554"/>
      <c r="BC608" s="554"/>
      <c r="BD608" s="554"/>
      <c r="BE608" s="554"/>
      <c r="BF608" s="554"/>
      <c r="BG608" s="554"/>
      <c r="BH608" s="554"/>
      <c r="BI608" s="554"/>
      <c r="BJ608" s="554"/>
      <c r="BK608" s="554"/>
      <c r="BL608" s="554"/>
      <c r="BM608" s="554"/>
      <c r="BN608" s="554"/>
      <c r="BO608" s="554"/>
      <c r="BP608" s="555"/>
    </row>
    <row r="609" spans="5:69" ht="10.9" customHeight="1" x14ac:dyDescent="0.15">
      <c r="E609" s="507">
        <v>11.25</v>
      </c>
      <c r="BQ609" s="22"/>
    </row>
  </sheetData>
  <sheetProtection formatColumns="0" formatRows="0" insertRows="0" deleteColumns="0" deleteRows="0" sort="0" autoFilter="0"/>
  <mergeCells count="19">
    <mergeCell ref="AB607:BP607"/>
    <mergeCell ref="BP24:BP25"/>
    <mergeCell ref="BD25:BM25"/>
    <mergeCell ref="AB24:AB25"/>
    <mergeCell ref="AC24:AC25"/>
    <mergeCell ref="AD24:AD25"/>
    <mergeCell ref="BN24:BN25"/>
    <mergeCell ref="BO24:BO25"/>
    <mergeCell ref="AB604:BP604"/>
    <mergeCell ref="AB605:BP605"/>
    <mergeCell ref="AB606:BP606"/>
    <mergeCell ref="X27:X170"/>
    <mergeCell ref="Z27:Z170"/>
    <mergeCell ref="X171:X314"/>
    <mergeCell ref="Z171:Z314"/>
    <mergeCell ref="X315:X458"/>
    <mergeCell ref="Z315:Z458"/>
    <mergeCell ref="X459:X602"/>
    <mergeCell ref="Z459:Z602"/>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1A4B-8AB8-BEB2-4C48-545463B5F4A1}">
  <sheetPr>
    <tabColor rgb="FF002060"/>
    <outlinePr summaryBelow="0" summaryRight="0"/>
  </sheetPr>
  <dimension ref="A1:AQ240"/>
  <sheetViews>
    <sheetView showGridLines="0" zoomScale="110" workbookViewId="0">
      <pane xSplit="29" ySplit="28" topLeftCell="AD29" activePane="bottomRight" state="frozen"/>
      <selection pane="topRight" activeCell="AD1" sqref="AD1"/>
      <selection pane="bottomLeft" activeCell="A29" sqref="A29"/>
      <selection pane="bottomRight" activeCell="AG85" sqref="AG85"/>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1" hidden="1"/>
    <col min="42" max="43" width="9.140625" style="17" hidden="1"/>
  </cols>
  <sheetData>
    <row r="1" spans="1:41" ht="11.25" hidden="1" customHeight="1" x14ac:dyDescent="0.15">
      <c r="E1" s="17"/>
      <c r="F1" s="17" t="s">
        <v>320</v>
      </c>
      <c r="K1" s="17" t="s">
        <v>358</v>
      </c>
      <c r="T1" s="353" t="s">
        <v>92</v>
      </c>
      <c r="U1" s="353" t="s">
        <v>97</v>
      </c>
      <c r="V1" s="353" t="s">
        <v>93</v>
      </c>
      <c r="W1" s="353" t="s">
        <v>94</v>
      </c>
      <c r="X1" s="353" t="s">
        <v>95</v>
      </c>
      <c r="Y1" s="355" t="s">
        <v>322</v>
      </c>
      <c r="Z1" s="353" t="s">
        <v>99</v>
      </c>
      <c r="AA1" s="354" t="s">
        <v>96</v>
      </c>
      <c r="AB1" s="4"/>
      <c r="AC1" s="354" t="s">
        <v>98</v>
      </c>
      <c r="AM1" s="17" t="s">
        <v>2330</v>
      </c>
      <c r="AO1" s="671" t="s">
        <v>363</v>
      </c>
    </row>
    <row r="2" spans="1:41" s="46" customFormat="1" ht="11.25" hidden="1" customHeight="1" x14ac:dyDescent="0.15">
      <c r="B2" s="341" t="s">
        <v>18</v>
      </c>
      <c r="AB2" s="326"/>
      <c r="AG2" s="341" t="b">
        <f>$AF$24="нет"</f>
        <v>1</v>
      </c>
      <c r="AH2" s="341" t="b">
        <f>$AF$24="да"</f>
        <v>0</v>
      </c>
      <c r="AI2" s="341" t="b">
        <f>$AF$24="да"</f>
        <v>0</v>
      </c>
      <c r="AJ2" s="341" t="b">
        <f>$AF$24="да"</f>
        <v>0</v>
      </c>
      <c r="AK2" s="341" t="b">
        <f>$AF$24="да"</f>
        <v>0</v>
      </c>
      <c r="AO2" s="672"/>
    </row>
    <row r="3" spans="1:41" ht="11.25" hidden="1" customHeight="1" x14ac:dyDescent="0.15">
      <c r="E3" s="17"/>
    </row>
    <row r="4" spans="1:41" ht="11.25" hidden="1" customHeight="1" x14ac:dyDescent="0.15">
      <c r="E4" s="17"/>
    </row>
    <row r="5" spans="1:41" s="461" customFormat="1" ht="11.25" hidden="1" customHeight="1" x14ac:dyDescent="0.15">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O5" s="671"/>
    </row>
    <row r="6" spans="1:41" ht="11.25" hidden="1" customHeight="1" x14ac:dyDescent="0.15">
      <c r="A6" s="17" t="s">
        <v>330</v>
      </c>
      <c r="AC6" s="17" t="s">
        <v>331</v>
      </c>
      <c r="AD6" s="17" t="s">
        <v>332</v>
      </c>
      <c r="AE6" s="17" t="s">
        <v>333</v>
      </c>
      <c r="AF6" s="17" t="s">
        <v>560</v>
      </c>
      <c r="AG6" s="17" t="s">
        <v>564</v>
      </c>
      <c r="AH6" s="17" t="s">
        <v>2331</v>
      </c>
      <c r="AI6" s="17" t="s">
        <v>2332</v>
      </c>
      <c r="AJ6" s="17" t="s">
        <v>2333</v>
      </c>
      <c r="AK6" s="17" t="s">
        <v>2334</v>
      </c>
    </row>
    <row r="7" spans="1:41" ht="11.25" hidden="1" customHeight="1" x14ac:dyDescent="0.15"/>
    <row r="8" spans="1:41" ht="11.25" hidden="1" customHeight="1" x14ac:dyDescent="0.15"/>
    <row r="9" spans="1:41" s="671" customFormat="1" ht="11.25" hidden="1" customHeight="1" x14ac:dyDescent="0.15">
      <c r="A9" s="671" t="s">
        <v>323</v>
      </c>
      <c r="B9" s="672"/>
      <c r="AB9" s="690"/>
      <c r="AC9" s="705" t="s">
        <v>2335</v>
      </c>
      <c r="AD9" s="705" t="s">
        <v>2336</v>
      </c>
      <c r="AE9" s="705" t="s">
        <v>2337</v>
      </c>
      <c r="AF9" s="705" t="s">
        <v>2338</v>
      </c>
      <c r="AG9" s="705" t="s">
        <v>2339</v>
      </c>
      <c r="AH9" s="705" t="s">
        <v>2340</v>
      </c>
      <c r="AI9" s="705" t="s">
        <v>2341</v>
      </c>
      <c r="AJ9" s="705" t="s">
        <v>2342</v>
      </c>
      <c r="AK9" s="671" t="s">
        <v>2343</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1">
        <v>15</v>
      </c>
      <c r="AA21" s="325"/>
      <c r="AB21" s="268" t="str" cm="1">
        <f t="array" ref="AB21">tpl_title</f>
        <v>Кемеровская область / 2026 / КАО "Азот" (ИНН:4205000908, КПП:997550001) / ДПР: 2024-2028</v>
      </c>
    </row>
    <row r="22" spans="1:43" s="59" customFormat="1" ht="23.45" customHeight="1" x14ac:dyDescent="0.15">
      <c r="B22" s="46"/>
      <c r="E22" s="462">
        <v>24</v>
      </c>
      <c r="AB22" s="226" t="s">
        <v>84</v>
      </c>
      <c r="AC22" s="119"/>
      <c r="AD22" s="119"/>
      <c r="AE22" s="119"/>
      <c r="AF22" s="119"/>
      <c r="AG22" s="119"/>
      <c r="AH22" s="119"/>
      <c r="AI22" s="119"/>
      <c r="AJ22" s="119"/>
      <c r="AK22" s="119"/>
      <c r="AO22" s="674"/>
    </row>
    <row r="23" spans="1:43" ht="10.9" customHeight="1" x14ac:dyDescent="0.15">
      <c r="E23" s="461">
        <v>11.25</v>
      </c>
      <c r="AB23" s="60"/>
      <c r="AC23" s="60"/>
    </row>
    <row r="24" spans="1:43" ht="19.7" customHeight="1" x14ac:dyDescent="0.15">
      <c r="E24" s="461">
        <v>20.25</v>
      </c>
      <c r="AB24" s="1058" t="s">
        <v>2344</v>
      </c>
      <c r="AC24" s="1058"/>
      <c r="AD24" s="1058"/>
      <c r="AE24" s="1058"/>
      <c r="AF24" s="252" t="s">
        <v>151</v>
      </c>
    </row>
    <row r="25" spans="1:43" ht="10.9" customHeight="1" x14ac:dyDescent="0.15">
      <c r="E25" s="461">
        <v>11.25</v>
      </c>
      <c r="AB25" s="60"/>
      <c r="AC25" s="60"/>
    </row>
    <row r="26" spans="1:43" s="60" customFormat="1" ht="38.1" customHeight="1" x14ac:dyDescent="0.15">
      <c r="B26" s="326"/>
      <c r="E26" s="459">
        <v>39</v>
      </c>
      <c r="AB26" s="1082" t="s">
        <v>2345</v>
      </c>
      <c r="AC26" s="997" t="s">
        <v>2346</v>
      </c>
      <c r="AD26" s="997" t="s">
        <v>483</v>
      </c>
      <c r="AE26" s="971" t="s">
        <v>2347</v>
      </c>
      <c r="AF26" s="993" t="s">
        <v>2348</v>
      </c>
      <c r="AG26" s="993"/>
      <c r="AH26" s="993"/>
      <c r="AI26" s="993"/>
      <c r="AJ26" s="993"/>
      <c r="AK26" s="993"/>
      <c r="AO26" s="669"/>
    </row>
    <row r="27" spans="1:43" s="60" customFormat="1" ht="35.1" customHeight="1" x14ac:dyDescent="0.15">
      <c r="B27" s="326"/>
      <c r="E27" s="459">
        <v>36</v>
      </c>
      <c r="AB27" s="1083"/>
      <c r="AC27" s="997"/>
      <c r="AD27" s="997"/>
      <c r="AE27" s="997"/>
      <c r="AF27" s="560" t="s">
        <v>607</v>
      </c>
      <c r="AG27" s="560" t="s">
        <v>2349</v>
      </c>
      <c r="AH27" s="560" t="s">
        <v>2350</v>
      </c>
      <c r="AI27" s="560" t="s">
        <v>2351</v>
      </c>
      <c r="AJ27" s="560" t="s">
        <v>2352</v>
      </c>
      <c r="AK27" s="560" t="s">
        <v>2353</v>
      </c>
      <c r="AO27" s="669"/>
    </row>
    <row r="28" spans="1:43" s="62" customFormat="1" ht="11.25" customHeight="1" x14ac:dyDescent="0.15">
      <c r="B28" s="326"/>
      <c r="E28" s="179">
        <v>11.5</v>
      </c>
      <c r="AB28" s="1084"/>
      <c r="AC28" s="561" t="s">
        <v>828</v>
      </c>
      <c r="AD28" s="561" t="s">
        <v>476</v>
      </c>
      <c r="AE28" s="9" t="s">
        <v>476</v>
      </c>
      <c r="AF28" s="561" t="s">
        <v>476</v>
      </c>
      <c r="AG28" s="561" t="s">
        <v>2354</v>
      </c>
      <c r="AH28" s="561" t="s">
        <v>2354</v>
      </c>
      <c r="AI28" s="561" t="s">
        <v>2354</v>
      </c>
      <c r="AJ28" s="561" t="s">
        <v>2354</v>
      </c>
      <c r="AK28" s="561" t="s">
        <v>2354</v>
      </c>
      <c r="AO28" s="678"/>
    </row>
    <row r="29" spans="1:43" ht="11.25" customHeight="1" x14ac:dyDescent="0.15">
      <c r="A29"/>
      <c r="B29" s="327"/>
      <c r="C29"/>
      <c r="D29"/>
      <c r="E29" s="454" t="s">
        <v>371</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61"/>
      <c r="AP29"/>
      <c r="AQ29" s="19"/>
    </row>
    <row r="30" spans="1:43" s="38" customFormat="1" ht="14.65" hidden="1" customHeight="1" x14ac:dyDescent="0.15">
      <c r="B30" s="43"/>
      <c r="E30" s="448">
        <v>15</v>
      </c>
      <c r="F30" s="17" cm="1">
        <f t="array" ref="F30">X30</f>
        <v>0</v>
      </c>
      <c r="T30" s="353" t="b">
        <f>X30&gt;0</f>
        <v>0</v>
      </c>
      <c r="V30" s="38" t="s">
        <v>264</v>
      </c>
      <c r="X30" s="990">
        <v>0</v>
      </c>
      <c r="Z30" s="967"/>
      <c r="AB30" s="280" t="str" cm="1">
        <f t="array" ref="AB30">INDEX('Общие сведения'!$AG$179:$AG$236,MATCH($X30,'Общие сведения'!$Z$179:$Z$236,0))</f>
        <v xml:space="preserve">Тариф 0 () - </v>
      </c>
      <c r="AC30" s="562"/>
      <c r="AD30" s="562"/>
      <c r="AE30" s="562"/>
      <c r="AF30" s="562"/>
      <c r="AG30" s="562"/>
      <c r="AH30" s="562"/>
      <c r="AI30" s="562"/>
      <c r="AJ30" s="562"/>
      <c r="AK30" s="562"/>
      <c r="AL30" s="303"/>
      <c r="AO30" s="656"/>
    </row>
    <row r="31" spans="1:43" s="72" customFormat="1" ht="14.65" hidden="1" customHeight="1" x14ac:dyDescent="0.15">
      <c r="B31" s="341" t="b">
        <f t="shared" ref="B31:B62" si="0">K31&lt;first_year+PERIOD_LENGTH</f>
        <v>1</v>
      </c>
      <c r="E31" s="507">
        <v>15</v>
      </c>
      <c r="F31" s="3" cm="1">
        <f t="array" aca="1" ref="F31" ca="1">OFFSET(E31,-1,1)</f>
        <v>0</v>
      </c>
      <c r="K31" s="72" cm="1">
        <f t="array" ref="K31">first_year</f>
        <v>2024</v>
      </c>
      <c r="T31" s="353" t="b" cm="1">
        <f t="array" ref="T31">T30</f>
        <v>0</v>
      </c>
      <c r="X31" s="990"/>
      <c r="Z31" s="967"/>
      <c r="AB31" s="563" t="str">
        <f t="shared" ref="AB31:AB62" si="1">K31&amp;" год"</f>
        <v>2024 год</v>
      </c>
      <c r="AC31" s="873">
        <f ca="1">IF(god=first_year,SUMIFS('Калькуляция (МИ)'!AT$26:AT$603,'Калькуляция (МИ)'!F$26:F$603,F31,'Калькуляция (МИ)'!AC$26:AC$603,"операционные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874">
        <f ca="1">IFERROR(SUMIFS(INDEX(Сценарии!$AE$25:$BF$136,,MATCH($K31&amp;"Принято органом регулирования",Сценарии!$AE$8:$BF$8,0)),Сценарии!$F$25:$F$136,$F31,Сценарии!$AC$25:$AC$136,"Индекс эффективности операционных расходов"),0)</f>
        <v>0</v>
      </c>
      <c r="AE31" s="875"/>
      <c r="AF31" s="875">
        <f ca="1">IFERROR(SUMIFS(INDEX(Баланс!$AE$25:$BB$391,,MATCH($K31&amp;"Принято органом регулирования",Баланс!$AE$8:$BB$8,0)),Баланс!$F$25:$F$391,$F31,Баланс!$AC$24:$AC$391,"Уровень потерь воды"),0)</f>
        <v>0</v>
      </c>
      <c r="AG31" s="874">
        <f ca="1">IFERROR(SUMIFS(INDEX(Electricity_LOAD_1,,MATCH($K31&amp;"Принято органом регулирования",ЭЭ!$AE$8:$BB$8,0)),ЭЭ!$F$25:$F$116,$F31,ЭЭ!$AC$25:$AC$116,"Удельный расход электроэнергии"),0)</f>
        <v>0</v>
      </c>
      <c r="AH31" s="874">
        <f ca="1">IFERROR(SUMIFS(INDEX(Electricity_LOAD_1,,MATCH($K31&amp;"Принято органом регулирования",ЭЭ!$AE$8:$BB$8,0)),ЭЭ!$F$25:$F$116,$F31,ЭЭ!$AC$25:$AC$116,"Удельный расход электроэнергии"),0)</f>
        <v>0</v>
      </c>
      <c r="AI31" s="874">
        <f ca="1">IFERROR(SUMIFS(INDEX(Electricity_LOAD_1,,MATCH($K31&amp;"Принято органом регулирования",ЭЭ!$AE$8:$BB$8,0)),ЭЭ!$F$25:$F$116,$F31,ЭЭ!$AC$25:$AC$116,"Удельный расход электроэнергии"),0)</f>
        <v>0</v>
      </c>
      <c r="AJ31" s="874">
        <f ca="1">IFERROR(SUMIFS(INDEX(Electricity_LOAD_1,,MATCH($K31&amp;"Принято органом регулирования",ЭЭ!$AE$8:$BB$8,0)),ЭЭ!$F$25:$F$116,$F31,ЭЭ!$AC$25:$AC$116,"Удельный расход электроэнергии"),0)</f>
        <v>0</v>
      </c>
      <c r="AK31" s="874">
        <f ca="1">IFERROR(SUMIFS(INDEX(Electricity_LOAD_1,,MATCH($K31&amp;"Принято органом регулирования",ЭЭ!$AE$8:$BB$8,0)),ЭЭ!$F$25:$F$116,$F31,ЭЭ!$AC$25:$AC$116,"Удельный расход электроэнергии"),0)</f>
        <v>0</v>
      </c>
      <c r="AL31" s="304"/>
      <c r="AM31" s="72" t="s">
        <v>2355</v>
      </c>
      <c r="AO31" s="696" cm="1">
        <f t="array" ref="AO31">K31</f>
        <v>2024</v>
      </c>
    </row>
    <row r="32" spans="1:43" s="72" customFormat="1" ht="14.65" hidden="1" customHeight="1" x14ac:dyDescent="0.15">
      <c r="B32" s="341" t="b">
        <f t="shared" si="0"/>
        <v>1</v>
      </c>
      <c r="E32" s="507">
        <v>15</v>
      </c>
      <c r="F32" s="3" cm="1">
        <f t="array" aca="1" ref="F32" ca="1">OFFSET(E32,-1,1)</f>
        <v>0</v>
      </c>
      <c r="K32" s="72">
        <f>first_year+1</f>
        <v>2025</v>
      </c>
      <c r="T32" s="353" t="b" cm="1">
        <f t="array" ref="T32">T31</f>
        <v>0</v>
      </c>
      <c r="X32" s="990"/>
      <c r="Z32" s="967"/>
      <c r="AB32" s="563" t="str">
        <f t="shared" si="1"/>
        <v>2025 год</v>
      </c>
      <c r="AC32" s="875"/>
      <c r="AD32" s="874">
        <f ca="1">IFERROR(SUMIFS(INDEX(Сценарии!$AE$25:$BF$136,,MATCH($K32&amp;"Принято органом регулирования",Сценарии!$AE$8:$BF$8,0)),Сценарии!$F$25:$F$136,$F32,Сценарии!$AC$25:$AC$136,"Индекс эффективности операционных расходов"),0)</f>
        <v>0</v>
      </c>
      <c r="AE32" s="875"/>
      <c r="AF32" s="875">
        <f ca="1">IFERROR(SUMIFS(INDEX(Баланс!$AE$25:$BB$391,,MATCH($K32&amp;"Принято органом регулирования",Баланс!$AE$8:$BB$8,0)),Баланс!$F$25:$F$391,$F32,Баланс!$AC$24:$AC$391,"Уровень потерь воды"),0)</f>
        <v>0</v>
      </c>
      <c r="AG32" s="874">
        <f ca="1">IFERROR(SUMIFS(INDEX(Electricity_LOAD_1,,MATCH($K32&amp;"Принято органом регулирования",ЭЭ!$AE$8:$BB$8,0)),ЭЭ!$F$25:$F$116,$F32,ЭЭ!$AC$25:$AC$116,"Удельный расход электроэнергии"),0)</f>
        <v>0</v>
      </c>
      <c r="AH32" s="874">
        <f ca="1">IFERROR(SUMIFS(INDEX(Electricity_LOAD_1,,MATCH($K32&amp;"Принято органом регулирования",ЭЭ!$AE$8:$BB$8,0)),ЭЭ!$F$25:$F$116,$F32,ЭЭ!$AC$25:$AC$116,"Удельный расход электроэнергии"),0)</f>
        <v>0</v>
      </c>
      <c r="AI32" s="874">
        <f ca="1">IFERROR(SUMIFS(INDEX(Electricity_LOAD_1,,MATCH($K32&amp;"Принято органом регулирования",ЭЭ!$AE$8:$BB$8,0)),ЭЭ!$F$25:$F$116,$F32,ЭЭ!$AC$25:$AC$116,"Удельный расход электроэнергии"),0)</f>
        <v>0</v>
      </c>
      <c r="AJ32" s="874">
        <f ca="1">IFERROR(SUMIFS(INDEX(Electricity_LOAD_1,,MATCH($K32&amp;"Принято органом регулирования",ЭЭ!$AE$8:$BB$8,0)),ЭЭ!$F$25:$F$116,$F32,ЭЭ!$AC$25:$AC$116,"Удельный расход электроэнергии"),0)</f>
        <v>0</v>
      </c>
      <c r="AK32" s="874">
        <f ca="1">IFERROR(SUMIFS(INDEX(Electricity_LOAD_1,,MATCH($K32&amp;"Принято органом регулирования",ЭЭ!$AE$8:$BB$8,0)),ЭЭ!$F$25:$F$116,$F32,ЭЭ!$AC$25:$AC$116,"Удельный расход электроэнергии"),0)</f>
        <v>0</v>
      </c>
      <c r="AL32" s="304"/>
      <c r="AM32" s="72" t="s">
        <v>2355</v>
      </c>
      <c r="AO32" s="696" cm="1">
        <f t="array" ref="AO32">K32</f>
        <v>2025</v>
      </c>
    </row>
    <row r="33" spans="2:41" s="72" customFormat="1" ht="14.65" hidden="1" customHeight="1" x14ac:dyDescent="0.15">
      <c r="B33" s="341" t="b">
        <f t="shared" si="0"/>
        <v>1</v>
      </c>
      <c r="E33" s="507">
        <v>15</v>
      </c>
      <c r="F33" s="3" cm="1">
        <f t="array" aca="1" ref="F33" ca="1">OFFSET(E33,-1,1)</f>
        <v>0</v>
      </c>
      <c r="K33" s="72">
        <f>first_year+2</f>
        <v>2026</v>
      </c>
      <c r="T33" s="353" t="b" cm="1">
        <f t="array" ref="T33">T32</f>
        <v>0</v>
      </c>
      <c r="X33" s="990"/>
      <c r="Z33" s="967"/>
      <c r="AB33" s="563" t="str">
        <f t="shared" si="1"/>
        <v>2026 год</v>
      </c>
      <c r="AC33" s="875"/>
      <c r="AD33" s="874">
        <f ca="1">IFERROR(SUMIFS(INDEX(Сценарии!$AE$25:$BF$136,,MATCH($K33&amp;"Принято органом регулирования",Сценарии!$AE$8:$BF$8,0)),Сценарии!$F$25:$F$136,$F33,Сценарии!$AC$25:$AC$136,"Индекс эффективности операционных расходов"),0)</f>
        <v>0</v>
      </c>
      <c r="AE33" s="875"/>
      <c r="AF33" s="875">
        <f ca="1">IFERROR(SUMIFS(INDEX(Баланс!$AE$25:$BB$391,,MATCH($K33&amp;"Принято органом регулирования",Баланс!$AE$8:$BB$8,0)),Баланс!$F$25:$F$391,$F33,Баланс!$AC$24:$AC$391,"Уровень потерь воды"),0)</f>
        <v>0</v>
      </c>
      <c r="AG33" s="874">
        <f ca="1">IFERROR(SUMIFS(INDEX(Electricity_LOAD_1,,MATCH($K33&amp;"Принято органом регулирования",ЭЭ!$AE$8:$BB$8,0)),ЭЭ!$F$25:$F$116,$F33,ЭЭ!$AC$25:$AC$116,"Удельный расход электроэнергии"),0)</f>
        <v>0</v>
      </c>
      <c r="AH33" s="874">
        <f ca="1">IFERROR(SUMIFS(INDEX(Electricity_LOAD_1,,MATCH($K33&amp;"Принято органом регулирования",ЭЭ!$AE$8:$BB$8,0)),ЭЭ!$F$25:$F$116,$F33,ЭЭ!$AC$25:$AC$116,"Удельный расход электроэнергии"),0)</f>
        <v>0</v>
      </c>
      <c r="AI33" s="874">
        <f ca="1">IFERROR(SUMIFS(INDEX(Electricity_LOAD_1,,MATCH($K33&amp;"Принято органом регулирования",ЭЭ!$AE$8:$BB$8,0)),ЭЭ!$F$25:$F$116,$F33,ЭЭ!$AC$25:$AC$116,"Удельный расход электроэнергии"),0)</f>
        <v>0</v>
      </c>
      <c r="AJ33" s="874">
        <f ca="1">IFERROR(SUMIFS(INDEX(Electricity_LOAD_1,,MATCH($K33&amp;"Принято органом регулирования",ЭЭ!$AE$8:$BB$8,0)),ЭЭ!$F$25:$F$116,$F33,ЭЭ!$AC$25:$AC$116,"Удельный расход электроэнергии"),0)</f>
        <v>0</v>
      </c>
      <c r="AK33" s="874">
        <f ca="1">IFERROR(SUMIFS(INDEX(Electricity_LOAD_1,,MATCH($K33&amp;"Принято органом регулирования",ЭЭ!$AE$8:$BB$8,0)),ЭЭ!$F$25:$F$116,$F33,ЭЭ!$AC$25:$AC$116,"Удельный расход электроэнергии"),0)</f>
        <v>0</v>
      </c>
      <c r="AL33" s="304"/>
      <c r="AM33" s="72" t="s">
        <v>2355</v>
      </c>
      <c r="AO33" s="696" cm="1">
        <f t="array" ref="AO33">K33</f>
        <v>2026</v>
      </c>
    </row>
    <row r="34" spans="2:41" s="72" customFormat="1" ht="14.65" hidden="1" customHeight="1" x14ac:dyDescent="0.15">
      <c r="B34" s="341" t="b">
        <f t="shared" si="0"/>
        <v>1</v>
      </c>
      <c r="E34" s="507">
        <v>15</v>
      </c>
      <c r="F34" s="3" cm="1">
        <f t="array" aca="1" ref="F34" ca="1">OFFSET(E34,-1,1)</f>
        <v>0</v>
      </c>
      <c r="K34" s="72">
        <f>first_year+3</f>
        <v>2027</v>
      </c>
      <c r="T34" s="353" t="b" cm="1">
        <f t="array" ref="T34">T33</f>
        <v>0</v>
      </c>
      <c r="X34" s="990"/>
      <c r="Z34" s="967"/>
      <c r="AB34" s="563" t="str">
        <f t="shared" si="1"/>
        <v>2027 год</v>
      </c>
      <c r="AC34" s="875"/>
      <c r="AD34" s="874">
        <f ca="1">IFERROR(SUMIFS(INDEX(Сценарии!$AE$25:$BF$136,,MATCH($K34&amp;"Принято органом регулирования",Сценарии!$AE$8:$BF$8,0)),Сценарии!$F$25:$F$136,$F34,Сценарии!$AC$25:$AC$136,"Индекс эффективности операционных расходов"),0)</f>
        <v>0</v>
      </c>
      <c r="AE34" s="875"/>
      <c r="AF34" s="875">
        <f ca="1">IFERROR(SUMIFS(INDEX(Баланс!$AE$25:$BB$391,,MATCH($K34&amp;"Принято органом регулирования",Баланс!$AE$8:$BB$8,0)),Баланс!$F$25:$F$391,$F34,Баланс!$AC$24:$AC$391,"Уровень потерь воды"),0)</f>
        <v>0</v>
      </c>
      <c r="AG34" s="874">
        <f ca="1">IFERROR(SUMIFS(INDEX(Electricity_LOAD_1,,MATCH($K34&amp;"Принято органом регулирования",ЭЭ!$AE$8:$BB$8,0)),ЭЭ!$F$25:$F$116,$F34,ЭЭ!$AC$25:$AC$116,"Удельный расход электроэнергии"),0)</f>
        <v>0</v>
      </c>
      <c r="AH34" s="874">
        <f ca="1">IFERROR(SUMIFS(INDEX(Electricity_LOAD_1,,MATCH($K34&amp;"Принято органом регулирования",ЭЭ!$AE$8:$BB$8,0)),ЭЭ!$F$25:$F$116,$F34,ЭЭ!$AC$25:$AC$116,"Удельный расход электроэнергии"),0)</f>
        <v>0</v>
      </c>
      <c r="AI34" s="874">
        <f ca="1">IFERROR(SUMIFS(INDEX(Electricity_LOAD_1,,MATCH($K34&amp;"Принято органом регулирования",ЭЭ!$AE$8:$BB$8,0)),ЭЭ!$F$25:$F$116,$F34,ЭЭ!$AC$25:$AC$116,"Удельный расход электроэнергии"),0)</f>
        <v>0</v>
      </c>
      <c r="AJ34" s="874">
        <f ca="1">IFERROR(SUMIFS(INDEX(Electricity_LOAD_1,,MATCH($K34&amp;"Принято органом регулирования",ЭЭ!$AE$8:$BB$8,0)),ЭЭ!$F$25:$F$116,$F34,ЭЭ!$AC$25:$AC$116,"Удельный расход электроэнергии"),0)</f>
        <v>0</v>
      </c>
      <c r="AK34" s="874">
        <f ca="1">IFERROR(SUMIFS(INDEX(Electricity_LOAD_1,,MATCH($K34&amp;"Принято органом регулирования",ЭЭ!$AE$8:$BB$8,0)),ЭЭ!$F$25:$F$116,$F34,ЭЭ!$AC$25:$AC$116,"Удельный расход электроэнергии"),0)</f>
        <v>0</v>
      </c>
      <c r="AL34" s="304"/>
      <c r="AM34" s="72" t="s">
        <v>2355</v>
      </c>
      <c r="AO34" s="696" cm="1">
        <f t="array" ref="AO34">K34</f>
        <v>2027</v>
      </c>
    </row>
    <row r="35" spans="2:41" s="72" customFormat="1" ht="14.65" hidden="1" customHeight="1" x14ac:dyDescent="0.15">
      <c r="B35" s="341" t="b">
        <f t="shared" si="0"/>
        <v>1</v>
      </c>
      <c r="E35" s="507">
        <v>15</v>
      </c>
      <c r="F35" s="3" cm="1">
        <f t="array" aca="1" ref="F35" ca="1">OFFSET(E35,-1,1)</f>
        <v>0</v>
      </c>
      <c r="K35" s="72">
        <f>first_year+4</f>
        <v>2028</v>
      </c>
      <c r="T35" s="353" t="b" cm="1">
        <f t="array" ref="T35">T34</f>
        <v>0</v>
      </c>
      <c r="X35" s="990"/>
      <c r="Z35" s="967"/>
      <c r="AB35" s="563" t="str">
        <f t="shared" si="1"/>
        <v>2028 год</v>
      </c>
      <c r="AC35" s="875"/>
      <c r="AD35" s="874">
        <f ca="1">IFERROR(SUMIFS(INDEX(Сценарии!$AE$25:$BF$136,,MATCH($K35&amp;"Принято органом регулирования",Сценарии!$AE$8:$BF$8,0)),Сценарии!$F$25:$F$136,$F35,Сценарии!$AC$25:$AC$136,"Индекс эффективности операционных расходов"),0)</f>
        <v>0</v>
      </c>
      <c r="AE35" s="875"/>
      <c r="AF35" s="875">
        <f ca="1">IFERROR(SUMIFS(INDEX(Баланс!$AE$25:$BB$391,,MATCH($K35&amp;"Принято органом регулирования",Баланс!$AE$8:$BB$8,0)),Баланс!$F$25:$F$391,$F35,Баланс!$AC$24:$AC$391,"Уровень потерь воды"),0)</f>
        <v>0</v>
      </c>
      <c r="AG35" s="874">
        <f ca="1">IFERROR(SUMIFS(INDEX(Electricity_LOAD_1,,MATCH($K35&amp;"Принято органом регулирования",ЭЭ!$AE$8:$BB$8,0)),ЭЭ!$F$25:$F$116,$F35,ЭЭ!$AC$25:$AC$116,"Удельный расход электроэнергии"),0)</f>
        <v>0</v>
      </c>
      <c r="AH35" s="874">
        <f ca="1">IFERROR(SUMIFS(INDEX(Electricity_LOAD_1,,MATCH($K35&amp;"Принято органом регулирования",ЭЭ!$AE$8:$BB$8,0)),ЭЭ!$F$25:$F$116,$F35,ЭЭ!$AC$25:$AC$116,"Удельный расход электроэнергии"),0)</f>
        <v>0</v>
      </c>
      <c r="AI35" s="874">
        <f ca="1">IFERROR(SUMIFS(INDEX(Electricity_LOAD_1,,MATCH($K35&amp;"Принято органом регулирования",ЭЭ!$AE$8:$BB$8,0)),ЭЭ!$F$25:$F$116,$F35,ЭЭ!$AC$25:$AC$116,"Удельный расход электроэнергии"),0)</f>
        <v>0</v>
      </c>
      <c r="AJ35" s="874">
        <f ca="1">IFERROR(SUMIFS(INDEX(Electricity_LOAD_1,,MATCH($K35&amp;"Принято органом регулирования",ЭЭ!$AE$8:$BB$8,0)),ЭЭ!$F$25:$F$116,$F35,ЭЭ!$AC$25:$AC$116,"Удельный расход электроэнергии"),0)</f>
        <v>0</v>
      </c>
      <c r="AK35" s="874">
        <f ca="1">IFERROR(SUMIFS(INDEX(Electricity_LOAD_1,,MATCH($K35&amp;"Принято органом регулирования",ЭЭ!$AE$8:$BB$8,0)),ЭЭ!$F$25:$F$116,$F35,ЭЭ!$AC$25:$AC$116,"Удельный расход электроэнергии"),0)</f>
        <v>0</v>
      </c>
      <c r="AL35" s="304"/>
      <c r="AM35" s="72" t="s">
        <v>2355</v>
      </c>
      <c r="AO35" s="696" cm="1">
        <f t="array" ref="AO35">K35</f>
        <v>2028</v>
      </c>
    </row>
    <row r="36" spans="2:41" s="72" customFormat="1" ht="14.65" hidden="1" customHeight="1" x14ac:dyDescent="0.15">
      <c r="B36" s="341" t="b">
        <f t="shared" si="0"/>
        <v>0</v>
      </c>
      <c r="E36" s="507">
        <v>15</v>
      </c>
      <c r="F36" s="3" cm="1">
        <f t="array" aca="1" ref="F36" ca="1">OFFSET(E36,-1,1)</f>
        <v>0</v>
      </c>
      <c r="K36" s="72">
        <f>first_year+5</f>
        <v>2029</v>
      </c>
      <c r="T36" s="353" t="b" cm="1">
        <f t="array" ref="T36">T35</f>
        <v>0</v>
      </c>
      <c r="X36" s="990"/>
      <c r="Z36" s="967"/>
      <c r="AB36" s="563" t="str">
        <f t="shared" si="1"/>
        <v>2029 год</v>
      </c>
      <c r="AC36" s="875"/>
      <c r="AD36" s="874">
        <f ca="1">IFERROR(SUMIFS(INDEX(Сценарии!$AE$25:$BF$136,,MATCH($K36&amp;"Принято органом регулирования",Сценарии!$AE$8:$BF$8,0)),Сценарии!$F$25:$F$136,$F36,Сценарии!$AC$25:$AC$136,"Индекс эффективности операционных расходов"),0)</f>
        <v>0</v>
      </c>
      <c r="AE36" s="875"/>
      <c r="AF36" s="875">
        <f ca="1">IFERROR(SUMIFS(INDEX(Баланс!$AE$25:$BB$391,,MATCH($K36&amp;"Принято органом регулирования",Баланс!$AE$8:$BB$8,0)),Баланс!$F$25:$F$391,$F36,Баланс!$AC$24:$AC$391,"Уровень потерь воды"),0)</f>
        <v>0</v>
      </c>
      <c r="AG36" s="874">
        <f ca="1">IFERROR(SUMIFS(INDEX(Electricity_LOAD_1,,MATCH($K36&amp;"Принято органом регулирования",ЭЭ!$AE$8:$BB$8,0)),ЭЭ!$F$25:$F$116,$F36,ЭЭ!$AC$25:$AC$116,"Удельный расход электроэнергии"),0)</f>
        <v>0</v>
      </c>
      <c r="AH36" s="874">
        <f ca="1">IFERROR(SUMIFS(INDEX(Electricity_LOAD_1,,MATCH($K36&amp;"Принято органом регулирования",ЭЭ!$AE$8:$BB$8,0)),ЭЭ!$F$25:$F$116,$F36,ЭЭ!$AC$25:$AC$116,"Удельный расход электроэнергии"),0)</f>
        <v>0</v>
      </c>
      <c r="AI36" s="874">
        <f ca="1">IFERROR(SUMIFS(INDEX(Electricity_LOAD_1,,MATCH($K36&amp;"Принято органом регулирования",ЭЭ!$AE$8:$BB$8,0)),ЭЭ!$F$25:$F$116,$F36,ЭЭ!$AC$25:$AC$116,"Удельный расход электроэнергии"),0)</f>
        <v>0</v>
      </c>
      <c r="AJ36" s="874">
        <f ca="1">IFERROR(SUMIFS(INDEX(Electricity_LOAD_1,,MATCH($K36&amp;"Принято органом регулирования",ЭЭ!$AE$8:$BB$8,0)),ЭЭ!$F$25:$F$116,$F36,ЭЭ!$AC$25:$AC$116,"Удельный расход электроэнергии"),0)</f>
        <v>0</v>
      </c>
      <c r="AK36" s="874">
        <f ca="1">IFERROR(SUMIFS(INDEX(Electricity_LOAD_1,,MATCH($K36&amp;"Принято органом регулирования",ЭЭ!$AE$8:$BB$8,0)),ЭЭ!$F$25:$F$116,$F36,ЭЭ!$AC$25:$AC$116,"Удельный расход электроэнергии"),0)</f>
        <v>0</v>
      </c>
      <c r="AL36" s="304"/>
      <c r="AM36" s="72" t="s">
        <v>2355</v>
      </c>
      <c r="AO36" s="696" cm="1">
        <f t="array" ref="AO36">K36</f>
        <v>2029</v>
      </c>
    </row>
    <row r="37" spans="2:41" s="72" customFormat="1" ht="14.65" hidden="1" customHeight="1" x14ac:dyDescent="0.15">
      <c r="B37" s="341" t="b">
        <f t="shared" si="0"/>
        <v>0</v>
      </c>
      <c r="E37" s="507">
        <v>15</v>
      </c>
      <c r="F37" s="3" cm="1">
        <f t="array" aca="1" ref="F37" ca="1">OFFSET(E37,-1,1)</f>
        <v>0</v>
      </c>
      <c r="K37" s="72">
        <f>first_year+6</f>
        <v>2030</v>
      </c>
      <c r="T37" s="353" t="b" cm="1">
        <f t="array" ref="T37">T36</f>
        <v>0</v>
      </c>
      <c r="X37" s="990"/>
      <c r="Z37" s="967"/>
      <c r="AB37" s="563" t="str">
        <f t="shared" si="1"/>
        <v>2030 год</v>
      </c>
      <c r="AC37" s="875"/>
      <c r="AD37" s="874">
        <f ca="1">IFERROR(SUMIFS(INDEX(Сценарии!$AE$25:$BF$136,,MATCH($K37&amp;"Принято органом регулирования",Сценарии!$AE$8:$BF$8,0)),Сценарии!$F$25:$F$136,$F37,Сценарии!$AC$25:$AC$136,"Индекс эффективности операционных расходов"),0)</f>
        <v>0</v>
      </c>
      <c r="AE37" s="875"/>
      <c r="AF37" s="875">
        <f ca="1">IFERROR(SUMIFS(INDEX(Баланс!$AE$25:$BB$391,,MATCH($K37&amp;"Принято органом регулирования",Баланс!$AE$8:$BB$8,0)),Баланс!$F$25:$F$391,$F37,Баланс!$AC$24:$AC$391,"Уровень потерь воды"),0)</f>
        <v>0</v>
      </c>
      <c r="AG37" s="874">
        <f ca="1">IFERROR(SUMIFS(INDEX(Electricity_LOAD_1,,MATCH($K37&amp;"Принято органом регулирования",ЭЭ!$AE$8:$BB$8,0)),ЭЭ!$F$25:$F$116,$F37,ЭЭ!$AC$25:$AC$116,"Удельный расход электроэнергии"),0)</f>
        <v>0</v>
      </c>
      <c r="AH37" s="874">
        <f ca="1">IFERROR(SUMIFS(INDEX(Electricity_LOAD_1,,MATCH($K37&amp;"Принято органом регулирования",ЭЭ!$AE$8:$BB$8,0)),ЭЭ!$F$25:$F$116,$F37,ЭЭ!$AC$25:$AC$116,"Удельный расход электроэнергии"),0)</f>
        <v>0</v>
      </c>
      <c r="AI37" s="874">
        <f ca="1">IFERROR(SUMIFS(INDEX(Electricity_LOAD_1,,MATCH($K37&amp;"Принято органом регулирования",ЭЭ!$AE$8:$BB$8,0)),ЭЭ!$F$25:$F$116,$F37,ЭЭ!$AC$25:$AC$116,"Удельный расход электроэнергии"),0)</f>
        <v>0</v>
      </c>
      <c r="AJ37" s="874">
        <f ca="1">IFERROR(SUMIFS(INDEX(Electricity_LOAD_1,,MATCH($K37&amp;"Принято органом регулирования",ЭЭ!$AE$8:$BB$8,0)),ЭЭ!$F$25:$F$116,$F37,ЭЭ!$AC$25:$AC$116,"Удельный расход электроэнергии"),0)</f>
        <v>0</v>
      </c>
      <c r="AK37" s="874">
        <f ca="1">IFERROR(SUMIFS(INDEX(Electricity_LOAD_1,,MATCH($K37&amp;"Принято органом регулирования",ЭЭ!$AE$8:$BB$8,0)),ЭЭ!$F$25:$F$116,$F37,ЭЭ!$AC$25:$AC$116,"Удельный расход электроэнергии"),0)</f>
        <v>0</v>
      </c>
      <c r="AL37" s="304"/>
      <c r="AM37" s="72" t="s">
        <v>2355</v>
      </c>
      <c r="AO37" s="696" cm="1">
        <f t="array" ref="AO37">K37</f>
        <v>2030</v>
      </c>
    </row>
    <row r="38" spans="2:41" s="72" customFormat="1" ht="14.65" hidden="1" customHeight="1" x14ac:dyDescent="0.15">
      <c r="B38" s="341" t="b">
        <f t="shared" si="0"/>
        <v>0</v>
      </c>
      <c r="E38" s="507">
        <v>15</v>
      </c>
      <c r="F38" s="3" cm="1">
        <f t="array" aca="1" ref="F38" ca="1">OFFSET(E38,-1,1)</f>
        <v>0</v>
      </c>
      <c r="K38" s="72">
        <f>first_year+7</f>
        <v>2031</v>
      </c>
      <c r="T38" s="353" t="b" cm="1">
        <f t="array" ref="T38">T37</f>
        <v>0</v>
      </c>
      <c r="X38" s="990"/>
      <c r="Z38" s="967"/>
      <c r="AB38" s="563" t="str">
        <f t="shared" si="1"/>
        <v>2031 год</v>
      </c>
      <c r="AC38" s="875"/>
      <c r="AD38" s="874">
        <f ca="1">IFERROR(SUMIFS(INDEX(Сценарии!$AE$25:$BF$136,,MATCH($K38&amp;"Принято органом регулирования",Сценарии!$AE$8:$BF$8,0)),Сценарии!$F$25:$F$136,$F38,Сценарии!$AC$25:$AC$136,"Индекс эффективности операционных расходов"),0)</f>
        <v>0</v>
      </c>
      <c r="AE38" s="875"/>
      <c r="AF38" s="875">
        <f ca="1">IFERROR(SUMIFS(INDEX(Баланс!$AE$25:$BB$391,,MATCH($K38&amp;"Принято органом регулирования",Баланс!$AE$8:$BB$8,0)),Баланс!$F$25:$F$391,$F38,Баланс!$AC$24:$AC$391,"Уровень потерь воды"),0)</f>
        <v>0</v>
      </c>
      <c r="AG38" s="874">
        <f ca="1">IFERROR(SUMIFS(INDEX(Electricity_LOAD_1,,MATCH($K38&amp;"Принято органом регулирования",ЭЭ!$AE$8:$BB$8,0)),ЭЭ!$F$25:$F$116,$F38,ЭЭ!$AC$25:$AC$116,"Удельный расход электроэнергии"),0)</f>
        <v>0</v>
      </c>
      <c r="AH38" s="874">
        <f ca="1">IFERROR(SUMIFS(INDEX(Electricity_LOAD_1,,MATCH($K38&amp;"Принято органом регулирования",ЭЭ!$AE$8:$BB$8,0)),ЭЭ!$F$25:$F$116,$F38,ЭЭ!$AC$25:$AC$116,"Удельный расход электроэнергии"),0)</f>
        <v>0</v>
      </c>
      <c r="AI38" s="874">
        <f ca="1">IFERROR(SUMIFS(INDEX(Electricity_LOAD_1,,MATCH($K38&amp;"Принято органом регулирования",ЭЭ!$AE$8:$BB$8,0)),ЭЭ!$F$25:$F$116,$F38,ЭЭ!$AC$25:$AC$116,"Удельный расход электроэнергии"),0)</f>
        <v>0</v>
      </c>
      <c r="AJ38" s="874">
        <f ca="1">IFERROR(SUMIFS(INDEX(Electricity_LOAD_1,,MATCH($K38&amp;"Принято органом регулирования",ЭЭ!$AE$8:$BB$8,0)),ЭЭ!$F$25:$F$116,$F38,ЭЭ!$AC$25:$AC$116,"Удельный расход электроэнергии"),0)</f>
        <v>0</v>
      </c>
      <c r="AK38" s="874">
        <f ca="1">IFERROR(SUMIFS(INDEX(Electricity_LOAD_1,,MATCH($K38&amp;"Принято органом регулирования",ЭЭ!$AE$8:$BB$8,0)),ЭЭ!$F$25:$F$116,$F38,ЭЭ!$AC$25:$AC$116,"Удельный расход электроэнергии"),0)</f>
        <v>0</v>
      </c>
      <c r="AL38" s="304"/>
      <c r="AM38" s="72" t="s">
        <v>2355</v>
      </c>
      <c r="AO38" s="696" cm="1">
        <f t="array" ref="AO38">K38</f>
        <v>2031</v>
      </c>
    </row>
    <row r="39" spans="2:41" s="72" customFormat="1" ht="14.65" hidden="1" customHeight="1" x14ac:dyDescent="0.15">
      <c r="B39" s="341" t="b">
        <f t="shared" si="0"/>
        <v>0</v>
      </c>
      <c r="E39" s="507">
        <v>15</v>
      </c>
      <c r="F39" s="3" cm="1">
        <f t="array" aca="1" ref="F39" ca="1">OFFSET(E39,-1,1)</f>
        <v>0</v>
      </c>
      <c r="K39" s="72">
        <f>first_year+8</f>
        <v>2032</v>
      </c>
      <c r="T39" s="353" t="b" cm="1">
        <f t="array" ref="T39">T38</f>
        <v>0</v>
      </c>
      <c r="X39" s="990"/>
      <c r="Z39" s="967"/>
      <c r="AB39" s="563" t="str">
        <f t="shared" si="1"/>
        <v>2032 год</v>
      </c>
      <c r="AC39" s="875"/>
      <c r="AD39" s="874">
        <f ca="1">IFERROR(SUMIFS(INDEX(Сценарии!$AE$25:$BF$136,,MATCH($K39&amp;"Принято органом регулирования",Сценарии!$AE$8:$BF$8,0)),Сценарии!$F$25:$F$136,$F39,Сценарии!$AC$25:$AC$136,"Индекс эффективности операционных расходов"),0)</f>
        <v>0</v>
      </c>
      <c r="AE39" s="875"/>
      <c r="AF39" s="875">
        <f ca="1">IFERROR(SUMIFS(INDEX(Баланс!$AE$25:$BB$391,,MATCH($K39&amp;"Принято органом регулирования",Баланс!$AE$8:$BB$8,0)),Баланс!$F$25:$F$391,$F39,Баланс!$AC$24:$AC$391,"Уровень потерь воды"),0)</f>
        <v>0</v>
      </c>
      <c r="AG39" s="874">
        <f ca="1">IFERROR(SUMIFS(INDEX(Electricity_LOAD_1,,MATCH($K39&amp;"Принято органом регулирования",ЭЭ!$AE$8:$BB$8,0)),ЭЭ!$F$25:$F$116,$F39,ЭЭ!$AC$25:$AC$116,"Удельный расход электроэнергии"),0)</f>
        <v>0</v>
      </c>
      <c r="AH39" s="874">
        <f ca="1">IFERROR(SUMIFS(INDEX(Electricity_LOAD_1,,MATCH($K39&amp;"Принято органом регулирования",ЭЭ!$AE$8:$BB$8,0)),ЭЭ!$F$25:$F$116,$F39,ЭЭ!$AC$25:$AC$116,"Удельный расход электроэнергии"),0)</f>
        <v>0</v>
      </c>
      <c r="AI39" s="874">
        <f ca="1">IFERROR(SUMIFS(INDEX(Electricity_LOAD_1,,MATCH($K39&amp;"Принято органом регулирования",ЭЭ!$AE$8:$BB$8,0)),ЭЭ!$F$25:$F$116,$F39,ЭЭ!$AC$25:$AC$116,"Удельный расход электроэнергии"),0)</f>
        <v>0</v>
      </c>
      <c r="AJ39" s="874">
        <f ca="1">IFERROR(SUMIFS(INDEX(Electricity_LOAD_1,,MATCH($K39&amp;"Принято органом регулирования",ЭЭ!$AE$8:$BB$8,0)),ЭЭ!$F$25:$F$116,$F39,ЭЭ!$AC$25:$AC$116,"Удельный расход электроэнергии"),0)</f>
        <v>0</v>
      </c>
      <c r="AK39" s="874">
        <f ca="1">IFERROR(SUMIFS(INDEX(Electricity_LOAD_1,,MATCH($K39&amp;"Принято органом регулирования",ЭЭ!$AE$8:$BB$8,0)),ЭЭ!$F$25:$F$116,$F39,ЭЭ!$AC$25:$AC$116,"Удельный расход электроэнергии"),0)</f>
        <v>0</v>
      </c>
      <c r="AL39" s="304"/>
      <c r="AM39" s="72" t="s">
        <v>2355</v>
      </c>
      <c r="AO39" s="696" cm="1">
        <f t="array" ref="AO39">K39</f>
        <v>2032</v>
      </c>
    </row>
    <row r="40" spans="2:41" s="72" customFormat="1" ht="14.65" hidden="1" customHeight="1" x14ac:dyDescent="0.15">
      <c r="B40" s="341" t="b">
        <f t="shared" si="0"/>
        <v>0</v>
      </c>
      <c r="E40" s="507">
        <v>15</v>
      </c>
      <c r="F40" s="3" cm="1">
        <f t="array" aca="1" ref="F40" ca="1">OFFSET(E40,-1,1)</f>
        <v>0</v>
      </c>
      <c r="K40" s="72">
        <f>first_year+9</f>
        <v>2033</v>
      </c>
      <c r="T40" s="353" t="b" cm="1">
        <f t="array" ref="T40">T39</f>
        <v>0</v>
      </c>
      <c r="X40" s="990"/>
      <c r="Z40" s="967"/>
      <c r="AB40" s="563" t="str">
        <f t="shared" si="1"/>
        <v>2033 год</v>
      </c>
      <c r="AC40" s="875"/>
      <c r="AD40" s="874">
        <f ca="1">IFERROR(SUMIFS(INDEX(Сценарии!$AE$25:$BF$136,,MATCH($K40&amp;"Принято органом регулирования",Сценарии!$AE$8:$BF$8,0)),Сценарии!$F$25:$F$136,$F40,Сценарии!$AC$25:$AC$136,"Индекс эффективности операционных расходов"),0)</f>
        <v>0</v>
      </c>
      <c r="AE40" s="875"/>
      <c r="AF40" s="875">
        <f ca="1">IFERROR(SUMIFS(INDEX(Баланс!$AE$25:$BB$391,,MATCH($K40&amp;"Принято органом регулирования",Баланс!$AE$8:$BB$8,0)),Баланс!$F$25:$F$391,$F40,Баланс!$AC$24:$AC$391,"Уровень потерь воды"),0)</f>
        <v>0</v>
      </c>
      <c r="AG40" s="874">
        <f ca="1">IFERROR(SUMIFS(INDEX(Electricity_LOAD_1,,MATCH($K40&amp;"Принято органом регулирования",ЭЭ!$AE$8:$BB$8,0)),ЭЭ!$F$25:$F$116,$F40,ЭЭ!$AC$25:$AC$116,"Удельный расход электроэнергии"),0)</f>
        <v>0</v>
      </c>
      <c r="AH40" s="874">
        <f ca="1">IFERROR(SUMIFS(INDEX(Electricity_LOAD_1,,MATCH($K40&amp;"Принято органом регулирования",ЭЭ!$AE$8:$BB$8,0)),ЭЭ!$F$25:$F$116,$F40,ЭЭ!$AC$25:$AC$116,"Удельный расход электроэнергии"),0)</f>
        <v>0</v>
      </c>
      <c r="AI40" s="874">
        <f ca="1">IFERROR(SUMIFS(INDEX(Electricity_LOAD_1,,MATCH($K40&amp;"Принято органом регулирования",ЭЭ!$AE$8:$BB$8,0)),ЭЭ!$F$25:$F$116,$F40,ЭЭ!$AC$25:$AC$116,"Удельный расход электроэнергии"),0)</f>
        <v>0</v>
      </c>
      <c r="AJ40" s="874">
        <f ca="1">IFERROR(SUMIFS(INDEX(Electricity_LOAD_1,,MATCH($K40&amp;"Принято органом регулирования",ЭЭ!$AE$8:$BB$8,0)),ЭЭ!$F$25:$F$116,$F40,ЭЭ!$AC$25:$AC$116,"Удельный расход электроэнергии"),0)</f>
        <v>0</v>
      </c>
      <c r="AK40" s="874">
        <f ca="1">IFERROR(SUMIFS(INDEX(Electricity_LOAD_1,,MATCH($K40&amp;"Принято органом регулирования",ЭЭ!$AE$8:$BB$8,0)),ЭЭ!$F$25:$F$116,$F40,ЭЭ!$AC$25:$AC$116,"Удельный расход электроэнергии"),0)</f>
        <v>0</v>
      </c>
      <c r="AL40" s="304"/>
      <c r="AM40" s="72" t="s">
        <v>2355</v>
      </c>
      <c r="AO40" s="696" cm="1">
        <f t="array" ref="AO40">K40</f>
        <v>2033</v>
      </c>
    </row>
    <row r="41" spans="2:41" s="72" customFormat="1" ht="14.65" hidden="1" customHeight="1" x14ac:dyDescent="0.15">
      <c r="B41" s="341" t="b">
        <f t="shared" si="0"/>
        <v>0</v>
      </c>
      <c r="E41" s="507">
        <v>15</v>
      </c>
      <c r="F41" s="3" cm="1">
        <f t="array" aca="1" ref="F41" ca="1">OFFSET(E41,-1,1)</f>
        <v>0</v>
      </c>
      <c r="K41" s="72">
        <f>first_year+10</f>
        <v>2034</v>
      </c>
      <c r="T41" s="353" t="b" cm="1">
        <f t="array" ref="T41">T40</f>
        <v>0</v>
      </c>
      <c r="X41" s="990"/>
      <c r="Z41" s="967"/>
      <c r="AB41" s="563" t="str">
        <f t="shared" si="1"/>
        <v>2034 год</v>
      </c>
      <c r="AC41" s="875"/>
      <c r="AD41" s="874"/>
      <c r="AE41" s="875"/>
      <c r="AF41" s="875"/>
      <c r="AG41" s="874"/>
      <c r="AH41" s="874"/>
      <c r="AI41" s="874"/>
      <c r="AJ41" s="874"/>
      <c r="AK41" s="876"/>
      <c r="AL41" s="304"/>
      <c r="AO41" s="696" cm="1">
        <f t="array" ref="AO41">K41</f>
        <v>2034</v>
      </c>
    </row>
    <row r="42" spans="2:41" s="72" customFormat="1" ht="14.65" hidden="1" customHeight="1" x14ac:dyDescent="0.15">
      <c r="B42" s="341" t="b">
        <f t="shared" si="0"/>
        <v>0</v>
      </c>
      <c r="E42" s="507">
        <v>15</v>
      </c>
      <c r="F42" s="3" cm="1">
        <f t="array" aca="1" ref="F42" ca="1">OFFSET(E42,-1,1)</f>
        <v>0</v>
      </c>
      <c r="K42" s="72">
        <f>first_year+11</f>
        <v>2035</v>
      </c>
      <c r="T42" s="353" t="b" cm="1">
        <f t="array" ref="T42">T41</f>
        <v>0</v>
      </c>
      <c r="X42" s="990"/>
      <c r="Z42" s="967"/>
      <c r="AB42" s="168" t="str">
        <f t="shared" si="1"/>
        <v>2035 год</v>
      </c>
      <c r="AC42" s="875"/>
      <c r="AD42" s="877"/>
      <c r="AE42" s="878"/>
      <c r="AF42" s="878"/>
      <c r="AG42" s="877"/>
      <c r="AH42" s="877"/>
      <c r="AI42" s="877"/>
      <c r="AJ42" s="877"/>
      <c r="AK42" s="879"/>
      <c r="AL42" s="304"/>
      <c r="AO42" s="696" cm="1">
        <f t="array" ref="AO42">K42</f>
        <v>2035</v>
      </c>
    </row>
    <row r="43" spans="2:41" s="72" customFormat="1" ht="14.65" hidden="1" customHeight="1" x14ac:dyDescent="0.15">
      <c r="B43" s="341" t="b">
        <f t="shared" si="0"/>
        <v>0</v>
      </c>
      <c r="E43" s="507">
        <v>15</v>
      </c>
      <c r="F43" s="3" cm="1">
        <f t="array" aca="1" ref="F43" ca="1">OFFSET(E43,-1,1)</f>
        <v>0</v>
      </c>
      <c r="K43" s="72">
        <f>first_year+12</f>
        <v>2036</v>
      </c>
      <c r="T43" s="353" t="b" cm="1">
        <f t="array" ref="T43">T42</f>
        <v>0</v>
      </c>
      <c r="X43" s="990"/>
      <c r="Z43" s="967"/>
      <c r="AB43" s="168" t="str">
        <f t="shared" si="1"/>
        <v>2036 год</v>
      </c>
      <c r="AC43" s="875"/>
      <c r="AD43" s="877"/>
      <c r="AE43" s="878"/>
      <c r="AF43" s="878"/>
      <c r="AG43" s="877"/>
      <c r="AH43" s="877"/>
      <c r="AI43" s="877"/>
      <c r="AJ43" s="877"/>
      <c r="AK43" s="879"/>
      <c r="AL43" s="304"/>
      <c r="AO43" s="696" cm="1">
        <f t="array" ref="AO43">K43</f>
        <v>2036</v>
      </c>
    </row>
    <row r="44" spans="2:41" s="72" customFormat="1" ht="14.65" hidden="1" customHeight="1" x14ac:dyDescent="0.15">
      <c r="B44" s="341" t="b">
        <f t="shared" si="0"/>
        <v>0</v>
      </c>
      <c r="E44" s="507">
        <v>15</v>
      </c>
      <c r="F44" s="3" cm="1">
        <f t="array" aca="1" ref="F44" ca="1">OFFSET(E44,-1,1)</f>
        <v>0</v>
      </c>
      <c r="K44" s="72">
        <f>first_year+13</f>
        <v>2037</v>
      </c>
      <c r="T44" s="353" t="b" cm="1">
        <f t="array" ref="T44">T43</f>
        <v>0</v>
      </c>
      <c r="X44" s="990"/>
      <c r="Z44" s="967"/>
      <c r="AB44" s="168" t="str">
        <f t="shared" si="1"/>
        <v>2037 год</v>
      </c>
      <c r="AC44" s="875"/>
      <c r="AD44" s="877"/>
      <c r="AE44" s="878"/>
      <c r="AF44" s="878"/>
      <c r="AG44" s="877"/>
      <c r="AH44" s="877"/>
      <c r="AI44" s="877"/>
      <c r="AJ44" s="877"/>
      <c r="AK44" s="879"/>
      <c r="AL44" s="304"/>
      <c r="AO44" s="696" cm="1">
        <f t="array" ref="AO44">K44</f>
        <v>2037</v>
      </c>
    </row>
    <row r="45" spans="2:41" s="72" customFormat="1" ht="14.65" hidden="1" customHeight="1" x14ac:dyDescent="0.15">
      <c r="B45" s="341" t="b">
        <f t="shared" si="0"/>
        <v>0</v>
      </c>
      <c r="E45" s="507">
        <v>15</v>
      </c>
      <c r="F45" s="3" cm="1">
        <f t="array" aca="1" ref="F45" ca="1">OFFSET(E45,-1,1)</f>
        <v>0</v>
      </c>
      <c r="K45" s="72">
        <f>first_year+14</f>
        <v>2038</v>
      </c>
      <c r="T45" s="353" t="b" cm="1">
        <f t="array" ref="T45">T44</f>
        <v>0</v>
      </c>
      <c r="X45" s="990"/>
      <c r="Z45" s="967"/>
      <c r="AB45" s="168" t="str">
        <f t="shared" si="1"/>
        <v>2038 год</v>
      </c>
      <c r="AC45" s="875"/>
      <c r="AD45" s="877"/>
      <c r="AE45" s="878"/>
      <c r="AF45" s="878"/>
      <c r="AG45" s="877"/>
      <c r="AH45" s="877"/>
      <c r="AI45" s="877"/>
      <c r="AJ45" s="877"/>
      <c r="AK45" s="879"/>
      <c r="AL45" s="304"/>
      <c r="AO45" s="696" cm="1">
        <f t="array" ref="AO45">K45</f>
        <v>2038</v>
      </c>
    </row>
    <row r="46" spans="2:41" s="72" customFormat="1" ht="14.65" hidden="1" customHeight="1" x14ac:dyDescent="0.15">
      <c r="B46" s="341" t="b">
        <f t="shared" si="0"/>
        <v>0</v>
      </c>
      <c r="E46" s="507">
        <v>15</v>
      </c>
      <c r="F46" s="3" cm="1">
        <f t="array" aca="1" ref="F46" ca="1">OFFSET(E46,-1,1)</f>
        <v>0</v>
      </c>
      <c r="K46" s="72">
        <f>first_year+15</f>
        <v>2039</v>
      </c>
      <c r="T46" s="353" t="b" cm="1">
        <f t="array" ref="T46">T45</f>
        <v>0</v>
      </c>
      <c r="X46" s="990"/>
      <c r="Z46" s="967"/>
      <c r="AB46" s="168" t="str">
        <f t="shared" si="1"/>
        <v>2039 год</v>
      </c>
      <c r="AC46" s="875"/>
      <c r="AD46" s="877"/>
      <c r="AE46" s="878"/>
      <c r="AF46" s="878"/>
      <c r="AG46" s="877"/>
      <c r="AH46" s="877"/>
      <c r="AI46" s="877"/>
      <c r="AJ46" s="877"/>
      <c r="AK46" s="879"/>
      <c r="AL46" s="304"/>
      <c r="AO46" s="696" cm="1">
        <f t="array" ref="AO46">K46</f>
        <v>2039</v>
      </c>
    </row>
    <row r="47" spans="2:41" s="72" customFormat="1" ht="14.65" hidden="1" customHeight="1" x14ac:dyDescent="0.15">
      <c r="B47" s="341" t="b">
        <f t="shared" si="0"/>
        <v>0</v>
      </c>
      <c r="E47" s="507">
        <v>15</v>
      </c>
      <c r="F47" s="3" cm="1">
        <f t="array" aca="1" ref="F47" ca="1">OFFSET(E47,-1,1)</f>
        <v>0</v>
      </c>
      <c r="K47" s="72">
        <f>first_year+16</f>
        <v>2040</v>
      </c>
      <c r="T47" s="353" t="b" cm="1">
        <f t="array" ref="T47">T46</f>
        <v>0</v>
      </c>
      <c r="X47" s="990"/>
      <c r="Z47" s="967"/>
      <c r="AB47" s="168" t="str">
        <f t="shared" si="1"/>
        <v>2040 год</v>
      </c>
      <c r="AC47" s="875"/>
      <c r="AD47" s="877"/>
      <c r="AE47" s="878"/>
      <c r="AF47" s="878"/>
      <c r="AG47" s="877"/>
      <c r="AH47" s="877"/>
      <c r="AI47" s="877"/>
      <c r="AJ47" s="877"/>
      <c r="AK47" s="879"/>
      <c r="AL47" s="304"/>
      <c r="AO47" s="696" cm="1">
        <f t="array" ref="AO47">K47</f>
        <v>2040</v>
      </c>
    </row>
    <row r="48" spans="2:41" s="72" customFormat="1" ht="14.65" hidden="1" customHeight="1" x14ac:dyDescent="0.15">
      <c r="B48" s="341" t="b">
        <f t="shared" si="0"/>
        <v>0</v>
      </c>
      <c r="E48" s="507">
        <v>15</v>
      </c>
      <c r="F48" s="3" cm="1">
        <f t="array" aca="1" ref="F48" ca="1">OFFSET(E48,-1,1)</f>
        <v>0</v>
      </c>
      <c r="K48" s="72">
        <f>first_year+17</f>
        <v>2041</v>
      </c>
      <c r="T48" s="353" t="b" cm="1">
        <f t="array" ref="T48">T47</f>
        <v>0</v>
      </c>
      <c r="X48" s="990"/>
      <c r="Z48" s="967"/>
      <c r="AB48" s="168" t="str">
        <f t="shared" si="1"/>
        <v>2041 год</v>
      </c>
      <c r="AC48" s="875"/>
      <c r="AD48" s="877"/>
      <c r="AE48" s="878"/>
      <c r="AF48" s="878"/>
      <c r="AG48" s="877"/>
      <c r="AH48" s="877"/>
      <c r="AI48" s="877"/>
      <c r="AJ48" s="877"/>
      <c r="AK48" s="879"/>
      <c r="AL48" s="304"/>
      <c r="AO48" s="696" cm="1">
        <f t="array" ref="AO48">K48</f>
        <v>2041</v>
      </c>
    </row>
    <row r="49" spans="2:41" s="72" customFormat="1" ht="14.65" hidden="1" customHeight="1" x14ac:dyDescent="0.15">
      <c r="B49" s="341" t="b">
        <f t="shared" si="0"/>
        <v>0</v>
      </c>
      <c r="E49" s="507">
        <v>15</v>
      </c>
      <c r="F49" s="3" cm="1">
        <f t="array" aca="1" ref="F49" ca="1">OFFSET(E49,-1,1)</f>
        <v>0</v>
      </c>
      <c r="K49" s="72">
        <f>first_year+18</f>
        <v>2042</v>
      </c>
      <c r="T49" s="353" t="b" cm="1">
        <f t="array" ref="T49">T48</f>
        <v>0</v>
      </c>
      <c r="X49" s="990"/>
      <c r="Z49" s="967"/>
      <c r="AB49" s="168" t="str">
        <f t="shared" si="1"/>
        <v>2042 год</v>
      </c>
      <c r="AC49" s="875"/>
      <c r="AD49" s="877"/>
      <c r="AE49" s="878"/>
      <c r="AF49" s="878"/>
      <c r="AG49" s="877"/>
      <c r="AH49" s="877"/>
      <c r="AI49" s="877"/>
      <c r="AJ49" s="877"/>
      <c r="AK49" s="879"/>
      <c r="AL49" s="304"/>
      <c r="AO49" s="696" cm="1">
        <f t="array" ref="AO49">K49</f>
        <v>2042</v>
      </c>
    </row>
    <row r="50" spans="2:41" s="72" customFormat="1" ht="14.65" hidden="1" customHeight="1" x14ac:dyDescent="0.15">
      <c r="B50" s="341" t="b">
        <f t="shared" si="0"/>
        <v>0</v>
      </c>
      <c r="E50" s="507">
        <v>15</v>
      </c>
      <c r="F50" s="3" cm="1">
        <f t="array" aca="1" ref="F50" ca="1">OFFSET(E50,-1,1)</f>
        <v>0</v>
      </c>
      <c r="K50" s="72">
        <f>first_year+19</f>
        <v>2043</v>
      </c>
      <c r="T50" s="353" t="b" cm="1">
        <f t="array" ref="T50">T49</f>
        <v>0</v>
      </c>
      <c r="X50" s="990"/>
      <c r="Z50" s="967"/>
      <c r="AB50" s="168" t="str">
        <f t="shared" si="1"/>
        <v>2043 год</v>
      </c>
      <c r="AC50" s="875"/>
      <c r="AD50" s="877"/>
      <c r="AE50" s="878"/>
      <c r="AF50" s="878"/>
      <c r="AG50" s="877"/>
      <c r="AH50" s="877"/>
      <c r="AI50" s="877"/>
      <c r="AJ50" s="877"/>
      <c r="AK50" s="879"/>
      <c r="AL50" s="304"/>
      <c r="AO50" s="696" cm="1">
        <f t="array" ref="AO50">K50</f>
        <v>2043</v>
      </c>
    </row>
    <row r="51" spans="2:41" s="72" customFormat="1" ht="14.65" hidden="1" customHeight="1" x14ac:dyDescent="0.15">
      <c r="B51" s="341" t="b">
        <f t="shared" si="0"/>
        <v>0</v>
      </c>
      <c r="E51" s="507">
        <v>15</v>
      </c>
      <c r="F51" s="3" cm="1">
        <f t="array" aca="1" ref="F51" ca="1">OFFSET(E51,-1,1)</f>
        <v>0</v>
      </c>
      <c r="K51" s="72">
        <f>first_year+20</f>
        <v>2044</v>
      </c>
      <c r="T51" s="353" t="b" cm="1">
        <f t="array" ref="T51">T50</f>
        <v>0</v>
      </c>
      <c r="X51" s="990"/>
      <c r="Z51" s="967"/>
      <c r="AB51" s="168" t="str">
        <f t="shared" si="1"/>
        <v>2044 год</v>
      </c>
      <c r="AC51" s="875"/>
      <c r="AD51" s="877"/>
      <c r="AE51" s="878"/>
      <c r="AF51" s="878"/>
      <c r="AG51" s="877"/>
      <c r="AH51" s="877"/>
      <c r="AI51" s="877"/>
      <c r="AJ51" s="877"/>
      <c r="AK51" s="879"/>
      <c r="AL51" s="304"/>
      <c r="AO51" s="696" cm="1">
        <f t="array" ref="AO51">K51</f>
        <v>2044</v>
      </c>
    </row>
    <row r="52" spans="2:41" s="72" customFormat="1" ht="14.65" hidden="1" customHeight="1" x14ac:dyDescent="0.15">
      <c r="B52" s="341" t="b">
        <f t="shared" si="0"/>
        <v>0</v>
      </c>
      <c r="E52" s="507">
        <v>15</v>
      </c>
      <c r="F52" s="3" cm="1">
        <f t="array" aca="1" ref="F52" ca="1">OFFSET(E52,-1,1)</f>
        <v>0</v>
      </c>
      <c r="K52" s="72">
        <f>first_year+21</f>
        <v>2045</v>
      </c>
      <c r="T52" s="353" t="b" cm="1">
        <f t="array" ref="T52">T51</f>
        <v>0</v>
      </c>
      <c r="X52" s="990"/>
      <c r="Z52" s="967"/>
      <c r="AB52" s="168" t="str">
        <f t="shared" si="1"/>
        <v>2045 год</v>
      </c>
      <c r="AC52" s="875"/>
      <c r="AD52" s="877"/>
      <c r="AE52" s="878"/>
      <c r="AF52" s="878"/>
      <c r="AG52" s="877"/>
      <c r="AH52" s="877"/>
      <c r="AI52" s="877"/>
      <c r="AJ52" s="877"/>
      <c r="AK52" s="879"/>
      <c r="AL52" s="304"/>
      <c r="AO52" s="696" cm="1">
        <f t="array" ref="AO52">K52</f>
        <v>2045</v>
      </c>
    </row>
    <row r="53" spans="2:41" s="72" customFormat="1" ht="14.65" hidden="1" customHeight="1" x14ac:dyDescent="0.15">
      <c r="B53" s="341" t="b">
        <f t="shared" si="0"/>
        <v>0</v>
      </c>
      <c r="E53" s="507">
        <v>15</v>
      </c>
      <c r="F53" s="3" cm="1">
        <f t="array" aca="1" ref="F53" ca="1">OFFSET(E53,-1,1)</f>
        <v>0</v>
      </c>
      <c r="K53" s="72">
        <f>first_year+22</f>
        <v>2046</v>
      </c>
      <c r="T53" s="353" t="b" cm="1">
        <f t="array" ref="T53">T52</f>
        <v>0</v>
      </c>
      <c r="X53" s="990"/>
      <c r="Z53" s="967"/>
      <c r="AB53" s="168" t="str">
        <f t="shared" si="1"/>
        <v>2046 год</v>
      </c>
      <c r="AC53" s="875"/>
      <c r="AD53" s="877"/>
      <c r="AE53" s="878"/>
      <c r="AF53" s="878"/>
      <c r="AG53" s="877"/>
      <c r="AH53" s="877"/>
      <c r="AI53" s="877"/>
      <c r="AJ53" s="877"/>
      <c r="AK53" s="879"/>
      <c r="AL53" s="304"/>
      <c r="AO53" s="696" cm="1">
        <f t="array" ref="AO53">K53</f>
        <v>2046</v>
      </c>
    </row>
    <row r="54" spans="2:41" s="72" customFormat="1" ht="14.65" hidden="1" customHeight="1" x14ac:dyDescent="0.15">
      <c r="B54" s="341" t="b">
        <f t="shared" si="0"/>
        <v>0</v>
      </c>
      <c r="E54" s="507">
        <v>15</v>
      </c>
      <c r="F54" s="3" cm="1">
        <f t="array" aca="1" ref="F54" ca="1">OFFSET(E54,-1,1)</f>
        <v>0</v>
      </c>
      <c r="K54" s="72">
        <f>first_year+23</f>
        <v>2047</v>
      </c>
      <c r="T54" s="353" t="b" cm="1">
        <f t="array" ref="T54">T53</f>
        <v>0</v>
      </c>
      <c r="X54" s="990"/>
      <c r="Z54" s="967"/>
      <c r="AB54" s="168" t="str">
        <f t="shared" si="1"/>
        <v>2047 год</v>
      </c>
      <c r="AC54" s="875"/>
      <c r="AD54" s="877"/>
      <c r="AE54" s="878"/>
      <c r="AF54" s="878"/>
      <c r="AG54" s="877"/>
      <c r="AH54" s="877"/>
      <c r="AI54" s="877"/>
      <c r="AJ54" s="877"/>
      <c r="AK54" s="879"/>
      <c r="AL54" s="304"/>
      <c r="AO54" s="696" cm="1">
        <f t="array" ref="AO54">K54</f>
        <v>2047</v>
      </c>
    </row>
    <row r="55" spans="2:41" s="72" customFormat="1" ht="14.65" hidden="1" customHeight="1" x14ac:dyDescent="0.15">
      <c r="B55" s="341" t="b">
        <f t="shared" si="0"/>
        <v>0</v>
      </c>
      <c r="E55" s="507">
        <v>15</v>
      </c>
      <c r="F55" s="3" cm="1">
        <f t="array" aca="1" ref="F55" ca="1">OFFSET(E55,-1,1)</f>
        <v>0</v>
      </c>
      <c r="K55" s="72">
        <f>first_year+24</f>
        <v>2048</v>
      </c>
      <c r="T55" s="353" t="b" cm="1">
        <f t="array" ref="T55">T54</f>
        <v>0</v>
      </c>
      <c r="X55" s="990"/>
      <c r="Z55" s="967"/>
      <c r="AB55" s="168" t="str">
        <f t="shared" si="1"/>
        <v>2048 год</v>
      </c>
      <c r="AC55" s="875"/>
      <c r="AD55" s="877"/>
      <c r="AE55" s="878"/>
      <c r="AF55" s="878"/>
      <c r="AG55" s="877"/>
      <c r="AH55" s="877"/>
      <c r="AI55" s="877"/>
      <c r="AJ55" s="877"/>
      <c r="AK55" s="879"/>
      <c r="AL55" s="304"/>
      <c r="AO55" s="696" cm="1">
        <f t="array" ref="AO55">K55</f>
        <v>2048</v>
      </c>
    </row>
    <row r="56" spans="2:41" s="72" customFormat="1" ht="14.65" hidden="1" customHeight="1" x14ac:dyDescent="0.15">
      <c r="B56" s="341" t="b">
        <f t="shared" si="0"/>
        <v>0</v>
      </c>
      <c r="E56" s="507">
        <v>15</v>
      </c>
      <c r="F56" s="3" cm="1">
        <f t="array" aca="1" ref="F56" ca="1">OFFSET(E56,-1,1)</f>
        <v>0</v>
      </c>
      <c r="K56" s="72">
        <f>first_year+25</f>
        <v>2049</v>
      </c>
      <c r="T56" s="353" t="b" cm="1">
        <f t="array" ref="T56">T55</f>
        <v>0</v>
      </c>
      <c r="X56" s="990"/>
      <c r="Z56" s="967"/>
      <c r="AB56" s="168" t="str">
        <f t="shared" si="1"/>
        <v>2049 год</v>
      </c>
      <c r="AC56" s="875"/>
      <c r="AD56" s="877"/>
      <c r="AE56" s="878"/>
      <c r="AF56" s="878"/>
      <c r="AG56" s="877"/>
      <c r="AH56" s="877"/>
      <c r="AI56" s="877"/>
      <c r="AJ56" s="877"/>
      <c r="AK56" s="879"/>
      <c r="AL56" s="304"/>
      <c r="AO56" s="696" cm="1">
        <f t="array" ref="AO56">K56</f>
        <v>2049</v>
      </c>
    </row>
    <row r="57" spans="2:41" s="72" customFormat="1" ht="14.65" hidden="1" customHeight="1" x14ac:dyDescent="0.15">
      <c r="B57" s="341" t="b">
        <f t="shared" si="0"/>
        <v>0</v>
      </c>
      <c r="E57" s="507">
        <v>15</v>
      </c>
      <c r="F57" s="3" cm="1">
        <f t="array" aca="1" ref="F57" ca="1">OFFSET(E57,-1,1)</f>
        <v>0</v>
      </c>
      <c r="K57" s="72">
        <f>first_year+26</f>
        <v>2050</v>
      </c>
      <c r="T57" s="353" t="b" cm="1">
        <f t="array" ref="T57">T56</f>
        <v>0</v>
      </c>
      <c r="X57" s="990"/>
      <c r="Z57" s="967"/>
      <c r="AB57" s="168" t="str">
        <f t="shared" si="1"/>
        <v>2050 год</v>
      </c>
      <c r="AC57" s="875"/>
      <c r="AD57" s="877"/>
      <c r="AE57" s="878"/>
      <c r="AF57" s="878"/>
      <c r="AG57" s="877"/>
      <c r="AH57" s="877"/>
      <c r="AI57" s="877"/>
      <c r="AJ57" s="877"/>
      <c r="AK57" s="879"/>
      <c r="AL57" s="304"/>
      <c r="AO57" s="696" cm="1">
        <f t="array" ref="AO57">K57</f>
        <v>2050</v>
      </c>
    </row>
    <row r="58" spans="2:41" s="72" customFormat="1" ht="14.65" hidden="1" customHeight="1" x14ac:dyDescent="0.15">
      <c r="B58" s="341" t="b">
        <f t="shared" si="0"/>
        <v>0</v>
      </c>
      <c r="E58" s="507">
        <v>15</v>
      </c>
      <c r="F58" s="3" cm="1">
        <f t="array" aca="1" ref="F58" ca="1">OFFSET(E58,-1,1)</f>
        <v>0</v>
      </c>
      <c r="K58" s="72">
        <f>first_year+27</f>
        <v>2051</v>
      </c>
      <c r="T58" s="353" t="b" cm="1">
        <f t="array" ref="T58">T57</f>
        <v>0</v>
      </c>
      <c r="X58" s="990"/>
      <c r="Z58" s="967"/>
      <c r="AB58" s="168" t="str">
        <f t="shared" si="1"/>
        <v>2051 год</v>
      </c>
      <c r="AC58" s="875"/>
      <c r="AD58" s="877"/>
      <c r="AE58" s="878"/>
      <c r="AF58" s="878"/>
      <c r="AG58" s="877"/>
      <c r="AH58" s="877"/>
      <c r="AI58" s="877"/>
      <c r="AJ58" s="877"/>
      <c r="AK58" s="879"/>
      <c r="AL58" s="304"/>
      <c r="AO58" s="696" cm="1">
        <f t="array" ref="AO58">K58</f>
        <v>2051</v>
      </c>
    </row>
    <row r="59" spans="2:41" s="72" customFormat="1" ht="14.65" hidden="1" customHeight="1" x14ac:dyDescent="0.15">
      <c r="B59" s="341" t="b">
        <f t="shared" si="0"/>
        <v>0</v>
      </c>
      <c r="E59" s="507">
        <v>15</v>
      </c>
      <c r="F59" s="3" cm="1">
        <f t="array" aca="1" ref="F59" ca="1">OFFSET(E59,-1,1)</f>
        <v>0</v>
      </c>
      <c r="K59" s="72">
        <f>first_year+28</f>
        <v>2052</v>
      </c>
      <c r="T59" s="353" t="b" cm="1">
        <f t="array" ref="T59">T58</f>
        <v>0</v>
      </c>
      <c r="X59" s="990"/>
      <c r="Z59" s="967"/>
      <c r="AB59" s="168" t="str">
        <f t="shared" si="1"/>
        <v>2052 год</v>
      </c>
      <c r="AC59" s="875"/>
      <c r="AD59" s="877"/>
      <c r="AE59" s="878"/>
      <c r="AF59" s="878"/>
      <c r="AG59" s="877"/>
      <c r="AH59" s="877"/>
      <c r="AI59" s="877"/>
      <c r="AJ59" s="877"/>
      <c r="AK59" s="879"/>
      <c r="AL59" s="304"/>
      <c r="AO59" s="696" cm="1">
        <f t="array" ref="AO59">K59</f>
        <v>2052</v>
      </c>
    </row>
    <row r="60" spans="2:41" s="72" customFormat="1" ht="14.65" hidden="1" customHeight="1" x14ac:dyDescent="0.15">
      <c r="B60" s="341" t="b">
        <f t="shared" si="0"/>
        <v>0</v>
      </c>
      <c r="E60" s="507">
        <v>15</v>
      </c>
      <c r="F60" s="3" cm="1">
        <f t="array" aca="1" ref="F60" ca="1">OFFSET(E60,-1,1)</f>
        <v>0</v>
      </c>
      <c r="K60" s="72">
        <f>first_year+29</f>
        <v>2053</v>
      </c>
      <c r="T60" s="353" t="b" cm="1">
        <f t="array" ref="T60">T59</f>
        <v>0</v>
      </c>
      <c r="X60" s="990"/>
      <c r="Z60" s="967"/>
      <c r="AB60" s="168" t="str">
        <f t="shared" si="1"/>
        <v>2053 год</v>
      </c>
      <c r="AC60" s="875"/>
      <c r="AD60" s="877"/>
      <c r="AE60" s="878"/>
      <c r="AF60" s="878"/>
      <c r="AG60" s="877"/>
      <c r="AH60" s="877"/>
      <c r="AI60" s="877"/>
      <c r="AJ60" s="877"/>
      <c r="AK60" s="879"/>
      <c r="AL60" s="304"/>
      <c r="AO60" s="696" cm="1">
        <f t="array" ref="AO60">K60</f>
        <v>2053</v>
      </c>
    </row>
    <row r="61" spans="2:41" s="72" customFormat="1" ht="14.65" hidden="1" customHeight="1" x14ac:dyDescent="0.15">
      <c r="B61" s="341" t="b">
        <f t="shared" si="0"/>
        <v>0</v>
      </c>
      <c r="E61" s="507">
        <v>15</v>
      </c>
      <c r="F61" s="3" cm="1">
        <f t="array" aca="1" ref="F61" ca="1">OFFSET(E61,-1,1)</f>
        <v>0</v>
      </c>
      <c r="K61" s="72">
        <f>first_year+30</f>
        <v>2054</v>
      </c>
      <c r="T61" s="353" t="b" cm="1">
        <f t="array" ref="T61">T60</f>
        <v>0</v>
      </c>
      <c r="X61" s="990"/>
      <c r="Z61" s="967"/>
      <c r="AB61" s="168" t="str">
        <f t="shared" si="1"/>
        <v>2054 год</v>
      </c>
      <c r="AC61" s="875"/>
      <c r="AD61" s="877"/>
      <c r="AE61" s="878"/>
      <c r="AF61" s="878"/>
      <c r="AG61" s="877"/>
      <c r="AH61" s="877"/>
      <c r="AI61" s="877"/>
      <c r="AJ61" s="877"/>
      <c r="AK61" s="879"/>
      <c r="AL61" s="304"/>
      <c r="AO61" s="696" cm="1">
        <f t="array" ref="AO61">K61</f>
        <v>2054</v>
      </c>
    </row>
    <row r="62" spans="2:41" s="72" customFormat="1" ht="14.65" hidden="1" customHeight="1" x14ac:dyDescent="0.15">
      <c r="B62" s="341" t="b">
        <f t="shared" si="0"/>
        <v>0</v>
      </c>
      <c r="E62" s="507">
        <v>15</v>
      </c>
      <c r="F62" s="3" cm="1">
        <f t="array" aca="1" ref="F62" ca="1">OFFSET(E62,-1,1)</f>
        <v>0</v>
      </c>
      <c r="K62" s="72">
        <f>first_year+31</f>
        <v>2055</v>
      </c>
      <c r="T62" s="353" t="b" cm="1">
        <f t="array" ref="T62">T61</f>
        <v>0</v>
      </c>
      <c r="X62" s="990"/>
      <c r="Z62" s="967"/>
      <c r="AB62" s="168" t="str">
        <f t="shared" si="1"/>
        <v>2055 год</v>
      </c>
      <c r="AC62" s="875"/>
      <c r="AD62" s="877"/>
      <c r="AE62" s="878"/>
      <c r="AF62" s="878"/>
      <c r="AG62" s="877"/>
      <c r="AH62" s="877"/>
      <c r="AI62" s="877"/>
      <c r="AJ62" s="877"/>
      <c r="AK62" s="879"/>
      <c r="AL62" s="304"/>
      <c r="AO62" s="696" cm="1">
        <f t="array" ref="AO62">K62</f>
        <v>2055</v>
      </c>
    </row>
    <row r="63" spans="2:41" s="72" customFormat="1" ht="14.65" hidden="1" customHeight="1" x14ac:dyDescent="0.15">
      <c r="B63" s="341" t="b">
        <f t="shared" ref="B63:B80" si="2">K63&lt;first_year+PERIOD_LENGTH</f>
        <v>0</v>
      </c>
      <c r="E63" s="507">
        <v>15</v>
      </c>
      <c r="F63" s="3" cm="1">
        <f t="array" aca="1" ref="F63" ca="1">OFFSET(E63,-1,1)</f>
        <v>0</v>
      </c>
      <c r="K63" s="72">
        <f>first_year+32</f>
        <v>2056</v>
      </c>
      <c r="T63" s="353" t="b" cm="1">
        <f t="array" ref="T63">T62</f>
        <v>0</v>
      </c>
      <c r="X63" s="990"/>
      <c r="Z63" s="967"/>
      <c r="AB63" s="168" t="str">
        <f t="shared" ref="AB63:AB80" si="3">K63&amp;" год"</f>
        <v>2056 год</v>
      </c>
      <c r="AC63" s="875"/>
      <c r="AD63" s="877"/>
      <c r="AE63" s="878"/>
      <c r="AF63" s="878"/>
      <c r="AG63" s="877"/>
      <c r="AH63" s="877"/>
      <c r="AI63" s="877"/>
      <c r="AJ63" s="877"/>
      <c r="AK63" s="879"/>
      <c r="AL63" s="304"/>
      <c r="AO63" s="696" cm="1">
        <f t="array" ref="AO63">K63</f>
        <v>2056</v>
      </c>
    </row>
    <row r="64" spans="2:41" s="72" customFormat="1" ht="14.65" hidden="1" customHeight="1" x14ac:dyDescent="0.15">
      <c r="B64" s="341" t="b">
        <f t="shared" si="2"/>
        <v>0</v>
      </c>
      <c r="E64" s="507">
        <v>15</v>
      </c>
      <c r="F64" s="3" cm="1">
        <f t="array" aca="1" ref="F64" ca="1">OFFSET(E64,-1,1)</f>
        <v>0</v>
      </c>
      <c r="K64" s="72">
        <f>first_year+33</f>
        <v>2057</v>
      </c>
      <c r="T64" s="353" t="b" cm="1">
        <f t="array" ref="T64">T63</f>
        <v>0</v>
      </c>
      <c r="X64" s="990"/>
      <c r="Z64" s="967"/>
      <c r="AB64" s="168" t="str">
        <f t="shared" si="3"/>
        <v>2057 год</v>
      </c>
      <c r="AC64" s="875"/>
      <c r="AD64" s="877"/>
      <c r="AE64" s="878"/>
      <c r="AF64" s="878"/>
      <c r="AG64" s="877"/>
      <c r="AH64" s="877"/>
      <c r="AI64" s="877"/>
      <c r="AJ64" s="877"/>
      <c r="AK64" s="879"/>
      <c r="AL64" s="304"/>
      <c r="AO64" s="696" cm="1">
        <f t="array" ref="AO64">K64</f>
        <v>2057</v>
      </c>
    </row>
    <row r="65" spans="2:41" s="72" customFormat="1" ht="14.65" hidden="1" customHeight="1" x14ac:dyDescent="0.15">
      <c r="B65" s="341" t="b">
        <f t="shared" si="2"/>
        <v>0</v>
      </c>
      <c r="E65" s="507">
        <v>15</v>
      </c>
      <c r="F65" s="3" cm="1">
        <f t="array" aca="1" ref="F65" ca="1">OFFSET(E65,-1,1)</f>
        <v>0</v>
      </c>
      <c r="K65" s="72">
        <f>first_year+34</f>
        <v>2058</v>
      </c>
      <c r="T65" s="353" t="b" cm="1">
        <f t="array" ref="T65">T64</f>
        <v>0</v>
      </c>
      <c r="X65" s="990"/>
      <c r="Z65" s="967"/>
      <c r="AB65" s="168" t="str">
        <f t="shared" si="3"/>
        <v>2058 год</v>
      </c>
      <c r="AC65" s="875"/>
      <c r="AD65" s="877"/>
      <c r="AE65" s="878"/>
      <c r="AF65" s="878"/>
      <c r="AG65" s="877"/>
      <c r="AH65" s="877"/>
      <c r="AI65" s="877"/>
      <c r="AJ65" s="877"/>
      <c r="AK65" s="879"/>
      <c r="AL65" s="304"/>
      <c r="AO65" s="696" cm="1">
        <f t="array" ref="AO65">K65</f>
        <v>2058</v>
      </c>
    </row>
    <row r="66" spans="2:41" s="72" customFormat="1" ht="14.65" hidden="1" customHeight="1" x14ac:dyDescent="0.15">
      <c r="B66" s="341" t="b">
        <f t="shared" si="2"/>
        <v>0</v>
      </c>
      <c r="E66" s="507">
        <v>15</v>
      </c>
      <c r="F66" s="3" cm="1">
        <f t="array" aca="1" ref="F66" ca="1">OFFSET(E66,-1,1)</f>
        <v>0</v>
      </c>
      <c r="K66" s="72">
        <f>first_year+35</f>
        <v>2059</v>
      </c>
      <c r="T66" s="353" t="b" cm="1">
        <f t="array" ref="T66">T65</f>
        <v>0</v>
      </c>
      <c r="X66" s="990"/>
      <c r="Z66" s="967"/>
      <c r="AB66" s="168" t="str">
        <f t="shared" si="3"/>
        <v>2059 год</v>
      </c>
      <c r="AC66" s="875"/>
      <c r="AD66" s="877"/>
      <c r="AE66" s="878"/>
      <c r="AF66" s="878"/>
      <c r="AG66" s="877"/>
      <c r="AH66" s="877"/>
      <c r="AI66" s="877"/>
      <c r="AJ66" s="877"/>
      <c r="AK66" s="879"/>
      <c r="AL66" s="304"/>
      <c r="AO66" s="696" cm="1">
        <f t="array" ref="AO66">K66</f>
        <v>2059</v>
      </c>
    </row>
    <row r="67" spans="2:41" s="72" customFormat="1" ht="14.65" hidden="1" customHeight="1" x14ac:dyDescent="0.15">
      <c r="B67" s="341" t="b">
        <f t="shared" si="2"/>
        <v>0</v>
      </c>
      <c r="E67" s="507">
        <v>15</v>
      </c>
      <c r="F67" s="3" cm="1">
        <f t="array" aca="1" ref="F67" ca="1">OFFSET(E67,-1,1)</f>
        <v>0</v>
      </c>
      <c r="K67" s="72">
        <f>first_year+36</f>
        <v>2060</v>
      </c>
      <c r="T67" s="353" t="b" cm="1">
        <f t="array" ref="T67">T66</f>
        <v>0</v>
      </c>
      <c r="X67" s="990"/>
      <c r="Z67" s="967"/>
      <c r="AB67" s="168" t="str">
        <f t="shared" si="3"/>
        <v>2060 год</v>
      </c>
      <c r="AC67" s="875"/>
      <c r="AD67" s="877"/>
      <c r="AE67" s="878"/>
      <c r="AF67" s="878"/>
      <c r="AG67" s="877"/>
      <c r="AH67" s="877"/>
      <c r="AI67" s="877"/>
      <c r="AJ67" s="877"/>
      <c r="AK67" s="879"/>
      <c r="AL67" s="304"/>
      <c r="AO67" s="696" cm="1">
        <f t="array" ref="AO67">K67</f>
        <v>2060</v>
      </c>
    </row>
    <row r="68" spans="2:41" s="72" customFormat="1" ht="14.65" hidden="1" customHeight="1" x14ac:dyDescent="0.15">
      <c r="B68" s="341" t="b">
        <f t="shared" si="2"/>
        <v>0</v>
      </c>
      <c r="E68" s="507">
        <v>15</v>
      </c>
      <c r="F68" s="3" cm="1">
        <f t="array" aca="1" ref="F68" ca="1">OFFSET(E68,-1,1)</f>
        <v>0</v>
      </c>
      <c r="K68" s="72">
        <f>first_year+37</f>
        <v>2061</v>
      </c>
      <c r="T68" s="353" t="b" cm="1">
        <f t="array" ref="T68">T67</f>
        <v>0</v>
      </c>
      <c r="X68" s="990"/>
      <c r="Z68" s="967"/>
      <c r="AB68" s="168" t="str">
        <f t="shared" si="3"/>
        <v>2061 год</v>
      </c>
      <c r="AC68" s="875"/>
      <c r="AD68" s="877"/>
      <c r="AE68" s="878"/>
      <c r="AF68" s="878"/>
      <c r="AG68" s="877"/>
      <c r="AH68" s="877"/>
      <c r="AI68" s="877"/>
      <c r="AJ68" s="877"/>
      <c r="AK68" s="879"/>
      <c r="AL68" s="304"/>
      <c r="AO68" s="696" cm="1">
        <f t="array" ref="AO68">K68</f>
        <v>2061</v>
      </c>
    </row>
    <row r="69" spans="2:41" s="72" customFormat="1" ht="14.65" hidden="1" customHeight="1" x14ac:dyDescent="0.15">
      <c r="B69" s="341" t="b">
        <f t="shared" si="2"/>
        <v>0</v>
      </c>
      <c r="E69" s="507">
        <v>15</v>
      </c>
      <c r="F69" s="3" cm="1">
        <f t="array" aca="1" ref="F69" ca="1">OFFSET(E69,-1,1)</f>
        <v>0</v>
      </c>
      <c r="K69" s="72">
        <f>first_year+38</f>
        <v>2062</v>
      </c>
      <c r="T69" s="353" t="b" cm="1">
        <f t="array" ref="T69">T68</f>
        <v>0</v>
      </c>
      <c r="X69" s="990"/>
      <c r="Z69" s="967"/>
      <c r="AB69" s="168" t="str">
        <f t="shared" si="3"/>
        <v>2062 год</v>
      </c>
      <c r="AC69" s="875"/>
      <c r="AD69" s="877"/>
      <c r="AE69" s="878"/>
      <c r="AF69" s="878"/>
      <c r="AG69" s="877"/>
      <c r="AH69" s="877"/>
      <c r="AI69" s="877"/>
      <c r="AJ69" s="877"/>
      <c r="AK69" s="879"/>
      <c r="AL69" s="304"/>
      <c r="AO69" s="696" cm="1">
        <f t="array" ref="AO69">K69</f>
        <v>2062</v>
      </c>
    </row>
    <row r="70" spans="2:41" s="72" customFormat="1" ht="14.65" hidden="1" customHeight="1" x14ac:dyDescent="0.15">
      <c r="B70" s="341" t="b">
        <f t="shared" si="2"/>
        <v>0</v>
      </c>
      <c r="E70" s="507">
        <v>15</v>
      </c>
      <c r="F70" s="3" cm="1">
        <f t="array" aca="1" ref="F70" ca="1">OFFSET(E70,-1,1)</f>
        <v>0</v>
      </c>
      <c r="K70" s="72">
        <f>first_year+39</f>
        <v>2063</v>
      </c>
      <c r="T70" s="353" t="b" cm="1">
        <f t="array" ref="T70">T69</f>
        <v>0</v>
      </c>
      <c r="X70" s="990"/>
      <c r="Z70" s="967"/>
      <c r="AB70" s="168" t="str">
        <f t="shared" si="3"/>
        <v>2063 год</v>
      </c>
      <c r="AC70" s="875"/>
      <c r="AD70" s="877"/>
      <c r="AE70" s="878"/>
      <c r="AF70" s="878"/>
      <c r="AG70" s="877"/>
      <c r="AH70" s="877"/>
      <c r="AI70" s="877"/>
      <c r="AJ70" s="877"/>
      <c r="AK70" s="879"/>
      <c r="AL70" s="304"/>
      <c r="AO70" s="696" cm="1">
        <f t="array" ref="AO70">K70</f>
        <v>2063</v>
      </c>
    </row>
    <row r="71" spans="2:41" s="72" customFormat="1" ht="14.65" hidden="1" customHeight="1" x14ac:dyDescent="0.15">
      <c r="B71" s="341" t="b">
        <f t="shared" si="2"/>
        <v>0</v>
      </c>
      <c r="E71" s="507">
        <v>15</v>
      </c>
      <c r="F71" s="3" cm="1">
        <f t="array" aca="1" ref="F71" ca="1">OFFSET(E71,-1,1)</f>
        <v>0</v>
      </c>
      <c r="K71" s="72">
        <f>first_year+40</f>
        <v>2064</v>
      </c>
      <c r="T71" s="353" t="b" cm="1">
        <f t="array" ref="T71">T70</f>
        <v>0</v>
      </c>
      <c r="X71" s="990"/>
      <c r="Z71" s="967"/>
      <c r="AB71" s="168" t="str">
        <f t="shared" si="3"/>
        <v>2064 год</v>
      </c>
      <c r="AC71" s="875"/>
      <c r="AD71" s="877"/>
      <c r="AE71" s="878"/>
      <c r="AF71" s="878"/>
      <c r="AG71" s="877"/>
      <c r="AH71" s="877"/>
      <c r="AI71" s="877"/>
      <c r="AJ71" s="877"/>
      <c r="AK71" s="879"/>
      <c r="AL71" s="304"/>
      <c r="AO71" s="696" cm="1">
        <f t="array" ref="AO71">K71</f>
        <v>2064</v>
      </c>
    </row>
    <row r="72" spans="2:41" s="72" customFormat="1" ht="14.65" hidden="1" customHeight="1" x14ac:dyDescent="0.15">
      <c r="B72" s="341" t="b">
        <f t="shared" si="2"/>
        <v>0</v>
      </c>
      <c r="E72" s="507">
        <v>15</v>
      </c>
      <c r="F72" s="3" cm="1">
        <f t="array" aca="1" ref="F72" ca="1">OFFSET(E72,-1,1)</f>
        <v>0</v>
      </c>
      <c r="K72" s="72">
        <f>first_year+41</f>
        <v>2065</v>
      </c>
      <c r="T72" s="353" t="b" cm="1">
        <f t="array" ref="T72">T71</f>
        <v>0</v>
      </c>
      <c r="X72" s="990"/>
      <c r="Z72" s="967"/>
      <c r="AB72" s="168" t="str">
        <f t="shared" si="3"/>
        <v>2065 год</v>
      </c>
      <c r="AC72" s="875"/>
      <c r="AD72" s="877"/>
      <c r="AE72" s="878"/>
      <c r="AF72" s="878"/>
      <c r="AG72" s="877"/>
      <c r="AH72" s="877"/>
      <c r="AI72" s="877"/>
      <c r="AJ72" s="877"/>
      <c r="AK72" s="879"/>
      <c r="AL72" s="304"/>
      <c r="AO72" s="696" cm="1">
        <f t="array" ref="AO72">K72</f>
        <v>2065</v>
      </c>
    </row>
    <row r="73" spans="2:41" s="72" customFormat="1" ht="14.65" hidden="1" customHeight="1" x14ac:dyDescent="0.15">
      <c r="B73" s="341" t="b">
        <f t="shared" si="2"/>
        <v>0</v>
      </c>
      <c r="E73" s="507">
        <v>15</v>
      </c>
      <c r="F73" s="3" cm="1">
        <f t="array" aca="1" ref="F73" ca="1">OFFSET(E73,-1,1)</f>
        <v>0</v>
      </c>
      <c r="K73" s="72">
        <f>first_year+42</f>
        <v>2066</v>
      </c>
      <c r="T73" s="353" t="b" cm="1">
        <f t="array" ref="T73">T72</f>
        <v>0</v>
      </c>
      <c r="X73" s="990"/>
      <c r="Z73" s="967"/>
      <c r="AB73" s="168" t="str">
        <f t="shared" si="3"/>
        <v>2066 год</v>
      </c>
      <c r="AC73" s="875"/>
      <c r="AD73" s="877"/>
      <c r="AE73" s="878"/>
      <c r="AF73" s="878"/>
      <c r="AG73" s="877"/>
      <c r="AH73" s="877"/>
      <c r="AI73" s="877"/>
      <c r="AJ73" s="877"/>
      <c r="AK73" s="879"/>
      <c r="AL73" s="304"/>
      <c r="AO73" s="696" cm="1">
        <f t="array" ref="AO73">K73</f>
        <v>2066</v>
      </c>
    </row>
    <row r="74" spans="2:41" s="72" customFormat="1" ht="14.65" hidden="1" customHeight="1" x14ac:dyDescent="0.15">
      <c r="B74" s="341" t="b">
        <f t="shared" si="2"/>
        <v>0</v>
      </c>
      <c r="E74" s="507">
        <v>15</v>
      </c>
      <c r="F74" s="3" cm="1">
        <f t="array" aca="1" ref="F74" ca="1">OFFSET(E74,-1,1)</f>
        <v>0</v>
      </c>
      <c r="K74" s="72">
        <f>first_year+43</f>
        <v>2067</v>
      </c>
      <c r="T74" s="353" t="b" cm="1">
        <f t="array" ref="T74">T73</f>
        <v>0</v>
      </c>
      <c r="X74" s="990"/>
      <c r="Z74" s="967"/>
      <c r="AB74" s="168" t="str">
        <f t="shared" si="3"/>
        <v>2067 год</v>
      </c>
      <c r="AC74" s="875"/>
      <c r="AD74" s="877"/>
      <c r="AE74" s="878"/>
      <c r="AF74" s="878"/>
      <c r="AG74" s="877"/>
      <c r="AH74" s="877"/>
      <c r="AI74" s="877"/>
      <c r="AJ74" s="877"/>
      <c r="AK74" s="879"/>
      <c r="AL74" s="304"/>
      <c r="AO74" s="696" cm="1">
        <f t="array" ref="AO74">K74</f>
        <v>2067</v>
      </c>
    </row>
    <row r="75" spans="2:41" s="72" customFormat="1" ht="14.65" hidden="1" customHeight="1" x14ac:dyDescent="0.15">
      <c r="B75" s="341" t="b">
        <f t="shared" si="2"/>
        <v>0</v>
      </c>
      <c r="E75" s="507">
        <v>15</v>
      </c>
      <c r="F75" s="3" cm="1">
        <f t="array" aca="1" ref="F75" ca="1">OFFSET(E75,-1,1)</f>
        <v>0</v>
      </c>
      <c r="K75" s="72">
        <f>first_year+44</f>
        <v>2068</v>
      </c>
      <c r="T75" s="353" t="b" cm="1">
        <f t="array" ref="T75">T74</f>
        <v>0</v>
      </c>
      <c r="X75" s="990"/>
      <c r="Z75" s="967"/>
      <c r="AB75" s="168" t="str">
        <f t="shared" si="3"/>
        <v>2068 год</v>
      </c>
      <c r="AC75" s="875"/>
      <c r="AD75" s="877"/>
      <c r="AE75" s="878"/>
      <c r="AF75" s="878"/>
      <c r="AG75" s="877"/>
      <c r="AH75" s="877"/>
      <c r="AI75" s="877"/>
      <c r="AJ75" s="877"/>
      <c r="AK75" s="879"/>
      <c r="AL75" s="304"/>
      <c r="AO75" s="696" cm="1">
        <f t="array" ref="AO75">K75</f>
        <v>2068</v>
      </c>
    </row>
    <row r="76" spans="2:41" s="72" customFormat="1" ht="14.65" hidden="1" customHeight="1" x14ac:dyDescent="0.15">
      <c r="B76" s="341" t="b">
        <f t="shared" si="2"/>
        <v>0</v>
      </c>
      <c r="E76" s="507">
        <v>15</v>
      </c>
      <c r="F76" s="3" cm="1">
        <f t="array" aca="1" ref="F76" ca="1">OFFSET(E76,-1,1)</f>
        <v>0</v>
      </c>
      <c r="K76" s="72">
        <f>first_year+45</f>
        <v>2069</v>
      </c>
      <c r="T76" s="353" t="b" cm="1">
        <f t="array" ref="T76">T75</f>
        <v>0</v>
      </c>
      <c r="X76" s="990"/>
      <c r="Z76" s="967"/>
      <c r="AB76" s="168" t="str">
        <f t="shared" si="3"/>
        <v>2069 год</v>
      </c>
      <c r="AC76" s="875"/>
      <c r="AD76" s="877"/>
      <c r="AE76" s="878"/>
      <c r="AF76" s="878"/>
      <c r="AG76" s="877"/>
      <c r="AH76" s="877"/>
      <c r="AI76" s="877"/>
      <c r="AJ76" s="877"/>
      <c r="AK76" s="879"/>
      <c r="AL76" s="304"/>
      <c r="AO76" s="696" cm="1">
        <f t="array" ref="AO76">K76</f>
        <v>2069</v>
      </c>
    </row>
    <row r="77" spans="2:41" s="72" customFormat="1" ht="14.65" hidden="1" customHeight="1" x14ac:dyDescent="0.15">
      <c r="B77" s="341" t="b">
        <f t="shared" si="2"/>
        <v>0</v>
      </c>
      <c r="E77" s="507">
        <v>15</v>
      </c>
      <c r="F77" s="3" cm="1">
        <f t="array" aca="1" ref="F77" ca="1">OFFSET(E77,-1,1)</f>
        <v>0</v>
      </c>
      <c r="K77" s="72">
        <f>first_year+46</f>
        <v>2070</v>
      </c>
      <c r="T77" s="353" t="b" cm="1">
        <f t="array" ref="T77">T76</f>
        <v>0</v>
      </c>
      <c r="X77" s="990"/>
      <c r="Z77" s="967"/>
      <c r="AB77" s="168" t="str">
        <f t="shared" si="3"/>
        <v>2070 год</v>
      </c>
      <c r="AC77" s="875"/>
      <c r="AD77" s="877"/>
      <c r="AE77" s="878"/>
      <c r="AF77" s="878"/>
      <c r="AG77" s="877"/>
      <c r="AH77" s="877"/>
      <c r="AI77" s="877"/>
      <c r="AJ77" s="877"/>
      <c r="AK77" s="879"/>
      <c r="AL77" s="304"/>
      <c r="AO77" s="696" cm="1">
        <f t="array" ref="AO77">K77</f>
        <v>2070</v>
      </c>
    </row>
    <row r="78" spans="2:41" s="72" customFormat="1" ht="14.65" hidden="1" customHeight="1" x14ac:dyDescent="0.15">
      <c r="B78" s="341" t="b">
        <f t="shared" si="2"/>
        <v>0</v>
      </c>
      <c r="E78" s="507">
        <v>15</v>
      </c>
      <c r="F78" s="3" cm="1">
        <f t="array" aca="1" ref="F78" ca="1">OFFSET(E78,-1,1)</f>
        <v>0</v>
      </c>
      <c r="K78" s="72">
        <f>first_year+47</f>
        <v>2071</v>
      </c>
      <c r="T78" s="353" t="b" cm="1">
        <f t="array" ref="T78">T77</f>
        <v>0</v>
      </c>
      <c r="X78" s="990"/>
      <c r="Z78" s="967"/>
      <c r="AB78" s="168" t="str">
        <f t="shared" si="3"/>
        <v>2071 год</v>
      </c>
      <c r="AC78" s="875"/>
      <c r="AD78" s="877"/>
      <c r="AE78" s="878"/>
      <c r="AF78" s="878"/>
      <c r="AG78" s="877"/>
      <c r="AH78" s="877"/>
      <c r="AI78" s="877"/>
      <c r="AJ78" s="877"/>
      <c r="AK78" s="879"/>
      <c r="AL78" s="304"/>
      <c r="AO78" s="696" cm="1">
        <f t="array" ref="AO78">K78</f>
        <v>2071</v>
      </c>
    </row>
    <row r="79" spans="2:41" s="72" customFormat="1" ht="14.65" hidden="1" customHeight="1" x14ac:dyDescent="0.15">
      <c r="B79" s="341" t="b">
        <f t="shared" si="2"/>
        <v>0</v>
      </c>
      <c r="E79" s="507">
        <v>15</v>
      </c>
      <c r="F79" s="3" cm="1">
        <f t="array" aca="1" ref="F79" ca="1">OFFSET(E79,-1,1)</f>
        <v>0</v>
      </c>
      <c r="K79" s="72">
        <f>first_year+48</f>
        <v>2072</v>
      </c>
      <c r="T79" s="353" t="b" cm="1">
        <f t="array" ref="T79">T78</f>
        <v>0</v>
      </c>
      <c r="X79" s="990"/>
      <c r="Z79" s="967"/>
      <c r="AB79" s="168" t="str">
        <f t="shared" si="3"/>
        <v>2072 год</v>
      </c>
      <c r="AC79" s="875"/>
      <c r="AD79" s="877"/>
      <c r="AE79" s="878"/>
      <c r="AF79" s="878"/>
      <c r="AG79" s="877"/>
      <c r="AH79" s="877"/>
      <c r="AI79" s="877"/>
      <c r="AJ79" s="877"/>
      <c r="AK79" s="879"/>
      <c r="AL79" s="304"/>
      <c r="AO79" s="696" cm="1">
        <f t="array" ref="AO79">K79</f>
        <v>2072</v>
      </c>
    </row>
    <row r="80" spans="2:41" s="72" customFormat="1" ht="14.65" hidden="1" customHeight="1" x14ac:dyDescent="0.15">
      <c r="B80" s="341" t="b">
        <f t="shared" si="2"/>
        <v>0</v>
      </c>
      <c r="E80" s="507">
        <v>15</v>
      </c>
      <c r="F80" s="3" cm="1">
        <f t="array" aca="1" ref="F80" ca="1">OFFSET(E80,-1,1)</f>
        <v>0</v>
      </c>
      <c r="K80" s="72">
        <f>first_year+49</f>
        <v>2073</v>
      </c>
      <c r="T80" s="353" t="b" cm="1">
        <f t="array" ref="T80">T79</f>
        <v>0</v>
      </c>
      <c r="X80" s="990"/>
      <c r="Z80" s="967"/>
      <c r="AB80" s="168" t="str">
        <f t="shared" si="3"/>
        <v>2073 год</v>
      </c>
      <c r="AC80" s="875"/>
      <c r="AD80" s="877"/>
      <c r="AE80" s="878"/>
      <c r="AF80" s="878"/>
      <c r="AG80" s="877"/>
      <c r="AH80" s="877"/>
      <c r="AI80" s="877"/>
      <c r="AJ80" s="877"/>
      <c r="AK80" s="879"/>
      <c r="AL80" s="304"/>
      <c r="AO80" s="696" cm="1">
        <f t="array" ref="AO80">K80</f>
        <v>2073</v>
      </c>
    </row>
    <row r="81" spans="1:43" s="396" customFormat="1" ht="23.85" customHeight="1" x14ac:dyDescent="0.15">
      <c r="A81" s="38"/>
      <c r="B81" s="43"/>
      <c r="C81" s="38"/>
      <c r="D81" s="38"/>
      <c r="E81" s="448">
        <v>15</v>
      </c>
      <c r="F81" s="17" t="str" cm="1">
        <f t="array" ref="F81">X81</f>
        <v>1</v>
      </c>
      <c r="G81" s="38"/>
      <c r="H81" s="38"/>
      <c r="I81" s="38"/>
      <c r="J81" s="38"/>
      <c r="K81" s="38"/>
      <c r="L81" s="38"/>
      <c r="M81" s="38"/>
      <c r="N81" s="38"/>
      <c r="O81" s="38"/>
      <c r="P81" s="38"/>
      <c r="Q81" s="38"/>
      <c r="R81" s="38"/>
      <c r="S81" s="38"/>
      <c r="T81" s="353" t="b">
        <f>X81&gt;0</f>
        <v>1</v>
      </c>
      <c r="U81" s="38"/>
      <c r="V81" s="38" t="str" cm="1">
        <f t="array" ref="V81">'Калькуляция (МИ корр)'!$AB$171</f>
        <v>Тариф 1 (Водоснабжение) - тариф на техническую воду</v>
      </c>
      <c r="W81" s="38"/>
      <c r="X81" s="990" t="s">
        <v>275</v>
      </c>
      <c r="Y81" s="38"/>
      <c r="Z81" s="967"/>
      <c r="AA81" s="38"/>
      <c r="AB81" s="280" t="str" cm="1">
        <f t="array" ref="AB81">'Калькуляция (МИ корр)'!$AB$171</f>
        <v>Тариф 1 (Водоснабжение) - тариф на техническую воду</v>
      </c>
      <c r="AC81" s="562"/>
      <c r="AD81" s="562"/>
      <c r="AE81" s="562"/>
      <c r="AF81" s="562"/>
      <c r="AG81" s="562"/>
      <c r="AH81" s="562"/>
      <c r="AI81" s="562"/>
      <c r="AJ81" s="562"/>
      <c r="AK81" s="562"/>
      <c r="AL81" s="303"/>
      <c r="AM81" s="38"/>
      <c r="AN81" s="38"/>
      <c r="AO81" s="656"/>
      <c r="AP81" s="38"/>
      <c r="AQ81" s="38"/>
    </row>
    <row r="82" spans="1:43" s="880" customFormat="1" ht="16.149999999999999" customHeight="1" x14ac:dyDescent="0.15">
      <c r="A82" s="72"/>
      <c r="B82" s="341" t="b">
        <f t="shared" ref="B82:B113" si="4">K82&lt;first_year+PERIOD_LENGTH</f>
        <v>1</v>
      </c>
      <c r="C82" s="72"/>
      <c r="D82" s="72"/>
      <c r="E82" s="507">
        <v>15</v>
      </c>
      <c r="F82" s="3" t="str" cm="1">
        <f t="array" aca="1" ref="F82" ca="1">OFFSET(E82,-1,1)</f>
        <v>1</v>
      </c>
      <c r="G82" s="72"/>
      <c r="H82" s="72"/>
      <c r="I82" s="72"/>
      <c r="J82" s="72"/>
      <c r="K82" s="72" cm="1">
        <f t="array" ref="K82">first_year</f>
        <v>2024</v>
      </c>
      <c r="L82" s="72"/>
      <c r="M82" s="72"/>
      <c r="N82" s="72"/>
      <c r="O82" s="72"/>
      <c r="P82" s="72"/>
      <c r="Q82" s="72"/>
      <c r="R82" s="72"/>
      <c r="S82" s="72"/>
      <c r="T82" s="353" t="b" cm="1">
        <f t="array" ref="T82">T81</f>
        <v>1</v>
      </c>
      <c r="U82" s="72"/>
      <c r="V82" s="72"/>
      <c r="W82" s="72"/>
      <c r="X82" s="990"/>
      <c r="Y82" s="72"/>
      <c r="Z82" s="967"/>
      <c r="AA82" s="72"/>
      <c r="AB82" s="563" t="str">
        <f t="shared" ref="AB82:AB113" si="5">K82&amp;" год"</f>
        <v>2024 год</v>
      </c>
      <c r="AC82" s="610">
        <v>14876.252151271499</v>
      </c>
      <c r="AD82" s="565">
        <f ca="1">IFERROR(SUMIFS(INDEX(Сценарии!$AE$25:$BF$136,,MATCH($K82&amp;"Принято органом регулирования",Сценарии!$AE$8:$BF$8,0)),Сценарии!$F$25:$F$136,$F82,Сценарии!$AC$25:$AC$136,"Индекс эффективности операционных расходов"),0)</f>
        <v>0</v>
      </c>
      <c r="AE82" s="564"/>
      <c r="AF82" s="564">
        <f ca="1">IFERROR(SUMIFS(INDEX(Баланс!$AE$25:$BB$391,,MATCH($K82&amp;"Принято органом регулирования",Баланс!$AE$8:$BB$8,0)),Баланс!$F$25:$F$391,$F82,Баланс!$AC$24:$AC$391,"Уровень потерь воды"),0)</f>
        <v>0</v>
      </c>
      <c r="AG82" s="565">
        <v>0.31000026450000001</v>
      </c>
      <c r="AH82" s="565">
        <f ca="1">IFERROR(SUMIFS(INDEX(Electricity_LOAD_1,,MATCH($K82&amp;"Принято органом регулирования",ЭЭ!$AE$8:$BB$8,0)),ЭЭ!$F$25:$F$116,$F82,ЭЭ!$AC$25:$AC$116,"Удельный расход электроэнергии"),0)</f>
        <v>0.31000026454462259</v>
      </c>
      <c r="AI82" s="565">
        <f ca="1">IFERROR(SUMIFS(INDEX(Electricity_LOAD_1,,MATCH($K82&amp;"Принято органом регулирования",ЭЭ!$AE$8:$BB$8,0)),ЭЭ!$F$25:$F$116,$F82,ЭЭ!$AC$25:$AC$116,"Удельный расход электроэнергии"),0)</f>
        <v>0.31000026454462259</v>
      </c>
      <c r="AJ82" s="881"/>
      <c r="AK82" s="881"/>
      <c r="AL82" s="304"/>
      <c r="AM82" s="72" t="s">
        <v>2355</v>
      </c>
      <c r="AN82" s="72"/>
      <c r="AO82" s="696" cm="1">
        <f t="array" ref="AO82">K82</f>
        <v>2024</v>
      </c>
      <c r="AP82" s="72"/>
      <c r="AQ82" s="72"/>
    </row>
    <row r="83" spans="1:43" s="880" customFormat="1" ht="14.65" customHeight="1" x14ac:dyDescent="0.15">
      <c r="A83" s="72"/>
      <c r="B83" s="341" t="b">
        <f t="shared" si="4"/>
        <v>1</v>
      </c>
      <c r="C83" s="72"/>
      <c r="D83" s="72"/>
      <c r="E83" s="507">
        <v>15</v>
      </c>
      <c r="F83" s="3" t="str" cm="1">
        <f t="array" aca="1" ref="F83" ca="1">OFFSET(E83,-1,1)</f>
        <v>1</v>
      </c>
      <c r="G83" s="72"/>
      <c r="H83" s="72"/>
      <c r="I83" s="72"/>
      <c r="J83" s="72"/>
      <c r="K83" s="72">
        <f>first_year+1</f>
        <v>2025</v>
      </c>
      <c r="L83" s="72"/>
      <c r="M83" s="72"/>
      <c r="N83" s="72"/>
      <c r="O83" s="72"/>
      <c r="P83" s="72"/>
      <c r="Q83" s="72"/>
      <c r="R83" s="72"/>
      <c r="S83" s="72"/>
      <c r="T83" s="353" t="b" cm="1">
        <f t="array" ref="T83">T82</f>
        <v>1</v>
      </c>
      <c r="U83" s="72"/>
      <c r="V83" s="72"/>
      <c r="W83" s="72"/>
      <c r="X83" s="990"/>
      <c r="Y83" s="72"/>
      <c r="Z83" s="967"/>
      <c r="AA83" s="72"/>
      <c r="AB83" s="563" t="str">
        <f t="shared" si="5"/>
        <v>2025 год</v>
      </c>
      <c r="AC83" s="564"/>
      <c r="AD83" s="565">
        <v>1</v>
      </c>
      <c r="AE83" s="564"/>
      <c r="AF83" s="564">
        <f ca="1">IFERROR(SUMIFS(INDEX(Баланс!$AE$25:$BB$391,,MATCH($K83&amp;"Принято органом регулирования",Баланс!$AE$8:$BB$8,0)),Баланс!$F$25:$F$391,$F83,Баланс!$AC$24:$AC$391,"Уровень потерь воды"),0)</f>
        <v>0</v>
      </c>
      <c r="AG83" s="565">
        <v>0.30999994120000002</v>
      </c>
      <c r="AH83" s="565">
        <f ca="1">IFERROR(SUMIFS(INDEX(Electricity_LOAD_1,,MATCH($K83&amp;"Принято органом регулирования",ЭЭ!$AE$8:$BB$8,0)),ЭЭ!$F$25:$F$116,$F83,ЭЭ!$AC$25:$AC$116,"Удельный расход электроэнергии"),0)</f>
        <v>0.30999994121580926</v>
      </c>
      <c r="AI83" s="565">
        <f ca="1">IFERROR(SUMIFS(INDEX(Electricity_LOAD_1,,MATCH($K83&amp;"Принято органом регулирования",ЭЭ!$AE$8:$BB$8,0)),ЭЭ!$F$25:$F$116,$F83,ЭЭ!$AC$25:$AC$116,"Удельный расход электроэнергии"),0)</f>
        <v>0.30999994121580926</v>
      </c>
      <c r="AJ83" s="881"/>
      <c r="AK83" s="881"/>
      <c r="AL83" s="304"/>
      <c r="AM83" s="72" t="s">
        <v>2355</v>
      </c>
      <c r="AN83" s="72"/>
      <c r="AO83" s="696" cm="1">
        <f t="array" ref="AO83">K83</f>
        <v>2025</v>
      </c>
      <c r="AP83" s="72"/>
      <c r="AQ83" s="72"/>
    </row>
    <row r="84" spans="1:43" s="880" customFormat="1" ht="14.65" customHeight="1" x14ac:dyDescent="0.15">
      <c r="A84" s="72"/>
      <c r="B84" s="341" t="b">
        <f t="shared" si="4"/>
        <v>1</v>
      </c>
      <c r="C84" s="72"/>
      <c r="D84" s="72"/>
      <c r="E84" s="507">
        <v>15</v>
      </c>
      <c r="F84" s="3" t="str" cm="1">
        <f t="array" aca="1" ref="F84" ca="1">OFFSET(E84,-1,1)</f>
        <v>1</v>
      </c>
      <c r="G84" s="72"/>
      <c r="H84" s="72"/>
      <c r="I84" s="72"/>
      <c r="J84" s="72"/>
      <c r="K84" s="72">
        <f>first_year+2</f>
        <v>2026</v>
      </c>
      <c r="L84" s="72"/>
      <c r="M84" s="72"/>
      <c r="N84" s="72"/>
      <c r="O84" s="72"/>
      <c r="P84" s="72"/>
      <c r="Q84" s="72"/>
      <c r="R84" s="72"/>
      <c r="S84" s="72"/>
      <c r="T84" s="353" t="b" cm="1">
        <f t="array" ref="T84">T83</f>
        <v>1</v>
      </c>
      <c r="U84" s="72"/>
      <c r="V84" s="72"/>
      <c r="W84" s="72"/>
      <c r="X84" s="990"/>
      <c r="Y84" s="72"/>
      <c r="Z84" s="967"/>
      <c r="AA84" s="72"/>
      <c r="AB84" s="563" t="str">
        <f t="shared" si="5"/>
        <v>2026 год</v>
      </c>
      <c r="AC84" s="564"/>
      <c r="AD84" s="565">
        <v>1</v>
      </c>
      <c r="AE84" s="564"/>
      <c r="AF84" s="564">
        <f ca="1">IFERROR(SUMIFS(INDEX(Баланс!$AE$25:$BB$391,,MATCH($K84&amp;"Принято органом регулирования",Баланс!$AE$8:$BB$8,0)),Баланс!$F$25:$F$391,$F84,Баланс!$AC$24:$AC$391,"Уровень потерь воды"),0)</f>
        <v>0</v>
      </c>
      <c r="AG84" s="565">
        <v>0.31</v>
      </c>
      <c r="AH84" s="565">
        <f ca="1">IFERROR(SUMIFS(INDEX(Electricity_LOAD_1,,MATCH($K84&amp;"Принято органом регулирования",ЭЭ!$AE$8:$BB$8,0)),ЭЭ!$F$25:$F$116,$F84,ЭЭ!$AC$25:$AC$116,"Удельный расход электроэнергии"),0)</f>
        <v>0.31</v>
      </c>
      <c r="AI84" s="565">
        <f ca="1">IFERROR(SUMIFS(INDEX(Electricity_LOAD_1,,MATCH($K84&amp;"Принято органом регулирования",ЭЭ!$AE$8:$BB$8,0)),ЭЭ!$F$25:$F$116,$F84,ЭЭ!$AC$25:$AC$116,"Удельный расход электроэнергии"),0)</f>
        <v>0.31</v>
      </c>
      <c r="AJ84" s="881"/>
      <c r="AK84" s="881"/>
      <c r="AL84" s="304"/>
      <c r="AM84" s="72" t="s">
        <v>2355</v>
      </c>
      <c r="AN84" s="72"/>
      <c r="AO84" s="696" cm="1">
        <f t="array" ref="AO84">K84</f>
        <v>2026</v>
      </c>
      <c r="AP84" s="72"/>
      <c r="AQ84" s="72"/>
    </row>
    <row r="85" spans="1:43" s="880" customFormat="1" ht="14.65" customHeight="1" x14ac:dyDescent="0.15">
      <c r="A85" s="72"/>
      <c r="B85" s="341" t="b">
        <f t="shared" si="4"/>
        <v>1</v>
      </c>
      <c r="C85" s="72"/>
      <c r="D85" s="72"/>
      <c r="E85" s="507">
        <v>15</v>
      </c>
      <c r="F85" s="3" t="str" cm="1">
        <f t="array" aca="1" ref="F85" ca="1">OFFSET(E85,-1,1)</f>
        <v>1</v>
      </c>
      <c r="G85" s="72"/>
      <c r="H85" s="72"/>
      <c r="I85" s="72"/>
      <c r="J85" s="72"/>
      <c r="K85" s="72">
        <f>first_year+3</f>
        <v>2027</v>
      </c>
      <c r="L85" s="72"/>
      <c r="M85" s="72"/>
      <c r="N85" s="72"/>
      <c r="O85" s="72"/>
      <c r="P85" s="72"/>
      <c r="Q85" s="72"/>
      <c r="R85" s="72"/>
      <c r="S85" s="72"/>
      <c r="T85" s="353" t="b" cm="1">
        <f t="array" ref="T85">T84</f>
        <v>1</v>
      </c>
      <c r="U85" s="72"/>
      <c r="V85" s="72"/>
      <c r="W85" s="72"/>
      <c r="X85" s="990"/>
      <c r="Y85" s="72"/>
      <c r="Z85" s="967"/>
      <c r="AA85" s="72"/>
      <c r="AB85" s="563" t="str">
        <f t="shared" si="5"/>
        <v>2027 год</v>
      </c>
      <c r="AC85" s="564"/>
      <c r="AD85" s="565">
        <v>1</v>
      </c>
      <c r="AE85" s="564"/>
      <c r="AF85" s="564">
        <f ca="1">IFERROR(SUMIFS(INDEX(Баланс!$AE$25:$BB$391,,MATCH($K85&amp;"Принято органом регулирования",Баланс!$AE$8:$BB$8,0)),Баланс!$F$25:$F$391,$F85,Баланс!$AC$24:$AC$391,"Уровень потерь воды"),0)</f>
        <v>0</v>
      </c>
      <c r="AG85" s="565">
        <v>0.31</v>
      </c>
      <c r="AH85" s="565">
        <f ca="1">IFERROR(SUMIFS(INDEX(Electricity_LOAD_1,,MATCH($K85&amp;"Принято органом регулирования",ЭЭ!$AE$8:$BB$8,0)),ЭЭ!$F$25:$F$116,$F85,ЭЭ!$AC$25:$AC$116,"Удельный расход электроэнергии"),0)</f>
        <v>0.31</v>
      </c>
      <c r="AI85" s="565">
        <f ca="1">IFERROR(SUMIFS(INDEX(Electricity_LOAD_1,,MATCH($K85&amp;"Принято органом регулирования",ЭЭ!$AE$8:$BB$8,0)),ЭЭ!$F$25:$F$116,$F85,ЭЭ!$AC$25:$AC$116,"Удельный расход электроэнергии"),0)</f>
        <v>0.31</v>
      </c>
      <c r="AJ85" s="881"/>
      <c r="AK85" s="881"/>
      <c r="AL85" s="304"/>
      <c r="AM85" s="72" t="s">
        <v>2355</v>
      </c>
      <c r="AN85" s="72"/>
      <c r="AO85" s="696" cm="1">
        <f t="array" ref="AO85">K85</f>
        <v>2027</v>
      </c>
      <c r="AP85" s="72"/>
      <c r="AQ85" s="72"/>
    </row>
    <row r="86" spans="1:43" s="880" customFormat="1" ht="14.65" customHeight="1" x14ac:dyDescent="0.15">
      <c r="A86" s="72"/>
      <c r="B86" s="341" t="b">
        <f t="shared" si="4"/>
        <v>1</v>
      </c>
      <c r="C86" s="72"/>
      <c r="D86" s="72"/>
      <c r="E86" s="507">
        <v>15</v>
      </c>
      <c r="F86" s="3" t="str" cm="1">
        <f t="array" aca="1" ref="F86" ca="1">OFFSET(E86,-1,1)</f>
        <v>1</v>
      </c>
      <c r="G86" s="72"/>
      <c r="H86" s="72"/>
      <c r="I86" s="72"/>
      <c r="J86" s="72"/>
      <c r="K86" s="72">
        <f>first_year+4</f>
        <v>2028</v>
      </c>
      <c r="L86" s="72"/>
      <c r="M86" s="72"/>
      <c r="N86" s="72"/>
      <c r="O86" s="72"/>
      <c r="P86" s="72"/>
      <c r="Q86" s="72"/>
      <c r="R86" s="72"/>
      <c r="S86" s="72"/>
      <c r="T86" s="353" t="b" cm="1">
        <f t="array" ref="T86">T85</f>
        <v>1</v>
      </c>
      <c r="U86" s="72"/>
      <c r="V86" s="72"/>
      <c r="W86" s="72"/>
      <c r="X86" s="990"/>
      <c r="Y86" s="72"/>
      <c r="Z86" s="967"/>
      <c r="AA86" s="72"/>
      <c r="AB86" s="563" t="str">
        <f t="shared" si="5"/>
        <v>2028 год</v>
      </c>
      <c r="AC86" s="564"/>
      <c r="AD86" s="565">
        <v>1</v>
      </c>
      <c r="AE86" s="564"/>
      <c r="AF86" s="564">
        <f ca="1">IFERROR(SUMIFS(INDEX(Баланс!$AE$25:$BB$391,,MATCH($K86&amp;"Принято органом регулирования",Баланс!$AE$8:$BB$8,0)),Баланс!$F$25:$F$391,$F86,Баланс!$AC$24:$AC$391,"Уровень потерь воды"),0)</f>
        <v>0</v>
      </c>
      <c r="AG86" s="565">
        <v>0.31</v>
      </c>
      <c r="AH86" s="565">
        <f ca="1">IFERROR(SUMIFS(INDEX(Electricity_LOAD_1,,MATCH($K86&amp;"Принято органом регулирования",ЭЭ!$AE$8:$BB$8,0)),ЭЭ!$F$25:$F$116,$F86,ЭЭ!$AC$25:$AC$116,"Удельный расход электроэнергии"),0)</f>
        <v>0.31</v>
      </c>
      <c r="AI86" s="565">
        <f ca="1">IFERROR(SUMIFS(INDEX(Electricity_LOAD_1,,MATCH($K86&amp;"Принято органом регулирования",ЭЭ!$AE$8:$BB$8,0)),ЭЭ!$F$25:$F$116,$F86,ЭЭ!$AC$25:$AC$116,"Удельный расход электроэнергии"),0)</f>
        <v>0.31</v>
      </c>
      <c r="AJ86" s="881"/>
      <c r="AK86" s="881"/>
      <c r="AL86" s="304"/>
      <c r="AM86" s="72" t="s">
        <v>2355</v>
      </c>
      <c r="AN86" s="72"/>
      <c r="AO86" s="696" cm="1">
        <f t="array" ref="AO86">K86</f>
        <v>2028</v>
      </c>
      <c r="AP86" s="72"/>
      <c r="AQ86" s="72"/>
    </row>
    <row r="87" spans="1:43" s="880" customFormat="1" ht="14.25" hidden="1" customHeight="1" x14ac:dyDescent="0.15">
      <c r="A87" s="72"/>
      <c r="B87" s="341" t="b">
        <f t="shared" si="4"/>
        <v>0</v>
      </c>
      <c r="C87" s="72"/>
      <c r="D87" s="72"/>
      <c r="E87" s="507">
        <v>15</v>
      </c>
      <c r="F87" s="3" t="str" cm="1">
        <f t="array" aca="1" ref="F87" ca="1">OFFSET(E87,-1,1)</f>
        <v>1</v>
      </c>
      <c r="G87" s="72"/>
      <c r="H87" s="72"/>
      <c r="I87" s="72"/>
      <c r="J87" s="72"/>
      <c r="K87" s="72">
        <f>first_year+5</f>
        <v>2029</v>
      </c>
      <c r="L87" s="72"/>
      <c r="M87" s="72"/>
      <c r="N87" s="72"/>
      <c r="O87" s="72"/>
      <c r="P87" s="72"/>
      <c r="Q87" s="72"/>
      <c r="R87" s="72"/>
      <c r="S87" s="72"/>
      <c r="T87" s="353" t="b" cm="1">
        <f t="array" ref="T87">T86</f>
        <v>1</v>
      </c>
      <c r="U87" s="72"/>
      <c r="V87" s="72"/>
      <c r="W87" s="72"/>
      <c r="X87" s="990"/>
      <c r="Y87" s="72"/>
      <c r="Z87" s="967"/>
      <c r="AA87" s="72"/>
      <c r="AB87" s="563" t="str">
        <f t="shared" si="5"/>
        <v>2029 год</v>
      </c>
      <c r="AC87" s="875"/>
      <c r="AD87" s="874">
        <f ca="1">IFERROR(SUMIFS(INDEX(Сценарии!$AE$25:$BF$136,,MATCH($K87&amp;"Принято органом регулирования",Сценарии!$AE$8:$BF$8,0)),Сценарии!$F$25:$F$136,$F87,Сценарии!$AC$25:$AC$136,"Индекс эффективности операционных расходов"),0)</f>
        <v>0</v>
      </c>
      <c r="AE87" s="875"/>
      <c r="AF87" s="875">
        <f ca="1">IFERROR(SUMIFS(INDEX(Баланс!$AE$25:$BB$391,,MATCH($K87&amp;"Принято органом регулирования",Баланс!$AE$8:$BB$8,0)),Баланс!$F$25:$F$391,$F87,Баланс!$AC$24:$AC$391,"Уровень потерь воды"),0)</f>
        <v>0</v>
      </c>
      <c r="AG87" s="874">
        <f ca="1">IFERROR(SUMIFS(INDEX(Electricity_LOAD_1,,MATCH($K87&amp;"Принято органом регулирования",ЭЭ!$AE$8:$BB$8,0)),ЭЭ!$F$25:$F$116,$F87,ЭЭ!$AC$25:$AC$116,"Удельный расход электроэнергии"),0)</f>
        <v>0</v>
      </c>
      <c r="AH87" s="874">
        <f ca="1">IFERROR(SUMIFS(INDEX(Electricity_LOAD_1,,MATCH($K87&amp;"Принято органом регулирования",ЭЭ!$AE$8:$BB$8,0)),ЭЭ!$F$25:$F$116,$F87,ЭЭ!$AC$25:$AC$116,"Удельный расход электроэнергии"),0)</f>
        <v>0</v>
      </c>
      <c r="AI87" s="874">
        <f ca="1">IFERROR(SUMIFS(INDEX(Electricity_LOAD_1,,MATCH($K87&amp;"Принято органом регулирования",ЭЭ!$AE$8:$BB$8,0)),ЭЭ!$F$25:$F$116,$F87,ЭЭ!$AC$25:$AC$116,"Удельный расход электроэнергии"),0)</f>
        <v>0</v>
      </c>
      <c r="AJ87" s="881"/>
      <c r="AK87" s="881"/>
      <c r="AL87" s="304"/>
      <c r="AM87" s="72" t="s">
        <v>2355</v>
      </c>
      <c r="AN87" s="72"/>
      <c r="AO87" s="696" cm="1">
        <f t="array" ref="AO87">K87</f>
        <v>2029</v>
      </c>
      <c r="AP87" s="72"/>
      <c r="AQ87" s="72"/>
    </row>
    <row r="88" spans="1:43" s="880" customFormat="1" ht="14.25" hidden="1" customHeight="1" x14ac:dyDescent="0.15">
      <c r="A88" s="72"/>
      <c r="B88" s="341" t="b">
        <f t="shared" si="4"/>
        <v>0</v>
      </c>
      <c r="C88" s="72"/>
      <c r="D88" s="72"/>
      <c r="E88" s="507">
        <v>15</v>
      </c>
      <c r="F88" s="3" t="str" cm="1">
        <f t="array" aca="1" ref="F88" ca="1">OFFSET(E88,-1,1)</f>
        <v>1</v>
      </c>
      <c r="G88" s="72"/>
      <c r="H88" s="72"/>
      <c r="I88" s="72"/>
      <c r="J88" s="72"/>
      <c r="K88" s="72">
        <f>first_year+6</f>
        <v>2030</v>
      </c>
      <c r="L88" s="72"/>
      <c r="M88" s="72"/>
      <c r="N88" s="72"/>
      <c r="O88" s="72"/>
      <c r="P88" s="72"/>
      <c r="Q88" s="72"/>
      <c r="R88" s="72"/>
      <c r="S88" s="72"/>
      <c r="T88" s="353" t="b" cm="1">
        <f t="array" ref="T88">T87</f>
        <v>1</v>
      </c>
      <c r="U88" s="72"/>
      <c r="V88" s="72"/>
      <c r="W88" s="72"/>
      <c r="X88" s="990"/>
      <c r="Y88" s="72"/>
      <c r="Z88" s="967"/>
      <c r="AA88" s="72"/>
      <c r="AB88" s="563" t="str">
        <f t="shared" si="5"/>
        <v>2030 год</v>
      </c>
      <c r="AC88" s="875"/>
      <c r="AD88" s="874">
        <f ca="1">IFERROR(SUMIFS(INDEX(Сценарии!$AE$25:$BF$136,,MATCH($K88&amp;"Принято органом регулирования",Сценарии!$AE$8:$BF$8,0)),Сценарии!$F$25:$F$136,$F88,Сценарии!$AC$25:$AC$136,"Индекс эффективности операционных расходов"),0)</f>
        <v>0</v>
      </c>
      <c r="AE88" s="875"/>
      <c r="AF88" s="875">
        <f ca="1">IFERROR(SUMIFS(INDEX(Баланс!$AE$25:$BB$391,,MATCH($K88&amp;"Принято органом регулирования",Баланс!$AE$8:$BB$8,0)),Баланс!$F$25:$F$391,$F88,Баланс!$AC$24:$AC$391,"Уровень потерь воды"),0)</f>
        <v>0</v>
      </c>
      <c r="AG88" s="874">
        <f ca="1">IFERROR(SUMIFS(INDEX(Electricity_LOAD_1,,MATCH($K88&amp;"Принято органом регулирования",ЭЭ!$AE$8:$BB$8,0)),ЭЭ!$F$25:$F$116,$F88,ЭЭ!$AC$25:$AC$116,"Удельный расход электроэнергии"),0)</f>
        <v>0</v>
      </c>
      <c r="AH88" s="874">
        <f ca="1">IFERROR(SUMIFS(INDEX(Electricity_LOAD_1,,MATCH($K88&amp;"Принято органом регулирования",ЭЭ!$AE$8:$BB$8,0)),ЭЭ!$F$25:$F$116,$F88,ЭЭ!$AC$25:$AC$116,"Удельный расход электроэнергии"),0)</f>
        <v>0</v>
      </c>
      <c r="AI88" s="874">
        <f ca="1">IFERROR(SUMIFS(INDEX(Electricity_LOAD_1,,MATCH($K88&amp;"Принято органом регулирования",ЭЭ!$AE$8:$BB$8,0)),ЭЭ!$F$25:$F$116,$F88,ЭЭ!$AC$25:$AC$116,"Удельный расход электроэнергии"),0)</f>
        <v>0</v>
      </c>
      <c r="AJ88" s="881"/>
      <c r="AK88" s="881"/>
      <c r="AL88" s="304"/>
      <c r="AM88" s="72" t="s">
        <v>2355</v>
      </c>
      <c r="AN88" s="72"/>
      <c r="AO88" s="696" cm="1">
        <f t="array" ref="AO88">K88</f>
        <v>2030</v>
      </c>
      <c r="AP88" s="72"/>
      <c r="AQ88" s="72"/>
    </row>
    <row r="89" spans="1:43" s="880" customFormat="1" ht="14.25" hidden="1" customHeight="1" x14ac:dyDescent="0.15">
      <c r="A89" s="72"/>
      <c r="B89" s="341" t="b">
        <f t="shared" si="4"/>
        <v>0</v>
      </c>
      <c r="C89" s="72"/>
      <c r="D89" s="72"/>
      <c r="E89" s="507">
        <v>15</v>
      </c>
      <c r="F89" s="3" t="str" cm="1">
        <f t="array" aca="1" ref="F89" ca="1">OFFSET(E89,-1,1)</f>
        <v>1</v>
      </c>
      <c r="G89" s="72"/>
      <c r="H89" s="72"/>
      <c r="I89" s="72"/>
      <c r="J89" s="72"/>
      <c r="K89" s="72">
        <f>first_year+7</f>
        <v>2031</v>
      </c>
      <c r="L89" s="72"/>
      <c r="M89" s="72"/>
      <c r="N89" s="72"/>
      <c r="O89" s="72"/>
      <c r="P89" s="72"/>
      <c r="Q89" s="72"/>
      <c r="R89" s="72"/>
      <c r="S89" s="72"/>
      <c r="T89" s="353" t="b" cm="1">
        <f t="array" ref="T89">T88</f>
        <v>1</v>
      </c>
      <c r="U89" s="72"/>
      <c r="V89" s="72"/>
      <c r="W89" s="72"/>
      <c r="X89" s="990"/>
      <c r="Y89" s="72"/>
      <c r="Z89" s="967"/>
      <c r="AA89" s="72"/>
      <c r="AB89" s="563" t="str">
        <f t="shared" si="5"/>
        <v>2031 год</v>
      </c>
      <c r="AC89" s="875"/>
      <c r="AD89" s="874">
        <f ca="1">IFERROR(SUMIFS(INDEX(Сценарии!$AE$25:$BF$136,,MATCH($K89&amp;"Принято органом регулирования",Сценарии!$AE$8:$BF$8,0)),Сценарии!$F$25:$F$136,$F89,Сценарии!$AC$25:$AC$136,"Индекс эффективности операционных расходов"),0)</f>
        <v>0</v>
      </c>
      <c r="AE89" s="875"/>
      <c r="AF89" s="875">
        <f ca="1">IFERROR(SUMIFS(INDEX(Баланс!$AE$25:$BB$391,,MATCH($K89&amp;"Принято органом регулирования",Баланс!$AE$8:$BB$8,0)),Баланс!$F$25:$F$391,$F89,Баланс!$AC$24:$AC$391,"Уровень потерь воды"),0)</f>
        <v>0</v>
      </c>
      <c r="AG89" s="874">
        <f ca="1">IFERROR(SUMIFS(INDEX(Electricity_LOAD_1,,MATCH($K89&amp;"Принято органом регулирования",ЭЭ!$AE$8:$BB$8,0)),ЭЭ!$F$25:$F$116,$F89,ЭЭ!$AC$25:$AC$116,"Удельный расход электроэнергии"),0)</f>
        <v>0</v>
      </c>
      <c r="AH89" s="874">
        <f ca="1">IFERROR(SUMIFS(INDEX(Electricity_LOAD_1,,MATCH($K89&amp;"Принято органом регулирования",ЭЭ!$AE$8:$BB$8,0)),ЭЭ!$F$25:$F$116,$F89,ЭЭ!$AC$25:$AC$116,"Удельный расход электроэнергии"),0)</f>
        <v>0</v>
      </c>
      <c r="AI89" s="874">
        <f ca="1">IFERROR(SUMIFS(INDEX(Electricity_LOAD_1,,MATCH($K89&amp;"Принято органом регулирования",ЭЭ!$AE$8:$BB$8,0)),ЭЭ!$F$25:$F$116,$F89,ЭЭ!$AC$25:$AC$116,"Удельный расход электроэнергии"),0)</f>
        <v>0</v>
      </c>
      <c r="AJ89" s="881"/>
      <c r="AK89" s="881"/>
      <c r="AL89" s="304"/>
      <c r="AM89" s="72" t="s">
        <v>2355</v>
      </c>
      <c r="AN89" s="72"/>
      <c r="AO89" s="696" cm="1">
        <f t="array" ref="AO89">K89</f>
        <v>2031</v>
      </c>
      <c r="AP89" s="72"/>
      <c r="AQ89" s="72"/>
    </row>
    <row r="90" spans="1:43" s="880" customFormat="1" ht="14.25" hidden="1" customHeight="1" x14ac:dyDescent="0.15">
      <c r="A90" s="72"/>
      <c r="B90" s="341" t="b">
        <f t="shared" si="4"/>
        <v>0</v>
      </c>
      <c r="C90" s="72"/>
      <c r="D90" s="72"/>
      <c r="E90" s="507">
        <v>15</v>
      </c>
      <c r="F90" s="3" t="str" cm="1">
        <f t="array" aca="1" ref="F90" ca="1">OFFSET(E90,-1,1)</f>
        <v>1</v>
      </c>
      <c r="G90" s="72"/>
      <c r="H90" s="72"/>
      <c r="I90" s="72"/>
      <c r="J90" s="72"/>
      <c r="K90" s="72">
        <f>first_year+8</f>
        <v>2032</v>
      </c>
      <c r="L90" s="72"/>
      <c r="M90" s="72"/>
      <c r="N90" s="72"/>
      <c r="O90" s="72"/>
      <c r="P90" s="72"/>
      <c r="Q90" s="72"/>
      <c r="R90" s="72"/>
      <c r="S90" s="72"/>
      <c r="T90" s="353" t="b" cm="1">
        <f t="array" ref="T90">T89</f>
        <v>1</v>
      </c>
      <c r="U90" s="72"/>
      <c r="V90" s="72"/>
      <c r="W90" s="72"/>
      <c r="X90" s="990"/>
      <c r="Y90" s="72"/>
      <c r="Z90" s="967"/>
      <c r="AA90" s="72"/>
      <c r="AB90" s="563" t="str">
        <f t="shared" si="5"/>
        <v>2032 год</v>
      </c>
      <c r="AC90" s="875"/>
      <c r="AD90" s="874">
        <f ca="1">IFERROR(SUMIFS(INDEX(Сценарии!$AE$25:$BF$136,,MATCH($K90&amp;"Принято органом регулирования",Сценарии!$AE$8:$BF$8,0)),Сценарии!$F$25:$F$136,$F90,Сценарии!$AC$25:$AC$136,"Индекс эффективности операционных расходов"),0)</f>
        <v>0</v>
      </c>
      <c r="AE90" s="875"/>
      <c r="AF90" s="875">
        <f ca="1">IFERROR(SUMIFS(INDEX(Баланс!$AE$25:$BB$391,,MATCH($K90&amp;"Принято органом регулирования",Баланс!$AE$8:$BB$8,0)),Баланс!$F$25:$F$391,$F90,Баланс!$AC$24:$AC$391,"Уровень потерь воды"),0)</f>
        <v>0</v>
      </c>
      <c r="AG90" s="874">
        <f ca="1">IFERROR(SUMIFS(INDEX(Electricity_LOAD_1,,MATCH($K90&amp;"Принято органом регулирования",ЭЭ!$AE$8:$BB$8,0)),ЭЭ!$F$25:$F$116,$F90,ЭЭ!$AC$25:$AC$116,"Удельный расход электроэнергии"),0)</f>
        <v>0</v>
      </c>
      <c r="AH90" s="874">
        <f ca="1">IFERROR(SUMIFS(INDEX(Electricity_LOAD_1,,MATCH($K90&amp;"Принято органом регулирования",ЭЭ!$AE$8:$BB$8,0)),ЭЭ!$F$25:$F$116,$F90,ЭЭ!$AC$25:$AC$116,"Удельный расход электроэнергии"),0)</f>
        <v>0</v>
      </c>
      <c r="AI90" s="874">
        <f ca="1">IFERROR(SUMIFS(INDEX(Electricity_LOAD_1,,MATCH($K90&amp;"Принято органом регулирования",ЭЭ!$AE$8:$BB$8,0)),ЭЭ!$F$25:$F$116,$F90,ЭЭ!$AC$25:$AC$116,"Удельный расход электроэнергии"),0)</f>
        <v>0</v>
      </c>
      <c r="AJ90" s="881"/>
      <c r="AK90" s="881"/>
      <c r="AL90" s="304"/>
      <c r="AM90" s="72" t="s">
        <v>2355</v>
      </c>
      <c r="AN90" s="72"/>
      <c r="AO90" s="696" cm="1">
        <f t="array" ref="AO90">K90</f>
        <v>2032</v>
      </c>
      <c r="AP90" s="72"/>
      <c r="AQ90" s="72"/>
    </row>
    <row r="91" spans="1:43" s="880" customFormat="1" ht="14.25" hidden="1" customHeight="1" x14ac:dyDescent="0.15">
      <c r="A91" s="72"/>
      <c r="B91" s="341" t="b">
        <f t="shared" si="4"/>
        <v>0</v>
      </c>
      <c r="C91" s="72"/>
      <c r="D91" s="72"/>
      <c r="E91" s="507">
        <v>15</v>
      </c>
      <c r="F91" s="3" t="str" cm="1">
        <f t="array" aca="1" ref="F91" ca="1">OFFSET(E91,-1,1)</f>
        <v>1</v>
      </c>
      <c r="G91" s="72"/>
      <c r="H91" s="72"/>
      <c r="I91" s="72"/>
      <c r="J91" s="72"/>
      <c r="K91" s="72">
        <f>first_year+9</f>
        <v>2033</v>
      </c>
      <c r="L91" s="72"/>
      <c r="M91" s="72"/>
      <c r="N91" s="72"/>
      <c r="O91" s="72"/>
      <c r="P91" s="72"/>
      <c r="Q91" s="72"/>
      <c r="R91" s="72"/>
      <c r="S91" s="72"/>
      <c r="T91" s="353" t="b" cm="1">
        <f t="array" ref="T91">T90</f>
        <v>1</v>
      </c>
      <c r="U91" s="72"/>
      <c r="V91" s="72"/>
      <c r="W91" s="72"/>
      <c r="X91" s="990"/>
      <c r="Y91" s="72"/>
      <c r="Z91" s="967"/>
      <c r="AA91" s="72"/>
      <c r="AB91" s="563" t="str">
        <f t="shared" si="5"/>
        <v>2033 год</v>
      </c>
      <c r="AC91" s="875"/>
      <c r="AD91" s="874">
        <f ca="1">IFERROR(SUMIFS(INDEX(Сценарии!$AE$25:$BF$136,,MATCH($K91&amp;"Принято органом регулирования",Сценарии!$AE$8:$BF$8,0)),Сценарии!$F$25:$F$136,$F91,Сценарии!$AC$25:$AC$136,"Индекс эффективности операционных расходов"),0)</f>
        <v>0</v>
      </c>
      <c r="AE91" s="875"/>
      <c r="AF91" s="875">
        <f ca="1">IFERROR(SUMIFS(INDEX(Баланс!$AE$25:$BB$391,,MATCH($K91&amp;"Принято органом регулирования",Баланс!$AE$8:$BB$8,0)),Баланс!$F$25:$F$391,$F91,Баланс!$AC$24:$AC$391,"Уровень потерь воды"),0)</f>
        <v>0</v>
      </c>
      <c r="AG91" s="874">
        <f ca="1">IFERROR(SUMIFS(INDEX(Electricity_LOAD_1,,MATCH($K91&amp;"Принято органом регулирования",ЭЭ!$AE$8:$BB$8,0)),ЭЭ!$F$25:$F$116,$F91,ЭЭ!$AC$25:$AC$116,"Удельный расход электроэнергии"),0)</f>
        <v>0</v>
      </c>
      <c r="AH91" s="874">
        <f ca="1">IFERROR(SUMIFS(INDEX(Electricity_LOAD_1,,MATCH($K91&amp;"Принято органом регулирования",ЭЭ!$AE$8:$BB$8,0)),ЭЭ!$F$25:$F$116,$F91,ЭЭ!$AC$25:$AC$116,"Удельный расход электроэнергии"),0)</f>
        <v>0</v>
      </c>
      <c r="AI91" s="874">
        <f ca="1">IFERROR(SUMIFS(INDEX(Electricity_LOAD_1,,MATCH($K91&amp;"Принято органом регулирования",ЭЭ!$AE$8:$BB$8,0)),ЭЭ!$F$25:$F$116,$F91,ЭЭ!$AC$25:$AC$116,"Удельный расход электроэнергии"),0)</f>
        <v>0</v>
      </c>
      <c r="AJ91" s="881"/>
      <c r="AK91" s="881"/>
      <c r="AL91" s="304"/>
      <c r="AM91" s="72" t="s">
        <v>2355</v>
      </c>
      <c r="AN91" s="72"/>
      <c r="AO91" s="696" cm="1">
        <f t="array" ref="AO91">K91</f>
        <v>2033</v>
      </c>
      <c r="AP91" s="72"/>
      <c r="AQ91" s="72"/>
    </row>
    <row r="92" spans="1:43" s="880" customFormat="1" ht="14.25" hidden="1" customHeight="1" x14ac:dyDescent="0.15">
      <c r="A92" s="72"/>
      <c r="B92" s="341" t="b">
        <f t="shared" si="4"/>
        <v>0</v>
      </c>
      <c r="C92" s="72"/>
      <c r="D92" s="72"/>
      <c r="E92" s="507">
        <v>15</v>
      </c>
      <c r="F92" s="3" t="str" cm="1">
        <f t="array" aca="1" ref="F92" ca="1">OFFSET(E92,-1,1)</f>
        <v>1</v>
      </c>
      <c r="G92" s="72"/>
      <c r="H92" s="72"/>
      <c r="I92" s="72"/>
      <c r="J92" s="72"/>
      <c r="K92" s="72">
        <f>first_year+10</f>
        <v>2034</v>
      </c>
      <c r="L92" s="72"/>
      <c r="M92" s="72"/>
      <c r="N92" s="72"/>
      <c r="O92" s="72"/>
      <c r="P92" s="72"/>
      <c r="Q92" s="72"/>
      <c r="R92" s="72"/>
      <c r="S92" s="72"/>
      <c r="T92" s="353" t="b" cm="1">
        <f t="array" ref="T92">T91</f>
        <v>1</v>
      </c>
      <c r="U92" s="72"/>
      <c r="V92" s="72"/>
      <c r="W92" s="72"/>
      <c r="X92" s="990"/>
      <c r="Y92" s="72"/>
      <c r="Z92" s="967"/>
      <c r="AA92" s="72"/>
      <c r="AB92" s="563" t="str">
        <f t="shared" si="5"/>
        <v>2034 год</v>
      </c>
      <c r="AC92" s="875"/>
      <c r="AD92" s="874"/>
      <c r="AE92" s="875"/>
      <c r="AF92" s="875"/>
      <c r="AG92" s="874"/>
      <c r="AH92" s="874"/>
      <c r="AI92" s="874"/>
      <c r="AJ92" s="881"/>
      <c r="AK92" s="882"/>
      <c r="AL92" s="304"/>
      <c r="AM92" s="72"/>
      <c r="AN92" s="72"/>
      <c r="AO92" s="696" cm="1">
        <f t="array" ref="AO92">K92</f>
        <v>2034</v>
      </c>
      <c r="AP92" s="72"/>
      <c r="AQ92" s="72"/>
    </row>
    <row r="93" spans="1:43" s="880" customFormat="1" ht="14.25" hidden="1" customHeight="1" x14ac:dyDescent="0.15">
      <c r="A93" s="72"/>
      <c r="B93" s="341" t="b">
        <f t="shared" si="4"/>
        <v>0</v>
      </c>
      <c r="C93" s="72"/>
      <c r="D93" s="72"/>
      <c r="E93" s="507">
        <v>15</v>
      </c>
      <c r="F93" s="3" t="str" cm="1">
        <f t="array" aca="1" ref="F93" ca="1">OFFSET(E93,-1,1)</f>
        <v>1</v>
      </c>
      <c r="G93" s="72"/>
      <c r="H93" s="72"/>
      <c r="I93" s="72"/>
      <c r="J93" s="72"/>
      <c r="K93" s="72">
        <f>first_year+11</f>
        <v>2035</v>
      </c>
      <c r="L93" s="72"/>
      <c r="M93" s="72"/>
      <c r="N93" s="72"/>
      <c r="O93" s="72"/>
      <c r="P93" s="72"/>
      <c r="Q93" s="72"/>
      <c r="R93" s="72"/>
      <c r="S93" s="72"/>
      <c r="T93" s="353" t="b" cm="1">
        <f t="array" ref="T93">T92</f>
        <v>1</v>
      </c>
      <c r="U93" s="72"/>
      <c r="V93" s="72"/>
      <c r="W93" s="72"/>
      <c r="X93" s="990"/>
      <c r="Y93" s="72"/>
      <c r="Z93" s="967"/>
      <c r="AA93" s="72"/>
      <c r="AB93" s="168" t="str">
        <f t="shared" si="5"/>
        <v>2035 год</v>
      </c>
      <c r="AC93" s="875"/>
      <c r="AD93" s="877"/>
      <c r="AE93" s="878"/>
      <c r="AF93" s="878"/>
      <c r="AG93" s="877"/>
      <c r="AH93" s="877"/>
      <c r="AI93" s="877"/>
      <c r="AJ93" s="883"/>
      <c r="AK93" s="884"/>
      <c r="AL93" s="304"/>
      <c r="AM93" s="72"/>
      <c r="AN93" s="72"/>
      <c r="AO93" s="696" cm="1">
        <f t="array" ref="AO93">K93</f>
        <v>2035</v>
      </c>
      <c r="AP93" s="72"/>
      <c r="AQ93" s="72"/>
    </row>
    <row r="94" spans="1:43" s="880" customFormat="1" ht="14.25" hidden="1" customHeight="1" x14ac:dyDescent="0.15">
      <c r="A94" s="72"/>
      <c r="B94" s="341" t="b">
        <f t="shared" si="4"/>
        <v>0</v>
      </c>
      <c r="C94" s="72"/>
      <c r="D94" s="72"/>
      <c r="E94" s="507">
        <v>15</v>
      </c>
      <c r="F94" s="3" t="str" cm="1">
        <f t="array" aca="1" ref="F94" ca="1">OFFSET(E94,-1,1)</f>
        <v>1</v>
      </c>
      <c r="G94" s="72"/>
      <c r="H94" s="72"/>
      <c r="I94" s="72"/>
      <c r="J94" s="72"/>
      <c r="K94" s="72">
        <f>first_year+12</f>
        <v>2036</v>
      </c>
      <c r="L94" s="72"/>
      <c r="M94" s="72"/>
      <c r="N94" s="72"/>
      <c r="O94" s="72"/>
      <c r="P94" s="72"/>
      <c r="Q94" s="72"/>
      <c r="R94" s="72"/>
      <c r="S94" s="72"/>
      <c r="T94" s="353" t="b" cm="1">
        <f t="array" ref="T94">T93</f>
        <v>1</v>
      </c>
      <c r="U94" s="72"/>
      <c r="V94" s="72"/>
      <c r="W94" s="72"/>
      <c r="X94" s="990"/>
      <c r="Y94" s="72"/>
      <c r="Z94" s="967"/>
      <c r="AA94" s="72"/>
      <c r="AB94" s="168" t="str">
        <f t="shared" si="5"/>
        <v>2036 год</v>
      </c>
      <c r="AC94" s="875"/>
      <c r="AD94" s="877"/>
      <c r="AE94" s="878"/>
      <c r="AF94" s="878"/>
      <c r="AG94" s="877"/>
      <c r="AH94" s="877"/>
      <c r="AI94" s="877"/>
      <c r="AJ94" s="883"/>
      <c r="AK94" s="884"/>
      <c r="AL94" s="304"/>
      <c r="AM94" s="72"/>
      <c r="AN94" s="72"/>
      <c r="AO94" s="696" cm="1">
        <f t="array" ref="AO94">K94</f>
        <v>2036</v>
      </c>
      <c r="AP94" s="72"/>
      <c r="AQ94" s="72"/>
    </row>
    <row r="95" spans="1:43" s="880" customFormat="1" ht="14.25" hidden="1" customHeight="1" x14ac:dyDescent="0.15">
      <c r="A95" s="72"/>
      <c r="B95" s="341" t="b">
        <f t="shared" si="4"/>
        <v>0</v>
      </c>
      <c r="C95" s="72"/>
      <c r="D95" s="72"/>
      <c r="E95" s="507">
        <v>15</v>
      </c>
      <c r="F95" s="3" t="str" cm="1">
        <f t="array" aca="1" ref="F95" ca="1">OFFSET(E95,-1,1)</f>
        <v>1</v>
      </c>
      <c r="G95" s="72"/>
      <c r="H95" s="72"/>
      <c r="I95" s="72"/>
      <c r="J95" s="72"/>
      <c r="K95" s="72">
        <f>first_year+13</f>
        <v>2037</v>
      </c>
      <c r="L95" s="72"/>
      <c r="M95" s="72"/>
      <c r="N95" s="72"/>
      <c r="O95" s="72"/>
      <c r="P95" s="72"/>
      <c r="Q95" s="72"/>
      <c r="R95" s="72"/>
      <c r="S95" s="72"/>
      <c r="T95" s="353" t="b" cm="1">
        <f t="array" ref="T95">T94</f>
        <v>1</v>
      </c>
      <c r="U95" s="72"/>
      <c r="V95" s="72"/>
      <c r="W95" s="72"/>
      <c r="X95" s="990"/>
      <c r="Y95" s="72"/>
      <c r="Z95" s="967"/>
      <c r="AA95" s="72"/>
      <c r="AB95" s="168" t="str">
        <f t="shared" si="5"/>
        <v>2037 год</v>
      </c>
      <c r="AC95" s="875"/>
      <c r="AD95" s="877"/>
      <c r="AE95" s="878"/>
      <c r="AF95" s="878"/>
      <c r="AG95" s="877"/>
      <c r="AH95" s="877"/>
      <c r="AI95" s="877"/>
      <c r="AJ95" s="883"/>
      <c r="AK95" s="884"/>
      <c r="AL95" s="304"/>
      <c r="AM95" s="72"/>
      <c r="AN95" s="72"/>
      <c r="AO95" s="696" cm="1">
        <f t="array" ref="AO95">K95</f>
        <v>2037</v>
      </c>
      <c r="AP95" s="72"/>
      <c r="AQ95" s="72"/>
    </row>
    <row r="96" spans="1:43" s="880" customFormat="1" ht="14.25" hidden="1" customHeight="1" x14ac:dyDescent="0.15">
      <c r="A96" s="72"/>
      <c r="B96" s="341" t="b">
        <f t="shared" si="4"/>
        <v>0</v>
      </c>
      <c r="C96" s="72"/>
      <c r="D96" s="72"/>
      <c r="E96" s="507">
        <v>15</v>
      </c>
      <c r="F96" s="3" t="str" cm="1">
        <f t="array" aca="1" ref="F96" ca="1">OFFSET(E96,-1,1)</f>
        <v>1</v>
      </c>
      <c r="G96" s="72"/>
      <c r="H96" s="72"/>
      <c r="I96" s="72"/>
      <c r="J96" s="72"/>
      <c r="K96" s="72">
        <f>first_year+14</f>
        <v>2038</v>
      </c>
      <c r="L96" s="72"/>
      <c r="M96" s="72"/>
      <c r="N96" s="72"/>
      <c r="O96" s="72"/>
      <c r="P96" s="72"/>
      <c r="Q96" s="72"/>
      <c r="R96" s="72"/>
      <c r="S96" s="72"/>
      <c r="T96" s="353" t="b" cm="1">
        <f t="array" ref="T96">T95</f>
        <v>1</v>
      </c>
      <c r="U96" s="72"/>
      <c r="V96" s="72"/>
      <c r="W96" s="72"/>
      <c r="X96" s="990"/>
      <c r="Y96" s="72"/>
      <c r="Z96" s="967"/>
      <c r="AA96" s="72"/>
      <c r="AB96" s="168" t="str">
        <f t="shared" si="5"/>
        <v>2038 год</v>
      </c>
      <c r="AC96" s="875"/>
      <c r="AD96" s="877"/>
      <c r="AE96" s="878"/>
      <c r="AF96" s="878"/>
      <c r="AG96" s="877"/>
      <c r="AH96" s="877"/>
      <c r="AI96" s="877"/>
      <c r="AJ96" s="883"/>
      <c r="AK96" s="884"/>
      <c r="AL96" s="304"/>
      <c r="AM96" s="72"/>
      <c r="AN96" s="72"/>
      <c r="AO96" s="696" cm="1">
        <f t="array" ref="AO96">K96</f>
        <v>2038</v>
      </c>
      <c r="AP96" s="72"/>
      <c r="AQ96" s="72"/>
    </row>
    <row r="97" spans="1:43" s="880" customFormat="1" ht="14.25" hidden="1" customHeight="1" x14ac:dyDescent="0.15">
      <c r="A97" s="72"/>
      <c r="B97" s="341" t="b">
        <f t="shared" si="4"/>
        <v>0</v>
      </c>
      <c r="C97" s="72"/>
      <c r="D97" s="72"/>
      <c r="E97" s="507">
        <v>15</v>
      </c>
      <c r="F97" s="3" t="str" cm="1">
        <f t="array" aca="1" ref="F97" ca="1">OFFSET(E97,-1,1)</f>
        <v>1</v>
      </c>
      <c r="G97" s="72"/>
      <c r="H97" s="72"/>
      <c r="I97" s="72"/>
      <c r="J97" s="72"/>
      <c r="K97" s="72">
        <f>first_year+15</f>
        <v>2039</v>
      </c>
      <c r="L97" s="72"/>
      <c r="M97" s="72"/>
      <c r="N97" s="72"/>
      <c r="O97" s="72"/>
      <c r="P97" s="72"/>
      <c r="Q97" s="72"/>
      <c r="R97" s="72"/>
      <c r="S97" s="72"/>
      <c r="T97" s="353" t="b" cm="1">
        <f t="array" ref="T97">T96</f>
        <v>1</v>
      </c>
      <c r="U97" s="72"/>
      <c r="V97" s="72"/>
      <c r="W97" s="72"/>
      <c r="X97" s="990"/>
      <c r="Y97" s="72"/>
      <c r="Z97" s="967"/>
      <c r="AA97" s="72"/>
      <c r="AB97" s="168" t="str">
        <f t="shared" si="5"/>
        <v>2039 год</v>
      </c>
      <c r="AC97" s="875"/>
      <c r="AD97" s="877"/>
      <c r="AE97" s="878"/>
      <c r="AF97" s="878"/>
      <c r="AG97" s="877"/>
      <c r="AH97" s="877"/>
      <c r="AI97" s="877"/>
      <c r="AJ97" s="883"/>
      <c r="AK97" s="884"/>
      <c r="AL97" s="304"/>
      <c r="AM97" s="72"/>
      <c r="AN97" s="72"/>
      <c r="AO97" s="696" cm="1">
        <f t="array" ref="AO97">K97</f>
        <v>2039</v>
      </c>
      <c r="AP97" s="72"/>
      <c r="AQ97" s="72"/>
    </row>
    <row r="98" spans="1:43" s="880" customFormat="1" ht="14.25" hidden="1" customHeight="1" x14ac:dyDescent="0.15">
      <c r="A98" s="72"/>
      <c r="B98" s="341" t="b">
        <f t="shared" si="4"/>
        <v>0</v>
      </c>
      <c r="C98" s="72"/>
      <c r="D98" s="72"/>
      <c r="E98" s="507">
        <v>15</v>
      </c>
      <c r="F98" s="3" t="str" cm="1">
        <f t="array" aca="1" ref="F98" ca="1">OFFSET(E98,-1,1)</f>
        <v>1</v>
      </c>
      <c r="G98" s="72"/>
      <c r="H98" s="72"/>
      <c r="I98" s="72"/>
      <c r="J98" s="72"/>
      <c r="K98" s="72">
        <f>first_year+16</f>
        <v>2040</v>
      </c>
      <c r="L98" s="72"/>
      <c r="M98" s="72"/>
      <c r="N98" s="72"/>
      <c r="O98" s="72"/>
      <c r="P98" s="72"/>
      <c r="Q98" s="72"/>
      <c r="R98" s="72"/>
      <c r="S98" s="72"/>
      <c r="T98" s="353" t="b" cm="1">
        <f t="array" ref="T98">T97</f>
        <v>1</v>
      </c>
      <c r="U98" s="72"/>
      <c r="V98" s="72"/>
      <c r="W98" s="72"/>
      <c r="X98" s="990"/>
      <c r="Y98" s="72"/>
      <c r="Z98" s="967"/>
      <c r="AA98" s="72"/>
      <c r="AB98" s="168" t="str">
        <f t="shared" si="5"/>
        <v>2040 год</v>
      </c>
      <c r="AC98" s="875"/>
      <c r="AD98" s="877"/>
      <c r="AE98" s="878"/>
      <c r="AF98" s="878"/>
      <c r="AG98" s="877"/>
      <c r="AH98" s="877"/>
      <c r="AI98" s="877"/>
      <c r="AJ98" s="883"/>
      <c r="AK98" s="884"/>
      <c r="AL98" s="304"/>
      <c r="AM98" s="72"/>
      <c r="AN98" s="72"/>
      <c r="AO98" s="696" cm="1">
        <f t="array" ref="AO98">K98</f>
        <v>2040</v>
      </c>
      <c r="AP98" s="72"/>
      <c r="AQ98" s="72"/>
    </row>
    <row r="99" spans="1:43" s="880" customFormat="1" ht="14.25" hidden="1" customHeight="1" x14ac:dyDescent="0.15">
      <c r="A99" s="72"/>
      <c r="B99" s="341" t="b">
        <f t="shared" si="4"/>
        <v>0</v>
      </c>
      <c r="C99" s="72"/>
      <c r="D99" s="72"/>
      <c r="E99" s="507">
        <v>15</v>
      </c>
      <c r="F99" s="3" t="str" cm="1">
        <f t="array" aca="1" ref="F99" ca="1">OFFSET(E99,-1,1)</f>
        <v>1</v>
      </c>
      <c r="G99" s="72"/>
      <c r="H99" s="72"/>
      <c r="I99" s="72"/>
      <c r="J99" s="72"/>
      <c r="K99" s="72">
        <f>first_year+17</f>
        <v>2041</v>
      </c>
      <c r="L99" s="72"/>
      <c r="M99" s="72"/>
      <c r="N99" s="72"/>
      <c r="O99" s="72"/>
      <c r="P99" s="72"/>
      <c r="Q99" s="72"/>
      <c r="R99" s="72"/>
      <c r="S99" s="72"/>
      <c r="T99" s="353" t="b" cm="1">
        <f t="array" ref="T99">T98</f>
        <v>1</v>
      </c>
      <c r="U99" s="72"/>
      <c r="V99" s="72"/>
      <c r="W99" s="72"/>
      <c r="X99" s="990"/>
      <c r="Y99" s="72"/>
      <c r="Z99" s="967"/>
      <c r="AA99" s="72"/>
      <c r="AB99" s="168" t="str">
        <f t="shared" si="5"/>
        <v>2041 год</v>
      </c>
      <c r="AC99" s="875"/>
      <c r="AD99" s="877"/>
      <c r="AE99" s="878"/>
      <c r="AF99" s="878"/>
      <c r="AG99" s="877"/>
      <c r="AH99" s="877"/>
      <c r="AI99" s="877"/>
      <c r="AJ99" s="883"/>
      <c r="AK99" s="884"/>
      <c r="AL99" s="304"/>
      <c r="AM99" s="72"/>
      <c r="AN99" s="72"/>
      <c r="AO99" s="696" cm="1">
        <f t="array" ref="AO99">K99</f>
        <v>2041</v>
      </c>
      <c r="AP99" s="72"/>
      <c r="AQ99" s="72"/>
    </row>
    <row r="100" spans="1:43" s="880" customFormat="1" ht="14.25" hidden="1" customHeight="1" x14ac:dyDescent="0.15">
      <c r="A100" s="72"/>
      <c r="B100" s="341" t="b">
        <f t="shared" si="4"/>
        <v>0</v>
      </c>
      <c r="C100" s="72"/>
      <c r="D100" s="72"/>
      <c r="E100" s="507">
        <v>15</v>
      </c>
      <c r="F100" s="3" t="str" cm="1">
        <f t="array" aca="1" ref="F100" ca="1">OFFSET(E100,-1,1)</f>
        <v>1</v>
      </c>
      <c r="G100" s="72"/>
      <c r="H100" s="72"/>
      <c r="I100" s="72"/>
      <c r="J100" s="72"/>
      <c r="K100" s="72">
        <f>first_year+18</f>
        <v>2042</v>
      </c>
      <c r="L100" s="72"/>
      <c r="M100" s="72"/>
      <c r="N100" s="72"/>
      <c r="O100" s="72"/>
      <c r="P100" s="72"/>
      <c r="Q100" s="72"/>
      <c r="R100" s="72"/>
      <c r="S100" s="72"/>
      <c r="T100" s="353" t="b" cm="1">
        <f t="array" ref="T100">T99</f>
        <v>1</v>
      </c>
      <c r="U100" s="72"/>
      <c r="V100" s="72"/>
      <c r="W100" s="72"/>
      <c r="X100" s="990"/>
      <c r="Y100" s="72"/>
      <c r="Z100" s="967"/>
      <c r="AA100" s="72"/>
      <c r="AB100" s="168" t="str">
        <f t="shared" si="5"/>
        <v>2042 год</v>
      </c>
      <c r="AC100" s="875"/>
      <c r="AD100" s="877"/>
      <c r="AE100" s="878"/>
      <c r="AF100" s="878"/>
      <c r="AG100" s="877"/>
      <c r="AH100" s="877"/>
      <c r="AI100" s="877"/>
      <c r="AJ100" s="883"/>
      <c r="AK100" s="884"/>
      <c r="AL100" s="304"/>
      <c r="AM100" s="72"/>
      <c r="AN100" s="72"/>
      <c r="AO100" s="696" cm="1">
        <f t="array" ref="AO100">K100</f>
        <v>2042</v>
      </c>
      <c r="AP100" s="72"/>
      <c r="AQ100" s="72"/>
    </row>
    <row r="101" spans="1:43" s="880" customFormat="1" ht="14.25" hidden="1" customHeight="1" x14ac:dyDescent="0.15">
      <c r="A101" s="72"/>
      <c r="B101" s="341" t="b">
        <f t="shared" si="4"/>
        <v>0</v>
      </c>
      <c r="C101" s="72"/>
      <c r="D101" s="72"/>
      <c r="E101" s="507">
        <v>15</v>
      </c>
      <c r="F101" s="3" t="str" cm="1">
        <f t="array" aca="1" ref="F101" ca="1">OFFSET(E101,-1,1)</f>
        <v>1</v>
      </c>
      <c r="G101" s="72"/>
      <c r="H101" s="72"/>
      <c r="I101" s="72"/>
      <c r="J101" s="72"/>
      <c r="K101" s="72">
        <f>first_year+19</f>
        <v>2043</v>
      </c>
      <c r="L101" s="72"/>
      <c r="M101" s="72"/>
      <c r="N101" s="72"/>
      <c r="O101" s="72"/>
      <c r="P101" s="72"/>
      <c r="Q101" s="72"/>
      <c r="R101" s="72"/>
      <c r="S101" s="72"/>
      <c r="T101" s="353" t="b" cm="1">
        <f t="array" ref="T101">T100</f>
        <v>1</v>
      </c>
      <c r="U101" s="72"/>
      <c r="V101" s="72"/>
      <c r="W101" s="72"/>
      <c r="X101" s="990"/>
      <c r="Y101" s="72"/>
      <c r="Z101" s="967"/>
      <c r="AA101" s="72"/>
      <c r="AB101" s="168" t="str">
        <f t="shared" si="5"/>
        <v>2043 год</v>
      </c>
      <c r="AC101" s="875"/>
      <c r="AD101" s="877"/>
      <c r="AE101" s="878"/>
      <c r="AF101" s="878"/>
      <c r="AG101" s="877"/>
      <c r="AH101" s="877"/>
      <c r="AI101" s="877"/>
      <c r="AJ101" s="883"/>
      <c r="AK101" s="884"/>
      <c r="AL101" s="304"/>
      <c r="AM101" s="72"/>
      <c r="AN101" s="72"/>
      <c r="AO101" s="696" cm="1">
        <f t="array" ref="AO101">K101</f>
        <v>2043</v>
      </c>
      <c r="AP101" s="72"/>
      <c r="AQ101" s="72"/>
    </row>
    <row r="102" spans="1:43" s="880" customFormat="1" ht="14.25" hidden="1" customHeight="1" x14ac:dyDescent="0.15">
      <c r="A102" s="72"/>
      <c r="B102" s="341" t="b">
        <f t="shared" si="4"/>
        <v>0</v>
      </c>
      <c r="C102" s="72"/>
      <c r="D102" s="72"/>
      <c r="E102" s="507">
        <v>15</v>
      </c>
      <c r="F102" s="3" t="str" cm="1">
        <f t="array" aca="1" ref="F102" ca="1">OFFSET(E102,-1,1)</f>
        <v>1</v>
      </c>
      <c r="G102" s="72"/>
      <c r="H102" s="72"/>
      <c r="I102" s="72"/>
      <c r="J102" s="72"/>
      <c r="K102" s="72">
        <f>first_year+20</f>
        <v>2044</v>
      </c>
      <c r="L102" s="72"/>
      <c r="M102" s="72"/>
      <c r="N102" s="72"/>
      <c r="O102" s="72"/>
      <c r="P102" s="72"/>
      <c r="Q102" s="72"/>
      <c r="R102" s="72"/>
      <c r="S102" s="72"/>
      <c r="T102" s="353" t="b" cm="1">
        <f t="array" ref="T102">T101</f>
        <v>1</v>
      </c>
      <c r="U102" s="72"/>
      <c r="V102" s="72"/>
      <c r="W102" s="72"/>
      <c r="X102" s="990"/>
      <c r="Y102" s="72"/>
      <c r="Z102" s="967"/>
      <c r="AA102" s="72"/>
      <c r="AB102" s="168" t="str">
        <f t="shared" si="5"/>
        <v>2044 год</v>
      </c>
      <c r="AC102" s="875"/>
      <c r="AD102" s="877"/>
      <c r="AE102" s="878"/>
      <c r="AF102" s="878"/>
      <c r="AG102" s="877"/>
      <c r="AH102" s="877"/>
      <c r="AI102" s="877"/>
      <c r="AJ102" s="883"/>
      <c r="AK102" s="884"/>
      <c r="AL102" s="304"/>
      <c r="AM102" s="72"/>
      <c r="AN102" s="72"/>
      <c r="AO102" s="696" cm="1">
        <f t="array" ref="AO102">K102</f>
        <v>2044</v>
      </c>
      <c r="AP102" s="72"/>
      <c r="AQ102" s="72"/>
    </row>
    <row r="103" spans="1:43" s="880" customFormat="1" ht="14.25" hidden="1" customHeight="1" x14ac:dyDescent="0.15">
      <c r="A103" s="72"/>
      <c r="B103" s="341" t="b">
        <f t="shared" si="4"/>
        <v>0</v>
      </c>
      <c r="C103" s="72"/>
      <c r="D103" s="72"/>
      <c r="E103" s="507">
        <v>15</v>
      </c>
      <c r="F103" s="3" t="str" cm="1">
        <f t="array" aca="1" ref="F103" ca="1">OFFSET(E103,-1,1)</f>
        <v>1</v>
      </c>
      <c r="G103" s="72"/>
      <c r="H103" s="72"/>
      <c r="I103" s="72"/>
      <c r="J103" s="72"/>
      <c r="K103" s="72">
        <f>first_year+21</f>
        <v>2045</v>
      </c>
      <c r="L103" s="72"/>
      <c r="M103" s="72"/>
      <c r="N103" s="72"/>
      <c r="O103" s="72"/>
      <c r="P103" s="72"/>
      <c r="Q103" s="72"/>
      <c r="R103" s="72"/>
      <c r="S103" s="72"/>
      <c r="T103" s="353" t="b" cm="1">
        <f t="array" ref="T103">T102</f>
        <v>1</v>
      </c>
      <c r="U103" s="72"/>
      <c r="V103" s="72"/>
      <c r="W103" s="72"/>
      <c r="X103" s="990"/>
      <c r="Y103" s="72"/>
      <c r="Z103" s="967"/>
      <c r="AA103" s="72"/>
      <c r="AB103" s="168" t="str">
        <f t="shared" si="5"/>
        <v>2045 год</v>
      </c>
      <c r="AC103" s="875"/>
      <c r="AD103" s="877"/>
      <c r="AE103" s="878"/>
      <c r="AF103" s="878"/>
      <c r="AG103" s="877"/>
      <c r="AH103" s="877"/>
      <c r="AI103" s="877"/>
      <c r="AJ103" s="883"/>
      <c r="AK103" s="884"/>
      <c r="AL103" s="304"/>
      <c r="AM103" s="72"/>
      <c r="AN103" s="72"/>
      <c r="AO103" s="696" cm="1">
        <f t="array" ref="AO103">K103</f>
        <v>2045</v>
      </c>
      <c r="AP103" s="72"/>
      <c r="AQ103" s="72"/>
    </row>
    <row r="104" spans="1:43" s="880" customFormat="1" ht="14.25" hidden="1" customHeight="1" x14ac:dyDescent="0.15">
      <c r="A104" s="72"/>
      <c r="B104" s="341" t="b">
        <f t="shared" si="4"/>
        <v>0</v>
      </c>
      <c r="C104" s="72"/>
      <c r="D104" s="72"/>
      <c r="E104" s="507">
        <v>15</v>
      </c>
      <c r="F104" s="3" t="str" cm="1">
        <f t="array" aca="1" ref="F104" ca="1">OFFSET(E104,-1,1)</f>
        <v>1</v>
      </c>
      <c r="G104" s="72"/>
      <c r="H104" s="72"/>
      <c r="I104" s="72"/>
      <c r="J104" s="72"/>
      <c r="K104" s="72">
        <f>first_year+22</f>
        <v>2046</v>
      </c>
      <c r="L104" s="72"/>
      <c r="M104" s="72"/>
      <c r="N104" s="72"/>
      <c r="O104" s="72"/>
      <c r="P104" s="72"/>
      <c r="Q104" s="72"/>
      <c r="R104" s="72"/>
      <c r="S104" s="72"/>
      <c r="T104" s="353" t="b" cm="1">
        <f t="array" ref="T104">T103</f>
        <v>1</v>
      </c>
      <c r="U104" s="72"/>
      <c r="V104" s="72"/>
      <c r="W104" s="72"/>
      <c r="X104" s="990"/>
      <c r="Y104" s="72"/>
      <c r="Z104" s="967"/>
      <c r="AA104" s="72"/>
      <c r="AB104" s="168" t="str">
        <f t="shared" si="5"/>
        <v>2046 год</v>
      </c>
      <c r="AC104" s="875"/>
      <c r="AD104" s="877"/>
      <c r="AE104" s="878"/>
      <c r="AF104" s="878"/>
      <c r="AG104" s="877"/>
      <c r="AH104" s="877"/>
      <c r="AI104" s="877"/>
      <c r="AJ104" s="883"/>
      <c r="AK104" s="884"/>
      <c r="AL104" s="304"/>
      <c r="AM104" s="72"/>
      <c r="AN104" s="72"/>
      <c r="AO104" s="696" cm="1">
        <f t="array" ref="AO104">K104</f>
        <v>2046</v>
      </c>
      <c r="AP104" s="72"/>
      <c r="AQ104" s="72"/>
    </row>
    <row r="105" spans="1:43" s="880" customFormat="1" ht="14.25" hidden="1" customHeight="1" x14ac:dyDescent="0.15">
      <c r="A105" s="72"/>
      <c r="B105" s="341" t="b">
        <f t="shared" si="4"/>
        <v>0</v>
      </c>
      <c r="C105" s="72"/>
      <c r="D105" s="72"/>
      <c r="E105" s="507">
        <v>15</v>
      </c>
      <c r="F105" s="3" t="str" cm="1">
        <f t="array" aca="1" ref="F105" ca="1">OFFSET(E105,-1,1)</f>
        <v>1</v>
      </c>
      <c r="G105" s="72"/>
      <c r="H105" s="72"/>
      <c r="I105" s="72"/>
      <c r="J105" s="72"/>
      <c r="K105" s="72">
        <f>first_year+23</f>
        <v>2047</v>
      </c>
      <c r="L105" s="72"/>
      <c r="M105" s="72"/>
      <c r="N105" s="72"/>
      <c r="O105" s="72"/>
      <c r="P105" s="72"/>
      <c r="Q105" s="72"/>
      <c r="R105" s="72"/>
      <c r="S105" s="72"/>
      <c r="T105" s="353" t="b" cm="1">
        <f t="array" ref="T105">T104</f>
        <v>1</v>
      </c>
      <c r="U105" s="72"/>
      <c r="V105" s="72"/>
      <c r="W105" s="72"/>
      <c r="X105" s="990"/>
      <c r="Y105" s="72"/>
      <c r="Z105" s="967"/>
      <c r="AA105" s="72"/>
      <c r="AB105" s="168" t="str">
        <f t="shared" si="5"/>
        <v>2047 год</v>
      </c>
      <c r="AC105" s="875"/>
      <c r="AD105" s="877"/>
      <c r="AE105" s="878"/>
      <c r="AF105" s="878"/>
      <c r="AG105" s="877"/>
      <c r="AH105" s="877"/>
      <c r="AI105" s="877"/>
      <c r="AJ105" s="883"/>
      <c r="AK105" s="884"/>
      <c r="AL105" s="304"/>
      <c r="AM105" s="72"/>
      <c r="AN105" s="72"/>
      <c r="AO105" s="696" cm="1">
        <f t="array" ref="AO105">K105</f>
        <v>2047</v>
      </c>
      <c r="AP105" s="72"/>
      <c r="AQ105" s="72"/>
    </row>
    <row r="106" spans="1:43" s="880" customFormat="1" ht="14.25" hidden="1" customHeight="1" x14ac:dyDescent="0.15">
      <c r="A106" s="72"/>
      <c r="B106" s="341" t="b">
        <f t="shared" si="4"/>
        <v>0</v>
      </c>
      <c r="C106" s="72"/>
      <c r="D106" s="72"/>
      <c r="E106" s="507">
        <v>15</v>
      </c>
      <c r="F106" s="3" t="str" cm="1">
        <f t="array" aca="1" ref="F106" ca="1">OFFSET(E106,-1,1)</f>
        <v>1</v>
      </c>
      <c r="G106" s="72"/>
      <c r="H106" s="72"/>
      <c r="I106" s="72"/>
      <c r="J106" s="72"/>
      <c r="K106" s="72">
        <f>first_year+24</f>
        <v>2048</v>
      </c>
      <c r="L106" s="72"/>
      <c r="M106" s="72"/>
      <c r="N106" s="72"/>
      <c r="O106" s="72"/>
      <c r="P106" s="72"/>
      <c r="Q106" s="72"/>
      <c r="R106" s="72"/>
      <c r="S106" s="72"/>
      <c r="T106" s="353" t="b" cm="1">
        <f t="array" ref="T106">T105</f>
        <v>1</v>
      </c>
      <c r="U106" s="72"/>
      <c r="V106" s="72"/>
      <c r="W106" s="72"/>
      <c r="X106" s="990"/>
      <c r="Y106" s="72"/>
      <c r="Z106" s="967"/>
      <c r="AA106" s="72"/>
      <c r="AB106" s="168" t="str">
        <f t="shared" si="5"/>
        <v>2048 год</v>
      </c>
      <c r="AC106" s="875"/>
      <c r="AD106" s="877"/>
      <c r="AE106" s="878"/>
      <c r="AF106" s="878"/>
      <c r="AG106" s="877"/>
      <c r="AH106" s="877"/>
      <c r="AI106" s="877"/>
      <c r="AJ106" s="883"/>
      <c r="AK106" s="884"/>
      <c r="AL106" s="304"/>
      <c r="AM106" s="72"/>
      <c r="AN106" s="72"/>
      <c r="AO106" s="696" cm="1">
        <f t="array" ref="AO106">K106</f>
        <v>2048</v>
      </c>
      <c r="AP106" s="72"/>
      <c r="AQ106" s="72"/>
    </row>
    <row r="107" spans="1:43" s="880" customFormat="1" ht="14.25" hidden="1" customHeight="1" x14ac:dyDescent="0.15">
      <c r="A107" s="72"/>
      <c r="B107" s="341" t="b">
        <f t="shared" si="4"/>
        <v>0</v>
      </c>
      <c r="C107" s="72"/>
      <c r="D107" s="72"/>
      <c r="E107" s="507">
        <v>15</v>
      </c>
      <c r="F107" s="3" t="str" cm="1">
        <f t="array" aca="1" ref="F107" ca="1">OFFSET(E107,-1,1)</f>
        <v>1</v>
      </c>
      <c r="G107" s="72"/>
      <c r="H107" s="72"/>
      <c r="I107" s="72"/>
      <c r="J107" s="72"/>
      <c r="K107" s="72">
        <f>first_year+25</f>
        <v>2049</v>
      </c>
      <c r="L107" s="72"/>
      <c r="M107" s="72"/>
      <c r="N107" s="72"/>
      <c r="O107" s="72"/>
      <c r="P107" s="72"/>
      <c r="Q107" s="72"/>
      <c r="R107" s="72"/>
      <c r="S107" s="72"/>
      <c r="T107" s="353" t="b" cm="1">
        <f t="array" ref="T107">T106</f>
        <v>1</v>
      </c>
      <c r="U107" s="72"/>
      <c r="V107" s="72"/>
      <c r="W107" s="72"/>
      <c r="X107" s="990"/>
      <c r="Y107" s="72"/>
      <c r="Z107" s="967"/>
      <c r="AA107" s="72"/>
      <c r="AB107" s="168" t="str">
        <f t="shared" si="5"/>
        <v>2049 год</v>
      </c>
      <c r="AC107" s="875"/>
      <c r="AD107" s="877"/>
      <c r="AE107" s="878"/>
      <c r="AF107" s="878"/>
      <c r="AG107" s="877"/>
      <c r="AH107" s="877"/>
      <c r="AI107" s="877"/>
      <c r="AJ107" s="883"/>
      <c r="AK107" s="884"/>
      <c r="AL107" s="304"/>
      <c r="AM107" s="72"/>
      <c r="AN107" s="72"/>
      <c r="AO107" s="696" cm="1">
        <f t="array" ref="AO107">K107</f>
        <v>2049</v>
      </c>
      <c r="AP107" s="72"/>
      <c r="AQ107" s="72"/>
    </row>
    <row r="108" spans="1:43" s="880" customFormat="1" ht="14.25" hidden="1" customHeight="1" x14ac:dyDescent="0.15">
      <c r="A108" s="72"/>
      <c r="B108" s="341" t="b">
        <f t="shared" si="4"/>
        <v>0</v>
      </c>
      <c r="C108" s="72"/>
      <c r="D108" s="72"/>
      <c r="E108" s="507">
        <v>15</v>
      </c>
      <c r="F108" s="3" t="str" cm="1">
        <f t="array" aca="1" ref="F108" ca="1">OFFSET(E108,-1,1)</f>
        <v>1</v>
      </c>
      <c r="G108" s="72"/>
      <c r="H108" s="72"/>
      <c r="I108" s="72"/>
      <c r="J108" s="72"/>
      <c r="K108" s="72">
        <f>first_year+26</f>
        <v>2050</v>
      </c>
      <c r="L108" s="72"/>
      <c r="M108" s="72"/>
      <c r="N108" s="72"/>
      <c r="O108" s="72"/>
      <c r="P108" s="72"/>
      <c r="Q108" s="72"/>
      <c r="R108" s="72"/>
      <c r="S108" s="72"/>
      <c r="T108" s="353" t="b" cm="1">
        <f t="array" ref="T108">T107</f>
        <v>1</v>
      </c>
      <c r="U108" s="72"/>
      <c r="V108" s="72"/>
      <c r="W108" s="72"/>
      <c r="X108" s="990"/>
      <c r="Y108" s="72"/>
      <c r="Z108" s="967"/>
      <c r="AA108" s="72"/>
      <c r="AB108" s="168" t="str">
        <f t="shared" si="5"/>
        <v>2050 год</v>
      </c>
      <c r="AC108" s="875"/>
      <c r="AD108" s="877"/>
      <c r="AE108" s="878"/>
      <c r="AF108" s="878"/>
      <c r="AG108" s="877"/>
      <c r="AH108" s="877"/>
      <c r="AI108" s="877"/>
      <c r="AJ108" s="883"/>
      <c r="AK108" s="884"/>
      <c r="AL108" s="304"/>
      <c r="AM108" s="72"/>
      <c r="AN108" s="72"/>
      <c r="AO108" s="696" cm="1">
        <f t="array" ref="AO108">K108</f>
        <v>2050</v>
      </c>
      <c r="AP108" s="72"/>
      <c r="AQ108" s="72"/>
    </row>
    <row r="109" spans="1:43" s="880" customFormat="1" ht="14.25" hidden="1" customHeight="1" x14ac:dyDescent="0.15">
      <c r="A109" s="72"/>
      <c r="B109" s="341" t="b">
        <f t="shared" si="4"/>
        <v>0</v>
      </c>
      <c r="C109" s="72"/>
      <c r="D109" s="72"/>
      <c r="E109" s="507">
        <v>15</v>
      </c>
      <c r="F109" s="3" t="str" cm="1">
        <f t="array" aca="1" ref="F109" ca="1">OFFSET(E109,-1,1)</f>
        <v>1</v>
      </c>
      <c r="G109" s="72"/>
      <c r="H109" s="72"/>
      <c r="I109" s="72"/>
      <c r="J109" s="72"/>
      <c r="K109" s="72">
        <f>first_year+27</f>
        <v>2051</v>
      </c>
      <c r="L109" s="72"/>
      <c r="M109" s="72"/>
      <c r="N109" s="72"/>
      <c r="O109" s="72"/>
      <c r="P109" s="72"/>
      <c r="Q109" s="72"/>
      <c r="R109" s="72"/>
      <c r="S109" s="72"/>
      <c r="T109" s="353" t="b" cm="1">
        <f t="array" ref="T109">T108</f>
        <v>1</v>
      </c>
      <c r="U109" s="72"/>
      <c r="V109" s="72"/>
      <c r="W109" s="72"/>
      <c r="X109" s="990"/>
      <c r="Y109" s="72"/>
      <c r="Z109" s="967"/>
      <c r="AA109" s="72"/>
      <c r="AB109" s="168" t="str">
        <f t="shared" si="5"/>
        <v>2051 год</v>
      </c>
      <c r="AC109" s="875"/>
      <c r="AD109" s="877"/>
      <c r="AE109" s="878"/>
      <c r="AF109" s="878"/>
      <c r="AG109" s="877"/>
      <c r="AH109" s="877"/>
      <c r="AI109" s="877"/>
      <c r="AJ109" s="883"/>
      <c r="AK109" s="884"/>
      <c r="AL109" s="304"/>
      <c r="AM109" s="72"/>
      <c r="AN109" s="72"/>
      <c r="AO109" s="696" cm="1">
        <f t="array" ref="AO109">K109</f>
        <v>2051</v>
      </c>
      <c r="AP109" s="72"/>
      <c r="AQ109" s="72"/>
    </row>
    <row r="110" spans="1:43" s="880" customFormat="1" ht="14.25" hidden="1" customHeight="1" x14ac:dyDescent="0.15">
      <c r="A110" s="72"/>
      <c r="B110" s="341" t="b">
        <f t="shared" si="4"/>
        <v>0</v>
      </c>
      <c r="C110" s="72"/>
      <c r="D110" s="72"/>
      <c r="E110" s="507">
        <v>15</v>
      </c>
      <c r="F110" s="3" t="str" cm="1">
        <f t="array" aca="1" ref="F110" ca="1">OFFSET(E110,-1,1)</f>
        <v>1</v>
      </c>
      <c r="G110" s="72"/>
      <c r="H110" s="72"/>
      <c r="I110" s="72"/>
      <c r="J110" s="72"/>
      <c r="K110" s="72">
        <f>first_year+28</f>
        <v>2052</v>
      </c>
      <c r="L110" s="72"/>
      <c r="M110" s="72"/>
      <c r="N110" s="72"/>
      <c r="O110" s="72"/>
      <c r="P110" s="72"/>
      <c r="Q110" s="72"/>
      <c r="R110" s="72"/>
      <c r="S110" s="72"/>
      <c r="T110" s="353" t="b" cm="1">
        <f t="array" ref="T110">T109</f>
        <v>1</v>
      </c>
      <c r="U110" s="72"/>
      <c r="V110" s="72"/>
      <c r="W110" s="72"/>
      <c r="X110" s="990"/>
      <c r="Y110" s="72"/>
      <c r="Z110" s="967"/>
      <c r="AA110" s="72"/>
      <c r="AB110" s="168" t="str">
        <f t="shared" si="5"/>
        <v>2052 год</v>
      </c>
      <c r="AC110" s="875"/>
      <c r="AD110" s="877"/>
      <c r="AE110" s="878"/>
      <c r="AF110" s="878"/>
      <c r="AG110" s="877"/>
      <c r="AH110" s="877"/>
      <c r="AI110" s="877"/>
      <c r="AJ110" s="883"/>
      <c r="AK110" s="884"/>
      <c r="AL110" s="304"/>
      <c r="AM110" s="72"/>
      <c r="AN110" s="72"/>
      <c r="AO110" s="696" cm="1">
        <f t="array" ref="AO110">K110</f>
        <v>2052</v>
      </c>
      <c r="AP110" s="72"/>
      <c r="AQ110" s="72"/>
    </row>
    <row r="111" spans="1:43" s="880" customFormat="1" ht="14.25" hidden="1" customHeight="1" x14ac:dyDescent="0.15">
      <c r="A111" s="72"/>
      <c r="B111" s="341" t="b">
        <f t="shared" si="4"/>
        <v>0</v>
      </c>
      <c r="C111" s="72"/>
      <c r="D111" s="72"/>
      <c r="E111" s="507">
        <v>15</v>
      </c>
      <c r="F111" s="3" t="str" cm="1">
        <f t="array" aca="1" ref="F111" ca="1">OFFSET(E111,-1,1)</f>
        <v>1</v>
      </c>
      <c r="G111" s="72"/>
      <c r="H111" s="72"/>
      <c r="I111" s="72"/>
      <c r="J111" s="72"/>
      <c r="K111" s="72">
        <f>first_year+29</f>
        <v>2053</v>
      </c>
      <c r="L111" s="72"/>
      <c r="M111" s="72"/>
      <c r="N111" s="72"/>
      <c r="O111" s="72"/>
      <c r="P111" s="72"/>
      <c r="Q111" s="72"/>
      <c r="R111" s="72"/>
      <c r="S111" s="72"/>
      <c r="T111" s="353" t="b" cm="1">
        <f t="array" ref="T111">T110</f>
        <v>1</v>
      </c>
      <c r="U111" s="72"/>
      <c r="V111" s="72"/>
      <c r="W111" s="72"/>
      <c r="X111" s="990"/>
      <c r="Y111" s="72"/>
      <c r="Z111" s="967"/>
      <c r="AA111" s="72"/>
      <c r="AB111" s="168" t="str">
        <f t="shared" si="5"/>
        <v>2053 год</v>
      </c>
      <c r="AC111" s="875"/>
      <c r="AD111" s="877"/>
      <c r="AE111" s="878"/>
      <c r="AF111" s="878"/>
      <c r="AG111" s="877"/>
      <c r="AH111" s="877"/>
      <c r="AI111" s="877"/>
      <c r="AJ111" s="883"/>
      <c r="AK111" s="884"/>
      <c r="AL111" s="304"/>
      <c r="AM111" s="72"/>
      <c r="AN111" s="72"/>
      <c r="AO111" s="696" cm="1">
        <f t="array" ref="AO111">K111</f>
        <v>2053</v>
      </c>
      <c r="AP111" s="72"/>
      <c r="AQ111" s="72"/>
    </row>
    <row r="112" spans="1:43" s="880" customFormat="1" ht="14.25" hidden="1" customHeight="1" x14ac:dyDescent="0.15">
      <c r="A112" s="72"/>
      <c r="B112" s="341" t="b">
        <f t="shared" si="4"/>
        <v>0</v>
      </c>
      <c r="C112" s="72"/>
      <c r="D112" s="72"/>
      <c r="E112" s="507">
        <v>15</v>
      </c>
      <c r="F112" s="3" t="str" cm="1">
        <f t="array" aca="1" ref="F112" ca="1">OFFSET(E112,-1,1)</f>
        <v>1</v>
      </c>
      <c r="G112" s="72"/>
      <c r="H112" s="72"/>
      <c r="I112" s="72"/>
      <c r="J112" s="72"/>
      <c r="K112" s="72">
        <f>first_year+30</f>
        <v>2054</v>
      </c>
      <c r="L112" s="72"/>
      <c r="M112" s="72"/>
      <c r="N112" s="72"/>
      <c r="O112" s="72"/>
      <c r="P112" s="72"/>
      <c r="Q112" s="72"/>
      <c r="R112" s="72"/>
      <c r="S112" s="72"/>
      <c r="T112" s="353" t="b" cm="1">
        <f t="array" ref="T112">T111</f>
        <v>1</v>
      </c>
      <c r="U112" s="72"/>
      <c r="V112" s="72"/>
      <c r="W112" s="72"/>
      <c r="X112" s="990"/>
      <c r="Y112" s="72"/>
      <c r="Z112" s="967"/>
      <c r="AA112" s="72"/>
      <c r="AB112" s="168" t="str">
        <f t="shared" si="5"/>
        <v>2054 год</v>
      </c>
      <c r="AC112" s="875"/>
      <c r="AD112" s="877"/>
      <c r="AE112" s="878"/>
      <c r="AF112" s="878"/>
      <c r="AG112" s="877"/>
      <c r="AH112" s="877"/>
      <c r="AI112" s="877"/>
      <c r="AJ112" s="883"/>
      <c r="AK112" s="884"/>
      <c r="AL112" s="304"/>
      <c r="AM112" s="72"/>
      <c r="AN112" s="72"/>
      <c r="AO112" s="696" cm="1">
        <f t="array" ref="AO112">K112</f>
        <v>2054</v>
      </c>
      <c r="AP112" s="72"/>
      <c r="AQ112" s="72"/>
    </row>
    <row r="113" spans="1:43" s="880" customFormat="1" ht="14.25" hidden="1" customHeight="1" x14ac:dyDescent="0.15">
      <c r="A113" s="72"/>
      <c r="B113" s="341" t="b">
        <f t="shared" si="4"/>
        <v>0</v>
      </c>
      <c r="C113" s="72"/>
      <c r="D113" s="72"/>
      <c r="E113" s="507">
        <v>15</v>
      </c>
      <c r="F113" s="3" t="str" cm="1">
        <f t="array" aca="1" ref="F113" ca="1">OFFSET(E113,-1,1)</f>
        <v>1</v>
      </c>
      <c r="G113" s="72"/>
      <c r="H113" s="72"/>
      <c r="I113" s="72"/>
      <c r="J113" s="72"/>
      <c r="K113" s="72">
        <f>first_year+31</f>
        <v>2055</v>
      </c>
      <c r="L113" s="72"/>
      <c r="M113" s="72"/>
      <c r="N113" s="72"/>
      <c r="O113" s="72"/>
      <c r="P113" s="72"/>
      <c r="Q113" s="72"/>
      <c r="R113" s="72"/>
      <c r="S113" s="72"/>
      <c r="T113" s="353" t="b" cm="1">
        <f t="array" ref="T113">T112</f>
        <v>1</v>
      </c>
      <c r="U113" s="72"/>
      <c r="V113" s="72"/>
      <c r="W113" s="72"/>
      <c r="X113" s="990"/>
      <c r="Y113" s="72"/>
      <c r="Z113" s="967"/>
      <c r="AA113" s="72"/>
      <c r="AB113" s="168" t="str">
        <f t="shared" si="5"/>
        <v>2055 год</v>
      </c>
      <c r="AC113" s="875"/>
      <c r="AD113" s="877"/>
      <c r="AE113" s="878"/>
      <c r="AF113" s="878"/>
      <c r="AG113" s="877"/>
      <c r="AH113" s="877"/>
      <c r="AI113" s="877"/>
      <c r="AJ113" s="883"/>
      <c r="AK113" s="884"/>
      <c r="AL113" s="304"/>
      <c r="AM113" s="72"/>
      <c r="AN113" s="72"/>
      <c r="AO113" s="696" cm="1">
        <f t="array" ref="AO113">K113</f>
        <v>2055</v>
      </c>
      <c r="AP113" s="72"/>
      <c r="AQ113" s="72"/>
    </row>
    <row r="114" spans="1:43" s="880" customFormat="1" ht="14.25" hidden="1" customHeight="1" x14ac:dyDescent="0.15">
      <c r="A114" s="72"/>
      <c r="B114" s="341" t="b">
        <f t="shared" ref="B114:B131" si="6">K114&lt;first_year+PERIOD_LENGTH</f>
        <v>0</v>
      </c>
      <c r="C114" s="72"/>
      <c r="D114" s="72"/>
      <c r="E114" s="507">
        <v>15</v>
      </c>
      <c r="F114" s="3" t="str" cm="1">
        <f t="array" aca="1" ref="F114" ca="1">OFFSET(E114,-1,1)</f>
        <v>1</v>
      </c>
      <c r="G114" s="72"/>
      <c r="H114" s="72"/>
      <c r="I114" s="72"/>
      <c r="J114" s="72"/>
      <c r="K114" s="72">
        <f>first_year+32</f>
        <v>2056</v>
      </c>
      <c r="L114" s="72"/>
      <c r="M114" s="72"/>
      <c r="N114" s="72"/>
      <c r="O114" s="72"/>
      <c r="P114" s="72"/>
      <c r="Q114" s="72"/>
      <c r="R114" s="72"/>
      <c r="S114" s="72"/>
      <c r="T114" s="353" t="b" cm="1">
        <f t="array" ref="T114">T113</f>
        <v>1</v>
      </c>
      <c r="U114" s="72"/>
      <c r="V114" s="72"/>
      <c r="W114" s="72"/>
      <c r="X114" s="990"/>
      <c r="Y114" s="72"/>
      <c r="Z114" s="967"/>
      <c r="AA114" s="72"/>
      <c r="AB114" s="168" t="str">
        <f t="shared" ref="AB114:AB131" si="7">K114&amp;" год"</f>
        <v>2056 год</v>
      </c>
      <c r="AC114" s="875"/>
      <c r="AD114" s="877"/>
      <c r="AE114" s="878"/>
      <c r="AF114" s="878"/>
      <c r="AG114" s="877"/>
      <c r="AH114" s="877"/>
      <c r="AI114" s="877"/>
      <c r="AJ114" s="883"/>
      <c r="AK114" s="884"/>
      <c r="AL114" s="304"/>
      <c r="AM114" s="72"/>
      <c r="AN114" s="72"/>
      <c r="AO114" s="696" cm="1">
        <f t="array" ref="AO114">K114</f>
        <v>2056</v>
      </c>
      <c r="AP114" s="72"/>
      <c r="AQ114" s="72"/>
    </row>
    <row r="115" spans="1:43" s="880" customFormat="1" ht="14.25" hidden="1" customHeight="1" x14ac:dyDescent="0.15">
      <c r="A115" s="72"/>
      <c r="B115" s="341" t="b">
        <f t="shared" si="6"/>
        <v>0</v>
      </c>
      <c r="C115" s="72"/>
      <c r="D115" s="72"/>
      <c r="E115" s="507">
        <v>15</v>
      </c>
      <c r="F115" s="3" t="str" cm="1">
        <f t="array" aca="1" ref="F115" ca="1">OFFSET(E115,-1,1)</f>
        <v>1</v>
      </c>
      <c r="G115" s="72"/>
      <c r="H115" s="72"/>
      <c r="I115" s="72"/>
      <c r="J115" s="72"/>
      <c r="K115" s="72">
        <f>first_year+33</f>
        <v>2057</v>
      </c>
      <c r="L115" s="72"/>
      <c r="M115" s="72"/>
      <c r="N115" s="72"/>
      <c r="O115" s="72"/>
      <c r="P115" s="72"/>
      <c r="Q115" s="72"/>
      <c r="R115" s="72"/>
      <c r="S115" s="72"/>
      <c r="T115" s="353" t="b" cm="1">
        <f t="array" ref="T115">T114</f>
        <v>1</v>
      </c>
      <c r="U115" s="72"/>
      <c r="V115" s="72"/>
      <c r="W115" s="72"/>
      <c r="X115" s="990"/>
      <c r="Y115" s="72"/>
      <c r="Z115" s="967"/>
      <c r="AA115" s="72"/>
      <c r="AB115" s="168" t="str">
        <f t="shared" si="7"/>
        <v>2057 год</v>
      </c>
      <c r="AC115" s="875"/>
      <c r="AD115" s="877"/>
      <c r="AE115" s="878"/>
      <c r="AF115" s="878"/>
      <c r="AG115" s="877"/>
      <c r="AH115" s="877"/>
      <c r="AI115" s="877"/>
      <c r="AJ115" s="883"/>
      <c r="AK115" s="884"/>
      <c r="AL115" s="304"/>
      <c r="AM115" s="72"/>
      <c r="AN115" s="72"/>
      <c r="AO115" s="696" cm="1">
        <f t="array" ref="AO115">K115</f>
        <v>2057</v>
      </c>
      <c r="AP115" s="72"/>
      <c r="AQ115" s="72"/>
    </row>
    <row r="116" spans="1:43" s="880" customFormat="1" ht="14.25" hidden="1" customHeight="1" x14ac:dyDescent="0.15">
      <c r="A116" s="72"/>
      <c r="B116" s="341" t="b">
        <f t="shared" si="6"/>
        <v>0</v>
      </c>
      <c r="C116" s="72"/>
      <c r="D116" s="72"/>
      <c r="E116" s="507">
        <v>15</v>
      </c>
      <c r="F116" s="3" t="str" cm="1">
        <f t="array" aca="1" ref="F116" ca="1">OFFSET(E116,-1,1)</f>
        <v>1</v>
      </c>
      <c r="G116" s="72"/>
      <c r="H116" s="72"/>
      <c r="I116" s="72"/>
      <c r="J116" s="72"/>
      <c r="K116" s="72">
        <f>first_year+34</f>
        <v>2058</v>
      </c>
      <c r="L116" s="72"/>
      <c r="M116" s="72"/>
      <c r="N116" s="72"/>
      <c r="O116" s="72"/>
      <c r="P116" s="72"/>
      <c r="Q116" s="72"/>
      <c r="R116" s="72"/>
      <c r="S116" s="72"/>
      <c r="T116" s="353" t="b" cm="1">
        <f t="array" ref="T116">T115</f>
        <v>1</v>
      </c>
      <c r="U116" s="72"/>
      <c r="V116" s="72"/>
      <c r="W116" s="72"/>
      <c r="X116" s="990"/>
      <c r="Y116" s="72"/>
      <c r="Z116" s="967"/>
      <c r="AA116" s="72"/>
      <c r="AB116" s="168" t="str">
        <f t="shared" si="7"/>
        <v>2058 год</v>
      </c>
      <c r="AC116" s="875"/>
      <c r="AD116" s="877"/>
      <c r="AE116" s="878"/>
      <c r="AF116" s="878"/>
      <c r="AG116" s="877"/>
      <c r="AH116" s="877"/>
      <c r="AI116" s="877"/>
      <c r="AJ116" s="883"/>
      <c r="AK116" s="884"/>
      <c r="AL116" s="304"/>
      <c r="AM116" s="72"/>
      <c r="AN116" s="72"/>
      <c r="AO116" s="696" cm="1">
        <f t="array" ref="AO116">K116</f>
        <v>2058</v>
      </c>
      <c r="AP116" s="72"/>
      <c r="AQ116" s="72"/>
    </row>
    <row r="117" spans="1:43" s="880" customFormat="1" ht="14.25" hidden="1" customHeight="1" x14ac:dyDescent="0.15">
      <c r="A117" s="72"/>
      <c r="B117" s="341" t="b">
        <f t="shared" si="6"/>
        <v>0</v>
      </c>
      <c r="C117" s="72"/>
      <c r="D117" s="72"/>
      <c r="E117" s="507">
        <v>15</v>
      </c>
      <c r="F117" s="3" t="str" cm="1">
        <f t="array" aca="1" ref="F117" ca="1">OFFSET(E117,-1,1)</f>
        <v>1</v>
      </c>
      <c r="G117" s="72"/>
      <c r="H117" s="72"/>
      <c r="I117" s="72"/>
      <c r="J117" s="72"/>
      <c r="K117" s="72">
        <f>first_year+35</f>
        <v>2059</v>
      </c>
      <c r="L117" s="72"/>
      <c r="M117" s="72"/>
      <c r="N117" s="72"/>
      <c r="O117" s="72"/>
      <c r="P117" s="72"/>
      <c r="Q117" s="72"/>
      <c r="R117" s="72"/>
      <c r="S117" s="72"/>
      <c r="T117" s="353" t="b" cm="1">
        <f t="array" ref="T117">T116</f>
        <v>1</v>
      </c>
      <c r="U117" s="72"/>
      <c r="V117" s="72"/>
      <c r="W117" s="72"/>
      <c r="X117" s="990"/>
      <c r="Y117" s="72"/>
      <c r="Z117" s="967"/>
      <c r="AA117" s="72"/>
      <c r="AB117" s="168" t="str">
        <f t="shared" si="7"/>
        <v>2059 год</v>
      </c>
      <c r="AC117" s="875"/>
      <c r="AD117" s="877"/>
      <c r="AE117" s="878"/>
      <c r="AF117" s="878"/>
      <c r="AG117" s="877"/>
      <c r="AH117" s="877"/>
      <c r="AI117" s="877"/>
      <c r="AJ117" s="883"/>
      <c r="AK117" s="884"/>
      <c r="AL117" s="304"/>
      <c r="AM117" s="72"/>
      <c r="AN117" s="72"/>
      <c r="AO117" s="696" cm="1">
        <f t="array" ref="AO117">K117</f>
        <v>2059</v>
      </c>
      <c r="AP117" s="72"/>
      <c r="AQ117" s="72"/>
    </row>
    <row r="118" spans="1:43" s="880" customFormat="1" ht="14.25" hidden="1" customHeight="1" x14ac:dyDescent="0.15">
      <c r="A118" s="72"/>
      <c r="B118" s="341" t="b">
        <f t="shared" si="6"/>
        <v>0</v>
      </c>
      <c r="C118" s="72"/>
      <c r="D118" s="72"/>
      <c r="E118" s="507">
        <v>15</v>
      </c>
      <c r="F118" s="3" t="str" cm="1">
        <f t="array" aca="1" ref="F118" ca="1">OFFSET(E118,-1,1)</f>
        <v>1</v>
      </c>
      <c r="G118" s="72"/>
      <c r="H118" s="72"/>
      <c r="I118" s="72"/>
      <c r="J118" s="72"/>
      <c r="K118" s="72">
        <f>first_year+36</f>
        <v>2060</v>
      </c>
      <c r="L118" s="72"/>
      <c r="M118" s="72"/>
      <c r="N118" s="72"/>
      <c r="O118" s="72"/>
      <c r="P118" s="72"/>
      <c r="Q118" s="72"/>
      <c r="R118" s="72"/>
      <c r="S118" s="72"/>
      <c r="T118" s="353" t="b" cm="1">
        <f t="array" ref="T118">T117</f>
        <v>1</v>
      </c>
      <c r="U118" s="72"/>
      <c r="V118" s="72"/>
      <c r="W118" s="72"/>
      <c r="X118" s="990"/>
      <c r="Y118" s="72"/>
      <c r="Z118" s="967"/>
      <c r="AA118" s="72"/>
      <c r="AB118" s="168" t="str">
        <f t="shared" si="7"/>
        <v>2060 год</v>
      </c>
      <c r="AC118" s="875"/>
      <c r="AD118" s="877"/>
      <c r="AE118" s="878"/>
      <c r="AF118" s="878"/>
      <c r="AG118" s="877"/>
      <c r="AH118" s="877"/>
      <c r="AI118" s="877"/>
      <c r="AJ118" s="883"/>
      <c r="AK118" s="884"/>
      <c r="AL118" s="304"/>
      <c r="AM118" s="72"/>
      <c r="AN118" s="72"/>
      <c r="AO118" s="696" cm="1">
        <f t="array" ref="AO118">K118</f>
        <v>2060</v>
      </c>
      <c r="AP118" s="72"/>
      <c r="AQ118" s="72"/>
    </row>
    <row r="119" spans="1:43" s="880" customFormat="1" ht="14.25" hidden="1" customHeight="1" x14ac:dyDescent="0.15">
      <c r="A119" s="72"/>
      <c r="B119" s="341" t="b">
        <f t="shared" si="6"/>
        <v>0</v>
      </c>
      <c r="C119" s="72"/>
      <c r="D119" s="72"/>
      <c r="E119" s="507">
        <v>15</v>
      </c>
      <c r="F119" s="3" t="str" cm="1">
        <f t="array" aca="1" ref="F119" ca="1">OFFSET(E119,-1,1)</f>
        <v>1</v>
      </c>
      <c r="G119" s="72"/>
      <c r="H119" s="72"/>
      <c r="I119" s="72"/>
      <c r="J119" s="72"/>
      <c r="K119" s="72">
        <f>first_year+37</f>
        <v>2061</v>
      </c>
      <c r="L119" s="72"/>
      <c r="M119" s="72"/>
      <c r="N119" s="72"/>
      <c r="O119" s="72"/>
      <c r="P119" s="72"/>
      <c r="Q119" s="72"/>
      <c r="R119" s="72"/>
      <c r="S119" s="72"/>
      <c r="T119" s="353" t="b" cm="1">
        <f t="array" ref="T119">T118</f>
        <v>1</v>
      </c>
      <c r="U119" s="72"/>
      <c r="V119" s="72"/>
      <c r="W119" s="72"/>
      <c r="X119" s="990"/>
      <c r="Y119" s="72"/>
      <c r="Z119" s="967"/>
      <c r="AA119" s="72"/>
      <c r="AB119" s="168" t="str">
        <f t="shared" si="7"/>
        <v>2061 год</v>
      </c>
      <c r="AC119" s="875"/>
      <c r="AD119" s="877"/>
      <c r="AE119" s="878"/>
      <c r="AF119" s="878"/>
      <c r="AG119" s="877"/>
      <c r="AH119" s="877"/>
      <c r="AI119" s="877"/>
      <c r="AJ119" s="883"/>
      <c r="AK119" s="884"/>
      <c r="AL119" s="304"/>
      <c r="AM119" s="72"/>
      <c r="AN119" s="72"/>
      <c r="AO119" s="696" cm="1">
        <f t="array" ref="AO119">K119</f>
        <v>2061</v>
      </c>
      <c r="AP119" s="72"/>
      <c r="AQ119" s="72"/>
    </row>
    <row r="120" spans="1:43" s="880" customFormat="1" ht="14.25" hidden="1" customHeight="1" x14ac:dyDescent="0.15">
      <c r="A120" s="72"/>
      <c r="B120" s="341" t="b">
        <f t="shared" si="6"/>
        <v>0</v>
      </c>
      <c r="C120" s="72"/>
      <c r="D120" s="72"/>
      <c r="E120" s="507">
        <v>15</v>
      </c>
      <c r="F120" s="3" t="str" cm="1">
        <f t="array" aca="1" ref="F120" ca="1">OFFSET(E120,-1,1)</f>
        <v>1</v>
      </c>
      <c r="G120" s="72"/>
      <c r="H120" s="72"/>
      <c r="I120" s="72"/>
      <c r="J120" s="72"/>
      <c r="K120" s="72">
        <f>first_year+38</f>
        <v>2062</v>
      </c>
      <c r="L120" s="72"/>
      <c r="M120" s="72"/>
      <c r="N120" s="72"/>
      <c r="O120" s="72"/>
      <c r="P120" s="72"/>
      <c r="Q120" s="72"/>
      <c r="R120" s="72"/>
      <c r="S120" s="72"/>
      <c r="T120" s="353" t="b" cm="1">
        <f t="array" ref="T120">T119</f>
        <v>1</v>
      </c>
      <c r="U120" s="72"/>
      <c r="V120" s="72"/>
      <c r="W120" s="72"/>
      <c r="X120" s="990"/>
      <c r="Y120" s="72"/>
      <c r="Z120" s="967"/>
      <c r="AA120" s="72"/>
      <c r="AB120" s="168" t="str">
        <f t="shared" si="7"/>
        <v>2062 год</v>
      </c>
      <c r="AC120" s="875"/>
      <c r="AD120" s="877"/>
      <c r="AE120" s="878"/>
      <c r="AF120" s="878"/>
      <c r="AG120" s="877"/>
      <c r="AH120" s="877"/>
      <c r="AI120" s="877"/>
      <c r="AJ120" s="883"/>
      <c r="AK120" s="884"/>
      <c r="AL120" s="304"/>
      <c r="AM120" s="72"/>
      <c r="AN120" s="72"/>
      <c r="AO120" s="696" cm="1">
        <f t="array" ref="AO120">K120</f>
        <v>2062</v>
      </c>
      <c r="AP120" s="72"/>
      <c r="AQ120" s="72"/>
    </row>
    <row r="121" spans="1:43" s="880" customFormat="1" ht="14.25" hidden="1" customHeight="1" x14ac:dyDescent="0.15">
      <c r="A121" s="72"/>
      <c r="B121" s="341" t="b">
        <f t="shared" si="6"/>
        <v>0</v>
      </c>
      <c r="C121" s="72"/>
      <c r="D121" s="72"/>
      <c r="E121" s="507">
        <v>15</v>
      </c>
      <c r="F121" s="3" t="str" cm="1">
        <f t="array" aca="1" ref="F121" ca="1">OFFSET(E121,-1,1)</f>
        <v>1</v>
      </c>
      <c r="G121" s="72"/>
      <c r="H121" s="72"/>
      <c r="I121" s="72"/>
      <c r="J121" s="72"/>
      <c r="K121" s="72">
        <f>first_year+39</f>
        <v>2063</v>
      </c>
      <c r="L121" s="72"/>
      <c r="M121" s="72"/>
      <c r="N121" s="72"/>
      <c r="O121" s="72"/>
      <c r="P121" s="72"/>
      <c r="Q121" s="72"/>
      <c r="R121" s="72"/>
      <c r="S121" s="72"/>
      <c r="T121" s="353" t="b" cm="1">
        <f t="array" ref="T121">T120</f>
        <v>1</v>
      </c>
      <c r="U121" s="72"/>
      <c r="V121" s="72"/>
      <c r="W121" s="72"/>
      <c r="X121" s="990"/>
      <c r="Y121" s="72"/>
      <c r="Z121" s="967"/>
      <c r="AA121" s="72"/>
      <c r="AB121" s="168" t="str">
        <f t="shared" si="7"/>
        <v>2063 год</v>
      </c>
      <c r="AC121" s="875"/>
      <c r="AD121" s="877"/>
      <c r="AE121" s="878"/>
      <c r="AF121" s="878"/>
      <c r="AG121" s="877"/>
      <c r="AH121" s="877"/>
      <c r="AI121" s="877"/>
      <c r="AJ121" s="883"/>
      <c r="AK121" s="884"/>
      <c r="AL121" s="304"/>
      <c r="AM121" s="72"/>
      <c r="AN121" s="72"/>
      <c r="AO121" s="696" cm="1">
        <f t="array" ref="AO121">K121</f>
        <v>2063</v>
      </c>
      <c r="AP121" s="72"/>
      <c r="AQ121" s="72"/>
    </row>
    <row r="122" spans="1:43" s="880" customFormat="1" ht="14.25" hidden="1" customHeight="1" x14ac:dyDescent="0.15">
      <c r="A122" s="72"/>
      <c r="B122" s="341" t="b">
        <f t="shared" si="6"/>
        <v>0</v>
      </c>
      <c r="C122" s="72"/>
      <c r="D122" s="72"/>
      <c r="E122" s="507">
        <v>15</v>
      </c>
      <c r="F122" s="3" t="str" cm="1">
        <f t="array" aca="1" ref="F122" ca="1">OFFSET(E122,-1,1)</f>
        <v>1</v>
      </c>
      <c r="G122" s="72"/>
      <c r="H122" s="72"/>
      <c r="I122" s="72"/>
      <c r="J122" s="72"/>
      <c r="K122" s="72">
        <f>first_year+40</f>
        <v>2064</v>
      </c>
      <c r="L122" s="72"/>
      <c r="M122" s="72"/>
      <c r="N122" s="72"/>
      <c r="O122" s="72"/>
      <c r="P122" s="72"/>
      <c r="Q122" s="72"/>
      <c r="R122" s="72"/>
      <c r="S122" s="72"/>
      <c r="T122" s="353" t="b" cm="1">
        <f t="array" ref="T122">T121</f>
        <v>1</v>
      </c>
      <c r="U122" s="72"/>
      <c r="V122" s="72"/>
      <c r="W122" s="72"/>
      <c r="X122" s="990"/>
      <c r="Y122" s="72"/>
      <c r="Z122" s="967"/>
      <c r="AA122" s="72"/>
      <c r="AB122" s="168" t="str">
        <f t="shared" si="7"/>
        <v>2064 год</v>
      </c>
      <c r="AC122" s="875"/>
      <c r="AD122" s="877"/>
      <c r="AE122" s="878"/>
      <c r="AF122" s="878"/>
      <c r="AG122" s="877"/>
      <c r="AH122" s="877"/>
      <c r="AI122" s="877"/>
      <c r="AJ122" s="883"/>
      <c r="AK122" s="884"/>
      <c r="AL122" s="304"/>
      <c r="AM122" s="72"/>
      <c r="AN122" s="72"/>
      <c r="AO122" s="696" cm="1">
        <f t="array" ref="AO122">K122</f>
        <v>2064</v>
      </c>
      <c r="AP122" s="72"/>
      <c r="AQ122" s="72"/>
    </row>
    <row r="123" spans="1:43" s="880" customFormat="1" ht="14.25" hidden="1" customHeight="1" x14ac:dyDescent="0.15">
      <c r="A123" s="72"/>
      <c r="B123" s="341" t="b">
        <f t="shared" si="6"/>
        <v>0</v>
      </c>
      <c r="C123" s="72"/>
      <c r="D123" s="72"/>
      <c r="E123" s="507">
        <v>15</v>
      </c>
      <c r="F123" s="3" t="str" cm="1">
        <f t="array" aca="1" ref="F123" ca="1">OFFSET(E123,-1,1)</f>
        <v>1</v>
      </c>
      <c r="G123" s="72"/>
      <c r="H123" s="72"/>
      <c r="I123" s="72"/>
      <c r="J123" s="72"/>
      <c r="K123" s="72">
        <f>first_year+41</f>
        <v>2065</v>
      </c>
      <c r="L123" s="72"/>
      <c r="M123" s="72"/>
      <c r="N123" s="72"/>
      <c r="O123" s="72"/>
      <c r="P123" s="72"/>
      <c r="Q123" s="72"/>
      <c r="R123" s="72"/>
      <c r="S123" s="72"/>
      <c r="T123" s="353" t="b" cm="1">
        <f t="array" ref="T123">T122</f>
        <v>1</v>
      </c>
      <c r="U123" s="72"/>
      <c r="V123" s="72"/>
      <c r="W123" s="72"/>
      <c r="X123" s="990"/>
      <c r="Y123" s="72"/>
      <c r="Z123" s="967"/>
      <c r="AA123" s="72"/>
      <c r="AB123" s="168" t="str">
        <f t="shared" si="7"/>
        <v>2065 год</v>
      </c>
      <c r="AC123" s="875"/>
      <c r="AD123" s="877"/>
      <c r="AE123" s="878"/>
      <c r="AF123" s="878"/>
      <c r="AG123" s="877"/>
      <c r="AH123" s="877"/>
      <c r="AI123" s="877"/>
      <c r="AJ123" s="883"/>
      <c r="AK123" s="884"/>
      <c r="AL123" s="304"/>
      <c r="AM123" s="72"/>
      <c r="AN123" s="72"/>
      <c r="AO123" s="696" cm="1">
        <f t="array" ref="AO123">K123</f>
        <v>2065</v>
      </c>
      <c r="AP123" s="72"/>
      <c r="AQ123" s="72"/>
    </row>
    <row r="124" spans="1:43" s="880" customFormat="1" ht="14.25" hidden="1" customHeight="1" x14ac:dyDescent="0.15">
      <c r="A124" s="72"/>
      <c r="B124" s="341" t="b">
        <f t="shared" si="6"/>
        <v>0</v>
      </c>
      <c r="C124" s="72"/>
      <c r="D124" s="72"/>
      <c r="E124" s="507">
        <v>15</v>
      </c>
      <c r="F124" s="3" t="str" cm="1">
        <f t="array" aca="1" ref="F124" ca="1">OFFSET(E124,-1,1)</f>
        <v>1</v>
      </c>
      <c r="G124" s="72"/>
      <c r="H124" s="72"/>
      <c r="I124" s="72"/>
      <c r="J124" s="72"/>
      <c r="K124" s="72">
        <f>first_year+42</f>
        <v>2066</v>
      </c>
      <c r="L124" s="72"/>
      <c r="M124" s="72"/>
      <c r="N124" s="72"/>
      <c r="O124" s="72"/>
      <c r="P124" s="72"/>
      <c r="Q124" s="72"/>
      <c r="R124" s="72"/>
      <c r="S124" s="72"/>
      <c r="T124" s="353" t="b" cm="1">
        <f t="array" ref="T124">T123</f>
        <v>1</v>
      </c>
      <c r="U124" s="72"/>
      <c r="V124" s="72"/>
      <c r="W124" s="72"/>
      <c r="X124" s="990"/>
      <c r="Y124" s="72"/>
      <c r="Z124" s="967"/>
      <c r="AA124" s="72"/>
      <c r="AB124" s="168" t="str">
        <f t="shared" si="7"/>
        <v>2066 год</v>
      </c>
      <c r="AC124" s="875"/>
      <c r="AD124" s="877"/>
      <c r="AE124" s="878"/>
      <c r="AF124" s="878"/>
      <c r="AG124" s="877"/>
      <c r="AH124" s="877"/>
      <c r="AI124" s="877"/>
      <c r="AJ124" s="883"/>
      <c r="AK124" s="884"/>
      <c r="AL124" s="304"/>
      <c r="AM124" s="72"/>
      <c r="AN124" s="72"/>
      <c r="AO124" s="696" cm="1">
        <f t="array" ref="AO124">K124</f>
        <v>2066</v>
      </c>
      <c r="AP124" s="72"/>
      <c r="AQ124" s="72"/>
    </row>
    <row r="125" spans="1:43" s="880" customFormat="1" ht="14.25" hidden="1" customHeight="1" x14ac:dyDescent="0.15">
      <c r="A125" s="72"/>
      <c r="B125" s="341" t="b">
        <f t="shared" si="6"/>
        <v>0</v>
      </c>
      <c r="C125" s="72"/>
      <c r="D125" s="72"/>
      <c r="E125" s="507">
        <v>15</v>
      </c>
      <c r="F125" s="3" t="str" cm="1">
        <f t="array" aca="1" ref="F125" ca="1">OFFSET(E125,-1,1)</f>
        <v>1</v>
      </c>
      <c r="G125" s="72"/>
      <c r="H125" s="72"/>
      <c r="I125" s="72"/>
      <c r="J125" s="72"/>
      <c r="K125" s="72">
        <f>first_year+43</f>
        <v>2067</v>
      </c>
      <c r="L125" s="72"/>
      <c r="M125" s="72"/>
      <c r="N125" s="72"/>
      <c r="O125" s="72"/>
      <c r="P125" s="72"/>
      <c r="Q125" s="72"/>
      <c r="R125" s="72"/>
      <c r="S125" s="72"/>
      <c r="T125" s="353" t="b" cm="1">
        <f t="array" ref="T125">T124</f>
        <v>1</v>
      </c>
      <c r="U125" s="72"/>
      <c r="V125" s="72"/>
      <c r="W125" s="72"/>
      <c r="X125" s="990"/>
      <c r="Y125" s="72"/>
      <c r="Z125" s="967"/>
      <c r="AA125" s="72"/>
      <c r="AB125" s="168" t="str">
        <f t="shared" si="7"/>
        <v>2067 год</v>
      </c>
      <c r="AC125" s="875"/>
      <c r="AD125" s="877"/>
      <c r="AE125" s="878"/>
      <c r="AF125" s="878"/>
      <c r="AG125" s="877"/>
      <c r="AH125" s="877"/>
      <c r="AI125" s="877"/>
      <c r="AJ125" s="883"/>
      <c r="AK125" s="884"/>
      <c r="AL125" s="304"/>
      <c r="AM125" s="72"/>
      <c r="AN125" s="72"/>
      <c r="AO125" s="696" cm="1">
        <f t="array" ref="AO125">K125</f>
        <v>2067</v>
      </c>
      <c r="AP125" s="72"/>
      <c r="AQ125" s="72"/>
    </row>
    <row r="126" spans="1:43" s="880" customFormat="1" ht="14.25" hidden="1" customHeight="1" x14ac:dyDescent="0.15">
      <c r="A126" s="72"/>
      <c r="B126" s="341" t="b">
        <f t="shared" si="6"/>
        <v>0</v>
      </c>
      <c r="C126" s="72"/>
      <c r="D126" s="72"/>
      <c r="E126" s="507">
        <v>15</v>
      </c>
      <c r="F126" s="3" t="str" cm="1">
        <f t="array" aca="1" ref="F126" ca="1">OFFSET(E126,-1,1)</f>
        <v>1</v>
      </c>
      <c r="G126" s="72"/>
      <c r="H126" s="72"/>
      <c r="I126" s="72"/>
      <c r="J126" s="72"/>
      <c r="K126" s="72">
        <f>first_year+44</f>
        <v>2068</v>
      </c>
      <c r="L126" s="72"/>
      <c r="M126" s="72"/>
      <c r="N126" s="72"/>
      <c r="O126" s="72"/>
      <c r="P126" s="72"/>
      <c r="Q126" s="72"/>
      <c r="R126" s="72"/>
      <c r="S126" s="72"/>
      <c r="T126" s="353" t="b" cm="1">
        <f t="array" ref="T126">T125</f>
        <v>1</v>
      </c>
      <c r="U126" s="72"/>
      <c r="V126" s="72"/>
      <c r="W126" s="72"/>
      <c r="X126" s="990"/>
      <c r="Y126" s="72"/>
      <c r="Z126" s="967"/>
      <c r="AA126" s="72"/>
      <c r="AB126" s="168" t="str">
        <f t="shared" si="7"/>
        <v>2068 год</v>
      </c>
      <c r="AC126" s="875"/>
      <c r="AD126" s="877"/>
      <c r="AE126" s="878"/>
      <c r="AF126" s="878"/>
      <c r="AG126" s="877"/>
      <c r="AH126" s="877"/>
      <c r="AI126" s="877"/>
      <c r="AJ126" s="883"/>
      <c r="AK126" s="884"/>
      <c r="AL126" s="304"/>
      <c r="AM126" s="72"/>
      <c r="AN126" s="72"/>
      <c r="AO126" s="696" cm="1">
        <f t="array" ref="AO126">K126</f>
        <v>2068</v>
      </c>
      <c r="AP126" s="72"/>
      <c r="AQ126" s="72"/>
    </row>
    <row r="127" spans="1:43" s="880" customFormat="1" ht="14.25" hidden="1" customHeight="1" x14ac:dyDescent="0.15">
      <c r="A127" s="72"/>
      <c r="B127" s="341" t="b">
        <f t="shared" si="6"/>
        <v>0</v>
      </c>
      <c r="C127" s="72"/>
      <c r="D127" s="72"/>
      <c r="E127" s="507">
        <v>15</v>
      </c>
      <c r="F127" s="3" t="str" cm="1">
        <f t="array" aca="1" ref="F127" ca="1">OFFSET(E127,-1,1)</f>
        <v>1</v>
      </c>
      <c r="G127" s="72"/>
      <c r="H127" s="72"/>
      <c r="I127" s="72"/>
      <c r="J127" s="72"/>
      <c r="K127" s="72">
        <f>first_year+45</f>
        <v>2069</v>
      </c>
      <c r="L127" s="72"/>
      <c r="M127" s="72"/>
      <c r="N127" s="72"/>
      <c r="O127" s="72"/>
      <c r="P127" s="72"/>
      <c r="Q127" s="72"/>
      <c r="R127" s="72"/>
      <c r="S127" s="72"/>
      <c r="T127" s="353" t="b" cm="1">
        <f t="array" ref="T127">T126</f>
        <v>1</v>
      </c>
      <c r="U127" s="72"/>
      <c r="V127" s="72"/>
      <c r="W127" s="72"/>
      <c r="X127" s="990"/>
      <c r="Y127" s="72"/>
      <c r="Z127" s="967"/>
      <c r="AA127" s="72"/>
      <c r="AB127" s="168" t="str">
        <f t="shared" si="7"/>
        <v>2069 год</v>
      </c>
      <c r="AC127" s="875"/>
      <c r="AD127" s="877"/>
      <c r="AE127" s="878"/>
      <c r="AF127" s="878"/>
      <c r="AG127" s="877"/>
      <c r="AH127" s="877"/>
      <c r="AI127" s="877"/>
      <c r="AJ127" s="883"/>
      <c r="AK127" s="884"/>
      <c r="AL127" s="304"/>
      <c r="AM127" s="72"/>
      <c r="AN127" s="72"/>
      <c r="AO127" s="696" cm="1">
        <f t="array" ref="AO127">K127</f>
        <v>2069</v>
      </c>
      <c r="AP127" s="72"/>
      <c r="AQ127" s="72"/>
    </row>
    <row r="128" spans="1:43" s="880" customFormat="1" ht="14.25" hidden="1" customHeight="1" x14ac:dyDescent="0.15">
      <c r="A128" s="72"/>
      <c r="B128" s="341" t="b">
        <f t="shared" si="6"/>
        <v>0</v>
      </c>
      <c r="C128" s="72"/>
      <c r="D128" s="72"/>
      <c r="E128" s="507">
        <v>15</v>
      </c>
      <c r="F128" s="3" t="str" cm="1">
        <f t="array" aca="1" ref="F128" ca="1">OFFSET(E128,-1,1)</f>
        <v>1</v>
      </c>
      <c r="G128" s="72"/>
      <c r="H128" s="72"/>
      <c r="I128" s="72"/>
      <c r="J128" s="72"/>
      <c r="K128" s="72">
        <f>first_year+46</f>
        <v>2070</v>
      </c>
      <c r="L128" s="72"/>
      <c r="M128" s="72"/>
      <c r="N128" s="72"/>
      <c r="O128" s="72"/>
      <c r="P128" s="72"/>
      <c r="Q128" s="72"/>
      <c r="R128" s="72"/>
      <c r="S128" s="72"/>
      <c r="T128" s="353" t="b" cm="1">
        <f t="array" ref="T128">T127</f>
        <v>1</v>
      </c>
      <c r="U128" s="72"/>
      <c r="V128" s="72"/>
      <c r="W128" s="72"/>
      <c r="X128" s="990"/>
      <c r="Y128" s="72"/>
      <c r="Z128" s="967"/>
      <c r="AA128" s="72"/>
      <c r="AB128" s="168" t="str">
        <f t="shared" si="7"/>
        <v>2070 год</v>
      </c>
      <c r="AC128" s="875"/>
      <c r="AD128" s="877"/>
      <c r="AE128" s="878"/>
      <c r="AF128" s="878"/>
      <c r="AG128" s="877"/>
      <c r="AH128" s="877"/>
      <c r="AI128" s="877"/>
      <c r="AJ128" s="883"/>
      <c r="AK128" s="884"/>
      <c r="AL128" s="304"/>
      <c r="AM128" s="72"/>
      <c r="AN128" s="72"/>
      <c r="AO128" s="696" cm="1">
        <f t="array" ref="AO128">K128</f>
        <v>2070</v>
      </c>
      <c r="AP128" s="72"/>
      <c r="AQ128" s="72"/>
    </row>
    <row r="129" spans="1:43" s="880" customFormat="1" ht="14.25" hidden="1" customHeight="1" x14ac:dyDescent="0.15">
      <c r="A129" s="72"/>
      <c r="B129" s="341" t="b">
        <f t="shared" si="6"/>
        <v>0</v>
      </c>
      <c r="C129" s="72"/>
      <c r="D129" s="72"/>
      <c r="E129" s="507">
        <v>15</v>
      </c>
      <c r="F129" s="3" t="str" cm="1">
        <f t="array" aca="1" ref="F129" ca="1">OFFSET(E129,-1,1)</f>
        <v>1</v>
      </c>
      <c r="G129" s="72"/>
      <c r="H129" s="72"/>
      <c r="I129" s="72"/>
      <c r="J129" s="72"/>
      <c r="K129" s="72">
        <f>first_year+47</f>
        <v>2071</v>
      </c>
      <c r="L129" s="72"/>
      <c r="M129" s="72"/>
      <c r="N129" s="72"/>
      <c r="O129" s="72"/>
      <c r="P129" s="72"/>
      <c r="Q129" s="72"/>
      <c r="R129" s="72"/>
      <c r="S129" s="72"/>
      <c r="T129" s="353" t="b" cm="1">
        <f t="array" ref="T129">T128</f>
        <v>1</v>
      </c>
      <c r="U129" s="72"/>
      <c r="V129" s="72"/>
      <c r="W129" s="72"/>
      <c r="X129" s="990"/>
      <c r="Y129" s="72"/>
      <c r="Z129" s="967"/>
      <c r="AA129" s="72"/>
      <c r="AB129" s="168" t="str">
        <f t="shared" si="7"/>
        <v>2071 год</v>
      </c>
      <c r="AC129" s="875"/>
      <c r="AD129" s="877"/>
      <c r="AE129" s="878"/>
      <c r="AF129" s="878"/>
      <c r="AG129" s="877"/>
      <c r="AH129" s="877"/>
      <c r="AI129" s="877"/>
      <c r="AJ129" s="883"/>
      <c r="AK129" s="884"/>
      <c r="AL129" s="304"/>
      <c r="AM129" s="72"/>
      <c r="AN129" s="72"/>
      <c r="AO129" s="696" cm="1">
        <f t="array" ref="AO129">K129</f>
        <v>2071</v>
      </c>
      <c r="AP129" s="72"/>
      <c r="AQ129" s="72"/>
    </row>
    <row r="130" spans="1:43" s="880" customFormat="1" ht="14.25" hidden="1" customHeight="1" x14ac:dyDescent="0.15">
      <c r="A130" s="72"/>
      <c r="B130" s="341" t="b">
        <f t="shared" si="6"/>
        <v>0</v>
      </c>
      <c r="C130" s="72"/>
      <c r="D130" s="72"/>
      <c r="E130" s="507">
        <v>15</v>
      </c>
      <c r="F130" s="3" t="str" cm="1">
        <f t="array" aca="1" ref="F130" ca="1">OFFSET(E130,-1,1)</f>
        <v>1</v>
      </c>
      <c r="G130" s="72"/>
      <c r="H130" s="72"/>
      <c r="I130" s="72"/>
      <c r="J130" s="72"/>
      <c r="K130" s="72">
        <f>first_year+48</f>
        <v>2072</v>
      </c>
      <c r="L130" s="72"/>
      <c r="M130" s="72"/>
      <c r="N130" s="72"/>
      <c r="O130" s="72"/>
      <c r="P130" s="72"/>
      <c r="Q130" s="72"/>
      <c r="R130" s="72"/>
      <c r="S130" s="72"/>
      <c r="T130" s="353" t="b" cm="1">
        <f t="array" ref="T130">T129</f>
        <v>1</v>
      </c>
      <c r="U130" s="72"/>
      <c r="V130" s="72"/>
      <c r="W130" s="72"/>
      <c r="X130" s="990"/>
      <c r="Y130" s="72"/>
      <c r="Z130" s="967"/>
      <c r="AA130" s="72"/>
      <c r="AB130" s="168" t="str">
        <f t="shared" si="7"/>
        <v>2072 год</v>
      </c>
      <c r="AC130" s="875"/>
      <c r="AD130" s="877"/>
      <c r="AE130" s="878"/>
      <c r="AF130" s="878"/>
      <c r="AG130" s="877"/>
      <c r="AH130" s="877"/>
      <c r="AI130" s="877"/>
      <c r="AJ130" s="883"/>
      <c r="AK130" s="884"/>
      <c r="AL130" s="304"/>
      <c r="AM130" s="72"/>
      <c r="AN130" s="72"/>
      <c r="AO130" s="696" cm="1">
        <f t="array" ref="AO130">K130</f>
        <v>2072</v>
      </c>
      <c r="AP130" s="72"/>
      <c r="AQ130" s="72"/>
    </row>
    <row r="131" spans="1:43" s="880" customFormat="1" ht="14.25" hidden="1" customHeight="1" x14ac:dyDescent="0.15">
      <c r="A131" s="72"/>
      <c r="B131" s="341" t="b">
        <f t="shared" si="6"/>
        <v>0</v>
      </c>
      <c r="C131" s="72"/>
      <c r="D131" s="72"/>
      <c r="E131" s="507">
        <v>15</v>
      </c>
      <c r="F131" s="3" t="str" cm="1">
        <f t="array" aca="1" ref="F131" ca="1">OFFSET(E131,-1,1)</f>
        <v>1</v>
      </c>
      <c r="G131" s="72"/>
      <c r="H131" s="72"/>
      <c r="I131" s="72"/>
      <c r="J131" s="72"/>
      <c r="K131" s="72">
        <f>first_year+49</f>
        <v>2073</v>
      </c>
      <c r="L131" s="72"/>
      <c r="M131" s="72"/>
      <c r="N131" s="72"/>
      <c r="O131" s="72"/>
      <c r="P131" s="72"/>
      <c r="Q131" s="72"/>
      <c r="R131" s="72"/>
      <c r="S131" s="72"/>
      <c r="T131" s="353" t="b" cm="1">
        <f t="array" ref="T131">T130</f>
        <v>1</v>
      </c>
      <c r="U131" s="72"/>
      <c r="V131" s="72"/>
      <c r="W131" s="72"/>
      <c r="X131" s="990"/>
      <c r="Y131" s="72"/>
      <c r="Z131" s="967"/>
      <c r="AA131" s="72"/>
      <c r="AB131" s="168" t="str">
        <f t="shared" si="7"/>
        <v>2073 год</v>
      </c>
      <c r="AC131" s="875"/>
      <c r="AD131" s="877"/>
      <c r="AE131" s="878"/>
      <c r="AF131" s="878"/>
      <c r="AG131" s="877"/>
      <c r="AH131" s="877"/>
      <c r="AI131" s="877"/>
      <c r="AJ131" s="883"/>
      <c r="AK131" s="884"/>
      <c r="AL131" s="304"/>
      <c r="AM131" s="72"/>
      <c r="AN131" s="72"/>
      <c r="AO131" s="696" cm="1">
        <f t="array" ref="AO131">K131</f>
        <v>2073</v>
      </c>
      <c r="AP131" s="72"/>
      <c r="AQ131" s="72"/>
    </row>
    <row r="132" spans="1:43" s="396" customFormat="1" ht="18.95" customHeight="1" x14ac:dyDescent="0.15">
      <c r="A132" s="38"/>
      <c r="B132" s="43"/>
      <c r="C132" s="38"/>
      <c r="D132" s="38"/>
      <c r="E132" s="448">
        <v>15</v>
      </c>
      <c r="F132" s="17" t="str" cm="1">
        <f t="array" ref="F132">X132</f>
        <v>2</v>
      </c>
      <c r="G132" s="38"/>
      <c r="H132" s="38"/>
      <c r="I132" s="38"/>
      <c r="J132" s="38"/>
      <c r="K132" s="38"/>
      <c r="L132" s="38"/>
      <c r="M132" s="38"/>
      <c r="N132" s="38"/>
      <c r="O132" s="38"/>
      <c r="P132" s="38"/>
      <c r="Q132" s="38"/>
      <c r="R132" s="38"/>
      <c r="S132" s="38"/>
      <c r="T132" s="353" t="b">
        <f>X132&gt;0</f>
        <v>1</v>
      </c>
      <c r="U132" s="38"/>
      <c r="V132" s="38" t="str" cm="1">
        <f t="array" ref="V132">'Калькуляция (МИ корр)'!$AB$315</f>
        <v>Тариф 2 (Водоотведение) - тариф на водоотведение</v>
      </c>
      <c r="W132" s="38"/>
      <c r="X132" s="990" t="s">
        <v>285</v>
      </c>
      <c r="Y132" s="38"/>
      <c r="Z132" s="967"/>
      <c r="AA132" s="38"/>
      <c r="AB132" s="280" t="str" cm="1">
        <f t="array" ref="AB132">'Калькуляция (МИ корр)'!$AB$315</f>
        <v>Тариф 2 (Водоотведение) - тариф на водоотведение</v>
      </c>
      <c r="AC132" s="562"/>
      <c r="AD132" s="562"/>
      <c r="AE132" s="562"/>
      <c r="AF132" s="562"/>
      <c r="AG132" s="562"/>
      <c r="AH132" s="562"/>
      <c r="AI132" s="562"/>
      <c r="AJ132" s="562"/>
      <c r="AK132" s="562"/>
      <c r="AL132" s="303"/>
      <c r="AM132" s="38"/>
      <c r="AN132" s="38"/>
      <c r="AO132" s="656"/>
      <c r="AP132" s="38"/>
      <c r="AQ132" s="38"/>
    </row>
    <row r="133" spans="1:43" s="880" customFormat="1" ht="16.149999999999999" customHeight="1" x14ac:dyDescent="0.15">
      <c r="A133" s="72"/>
      <c r="B133" s="341" t="b">
        <f t="shared" ref="B133:B164" si="8">K133&lt;first_year+PERIOD_LENGTH</f>
        <v>1</v>
      </c>
      <c r="C133" s="72"/>
      <c r="D133" s="72"/>
      <c r="E133" s="507">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3" t="b" cm="1">
        <f t="array" ref="T133">T132</f>
        <v>1</v>
      </c>
      <c r="U133" s="72"/>
      <c r="V133" s="72"/>
      <c r="W133" s="72"/>
      <c r="X133" s="990"/>
      <c r="Y133" s="72"/>
      <c r="Z133" s="967"/>
      <c r="AA133" s="72"/>
      <c r="AB133" s="563" t="str">
        <f t="shared" ref="AB133:AB164" si="9">K133&amp;" год"</f>
        <v>2024 год</v>
      </c>
      <c r="AC133" s="610">
        <v>9550.3568403615991</v>
      </c>
      <c r="AD133" s="565">
        <f ca="1">IFERROR(SUMIFS(INDEX(Сценарии!$AE$25:$BF$136,,MATCH($K133&amp;"Принято органом регулирования",Сценарии!$AE$8:$BF$8,0)),Сценарии!$F$25:$F$136,$F133,Сценарии!$AC$25:$AC$136,"Индекс эффективности операционных расходов"),0)</f>
        <v>0</v>
      </c>
      <c r="AE133" s="564"/>
      <c r="AF133" s="564">
        <f ca="1">IFERROR(SUMIFS(INDEX(Баланс!$AE$25:$BB$391,,MATCH($K133&amp;"Принято органом регулирования",Баланс!$AE$8:$BB$8,0)),Баланс!$F$25:$F$391,$F133,Баланс!$AC$24:$AC$391,"Уровень потерь воды"),0)</f>
        <v>0</v>
      </c>
      <c r="AG133" s="565">
        <v>0.7899839381</v>
      </c>
      <c r="AH133" s="881"/>
      <c r="AI133" s="881"/>
      <c r="AJ133" s="565">
        <f ca="1">IFERROR(SUMIFS(INDEX(Electricity_LOAD_1,,MATCH($K133&amp;"Принято органом регулирования",ЭЭ!$AE$8:$BB$8,0)),ЭЭ!$F$25:$F$116,$F133,ЭЭ!$AC$25:$AC$116,"Удельный расход электроэнергии"),0)</f>
        <v>0.78998393807066603</v>
      </c>
      <c r="AK133" s="565">
        <f ca="1">IFERROR(SUMIFS(INDEX(Electricity_LOAD_1,,MATCH($K133&amp;"Принято органом регулирования",ЭЭ!$AE$8:$BB$8,0)),ЭЭ!$F$25:$F$116,$F133,ЭЭ!$AC$25:$AC$116,"Удельный расход электроэнергии"),0)</f>
        <v>0.78998393807066603</v>
      </c>
      <c r="AL133" s="304"/>
      <c r="AM133" s="72" t="s">
        <v>2355</v>
      </c>
      <c r="AN133" s="72"/>
      <c r="AO133" s="696" cm="1">
        <f t="array" ref="AO133">K133</f>
        <v>2024</v>
      </c>
      <c r="AP133" s="72"/>
      <c r="AQ133" s="72"/>
    </row>
    <row r="134" spans="1:43" s="880" customFormat="1" ht="14.65" customHeight="1" x14ac:dyDescent="0.15">
      <c r="A134" s="72"/>
      <c r="B134" s="341" t="b">
        <f t="shared" si="8"/>
        <v>1</v>
      </c>
      <c r="C134" s="72"/>
      <c r="D134" s="72"/>
      <c r="E134" s="507">
        <v>15</v>
      </c>
      <c r="F134" s="3" t="str" cm="1">
        <f t="array" aca="1" ref="F134" ca="1">OFFSET(E134,-1,1)</f>
        <v>2</v>
      </c>
      <c r="G134" s="72"/>
      <c r="H134" s="72"/>
      <c r="I134" s="72"/>
      <c r="J134" s="72"/>
      <c r="K134" s="72">
        <f>first_year+1</f>
        <v>2025</v>
      </c>
      <c r="L134" s="72"/>
      <c r="M134" s="72"/>
      <c r="N134" s="72"/>
      <c r="O134" s="72"/>
      <c r="P134" s="72"/>
      <c r="Q134" s="72"/>
      <c r="R134" s="72"/>
      <c r="S134" s="72"/>
      <c r="T134" s="353" t="b" cm="1">
        <f t="array" ref="T134">T133</f>
        <v>1</v>
      </c>
      <c r="U134" s="72"/>
      <c r="V134" s="72"/>
      <c r="W134" s="72"/>
      <c r="X134" s="990"/>
      <c r="Y134" s="72"/>
      <c r="Z134" s="967"/>
      <c r="AA134" s="72"/>
      <c r="AB134" s="563" t="str">
        <f t="shared" si="9"/>
        <v>2025 год</v>
      </c>
      <c r="AC134" s="564"/>
      <c r="AD134" s="565">
        <v>1</v>
      </c>
      <c r="AE134" s="564"/>
      <c r="AF134" s="564">
        <f ca="1">IFERROR(SUMIFS(INDEX(Баланс!$AE$25:$BB$391,,MATCH($K134&amp;"Принято органом регулирования",Баланс!$AE$8:$BB$8,0)),Баланс!$F$25:$F$391,$F134,Баланс!$AC$24:$AC$391,"Уровень потерь воды"),0)</f>
        <v>0</v>
      </c>
      <c r="AG134" s="565">
        <v>0.79</v>
      </c>
      <c r="AH134" s="881"/>
      <c r="AI134" s="881"/>
      <c r="AJ134" s="565">
        <f ca="1">IFERROR(SUMIFS(INDEX(Electricity_LOAD_1,,MATCH($K134&amp;"Принято органом регулирования",ЭЭ!$AE$8:$BB$8,0)),ЭЭ!$F$25:$F$116,$F134,ЭЭ!$AC$25:$AC$116,"Удельный расход электроэнергии"),0)</f>
        <v>0.79</v>
      </c>
      <c r="AK134" s="565">
        <f ca="1">IFERROR(SUMIFS(INDEX(Electricity_LOAD_1,,MATCH($K134&amp;"Принято органом регулирования",ЭЭ!$AE$8:$BB$8,0)),ЭЭ!$F$25:$F$116,$F134,ЭЭ!$AC$25:$AC$116,"Удельный расход электроэнергии"),0)</f>
        <v>0.79</v>
      </c>
      <c r="AL134" s="304"/>
      <c r="AM134" s="72" t="s">
        <v>2355</v>
      </c>
      <c r="AN134" s="72"/>
      <c r="AO134" s="696" cm="1">
        <f t="array" ref="AO134">K134</f>
        <v>2025</v>
      </c>
      <c r="AP134" s="72"/>
      <c r="AQ134" s="72"/>
    </row>
    <row r="135" spans="1:43" s="880" customFormat="1" ht="14.65" customHeight="1" x14ac:dyDescent="0.15">
      <c r="A135" s="72"/>
      <c r="B135" s="341" t="b">
        <f t="shared" si="8"/>
        <v>1</v>
      </c>
      <c r="C135" s="72"/>
      <c r="D135" s="72"/>
      <c r="E135" s="507">
        <v>15</v>
      </c>
      <c r="F135" s="3" t="str" cm="1">
        <f t="array" aca="1" ref="F135" ca="1">OFFSET(E135,-1,1)</f>
        <v>2</v>
      </c>
      <c r="G135" s="72"/>
      <c r="H135" s="72"/>
      <c r="I135" s="72"/>
      <c r="J135" s="72"/>
      <c r="K135" s="72">
        <f>first_year+2</f>
        <v>2026</v>
      </c>
      <c r="L135" s="72"/>
      <c r="M135" s="72"/>
      <c r="N135" s="72"/>
      <c r="O135" s="72"/>
      <c r="P135" s="72"/>
      <c r="Q135" s="72"/>
      <c r="R135" s="72"/>
      <c r="S135" s="72"/>
      <c r="T135" s="353" t="b" cm="1">
        <f t="array" ref="T135">T134</f>
        <v>1</v>
      </c>
      <c r="U135" s="72"/>
      <c r="V135" s="72"/>
      <c r="W135" s="72"/>
      <c r="X135" s="990"/>
      <c r="Y135" s="72"/>
      <c r="Z135" s="967"/>
      <c r="AA135" s="72"/>
      <c r="AB135" s="563" t="str">
        <f t="shared" si="9"/>
        <v>2026 год</v>
      </c>
      <c r="AC135" s="564"/>
      <c r="AD135" s="565">
        <v>1</v>
      </c>
      <c r="AE135" s="564"/>
      <c r="AF135" s="564">
        <f ca="1">IFERROR(SUMIFS(INDEX(Баланс!$AE$25:$BB$391,,MATCH($K135&amp;"Принято органом регулирования",Баланс!$AE$8:$BB$8,0)),Баланс!$F$25:$F$391,$F135,Баланс!$AC$24:$AC$391,"Уровень потерь воды"),0)</f>
        <v>0</v>
      </c>
      <c r="AG135" s="565">
        <v>0.79</v>
      </c>
      <c r="AH135" s="881"/>
      <c r="AI135" s="881"/>
      <c r="AJ135" s="565">
        <f ca="1">IFERROR(SUMIFS(INDEX(Electricity_LOAD_1,,MATCH($K135&amp;"Принято органом регулирования",ЭЭ!$AE$8:$BB$8,0)),ЭЭ!$F$25:$F$116,$F135,ЭЭ!$AC$25:$AC$116,"Удельный расход электроэнергии"),0)</f>
        <v>0.78999999999999992</v>
      </c>
      <c r="AK135" s="565">
        <f ca="1">IFERROR(SUMIFS(INDEX(Electricity_LOAD_1,,MATCH($K135&amp;"Принято органом регулирования",ЭЭ!$AE$8:$BB$8,0)),ЭЭ!$F$25:$F$116,$F135,ЭЭ!$AC$25:$AC$116,"Удельный расход электроэнергии"),0)</f>
        <v>0.78999999999999992</v>
      </c>
      <c r="AL135" s="304"/>
      <c r="AM135" s="72" t="s">
        <v>2355</v>
      </c>
      <c r="AN135" s="72"/>
      <c r="AO135" s="696" cm="1">
        <f t="array" ref="AO135">K135</f>
        <v>2026</v>
      </c>
      <c r="AP135" s="72"/>
      <c r="AQ135" s="72"/>
    </row>
    <row r="136" spans="1:43" s="880" customFormat="1" ht="14.65" customHeight="1" x14ac:dyDescent="0.15">
      <c r="A136" s="72"/>
      <c r="B136" s="341" t="b">
        <f t="shared" si="8"/>
        <v>1</v>
      </c>
      <c r="C136" s="72"/>
      <c r="D136" s="72"/>
      <c r="E136" s="507">
        <v>15</v>
      </c>
      <c r="F136" s="3" t="str" cm="1">
        <f t="array" aca="1" ref="F136" ca="1">OFFSET(E136,-1,1)</f>
        <v>2</v>
      </c>
      <c r="G136" s="72"/>
      <c r="H136" s="72"/>
      <c r="I136" s="72"/>
      <c r="J136" s="72"/>
      <c r="K136" s="72">
        <f>first_year+3</f>
        <v>2027</v>
      </c>
      <c r="L136" s="72"/>
      <c r="M136" s="72"/>
      <c r="N136" s="72"/>
      <c r="O136" s="72"/>
      <c r="P136" s="72"/>
      <c r="Q136" s="72"/>
      <c r="R136" s="72"/>
      <c r="S136" s="72"/>
      <c r="T136" s="353" t="b" cm="1">
        <f t="array" ref="T136">T135</f>
        <v>1</v>
      </c>
      <c r="U136" s="72"/>
      <c r="V136" s="72"/>
      <c r="W136" s="72"/>
      <c r="X136" s="990"/>
      <c r="Y136" s="72"/>
      <c r="Z136" s="967"/>
      <c r="AA136" s="72"/>
      <c r="AB136" s="563" t="str">
        <f t="shared" si="9"/>
        <v>2027 год</v>
      </c>
      <c r="AC136" s="564"/>
      <c r="AD136" s="565">
        <v>1</v>
      </c>
      <c r="AE136" s="564"/>
      <c r="AF136" s="564">
        <f ca="1">IFERROR(SUMIFS(INDEX(Баланс!$AE$25:$BB$391,,MATCH($K136&amp;"Принято органом регулирования",Баланс!$AE$8:$BB$8,0)),Баланс!$F$25:$F$391,$F136,Баланс!$AC$24:$AC$391,"Уровень потерь воды"),0)</f>
        <v>0</v>
      </c>
      <c r="AG136" s="565">
        <v>0.79</v>
      </c>
      <c r="AH136" s="881"/>
      <c r="AI136" s="881"/>
      <c r="AJ136" s="565">
        <f ca="1">IFERROR(SUMIFS(INDEX(Electricity_LOAD_1,,MATCH($K136&amp;"Принято органом регулирования",ЭЭ!$AE$8:$BB$8,0)),ЭЭ!$F$25:$F$116,$F136,ЭЭ!$AC$25:$AC$116,"Удельный расход электроэнергии"),0)</f>
        <v>0.78999999999999992</v>
      </c>
      <c r="AK136" s="565">
        <f ca="1">IFERROR(SUMIFS(INDEX(Electricity_LOAD_1,,MATCH($K136&amp;"Принято органом регулирования",ЭЭ!$AE$8:$BB$8,0)),ЭЭ!$F$25:$F$116,$F136,ЭЭ!$AC$25:$AC$116,"Удельный расход электроэнергии"),0)</f>
        <v>0.78999999999999992</v>
      </c>
      <c r="AL136" s="304"/>
      <c r="AM136" s="72" t="s">
        <v>2355</v>
      </c>
      <c r="AN136" s="72"/>
      <c r="AO136" s="696" cm="1">
        <f t="array" ref="AO136">K136</f>
        <v>2027</v>
      </c>
      <c r="AP136" s="72"/>
      <c r="AQ136" s="72"/>
    </row>
    <row r="137" spans="1:43" s="880" customFormat="1" ht="14.65" customHeight="1" x14ac:dyDescent="0.15">
      <c r="A137" s="72"/>
      <c r="B137" s="341" t="b">
        <f t="shared" si="8"/>
        <v>1</v>
      </c>
      <c r="C137" s="72"/>
      <c r="D137" s="72"/>
      <c r="E137" s="507">
        <v>15</v>
      </c>
      <c r="F137" s="3" t="str" cm="1">
        <f t="array" aca="1" ref="F137" ca="1">OFFSET(E137,-1,1)</f>
        <v>2</v>
      </c>
      <c r="G137" s="72"/>
      <c r="H137" s="72"/>
      <c r="I137" s="72"/>
      <c r="J137" s="72"/>
      <c r="K137" s="72">
        <f>first_year+4</f>
        <v>2028</v>
      </c>
      <c r="L137" s="72"/>
      <c r="M137" s="72"/>
      <c r="N137" s="72"/>
      <c r="O137" s="72"/>
      <c r="P137" s="72"/>
      <c r="Q137" s="72"/>
      <c r="R137" s="72"/>
      <c r="S137" s="72"/>
      <c r="T137" s="353" t="b" cm="1">
        <f t="array" ref="T137">T136</f>
        <v>1</v>
      </c>
      <c r="U137" s="72"/>
      <c r="V137" s="72"/>
      <c r="W137" s="72"/>
      <c r="X137" s="990"/>
      <c r="Y137" s="72"/>
      <c r="Z137" s="967"/>
      <c r="AA137" s="72"/>
      <c r="AB137" s="563" t="str">
        <f t="shared" si="9"/>
        <v>2028 год</v>
      </c>
      <c r="AC137" s="564"/>
      <c r="AD137" s="565">
        <v>1</v>
      </c>
      <c r="AE137" s="564"/>
      <c r="AF137" s="564">
        <f ca="1">IFERROR(SUMIFS(INDEX(Баланс!$AE$25:$BB$391,,MATCH($K137&amp;"Принято органом регулирования",Баланс!$AE$8:$BB$8,0)),Баланс!$F$25:$F$391,$F137,Баланс!$AC$24:$AC$391,"Уровень потерь воды"),0)</f>
        <v>0</v>
      </c>
      <c r="AG137" s="565">
        <v>0.79</v>
      </c>
      <c r="AH137" s="881"/>
      <c r="AI137" s="881"/>
      <c r="AJ137" s="565">
        <f ca="1">IFERROR(SUMIFS(INDEX(Electricity_LOAD_1,,MATCH($K137&amp;"Принято органом регулирования",ЭЭ!$AE$8:$BB$8,0)),ЭЭ!$F$25:$F$116,$F137,ЭЭ!$AC$25:$AC$116,"Удельный расход электроэнергии"),0)</f>
        <v>0.78999999999999992</v>
      </c>
      <c r="AK137" s="565">
        <f ca="1">IFERROR(SUMIFS(INDEX(Electricity_LOAD_1,,MATCH($K137&amp;"Принято органом регулирования",ЭЭ!$AE$8:$BB$8,0)),ЭЭ!$F$25:$F$116,$F137,ЭЭ!$AC$25:$AC$116,"Удельный расход электроэнергии"),0)</f>
        <v>0.78999999999999992</v>
      </c>
      <c r="AL137" s="304"/>
      <c r="AM137" s="72" t="s">
        <v>2355</v>
      </c>
      <c r="AN137" s="72"/>
      <c r="AO137" s="696" cm="1">
        <f t="array" ref="AO137">K137</f>
        <v>2028</v>
      </c>
      <c r="AP137" s="72"/>
      <c r="AQ137" s="72"/>
    </row>
    <row r="138" spans="1:43" s="880" customFormat="1" ht="14.25" hidden="1" customHeight="1" x14ac:dyDescent="0.15">
      <c r="A138" s="72"/>
      <c r="B138" s="341" t="b">
        <f t="shared" si="8"/>
        <v>0</v>
      </c>
      <c r="C138" s="72"/>
      <c r="D138" s="72"/>
      <c r="E138" s="507">
        <v>15</v>
      </c>
      <c r="F138" s="3" t="str" cm="1">
        <f t="array" aca="1" ref="F138" ca="1">OFFSET(E138,-1,1)</f>
        <v>2</v>
      </c>
      <c r="G138" s="72"/>
      <c r="H138" s="72"/>
      <c r="I138" s="72"/>
      <c r="J138" s="72"/>
      <c r="K138" s="72">
        <f>first_year+5</f>
        <v>2029</v>
      </c>
      <c r="L138" s="72"/>
      <c r="M138" s="72"/>
      <c r="N138" s="72"/>
      <c r="O138" s="72"/>
      <c r="P138" s="72"/>
      <c r="Q138" s="72"/>
      <c r="R138" s="72"/>
      <c r="S138" s="72"/>
      <c r="T138" s="353" t="b" cm="1">
        <f t="array" ref="T138">T137</f>
        <v>1</v>
      </c>
      <c r="U138" s="72"/>
      <c r="V138" s="72"/>
      <c r="W138" s="72"/>
      <c r="X138" s="990"/>
      <c r="Y138" s="72"/>
      <c r="Z138" s="967"/>
      <c r="AA138" s="72"/>
      <c r="AB138" s="563" t="str">
        <f t="shared" si="9"/>
        <v>2029 год</v>
      </c>
      <c r="AC138" s="875"/>
      <c r="AD138" s="874">
        <f ca="1">IFERROR(SUMIFS(INDEX(Сценарии!$AE$25:$BF$136,,MATCH($K138&amp;"Принято органом регулирования",Сценарии!$AE$8:$BF$8,0)),Сценарии!$F$25:$F$136,$F138,Сценарии!$AC$25:$AC$136,"Индекс эффективности операционных расходов"),0)</f>
        <v>0</v>
      </c>
      <c r="AE138" s="875"/>
      <c r="AF138" s="875">
        <f ca="1">IFERROR(SUMIFS(INDEX(Баланс!$AE$25:$BB$391,,MATCH($K138&amp;"Принято органом регулирования",Баланс!$AE$8:$BB$8,0)),Баланс!$F$25:$F$391,$F138,Баланс!$AC$24:$AC$391,"Уровень потерь воды"),0)</f>
        <v>0</v>
      </c>
      <c r="AG138" s="874">
        <f ca="1">IFERROR(SUMIFS(INDEX(Electricity_LOAD_1,,MATCH($K138&amp;"Принято органом регулирования",ЭЭ!$AE$8:$BB$8,0)),ЭЭ!$F$25:$F$116,$F138,ЭЭ!$AC$25:$AC$116,"Удельный расход электроэнергии"),0)</f>
        <v>0</v>
      </c>
      <c r="AH138" s="881"/>
      <c r="AI138" s="881"/>
      <c r="AJ138" s="874">
        <f ca="1">IFERROR(SUMIFS(INDEX(Electricity_LOAD_1,,MATCH($K138&amp;"Принято органом регулирования",ЭЭ!$AE$8:$BB$8,0)),ЭЭ!$F$25:$F$116,$F138,ЭЭ!$AC$25:$AC$116,"Удельный расход электроэнергии"),0)</f>
        <v>0</v>
      </c>
      <c r="AK138" s="874">
        <f ca="1">IFERROR(SUMIFS(INDEX(Electricity_LOAD_1,,MATCH($K138&amp;"Принято органом регулирования",ЭЭ!$AE$8:$BB$8,0)),ЭЭ!$F$25:$F$116,$F138,ЭЭ!$AC$25:$AC$116,"Удельный расход электроэнергии"),0)</f>
        <v>0</v>
      </c>
      <c r="AL138" s="304"/>
      <c r="AM138" s="72" t="s">
        <v>2355</v>
      </c>
      <c r="AN138" s="72"/>
      <c r="AO138" s="696" cm="1">
        <f t="array" ref="AO138">K138</f>
        <v>2029</v>
      </c>
      <c r="AP138" s="72"/>
      <c r="AQ138" s="72"/>
    </row>
    <row r="139" spans="1:43" s="880" customFormat="1" ht="14.25" hidden="1" customHeight="1" x14ac:dyDescent="0.15">
      <c r="A139" s="72"/>
      <c r="B139" s="341" t="b">
        <f t="shared" si="8"/>
        <v>0</v>
      </c>
      <c r="C139" s="72"/>
      <c r="D139" s="72"/>
      <c r="E139" s="507">
        <v>15</v>
      </c>
      <c r="F139" s="3" t="str" cm="1">
        <f t="array" aca="1" ref="F139" ca="1">OFFSET(E139,-1,1)</f>
        <v>2</v>
      </c>
      <c r="G139" s="72"/>
      <c r="H139" s="72"/>
      <c r="I139" s="72"/>
      <c r="J139" s="72"/>
      <c r="K139" s="72">
        <f>first_year+6</f>
        <v>2030</v>
      </c>
      <c r="L139" s="72"/>
      <c r="M139" s="72"/>
      <c r="N139" s="72"/>
      <c r="O139" s="72"/>
      <c r="P139" s="72"/>
      <c r="Q139" s="72"/>
      <c r="R139" s="72"/>
      <c r="S139" s="72"/>
      <c r="T139" s="353" t="b" cm="1">
        <f t="array" ref="T139">T138</f>
        <v>1</v>
      </c>
      <c r="U139" s="72"/>
      <c r="V139" s="72"/>
      <c r="W139" s="72"/>
      <c r="X139" s="990"/>
      <c r="Y139" s="72"/>
      <c r="Z139" s="967"/>
      <c r="AA139" s="72"/>
      <c r="AB139" s="563" t="str">
        <f t="shared" si="9"/>
        <v>2030 год</v>
      </c>
      <c r="AC139" s="875"/>
      <c r="AD139" s="874">
        <f ca="1">IFERROR(SUMIFS(INDEX(Сценарии!$AE$25:$BF$136,,MATCH($K139&amp;"Принято органом регулирования",Сценарии!$AE$8:$BF$8,0)),Сценарии!$F$25:$F$136,$F139,Сценарии!$AC$25:$AC$136,"Индекс эффективности операционных расходов"),0)</f>
        <v>0</v>
      </c>
      <c r="AE139" s="875"/>
      <c r="AF139" s="875">
        <f ca="1">IFERROR(SUMIFS(INDEX(Баланс!$AE$25:$BB$391,,MATCH($K139&amp;"Принято органом регулирования",Баланс!$AE$8:$BB$8,0)),Баланс!$F$25:$F$391,$F139,Баланс!$AC$24:$AC$391,"Уровень потерь воды"),0)</f>
        <v>0</v>
      </c>
      <c r="AG139" s="874">
        <f ca="1">IFERROR(SUMIFS(INDEX(Electricity_LOAD_1,,MATCH($K139&amp;"Принято органом регулирования",ЭЭ!$AE$8:$BB$8,0)),ЭЭ!$F$25:$F$116,$F139,ЭЭ!$AC$25:$AC$116,"Удельный расход электроэнергии"),0)</f>
        <v>0</v>
      </c>
      <c r="AH139" s="881"/>
      <c r="AI139" s="881"/>
      <c r="AJ139" s="874">
        <f ca="1">IFERROR(SUMIFS(INDEX(Electricity_LOAD_1,,MATCH($K139&amp;"Принято органом регулирования",ЭЭ!$AE$8:$BB$8,0)),ЭЭ!$F$25:$F$116,$F139,ЭЭ!$AC$25:$AC$116,"Удельный расход электроэнергии"),0)</f>
        <v>0</v>
      </c>
      <c r="AK139" s="874">
        <f ca="1">IFERROR(SUMIFS(INDEX(Electricity_LOAD_1,,MATCH($K139&amp;"Принято органом регулирования",ЭЭ!$AE$8:$BB$8,0)),ЭЭ!$F$25:$F$116,$F139,ЭЭ!$AC$25:$AC$116,"Удельный расход электроэнергии"),0)</f>
        <v>0</v>
      </c>
      <c r="AL139" s="304"/>
      <c r="AM139" s="72" t="s">
        <v>2355</v>
      </c>
      <c r="AN139" s="72"/>
      <c r="AO139" s="696" cm="1">
        <f t="array" ref="AO139">K139</f>
        <v>2030</v>
      </c>
      <c r="AP139" s="72"/>
      <c r="AQ139" s="72"/>
    </row>
    <row r="140" spans="1:43" s="880" customFormat="1" ht="14.25" hidden="1" customHeight="1" x14ac:dyDescent="0.15">
      <c r="A140" s="72"/>
      <c r="B140" s="341" t="b">
        <f t="shared" si="8"/>
        <v>0</v>
      </c>
      <c r="C140" s="72"/>
      <c r="D140" s="72"/>
      <c r="E140" s="507">
        <v>15</v>
      </c>
      <c r="F140" s="3" t="str" cm="1">
        <f t="array" aca="1" ref="F140" ca="1">OFFSET(E140,-1,1)</f>
        <v>2</v>
      </c>
      <c r="G140" s="72"/>
      <c r="H140" s="72"/>
      <c r="I140" s="72"/>
      <c r="J140" s="72"/>
      <c r="K140" s="72">
        <f>first_year+7</f>
        <v>2031</v>
      </c>
      <c r="L140" s="72"/>
      <c r="M140" s="72"/>
      <c r="N140" s="72"/>
      <c r="O140" s="72"/>
      <c r="P140" s="72"/>
      <c r="Q140" s="72"/>
      <c r="R140" s="72"/>
      <c r="S140" s="72"/>
      <c r="T140" s="353" t="b" cm="1">
        <f t="array" ref="T140">T139</f>
        <v>1</v>
      </c>
      <c r="U140" s="72"/>
      <c r="V140" s="72"/>
      <c r="W140" s="72"/>
      <c r="X140" s="990"/>
      <c r="Y140" s="72"/>
      <c r="Z140" s="967"/>
      <c r="AA140" s="72"/>
      <c r="AB140" s="563" t="str">
        <f t="shared" si="9"/>
        <v>2031 год</v>
      </c>
      <c r="AC140" s="875"/>
      <c r="AD140" s="874">
        <f ca="1">IFERROR(SUMIFS(INDEX(Сценарии!$AE$25:$BF$136,,MATCH($K140&amp;"Принято органом регулирования",Сценарии!$AE$8:$BF$8,0)),Сценарии!$F$25:$F$136,$F140,Сценарии!$AC$25:$AC$136,"Индекс эффективности операционных расходов"),0)</f>
        <v>0</v>
      </c>
      <c r="AE140" s="875"/>
      <c r="AF140" s="875">
        <f ca="1">IFERROR(SUMIFS(INDEX(Баланс!$AE$25:$BB$391,,MATCH($K140&amp;"Принято органом регулирования",Баланс!$AE$8:$BB$8,0)),Баланс!$F$25:$F$391,$F140,Баланс!$AC$24:$AC$391,"Уровень потерь воды"),0)</f>
        <v>0</v>
      </c>
      <c r="AG140" s="874">
        <f ca="1">IFERROR(SUMIFS(INDEX(Electricity_LOAD_1,,MATCH($K140&amp;"Принято органом регулирования",ЭЭ!$AE$8:$BB$8,0)),ЭЭ!$F$25:$F$116,$F140,ЭЭ!$AC$25:$AC$116,"Удельный расход электроэнергии"),0)</f>
        <v>0</v>
      </c>
      <c r="AH140" s="881"/>
      <c r="AI140" s="881"/>
      <c r="AJ140" s="874">
        <f ca="1">IFERROR(SUMIFS(INDEX(Electricity_LOAD_1,,MATCH($K140&amp;"Принято органом регулирования",ЭЭ!$AE$8:$BB$8,0)),ЭЭ!$F$25:$F$116,$F140,ЭЭ!$AC$25:$AC$116,"Удельный расход электроэнергии"),0)</f>
        <v>0</v>
      </c>
      <c r="AK140" s="874">
        <f ca="1">IFERROR(SUMIFS(INDEX(Electricity_LOAD_1,,MATCH($K140&amp;"Принято органом регулирования",ЭЭ!$AE$8:$BB$8,0)),ЭЭ!$F$25:$F$116,$F140,ЭЭ!$AC$25:$AC$116,"Удельный расход электроэнергии"),0)</f>
        <v>0</v>
      </c>
      <c r="AL140" s="304"/>
      <c r="AM140" s="72" t="s">
        <v>2355</v>
      </c>
      <c r="AN140" s="72"/>
      <c r="AO140" s="696" cm="1">
        <f t="array" ref="AO140">K140</f>
        <v>2031</v>
      </c>
      <c r="AP140" s="72"/>
      <c r="AQ140" s="72"/>
    </row>
    <row r="141" spans="1:43" s="880" customFormat="1" ht="14.25" hidden="1" customHeight="1" x14ac:dyDescent="0.15">
      <c r="A141" s="72"/>
      <c r="B141" s="341" t="b">
        <f t="shared" si="8"/>
        <v>0</v>
      </c>
      <c r="C141" s="72"/>
      <c r="D141" s="72"/>
      <c r="E141" s="507">
        <v>15</v>
      </c>
      <c r="F141" s="3" t="str" cm="1">
        <f t="array" aca="1" ref="F141" ca="1">OFFSET(E141,-1,1)</f>
        <v>2</v>
      </c>
      <c r="G141" s="72"/>
      <c r="H141" s="72"/>
      <c r="I141" s="72"/>
      <c r="J141" s="72"/>
      <c r="K141" s="72">
        <f>first_year+8</f>
        <v>2032</v>
      </c>
      <c r="L141" s="72"/>
      <c r="M141" s="72"/>
      <c r="N141" s="72"/>
      <c r="O141" s="72"/>
      <c r="P141" s="72"/>
      <c r="Q141" s="72"/>
      <c r="R141" s="72"/>
      <c r="S141" s="72"/>
      <c r="T141" s="353" t="b" cm="1">
        <f t="array" ref="T141">T140</f>
        <v>1</v>
      </c>
      <c r="U141" s="72"/>
      <c r="V141" s="72"/>
      <c r="W141" s="72"/>
      <c r="X141" s="990"/>
      <c r="Y141" s="72"/>
      <c r="Z141" s="967"/>
      <c r="AA141" s="72"/>
      <c r="AB141" s="563" t="str">
        <f t="shared" si="9"/>
        <v>2032 год</v>
      </c>
      <c r="AC141" s="875"/>
      <c r="AD141" s="874">
        <f ca="1">IFERROR(SUMIFS(INDEX(Сценарии!$AE$25:$BF$136,,MATCH($K141&amp;"Принято органом регулирования",Сценарии!$AE$8:$BF$8,0)),Сценарии!$F$25:$F$136,$F141,Сценарии!$AC$25:$AC$136,"Индекс эффективности операционных расходов"),0)</f>
        <v>0</v>
      </c>
      <c r="AE141" s="875"/>
      <c r="AF141" s="875">
        <f ca="1">IFERROR(SUMIFS(INDEX(Баланс!$AE$25:$BB$391,,MATCH($K141&amp;"Принято органом регулирования",Баланс!$AE$8:$BB$8,0)),Баланс!$F$25:$F$391,$F141,Баланс!$AC$24:$AC$391,"Уровень потерь воды"),0)</f>
        <v>0</v>
      </c>
      <c r="AG141" s="874">
        <f ca="1">IFERROR(SUMIFS(INDEX(Electricity_LOAD_1,,MATCH($K141&amp;"Принято органом регулирования",ЭЭ!$AE$8:$BB$8,0)),ЭЭ!$F$25:$F$116,$F141,ЭЭ!$AC$25:$AC$116,"Удельный расход электроэнергии"),0)</f>
        <v>0</v>
      </c>
      <c r="AH141" s="881"/>
      <c r="AI141" s="881"/>
      <c r="AJ141" s="874">
        <f ca="1">IFERROR(SUMIFS(INDEX(Electricity_LOAD_1,,MATCH($K141&amp;"Принято органом регулирования",ЭЭ!$AE$8:$BB$8,0)),ЭЭ!$F$25:$F$116,$F141,ЭЭ!$AC$25:$AC$116,"Удельный расход электроэнергии"),0)</f>
        <v>0</v>
      </c>
      <c r="AK141" s="874">
        <f ca="1">IFERROR(SUMIFS(INDEX(Electricity_LOAD_1,,MATCH($K141&amp;"Принято органом регулирования",ЭЭ!$AE$8:$BB$8,0)),ЭЭ!$F$25:$F$116,$F141,ЭЭ!$AC$25:$AC$116,"Удельный расход электроэнергии"),0)</f>
        <v>0</v>
      </c>
      <c r="AL141" s="304"/>
      <c r="AM141" s="72" t="s">
        <v>2355</v>
      </c>
      <c r="AN141" s="72"/>
      <c r="AO141" s="696" cm="1">
        <f t="array" ref="AO141">K141</f>
        <v>2032</v>
      </c>
      <c r="AP141" s="72"/>
      <c r="AQ141" s="72"/>
    </row>
    <row r="142" spans="1:43" s="880" customFormat="1" ht="14.25" hidden="1" customHeight="1" x14ac:dyDescent="0.15">
      <c r="A142" s="72"/>
      <c r="B142" s="341" t="b">
        <f t="shared" si="8"/>
        <v>0</v>
      </c>
      <c r="C142" s="72"/>
      <c r="D142" s="72"/>
      <c r="E142" s="507">
        <v>15</v>
      </c>
      <c r="F142" s="3" t="str" cm="1">
        <f t="array" aca="1" ref="F142" ca="1">OFFSET(E142,-1,1)</f>
        <v>2</v>
      </c>
      <c r="G142" s="72"/>
      <c r="H142" s="72"/>
      <c r="I142" s="72"/>
      <c r="J142" s="72"/>
      <c r="K142" s="72">
        <f>first_year+9</f>
        <v>2033</v>
      </c>
      <c r="L142" s="72"/>
      <c r="M142" s="72"/>
      <c r="N142" s="72"/>
      <c r="O142" s="72"/>
      <c r="P142" s="72"/>
      <c r="Q142" s="72"/>
      <c r="R142" s="72"/>
      <c r="S142" s="72"/>
      <c r="T142" s="353" t="b" cm="1">
        <f t="array" ref="T142">T141</f>
        <v>1</v>
      </c>
      <c r="U142" s="72"/>
      <c r="V142" s="72"/>
      <c r="W142" s="72"/>
      <c r="X142" s="990"/>
      <c r="Y142" s="72"/>
      <c r="Z142" s="967"/>
      <c r="AA142" s="72"/>
      <c r="AB142" s="563" t="str">
        <f t="shared" si="9"/>
        <v>2033 год</v>
      </c>
      <c r="AC142" s="875"/>
      <c r="AD142" s="874">
        <f ca="1">IFERROR(SUMIFS(INDEX(Сценарии!$AE$25:$BF$136,,MATCH($K142&amp;"Принято органом регулирования",Сценарии!$AE$8:$BF$8,0)),Сценарии!$F$25:$F$136,$F142,Сценарии!$AC$25:$AC$136,"Индекс эффективности операционных расходов"),0)</f>
        <v>0</v>
      </c>
      <c r="AE142" s="875"/>
      <c r="AF142" s="875">
        <f ca="1">IFERROR(SUMIFS(INDEX(Баланс!$AE$25:$BB$391,,MATCH($K142&amp;"Принято органом регулирования",Баланс!$AE$8:$BB$8,0)),Баланс!$F$25:$F$391,$F142,Баланс!$AC$24:$AC$391,"Уровень потерь воды"),0)</f>
        <v>0</v>
      </c>
      <c r="AG142" s="874">
        <f ca="1">IFERROR(SUMIFS(INDEX(Electricity_LOAD_1,,MATCH($K142&amp;"Принято органом регулирования",ЭЭ!$AE$8:$BB$8,0)),ЭЭ!$F$25:$F$116,$F142,ЭЭ!$AC$25:$AC$116,"Удельный расход электроэнергии"),0)</f>
        <v>0</v>
      </c>
      <c r="AH142" s="881"/>
      <c r="AI142" s="881"/>
      <c r="AJ142" s="874">
        <f ca="1">IFERROR(SUMIFS(INDEX(Electricity_LOAD_1,,MATCH($K142&amp;"Принято органом регулирования",ЭЭ!$AE$8:$BB$8,0)),ЭЭ!$F$25:$F$116,$F142,ЭЭ!$AC$25:$AC$116,"Удельный расход электроэнергии"),0)</f>
        <v>0</v>
      </c>
      <c r="AK142" s="874">
        <f ca="1">IFERROR(SUMIFS(INDEX(Electricity_LOAD_1,,MATCH($K142&amp;"Принято органом регулирования",ЭЭ!$AE$8:$BB$8,0)),ЭЭ!$F$25:$F$116,$F142,ЭЭ!$AC$25:$AC$116,"Удельный расход электроэнергии"),0)</f>
        <v>0</v>
      </c>
      <c r="AL142" s="304"/>
      <c r="AM142" s="72" t="s">
        <v>2355</v>
      </c>
      <c r="AN142" s="72"/>
      <c r="AO142" s="696" cm="1">
        <f t="array" ref="AO142">K142</f>
        <v>2033</v>
      </c>
      <c r="AP142" s="72"/>
      <c r="AQ142" s="72"/>
    </row>
    <row r="143" spans="1:43" s="880" customFormat="1" ht="14.25" hidden="1" customHeight="1" x14ac:dyDescent="0.15">
      <c r="A143" s="72"/>
      <c r="B143" s="341" t="b">
        <f t="shared" si="8"/>
        <v>0</v>
      </c>
      <c r="C143" s="72"/>
      <c r="D143" s="72"/>
      <c r="E143" s="507">
        <v>15</v>
      </c>
      <c r="F143" s="3" t="str" cm="1">
        <f t="array" aca="1" ref="F143" ca="1">OFFSET(E143,-1,1)</f>
        <v>2</v>
      </c>
      <c r="G143" s="72"/>
      <c r="H143" s="72"/>
      <c r="I143" s="72"/>
      <c r="J143" s="72"/>
      <c r="K143" s="72">
        <f>first_year+10</f>
        <v>2034</v>
      </c>
      <c r="L143" s="72"/>
      <c r="M143" s="72"/>
      <c r="N143" s="72"/>
      <c r="O143" s="72"/>
      <c r="P143" s="72"/>
      <c r="Q143" s="72"/>
      <c r="R143" s="72"/>
      <c r="S143" s="72"/>
      <c r="T143" s="353" t="b" cm="1">
        <f t="array" ref="T143">T142</f>
        <v>1</v>
      </c>
      <c r="U143" s="72"/>
      <c r="V143" s="72"/>
      <c r="W143" s="72"/>
      <c r="X143" s="990"/>
      <c r="Y143" s="72"/>
      <c r="Z143" s="967"/>
      <c r="AA143" s="72"/>
      <c r="AB143" s="563" t="str">
        <f t="shared" si="9"/>
        <v>2034 год</v>
      </c>
      <c r="AC143" s="875"/>
      <c r="AD143" s="874"/>
      <c r="AE143" s="875"/>
      <c r="AF143" s="875"/>
      <c r="AG143" s="874"/>
      <c r="AH143" s="881"/>
      <c r="AI143" s="881"/>
      <c r="AJ143" s="874"/>
      <c r="AK143" s="876"/>
      <c r="AL143" s="304"/>
      <c r="AM143" s="72"/>
      <c r="AN143" s="72"/>
      <c r="AO143" s="696" cm="1">
        <f t="array" ref="AO143">K143</f>
        <v>2034</v>
      </c>
      <c r="AP143" s="72"/>
      <c r="AQ143" s="72"/>
    </row>
    <row r="144" spans="1:43" s="880" customFormat="1" ht="14.25" hidden="1" customHeight="1" x14ac:dyDescent="0.15">
      <c r="A144" s="72"/>
      <c r="B144" s="341" t="b">
        <f t="shared" si="8"/>
        <v>0</v>
      </c>
      <c r="C144" s="72"/>
      <c r="D144" s="72"/>
      <c r="E144" s="507">
        <v>15</v>
      </c>
      <c r="F144" s="3" t="str" cm="1">
        <f t="array" aca="1" ref="F144" ca="1">OFFSET(E144,-1,1)</f>
        <v>2</v>
      </c>
      <c r="G144" s="72"/>
      <c r="H144" s="72"/>
      <c r="I144" s="72"/>
      <c r="J144" s="72"/>
      <c r="K144" s="72">
        <f>first_year+11</f>
        <v>2035</v>
      </c>
      <c r="L144" s="72"/>
      <c r="M144" s="72"/>
      <c r="N144" s="72"/>
      <c r="O144" s="72"/>
      <c r="P144" s="72"/>
      <c r="Q144" s="72"/>
      <c r="R144" s="72"/>
      <c r="S144" s="72"/>
      <c r="T144" s="353" t="b" cm="1">
        <f t="array" ref="T144">T143</f>
        <v>1</v>
      </c>
      <c r="U144" s="72"/>
      <c r="V144" s="72"/>
      <c r="W144" s="72"/>
      <c r="X144" s="990"/>
      <c r="Y144" s="72"/>
      <c r="Z144" s="967"/>
      <c r="AA144" s="72"/>
      <c r="AB144" s="168" t="str">
        <f t="shared" si="9"/>
        <v>2035 год</v>
      </c>
      <c r="AC144" s="875"/>
      <c r="AD144" s="877"/>
      <c r="AE144" s="878"/>
      <c r="AF144" s="878"/>
      <c r="AG144" s="877"/>
      <c r="AH144" s="883"/>
      <c r="AI144" s="883"/>
      <c r="AJ144" s="877"/>
      <c r="AK144" s="879"/>
      <c r="AL144" s="304"/>
      <c r="AM144" s="72"/>
      <c r="AN144" s="72"/>
      <c r="AO144" s="696" cm="1">
        <f t="array" ref="AO144">K144</f>
        <v>2035</v>
      </c>
      <c r="AP144" s="72"/>
      <c r="AQ144" s="72"/>
    </row>
    <row r="145" spans="1:43" s="880" customFormat="1" ht="14.25" hidden="1" customHeight="1" x14ac:dyDescent="0.15">
      <c r="A145" s="72"/>
      <c r="B145" s="341" t="b">
        <f t="shared" si="8"/>
        <v>0</v>
      </c>
      <c r="C145" s="72"/>
      <c r="D145" s="72"/>
      <c r="E145" s="507">
        <v>15</v>
      </c>
      <c r="F145" s="3" t="str" cm="1">
        <f t="array" aca="1" ref="F145" ca="1">OFFSET(E145,-1,1)</f>
        <v>2</v>
      </c>
      <c r="G145" s="72"/>
      <c r="H145" s="72"/>
      <c r="I145" s="72"/>
      <c r="J145" s="72"/>
      <c r="K145" s="72">
        <f>first_year+12</f>
        <v>2036</v>
      </c>
      <c r="L145" s="72"/>
      <c r="M145" s="72"/>
      <c r="N145" s="72"/>
      <c r="O145" s="72"/>
      <c r="P145" s="72"/>
      <c r="Q145" s="72"/>
      <c r="R145" s="72"/>
      <c r="S145" s="72"/>
      <c r="T145" s="353" t="b" cm="1">
        <f t="array" ref="T145">T144</f>
        <v>1</v>
      </c>
      <c r="U145" s="72"/>
      <c r="V145" s="72"/>
      <c r="W145" s="72"/>
      <c r="X145" s="990"/>
      <c r="Y145" s="72"/>
      <c r="Z145" s="967"/>
      <c r="AA145" s="72"/>
      <c r="AB145" s="168" t="str">
        <f t="shared" si="9"/>
        <v>2036 год</v>
      </c>
      <c r="AC145" s="875"/>
      <c r="AD145" s="877"/>
      <c r="AE145" s="878"/>
      <c r="AF145" s="878"/>
      <c r="AG145" s="877"/>
      <c r="AH145" s="883"/>
      <c r="AI145" s="883"/>
      <c r="AJ145" s="877"/>
      <c r="AK145" s="879"/>
      <c r="AL145" s="304"/>
      <c r="AM145" s="72"/>
      <c r="AN145" s="72"/>
      <c r="AO145" s="696" cm="1">
        <f t="array" ref="AO145">K145</f>
        <v>2036</v>
      </c>
      <c r="AP145" s="72"/>
      <c r="AQ145" s="72"/>
    </row>
    <row r="146" spans="1:43" s="880" customFormat="1" ht="14.25" hidden="1" customHeight="1" x14ac:dyDescent="0.15">
      <c r="A146" s="72"/>
      <c r="B146" s="341" t="b">
        <f t="shared" si="8"/>
        <v>0</v>
      </c>
      <c r="C146" s="72"/>
      <c r="D146" s="72"/>
      <c r="E146" s="507">
        <v>15</v>
      </c>
      <c r="F146" s="3" t="str" cm="1">
        <f t="array" aca="1" ref="F146" ca="1">OFFSET(E146,-1,1)</f>
        <v>2</v>
      </c>
      <c r="G146" s="72"/>
      <c r="H146" s="72"/>
      <c r="I146" s="72"/>
      <c r="J146" s="72"/>
      <c r="K146" s="72">
        <f>first_year+13</f>
        <v>2037</v>
      </c>
      <c r="L146" s="72"/>
      <c r="M146" s="72"/>
      <c r="N146" s="72"/>
      <c r="O146" s="72"/>
      <c r="P146" s="72"/>
      <c r="Q146" s="72"/>
      <c r="R146" s="72"/>
      <c r="S146" s="72"/>
      <c r="T146" s="353" t="b" cm="1">
        <f t="array" ref="T146">T145</f>
        <v>1</v>
      </c>
      <c r="U146" s="72"/>
      <c r="V146" s="72"/>
      <c r="W146" s="72"/>
      <c r="X146" s="990"/>
      <c r="Y146" s="72"/>
      <c r="Z146" s="967"/>
      <c r="AA146" s="72"/>
      <c r="AB146" s="168" t="str">
        <f t="shared" si="9"/>
        <v>2037 год</v>
      </c>
      <c r="AC146" s="875"/>
      <c r="AD146" s="877"/>
      <c r="AE146" s="878"/>
      <c r="AF146" s="878"/>
      <c r="AG146" s="877"/>
      <c r="AH146" s="883"/>
      <c r="AI146" s="883"/>
      <c r="AJ146" s="877"/>
      <c r="AK146" s="879"/>
      <c r="AL146" s="304"/>
      <c r="AM146" s="72"/>
      <c r="AN146" s="72"/>
      <c r="AO146" s="696" cm="1">
        <f t="array" ref="AO146">K146</f>
        <v>2037</v>
      </c>
      <c r="AP146" s="72"/>
      <c r="AQ146" s="72"/>
    </row>
    <row r="147" spans="1:43" s="880" customFormat="1" ht="14.25" hidden="1" customHeight="1" x14ac:dyDescent="0.15">
      <c r="A147" s="72"/>
      <c r="B147" s="341" t="b">
        <f t="shared" si="8"/>
        <v>0</v>
      </c>
      <c r="C147" s="72"/>
      <c r="D147" s="72"/>
      <c r="E147" s="507">
        <v>15</v>
      </c>
      <c r="F147" s="3" t="str" cm="1">
        <f t="array" aca="1" ref="F147" ca="1">OFFSET(E147,-1,1)</f>
        <v>2</v>
      </c>
      <c r="G147" s="72"/>
      <c r="H147" s="72"/>
      <c r="I147" s="72"/>
      <c r="J147" s="72"/>
      <c r="K147" s="72">
        <f>first_year+14</f>
        <v>2038</v>
      </c>
      <c r="L147" s="72"/>
      <c r="M147" s="72"/>
      <c r="N147" s="72"/>
      <c r="O147" s="72"/>
      <c r="P147" s="72"/>
      <c r="Q147" s="72"/>
      <c r="R147" s="72"/>
      <c r="S147" s="72"/>
      <c r="T147" s="353" t="b" cm="1">
        <f t="array" ref="T147">T146</f>
        <v>1</v>
      </c>
      <c r="U147" s="72"/>
      <c r="V147" s="72"/>
      <c r="W147" s="72"/>
      <c r="X147" s="990"/>
      <c r="Y147" s="72"/>
      <c r="Z147" s="967"/>
      <c r="AA147" s="72"/>
      <c r="AB147" s="168" t="str">
        <f t="shared" si="9"/>
        <v>2038 год</v>
      </c>
      <c r="AC147" s="875"/>
      <c r="AD147" s="877"/>
      <c r="AE147" s="878"/>
      <c r="AF147" s="878"/>
      <c r="AG147" s="877"/>
      <c r="AH147" s="883"/>
      <c r="AI147" s="883"/>
      <c r="AJ147" s="877"/>
      <c r="AK147" s="879"/>
      <c r="AL147" s="304"/>
      <c r="AM147" s="72"/>
      <c r="AN147" s="72"/>
      <c r="AO147" s="696" cm="1">
        <f t="array" ref="AO147">K147</f>
        <v>2038</v>
      </c>
      <c r="AP147" s="72"/>
      <c r="AQ147" s="72"/>
    </row>
    <row r="148" spans="1:43" s="880" customFormat="1" ht="14.25" hidden="1" customHeight="1" x14ac:dyDescent="0.15">
      <c r="A148" s="72"/>
      <c r="B148" s="341" t="b">
        <f t="shared" si="8"/>
        <v>0</v>
      </c>
      <c r="C148" s="72"/>
      <c r="D148" s="72"/>
      <c r="E148" s="507">
        <v>15</v>
      </c>
      <c r="F148" s="3" t="str" cm="1">
        <f t="array" aca="1" ref="F148" ca="1">OFFSET(E148,-1,1)</f>
        <v>2</v>
      </c>
      <c r="G148" s="72"/>
      <c r="H148" s="72"/>
      <c r="I148" s="72"/>
      <c r="J148" s="72"/>
      <c r="K148" s="72">
        <f>first_year+15</f>
        <v>2039</v>
      </c>
      <c r="L148" s="72"/>
      <c r="M148" s="72"/>
      <c r="N148" s="72"/>
      <c r="O148" s="72"/>
      <c r="P148" s="72"/>
      <c r="Q148" s="72"/>
      <c r="R148" s="72"/>
      <c r="S148" s="72"/>
      <c r="T148" s="353" t="b" cm="1">
        <f t="array" ref="T148">T147</f>
        <v>1</v>
      </c>
      <c r="U148" s="72"/>
      <c r="V148" s="72"/>
      <c r="W148" s="72"/>
      <c r="X148" s="990"/>
      <c r="Y148" s="72"/>
      <c r="Z148" s="967"/>
      <c r="AA148" s="72"/>
      <c r="AB148" s="168" t="str">
        <f t="shared" si="9"/>
        <v>2039 год</v>
      </c>
      <c r="AC148" s="875"/>
      <c r="AD148" s="877"/>
      <c r="AE148" s="878"/>
      <c r="AF148" s="878"/>
      <c r="AG148" s="877"/>
      <c r="AH148" s="883"/>
      <c r="AI148" s="883"/>
      <c r="AJ148" s="877"/>
      <c r="AK148" s="879"/>
      <c r="AL148" s="304"/>
      <c r="AM148" s="72"/>
      <c r="AN148" s="72"/>
      <c r="AO148" s="696" cm="1">
        <f t="array" ref="AO148">K148</f>
        <v>2039</v>
      </c>
      <c r="AP148" s="72"/>
      <c r="AQ148" s="72"/>
    </row>
    <row r="149" spans="1:43" s="880" customFormat="1" ht="14.25" hidden="1" customHeight="1" x14ac:dyDescent="0.15">
      <c r="A149" s="72"/>
      <c r="B149" s="341" t="b">
        <f t="shared" si="8"/>
        <v>0</v>
      </c>
      <c r="C149" s="72"/>
      <c r="D149" s="72"/>
      <c r="E149" s="507">
        <v>15</v>
      </c>
      <c r="F149" s="3" t="str" cm="1">
        <f t="array" aca="1" ref="F149" ca="1">OFFSET(E149,-1,1)</f>
        <v>2</v>
      </c>
      <c r="G149" s="72"/>
      <c r="H149" s="72"/>
      <c r="I149" s="72"/>
      <c r="J149" s="72"/>
      <c r="K149" s="72">
        <f>first_year+16</f>
        <v>2040</v>
      </c>
      <c r="L149" s="72"/>
      <c r="M149" s="72"/>
      <c r="N149" s="72"/>
      <c r="O149" s="72"/>
      <c r="P149" s="72"/>
      <c r="Q149" s="72"/>
      <c r="R149" s="72"/>
      <c r="S149" s="72"/>
      <c r="T149" s="353" t="b" cm="1">
        <f t="array" ref="T149">T148</f>
        <v>1</v>
      </c>
      <c r="U149" s="72"/>
      <c r="V149" s="72"/>
      <c r="W149" s="72"/>
      <c r="X149" s="990"/>
      <c r="Y149" s="72"/>
      <c r="Z149" s="967"/>
      <c r="AA149" s="72"/>
      <c r="AB149" s="168" t="str">
        <f t="shared" si="9"/>
        <v>2040 год</v>
      </c>
      <c r="AC149" s="875"/>
      <c r="AD149" s="877"/>
      <c r="AE149" s="878"/>
      <c r="AF149" s="878"/>
      <c r="AG149" s="877"/>
      <c r="AH149" s="883"/>
      <c r="AI149" s="883"/>
      <c r="AJ149" s="877"/>
      <c r="AK149" s="879"/>
      <c r="AL149" s="304"/>
      <c r="AM149" s="72"/>
      <c r="AN149" s="72"/>
      <c r="AO149" s="696" cm="1">
        <f t="array" ref="AO149">K149</f>
        <v>2040</v>
      </c>
      <c r="AP149" s="72"/>
      <c r="AQ149" s="72"/>
    </row>
    <row r="150" spans="1:43" s="880" customFormat="1" ht="14.25" hidden="1" customHeight="1" x14ac:dyDescent="0.15">
      <c r="A150" s="72"/>
      <c r="B150" s="341" t="b">
        <f t="shared" si="8"/>
        <v>0</v>
      </c>
      <c r="C150" s="72"/>
      <c r="D150" s="72"/>
      <c r="E150" s="507">
        <v>15</v>
      </c>
      <c r="F150" s="3" t="str" cm="1">
        <f t="array" aca="1" ref="F150" ca="1">OFFSET(E150,-1,1)</f>
        <v>2</v>
      </c>
      <c r="G150" s="72"/>
      <c r="H150" s="72"/>
      <c r="I150" s="72"/>
      <c r="J150" s="72"/>
      <c r="K150" s="72">
        <f>first_year+17</f>
        <v>2041</v>
      </c>
      <c r="L150" s="72"/>
      <c r="M150" s="72"/>
      <c r="N150" s="72"/>
      <c r="O150" s="72"/>
      <c r="P150" s="72"/>
      <c r="Q150" s="72"/>
      <c r="R150" s="72"/>
      <c r="S150" s="72"/>
      <c r="T150" s="353" t="b" cm="1">
        <f t="array" ref="T150">T149</f>
        <v>1</v>
      </c>
      <c r="U150" s="72"/>
      <c r="V150" s="72"/>
      <c r="W150" s="72"/>
      <c r="X150" s="990"/>
      <c r="Y150" s="72"/>
      <c r="Z150" s="967"/>
      <c r="AA150" s="72"/>
      <c r="AB150" s="168" t="str">
        <f t="shared" si="9"/>
        <v>2041 год</v>
      </c>
      <c r="AC150" s="875"/>
      <c r="AD150" s="877"/>
      <c r="AE150" s="878"/>
      <c r="AF150" s="878"/>
      <c r="AG150" s="877"/>
      <c r="AH150" s="883"/>
      <c r="AI150" s="883"/>
      <c r="AJ150" s="877"/>
      <c r="AK150" s="879"/>
      <c r="AL150" s="304"/>
      <c r="AM150" s="72"/>
      <c r="AN150" s="72"/>
      <c r="AO150" s="696" cm="1">
        <f t="array" ref="AO150">K150</f>
        <v>2041</v>
      </c>
      <c r="AP150" s="72"/>
      <c r="AQ150" s="72"/>
    </row>
    <row r="151" spans="1:43" s="880" customFormat="1" ht="14.25" hidden="1" customHeight="1" x14ac:dyDescent="0.15">
      <c r="A151" s="72"/>
      <c r="B151" s="341" t="b">
        <f t="shared" si="8"/>
        <v>0</v>
      </c>
      <c r="C151" s="72"/>
      <c r="D151" s="72"/>
      <c r="E151" s="507">
        <v>15</v>
      </c>
      <c r="F151" s="3" t="str" cm="1">
        <f t="array" aca="1" ref="F151" ca="1">OFFSET(E151,-1,1)</f>
        <v>2</v>
      </c>
      <c r="G151" s="72"/>
      <c r="H151" s="72"/>
      <c r="I151" s="72"/>
      <c r="J151" s="72"/>
      <c r="K151" s="72">
        <f>first_year+18</f>
        <v>2042</v>
      </c>
      <c r="L151" s="72"/>
      <c r="M151" s="72"/>
      <c r="N151" s="72"/>
      <c r="O151" s="72"/>
      <c r="P151" s="72"/>
      <c r="Q151" s="72"/>
      <c r="R151" s="72"/>
      <c r="S151" s="72"/>
      <c r="T151" s="353" t="b" cm="1">
        <f t="array" ref="T151">T150</f>
        <v>1</v>
      </c>
      <c r="U151" s="72"/>
      <c r="V151" s="72"/>
      <c r="W151" s="72"/>
      <c r="X151" s="990"/>
      <c r="Y151" s="72"/>
      <c r="Z151" s="967"/>
      <c r="AA151" s="72"/>
      <c r="AB151" s="168" t="str">
        <f t="shared" si="9"/>
        <v>2042 год</v>
      </c>
      <c r="AC151" s="875"/>
      <c r="AD151" s="877"/>
      <c r="AE151" s="878"/>
      <c r="AF151" s="878"/>
      <c r="AG151" s="877"/>
      <c r="AH151" s="883"/>
      <c r="AI151" s="883"/>
      <c r="AJ151" s="877"/>
      <c r="AK151" s="879"/>
      <c r="AL151" s="304"/>
      <c r="AM151" s="72"/>
      <c r="AN151" s="72"/>
      <c r="AO151" s="696" cm="1">
        <f t="array" ref="AO151">K151</f>
        <v>2042</v>
      </c>
      <c r="AP151" s="72"/>
      <c r="AQ151" s="72"/>
    </row>
    <row r="152" spans="1:43" s="880" customFormat="1" ht="14.25" hidden="1" customHeight="1" x14ac:dyDescent="0.15">
      <c r="A152" s="72"/>
      <c r="B152" s="341" t="b">
        <f t="shared" si="8"/>
        <v>0</v>
      </c>
      <c r="C152" s="72"/>
      <c r="D152" s="72"/>
      <c r="E152" s="507">
        <v>15</v>
      </c>
      <c r="F152" s="3" t="str" cm="1">
        <f t="array" aca="1" ref="F152" ca="1">OFFSET(E152,-1,1)</f>
        <v>2</v>
      </c>
      <c r="G152" s="72"/>
      <c r="H152" s="72"/>
      <c r="I152" s="72"/>
      <c r="J152" s="72"/>
      <c r="K152" s="72">
        <f>first_year+19</f>
        <v>2043</v>
      </c>
      <c r="L152" s="72"/>
      <c r="M152" s="72"/>
      <c r="N152" s="72"/>
      <c r="O152" s="72"/>
      <c r="P152" s="72"/>
      <c r="Q152" s="72"/>
      <c r="R152" s="72"/>
      <c r="S152" s="72"/>
      <c r="T152" s="353" t="b" cm="1">
        <f t="array" ref="T152">T151</f>
        <v>1</v>
      </c>
      <c r="U152" s="72"/>
      <c r="V152" s="72"/>
      <c r="W152" s="72"/>
      <c r="X152" s="990"/>
      <c r="Y152" s="72"/>
      <c r="Z152" s="967"/>
      <c r="AA152" s="72"/>
      <c r="AB152" s="168" t="str">
        <f t="shared" si="9"/>
        <v>2043 год</v>
      </c>
      <c r="AC152" s="875"/>
      <c r="AD152" s="877"/>
      <c r="AE152" s="878"/>
      <c r="AF152" s="878"/>
      <c r="AG152" s="877"/>
      <c r="AH152" s="883"/>
      <c r="AI152" s="883"/>
      <c r="AJ152" s="877"/>
      <c r="AK152" s="879"/>
      <c r="AL152" s="304"/>
      <c r="AM152" s="72"/>
      <c r="AN152" s="72"/>
      <c r="AO152" s="696" cm="1">
        <f t="array" ref="AO152">K152</f>
        <v>2043</v>
      </c>
      <c r="AP152" s="72"/>
      <c r="AQ152" s="72"/>
    </row>
    <row r="153" spans="1:43" s="880" customFormat="1" ht="14.25" hidden="1" customHeight="1" x14ac:dyDescent="0.15">
      <c r="A153" s="72"/>
      <c r="B153" s="341" t="b">
        <f t="shared" si="8"/>
        <v>0</v>
      </c>
      <c r="C153" s="72"/>
      <c r="D153" s="72"/>
      <c r="E153" s="507">
        <v>15</v>
      </c>
      <c r="F153" s="3" t="str" cm="1">
        <f t="array" aca="1" ref="F153" ca="1">OFFSET(E153,-1,1)</f>
        <v>2</v>
      </c>
      <c r="G153" s="72"/>
      <c r="H153" s="72"/>
      <c r="I153" s="72"/>
      <c r="J153" s="72"/>
      <c r="K153" s="72">
        <f>first_year+20</f>
        <v>2044</v>
      </c>
      <c r="L153" s="72"/>
      <c r="M153" s="72"/>
      <c r="N153" s="72"/>
      <c r="O153" s="72"/>
      <c r="P153" s="72"/>
      <c r="Q153" s="72"/>
      <c r="R153" s="72"/>
      <c r="S153" s="72"/>
      <c r="T153" s="353" t="b" cm="1">
        <f t="array" ref="T153">T152</f>
        <v>1</v>
      </c>
      <c r="U153" s="72"/>
      <c r="V153" s="72"/>
      <c r="W153" s="72"/>
      <c r="X153" s="990"/>
      <c r="Y153" s="72"/>
      <c r="Z153" s="967"/>
      <c r="AA153" s="72"/>
      <c r="AB153" s="168" t="str">
        <f t="shared" si="9"/>
        <v>2044 год</v>
      </c>
      <c r="AC153" s="875"/>
      <c r="AD153" s="877"/>
      <c r="AE153" s="878"/>
      <c r="AF153" s="878"/>
      <c r="AG153" s="877"/>
      <c r="AH153" s="883"/>
      <c r="AI153" s="883"/>
      <c r="AJ153" s="877"/>
      <c r="AK153" s="879"/>
      <c r="AL153" s="304"/>
      <c r="AM153" s="72"/>
      <c r="AN153" s="72"/>
      <c r="AO153" s="696" cm="1">
        <f t="array" ref="AO153">K153</f>
        <v>2044</v>
      </c>
      <c r="AP153" s="72"/>
      <c r="AQ153" s="72"/>
    </row>
    <row r="154" spans="1:43" s="880" customFormat="1" ht="14.25" hidden="1" customHeight="1" x14ac:dyDescent="0.15">
      <c r="A154" s="72"/>
      <c r="B154" s="341" t="b">
        <f t="shared" si="8"/>
        <v>0</v>
      </c>
      <c r="C154" s="72"/>
      <c r="D154" s="72"/>
      <c r="E154" s="507">
        <v>15</v>
      </c>
      <c r="F154" s="3" t="str" cm="1">
        <f t="array" aca="1" ref="F154" ca="1">OFFSET(E154,-1,1)</f>
        <v>2</v>
      </c>
      <c r="G154" s="72"/>
      <c r="H154" s="72"/>
      <c r="I154" s="72"/>
      <c r="J154" s="72"/>
      <c r="K154" s="72">
        <f>first_year+21</f>
        <v>2045</v>
      </c>
      <c r="L154" s="72"/>
      <c r="M154" s="72"/>
      <c r="N154" s="72"/>
      <c r="O154" s="72"/>
      <c r="P154" s="72"/>
      <c r="Q154" s="72"/>
      <c r="R154" s="72"/>
      <c r="S154" s="72"/>
      <c r="T154" s="353" t="b" cm="1">
        <f t="array" ref="T154">T153</f>
        <v>1</v>
      </c>
      <c r="U154" s="72"/>
      <c r="V154" s="72"/>
      <c r="W154" s="72"/>
      <c r="X154" s="990"/>
      <c r="Y154" s="72"/>
      <c r="Z154" s="967"/>
      <c r="AA154" s="72"/>
      <c r="AB154" s="168" t="str">
        <f t="shared" si="9"/>
        <v>2045 год</v>
      </c>
      <c r="AC154" s="875"/>
      <c r="AD154" s="877"/>
      <c r="AE154" s="878"/>
      <c r="AF154" s="878"/>
      <c r="AG154" s="877"/>
      <c r="AH154" s="883"/>
      <c r="AI154" s="883"/>
      <c r="AJ154" s="877"/>
      <c r="AK154" s="879"/>
      <c r="AL154" s="304"/>
      <c r="AM154" s="72"/>
      <c r="AN154" s="72"/>
      <c r="AO154" s="696" cm="1">
        <f t="array" ref="AO154">K154</f>
        <v>2045</v>
      </c>
      <c r="AP154" s="72"/>
      <c r="AQ154" s="72"/>
    </row>
    <row r="155" spans="1:43" s="880" customFormat="1" ht="14.25" hidden="1" customHeight="1" x14ac:dyDescent="0.15">
      <c r="A155" s="72"/>
      <c r="B155" s="341" t="b">
        <f t="shared" si="8"/>
        <v>0</v>
      </c>
      <c r="C155" s="72"/>
      <c r="D155" s="72"/>
      <c r="E155" s="507">
        <v>15</v>
      </c>
      <c r="F155" s="3" t="str" cm="1">
        <f t="array" aca="1" ref="F155" ca="1">OFFSET(E155,-1,1)</f>
        <v>2</v>
      </c>
      <c r="G155" s="72"/>
      <c r="H155" s="72"/>
      <c r="I155" s="72"/>
      <c r="J155" s="72"/>
      <c r="K155" s="72">
        <f>first_year+22</f>
        <v>2046</v>
      </c>
      <c r="L155" s="72"/>
      <c r="M155" s="72"/>
      <c r="N155" s="72"/>
      <c r="O155" s="72"/>
      <c r="P155" s="72"/>
      <c r="Q155" s="72"/>
      <c r="R155" s="72"/>
      <c r="S155" s="72"/>
      <c r="T155" s="353" t="b" cm="1">
        <f t="array" ref="T155">T154</f>
        <v>1</v>
      </c>
      <c r="U155" s="72"/>
      <c r="V155" s="72"/>
      <c r="W155" s="72"/>
      <c r="X155" s="990"/>
      <c r="Y155" s="72"/>
      <c r="Z155" s="967"/>
      <c r="AA155" s="72"/>
      <c r="AB155" s="168" t="str">
        <f t="shared" si="9"/>
        <v>2046 год</v>
      </c>
      <c r="AC155" s="875"/>
      <c r="AD155" s="877"/>
      <c r="AE155" s="878"/>
      <c r="AF155" s="878"/>
      <c r="AG155" s="877"/>
      <c r="AH155" s="883"/>
      <c r="AI155" s="883"/>
      <c r="AJ155" s="877"/>
      <c r="AK155" s="879"/>
      <c r="AL155" s="304"/>
      <c r="AM155" s="72"/>
      <c r="AN155" s="72"/>
      <c r="AO155" s="696" cm="1">
        <f t="array" ref="AO155">K155</f>
        <v>2046</v>
      </c>
      <c r="AP155" s="72"/>
      <c r="AQ155" s="72"/>
    </row>
    <row r="156" spans="1:43" s="880" customFormat="1" ht="14.25" hidden="1" customHeight="1" x14ac:dyDescent="0.15">
      <c r="A156" s="72"/>
      <c r="B156" s="341" t="b">
        <f t="shared" si="8"/>
        <v>0</v>
      </c>
      <c r="C156" s="72"/>
      <c r="D156" s="72"/>
      <c r="E156" s="507">
        <v>15</v>
      </c>
      <c r="F156" s="3" t="str" cm="1">
        <f t="array" aca="1" ref="F156" ca="1">OFFSET(E156,-1,1)</f>
        <v>2</v>
      </c>
      <c r="G156" s="72"/>
      <c r="H156" s="72"/>
      <c r="I156" s="72"/>
      <c r="J156" s="72"/>
      <c r="K156" s="72">
        <f>first_year+23</f>
        <v>2047</v>
      </c>
      <c r="L156" s="72"/>
      <c r="M156" s="72"/>
      <c r="N156" s="72"/>
      <c r="O156" s="72"/>
      <c r="P156" s="72"/>
      <c r="Q156" s="72"/>
      <c r="R156" s="72"/>
      <c r="S156" s="72"/>
      <c r="T156" s="353" t="b" cm="1">
        <f t="array" ref="T156">T155</f>
        <v>1</v>
      </c>
      <c r="U156" s="72"/>
      <c r="V156" s="72"/>
      <c r="W156" s="72"/>
      <c r="X156" s="990"/>
      <c r="Y156" s="72"/>
      <c r="Z156" s="967"/>
      <c r="AA156" s="72"/>
      <c r="AB156" s="168" t="str">
        <f t="shared" si="9"/>
        <v>2047 год</v>
      </c>
      <c r="AC156" s="875"/>
      <c r="AD156" s="877"/>
      <c r="AE156" s="878"/>
      <c r="AF156" s="878"/>
      <c r="AG156" s="877"/>
      <c r="AH156" s="883"/>
      <c r="AI156" s="883"/>
      <c r="AJ156" s="877"/>
      <c r="AK156" s="879"/>
      <c r="AL156" s="304"/>
      <c r="AM156" s="72"/>
      <c r="AN156" s="72"/>
      <c r="AO156" s="696" cm="1">
        <f t="array" ref="AO156">K156</f>
        <v>2047</v>
      </c>
      <c r="AP156" s="72"/>
      <c r="AQ156" s="72"/>
    </row>
    <row r="157" spans="1:43" s="880" customFormat="1" ht="14.25" hidden="1" customHeight="1" x14ac:dyDescent="0.15">
      <c r="A157" s="72"/>
      <c r="B157" s="341" t="b">
        <f t="shared" si="8"/>
        <v>0</v>
      </c>
      <c r="C157" s="72"/>
      <c r="D157" s="72"/>
      <c r="E157" s="507">
        <v>15</v>
      </c>
      <c r="F157" s="3" t="str" cm="1">
        <f t="array" aca="1" ref="F157" ca="1">OFFSET(E157,-1,1)</f>
        <v>2</v>
      </c>
      <c r="G157" s="72"/>
      <c r="H157" s="72"/>
      <c r="I157" s="72"/>
      <c r="J157" s="72"/>
      <c r="K157" s="72">
        <f>first_year+24</f>
        <v>2048</v>
      </c>
      <c r="L157" s="72"/>
      <c r="M157" s="72"/>
      <c r="N157" s="72"/>
      <c r="O157" s="72"/>
      <c r="P157" s="72"/>
      <c r="Q157" s="72"/>
      <c r="R157" s="72"/>
      <c r="S157" s="72"/>
      <c r="T157" s="353" t="b" cm="1">
        <f t="array" ref="T157">T156</f>
        <v>1</v>
      </c>
      <c r="U157" s="72"/>
      <c r="V157" s="72"/>
      <c r="W157" s="72"/>
      <c r="X157" s="990"/>
      <c r="Y157" s="72"/>
      <c r="Z157" s="967"/>
      <c r="AA157" s="72"/>
      <c r="AB157" s="168" t="str">
        <f t="shared" si="9"/>
        <v>2048 год</v>
      </c>
      <c r="AC157" s="875"/>
      <c r="AD157" s="877"/>
      <c r="AE157" s="878"/>
      <c r="AF157" s="878"/>
      <c r="AG157" s="877"/>
      <c r="AH157" s="883"/>
      <c r="AI157" s="883"/>
      <c r="AJ157" s="877"/>
      <c r="AK157" s="879"/>
      <c r="AL157" s="304"/>
      <c r="AM157" s="72"/>
      <c r="AN157" s="72"/>
      <c r="AO157" s="696" cm="1">
        <f t="array" ref="AO157">K157</f>
        <v>2048</v>
      </c>
      <c r="AP157" s="72"/>
      <c r="AQ157" s="72"/>
    </row>
    <row r="158" spans="1:43" s="880" customFormat="1" ht="14.25" hidden="1" customHeight="1" x14ac:dyDescent="0.15">
      <c r="A158" s="72"/>
      <c r="B158" s="341" t="b">
        <f t="shared" si="8"/>
        <v>0</v>
      </c>
      <c r="C158" s="72"/>
      <c r="D158" s="72"/>
      <c r="E158" s="507">
        <v>15</v>
      </c>
      <c r="F158" s="3" t="str" cm="1">
        <f t="array" aca="1" ref="F158" ca="1">OFFSET(E158,-1,1)</f>
        <v>2</v>
      </c>
      <c r="G158" s="72"/>
      <c r="H158" s="72"/>
      <c r="I158" s="72"/>
      <c r="J158" s="72"/>
      <c r="K158" s="72">
        <f>first_year+25</f>
        <v>2049</v>
      </c>
      <c r="L158" s="72"/>
      <c r="M158" s="72"/>
      <c r="N158" s="72"/>
      <c r="O158" s="72"/>
      <c r="P158" s="72"/>
      <c r="Q158" s="72"/>
      <c r="R158" s="72"/>
      <c r="S158" s="72"/>
      <c r="T158" s="353" t="b" cm="1">
        <f t="array" ref="T158">T157</f>
        <v>1</v>
      </c>
      <c r="U158" s="72"/>
      <c r="V158" s="72"/>
      <c r="W158" s="72"/>
      <c r="X158" s="990"/>
      <c r="Y158" s="72"/>
      <c r="Z158" s="967"/>
      <c r="AA158" s="72"/>
      <c r="AB158" s="168" t="str">
        <f t="shared" si="9"/>
        <v>2049 год</v>
      </c>
      <c r="AC158" s="875"/>
      <c r="AD158" s="877"/>
      <c r="AE158" s="878"/>
      <c r="AF158" s="878"/>
      <c r="AG158" s="877"/>
      <c r="AH158" s="883"/>
      <c r="AI158" s="883"/>
      <c r="AJ158" s="877"/>
      <c r="AK158" s="879"/>
      <c r="AL158" s="304"/>
      <c r="AM158" s="72"/>
      <c r="AN158" s="72"/>
      <c r="AO158" s="696" cm="1">
        <f t="array" ref="AO158">K158</f>
        <v>2049</v>
      </c>
      <c r="AP158" s="72"/>
      <c r="AQ158" s="72"/>
    </row>
    <row r="159" spans="1:43" s="880" customFormat="1" ht="14.25" hidden="1" customHeight="1" x14ac:dyDescent="0.15">
      <c r="A159" s="72"/>
      <c r="B159" s="341" t="b">
        <f t="shared" si="8"/>
        <v>0</v>
      </c>
      <c r="C159" s="72"/>
      <c r="D159" s="72"/>
      <c r="E159" s="507">
        <v>15</v>
      </c>
      <c r="F159" s="3" t="str" cm="1">
        <f t="array" aca="1" ref="F159" ca="1">OFFSET(E159,-1,1)</f>
        <v>2</v>
      </c>
      <c r="G159" s="72"/>
      <c r="H159" s="72"/>
      <c r="I159" s="72"/>
      <c r="J159" s="72"/>
      <c r="K159" s="72">
        <f>first_year+26</f>
        <v>2050</v>
      </c>
      <c r="L159" s="72"/>
      <c r="M159" s="72"/>
      <c r="N159" s="72"/>
      <c r="O159" s="72"/>
      <c r="P159" s="72"/>
      <c r="Q159" s="72"/>
      <c r="R159" s="72"/>
      <c r="S159" s="72"/>
      <c r="T159" s="353" t="b" cm="1">
        <f t="array" ref="T159">T158</f>
        <v>1</v>
      </c>
      <c r="U159" s="72"/>
      <c r="V159" s="72"/>
      <c r="W159" s="72"/>
      <c r="X159" s="990"/>
      <c r="Y159" s="72"/>
      <c r="Z159" s="967"/>
      <c r="AA159" s="72"/>
      <c r="AB159" s="168" t="str">
        <f t="shared" si="9"/>
        <v>2050 год</v>
      </c>
      <c r="AC159" s="875"/>
      <c r="AD159" s="877"/>
      <c r="AE159" s="878"/>
      <c r="AF159" s="878"/>
      <c r="AG159" s="877"/>
      <c r="AH159" s="883"/>
      <c r="AI159" s="883"/>
      <c r="AJ159" s="877"/>
      <c r="AK159" s="879"/>
      <c r="AL159" s="304"/>
      <c r="AM159" s="72"/>
      <c r="AN159" s="72"/>
      <c r="AO159" s="696" cm="1">
        <f t="array" ref="AO159">K159</f>
        <v>2050</v>
      </c>
      <c r="AP159" s="72"/>
      <c r="AQ159" s="72"/>
    </row>
    <row r="160" spans="1:43" s="880" customFormat="1" ht="14.25" hidden="1" customHeight="1" x14ac:dyDescent="0.15">
      <c r="A160" s="72"/>
      <c r="B160" s="341" t="b">
        <f t="shared" si="8"/>
        <v>0</v>
      </c>
      <c r="C160" s="72"/>
      <c r="D160" s="72"/>
      <c r="E160" s="507">
        <v>15</v>
      </c>
      <c r="F160" s="3" t="str" cm="1">
        <f t="array" aca="1" ref="F160" ca="1">OFFSET(E160,-1,1)</f>
        <v>2</v>
      </c>
      <c r="G160" s="72"/>
      <c r="H160" s="72"/>
      <c r="I160" s="72"/>
      <c r="J160" s="72"/>
      <c r="K160" s="72">
        <f>first_year+27</f>
        <v>2051</v>
      </c>
      <c r="L160" s="72"/>
      <c r="M160" s="72"/>
      <c r="N160" s="72"/>
      <c r="O160" s="72"/>
      <c r="P160" s="72"/>
      <c r="Q160" s="72"/>
      <c r="R160" s="72"/>
      <c r="S160" s="72"/>
      <c r="T160" s="353" t="b" cm="1">
        <f t="array" ref="T160">T159</f>
        <v>1</v>
      </c>
      <c r="U160" s="72"/>
      <c r="V160" s="72"/>
      <c r="W160" s="72"/>
      <c r="X160" s="990"/>
      <c r="Y160" s="72"/>
      <c r="Z160" s="967"/>
      <c r="AA160" s="72"/>
      <c r="AB160" s="168" t="str">
        <f t="shared" si="9"/>
        <v>2051 год</v>
      </c>
      <c r="AC160" s="875"/>
      <c r="AD160" s="877"/>
      <c r="AE160" s="878"/>
      <c r="AF160" s="878"/>
      <c r="AG160" s="877"/>
      <c r="AH160" s="883"/>
      <c r="AI160" s="883"/>
      <c r="AJ160" s="877"/>
      <c r="AK160" s="879"/>
      <c r="AL160" s="304"/>
      <c r="AM160" s="72"/>
      <c r="AN160" s="72"/>
      <c r="AO160" s="696" cm="1">
        <f t="array" ref="AO160">K160</f>
        <v>2051</v>
      </c>
      <c r="AP160" s="72"/>
      <c r="AQ160" s="72"/>
    </row>
    <row r="161" spans="1:43" s="880" customFormat="1" ht="14.25" hidden="1" customHeight="1" x14ac:dyDescent="0.15">
      <c r="A161" s="72"/>
      <c r="B161" s="341" t="b">
        <f t="shared" si="8"/>
        <v>0</v>
      </c>
      <c r="C161" s="72"/>
      <c r="D161" s="72"/>
      <c r="E161" s="507">
        <v>15</v>
      </c>
      <c r="F161" s="3" t="str" cm="1">
        <f t="array" aca="1" ref="F161" ca="1">OFFSET(E161,-1,1)</f>
        <v>2</v>
      </c>
      <c r="G161" s="72"/>
      <c r="H161" s="72"/>
      <c r="I161" s="72"/>
      <c r="J161" s="72"/>
      <c r="K161" s="72">
        <f>first_year+28</f>
        <v>2052</v>
      </c>
      <c r="L161" s="72"/>
      <c r="M161" s="72"/>
      <c r="N161" s="72"/>
      <c r="O161" s="72"/>
      <c r="P161" s="72"/>
      <c r="Q161" s="72"/>
      <c r="R161" s="72"/>
      <c r="S161" s="72"/>
      <c r="T161" s="353" t="b" cm="1">
        <f t="array" ref="T161">T160</f>
        <v>1</v>
      </c>
      <c r="U161" s="72"/>
      <c r="V161" s="72"/>
      <c r="W161" s="72"/>
      <c r="X161" s="990"/>
      <c r="Y161" s="72"/>
      <c r="Z161" s="967"/>
      <c r="AA161" s="72"/>
      <c r="AB161" s="168" t="str">
        <f t="shared" si="9"/>
        <v>2052 год</v>
      </c>
      <c r="AC161" s="875"/>
      <c r="AD161" s="877"/>
      <c r="AE161" s="878"/>
      <c r="AF161" s="878"/>
      <c r="AG161" s="877"/>
      <c r="AH161" s="883"/>
      <c r="AI161" s="883"/>
      <c r="AJ161" s="877"/>
      <c r="AK161" s="879"/>
      <c r="AL161" s="304"/>
      <c r="AM161" s="72"/>
      <c r="AN161" s="72"/>
      <c r="AO161" s="696" cm="1">
        <f t="array" ref="AO161">K161</f>
        <v>2052</v>
      </c>
      <c r="AP161" s="72"/>
      <c r="AQ161" s="72"/>
    </row>
    <row r="162" spans="1:43" s="880" customFormat="1" ht="14.25" hidden="1" customHeight="1" x14ac:dyDescent="0.15">
      <c r="A162" s="72"/>
      <c r="B162" s="341" t="b">
        <f t="shared" si="8"/>
        <v>0</v>
      </c>
      <c r="C162" s="72"/>
      <c r="D162" s="72"/>
      <c r="E162" s="507">
        <v>15</v>
      </c>
      <c r="F162" s="3" t="str" cm="1">
        <f t="array" aca="1" ref="F162" ca="1">OFFSET(E162,-1,1)</f>
        <v>2</v>
      </c>
      <c r="G162" s="72"/>
      <c r="H162" s="72"/>
      <c r="I162" s="72"/>
      <c r="J162" s="72"/>
      <c r="K162" s="72">
        <f>first_year+29</f>
        <v>2053</v>
      </c>
      <c r="L162" s="72"/>
      <c r="M162" s="72"/>
      <c r="N162" s="72"/>
      <c r="O162" s="72"/>
      <c r="P162" s="72"/>
      <c r="Q162" s="72"/>
      <c r="R162" s="72"/>
      <c r="S162" s="72"/>
      <c r="T162" s="353" t="b" cm="1">
        <f t="array" ref="T162">T161</f>
        <v>1</v>
      </c>
      <c r="U162" s="72"/>
      <c r="V162" s="72"/>
      <c r="W162" s="72"/>
      <c r="X162" s="990"/>
      <c r="Y162" s="72"/>
      <c r="Z162" s="967"/>
      <c r="AA162" s="72"/>
      <c r="AB162" s="168" t="str">
        <f t="shared" si="9"/>
        <v>2053 год</v>
      </c>
      <c r="AC162" s="875"/>
      <c r="AD162" s="877"/>
      <c r="AE162" s="878"/>
      <c r="AF162" s="878"/>
      <c r="AG162" s="877"/>
      <c r="AH162" s="883"/>
      <c r="AI162" s="883"/>
      <c r="AJ162" s="877"/>
      <c r="AK162" s="879"/>
      <c r="AL162" s="304"/>
      <c r="AM162" s="72"/>
      <c r="AN162" s="72"/>
      <c r="AO162" s="696" cm="1">
        <f t="array" ref="AO162">K162</f>
        <v>2053</v>
      </c>
      <c r="AP162" s="72"/>
      <c r="AQ162" s="72"/>
    </row>
    <row r="163" spans="1:43" s="880" customFormat="1" ht="14.25" hidden="1" customHeight="1" x14ac:dyDescent="0.15">
      <c r="A163" s="72"/>
      <c r="B163" s="341" t="b">
        <f t="shared" si="8"/>
        <v>0</v>
      </c>
      <c r="C163" s="72"/>
      <c r="D163" s="72"/>
      <c r="E163" s="507">
        <v>15</v>
      </c>
      <c r="F163" s="3" t="str" cm="1">
        <f t="array" aca="1" ref="F163" ca="1">OFFSET(E163,-1,1)</f>
        <v>2</v>
      </c>
      <c r="G163" s="72"/>
      <c r="H163" s="72"/>
      <c r="I163" s="72"/>
      <c r="J163" s="72"/>
      <c r="K163" s="72">
        <f>first_year+30</f>
        <v>2054</v>
      </c>
      <c r="L163" s="72"/>
      <c r="M163" s="72"/>
      <c r="N163" s="72"/>
      <c r="O163" s="72"/>
      <c r="P163" s="72"/>
      <c r="Q163" s="72"/>
      <c r="R163" s="72"/>
      <c r="S163" s="72"/>
      <c r="T163" s="353" t="b" cm="1">
        <f t="array" ref="T163">T162</f>
        <v>1</v>
      </c>
      <c r="U163" s="72"/>
      <c r="V163" s="72"/>
      <c r="W163" s="72"/>
      <c r="X163" s="990"/>
      <c r="Y163" s="72"/>
      <c r="Z163" s="967"/>
      <c r="AA163" s="72"/>
      <c r="AB163" s="168" t="str">
        <f t="shared" si="9"/>
        <v>2054 год</v>
      </c>
      <c r="AC163" s="875"/>
      <c r="AD163" s="877"/>
      <c r="AE163" s="878"/>
      <c r="AF163" s="878"/>
      <c r="AG163" s="877"/>
      <c r="AH163" s="883"/>
      <c r="AI163" s="883"/>
      <c r="AJ163" s="877"/>
      <c r="AK163" s="879"/>
      <c r="AL163" s="304"/>
      <c r="AM163" s="72"/>
      <c r="AN163" s="72"/>
      <c r="AO163" s="696" cm="1">
        <f t="array" ref="AO163">K163</f>
        <v>2054</v>
      </c>
      <c r="AP163" s="72"/>
      <c r="AQ163" s="72"/>
    </row>
    <row r="164" spans="1:43" s="880" customFormat="1" ht="14.25" hidden="1" customHeight="1" x14ac:dyDescent="0.15">
      <c r="A164" s="72"/>
      <c r="B164" s="341" t="b">
        <f t="shared" si="8"/>
        <v>0</v>
      </c>
      <c r="C164" s="72"/>
      <c r="D164" s="72"/>
      <c r="E164" s="507">
        <v>15</v>
      </c>
      <c r="F164" s="3" t="str" cm="1">
        <f t="array" aca="1" ref="F164" ca="1">OFFSET(E164,-1,1)</f>
        <v>2</v>
      </c>
      <c r="G164" s="72"/>
      <c r="H164" s="72"/>
      <c r="I164" s="72"/>
      <c r="J164" s="72"/>
      <c r="K164" s="72">
        <f>first_year+31</f>
        <v>2055</v>
      </c>
      <c r="L164" s="72"/>
      <c r="M164" s="72"/>
      <c r="N164" s="72"/>
      <c r="O164" s="72"/>
      <c r="P164" s="72"/>
      <c r="Q164" s="72"/>
      <c r="R164" s="72"/>
      <c r="S164" s="72"/>
      <c r="T164" s="353" t="b" cm="1">
        <f t="array" ref="T164">T163</f>
        <v>1</v>
      </c>
      <c r="U164" s="72"/>
      <c r="V164" s="72"/>
      <c r="W164" s="72"/>
      <c r="X164" s="990"/>
      <c r="Y164" s="72"/>
      <c r="Z164" s="967"/>
      <c r="AA164" s="72"/>
      <c r="AB164" s="168" t="str">
        <f t="shared" si="9"/>
        <v>2055 год</v>
      </c>
      <c r="AC164" s="875"/>
      <c r="AD164" s="877"/>
      <c r="AE164" s="878"/>
      <c r="AF164" s="878"/>
      <c r="AG164" s="877"/>
      <c r="AH164" s="883"/>
      <c r="AI164" s="883"/>
      <c r="AJ164" s="877"/>
      <c r="AK164" s="879"/>
      <c r="AL164" s="304"/>
      <c r="AM164" s="72"/>
      <c r="AN164" s="72"/>
      <c r="AO164" s="696" cm="1">
        <f t="array" ref="AO164">K164</f>
        <v>2055</v>
      </c>
      <c r="AP164" s="72"/>
      <c r="AQ164" s="72"/>
    </row>
    <row r="165" spans="1:43" s="880" customFormat="1" ht="14.25" hidden="1" customHeight="1" x14ac:dyDescent="0.15">
      <c r="A165" s="72"/>
      <c r="B165" s="341" t="b">
        <f t="shared" ref="B165:B182" si="10">K165&lt;first_year+PERIOD_LENGTH</f>
        <v>0</v>
      </c>
      <c r="C165" s="72"/>
      <c r="D165" s="72"/>
      <c r="E165" s="507">
        <v>15</v>
      </c>
      <c r="F165" s="3" t="str" cm="1">
        <f t="array" aca="1" ref="F165" ca="1">OFFSET(E165,-1,1)</f>
        <v>2</v>
      </c>
      <c r="G165" s="72"/>
      <c r="H165" s="72"/>
      <c r="I165" s="72"/>
      <c r="J165" s="72"/>
      <c r="K165" s="72">
        <f>first_year+32</f>
        <v>2056</v>
      </c>
      <c r="L165" s="72"/>
      <c r="M165" s="72"/>
      <c r="N165" s="72"/>
      <c r="O165" s="72"/>
      <c r="P165" s="72"/>
      <c r="Q165" s="72"/>
      <c r="R165" s="72"/>
      <c r="S165" s="72"/>
      <c r="T165" s="353" t="b" cm="1">
        <f t="array" ref="T165">T164</f>
        <v>1</v>
      </c>
      <c r="U165" s="72"/>
      <c r="V165" s="72"/>
      <c r="W165" s="72"/>
      <c r="X165" s="990"/>
      <c r="Y165" s="72"/>
      <c r="Z165" s="967"/>
      <c r="AA165" s="72"/>
      <c r="AB165" s="168" t="str">
        <f t="shared" ref="AB165:AB182" si="11">K165&amp;" год"</f>
        <v>2056 год</v>
      </c>
      <c r="AC165" s="875"/>
      <c r="AD165" s="877"/>
      <c r="AE165" s="878"/>
      <c r="AF165" s="878"/>
      <c r="AG165" s="877"/>
      <c r="AH165" s="883"/>
      <c r="AI165" s="883"/>
      <c r="AJ165" s="877"/>
      <c r="AK165" s="879"/>
      <c r="AL165" s="304"/>
      <c r="AM165" s="72"/>
      <c r="AN165" s="72"/>
      <c r="AO165" s="696" cm="1">
        <f t="array" ref="AO165">K165</f>
        <v>2056</v>
      </c>
      <c r="AP165" s="72"/>
      <c r="AQ165" s="72"/>
    </row>
    <row r="166" spans="1:43" s="880" customFormat="1" ht="14.25" hidden="1" customHeight="1" x14ac:dyDescent="0.15">
      <c r="A166" s="72"/>
      <c r="B166" s="341" t="b">
        <f t="shared" si="10"/>
        <v>0</v>
      </c>
      <c r="C166" s="72"/>
      <c r="D166" s="72"/>
      <c r="E166" s="507">
        <v>15</v>
      </c>
      <c r="F166" s="3" t="str" cm="1">
        <f t="array" aca="1" ref="F166" ca="1">OFFSET(E166,-1,1)</f>
        <v>2</v>
      </c>
      <c r="G166" s="72"/>
      <c r="H166" s="72"/>
      <c r="I166" s="72"/>
      <c r="J166" s="72"/>
      <c r="K166" s="72">
        <f>first_year+33</f>
        <v>2057</v>
      </c>
      <c r="L166" s="72"/>
      <c r="M166" s="72"/>
      <c r="N166" s="72"/>
      <c r="O166" s="72"/>
      <c r="P166" s="72"/>
      <c r="Q166" s="72"/>
      <c r="R166" s="72"/>
      <c r="S166" s="72"/>
      <c r="T166" s="353" t="b" cm="1">
        <f t="array" ref="T166">T165</f>
        <v>1</v>
      </c>
      <c r="U166" s="72"/>
      <c r="V166" s="72"/>
      <c r="W166" s="72"/>
      <c r="X166" s="990"/>
      <c r="Y166" s="72"/>
      <c r="Z166" s="967"/>
      <c r="AA166" s="72"/>
      <c r="AB166" s="168" t="str">
        <f t="shared" si="11"/>
        <v>2057 год</v>
      </c>
      <c r="AC166" s="875"/>
      <c r="AD166" s="877"/>
      <c r="AE166" s="878"/>
      <c r="AF166" s="878"/>
      <c r="AG166" s="877"/>
      <c r="AH166" s="883"/>
      <c r="AI166" s="883"/>
      <c r="AJ166" s="877"/>
      <c r="AK166" s="879"/>
      <c r="AL166" s="304"/>
      <c r="AM166" s="72"/>
      <c r="AN166" s="72"/>
      <c r="AO166" s="696" cm="1">
        <f t="array" ref="AO166">K166</f>
        <v>2057</v>
      </c>
      <c r="AP166" s="72"/>
      <c r="AQ166" s="72"/>
    </row>
    <row r="167" spans="1:43" s="880" customFormat="1" ht="14.25" hidden="1" customHeight="1" x14ac:dyDescent="0.15">
      <c r="A167" s="72"/>
      <c r="B167" s="341" t="b">
        <f t="shared" si="10"/>
        <v>0</v>
      </c>
      <c r="C167" s="72"/>
      <c r="D167" s="72"/>
      <c r="E167" s="507">
        <v>15</v>
      </c>
      <c r="F167" s="3" t="str" cm="1">
        <f t="array" aca="1" ref="F167" ca="1">OFFSET(E167,-1,1)</f>
        <v>2</v>
      </c>
      <c r="G167" s="72"/>
      <c r="H167" s="72"/>
      <c r="I167" s="72"/>
      <c r="J167" s="72"/>
      <c r="K167" s="72">
        <f>first_year+34</f>
        <v>2058</v>
      </c>
      <c r="L167" s="72"/>
      <c r="M167" s="72"/>
      <c r="N167" s="72"/>
      <c r="O167" s="72"/>
      <c r="P167" s="72"/>
      <c r="Q167" s="72"/>
      <c r="R167" s="72"/>
      <c r="S167" s="72"/>
      <c r="T167" s="353" t="b" cm="1">
        <f t="array" ref="T167">T166</f>
        <v>1</v>
      </c>
      <c r="U167" s="72"/>
      <c r="V167" s="72"/>
      <c r="W167" s="72"/>
      <c r="X167" s="990"/>
      <c r="Y167" s="72"/>
      <c r="Z167" s="967"/>
      <c r="AA167" s="72"/>
      <c r="AB167" s="168" t="str">
        <f t="shared" si="11"/>
        <v>2058 год</v>
      </c>
      <c r="AC167" s="875"/>
      <c r="AD167" s="877"/>
      <c r="AE167" s="878"/>
      <c r="AF167" s="878"/>
      <c r="AG167" s="877"/>
      <c r="AH167" s="883"/>
      <c r="AI167" s="883"/>
      <c r="AJ167" s="877"/>
      <c r="AK167" s="879"/>
      <c r="AL167" s="304"/>
      <c r="AM167" s="72"/>
      <c r="AN167" s="72"/>
      <c r="AO167" s="696" cm="1">
        <f t="array" ref="AO167">K167</f>
        <v>2058</v>
      </c>
      <c r="AP167" s="72"/>
      <c r="AQ167" s="72"/>
    </row>
    <row r="168" spans="1:43" s="880" customFormat="1" ht="14.25" hidden="1" customHeight="1" x14ac:dyDescent="0.15">
      <c r="A168" s="72"/>
      <c r="B168" s="341" t="b">
        <f t="shared" si="10"/>
        <v>0</v>
      </c>
      <c r="C168" s="72"/>
      <c r="D168" s="72"/>
      <c r="E168" s="507">
        <v>15</v>
      </c>
      <c r="F168" s="3" t="str" cm="1">
        <f t="array" aca="1" ref="F168" ca="1">OFFSET(E168,-1,1)</f>
        <v>2</v>
      </c>
      <c r="G168" s="72"/>
      <c r="H168" s="72"/>
      <c r="I168" s="72"/>
      <c r="J168" s="72"/>
      <c r="K168" s="72">
        <f>first_year+35</f>
        <v>2059</v>
      </c>
      <c r="L168" s="72"/>
      <c r="M168" s="72"/>
      <c r="N168" s="72"/>
      <c r="O168" s="72"/>
      <c r="P168" s="72"/>
      <c r="Q168" s="72"/>
      <c r="R168" s="72"/>
      <c r="S168" s="72"/>
      <c r="T168" s="353" t="b" cm="1">
        <f t="array" ref="T168">T167</f>
        <v>1</v>
      </c>
      <c r="U168" s="72"/>
      <c r="V168" s="72"/>
      <c r="W168" s="72"/>
      <c r="X168" s="990"/>
      <c r="Y168" s="72"/>
      <c r="Z168" s="967"/>
      <c r="AA168" s="72"/>
      <c r="AB168" s="168" t="str">
        <f t="shared" si="11"/>
        <v>2059 год</v>
      </c>
      <c r="AC168" s="875"/>
      <c r="AD168" s="877"/>
      <c r="AE168" s="878"/>
      <c r="AF168" s="878"/>
      <c r="AG168" s="877"/>
      <c r="AH168" s="883"/>
      <c r="AI168" s="883"/>
      <c r="AJ168" s="877"/>
      <c r="AK168" s="879"/>
      <c r="AL168" s="304"/>
      <c r="AM168" s="72"/>
      <c r="AN168" s="72"/>
      <c r="AO168" s="696" cm="1">
        <f t="array" ref="AO168">K168</f>
        <v>2059</v>
      </c>
      <c r="AP168" s="72"/>
      <c r="AQ168" s="72"/>
    </row>
    <row r="169" spans="1:43" s="880" customFormat="1" ht="14.25" hidden="1" customHeight="1" x14ac:dyDescent="0.15">
      <c r="A169" s="72"/>
      <c r="B169" s="341" t="b">
        <f t="shared" si="10"/>
        <v>0</v>
      </c>
      <c r="C169" s="72"/>
      <c r="D169" s="72"/>
      <c r="E169" s="507">
        <v>15</v>
      </c>
      <c r="F169" s="3" t="str" cm="1">
        <f t="array" aca="1" ref="F169" ca="1">OFFSET(E169,-1,1)</f>
        <v>2</v>
      </c>
      <c r="G169" s="72"/>
      <c r="H169" s="72"/>
      <c r="I169" s="72"/>
      <c r="J169" s="72"/>
      <c r="K169" s="72">
        <f>first_year+36</f>
        <v>2060</v>
      </c>
      <c r="L169" s="72"/>
      <c r="M169" s="72"/>
      <c r="N169" s="72"/>
      <c r="O169" s="72"/>
      <c r="P169" s="72"/>
      <c r="Q169" s="72"/>
      <c r="R169" s="72"/>
      <c r="S169" s="72"/>
      <c r="T169" s="353" t="b" cm="1">
        <f t="array" ref="T169">T168</f>
        <v>1</v>
      </c>
      <c r="U169" s="72"/>
      <c r="V169" s="72"/>
      <c r="W169" s="72"/>
      <c r="X169" s="990"/>
      <c r="Y169" s="72"/>
      <c r="Z169" s="967"/>
      <c r="AA169" s="72"/>
      <c r="AB169" s="168" t="str">
        <f t="shared" si="11"/>
        <v>2060 год</v>
      </c>
      <c r="AC169" s="875"/>
      <c r="AD169" s="877"/>
      <c r="AE169" s="878"/>
      <c r="AF169" s="878"/>
      <c r="AG169" s="877"/>
      <c r="AH169" s="883"/>
      <c r="AI169" s="883"/>
      <c r="AJ169" s="877"/>
      <c r="AK169" s="879"/>
      <c r="AL169" s="304"/>
      <c r="AM169" s="72"/>
      <c r="AN169" s="72"/>
      <c r="AO169" s="696" cm="1">
        <f t="array" ref="AO169">K169</f>
        <v>2060</v>
      </c>
      <c r="AP169" s="72"/>
      <c r="AQ169" s="72"/>
    </row>
    <row r="170" spans="1:43" s="880" customFormat="1" ht="14.25" hidden="1" customHeight="1" x14ac:dyDescent="0.15">
      <c r="A170" s="72"/>
      <c r="B170" s="341" t="b">
        <f t="shared" si="10"/>
        <v>0</v>
      </c>
      <c r="C170" s="72"/>
      <c r="D170" s="72"/>
      <c r="E170" s="507">
        <v>15</v>
      </c>
      <c r="F170" s="3" t="str" cm="1">
        <f t="array" aca="1" ref="F170" ca="1">OFFSET(E170,-1,1)</f>
        <v>2</v>
      </c>
      <c r="G170" s="72"/>
      <c r="H170" s="72"/>
      <c r="I170" s="72"/>
      <c r="J170" s="72"/>
      <c r="K170" s="72">
        <f>first_year+37</f>
        <v>2061</v>
      </c>
      <c r="L170" s="72"/>
      <c r="M170" s="72"/>
      <c r="N170" s="72"/>
      <c r="O170" s="72"/>
      <c r="P170" s="72"/>
      <c r="Q170" s="72"/>
      <c r="R170" s="72"/>
      <c r="S170" s="72"/>
      <c r="T170" s="353" t="b" cm="1">
        <f t="array" ref="T170">T169</f>
        <v>1</v>
      </c>
      <c r="U170" s="72"/>
      <c r="V170" s="72"/>
      <c r="W170" s="72"/>
      <c r="X170" s="990"/>
      <c r="Y170" s="72"/>
      <c r="Z170" s="967"/>
      <c r="AA170" s="72"/>
      <c r="AB170" s="168" t="str">
        <f t="shared" si="11"/>
        <v>2061 год</v>
      </c>
      <c r="AC170" s="875"/>
      <c r="AD170" s="877"/>
      <c r="AE170" s="878"/>
      <c r="AF170" s="878"/>
      <c r="AG170" s="877"/>
      <c r="AH170" s="883"/>
      <c r="AI170" s="883"/>
      <c r="AJ170" s="877"/>
      <c r="AK170" s="879"/>
      <c r="AL170" s="304"/>
      <c r="AM170" s="72"/>
      <c r="AN170" s="72"/>
      <c r="AO170" s="696" cm="1">
        <f t="array" ref="AO170">K170</f>
        <v>2061</v>
      </c>
      <c r="AP170" s="72"/>
      <c r="AQ170" s="72"/>
    </row>
    <row r="171" spans="1:43" s="880" customFormat="1" ht="14.25" hidden="1" customHeight="1" x14ac:dyDescent="0.15">
      <c r="A171" s="72"/>
      <c r="B171" s="341" t="b">
        <f t="shared" si="10"/>
        <v>0</v>
      </c>
      <c r="C171" s="72"/>
      <c r="D171" s="72"/>
      <c r="E171" s="507">
        <v>15</v>
      </c>
      <c r="F171" s="3" t="str" cm="1">
        <f t="array" aca="1" ref="F171" ca="1">OFFSET(E171,-1,1)</f>
        <v>2</v>
      </c>
      <c r="G171" s="72"/>
      <c r="H171" s="72"/>
      <c r="I171" s="72"/>
      <c r="J171" s="72"/>
      <c r="K171" s="72">
        <f>first_year+38</f>
        <v>2062</v>
      </c>
      <c r="L171" s="72"/>
      <c r="M171" s="72"/>
      <c r="N171" s="72"/>
      <c r="O171" s="72"/>
      <c r="P171" s="72"/>
      <c r="Q171" s="72"/>
      <c r="R171" s="72"/>
      <c r="S171" s="72"/>
      <c r="T171" s="353" t="b" cm="1">
        <f t="array" ref="T171">T170</f>
        <v>1</v>
      </c>
      <c r="U171" s="72"/>
      <c r="V171" s="72"/>
      <c r="W171" s="72"/>
      <c r="X171" s="990"/>
      <c r="Y171" s="72"/>
      <c r="Z171" s="967"/>
      <c r="AA171" s="72"/>
      <c r="AB171" s="168" t="str">
        <f t="shared" si="11"/>
        <v>2062 год</v>
      </c>
      <c r="AC171" s="875"/>
      <c r="AD171" s="877"/>
      <c r="AE171" s="878"/>
      <c r="AF171" s="878"/>
      <c r="AG171" s="877"/>
      <c r="AH171" s="883"/>
      <c r="AI171" s="883"/>
      <c r="AJ171" s="877"/>
      <c r="AK171" s="879"/>
      <c r="AL171" s="304"/>
      <c r="AM171" s="72"/>
      <c r="AN171" s="72"/>
      <c r="AO171" s="696" cm="1">
        <f t="array" ref="AO171">K171</f>
        <v>2062</v>
      </c>
      <c r="AP171" s="72"/>
      <c r="AQ171" s="72"/>
    </row>
    <row r="172" spans="1:43" s="880" customFormat="1" ht="14.25" hidden="1" customHeight="1" x14ac:dyDescent="0.15">
      <c r="A172" s="72"/>
      <c r="B172" s="341" t="b">
        <f t="shared" si="10"/>
        <v>0</v>
      </c>
      <c r="C172" s="72"/>
      <c r="D172" s="72"/>
      <c r="E172" s="507">
        <v>15</v>
      </c>
      <c r="F172" s="3" t="str" cm="1">
        <f t="array" aca="1" ref="F172" ca="1">OFFSET(E172,-1,1)</f>
        <v>2</v>
      </c>
      <c r="G172" s="72"/>
      <c r="H172" s="72"/>
      <c r="I172" s="72"/>
      <c r="J172" s="72"/>
      <c r="K172" s="72">
        <f>first_year+39</f>
        <v>2063</v>
      </c>
      <c r="L172" s="72"/>
      <c r="M172" s="72"/>
      <c r="N172" s="72"/>
      <c r="O172" s="72"/>
      <c r="P172" s="72"/>
      <c r="Q172" s="72"/>
      <c r="R172" s="72"/>
      <c r="S172" s="72"/>
      <c r="T172" s="353" t="b" cm="1">
        <f t="array" ref="T172">T171</f>
        <v>1</v>
      </c>
      <c r="U172" s="72"/>
      <c r="V172" s="72"/>
      <c r="W172" s="72"/>
      <c r="X172" s="990"/>
      <c r="Y172" s="72"/>
      <c r="Z172" s="967"/>
      <c r="AA172" s="72"/>
      <c r="AB172" s="168" t="str">
        <f t="shared" si="11"/>
        <v>2063 год</v>
      </c>
      <c r="AC172" s="875"/>
      <c r="AD172" s="877"/>
      <c r="AE172" s="878"/>
      <c r="AF172" s="878"/>
      <c r="AG172" s="877"/>
      <c r="AH172" s="883"/>
      <c r="AI172" s="883"/>
      <c r="AJ172" s="877"/>
      <c r="AK172" s="879"/>
      <c r="AL172" s="304"/>
      <c r="AM172" s="72"/>
      <c r="AN172" s="72"/>
      <c r="AO172" s="696" cm="1">
        <f t="array" ref="AO172">K172</f>
        <v>2063</v>
      </c>
      <c r="AP172" s="72"/>
      <c r="AQ172" s="72"/>
    </row>
    <row r="173" spans="1:43" s="880" customFormat="1" ht="14.25" hidden="1" customHeight="1" x14ac:dyDescent="0.15">
      <c r="A173" s="72"/>
      <c r="B173" s="341" t="b">
        <f t="shared" si="10"/>
        <v>0</v>
      </c>
      <c r="C173" s="72"/>
      <c r="D173" s="72"/>
      <c r="E173" s="507">
        <v>15</v>
      </c>
      <c r="F173" s="3" t="str" cm="1">
        <f t="array" aca="1" ref="F173" ca="1">OFFSET(E173,-1,1)</f>
        <v>2</v>
      </c>
      <c r="G173" s="72"/>
      <c r="H173" s="72"/>
      <c r="I173" s="72"/>
      <c r="J173" s="72"/>
      <c r="K173" s="72">
        <f>first_year+40</f>
        <v>2064</v>
      </c>
      <c r="L173" s="72"/>
      <c r="M173" s="72"/>
      <c r="N173" s="72"/>
      <c r="O173" s="72"/>
      <c r="P173" s="72"/>
      <c r="Q173" s="72"/>
      <c r="R173" s="72"/>
      <c r="S173" s="72"/>
      <c r="T173" s="353" t="b" cm="1">
        <f t="array" ref="T173">T172</f>
        <v>1</v>
      </c>
      <c r="U173" s="72"/>
      <c r="V173" s="72"/>
      <c r="W173" s="72"/>
      <c r="X173" s="990"/>
      <c r="Y173" s="72"/>
      <c r="Z173" s="967"/>
      <c r="AA173" s="72"/>
      <c r="AB173" s="168" t="str">
        <f t="shared" si="11"/>
        <v>2064 год</v>
      </c>
      <c r="AC173" s="875"/>
      <c r="AD173" s="877"/>
      <c r="AE173" s="878"/>
      <c r="AF173" s="878"/>
      <c r="AG173" s="877"/>
      <c r="AH173" s="883"/>
      <c r="AI173" s="883"/>
      <c r="AJ173" s="877"/>
      <c r="AK173" s="879"/>
      <c r="AL173" s="304"/>
      <c r="AM173" s="72"/>
      <c r="AN173" s="72"/>
      <c r="AO173" s="696" cm="1">
        <f t="array" ref="AO173">K173</f>
        <v>2064</v>
      </c>
      <c r="AP173" s="72"/>
      <c r="AQ173" s="72"/>
    </row>
    <row r="174" spans="1:43" s="880" customFormat="1" ht="14.25" hidden="1" customHeight="1" x14ac:dyDescent="0.15">
      <c r="A174" s="72"/>
      <c r="B174" s="341" t="b">
        <f t="shared" si="10"/>
        <v>0</v>
      </c>
      <c r="C174" s="72"/>
      <c r="D174" s="72"/>
      <c r="E174" s="507">
        <v>15</v>
      </c>
      <c r="F174" s="3" t="str" cm="1">
        <f t="array" aca="1" ref="F174" ca="1">OFFSET(E174,-1,1)</f>
        <v>2</v>
      </c>
      <c r="G174" s="72"/>
      <c r="H174" s="72"/>
      <c r="I174" s="72"/>
      <c r="J174" s="72"/>
      <c r="K174" s="72">
        <f>first_year+41</f>
        <v>2065</v>
      </c>
      <c r="L174" s="72"/>
      <c r="M174" s="72"/>
      <c r="N174" s="72"/>
      <c r="O174" s="72"/>
      <c r="P174" s="72"/>
      <c r="Q174" s="72"/>
      <c r="R174" s="72"/>
      <c r="S174" s="72"/>
      <c r="T174" s="353" t="b" cm="1">
        <f t="array" ref="T174">T173</f>
        <v>1</v>
      </c>
      <c r="U174" s="72"/>
      <c r="V174" s="72"/>
      <c r="W174" s="72"/>
      <c r="X174" s="990"/>
      <c r="Y174" s="72"/>
      <c r="Z174" s="967"/>
      <c r="AA174" s="72"/>
      <c r="AB174" s="168" t="str">
        <f t="shared" si="11"/>
        <v>2065 год</v>
      </c>
      <c r="AC174" s="875"/>
      <c r="AD174" s="877"/>
      <c r="AE174" s="878"/>
      <c r="AF174" s="878"/>
      <c r="AG174" s="877"/>
      <c r="AH174" s="883"/>
      <c r="AI174" s="883"/>
      <c r="AJ174" s="877"/>
      <c r="AK174" s="879"/>
      <c r="AL174" s="304"/>
      <c r="AM174" s="72"/>
      <c r="AN174" s="72"/>
      <c r="AO174" s="696" cm="1">
        <f t="array" ref="AO174">K174</f>
        <v>2065</v>
      </c>
      <c r="AP174" s="72"/>
      <c r="AQ174" s="72"/>
    </row>
    <row r="175" spans="1:43" s="880" customFormat="1" ht="14.25" hidden="1" customHeight="1" x14ac:dyDescent="0.15">
      <c r="A175" s="72"/>
      <c r="B175" s="341" t="b">
        <f t="shared" si="10"/>
        <v>0</v>
      </c>
      <c r="C175" s="72"/>
      <c r="D175" s="72"/>
      <c r="E175" s="507">
        <v>15</v>
      </c>
      <c r="F175" s="3" t="str" cm="1">
        <f t="array" aca="1" ref="F175" ca="1">OFFSET(E175,-1,1)</f>
        <v>2</v>
      </c>
      <c r="G175" s="72"/>
      <c r="H175" s="72"/>
      <c r="I175" s="72"/>
      <c r="J175" s="72"/>
      <c r="K175" s="72">
        <f>first_year+42</f>
        <v>2066</v>
      </c>
      <c r="L175" s="72"/>
      <c r="M175" s="72"/>
      <c r="N175" s="72"/>
      <c r="O175" s="72"/>
      <c r="P175" s="72"/>
      <c r="Q175" s="72"/>
      <c r="R175" s="72"/>
      <c r="S175" s="72"/>
      <c r="T175" s="353" t="b" cm="1">
        <f t="array" ref="T175">T174</f>
        <v>1</v>
      </c>
      <c r="U175" s="72"/>
      <c r="V175" s="72"/>
      <c r="W175" s="72"/>
      <c r="X175" s="990"/>
      <c r="Y175" s="72"/>
      <c r="Z175" s="967"/>
      <c r="AA175" s="72"/>
      <c r="AB175" s="168" t="str">
        <f t="shared" si="11"/>
        <v>2066 год</v>
      </c>
      <c r="AC175" s="875"/>
      <c r="AD175" s="877"/>
      <c r="AE175" s="878"/>
      <c r="AF175" s="878"/>
      <c r="AG175" s="877"/>
      <c r="AH175" s="883"/>
      <c r="AI175" s="883"/>
      <c r="AJ175" s="877"/>
      <c r="AK175" s="879"/>
      <c r="AL175" s="304"/>
      <c r="AM175" s="72"/>
      <c r="AN175" s="72"/>
      <c r="AO175" s="696" cm="1">
        <f t="array" ref="AO175">K175</f>
        <v>2066</v>
      </c>
      <c r="AP175" s="72"/>
      <c r="AQ175" s="72"/>
    </row>
    <row r="176" spans="1:43" s="880" customFormat="1" ht="14.25" hidden="1" customHeight="1" x14ac:dyDescent="0.15">
      <c r="A176" s="72"/>
      <c r="B176" s="341" t="b">
        <f t="shared" si="10"/>
        <v>0</v>
      </c>
      <c r="C176" s="72"/>
      <c r="D176" s="72"/>
      <c r="E176" s="507">
        <v>15</v>
      </c>
      <c r="F176" s="3" t="str" cm="1">
        <f t="array" aca="1" ref="F176" ca="1">OFFSET(E176,-1,1)</f>
        <v>2</v>
      </c>
      <c r="G176" s="72"/>
      <c r="H176" s="72"/>
      <c r="I176" s="72"/>
      <c r="J176" s="72"/>
      <c r="K176" s="72">
        <f>first_year+43</f>
        <v>2067</v>
      </c>
      <c r="L176" s="72"/>
      <c r="M176" s="72"/>
      <c r="N176" s="72"/>
      <c r="O176" s="72"/>
      <c r="P176" s="72"/>
      <c r="Q176" s="72"/>
      <c r="R176" s="72"/>
      <c r="S176" s="72"/>
      <c r="T176" s="353" t="b" cm="1">
        <f t="array" ref="T176">T175</f>
        <v>1</v>
      </c>
      <c r="U176" s="72"/>
      <c r="V176" s="72"/>
      <c r="W176" s="72"/>
      <c r="X176" s="990"/>
      <c r="Y176" s="72"/>
      <c r="Z176" s="967"/>
      <c r="AA176" s="72"/>
      <c r="AB176" s="168" t="str">
        <f t="shared" si="11"/>
        <v>2067 год</v>
      </c>
      <c r="AC176" s="875"/>
      <c r="AD176" s="877"/>
      <c r="AE176" s="878"/>
      <c r="AF176" s="878"/>
      <c r="AG176" s="877"/>
      <c r="AH176" s="883"/>
      <c r="AI176" s="883"/>
      <c r="AJ176" s="877"/>
      <c r="AK176" s="879"/>
      <c r="AL176" s="304"/>
      <c r="AM176" s="72"/>
      <c r="AN176" s="72"/>
      <c r="AO176" s="696" cm="1">
        <f t="array" ref="AO176">K176</f>
        <v>2067</v>
      </c>
      <c r="AP176" s="72"/>
      <c r="AQ176" s="72"/>
    </row>
    <row r="177" spans="1:43" s="880" customFormat="1" ht="14.25" hidden="1" customHeight="1" x14ac:dyDescent="0.15">
      <c r="A177" s="72"/>
      <c r="B177" s="341" t="b">
        <f t="shared" si="10"/>
        <v>0</v>
      </c>
      <c r="C177" s="72"/>
      <c r="D177" s="72"/>
      <c r="E177" s="507">
        <v>15</v>
      </c>
      <c r="F177" s="3" t="str" cm="1">
        <f t="array" aca="1" ref="F177" ca="1">OFFSET(E177,-1,1)</f>
        <v>2</v>
      </c>
      <c r="G177" s="72"/>
      <c r="H177" s="72"/>
      <c r="I177" s="72"/>
      <c r="J177" s="72"/>
      <c r="K177" s="72">
        <f>first_year+44</f>
        <v>2068</v>
      </c>
      <c r="L177" s="72"/>
      <c r="M177" s="72"/>
      <c r="N177" s="72"/>
      <c r="O177" s="72"/>
      <c r="P177" s="72"/>
      <c r="Q177" s="72"/>
      <c r="R177" s="72"/>
      <c r="S177" s="72"/>
      <c r="T177" s="353" t="b" cm="1">
        <f t="array" ref="T177">T176</f>
        <v>1</v>
      </c>
      <c r="U177" s="72"/>
      <c r="V177" s="72"/>
      <c r="W177" s="72"/>
      <c r="X177" s="990"/>
      <c r="Y177" s="72"/>
      <c r="Z177" s="967"/>
      <c r="AA177" s="72"/>
      <c r="AB177" s="168" t="str">
        <f t="shared" si="11"/>
        <v>2068 год</v>
      </c>
      <c r="AC177" s="875"/>
      <c r="AD177" s="877"/>
      <c r="AE177" s="878"/>
      <c r="AF177" s="878"/>
      <c r="AG177" s="877"/>
      <c r="AH177" s="883"/>
      <c r="AI177" s="883"/>
      <c r="AJ177" s="877"/>
      <c r="AK177" s="879"/>
      <c r="AL177" s="304"/>
      <c r="AM177" s="72"/>
      <c r="AN177" s="72"/>
      <c r="AO177" s="696" cm="1">
        <f t="array" ref="AO177">K177</f>
        <v>2068</v>
      </c>
      <c r="AP177" s="72"/>
      <c r="AQ177" s="72"/>
    </row>
    <row r="178" spans="1:43" s="880" customFormat="1" ht="14.25" hidden="1" customHeight="1" x14ac:dyDescent="0.15">
      <c r="A178" s="72"/>
      <c r="B178" s="341" t="b">
        <f t="shared" si="10"/>
        <v>0</v>
      </c>
      <c r="C178" s="72"/>
      <c r="D178" s="72"/>
      <c r="E178" s="507">
        <v>15</v>
      </c>
      <c r="F178" s="3" t="str" cm="1">
        <f t="array" aca="1" ref="F178" ca="1">OFFSET(E178,-1,1)</f>
        <v>2</v>
      </c>
      <c r="G178" s="72"/>
      <c r="H178" s="72"/>
      <c r="I178" s="72"/>
      <c r="J178" s="72"/>
      <c r="K178" s="72">
        <f>first_year+45</f>
        <v>2069</v>
      </c>
      <c r="L178" s="72"/>
      <c r="M178" s="72"/>
      <c r="N178" s="72"/>
      <c r="O178" s="72"/>
      <c r="P178" s="72"/>
      <c r="Q178" s="72"/>
      <c r="R178" s="72"/>
      <c r="S178" s="72"/>
      <c r="T178" s="353" t="b" cm="1">
        <f t="array" ref="T178">T177</f>
        <v>1</v>
      </c>
      <c r="U178" s="72"/>
      <c r="V178" s="72"/>
      <c r="W178" s="72"/>
      <c r="X178" s="990"/>
      <c r="Y178" s="72"/>
      <c r="Z178" s="967"/>
      <c r="AA178" s="72"/>
      <c r="AB178" s="168" t="str">
        <f t="shared" si="11"/>
        <v>2069 год</v>
      </c>
      <c r="AC178" s="875"/>
      <c r="AD178" s="877"/>
      <c r="AE178" s="878"/>
      <c r="AF178" s="878"/>
      <c r="AG178" s="877"/>
      <c r="AH178" s="883"/>
      <c r="AI178" s="883"/>
      <c r="AJ178" s="877"/>
      <c r="AK178" s="879"/>
      <c r="AL178" s="304"/>
      <c r="AM178" s="72"/>
      <c r="AN178" s="72"/>
      <c r="AO178" s="696" cm="1">
        <f t="array" ref="AO178">K178</f>
        <v>2069</v>
      </c>
      <c r="AP178" s="72"/>
      <c r="AQ178" s="72"/>
    </row>
    <row r="179" spans="1:43" s="880" customFormat="1" ht="14.25" hidden="1" customHeight="1" x14ac:dyDescent="0.15">
      <c r="A179" s="72"/>
      <c r="B179" s="341" t="b">
        <f t="shared" si="10"/>
        <v>0</v>
      </c>
      <c r="C179" s="72"/>
      <c r="D179" s="72"/>
      <c r="E179" s="507">
        <v>15</v>
      </c>
      <c r="F179" s="3" t="str" cm="1">
        <f t="array" aca="1" ref="F179" ca="1">OFFSET(E179,-1,1)</f>
        <v>2</v>
      </c>
      <c r="G179" s="72"/>
      <c r="H179" s="72"/>
      <c r="I179" s="72"/>
      <c r="J179" s="72"/>
      <c r="K179" s="72">
        <f>first_year+46</f>
        <v>2070</v>
      </c>
      <c r="L179" s="72"/>
      <c r="M179" s="72"/>
      <c r="N179" s="72"/>
      <c r="O179" s="72"/>
      <c r="P179" s="72"/>
      <c r="Q179" s="72"/>
      <c r="R179" s="72"/>
      <c r="S179" s="72"/>
      <c r="T179" s="353" t="b" cm="1">
        <f t="array" ref="T179">T178</f>
        <v>1</v>
      </c>
      <c r="U179" s="72"/>
      <c r="V179" s="72"/>
      <c r="W179" s="72"/>
      <c r="X179" s="990"/>
      <c r="Y179" s="72"/>
      <c r="Z179" s="967"/>
      <c r="AA179" s="72"/>
      <c r="AB179" s="168" t="str">
        <f t="shared" si="11"/>
        <v>2070 год</v>
      </c>
      <c r="AC179" s="875"/>
      <c r="AD179" s="877"/>
      <c r="AE179" s="878"/>
      <c r="AF179" s="878"/>
      <c r="AG179" s="877"/>
      <c r="AH179" s="883"/>
      <c r="AI179" s="883"/>
      <c r="AJ179" s="877"/>
      <c r="AK179" s="879"/>
      <c r="AL179" s="304"/>
      <c r="AM179" s="72"/>
      <c r="AN179" s="72"/>
      <c r="AO179" s="696" cm="1">
        <f t="array" ref="AO179">K179</f>
        <v>2070</v>
      </c>
      <c r="AP179" s="72"/>
      <c r="AQ179" s="72"/>
    </row>
    <row r="180" spans="1:43" s="880" customFormat="1" ht="14.25" hidden="1" customHeight="1" x14ac:dyDescent="0.15">
      <c r="A180" s="72"/>
      <c r="B180" s="341" t="b">
        <f t="shared" si="10"/>
        <v>0</v>
      </c>
      <c r="C180" s="72"/>
      <c r="D180" s="72"/>
      <c r="E180" s="507">
        <v>15</v>
      </c>
      <c r="F180" s="3" t="str" cm="1">
        <f t="array" aca="1" ref="F180" ca="1">OFFSET(E180,-1,1)</f>
        <v>2</v>
      </c>
      <c r="G180" s="72"/>
      <c r="H180" s="72"/>
      <c r="I180" s="72"/>
      <c r="J180" s="72"/>
      <c r="K180" s="72">
        <f>first_year+47</f>
        <v>2071</v>
      </c>
      <c r="L180" s="72"/>
      <c r="M180" s="72"/>
      <c r="N180" s="72"/>
      <c r="O180" s="72"/>
      <c r="P180" s="72"/>
      <c r="Q180" s="72"/>
      <c r="R180" s="72"/>
      <c r="S180" s="72"/>
      <c r="T180" s="353" t="b" cm="1">
        <f t="array" ref="T180">T179</f>
        <v>1</v>
      </c>
      <c r="U180" s="72"/>
      <c r="V180" s="72"/>
      <c r="W180" s="72"/>
      <c r="X180" s="990"/>
      <c r="Y180" s="72"/>
      <c r="Z180" s="967"/>
      <c r="AA180" s="72"/>
      <c r="AB180" s="168" t="str">
        <f t="shared" si="11"/>
        <v>2071 год</v>
      </c>
      <c r="AC180" s="875"/>
      <c r="AD180" s="877"/>
      <c r="AE180" s="878"/>
      <c r="AF180" s="878"/>
      <c r="AG180" s="877"/>
      <c r="AH180" s="883"/>
      <c r="AI180" s="883"/>
      <c r="AJ180" s="877"/>
      <c r="AK180" s="879"/>
      <c r="AL180" s="304"/>
      <c r="AM180" s="72"/>
      <c r="AN180" s="72"/>
      <c r="AO180" s="696" cm="1">
        <f t="array" ref="AO180">K180</f>
        <v>2071</v>
      </c>
      <c r="AP180" s="72"/>
      <c r="AQ180" s="72"/>
    </row>
    <row r="181" spans="1:43" s="880" customFormat="1" ht="14.25" hidden="1" customHeight="1" x14ac:dyDescent="0.15">
      <c r="A181" s="72"/>
      <c r="B181" s="341" t="b">
        <f t="shared" si="10"/>
        <v>0</v>
      </c>
      <c r="C181" s="72"/>
      <c r="D181" s="72"/>
      <c r="E181" s="507">
        <v>15</v>
      </c>
      <c r="F181" s="3" t="str" cm="1">
        <f t="array" aca="1" ref="F181" ca="1">OFFSET(E181,-1,1)</f>
        <v>2</v>
      </c>
      <c r="G181" s="72"/>
      <c r="H181" s="72"/>
      <c r="I181" s="72"/>
      <c r="J181" s="72"/>
      <c r="K181" s="72">
        <f>first_year+48</f>
        <v>2072</v>
      </c>
      <c r="L181" s="72"/>
      <c r="M181" s="72"/>
      <c r="N181" s="72"/>
      <c r="O181" s="72"/>
      <c r="P181" s="72"/>
      <c r="Q181" s="72"/>
      <c r="R181" s="72"/>
      <c r="S181" s="72"/>
      <c r="T181" s="353" t="b" cm="1">
        <f t="array" ref="T181">T180</f>
        <v>1</v>
      </c>
      <c r="U181" s="72"/>
      <c r="V181" s="72"/>
      <c r="W181" s="72"/>
      <c r="X181" s="990"/>
      <c r="Y181" s="72"/>
      <c r="Z181" s="967"/>
      <c r="AA181" s="72"/>
      <c r="AB181" s="168" t="str">
        <f t="shared" si="11"/>
        <v>2072 год</v>
      </c>
      <c r="AC181" s="875"/>
      <c r="AD181" s="877"/>
      <c r="AE181" s="878"/>
      <c r="AF181" s="878"/>
      <c r="AG181" s="877"/>
      <c r="AH181" s="883"/>
      <c r="AI181" s="883"/>
      <c r="AJ181" s="877"/>
      <c r="AK181" s="879"/>
      <c r="AL181" s="304"/>
      <c r="AM181" s="72"/>
      <c r="AN181" s="72"/>
      <c r="AO181" s="696" cm="1">
        <f t="array" ref="AO181">K181</f>
        <v>2072</v>
      </c>
      <c r="AP181" s="72"/>
      <c r="AQ181" s="72"/>
    </row>
    <row r="182" spans="1:43" s="880" customFormat="1" ht="14.25" hidden="1" customHeight="1" x14ac:dyDescent="0.15">
      <c r="A182" s="72"/>
      <c r="B182" s="341" t="b">
        <f t="shared" si="10"/>
        <v>0</v>
      </c>
      <c r="C182" s="72"/>
      <c r="D182" s="72"/>
      <c r="E182" s="507">
        <v>15</v>
      </c>
      <c r="F182" s="3" t="str" cm="1">
        <f t="array" aca="1" ref="F182" ca="1">OFFSET(E182,-1,1)</f>
        <v>2</v>
      </c>
      <c r="G182" s="72"/>
      <c r="H182" s="72"/>
      <c r="I182" s="72"/>
      <c r="J182" s="72"/>
      <c r="K182" s="72">
        <f>first_year+49</f>
        <v>2073</v>
      </c>
      <c r="L182" s="72"/>
      <c r="M182" s="72"/>
      <c r="N182" s="72"/>
      <c r="O182" s="72"/>
      <c r="P182" s="72"/>
      <c r="Q182" s="72"/>
      <c r="R182" s="72"/>
      <c r="S182" s="72"/>
      <c r="T182" s="353" t="b" cm="1">
        <f t="array" ref="T182">T181</f>
        <v>1</v>
      </c>
      <c r="U182" s="72"/>
      <c r="V182" s="72"/>
      <c r="W182" s="72"/>
      <c r="X182" s="990"/>
      <c r="Y182" s="72"/>
      <c r="Z182" s="967"/>
      <c r="AA182" s="72"/>
      <c r="AB182" s="168" t="str">
        <f t="shared" si="11"/>
        <v>2073 год</v>
      </c>
      <c r="AC182" s="875"/>
      <c r="AD182" s="877"/>
      <c r="AE182" s="878"/>
      <c r="AF182" s="878"/>
      <c r="AG182" s="877"/>
      <c r="AH182" s="883"/>
      <c r="AI182" s="883"/>
      <c r="AJ182" s="877"/>
      <c r="AK182" s="879"/>
      <c r="AL182" s="304"/>
      <c r="AM182" s="72"/>
      <c r="AN182" s="72"/>
      <c r="AO182" s="696" cm="1">
        <f t="array" ref="AO182">K182</f>
        <v>2073</v>
      </c>
      <c r="AP182" s="72"/>
      <c r="AQ182" s="72"/>
    </row>
    <row r="183" spans="1:43" s="396" customFormat="1" ht="20.25" customHeight="1" x14ac:dyDescent="0.15">
      <c r="A183" s="38"/>
      <c r="B183" s="43"/>
      <c r="C183" s="38"/>
      <c r="D183" s="38"/>
      <c r="E183" s="448">
        <v>15</v>
      </c>
      <c r="F183" s="17" t="str" cm="1">
        <f t="array" ref="F183">X183</f>
        <v>3</v>
      </c>
      <c r="G183" s="38"/>
      <c r="H183" s="38"/>
      <c r="I183" s="38"/>
      <c r="J183" s="38"/>
      <c r="K183" s="38"/>
      <c r="L183" s="38"/>
      <c r="M183" s="38"/>
      <c r="N183" s="38"/>
      <c r="O183" s="38"/>
      <c r="P183" s="38"/>
      <c r="Q183" s="38"/>
      <c r="R183" s="38"/>
      <c r="S183" s="38"/>
      <c r="T183" s="353" t="b">
        <f>X183&gt;0</f>
        <v>1</v>
      </c>
      <c r="U183" s="38"/>
      <c r="V183" s="38" t="str" cm="1">
        <f t="array" ref="V183">'Калькуляция (МИ корр)'!$AB$459</f>
        <v>Тариф 3 (Водоотведение) - тариф на транспортировку сточных вод</v>
      </c>
      <c r="W183" s="38"/>
      <c r="X183" s="990" t="s">
        <v>291</v>
      </c>
      <c r="Y183" s="38"/>
      <c r="Z183" s="967"/>
      <c r="AA183" s="38"/>
      <c r="AB183" s="280" t="str" cm="1">
        <f t="array" ref="AB183">'Калькуляция (МИ корр)'!$AB$459</f>
        <v>Тариф 3 (Водоотведение) - тариф на транспортировку сточных вод</v>
      </c>
      <c r="AC183" s="562"/>
      <c r="AD183" s="562"/>
      <c r="AE183" s="562"/>
      <c r="AF183" s="562"/>
      <c r="AG183" s="562"/>
      <c r="AH183" s="562"/>
      <c r="AI183" s="562"/>
      <c r="AJ183" s="562"/>
      <c r="AK183" s="562"/>
      <c r="AL183" s="303"/>
      <c r="AM183" s="38"/>
      <c r="AN183" s="38"/>
      <c r="AO183" s="656"/>
      <c r="AP183" s="38"/>
      <c r="AQ183" s="38"/>
    </row>
    <row r="184" spans="1:43" s="880" customFormat="1" ht="18.2" customHeight="1" x14ac:dyDescent="0.15">
      <c r="A184" s="72"/>
      <c r="B184" s="341" t="b">
        <f t="shared" ref="B184:B215" si="12">K184&lt;first_year+PERIOD_LENGTH</f>
        <v>1</v>
      </c>
      <c r="C184" s="72"/>
      <c r="D184" s="72"/>
      <c r="E184" s="507">
        <v>15</v>
      </c>
      <c r="F184" s="3" t="str" cm="1">
        <f t="array" aca="1" ref="F184" ca="1">OFFSET(E184,-1,1)</f>
        <v>3</v>
      </c>
      <c r="G184" s="72"/>
      <c r="H184" s="72"/>
      <c r="I184" s="72"/>
      <c r="J184" s="72"/>
      <c r="K184" s="72" cm="1">
        <f t="array" ref="K184">first_year</f>
        <v>2024</v>
      </c>
      <c r="L184" s="72"/>
      <c r="M184" s="72"/>
      <c r="N184" s="72"/>
      <c r="O184" s="72"/>
      <c r="P184" s="72"/>
      <c r="Q184" s="72"/>
      <c r="R184" s="72"/>
      <c r="S184" s="72"/>
      <c r="T184" s="353" t="b" cm="1">
        <f t="array" ref="T184">T183</f>
        <v>1</v>
      </c>
      <c r="U184" s="72"/>
      <c r="V184" s="72"/>
      <c r="W184" s="72"/>
      <c r="X184" s="990"/>
      <c r="Y184" s="72"/>
      <c r="Z184" s="967"/>
      <c r="AA184" s="72"/>
      <c r="AB184" s="563" t="str">
        <f t="shared" ref="AB184:AB215" si="13">K184&amp;" год"</f>
        <v>2024 год</v>
      </c>
      <c r="AC184" s="610">
        <v>12954.5058456933</v>
      </c>
      <c r="AD184" s="565">
        <f ca="1">IFERROR(SUMIFS(INDEX(Сценарии!$AE$25:$BF$136,,MATCH($K184&amp;"Принято органом регулирования",Сценарии!$AE$8:$BF$8,0)),Сценарии!$F$25:$F$136,$F184,Сценарии!$AC$25:$AC$136,"Индекс эффективности операционных расходов"),0)</f>
        <v>0</v>
      </c>
      <c r="AE184" s="564"/>
      <c r="AF184" s="564">
        <f ca="1">IFERROR(SUMIFS(INDEX(Баланс!$AE$25:$BB$391,,MATCH($K184&amp;"Принято органом регулирования",Баланс!$AE$8:$BB$8,0)),Баланс!$F$25:$F$391,$F184,Баланс!$AC$24:$AC$391,"Уровень потерь воды"),0)</f>
        <v>0</v>
      </c>
      <c r="AG184" s="565">
        <v>2.0000073199999999E-2</v>
      </c>
      <c r="AH184" s="881"/>
      <c r="AI184" s="881"/>
      <c r="AJ184" s="565">
        <f ca="1">IFERROR(SUMIFS(INDEX(Electricity_LOAD_1,,MATCH($K184&amp;"Принято органом регулирования",ЭЭ!$AE$8:$BB$8,0)),ЭЭ!$F$25:$F$116,$F184,ЭЭ!$AC$25:$AC$116,"Удельный расход электроэнергии"),0)</f>
        <v>2.0000073211389115E-2</v>
      </c>
      <c r="AK184" s="565">
        <f ca="1">IFERROR(SUMIFS(INDEX(Electricity_LOAD_1,,MATCH($K184&amp;"Принято органом регулирования",ЭЭ!$AE$8:$BB$8,0)),ЭЭ!$F$25:$F$116,$F184,ЭЭ!$AC$25:$AC$116,"Удельный расход электроэнергии"),0)</f>
        <v>2.0000073211389115E-2</v>
      </c>
      <c r="AL184" s="304"/>
      <c r="AM184" s="72" t="s">
        <v>2355</v>
      </c>
      <c r="AN184" s="72"/>
      <c r="AO184" s="696" cm="1">
        <f t="array" ref="AO184">K184</f>
        <v>2024</v>
      </c>
      <c r="AP184" s="72"/>
      <c r="AQ184" s="72"/>
    </row>
    <row r="185" spans="1:43" s="880" customFormat="1" ht="14.65" customHeight="1" x14ac:dyDescent="0.15">
      <c r="A185" s="72"/>
      <c r="B185" s="341" t="b">
        <f t="shared" si="12"/>
        <v>1</v>
      </c>
      <c r="C185" s="72"/>
      <c r="D185" s="72"/>
      <c r="E185" s="507">
        <v>15</v>
      </c>
      <c r="F185" s="3" t="str" cm="1">
        <f t="array" aca="1" ref="F185" ca="1">OFFSET(E185,-1,1)</f>
        <v>3</v>
      </c>
      <c r="G185" s="72"/>
      <c r="H185" s="72"/>
      <c r="I185" s="72"/>
      <c r="J185" s="72"/>
      <c r="K185" s="72">
        <f>first_year+1</f>
        <v>2025</v>
      </c>
      <c r="L185" s="72"/>
      <c r="M185" s="72"/>
      <c r="N185" s="72"/>
      <c r="O185" s="72"/>
      <c r="P185" s="72"/>
      <c r="Q185" s="72"/>
      <c r="R185" s="72"/>
      <c r="S185" s="72"/>
      <c r="T185" s="353" t="b" cm="1">
        <f t="array" ref="T185">T184</f>
        <v>1</v>
      </c>
      <c r="U185" s="72"/>
      <c r="V185" s="72"/>
      <c r="W185" s="72"/>
      <c r="X185" s="990"/>
      <c r="Y185" s="72"/>
      <c r="Z185" s="967"/>
      <c r="AA185" s="72"/>
      <c r="AB185" s="563" t="str">
        <f t="shared" si="13"/>
        <v>2025 год</v>
      </c>
      <c r="AC185" s="564"/>
      <c r="AD185" s="565">
        <v>1</v>
      </c>
      <c r="AE185" s="564"/>
      <c r="AF185" s="564">
        <f ca="1">IFERROR(SUMIFS(INDEX(Баланс!$AE$25:$BB$391,,MATCH($K185&amp;"Принято органом регулирования",Баланс!$AE$8:$BB$8,0)),Баланс!$F$25:$F$391,$F185,Баланс!$AC$24:$AC$391,"Уровень потерь воды"),0)</f>
        <v>0</v>
      </c>
      <c r="AG185" s="565">
        <v>1.9999953500000001E-2</v>
      </c>
      <c r="AH185" s="881"/>
      <c r="AI185" s="881"/>
      <c r="AJ185" s="565">
        <f ca="1">IFERROR(SUMIFS(INDEX(Electricity_LOAD_1,,MATCH($K185&amp;"Принято органом регулирования",ЭЭ!$AE$8:$BB$8,0)),ЭЭ!$F$25:$F$116,$F185,ЭЭ!$AC$25:$AC$116,"Удельный расход электроэнергии"),0)</f>
        <v>1.9999953504709997E-2</v>
      </c>
      <c r="AK185" s="565">
        <f ca="1">IFERROR(SUMIFS(INDEX(Electricity_LOAD_1,,MATCH($K185&amp;"Принято органом регулирования",ЭЭ!$AE$8:$BB$8,0)),ЭЭ!$F$25:$F$116,$F185,ЭЭ!$AC$25:$AC$116,"Удельный расход электроэнергии"),0)</f>
        <v>1.9999953504709997E-2</v>
      </c>
      <c r="AL185" s="304"/>
      <c r="AM185" s="72" t="s">
        <v>2355</v>
      </c>
      <c r="AN185" s="72"/>
      <c r="AO185" s="696" cm="1">
        <f t="array" ref="AO185">K185</f>
        <v>2025</v>
      </c>
      <c r="AP185" s="72"/>
      <c r="AQ185" s="72"/>
    </row>
    <row r="186" spans="1:43" s="880" customFormat="1" ht="14.65" customHeight="1" x14ac:dyDescent="0.15">
      <c r="A186" s="72"/>
      <c r="B186" s="341" t="b">
        <f t="shared" si="12"/>
        <v>1</v>
      </c>
      <c r="C186" s="72"/>
      <c r="D186" s="72"/>
      <c r="E186" s="507">
        <v>15</v>
      </c>
      <c r="F186" s="3" t="str" cm="1">
        <f t="array" aca="1" ref="F186" ca="1">OFFSET(E186,-1,1)</f>
        <v>3</v>
      </c>
      <c r="G186" s="72"/>
      <c r="H186" s="72"/>
      <c r="I186" s="72"/>
      <c r="J186" s="72"/>
      <c r="K186" s="72">
        <f>first_year+2</f>
        <v>2026</v>
      </c>
      <c r="L186" s="72"/>
      <c r="M186" s="72"/>
      <c r="N186" s="72"/>
      <c r="O186" s="72"/>
      <c r="P186" s="72"/>
      <c r="Q186" s="72"/>
      <c r="R186" s="72"/>
      <c r="S186" s="72"/>
      <c r="T186" s="353" t="b" cm="1">
        <f t="array" ref="T186">T185</f>
        <v>1</v>
      </c>
      <c r="U186" s="72"/>
      <c r="V186" s="72"/>
      <c r="W186" s="72"/>
      <c r="X186" s="990"/>
      <c r="Y186" s="72"/>
      <c r="Z186" s="967"/>
      <c r="AA186" s="72"/>
      <c r="AB186" s="563" t="str">
        <f t="shared" si="13"/>
        <v>2026 год</v>
      </c>
      <c r="AC186" s="564"/>
      <c r="AD186" s="565">
        <v>1</v>
      </c>
      <c r="AE186" s="564"/>
      <c r="AF186" s="564">
        <f ca="1">IFERROR(SUMIFS(INDEX(Баланс!$AE$25:$BB$391,,MATCH($K186&amp;"Принято органом регулирования",Баланс!$AE$8:$BB$8,0)),Баланс!$F$25:$F$391,$F186,Баланс!$AC$24:$AC$391,"Уровень потерь воды"),0)</f>
        <v>0</v>
      </c>
      <c r="AG186" s="565">
        <v>0.02</v>
      </c>
      <c r="AH186" s="881"/>
      <c r="AI186" s="881"/>
      <c r="AJ186" s="565">
        <f ca="1">IFERROR(SUMIFS(INDEX(Electricity_LOAD_1,,MATCH($K186&amp;"Принято органом регулирования",ЭЭ!$AE$8:$BB$8,0)),ЭЭ!$F$25:$F$116,$F186,ЭЭ!$AC$25:$AC$116,"Удельный расход электроэнергии"),0)</f>
        <v>0.02</v>
      </c>
      <c r="AK186" s="565">
        <f ca="1">IFERROR(SUMIFS(INDEX(Electricity_LOAD_1,,MATCH($K186&amp;"Принято органом регулирования",ЭЭ!$AE$8:$BB$8,0)),ЭЭ!$F$25:$F$116,$F186,ЭЭ!$AC$25:$AC$116,"Удельный расход электроэнергии"),0)</f>
        <v>0.02</v>
      </c>
      <c r="AL186" s="304"/>
      <c r="AM186" s="72" t="s">
        <v>2355</v>
      </c>
      <c r="AN186" s="72"/>
      <c r="AO186" s="696" cm="1">
        <f t="array" ref="AO186">K186</f>
        <v>2026</v>
      </c>
      <c r="AP186" s="72"/>
      <c r="AQ186" s="72"/>
    </row>
    <row r="187" spans="1:43" s="880" customFormat="1" ht="14.65" customHeight="1" x14ac:dyDescent="0.15">
      <c r="A187" s="72"/>
      <c r="B187" s="341" t="b">
        <f t="shared" si="12"/>
        <v>1</v>
      </c>
      <c r="C187" s="72"/>
      <c r="D187" s="72"/>
      <c r="E187" s="507">
        <v>15</v>
      </c>
      <c r="F187" s="3" t="str" cm="1">
        <f t="array" aca="1" ref="F187" ca="1">OFFSET(E187,-1,1)</f>
        <v>3</v>
      </c>
      <c r="G187" s="72"/>
      <c r="H187" s="72"/>
      <c r="I187" s="72"/>
      <c r="J187" s="72"/>
      <c r="K187" s="72">
        <f>first_year+3</f>
        <v>2027</v>
      </c>
      <c r="L187" s="72"/>
      <c r="M187" s="72"/>
      <c r="N187" s="72"/>
      <c r="O187" s="72"/>
      <c r="P187" s="72"/>
      <c r="Q187" s="72"/>
      <c r="R187" s="72"/>
      <c r="S187" s="72"/>
      <c r="T187" s="353" t="b" cm="1">
        <f t="array" ref="T187">T186</f>
        <v>1</v>
      </c>
      <c r="U187" s="72"/>
      <c r="V187" s="72"/>
      <c r="W187" s="72"/>
      <c r="X187" s="990"/>
      <c r="Y187" s="72"/>
      <c r="Z187" s="967"/>
      <c r="AA187" s="72"/>
      <c r="AB187" s="563" t="str">
        <f t="shared" si="13"/>
        <v>2027 год</v>
      </c>
      <c r="AC187" s="564"/>
      <c r="AD187" s="565">
        <v>1</v>
      </c>
      <c r="AE187" s="564"/>
      <c r="AF187" s="564">
        <f ca="1">IFERROR(SUMIFS(INDEX(Баланс!$AE$25:$BB$391,,MATCH($K187&amp;"Принято органом регулирования",Баланс!$AE$8:$BB$8,0)),Баланс!$F$25:$F$391,$F187,Баланс!$AC$24:$AC$391,"Уровень потерь воды"),0)</f>
        <v>0</v>
      </c>
      <c r="AG187" s="565">
        <v>0.02</v>
      </c>
      <c r="AH187" s="881"/>
      <c r="AI187" s="881"/>
      <c r="AJ187" s="565">
        <f ca="1">IFERROR(SUMIFS(INDEX(Electricity_LOAD_1,,MATCH($K187&amp;"Принято органом регулирования",ЭЭ!$AE$8:$BB$8,0)),ЭЭ!$F$25:$F$116,$F187,ЭЭ!$AC$25:$AC$116,"Удельный расход электроэнергии"),0)</f>
        <v>0.02</v>
      </c>
      <c r="AK187" s="565">
        <f ca="1">IFERROR(SUMIFS(INDEX(Electricity_LOAD_1,,MATCH($K187&amp;"Принято органом регулирования",ЭЭ!$AE$8:$BB$8,0)),ЭЭ!$F$25:$F$116,$F187,ЭЭ!$AC$25:$AC$116,"Удельный расход электроэнергии"),0)</f>
        <v>0.02</v>
      </c>
      <c r="AL187" s="304"/>
      <c r="AM187" s="72" t="s">
        <v>2355</v>
      </c>
      <c r="AN187" s="72"/>
      <c r="AO187" s="696" cm="1">
        <f t="array" ref="AO187">K187</f>
        <v>2027</v>
      </c>
      <c r="AP187" s="72"/>
      <c r="AQ187" s="72"/>
    </row>
    <row r="188" spans="1:43" s="880" customFormat="1" ht="14.65" customHeight="1" x14ac:dyDescent="0.15">
      <c r="A188" s="72"/>
      <c r="B188" s="341" t="b">
        <f t="shared" si="12"/>
        <v>1</v>
      </c>
      <c r="C188" s="72"/>
      <c r="D188" s="72"/>
      <c r="E188" s="507">
        <v>15</v>
      </c>
      <c r="F188" s="3" t="str" cm="1">
        <f t="array" aca="1" ref="F188" ca="1">OFFSET(E188,-1,1)</f>
        <v>3</v>
      </c>
      <c r="G188" s="72"/>
      <c r="H188" s="72"/>
      <c r="I188" s="72"/>
      <c r="J188" s="72"/>
      <c r="K188" s="72">
        <f>first_year+4</f>
        <v>2028</v>
      </c>
      <c r="L188" s="72"/>
      <c r="M188" s="72"/>
      <c r="N188" s="72"/>
      <c r="O188" s="72"/>
      <c r="P188" s="72"/>
      <c r="Q188" s="72"/>
      <c r="R188" s="72"/>
      <c r="S188" s="72"/>
      <c r="T188" s="353" t="b" cm="1">
        <f t="array" ref="T188">T187</f>
        <v>1</v>
      </c>
      <c r="U188" s="72"/>
      <c r="V188" s="72"/>
      <c r="W188" s="72"/>
      <c r="X188" s="990"/>
      <c r="Y188" s="72"/>
      <c r="Z188" s="967"/>
      <c r="AA188" s="72"/>
      <c r="AB188" s="563" t="str">
        <f t="shared" si="13"/>
        <v>2028 год</v>
      </c>
      <c r="AC188" s="564"/>
      <c r="AD188" s="565">
        <v>1</v>
      </c>
      <c r="AE188" s="564"/>
      <c r="AF188" s="564">
        <f ca="1">IFERROR(SUMIFS(INDEX(Баланс!$AE$25:$BB$391,,MATCH($K188&amp;"Принято органом регулирования",Баланс!$AE$8:$BB$8,0)),Баланс!$F$25:$F$391,$F188,Баланс!$AC$24:$AC$391,"Уровень потерь воды"),0)</f>
        <v>0</v>
      </c>
      <c r="AG188" s="565">
        <v>0.02</v>
      </c>
      <c r="AH188" s="881"/>
      <c r="AI188" s="881"/>
      <c r="AJ188" s="565">
        <f ca="1">IFERROR(SUMIFS(INDEX(Electricity_LOAD_1,,MATCH($K188&amp;"Принято органом регулирования",ЭЭ!$AE$8:$BB$8,0)),ЭЭ!$F$25:$F$116,$F188,ЭЭ!$AC$25:$AC$116,"Удельный расход электроэнергии"),0)</f>
        <v>0.02</v>
      </c>
      <c r="AK188" s="565">
        <f ca="1">IFERROR(SUMIFS(INDEX(Electricity_LOAD_1,,MATCH($K188&amp;"Принято органом регулирования",ЭЭ!$AE$8:$BB$8,0)),ЭЭ!$F$25:$F$116,$F188,ЭЭ!$AC$25:$AC$116,"Удельный расход электроэнергии"),0)</f>
        <v>0.02</v>
      </c>
      <c r="AL188" s="304"/>
      <c r="AM188" s="72" t="s">
        <v>2355</v>
      </c>
      <c r="AN188" s="72"/>
      <c r="AO188" s="696" cm="1">
        <f t="array" ref="AO188">K188</f>
        <v>2028</v>
      </c>
      <c r="AP188" s="72"/>
      <c r="AQ188" s="72"/>
    </row>
    <row r="189" spans="1:43" s="880" customFormat="1" ht="14.25" hidden="1" customHeight="1" x14ac:dyDescent="0.15">
      <c r="A189" s="72"/>
      <c r="B189" s="341" t="b">
        <f t="shared" si="12"/>
        <v>0</v>
      </c>
      <c r="C189" s="72"/>
      <c r="D189" s="72"/>
      <c r="E189" s="507">
        <v>15</v>
      </c>
      <c r="F189" s="3" t="str" cm="1">
        <f t="array" aca="1" ref="F189" ca="1">OFFSET(E189,-1,1)</f>
        <v>3</v>
      </c>
      <c r="G189" s="72"/>
      <c r="H189" s="72"/>
      <c r="I189" s="72"/>
      <c r="J189" s="72"/>
      <c r="K189" s="72">
        <f>first_year+5</f>
        <v>2029</v>
      </c>
      <c r="L189" s="72"/>
      <c r="M189" s="72"/>
      <c r="N189" s="72"/>
      <c r="O189" s="72"/>
      <c r="P189" s="72"/>
      <c r="Q189" s="72"/>
      <c r="R189" s="72"/>
      <c r="S189" s="72"/>
      <c r="T189" s="353" t="b" cm="1">
        <f t="array" ref="T189">T188</f>
        <v>1</v>
      </c>
      <c r="U189" s="72"/>
      <c r="V189" s="72"/>
      <c r="W189" s="72"/>
      <c r="X189" s="990"/>
      <c r="Y189" s="72"/>
      <c r="Z189" s="967"/>
      <c r="AA189" s="72"/>
      <c r="AB189" s="563" t="str">
        <f t="shared" si="13"/>
        <v>2029 год</v>
      </c>
      <c r="AC189" s="875"/>
      <c r="AD189" s="874">
        <f ca="1">IFERROR(SUMIFS(INDEX(Сценарии!$AE$25:$BF$136,,MATCH($K189&amp;"Принято органом регулирования",Сценарии!$AE$8:$BF$8,0)),Сценарии!$F$25:$F$136,$F189,Сценарии!$AC$25:$AC$136,"Индекс эффективности операционных расходов"),0)</f>
        <v>0</v>
      </c>
      <c r="AE189" s="875"/>
      <c r="AF189" s="875">
        <f ca="1">IFERROR(SUMIFS(INDEX(Баланс!$AE$25:$BB$391,,MATCH($K189&amp;"Принято органом регулирования",Баланс!$AE$8:$BB$8,0)),Баланс!$F$25:$F$391,$F189,Баланс!$AC$24:$AC$391,"Уровень потерь воды"),0)</f>
        <v>0</v>
      </c>
      <c r="AG189" s="874">
        <f ca="1">IFERROR(SUMIFS(INDEX(Electricity_LOAD_1,,MATCH($K189&amp;"Принято органом регулирования",ЭЭ!$AE$8:$BB$8,0)),ЭЭ!$F$25:$F$116,$F189,ЭЭ!$AC$25:$AC$116,"Удельный расход электроэнергии"),0)</f>
        <v>0</v>
      </c>
      <c r="AH189" s="881"/>
      <c r="AI189" s="881"/>
      <c r="AJ189" s="874">
        <f ca="1">IFERROR(SUMIFS(INDEX(Electricity_LOAD_1,,MATCH($K189&amp;"Принято органом регулирования",ЭЭ!$AE$8:$BB$8,0)),ЭЭ!$F$25:$F$116,$F189,ЭЭ!$AC$25:$AC$116,"Удельный расход электроэнергии"),0)</f>
        <v>0</v>
      </c>
      <c r="AK189" s="874">
        <f ca="1">IFERROR(SUMIFS(INDEX(Electricity_LOAD_1,,MATCH($K189&amp;"Принято органом регулирования",ЭЭ!$AE$8:$BB$8,0)),ЭЭ!$F$25:$F$116,$F189,ЭЭ!$AC$25:$AC$116,"Удельный расход электроэнергии"),0)</f>
        <v>0</v>
      </c>
      <c r="AL189" s="304"/>
      <c r="AM189" s="72" t="s">
        <v>2355</v>
      </c>
      <c r="AN189" s="72"/>
      <c r="AO189" s="696" cm="1">
        <f t="array" ref="AO189">K189</f>
        <v>2029</v>
      </c>
      <c r="AP189" s="72"/>
      <c r="AQ189" s="72"/>
    </row>
    <row r="190" spans="1:43" s="880" customFormat="1" ht="14.25" hidden="1" customHeight="1" x14ac:dyDescent="0.15">
      <c r="A190" s="72"/>
      <c r="B190" s="341" t="b">
        <f t="shared" si="12"/>
        <v>0</v>
      </c>
      <c r="C190" s="72"/>
      <c r="D190" s="72"/>
      <c r="E190" s="507">
        <v>15</v>
      </c>
      <c r="F190" s="3" t="str" cm="1">
        <f t="array" aca="1" ref="F190" ca="1">OFFSET(E190,-1,1)</f>
        <v>3</v>
      </c>
      <c r="G190" s="72"/>
      <c r="H190" s="72"/>
      <c r="I190" s="72"/>
      <c r="J190" s="72"/>
      <c r="K190" s="72">
        <f>first_year+6</f>
        <v>2030</v>
      </c>
      <c r="L190" s="72"/>
      <c r="M190" s="72"/>
      <c r="N190" s="72"/>
      <c r="O190" s="72"/>
      <c r="P190" s="72"/>
      <c r="Q190" s="72"/>
      <c r="R190" s="72"/>
      <c r="S190" s="72"/>
      <c r="T190" s="353" t="b" cm="1">
        <f t="array" ref="T190">T189</f>
        <v>1</v>
      </c>
      <c r="U190" s="72"/>
      <c r="V190" s="72"/>
      <c r="W190" s="72"/>
      <c r="X190" s="990"/>
      <c r="Y190" s="72"/>
      <c r="Z190" s="967"/>
      <c r="AA190" s="72"/>
      <c r="AB190" s="563" t="str">
        <f t="shared" si="13"/>
        <v>2030 год</v>
      </c>
      <c r="AC190" s="875"/>
      <c r="AD190" s="874">
        <f ca="1">IFERROR(SUMIFS(INDEX(Сценарии!$AE$25:$BF$136,,MATCH($K190&amp;"Принято органом регулирования",Сценарии!$AE$8:$BF$8,0)),Сценарии!$F$25:$F$136,$F190,Сценарии!$AC$25:$AC$136,"Индекс эффективности операционных расходов"),0)</f>
        <v>0</v>
      </c>
      <c r="AE190" s="875"/>
      <c r="AF190" s="875">
        <f ca="1">IFERROR(SUMIFS(INDEX(Баланс!$AE$25:$BB$391,,MATCH($K190&amp;"Принято органом регулирования",Баланс!$AE$8:$BB$8,0)),Баланс!$F$25:$F$391,$F190,Баланс!$AC$24:$AC$391,"Уровень потерь воды"),0)</f>
        <v>0</v>
      </c>
      <c r="AG190" s="874">
        <f ca="1">IFERROR(SUMIFS(INDEX(Electricity_LOAD_1,,MATCH($K190&amp;"Принято органом регулирования",ЭЭ!$AE$8:$BB$8,0)),ЭЭ!$F$25:$F$116,$F190,ЭЭ!$AC$25:$AC$116,"Удельный расход электроэнергии"),0)</f>
        <v>0</v>
      </c>
      <c r="AH190" s="881"/>
      <c r="AI190" s="881"/>
      <c r="AJ190" s="874">
        <f ca="1">IFERROR(SUMIFS(INDEX(Electricity_LOAD_1,,MATCH($K190&amp;"Принято органом регулирования",ЭЭ!$AE$8:$BB$8,0)),ЭЭ!$F$25:$F$116,$F190,ЭЭ!$AC$25:$AC$116,"Удельный расход электроэнергии"),0)</f>
        <v>0</v>
      </c>
      <c r="AK190" s="874">
        <f ca="1">IFERROR(SUMIFS(INDEX(Electricity_LOAD_1,,MATCH($K190&amp;"Принято органом регулирования",ЭЭ!$AE$8:$BB$8,0)),ЭЭ!$F$25:$F$116,$F190,ЭЭ!$AC$25:$AC$116,"Удельный расход электроэнергии"),0)</f>
        <v>0</v>
      </c>
      <c r="AL190" s="304"/>
      <c r="AM190" s="72" t="s">
        <v>2355</v>
      </c>
      <c r="AN190" s="72"/>
      <c r="AO190" s="696" cm="1">
        <f t="array" ref="AO190">K190</f>
        <v>2030</v>
      </c>
      <c r="AP190" s="72"/>
      <c r="AQ190" s="72"/>
    </row>
    <row r="191" spans="1:43" s="880" customFormat="1" ht="14.25" hidden="1" customHeight="1" x14ac:dyDescent="0.15">
      <c r="A191" s="72"/>
      <c r="B191" s="341" t="b">
        <f t="shared" si="12"/>
        <v>0</v>
      </c>
      <c r="C191" s="72"/>
      <c r="D191" s="72"/>
      <c r="E191" s="507">
        <v>15</v>
      </c>
      <c r="F191" s="3" t="str" cm="1">
        <f t="array" aca="1" ref="F191" ca="1">OFFSET(E191,-1,1)</f>
        <v>3</v>
      </c>
      <c r="G191" s="72"/>
      <c r="H191" s="72"/>
      <c r="I191" s="72"/>
      <c r="J191" s="72"/>
      <c r="K191" s="72">
        <f>first_year+7</f>
        <v>2031</v>
      </c>
      <c r="L191" s="72"/>
      <c r="M191" s="72"/>
      <c r="N191" s="72"/>
      <c r="O191" s="72"/>
      <c r="P191" s="72"/>
      <c r="Q191" s="72"/>
      <c r="R191" s="72"/>
      <c r="S191" s="72"/>
      <c r="T191" s="353" t="b" cm="1">
        <f t="array" ref="T191">T190</f>
        <v>1</v>
      </c>
      <c r="U191" s="72"/>
      <c r="V191" s="72"/>
      <c r="W191" s="72"/>
      <c r="X191" s="990"/>
      <c r="Y191" s="72"/>
      <c r="Z191" s="967"/>
      <c r="AA191" s="72"/>
      <c r="AB191" s="563" t="str">
        <f t="shared" si="13"/>
        <v>2031 год</v>
      </c>
      <c r="AC191" s="875"/>
      <c r="AD191" s="874">
        <f ca="1">IFERROR(SUMIFS(INDEX(Сценарии!$AE$25:$BF$136,,MATCH($K191&amp;"Принято органом регулирования",Сценарии!$AE$8:$BF$8,0)),Сценарии!$F$25:$F$136,$F191,Сценарии!$AC$25:$AC$136,"Индекс эффективности операционных расходов"),0)</f>
        <v>0</v>
      </c>
      <c r="AE191" s="875"/>
      <c r="AF191" s="875">
        <f ca="1">IFERROR(SUMIFS(INDEX(Баланс!$AE$25:$BB$391,,MATCH($K191&amp;"Принято органом регулирования",Баланс!$AE$8:$BB$8,0)),Баланс!$F$25:$F$391,$F191,Баланс!$AC$24:$AC$391,"Уровень потерь воды"),0)</f>
        <v>0</v>
      </c>
      <c r="AG191" s="874">
        <f ca="1">IFERROR(SUMIFS(INDEX(Electricity_LOAD_1,,MATCH($K191&amp;"Принято органом регулирования",ЭЭ!$AE$8:$BB$8,0)),ЭЭ!$F$25:$F$116,$F191,ЭЭ!$AC$25:$AC$116,"Удельный расход электроэнергии"),0)</f>
        <v>0</v>
      </c>
      <c r="AH191" s="881"/>
      <c r="AI191" s="881"/>
      <c r="AJ191" s="874">
        <f ca="1">IFERROR(SUMIFS(INDEX(Electricity_LOAD_1,,MATCH($K191&amp;"Принято органом регулирования",ЭЭ!$AE$8:$BB$8,0)),ЭЭ!$F$25:$F$116,$F191,ЭЭ!$AC$25:$AC$116,"Удельный расход электроэнергии"),0)</f>
        <v>0</v>
      </c>
      <c r="AK191" s="874">
        <f ca="1">IFERROR(SUMIFS(INDEX(Electricity_LOAD_1,,MATCH($K191&amp;"Принято органом регулирования",ЭЭ!$AE$8:$BB$8,0)),ЭЭ!$F$25:$F$116,$F191,ЭЭ!$AC$25:$AC$116,"Удельный расход электроэнергии"),0)</f>
        <v>0</v>
      </c>
      <c r="AL191" s="304"/>
      <c r="AM191" s="72" t="s">
        <v>2355</v>
      </c>
      <c r="AN191" s="72"/>
      <c r="AO191" s="696" cm="1">
        <f t="array" ref="AO191">K191</f>
        <v>2031</v>
      </c>
      <c r="AP191" s="72"/>
      <c r="AQ191" s="72"/>
    </row>
    <row r="192" spans="1:43" s="880" customFormat="1" ht="14.25" hidden="1" customHeight="1" x14ac:dyDescent="0.15">
      <c r="A192" s="72"/>
      <c r="B192" s="341" t="b">
        <f t="shared" si="12"/>
        <v>0</v>
      </c>
      <c r="C192" s="72"/>
      <c r="D192" s="72"/>
      <c r="E192" s="507">
        <v>15</v>
      </c>
      <c r="F192" s="3" t="str" cm="1">
        <f t="array" aca="1" ref="F192" ca="1">OFFSET(E192,-1,1)</f>
        <v>3</v>
      </c>
      <c r="G192" s="72"/>
      <c r="H192" s="72"/>
      <c r="I192" s="72"/>
      <c r="J192" s="72"/>
      <c r="K192" s="72">
        <f>first_year+8</f>
        <v>2032</v>
      </c>
      <c r="L192" s="72"/>
      <c r="M192" s="72"/>
      <c r="N192" s="72"/>
      <c r="O192" s="72"/>
      <c r="P192" s="72"/>
      <c r="Q192" s="72"/>
      <c r="R192" s="72"/>
      <c r="S192" s="72"/>
      <c r="T192" s="353" t="b" cm="1">
        <f t="array" ref="T192">T191</f>
        <v>1</v>
      </c>
      <c r="U192" s="72"/>
      <c r="V192" s="72"/>
      <c r="W192" s="72"/>
      <c r="X192" s="990"/>
      <c r="Y192" s="72"/>
      <c r="Z192" s="967"/>
      <c r="AA192" s="72"/>
      <c r="AB192" s="563" t="str">
        <f t="shared" si="13"/>
        <v>2032 год</v>
      </c>
      <c r="AC192" s="875"/>
      <c r="AD192" s="874">
        <f ca="1">IFERROR(SUMIFS(INDEX(Сценарии!$AE$25:$BF$136,,MATCH($K192&amp;"Принято органом регулирования",Сценарии!$AE$8:$BF$8,0)),Сценарии!$F$25:$F$136,$F192,Сценарии!$AC$25:$AC$136,"Индекс эффективности операционных расходов"),0)</f>
        <v>0</v>
      </c>
      <c r="AE192" s="875"/>
      <c r="AF192" s="875">
        <f ca="1">IFERROR(SUMIFS(INDEX(Баланс!$AE$25:$BB$391,,MATCH($K192&amp;"Принято органом регулирования",Баланс!$AE$8:$BB$8,0)),Баланс!$F$25:$F$391,$F192,Баланс!$AC$24:$AC$391,"Уровень потерь воды"),0)</f>
        <v>0</v>
      </c>
      <c r="AG192" s="874">
        <f ca="1">IFERROR(SUMIFS(INDEX(Electricity_LOAD_1,,MATCH($K192&amp;"Принято органом регулирования",ЭЭ!$AE$8:$BB$8,0)),ЭЭ!$F$25:$F$116,$F192,ЭЭ!$AC$25:$AC$116,"Удельный расход электроэнергии"),0)</f>
        <v>0</v>
      </c>
      <c r="AH192" s="881"/>
      <c r="AI192" s="881"/>
      <c r="AJ192" s="874">
        <f ca="1">IFERROR(SUMIFS(INDEX(Electricity_LOAD_1,,MATCH($K192&amp;"Принято органом регулирования",ЭЭ!$AE$8:$BB$8,0)),ЭЭ!$F$25:$F$116,$F192,ЭЭ!$AC$25:$AC$116,"Удельный расход электроэнергии"),0)</f>
        <v>0</v>
      </c>
      <c r="AK192" s="874">
        <f ca="1">IFERROR(SUMIFS(INDEX(Electricity_LOAD_1,,MATCH($K192&amp;"Принято органом регулирования",ЭЭ!$AE$8:$BB$8,0)),ЭЭ!$F$25:$F$116,$F192,ЭЭ!$AC$25:$AC$116,"Удельный расход электроэнергии"),0)</f>
        <v>0</v>
      </c>
      <c r="AL192" s="304"/>
      <c r="AM192" s="72" t="s">
        <v>2355</v>
      </c>
      <c r="AN192" s="72"/>
      <c r="AO192" s="696" cm="1">
        <f t="array" ref="AO192">K192</f>
        <v>2032</v>
      </c>
      <c r="AP192" s="72"/>
      <c r="AQ192" s="72"/>
    </row>
    <row r="193" spans="1:43" s="880" customFormat="1" ht="14.25" hidden="1" customHeight="1" x14ac:dyDescent="0.15">
      <c r="A193" s="72"/>
      <c r="B193" s="341" t="b">
        <f t="shared" si="12"/>
        <v>0</v>
      </c>
      <c r="C193" s="72"/>
      <c r="D193" s="72"/>
      <c r="E193" s="507">
        <v>15</v>
      </c>
      <c r="F193" s="3" t="str" cm="1">
        <f t="array" aca="1" ref="F193" ca="1">OFFSET(E193,-1,1)</f>
        <v>3</v>
      </c>
      <c r="G193" s="72"/>
      <c r="H193" s="72"/>
      <c r="I193" s="72"/>
      <c r="J193" s="72"/>
      <c r="K193" s="72">
        <f>first_year+9</f>
        <v>2033</v>
      </c>
      <c r="L193" s="72"/>
      <c r="M193" s="72"/>
      <c r="N193" s="72"/>
      <c r="O193" s="72"/>
      <c r="P193" s="72"/>
      <c r="Q193" s="72"/>
      <c r="R193" s="72"/>
      <c r="S193" s="72"/>
      <c r="T193" s="353" t="b" cm="1">
        <f t="array" ref="T193">T192</f>
        <v>1</v>
      </c>
      <c r="U193" s="72"/>
      <c r="V193" s="72"/>
      <c r="W193" s="72"/>
      <c r="X193" s="990"/>
      <c r="Y193" s="72"/>
      <c r="Z193" s="967"/>
      <c r="AA193" s="72"/>
      <c r="AB193" s="563" t="str">
        <f t="shared" si="13"/>
        <v>2033 год</v>
      </c>
      <c r="AC193" s="875"/>
      <c r="AD193" s="874">
        <f ca="1">IFERROR(SUMIFS(INDEX(Сценарии!$AE$25:$BF$136,,MATCH($K193&amp;"Принято органом регулирования",Сценарии!$AE$8:$BF$8,0)),Сценарии!$F$25:$F$136,$F193,Сценарии!$AC$25:$AC$136,"Индекс эффективности операционных расходов"),0)</f>
        <v>0</v>
      </c>
      <c r="AE193" s="875"/>
      <c r="AF193" s="875">
        <f ca="1">IFERROR(SUMIFS(INDEX(Баланс!$AE$25:$BB$391,,MATCH($K193&amp;"Принято органом регулирования",Баланс!$AE$8:$BB$8,0)),Баланс!$F$25:$F$391,$F193,Баланс!$AC$24:$AC$391,"Уровень потерь воды"),0)</f>
        <v>0</v>
      </c>
      <c r="AG193" s="874">
        <f ca="1">IFERROR(SUMIFS(INDEX(Electricity_LOAD_1,,MATCH($K193&amp;"Принято органом регулирования",ЭЭ!$AE$8:$BB$8,0)),ЭЭ!$F$25:$F$116,$F193,ЭЭ!$AC$25:$AC$116,"Удельный расход электроэнергии"),0)</f>
        <v>0</v>
      </c>
      <c r="AH193" s="881"/>
      <c r="AI193" s="881"/>
      <c r="AJ193" s="874">
        <f ca="1">IFERROR(SUMIFS(INDEX(Electricity_LOAD_1,,MATCH($K193&amp;"Принято органом регулирования",ЭЭ!$AE$8:$BB$8,0)),ЭЭ!$F$25:$F$116,$F193,ЭЭ!$AC$25:$AC$116,"Удельный расход электроэнергии"),0)</f>
        <v>0</v>
      </c>
      <c r="AK193" s="874">
        <f ca="1">IFERROR(SUMIFS(INDEX(Electricity_LOAD_1,,MATCH($K193&amp;"Принято органом регулирования",ЭЭ!$AE$8:$BB$8,0)),ЭЭ!$F$25:$F$116,$F193,ЭЭ!$AC$25:$AC$116,"Удельный расход электроэнергии"),0)</f>
        <v>0</v>
      </c>
      <c r="AL193" s="304"/>
      <c r="AM193" s="72" t="s">
        <v>2355</v>
      </c>
      <c r="AN193" s="72"/>
      <c r="AO193" s="696" cm="1">
        <f t="array" ref="AO193">K193</f>
        <v>2033</v>
      </c>
      <c r="AP193" s="72"/>
      <c r="AQ193" s="72"/>
    </row>
    <row r="194" spans="1:43" s="880" customFormat="1" ht="14.25" hidden="1" customHeight="1" x14ac:dyDescent="0.15">
      <c r="A194" s="72"/>
      <c r="B194" s="341" t="b">
        <f t="shared" si="12"/>
        <v>0</v>
      </c>
      <c r="C194" s="72"/>
      <c r="D194" s="72"/>
      <c r="E194" s="507">
        <v>15</v>
      </c>
      <c r="F194" s="3" t="str" cm="1">
        <f t="array" aca="1" ref="F194" ca="1">OFFSET(E194,-1,1)</f>
        <v>3</v>
      </c>
      <c r="G194" s="72"/>
      <c r="H194" s="72"/>
      <c r="I194" s="72"/>
      <c r="J194" s="72"/>
      <c r="K194" s="72">
        <f>first_year+10</f>
        <v>2034</v>
      </c>
      <c r="L194" s="72"/>
      <c r="M194" s="72"/>
      <c r="N194" s="72"/>
      <c r="O194" s="72"/>
      <c r="P194" s="72"/>
      <c r="Q194" s="72"/>
      <c r="R194" s="72"/>
      <c r="S194" s="72"/>
      <c r="T194" s="353" t="b" cm="1">
        <f t="array" ref="T194">T193</f>
        <v>1</v>
      </c>
      <c r="U194" s="72"/>
      <c r="V194" s="72"/>
      <c r="W194" s="72"/>
      <c r="X194" s="990"/>
      <c r="Y194" s="72"/>
      <c r="Z194" s="967"/>
      <c r="AA194" s="72"/>
      <c r="AB194" s="563" t="str">
        <f t="shared" si="13"/>
        <v>2034 год</v>
      </c>
      <c r="AC194" s="875"/>
      <c r="AD194" s="874"/>
      <c r="AE194" s="875"/>
      <c r="AF194" s="875"/>
      <c r="AG194" s="874"/>
      <c r="AH194" s="881"/>
      <c r="AI194" s="881"/>
      <c r="AJ194" s="874"/>
      <c r="AK194" s="876"/>
      <c r="AL194" s="304"/>
      <c r="AM194" s="72"/>
      <c r="AN194" s="72"/>
      <c r="AO194" s="696" cm="1">
        <f t="array" ref="AO194">K194</f>
        <v>2034</v>
      </c>
      <c r="AP194" s="72"/>
      <c r="AQ194" s="72"/>
    </row>
    <row r="195" spans="1:43" s="880" customFormat="1" ht="14.25" hidden="1" customHeight="1" x14ac:dyDescent="0.15">
      <c r="A195" s="72"/>
      <c r="B195" s="341" t="b">
        <f t="shared" si="12"/>
        <v>0</v>
      </c>
      <c r="C195" s="72"/>
      <c r="D195" s="72"/>
      <c r="E195" s="507">
        <v>15</v>
      </c>
      <c r="F195" s="3" t="str" cm="1">
        <f t="array" aca="1" ref="F195" ca="1">OFFSET(E195,-1,1)</f>
        <v>3</v>
      </c>
      <c r="G195" s="72"/>
      <c r="H195" s="72"/>
      <c r="I195" s="72"/>
      <c r="J195" s="72"/>
      <c r="K195" s="72">
        <f>first_year+11</f>
        <v>2035</v>
      </c>
      <c r="L195" s="72"/>
      <c r="M195" s="72"/>
      <c r="N195" s="72"/>
      <c r="O195" s="72"/>
      <c r="P195" s="72"/>
      <c r="Q195" s="72"/>
      <c r="R195" s="72"/>
      <c r="S195" s="72"/>
      <c r="T195" s="353" t="b" cm="1">
        <f t="array" ref="T195">T194</f>
        <v>1</v>
      </c>
      <c r="U195" s="72"/>
      <c r="V195" s="72"/>
      <c r="W195" s="72"/>
      <c r="X195" s="990"/>
      <c r="Y195" s="72"/>
      <c r="Z195" s="967"/>
      <c r="AA195" s="72"/>
      <c r="AB195" s="168" t="str">
        <f t="shared" si="13"/>
        <v>2035 год</v>
      </c>
      <c r="AC195" s="875"/>
      <c r="AD195" s="877"/>
      <c r="AE195" s="878"/>
      <c r="AF195" s="878"/>
      <c r="AG195" s="877"/>
      <c r="AH195" s="883"/>
      <c r="AI195" s="883"/>
      <c r="AJ195" s="877"/>
      <c r="AK195" s="879"/>
      <c r="AL195" s="304"/>
      <c r="AM195" s="72"/>
      <c r="AN195" s="72"/>
      <c r="AO195" s="696" cm="1">
        <f t="array" ref="AO195">K195</f>
        <v>2035</v>
      </c>
      <c r="AP195" s="72"/>
      <c r="AQ195" s="72"/>
    </row>
    <row r="196" spans="1:43" s="880" customFormat="1" ht="14.25" hidden="1" customHeight="1" x14ac:dyDescent="0.15">
      <c r="A196" s="72"/>
      <c r="B196" s="341" t="b">
        <f t="shared" si="12"/>
        <v>0</v>
      </c>
      <c r="C196" s="72"/>
      <c r="D196" s="72"/>
      <c r="E196" s="507">
        <v>15</v>
      </c>
      <c r="F196" s="3" t="str" cm="1">
        <f t="array" aca="1" ref="F196" ca="1">OFFSET(E196,-1,1)</f>
        <v>3</v>
      </c>
      <c r="G196" s="72"/>
      <c r="H196" s="72"/>
      <c r="I196" s="72"/>
      <c r="J196" s="72"/>
      <c r="K196" s="72">
        <f>first_year+12</f>
        <v>2036</v>
      </c>
      <c r="L196" s="72"/>
      <c r="M196" s="72"/>
      <c r="N196" s="72"/>
      <c r="O196" s="72"/>
      <c r="P196" s="72"/>
      <c r="Q196" s="72"/>
      <c r="R196" s="72"/>
      <c r="S196" s="72"/>
      <c r="T196" s="353" t="b" cm="1">
        <f t="array" ref="T196">T195</f>
        <v>1</v>
      </c>
      <c r="U196" s="72"/>
      <c r="V196" s="72"/>
      <c r="W196" s="72"/>
      <c r="X196" s="990"/>
      <c r="Y196" s="72"/>
      <c r="Z196" s="967"/>
      <c r="AA196" s="72"/>
      <c r="AB196" s="168" t="str">
        <f t="shared" si="13"/>
        <v>2036 год</v>
      </c>
      <c r="AC196" s="875"/>
      <c r="AD196" s="877"/>
      <c r="AE196" s="878"/>
      <c r="AF196" s="878"/>
      <c r="AG196" s="877"/>
      <c r="AH196" s="883"/>
      <c r="AI196" s="883"/>
      <c r="AJ196" s="877"/>
      <c r="AK196" s="879"/>
      <c r="AL196" s="304"/>
      <c r="AM196" s="72"/>
      <c r="AN196" s="72"/>
      <c r="AO196" s="696" cm="1">
        <f t="array" ref="AO196">K196</f>
        <v>2036</v>
      </c>
      <c r="AP196" s="72"/>
      <c r="AQ196" s="72"/>
    </row>
    <row r="197" spans="1:43" s="880" customFormat="1" ht="14.25" hidden="1" customHeight="1" x14ac:dyDescent="0.15">
      <c r="A197" s="72"/>
      <c r="B197" s="341" t="b">
        <f t="shared" si="12"/>
        <v>0</v>
      </c>
      <c r="C197" s="72"/>
      <c r="D197" s="72"/>
      <c r="E197" s="507">
        <v>15</v>
      </c>
      <c r="F197" s="3" t="str" cm="1">
        <f t="array" aca="1" ref="F197" ca="1">OFFSET(E197,-1,1)</f>
        <v>3</v>
      </c>
      <c r="G197" s="72"/>
      <c r="H197" s="72"/>
      <c r="I197" s="72"/>
      <c r="J197" s="72"/>
      <c r="K197" s="72">
        <f>first_year+13</f>
        <v>2037</v>
      </c>
      <c r="L197" s="72"/>
      <c r="M197" s="72"/>
      <c r="N197" s="72"/>
      <c r="O197" s="72"/>
      <c r="P197" s="72"/>
      <c r="Q197" s="72"/>
      <c r="R197" s="72"/>
      <c r="S197" s="72"/>
      <c r="T197" s="353" t="b" cm="1">
        <f t="array" ref="T197">T196</f>
        <v>1</v>
      </c>
      <c r="U197" s="72"/>
      <c r="V197" s="72"/>
      <c r="W197" s="72"/>
      <c r="X197" s="990"/>
      <c r="Y197" s="72"/>
      <c r="Z197" s="967"/>
      <c r="AA197" s="72"/>
      <c r="AB197" s="168" t="str">
        <f t="shared" si="13"/>
        <v>2037 год</v>
      </c>
      <c r="AC197" s="875"/>
      <c r="AD197" s="877"/>
      <c r="AE197" s="878"/>
      <c r="AF197" s="878"/>
      <c r="AG197" s="877"/>
      <c r="AH197" s="883"/>
      <c r="AI197" s="883"/>
      <c r="AJ197" s="877"/>
      <c r="AK197" s="879"/>
      <c r="AL197" s="304"/>
      <c r="AM197" s="72"/>
      <c r="AN197" s="72"/>
      <c r="AO197" s="696" cm="1">
        <f t="array" ref="AO197">K197</f>
        <v>2037</v>
      </c>
      <c r="AP197" s="72"/>
      <c r="AQ197" s="72"/>
    </row>
    <row r="198" spans="1:43" s="880" customFormat="1" ht="14.25" hidden="1" customHeight="1" x14ac:dyDescent="0.15">
      <c r="A198" s="72"/>
      <c r="B198" s="341" t="b">
        <f t="shared" si="12"/>
        <v>0</v>
      </c>
      <c r="C198" s="72"/>
      <c r="D198" s="72"/>
      <c r="E198" s="507">
        <v>15</v>
      </c>
      <c r="F198" s="3" t="str" cm="1">
        <f t="array" aca="1" ref="F198" ca="1">OFFSET(E198,-1,1)</f>
        <v>3</v>
      </c>
      <c r="G198" s="72"/>
      <c r="H198" s="72"/>
      <c r="I198" s="72"/>
      <c r="J198" s="72"/>
      <c r="K198" s="72">
        <f>first_year+14</f>
        <v>2038</v>
      </c>
      <c r="L198" s="72"/>
      <c r="M198" s="72"/>
      <c r="N198" s="72"/>
      <c r="O198" s="72"/>
      <c r="P198" s="72"/>
      <c r="Q198" s="72"/>
      <c r="R198" s="72"/>
      <c r="S198" s="72"/>
      <c r="T198" s="353" t="b" cm="1">
        <f t="array" ref="T198">T197</f>
        <v>1</v>
      </c>
      <c r="U198" s="72"/>
      <c r="V198" s="72"/>
      <c r="W198" s="72"/>
      <c r="X198" s="990"/>
      <c r="Y198" s="72"/>
      <c r="Z198" s="967"/>
      <c r="AA198" s="72"/>
      <c r="AB198" s="168" t="str">
        <f t="shared" si="13"/>
        <v>2038 год</v>
      </c>
      <c r="AC198" s="875"/>
      <c r="AD198" s="877"/>
      <c r="AE198" s="878"/>
      <c r="AF198" s="878"/>
      <c r="AG198" s="877"/>
      <c r="AH198" s="883"/>
      <c r="AI198" s="883"/>
      <c r="AJ198" s="877"/>
      <c r="AK198" s="879"/>
      <c r="AL198" s="304"/>
      <c r="AM198" s="72"/>
      <c r="AN198" s="72"/>
      <c r="AO198" s="696" cm="1">
        <f t="array" ref="AO198">K198</f>
        <v>2038</v>
      </c>
      <c r="AP198" s="72"/>
      <c r="AQ198" s="72"/>
    </row>
    <row r="199" spans="1:43" s="880" customFormat="1" ht="14.25" hidden="1" customHeight="1" x14ac:dyDescent="0.15">
      <c r="A199" s="72"/>
      <c r="B199" s="341" t="b">
        <f t="shared" si="12"/>
        <v>0</v>
      </c>
      <c r="C199" s="72"/>
      <c r="D199" s="72"/>
      <c r="E199" s="507">
        <v>15</v>
      </c>
      <c r="F199" s="3" t="str" cm="1">
        <f t="array" aca="1" ref="F199" ca="1">OFFSET(E199,-1,1)</f>
        <v>3</v>
      </c>
      <c r="G199" s="72"/>
      <c r="H199" s="72"/>
      <c r="I199" s="72"/>
      <c r="J199" s="72"/>
      <c r="K199" s="72">
        <f>first_year+15</f>
        <v>2039</v>
      </c>
      <c r="L199" s="72"/>
      <c r="M199" s="72"/>
      <c r="N199" s="72"/>
      <c r="O199" s="72"/>
      <c r="P199" s="72"/>
      <c r="Q199" s="72"/>
      <c r="R199" s="72"/>
      <c r="S199" s="72"/>
      <c r="T199" s="353" t="b" cm="1">
        <f t="array" ref="T199">T198</f>
        <v>1</v>
      </c>
      <c r="U199" s="72"/>
      <c r="V199" s="72"/>
      <c r="W199" s="72"/>
      <c r="X199" s="990"/>
      <c r="Y199" s="72"/>
      <c r="Z199" s="967"/>
      <c r="AA199" s="72"/>
      <c r="AB199" s="168" t="str">
        <f t="shared" si="13"/>
        <v>2039 год</v>
      </c>
      <c r="AC199" s="875"/>
      <c r="AD199" s="877"/>
      <c r="AE199" s="878"/>
      <c r="AF199" s="878"/>
      <c r="AG199" s="877"/>
      <c r="AH199" s="883"/>
      <c r="AI199" s="883"/>
      <c r="AJ199" s="877"/>
      <c r="AK199" s="879"/>
      <c r="AL199" s="304"/>
      <c r="AM199" s="72"/>
      <c r="AN199" s="72"/>
      <c r="AO199" s="696" cm="1">
        <f t="array" ref="AO199">K199</f>
        <v>2039</v>
      </c>
      <c r="AP199" s="72"/>
      <c r="AQ199" s="72"/>
    </row>
    <row r="200" spans="1:43" s="880" customFormat="1" ht="14.25" hidden="1" customHeight="1" x14ac:dyDescent="0.15">
      <c r="A200" s="72"/>
      <c r="B200" s="341" t="b">
        <f t="shared" si="12"/>
        <v>0</v>
      </c>
      <c r="C200" s="72"/>
      <c r="D200" s="72"/>
      <c r="E200" s="507">
        <v>15</v>
      </c>
      <c r="F200" s="3" t="str" cm="1">
        <f t="array" aca="1" ref="F200" ca="1">OFFSET(E200,-1,1)</f>
        <v>3</v>
      </c>
      <c r="G200" s="72"/>
      <c r="H200" s="72"/>
      <c r="I200" s="72"/>
      <c r="J200" s="72"/>
      <c r="K200" s="72">
        <f>first_year+16</f>
        <v>2040</v>
      </c>
      <c r="L200" s="72"/>
      <c r="M200" s="72"/>
      <c r="N200" s="72"/>
      <c r="O200" s="72"/>
      <c r="P200" s="72"/>
      <c r="Q200" s="72"/>
      <c r="R200" s="72"/>
      <c r="S200" s="72"/>
      <c r="T200" s="353" t="b" cm="1">
        <f t="array" ref="T200">T199</f>
        <v>1</v>
      </c>
      <c r="U200" s="72"/>
      <c r="V200" s="72"/>
      <c r="W200" s="72"/>
      <c r="X200" s="990"/>
      <c r="Y200" s="72"/>
      <c r="Z200" s="967"/>
      <c r="AA200" s="72"/>
      <c r="AB200" s="168" t="str">
        <f t="shared" si="13"/>
        <v>2040 год</v>
      </c>
      <c r="AC200" s="875"/>
      <c r="AD200" s="877"/>
      <c r="AE200" s="878"/>
      <c r="AF200" s="878"/>
      <c r="AG200" s="877"/>
      <c r="AH200" s="883"/>
      <c r="AI200" s="883"/>
      <c r="AJ200" s="877"/>
      <c r="AK200" s="879"/>
      <c r="AL200" s="304"/>
      <c r="AM200" s="72"/>
      <c r="AN200" s="72"/>
      <c r="AO200" s="696" cm="1">
        <f t="array" ref="AO200">K200</f>
        <v>2040</v>
      </c>
      <c r="AP200" s="72"/>
      <c r="AQ200" s="72"/>
    </row>
    <row r="201" spans="1:43" s="880" customFormat="1" ht="14.25" hidden="1" customHeight="1" x14ac:dyDescent="0.15">
      <c r="A201" s="72"/>
      <c r="B201" s="341" t="b">
        <f t="shared" si="12"/>
        <v>0</v>
      </c>
      <c r="C201" s="72"/>
      <c r="D201" s="72"/>
      <c r="E201" s="507">
        <v>15</v>
      </c>
      <c r="F201" s="3" t="str" cm="1">
        <f t="array" aca="1" ref="F201" ca="1">OFFSET(E201,-1,1)</f>
        <v>3</v>
      </c>
      <c r="G201" s="72"/>
      <c r="H201" s="72"/>
      <c r="I201" s="72"/>
      <c r="J201" s="72"/>
      <c r="K201" s="72">
        <f>first_year+17</f>
        <v>2041</v>
      </c>
      <c r="L201" s="72"/>
      <c r="M201" s="72"/>
      <c r="N201" s="72"/>
      <c r="O201" s="72"/>
      <c r="P201" s="72"/>
      <c r="Q201" s="72"/>
      <c r="R201" s="72"/>
      <c r="S201" s="72"/>
      <c r="T201" s="353" t="b" cm="1">
        <f t="array" ref="T201">T200</f>
        <v>1</v>
      </c>
      <c r="U201" s="72"/>
      <c r="V201" s="72"/>
      <c r="W201" s="72"/>
      <c r="X201" s="990"/>
      <c r="Y201" s="72"/>
      <c r="Z201" s="967"/>
      <c r="AA201" s="72"/>
      <c r="AB201" s="168" t="str">
        <f t="shared" si="13"/>
        <v>2041 год</v>
      </c>
      <c r="AC201" s="875"/>
      <c r="AD201" s="877"/>
      <c r="AE201" s="878"/>
      <c r="AF201" s="878"/>
      <c r="AG201" s="877"/>
      <c r="AH201" s="883"/>
      <c r="AI201" s="883"/>
      <c r="AJ201" s="877"/>
      <c r="AK201" s="879"/>
      <c r="AL201" s="304"/>
      <c r="AM201" s="72"/>
      <c r="AN201" s="72"/>
      <c r="AO201" s="696" cm="1">
        <f t="array" ref="AO201">K201</f>
        <v>2041</v>
      </c>
      <c r="AP201" s="72"/>
      <c r="AQ201" s="72"/>
    </row>
    <row r="202" spans="1:43" s="880" customFormat="1" ht="14.25" hidden="1" customHeight="1" x14ac:dyDescent="0.15">
      <c r="A202" s="72"/>
      <c r="B202" s="341" t="b">
        <f t="shared" si="12"/>
        <v>0</v>
      </c>
      <c r="C202" s="72"/>
      <c r="D202" s="72"/>
      <c r="E202" s="507">
        <v>15</v>
      </c>
      <c r="F202" s="3" t="str" cm="1">
        <f t="array" aca="1" ref="F202" ca="1">OFFSET(E202,-1,1)</f>
        <v>3</v>
      </c>
      <c r="G202" s="72"/>
      <c r="H202" s="72"/>
      <c r="I202" s="72"/>
      <c r="J202" s="72"/>
      <c r="K202" s="72">
        <f>first_year+18</f>
        <v>2042</v>
      </c>
      <c r="L202" s="72"/>
      <c r="M202" s="72"/>
      <c r="N202" s="72"/>
      <c r="O202" s="72"/>
      <c r="P202" s="72"/>
      <c r="Q202" s="72"/>
      <c r="R202" s="72"/>
      <c r="S202" s="72"/>
      <c r="T202" s="353" t="b" cm="1">
        <f t="array" ref="T202">T201</f>
        <v>1</v>
      </c>
      <c r="U202" s="72"/>
      <c r="V202" s="72"/>
      <c r="W202" s="72"/>
      <c r="X202" s="990"/>
      <c r="Y202" s="72"/>
      <c r="Z202" s="967"/>
      <c r="AA202" s="72"/>
      <c r="AB202" s="168" t="str">
        <f t="shared" si="13"/>
        <v>2042 год</v>
      </c>
      <c r="AC202" s="875"/>
      <c r="AD202" s="877"/>
      <c r="AE202" s="878"/>
      <c r="AF202" s="878"/>
      <c r="AG202" s="877"/>
      <c r="AH202" s="883"/>
      <c r="AI202" s="883"/>
      <c r="AJ202" s="877"/>
      <c r="AK202" s="879"/>
      <c r="AL202" s="304"/>
      <c r="AM202" s="72"/>
      <c r="AN202" s="72"/>
      <c r="AO202" s="696" cm="1">
        <f t="array" ref="AO202">K202</f>
        <v>2042</v>
      </c>
      <c r="AP202" s="72"/>
      <c r="AQ202" s="72"/>
    </row>
    <row r="203" spans="1:43" s="880" customFormat="1" ht="14.25" hidden="1" customHeight="1" x14ac:dyDescent="0.15">
      <c r="A203" s="72"/>
      <c r="B203" s="341" t="b">
        <f t="shared" si="12"/>
        <v>0</v>
      </c>
      <c r="C203" s="72"/>
      <c r="D203" s="72"/>
      <c r="E203" s="507">
        <v>15</v>
      </c>
      <c r="F203" s="3" t="str" cm="1">
        <f t="array" aca="1" ref="F203" ca="1">OFFSET(E203,-1,1)</f>
        <v>3</v>
      </c>
      <c r="G203" s="72"/>
      <c r="H203" s="72"/>
      <c r="I203" s="72"/>
      <c r="J203" s="72"/>
      <c r="K203" s="72">
        <f>first_year+19</f>
        <v>2043</v>
      </c>
      <c r="L203" s="72"/>
      <c r="M203" s="72"/>
      <c r="N203" s="72"/>
      <c r="O203" s="72"/>
      <c r="P203" s="72"/>
      <c r="Q203" s="72"/>
      <c r="R203" s="72"/>
      <c r="S203" s="72"/>
      <c r="T203" s="353" t="b" cm="1">
        <f t="array" ref="T203">T202</f>
        <v>1</v>
      </c>
      <c r="U203" s="72"/>
      <c r="V203" s="72"/>
      <c r="W203" s="72"/>
      <c r="X203" s="990"/>
      <c r="Y203" s="72"/>
      <c r="Z203" s="967"/>
      <c r="AA203" s="72"/>
      <c r="AB203" s="168" t="str">
        <f t="shared" si="13"/>
        <v>2043 год</v>
      </c>
      <c r="AC203" s="875"/>
      <c r="AD203" s="877"/>
      <c r="AE203" s="878"/>
      <c r="AF203" s="878"/>
      <c r="AG203" s="877"/>
      <c r="AH203" s="883"/>
      <c r="AI203" s="883"/>
      <c r="AJ203" s="877"/>
      <c r="AK203" s="879"/>
      <c r="AL203" s="304"/>
      <c r="AM203" s="72"/>
      <c r="AN203" s="72"/>
      <c r="AO203" s="696" cm="1">
        <f t="array" ref="AO203">K203</f>
        <v>2043</v>
      </c>
      <c r="AP203" s="72"/>
      <c r="AQ203" s="72"/>
    </row>
    <row r="204" spans="1:43" s="880" customFormat="1" ht="14.25" hidden="1" customHeight="1" x14ac:dyDescent="0.15">
      <c r="A204" s="72"/>
      <c r="B204" s="341" t="b">
        <f t="shared" si="12"/>
        <v>0</v>
      </c>
      <c r="C204" s="72"/>
      <c r="D204" s="72"/>
      <c r="E204" s="507">
        <v>15</v>
      </c>
      <c r="F204" s="3" t="str" cm="1">
        <f t="array" aca="1" ref="F204" ca="1">OFFSET(E204,-1,1)</f>
        <v>3</v>
      </c>
      <c r="G204" s="72"/>
      <c r="H204" s="72"/>
      <c r="I204" s="72"/>
      <c r="J204" s="72"/>
      <c r="K204" s="72">
        <f>first_year+20</f>
        <v>2044</v>
      </c>
      <c r="L204" s="72"/>
      <c r="M204" s="72"/>
      <c r="N204" s="72"/>
      <c r="O204" s="72"/>
      <c r="P204" s="72"/>
      <c r="Q204" s="72"/>
      <c r="R204" s="72"/>
      <c r="S204" s="72"/>
      <c r="T204" s="353" t="b" cm="1">
        <f t="array" ref="T204">T203</f>
        <v>1</v>
      </c>
      <c r="U204" s="72"/>
      <c r="V204" s="72"/>
      <c r="W204" s="72"/>
      <c r="X204" s="990"/>
      <c r="Y204" s="72"/>
      <c r="Z204" s="967"/>
      <c r="AA204" s="72"/>
      <c r="AB204" s="168" t="str">
        <f t="shared" si="13"/>
        <v>2044 год</v>
      </c>
      <c r="AC204" s="875"/>
      <c r="AD204" s="877"/>
      <c r="AE204" s="878"/>
      <c r="AF204" s="878"/>
      <c r="AG204" s="877"/>
      <c r="AH204" s="883"/>
      <c r="AI204" s="883"/>
      <c r="AJ204" s="877"/>
      <c r="AK204" s="879"/>
      <c r="AL204" s="304"/>
      <c r="AM204" s="72"/>
      <c r="AN204" s="72"/>
      <c r="AO204" s="696" cm="1">
        <f t="array" ref="AO204">K204</f>
        <v>2044</v>
      </c>
      <c r="AP204" s="72"/>
      <c r="AQ204" s="72"/>
    </row>
    <row r="205" spans="1:43" s="880" customFormat="1" ht="14.25" hidden="1" customHeight="1" x14ac:dyDescent="0.15">
      <c r="A205" s="72"/>
      <c r="B205" s="341" t="b">
        <f t="shared" si="12"/>
        <v>0</v>
      </c>
      <c r="C205" s="72"/>
      <c r="D205" s="72"/>
      <c r="E205" s="507">
        <v>15</v>
      </c>
      <c r="F205" s="3" t="str" cm="1">
        <f t="array" aca="1" ref="F205" ca="1">OFFSET(E205,-1,1)</f>
        <v>3</v>
      </c>
      <c r="G205" s="72"/>
      <c r="H205" s="72"/>
      <c r="I205" s="72"/>
      <c r="J205" s="72"/>
      <c r="K205" s="72">
        <f>first_year+21</f>
        <v>2045</v>
      </c>
      <c r="L205" s="72"/>
      <c r="M205" s="72"/>
      <c r="N205" s="72"/>
      <c r="O205" s="72"/>
      <c r="P205" s="72"/>
      <c r="Q205" s="72"/>
      <c r="R205" s="72"/>
      <c r="S205" s="72"/>
      <c r="T205" s="353" t="b" cm="1">
        <f t="array" ref="T205">T204</f>
        <v>1</v>
      </c>
      <c r="U205" s="72"/>
      <c r="V205" s="72"/>
      <c r="W205" s="72"/>
      <c r="X205" s="990"/>
      <c r="Y205" s="72"/>
      <c r="Z205" s="967"/>
      <c r="AA205" s="72"/>
      <c r="AB205" s="168" t="str">
        <f t="shared" si="13"/>
        <v>2045 год</v>
      </c>
      <c r="AC205" s="875"/>
      <c r="AD205" s="877"/>
      <c r="AE205" s="878"/>
      <c r="AF205" s="878"/>
      <c r="AG205" s="877"/>
      <c r="AH205" s="883"/>
      <c r="AI205" s="883"/>
      <c r="AJ205" s="877"/>
      <c r="AK205" s="879"/>
      <c r="AL205" s="304"/>
      <c r="AM205" s="72"/>
      <c r="AN205" s="72"/>
      <c r="AO205" s="696" cm="1">
        <f t="array" ref="AO205">K205</f>
        <v>2045</v>
      </c>
      <c r="AP205" s="72"/>
      <c r="AQ205" s="72"/>
    </row>
    <row r="206" spans="1:43" s="880" customFormat="1" ht="14.25" hidden="1" customHeight="1" x14ac:dyDescent="0.15">
      <c r="A206" s="72"/>
      <c r="B206" s="341" t="b">
        <f t="shared" si="12"/>
        <v>0</v>
      </c>
      <c r="C206" s="72"/>
      <c r="D206" s="72"/>
      <c r="E206" s="507">
        <v>15</v>
      </c>
      <c r="F206" s="3" t="str" cm="1">
        <f t="array" aca="1" ref="F206" ca="1">OFFSET(E206,-1,1)</f>
        <v>3</v>
      </c>
      <c r="G206" s="72"/>
      <c r="H206" s="72"/>
      <c r="I206" s="72"/>
      <c r="J206" s="72"/>
      <c r="K206" s="72">
        <f>first_year+22</f>
        <v>2046</v>
      </c>
      <c r="L206" s="72"/>
      <c r="M206" s="72"/>
      <c r="N206" s="72"/>
      <c r="O206" s="72"/>
      <c r="P206" s="72"/>
      <c r="Q206" s="72"/>
      <c r="R206" s="72"/>
      <c r="S206" s="72"/>
      <c r="T206" s="353" t="b" cm="1">
        <f t="array" ref="T206">T205</f>
        <v>1</v>
      </c>
      <c r="U206" s="72"/>
      <c r="V206" s="72"/>
      <c r="W206" s="72"/>
      <c r="X206" s="990"/>
      <c r="Y206" s="72"/>
      <c r="Z206" s="967"/>
      <c r="AA206" s="72"/>
      <c r="AB206" s="168" t="str">
        <f t="shared" si="13"/>
        <v>2046 год</v>
      </c>
      <c r="AC206" s="875"/>
      <c r="AD206" s="877"/>
      <c r="AE206" s="878"/>
      <c r="AF206" s="878"/>
      <c r="AG206" s="877"/>
      <c r="AH206" s="883"/>
      <c r="AI206" s="883"/>
      <c r="AJ206" s="877"/>
      <c r="AK206" s="879"/>
      <c r="AL206" s="304"/>
      <c r="AM206" s="72"/>
      <c r="AN206" s="72"/>
      <c r="AO206" s="696" cm="1">
        <f t="array" ref="AO206">K206</f>
        <v>2046</v>
      </c>
      <c r="AP206" s="72"/>
      <c r="AQ206" s="72"/>
    </row>
    <row r="207" spans="1:43" s="880" customFormat="1" ht="14.25" hidden="1" customHeight="1" x14ac:dyDescent="0.15">
      <c r="A207" s="72"/>
      <c r="B207" s="341" t="b">
        <f t="shared" si="12"/>
        <v>0</v>
      </c>
      <c r="C207" s="72"/>
      <c r="D207" s="72"/>
      <c r="E207" s="507">
        <v>15</v>
      </c>
      <c r="F207" s="3" t="str" cm="1">
        <f t="array" aca="1" ref="F207" ca="1">OFFSET(E207,-1,1)</f>
        <v>3</v>
      </c>
      <c r="G207" s="72"/>
      <c r="H207" s="72"/>
      <c r="I207" s="72"/>
      <c r="J207" s="72"/>
      <c r="K207" s="72">
        <f>first_year+23</f>
        <v>2047</v>
      </c>
      <c r="L207" s="72"/>
      <c r="M207" s="72"/>
      <c r="N207" s="72"/>
      <c r="O207" s="72"/>
      <c r="P207" s="72"/>
      <c r="Q207" s="72"/>
      <c r="R207" s="72"/>
      <c r="S207" s="72"/>
      <c r="T207" s="353" t="b" cm="1">
        <f t="array" ref="T207">T206</f>
        <v>1</v>
      </c>
      <c r="U207" s="72"/>
      <c r="V207" s="72"/>
      <c r="W207" s="72"/>
      <c r="X207" s="990"/>
      <c r="Y207" s="72"/>
      <c r="Z207" s="967"/>
      <c r="AA207" s="72"/>
      <c r="AB207" s="168" t="str">
        <f t="shared" si="13"/>
        <v>2047 год</v>
      </c>
      <c r="AC207" s="875"/>
      <c r="AD207" s="877"/>
      <c r="AE207" s="878"/>
      <c r="AF207" s="878"/>
      <c r="AG207" s="877"/>
      <c r="AH207" s="883"/>
      <c r="AI207" s="883"/>
      <c r="AJ207" s="877"/>
      <c r="AK207" s="879"/>
      <c r="AL207" s="304"/>
      <c r="AM207" s="72"/>
      <c r="AN207" s="72"/>
      <c r="AO207" s="696" cm="1">
        <f t="array" ref="AO207">K207</f>
        <v>2047</v>
      </c>
      <c r="AP207" s="72"/>
      <c r="AQ207" s="72"/>
    </row>
    <row r="208" spans="1:43" s="880" customFormat="1" ht="14.25" hidden="1" customHeight="1" x14ac:dyDescent="0.15">
      <c r="A208" s="72"/>
      <c r="B208" s="341" t="b">
        <f t="shared" si="12"/>
        <v>0</v>
      </c>
      <c r="C208" s="72"/>
      <c r="D208" s="72"/>
      <c r="E208" s="507">
        <v>15</v>
      </c>
      <c r="F208" s="3" t="str" cm="1">
        <f t="array" aca="1" ref="F208" ca="1">OFFSET(E208,-1,1)</f>
        <v>3</v>
      </c>
      <c r="G208" s="72"/>
      <c r="H208" s="72"/>
      <c r="I208" s="72"/>
      <c r="J208" s="72"/>
      <c r="K208" s="72">
        <f>first_year+24</f>
        <v>2048</v>
      </c>
      <c r="L208" s="72"/>
      <c r="M208" s="72"/>
      <c r="N208" s="72"/>
      <c r="O208" s="72"/>
      <c r="P208" s="72"/>
      <c r="Q208" s="72"/>
      <c r="R208" s="72"/>
      <c r="S208" s="72"/>
      <c r="T208" s="353" t="b" cm="1">
        <f t="array" ref="T208">T207</f>
        <v>1</v>
      </c>
      <c r="U208" s="72"/>
      <c r="V208" s="72"/>
      <c r="W208" s="72"/>
      <c r="X208" s="990"/>
      <c r="Y208" s="72"/>
      <c r="Z208" s="967"/>
      <c r="AA208" s="72"/>
      <c r="AB208" s="168" t="str">
        <f t="shared" si="13"/>
        <v>2048 год</v>
      </c>
      <c r="AC208" s="875"/>
      <c r="AD208" s="877"/>
      <c r="AE208" s="878"/>
      <c r="AF208" s="878"/>
      <c r="AG208" s="877"/>
      <c r="AH208" s="883"/>
      <c r="AI208" s="883"/>
      <c r="AJ208" s="877"/>
      <c r="AK208" s="879"/>
      <c r="AL208" s="304"/>
      <c r="AM208" s="72"/>
      <c r="AN208" s="72"/>
      <c r="AO208" s="696" cm="1">
        <f t="array" ref="AO208">K208</f>
        <v>2048</v>
      </c>
      <c r="AP208" s="72"/>
      <c r="AQ208" s="72"/>
    </row>
    <row r="209" spans="1:43" s="880" customFormat="1" ht="14.25" hidden="1" customHeight="1" x14ac:dyDescent="0.15">
      <c r="A209" s="72"/>
      <c r="B209" s="341" t="b">
        <f t="shared" si="12"/>
        <v>0</v>
      </c>
      <c r="C209" s="72"/>
      <c r="D209" s="72"/>
      <c r="E209" s="507">
        <v>15</v>
      </c>
      <c r="F209" s="3" t="str" cm="1">
        <f t="array" aca="1" ref="F209" ca="1">OFFSET(E209,-1,1)</f>
        <v>3</v>
      </c>
      <c r="G209" s="72"/>
      <c r="H209" s="72"/>
      <c r="I209" s="72"/>
      <c r="J209" s="72"/>
      <c r="K209" s="72">
        <f>first_year+25</f>
        <v>2049</v>
      </c>
      <c r="L209" s="72"/>
      <c r="M209" s="72"/>
      <c r="N209" s="72"/>
      <c r="O209" s="72"/>
      <c r="P209" s="72"/>
      <c r="Q209" s="72"/>
      <c r="R209" s="72"/>
      <c r="S209" s="72"/>
      <c r="T209" s="353" t="b" cm="1">
        <f t="array" ref="T209">T208</f>
        <v>1</v>
      </c>
      <c r="U209" s="72"/>
      <c r="V209" s="72"/>
      <c r="W209" s="72"/>
      <c r="X209" s="990"/>
      <c r="Y209" s="72"/>
      <c r="Z209" s="967"/>
      <c r="AA209" s="72"/>
      <c r="AB209" s="168" t="str">
        <f t="shared" si="13"/>
        <v>2049 год</v>
      </c>
      <c r="AC209" s="875"/>
      <c r="AD209" s="877"/>
      <c r="AE209" s="878"/>
      <c r="AF209" s="878"/>
      <c r="AG209" s="877"/>
      <c r="AH209" s="883"/>
      <c r="AI209" s="883"/>
      <c r="AJ209" s="877"/>
      <c r="AK209" s="879"/>
      <c r="AL209" s="304"/>
      <c r="AM209" s="72"/>
      <c r="AN209" s="72"/>
      <c r="AO209" s="696" cm="1">
        <f t="array" ref="AO209">K209</f>
        <v>2049</v>
      </c>
      <c r="AP209" s="72"/>
      <c r="AQ209" s="72"/>
    </row>
    <row r="210" spans="1:43" s="880" customFormat="1" ht="14.25" hidden="1" customHeight="1" x14ac:dyDescent="0.15">
      <c r="A210" s="72"/>
      <c r="B210" s="341" t="b">
        <f t="shared" si="12"/>
        <v>0</v>
      </c>
      <c r="C210" s="72"/>
      <c r="D210" s="72"/>
      <c r="E210" s="507">
        <v>15</v>
      </c>
      <c r="F210" s="3" t="str" cm="1">
        <f t="array" aca="1" ref="F210" ca="1">OFFSET(E210,-1,1)</f>
        <v>3</v>
      </c>
      <c r="G210" s="72"/>
      <c r="H210" s="72"/>
      <c r="I210" s="72"/>
      <c r="J210" s="72"/>
      <c r="K210" s="72">
        <f>first_year+26</f>
        <v>2050</v>
      </c>
      <c r="L210" s="72"/>
      <c r="M210" s="72"/>
      <c r="N210" s="72"/>
      <c r="O210" s="72"/>
      <c r="P210" s="72"/>
      <c r="Q210" s="72"/>
      <c r="R210" s="72"/>
      <c r="S210" s="72"/>
      <c r="T210" s="353" t="b" cm="1">
        <f t="array" ref="T210">T209</f>
        <v>1</v>
      </c>
      <c r="U210" s="72"/>
      <c r="V210" s="72"/>
      <c r="W210" s="72"/>
      <c r="X210" s="990"/>
      <c r="Y210" s="72"/>
      <c r="Z210" s="967"/>
      <c r="AA210" s="72"/>
      <c r="AB210" s="168" t="str">
        <f t="shared" si="13"/>
        <v>2050 год</v>
      </c>
      <c r="AC210" s="875"/>
      <c r="AD210" s="877"/>
      <c r="AE210" s="878"/>
      <c r="AF210" s="878"/>
      <c r="AG210" s="877"/>
      <c r="AH210" s="883"/>
      <c r="AI210" s="883"/>
      <c r="AJ210" s="877"/>
      <c r="AK210" s="879"/>
      <c r="AL210" s="304"/>
      <c r="AM210" s="72"/>
      <c r="AN210" s="72"/>
      <c r="AO210" s="696" cm="1">
        <f t="array" ref="AO210">K210</f>
        <v>2050</v>
      </c>
      <c r="AP210" s="72"/>
      <c r="AQ210" s="72"/>
    </row>
    <row r="211" spans="1:43" s="880" customFormat="1" ht="14.25" hidden="1" customHeight="1" x14ac:dyDescent="0.15">
      <c r="A211" s="72"/>
      <c r="B211" s="341" t="b">
        <f t="shared" si="12"/>
        <v>0</v>
      </c>
      <c r="C211" s="72"/>
      <c r="D211" s="72"/>
      <c r="E211" s="507">
        <v>15</v>
      </c>
      <c r="F211" s="3" t="str" cm="1">
        <f t="array" aca="1" ref="F211" ca="1">OFFSET(E211,-1,1)</f>
        <v>3</v>
      </c>
      <c r="G211" s="72"/>
      <c r="H211" s="72"/>
      <c r="I211" s="72"/>
      <c r="J211" s="72"/>
      <c r="K211" s="72">
        <f>first_year+27</f>
        <v>2051</v>
      </c>
      <c r="L211" s="72"/>
      <c r="M211" s="72"/>
      <c r="N211" s="72"/>
      <c r="O211" s="72"/>
      <c r="P211" s="72"/>
      <c r="Q211" s="72"/>
      <c r="R211" s="72"/>
      <c r="S211" s="72"/>
      <c r="T211" s="353" t="b" cm="1">
        <f t="array" ref="T211">T210</f>
        <v>1</v>
      </c>
      <c r="U211" s="72"/>
      <c r="V211" s="72"/>
      <c r="W211" s="72"/>
      <c r="X211" s="990"/>
      <c r="Y211" s="72"/>
      <c r="Z211" s="967"/>
      <c r="AA211" s="72"/>
      <c r="AB211" s="168" t="str">
        <f t="shared" si="13"/>
        <v>2051 год</v>
      </c>
      <c r="AC211" s="875"/>
      <c r="AD211" s="877"/>
      <c r="AE211" s="878"/>
      <c r="AF211" s="878"/>
      <c r="AG211" s="877"/>
      <c r="AH211" s="883"/>
      <c r="AI211" s="883"/>
      <c r="AJ211" s="877"/>
      <c r="AK211" s="879"/>
      <c r="AL211" s="304"/>
      <c r="AM211" s="72"/>
      <c r="AN211" s="72"/>
      <c r="AO211" s="696" cm="1">
        <f t="array" ref="AO211">K211</f>
        <v>2051</v>
      </c>
      <c r="AP211" s="72"/>
      <c r="AQ211" s="72"/>
    </row>
    <row r="212" spans="1:43" s="880" customFormat="1" ht="14.25" hidden="1" customHeight="1" x14ac:dyDescent="0.15">
      <c r="A212" s="72"/>
      <c r="B212" s="341" t="b">
        <f t="shared" si="12"/>
        <v>0</v>
      </c>
      <c r="C212" s="72"/>
      <c r="D212" s="72"/>
      <c r="E212" s="507">
        <v>15</v>
      </c>
      <c r="F212" s="3" t="str" cm="1">
        <f t="array" aca="1" ref="F212" ca="1">OFFSET(E212,-1,1)</f>
        <v>3</v>
      </c>
      <c r="G212" s="72"/>
      <c r="H212" s="72"/>
      <c r="I212" s="72"/>
      <c r="J212" s="72"/>
      <c r="K212" s="72">
        <f>first_year+28</f>
        <v>2052</v>
      </c>
      <c r="L212" s="72"/>
      <c r="M212" s="72"/>
      <c r="N212" s="72"/>
      <c r="O212" s="72"/>
      <c r="P212" s="72"/>
      <c r="Q212" s="72"/>
      <c r="R212" s="72"/>
      <c r="S212" s="72"/>
      <c r="T212" s="353" t="b" cm="1">
        <f t="array" ref="T212">T211</f>
        <v>1</v>
      </c>
      <c r="U212" s="72"/>
      <c r="V212" s="72"/>
      <c r="W212" s="72"/>
      <c r="X212" s="990"/>
      <c r="Y212" s="72"/>
      <c r="Z212" s="967"/>
      <c r="AA212" s="72"/>
      <c r="AB212" s="168" t="str">
        <f t="shared" si="13"/>
        <v>2052 год</v>
      </c>
      <c r="AC212" s="875"/>
      <c r="AD212" s="877"/>
      <c r="AE212" s="878"/>
      <c r="AF212" s="878"/>
      <c r="AG212" s="877"/>
      <c r="AH212" s="883"/>
      <c r="AI212" s="883"/>
      <c r="AJ212" s="877"/>
      <c r="AK212" s="879"/>
      <c r="AL212" s="304"/>
      <c r="AM212" s="72"/>
      <c r="AN212" s="72"/>
      <c r="AO212" s="696" cm="1">
        <f t="array" ref="AO212">K212</f>
        <v>2052</v>
      </c>
      <c r="AP212" s="72"/>
      <c r="AQ212" s="72"/>
    </row>
    <row r="213" spans="1:43" s="880" customFormat="1" ht="14.25" hidden="1" customHeight="1" x14ac:dyDescent="0.15">
      <c r="A213" s="72"/>
      <c r="B213" s="341" t="b">
        <f t="shared" si="12"/>
        <v>0</v>
      </c>
      <c r="C213" s="72"/>
      <c r="D213" s="72"/>
      <c r="E213" s="507">
        <v>15</v>
      </c>
      <c r="F213" s="3" t="str" cm="1">
        <f t="array" aca="1" ref="F213" ca="1">OFFSET(E213,-1,1)</f>
        <v>3</v>
      </c>
      <c r="G213" s="72"/>
      <c r="H213" s="72"/>
      <c r="I213" s="72"/>
      <c r="J213" s="72"/>
      <c r="K213" s="72">
        <f>first_year+29</f>
        <v>2053</v>
      </c>
      <c r="L213" s="72"/>
      <c r="M213" s="72"/>
      <c r="N213" s="72"/>
      <c r="O213" s="72"/>
      <c r="P213" s="72"/>
      <c r="Q213" s="72"/>
      <c r="R213" s="72"/>
      <c r="S213" s="72"/>
      <c r="T213" s="353" t="b" cm="1">
        <f t="array" ref="T213">T212</f>
        <v>1</v>
      </c>
      <c r="U213" s="72"/>
      <c r="V213" s="72"/>
      <c r="W213" s="72"/>
      <c r="X213" s="990"/>
      <c r="Y213" s="72"/>
      <c r="Z213" s="967"/>
      <c r="AA213" s="72"/>
      <c r="AB213" s="168" t="str">
        <f t="shared" si="13"/>
        <v>2053 год</v>
      </c>
      <c r="AC213" s="875"/>
      <c r="AD213" s="877"/>
      <c r="AE213" s="878"/>
      <c r="AF213" s="878"/>
      <c r="AG213" s="877"/>
      <c r="AH213" s="883"/>
      <c r="AI213" s="883"/>
      <c r="AJ213" s="877"/>
      <c r="AK213" s="879"/>
      <c r="AL213" s="304"/>
      <c r="AM213" s="72"/>
      <c r="AN213" s="72"/>
      <c r="AO213" s="696" cm="1">
        <f t="array" ref="AO213">K213</f>
        <v>2053</v>
      </c>
      <c r="AP213" s="72"/>
      <c r="AQ213" s="72"/>
    </row>
    <row r="214" spans="1:43" s="880" customFormat="1" ht="14.25" hidden="1" customHeight="1" x14ac:dyDescent="0.15">
      <c r="A214" s="72"/>
      <c r="B214" s="341" t="b">
        <f t="shared" si="12"/>
        <v>0</v>
      </c>
      <c r="C214" s="72"/>
      <c r="D214" s="72"/>
      <c r="E214" s="507">
        <v>15</v>
      </c>
      <c r="F214" s="3" t="str" cm="1">
        <f t="array" aca="1" ref="F214" ca="1">OFFSET(E214,-1,1)</f>
        <v>3</v>
      </c>
      <c r="G214" s="72"/>
      <c r="H214" s="72"/>
      <c r="I214" s="72"/>
      <c r="J214" s="72"/>
      <c r="K214" s="72">
        <f>first_year+30</f>
        <v>2054</v>
      </c>
      <c r="L214" s="72"/>
      <c r="M214" s="72"/>
      <c r="N214" s="72"/>
      <c r="O214" s="72"/>
      <c r="P214" s="72"/>
      <c r="Q214" s="72"/>
      <c r="R214" s="72"/>
      <c r="S214" s="72"/>
      <c r="T214" s="353" t="b" cm="1">
        <f t="array" ref="T214">T213</f>
        <v>1</v>
      </c>
      <c r="U214" s="72"/>
      <c r="V214" s="72"/>
      <c r="W214" s="72"/>
      <c r="X214" s="990"/>
      <c r="Y214" s="72"/>
      <c r="Z214" s="967"/>
      <c r="AA214" s="72"/>
      <c r="AB214" s="168" t="str">
        <f t="shared" si="13"/>
        <v>2054 год</v>
      </c>
      <c r="AC214" s="875"/>
      <c r="AD214" s="877"/>
      <c r="AE214" s="878"/>
      <c r="AF214" s="878"/>
      <c r="AG214" s="877"/>
      <c r="AH214" s="883"/>
      <c r="AI214" s="883"/>
      <c r="AJ214" s="877"/>
      <c r="AK214" s="879"/>
      <c r="AL214" s="304"/>
      <c r="AM214" s="72"/>
      <c r="AN214" s="72"/>
      <c r="AO214" s="696" cm="1">
        <f t="array" ref="AO214">K214</f>
        <v>2054</v>
      </c>
      <c r="AP214" s="72"/>
      <c r="AQ214" s="72"/>
    </row>
    <row r="215" spans="1:43" s="880" customFormat="1" ht="14.25" hidden="1" customHeight="1" x14ac:dyDescent="0.15">
      <c r="A215" s="72"/>
      <c r="B215" s="341" t="b">
        <f t="shared" si="12"/>
        <v>0</v>
      </c>
      <c r="C215" s="72"/>
      <c r="D215" s="72"/>
      <c r="E215" s="507">
        <v>15</v>
      </c>
      <c r="F215" s="3" t="str" cm="1">
        <f t="array" aca="1" ref="F215" ca="1">OFFSET(E215,-1,1)</f>
        <v>3</v>
      </c>
      <c r="G215" s="72"/>
      <c r="H215" s="72"/>
      <c r="I215" s="72"/>
      <c r="J215" s="72"/>
      <c r="K215" s="72">
        <f>first_year+31</f>
        <v>2055</v>
      </c>
      <c r="L215" s="72"/>
      <c r="M215" s="72"/>
      <c r="N215" s="72"/>
      <c r="O215" s="72"/>
      <c r="P215" s="72"/>
      <c r="Q215" s="72"/>
      <c r="R215" s="72"/>
      <c r="S215" s="72"/>
      <c r="T215" s="353" t="b" cm="1">
        <f t="array" ref="T215">T214</f>
        <v>1</v>
      </c>
      <c r="U215" s="72"/>
      <c r="V215" s="72"/>
      <c r="W215" s="72"/>
      <c r="X215" s="990"/>
      <c r="Y215" s="72"/>
      <c r="Z215" s="967"/>
      <c r="AA215" s="72"/>
      <c r="AB215" s="168" t="str">
        <f t="shared" si="13"/>
        <v>2055 год</v>
      </c>
      <c r="AC215" s="875"/>
      <c r="AD215" s="877"/>
      <c r="AE215" s="878"/>
      <c r="AF215" s="878"/>
      <c r="AG215" s="877"/>
      <c r="AH215" s="883"/>
      <c r="AI215" s="883"/>
      <c r="AJ215" s="877"/>
      <c r="AK215" s="879"/>
      <c r="AL215" s="304"/>
      <c r="AM215" s="72"/>
      <c r="AN215" s="72"/>
      <c r="AO215" s="696" cm="1">
        <f t="array" ref="AO215">K215</f>
        <v>2055</v>
      </c>
      <c r="AP215" s="72"/>
      <c r="AQ215" s="72"/>
    </row>
    <row r="216" spans="1:43" s="880" customFormat="1" ht="14.25" hidden="1" customHeight="1" x14ac:dyDescent="0.15">
      <c r="A216" s="72"/>
      <c r="B216" s="341" t="b">
        <f t="shared" ref="B216:B233" si="14">K216&lt;first_year+PERIOD_LENGTH</f>
        <v>0</v>
      </c>
      <c r="C216" s="72"/>
      <c r="D216" s="72"/>
      <c r="E216" s="507">
        <v>15</v>
      </c>
      <c r="F216" s="3" t="str" cm="1">
        <f t="array" aca="1" ref="F216" ca="1">OFFSET(E216,-1,1)</f>
        <v>3</v>
      </c>
      <c r="G216" s="72"/>
      <c r="H216" s="72"/>
      <c r="I216" s="72"/>
      <c r="J216" s="72"/>
      <c r="K216" s="72">
        <f>first_year+32</f>
        <v>2056</v>
      </c>
      <c r="L216" s="72"/>
      <c r="M216" s="72"/>
      <c r="N216" s="72"/>
      <c r="O216" s="72"/>
      <c r="P216" s="72"/>
      <c r="Q216" s="72"/>
      <c r="R216" s="72"/>
      <c r="S216" s="72"/>
      <c r="T216" s="353" t="b" cm="1">
        <f t="array" ref="T216">T215</f>
        <v>1</v>
      </c>
      <c r="U216" s="72"/>
      <c r="V216" s="72"/>
      <c r="W216" s="72"/>
      <c r="X216" s="990"/>
      <c r="Y216" s="72"/>
      <c r="Z216" s="967"/>
      <c r="AA216" s="72"/>
      <c r="AB216" s="168" t="str">
        <f t="shared" ref="AB216:AB233" si="15">K216&amp;" год"</f>
        <v>2056 год</v>
      </c>
      <c r="AC216" s="875"/>
      <c r="AD216" s="877"/>
      <c r="AE216" s="878"/>
      <c r="AF216" s="878"/>
      <c r="AG216" s="877"/>
      <c r="AH216" s="883"/>
      <c r="AI216" s="883"/>
      <c r="AJ216" s="877"/>
      <c r="AK216" s="879"/>
      <c r="AL216" s="304"/>
      <c r="AM216" s="72"/>
      <c r="AN216" s="72"/>
      <c r="AO216" s="696" cm="1">
        <f t="array" ref="AO216">K216</f>
        <v>2056</v>
      </c>
      <c r="AP216" s="72"/>
      <c r="AQ216" s="72"/>
    </row>
    <row r="217" spans="1:43" s="880" customFormat="1" ht="14.25" hidden="1" customHeight="1" x14ac:dyDescent="0.15">
      <c r="A217" s="72"/>
      <c r="B217" s="341" t="b">
        <f t="shared" si="14"/>
        <v>0</v>
      </c>
      <c r="C217" s="72"/>
      <c r="D217" s="72"/>
      <c r="E217" s="507">
        <v>15</v>
      </c>
      <c r="F217" s="3" t="str" cm="1">
        <f t="array" aca="1" ref="F217" ca="1">OFFSET(E217,-1,1)</f>
        <v>3</v>
      </c>
      <c r="G217" s="72"/>
      <c r="H217" s="72"/>
      <c r="I217" s="72"/>
      <c r="J217" s="72"/>
      <c r="K217" s="72">
        <f>first_year+33</f>
        <v>2057</v>
      </c>
      <c r="L217" s="72"/>
      <c r="M217" s="72"/>
      <c r="N217" s="72"/>
      <c r="O217" s="72"/>
      <c r="P217" s="72"/>
      <c r="Q217" s="72"/>
      <c r="R217" s="72"/>
      <c r="S217" s="72"/>
      <c r="T217" s="353" t="b" cm="1">
        <f t="array" ref="T217">T216</f>
        <v>1</v>
      </c>
      <c r="U217" s="72"/>
      <c r="V217" s="72"/>
      <c r="W217" s="72"/>
      <c r="X217" s="990"/>
      <c r="Y217" s="72"/>
      <c r="Z217" s="967"/>
      <c r="AA217" s="72"/>
      <c r="AB217" s="168" t="str">
        <f t="shared" si="15"/>
        <v>2057 год</v>
      </c>
      <c r="AC217" s="875"/>
      <c r="AD217" s="877"/>
      <c r="AE217" s="878"/>
      <c r="AF217" s="878"/>
      <c r="AG217" s="877"/>
      <c r="AH217" s="883"/>
      <c r="AI217" s="883"/>
      <c r="AJ217" s="877"/>
      <c r="AK217" s="879"/>
      <c r="AL217" s="304"/>
      <c r="AM217" s="72"/>
      <c r="AN217" s="72"/>
      <c r="AO217" s="696" cm="1">
        <f t="array" ref="AO217">K217</f>
        <v>2057</v>
      </c>
      <c r="AP217" s="72"/>
      <c r="AQ217" s="72"/>
    </row>
    <row r="218" spans="1:43" s="880" customFormat="1" ht="14.25" hidden="1" customHeight="1" x14ac:dyDescent="0.15">
      <c r="A218" s="72"/>
      <c r="B218" s="341" t="b">
        <f t="shared" si="14"/>
        <v>0</v>
      </c>
      <c r="C218" s="72"/>
      <c r="D218" s="72"/>
      <c r="E218" s="507">
        <v>15</v>
      </c>
      <c r="F218" s="3" t="str" cm="1">
        <f t="array" aca="1" ref="F218" ca="1">OFFSET(E218,-1,1)</f>
        <v>3</v>
      </c>
      <c r="G218" s="72"/>
      <c r="H218" s="72"/>
      <c r="I218" s="72"/>
      <c r="J218" s="72"/>
      <c r="K218" s="72">
        <f>first_year+34</f>
        <v>2058</v>
      </c>
      <c r="L218" s="72"/>
      <c r="M218" s="72"/>
      <c r="N218" s="72"/>
      <c r="O218" s="72"/>
      <c r="P218" s="72"/>
      <c r="Q218" s="72"/>
      <c r="R218" s="72"/>
      <c r="S218" s="72"/>
      <c r="T218" s="353" t="b" cm="1">
        <f t="array" ref="T218">T217</f>
        <v>1</v>
      </c>
      <c r="U218" s="72"/>
      <c r="V218" s="72"/>
      <c r="W218" s="72"/>
      <c r="X218" s="990"/>
      <c r="Y218" s="72"/>
      <c r="Z218" s="967"/>
      <c r="AA218" s="72"/>
      <c r="AB218" s="168" t="str">
        <f t="shared" si="15"/>
        <v>2058 год</v>
      </c>
      <c r="AC218" s="875"/>
      <c r="AD218" s="877"/>
      <c r="AE218" s="878"/>
      <c r="AF218" s="878"/>
      <c r="AG218" s="877"/>
      <c r="AH218" s="883"/>
      <c r="AI218" s="883"/>
      <c r="AJ218" s="877"/>
      <c r="AK218" s="879"/>
      <c r="AL218" s="304"/>
      <c r="AM218" s="72"/>
      <c r="AN218" s="72"/>
      <c r="AO218" s="696" cm="1">
        <f t="array" ref="AO218">K218</f>
        <v>2058</v>
      </c>
      <c r="AP218" s="72"/>
      <c r="AQ218" s="72"/>
    </row>
    <row r="219" spans="1:43" s="880" customFormat="1" ht="14.25" hidden="1" customHeight="1" x14ac:dyDescent="0.15">
      <c r="A219" s="72"/>
      <c r="B219" s="341" t="b">
        <f t="shared" si="14"/>
        <v>0</v>
      </c>
      <c r="C219" s="72"/>
      <c r="D219" s="72"/>
      <c r="E219" s="507">
        <v>15</v>
      </c>
      <c r="F219" s="3" t="str" cm="1">
        <f t="array" aca="1" ref="F219" ca="1">OFFSET(E219,-1,1)</f>
        <v>3</v>
      </c>
      <c r="G219" s="72"/>
      <c r="H219" s="72"/>
      <c r="I219" s="72"/>
      <c r="J219" s="72"/>
      <c r="K219" s="72">
        <f>first_year+35</f>
        <v>2059</v>
      </c>
      <c r="L219" s="72"/>
      <c r="M219" s="72"/>
      <c r="N219" s="72"/>
      <c r="O219" s="72"/>
      <c r="P219" s="72"/>
      <c r="Q219" s="72"/>
      <c r="R219" s="72"/>
      <c r="S219" s="72"/>
      <c r="T219" s="353" t="b" cm="1">
        <f t="array" ref="T219">T218</f>
        <v>1</v>
      </c>
      <c r="U219" s="72"/>
      <c r="V219" s="72"/>
      <c r="W219" s="72"/>
      <c r="X219" s="990"/>
      <c r="Y219" s="72"/>
      <c r="Z219" s="967"/>
      <c r="AA219" s="72"/>
      <c r="AB219" s="168" t="str">
        <f t="shared" si="15"/>
        <v>2059 год</v>
      </c>
      <c r="AC219" s="875"/>
      <c r="AD219" s="877"/>
      <c r="AE219" s="878"/>
      <c r="AF219" s="878"/>
      <c r="AG219" s="877"/>
      <c r="AH219" s="883"/>
      <c r="AI219" s="883"/>
      <c r="AJ219" s="877"/>
      <c r="AK219" s="879"/>
      <c r="AL219" s="304"/>
      <c r="AM219" s="72"/>
      <c r="AN219" s="72"/>
      <c r="AO219" s="696" cm="1">
        <f t="array" ref="AO219">K219</f>
        <v>2059</v>
      </c>
      <c r="AP219" s="72"/>
      <c r="AQ219" s="72"/>
    </row>
    <row r="220" spans="1:43" s="880" customFormat="1" ht="14.25" hidden="1" customHeight="1" x14ac:dyDescent="0.15">
      <c r="A220" s="72"/>
      <c r="B220" s="341" t="b">
        <f t="shared" si="14"/>
        <v>0</v>
      </c>
      <c r="C220" s="72"/>
      <c r="D220" s="72"/>
      <c r="E220" s="507">
        <v>15</v>
      </c>
      <c r="F220" s="3" t="str" cm="1">
        <f t="array" aca="1" ref="F220" ca="1">OFFSET(E220,-1,1)</f>
        <v>3</v>
      </c>
      <c r="G220" s="72"/>
      <c r="H220" s="72"/>
      <c r="I220" s="72"/>
      <c r="J220" s="72"/>
      <c r="K220" s="72">
        <f>first_year+36</f>
        <v>2060</v>
      </c>
      <c r="L220" s="72"/>
      <c r="M220" s="72"/>
      <c r="N220" s="72"/>
      <c r="O220" s="72"/>
      <c r="P220" s="72"/>
      <c r="Q220" s="72"/>
      <c r="R220" s="72"/>
      <c r="S220" s="72"/>
      <c r="T220" s="353" t="b" cm="1">
        <f t="array" ref="T220">T219</f>
        <v>1</v>
      </c>
      <c r="U220" s="72"/>
      <c r="V220" s="72"/>
      <c r="W220" s="72"/>
      <c r="X220" s="990"/>
      <c r="Y220" s="72"/>
      <c r="Z220" s="967"/>
      <c r="AA220" s="72"/>
      <c r="AB220" s="168" t="str">
        <f t="shared" si="15"/>
        <v>2060 год</v>
      </c>
      <c r="AC220" s="875"/>
      <c r="AD220" s="877"/>
      <c r="AE220" s="878"/>
      <c r="AF220" s="878"/>
      <c r="AG220" s="877"/>
      <c r="AH220" s="883"/>
      <c r="AI220" s="883"/>
      <c r="AJ220" s="877"/>
      <c r="AK220" s="879"/>
      <c r="AL220" s="304"/>
      <c r="AM220" s="72"/>
      <c r="AN220" s="72"/>
      <c r="AO220" s="696" cm="1">
        <f t="array" ref="AO220">K220</f>
        <v>2060</v>
      </c>
      <c r="AP220" s="72"/>
      <c r="AQ220" s="72"/>
    </row>
    <row r="221" spans="1:43" s="880" customFormat="1" ht="14.25" hidden="1" customHeight="1" x14ac:dyDescent="0.15">
      <c r="A221" s="72"/>
      <c r="B221" s="341" t="b">
        <f t="shared" si="14"/>
        <v>0</v>
      </c>
      <c r="C221" s="72"/>
      <c r="D221" s="72"/>
      <c r="E221" s="507">
        <v>15</v>
      </c>
      <c r="F221" s="3" t="str" cm="1">
        <f t="array" aca="1" ref="F221" ca="1">OFFSET(E221,-1,1)</f>
        <v>3</v>
      </c>
      <c r="G221" s="72"/>
      <c r="H221" s="72"/>
      <c r="I221" s="72"/>
      <c r="J221" s="72"/>
      <c r="K221" s="72">
        <f>first_year+37</f>
        <v>2061</v>
      </c>
      <c r="L221" s="72"/>
      <c r="M221" s="72"/>
      <c r="N221" s="72"/>
      <c r="O221" s="72"/>
      <c r="P221" s="72"/>
      <c r="Q221" s="72"/>
      <c r="R221" s="72"/>
      <c r="S221" s="72"/>
      <c r="T221" s="353" t="b" cm="1">
        <f t="array" ref="T221">T220</f>
        <v>1</v>
      </c>
      <c r="U221" s="72"/>
      <c r="V221" s="72"/>
      <c r="W221" s="72"/>
      <c r="X221" s="990"/>
      <c r="Y221" s="72"/>
      <c r="Z221" s="967"/>
      <c r="AA221" s="72"/>
      <c r="AB221" s="168" t="str">
        <f t="shared" si="15"/>
        <v>2061 год</v>
      </c>
      <c r="AC221" s="875"/>
      <c r="AD221" s="877"/>
      <c r="AE221" s="878"/>
      <c r="AF221" s="878"/>
      <c r="AG221" s="877"/>
      <c r="AH221" s="883"/>
      <c r="AI221" s="883"/>
      <c r="AJ221" s="877"/>
      <c r="AK221" s="879"/>
      <c r="AL221" s="304"/>
      <c r="AM221" s="72"/>
      <c r="AN221" s="72"/>
      <c r="AO221" s="696" cm="1">
        <f t="array" ref="AO221">K221</f>
        <v>2061</v>
      </c>
      <c r="AP221" s="72"/>
      <c r="AQ221" s="72"/>
    </row>
    <row r="222" spans="1:43" s="880" customFormat="1" ht="14.25" hidden="1" customHeight="1" x14ac:dyDescent="0.15">
      <c r="A222" s="72"/>
      <c r="B222" s="341" t="b">
        <f t="shared" si="14"/>
        <v>0</v>
      </c>
      <c r="C222" s="72"/>
      <c r="D222" s="72"/>
      <c r="E222" s="507">
        <v>15</v>
      </c>
      <c r="F222" s="3" t="str" cm="1">
        <f t="array" aca="1" ref="F222" ca="1">OFFSET(E222,-1,1)</f>
        <v>3</v>
      </c>
      <c r="G222" s="72"/>
      <c r="H222" s="72"/>
      <c r="I222" s="72"/>
      <c r="J222" s="72"/>
      <c r="K222" s="72">
        <f>first_year+38</f>
        <v>2062</v>
      </c>
      <c r="L222" s="72"/>
      <c r="M222" s="72"/>
      <c r="N222" s="72"/>
      <c r="O222" s="72"/>
      <c r="P222" s="72"/>
      <c r="Q222" s="72"/>
      <c r="R222" s="72"/>
      <c r="S222" s="72"/>
      <c r="T222" s="353" t="b" cm="1">
        <f t="array" ref="T222">T221</f>
        <v>1</v>
      </c>
      <c r="U222" s="72"/>
      <c r="V222" s="72"/>
      <c r="W222" s="72"/>
      <c r="X222" s="990"/>
      <c r="Y222" s="72"/>
      <c r="Z222" s="967"/>
      <c r="AA222" s="72"/>
      <c r="AB222" s="168" t="str">
        <f t="shared" si="15"/>
        <v>2062 год</v>
      </c>
      <c r="AC222" s="875"/>
      <c r="AD222" s="877"/>
      <c r="AE222" s="878"/>
      <c r="AF222" s="878"/>
      <c r="AG222" s="877"/>
      <c r="AH222" s="883"/>
      <c r="AI222" s="883"/>
      <c r="AJ222" s="877"/>
      <c r="AK222" s="879"/>
      <c r="AL222" s="304"/>
      <c r="AM222" s="72"/>
      <c r="AN222" s="72"/>
      <c r="AO222" s="696" cm="1">
        <f t="array" ref="AO222">K222</f>
        <v>2062</v>
      </c>
      <c r="AP222" s="72"/>
      <c r="AQ222" s="72"/>
    </row>
    <row r="223" spans="1:43" s="880" customFormat="1" ht="14.25" hidden="1" customHeight="1" x14ac:dyDescent="0.15">
      <c r="A223" s="72"/>
      <c r="B223" s="341" t="b">
        <f t="shared" si="14"/>
        <v>0</v>
      </c>
      <c r="C223" s="72"/>
      <c r="D223" s="72"/>
      <c r="E223" s="507">
        <v>15</v>
      </c>
      <c r="F223" s="3" t="str" cm="1">
        <f t="array" aca="1" ref="F223" ca="1">OFFSET(E223,-1,1)</f>
        <v>3</v>
      </c>
      <c r="G223" s="72"/>
      <c r="H223" s="72"/>
      <c r="I223" s="72"/>
      <c r="J223" s="72"/>
      <c r="K223" s="72">
        <f>first_year+39</f>
        <v>2063</v>
      </c>
      <c r="L223" s="72"/>
      <c r="M223" s="72"/>
      <c r="N223" s="72"/>
      <c r="O223" s="72"/>
      <c r="P223" s="72"/>
      <c r="Q223" s="72"/>
      <c r="R223" s="72"/>
      <c r="S223" s="72"/>
      <c r="T223" s="353" t="b" cm="1">
        <f t="array" ref="T223">T222</f>
        <v>1</v>
      </c>
      <c r="U223" s="72"/>
      <c r="V223" s="72"/>
      <c r="W223" s="72"/>
      <c r="X223" s="990"/>
      <c r="Y223" s="72"/>
      <c r="Z223" s="967"/>
      <c r="AA223" s="72"/>
      <c r="AB223" s="168" t="str">
        <f t="shared" si="15"/>
        <v>2063 год</v>
      </c>
      <c r="AC223" s="875"/>
      <c r="AD223" s="877"/>
      <c r="AE223" s="878"/>
      <c r="AF223" s="878"/>
      <c r="AG223" s="877"/>
      <c r="AH223" s="883"/>
      <c r="AI223" s="883"/>
      <c r="AJ223" s="877"/>
      <c r="AK223" s="879"/>
      <c r="AL223" s="304"/>
      <c r="AM223" s="72"/>
      <c r="AN223" s="72"/>
      <c r="AO223" s="696" cm="1">
        <f t="array" ref="AO223">K223</f>
        <v>2063</v>
      </c>
      <c r="AP223" s="72"/>
      <c r="AQ223" s="72"/>
    </row>
    <row r="224" spans="1:43" s="880" customFormat="1" ht="14.25" hidden="1" customHeight="1" x14ac:dyDescent="0.15">
      <c r="A224" s="72"/>
      <c r="B224" s="341" t="b">
        <f t="shared" si="14"/>
        <v>0</v>
      </c>
      <c r="C224" s="72"/>
      <c r="D224" s="72"/>
      <c r="E224" s="507">
        <v>15</v>
      </c>
      <c r="F224" s="3" t="str" cm="1">
        <f t="array" aca="1" ref="F224" ca="1">OFFSET(E224,-1,1)</f>
        <v>3</v>
      </c>
      <c r="G224" s="72"/>
      <c r="H224" s="72"/>
      <c r="I224" s="72"/>
      <c r="J224" s="72"/>
      <c r="K224" s="72">
        <f>first_year+40</f>
        <v>2064</v>
      </c>
      <c r="L224" s="72"/>
      <c r="M224" s="72"/>
      <c r="N224" s="72"/>
      <c r="O224" s="72"/>
      <c r="P224" s="72"/>
      <c r="Q224" s="72"/>
      <c r="R224" s="72"/>
      <c r="S224" s="72"/>
      <c r="T224" s="353" t="b" cm="1">
        <f t="array" ref="T224">T223</f>
        <v>1</v>
      </c>
      <c r="U224" s="72"/>
      <c r="V224" s="72"/>
      <c r="W224" s="72"/>
      <c r="X224" s="990"/>
      <c r="Y224" s="72"/>
      <c r="Z224" s="967"/>
      <c r="AA224" s="72"/>
      <c r="AB224" s="168" t="str">
        <f t="shared" si="15"/>
        <v>2064 год</v>
      </c>
      <c r="AC224" s="875"/>
      <c r="AD224" s="877"/>
      <c r="AE224" s="878"/>
      <c r="AF224" s="878"/>
      <c r="AG224" s="877"/>
      <c r="AH224" s="883"/>
      <c r="AI224" s="883"/>
      <c r="AJ224" s="877"/>
      <c r="AK224" s="879"/>
      <c r="AL224" s="304"/>
      <c r="AM224" s="72"/>
      <c r="AN224" s="72"/>
      <c r="AO224" s="696" cm="1">
        <f t="array" ref="AO224">K224</f>
        <v>2064</v>
      </c>
      <c r="AP224" s="72"/>
      <c r="AQ224" s="72"/>
    </row>
    <row r="225" spans="1:43" s="880" customFormat="1" ht="14.25" hidden="1" customHeight="1" x14ac:dyDescent="0.15">
      <c r="A225" s="72"/>
      <c r="B225" s="341" t="b">
        <f t="shared" si="14"/>
        <v>0</v>
      </c>
      <c r="C225" s="72"/>
      <c r="D225" s="72"/>
      <c r="E225" s="507">
        <v>15</v>
      </c>
      <c r="F225" s="3" t="str" cm="1">
        <f t="array" aca="1" ref="F225" ca="1">OFFSET(E225,-1,1)</f>
        <v>3</v>
      </c>
      <c r="G225" s="72"/>
      <c r="H225" s="72"/>
      <c r="I225" s="72"/>
      <c r="J225" s="72"/>
      <c r="K225" s="72">
        <f>first_year+41</f>
        <v>2065</v>
      </c>
      <c r="L225" s="72"/>
      <c r="M225" s="72"/>
      <c r="N225" s="72"/>
      <c r="O225" s="72"/>
      <c r="P225" s="72"/>
      <c r="Q225" s="72"/>
      <c r="R225" s="72"/>
      <c r="S225" s="72"/>
      <c r="T225" s="353" t="b" cm="1">
        <f t="array" ref="T225">T224</f>
        <v>1</v>
      </c>
      <c r="U225" s="72"/>
      <c r="V225" s="72"/>
      <c r="W225" s="72"/>
      <c r="X225" s="990"/>
      <c r="Y225" s="72"/>
      <c r="Z225" s="967"/>
      <c r="AA225" s="72"/>
      <c r="AB225" s="168" t="str">
        <f t="shared" si="15"/>
        <v>2065 год</v>
      </c>
      <c r="AC225" s="875"/>
      <c r="AD225" s="877"/>
      <c r="AE225" s="878"/>
      <c r="AF225" s="878"/>
      <c r="AG225" s="877"/>
      <c r="AH225" s="883"/>
      <c r="AI225" s="883"/>
      <c r="AJ225" s="877"/>
      <c r="AK225" s="879"/>
      <c r="AL225" s="304"/>
      <c r="AM225" s="72"/>
      <c r="AN225" s="72"/>
      <c r="AO225" s="696" cm="1">
        <f t="array" ref="AO225">K225</f>
        <v>2065</v>
      </c>
      <c r="AP225" s="72"/>
      <c r="AQ225" s="72"/>
    </row>
    <row r="226" spans="1:43" s="880" customFormat="1" ht="14.25" hidden="1" customHeight="1" x14ac:dyDescent="0.15">
      <c r="A226" s="72"/>
      <c r="B226" s="341" t="b">
        <f t="shared" si="14"/>
        <v>0</v>
      </c>
      <c r="C226" s="72"/>
      <c r="D226" s="72"/>
      <c r="E226" s="507">
        <v>15</v>
      </c>
      <c r="F226" s="3" t="str" cm="1">
        <f t="array" aca="1" ref="F226" ca="1">OFFSET(E226,-1,1)</f>
        <v>3</v>
      </c>
      <c r="G226" s="72"/>
      <c r="H226" s="72"/>
      <c r="I226" s="72"/>
      <c r="J226" s="72"/>
      <c r="K226" s="72">
        <f>first_year+42</f>
        <v>2066</v>
      </c>
      <c r="L226" s="72"/>
      <c r="M226" s="72"/>
      <c r="N226" s="72"/>
      <c r="O226" s="72"/>
      <c r="P226" s="72"/>
      <c r="Q226" s="72"/>
      <c r="R226" s="72"/>
      <c r="S226" s="72"/>
      <c r="T226" s="353" t="b" cm="1">
        <f t="array" ref="T226">T225</f>
        <v>1</v>
      </c>
      <c r="U226" s="72"/>
      <c r="V226" s="72"/>
      <c r="W226" s="72"/>
      <c r="X226" s="990"/>
      <c r="Y226" s="72"/>
      <c r="Z226" s="967"/>
      <c r="AA226" s="72"/>
      <c r="AB226" s="168" t="str">
        <f t="shared" si="15"/>
        <v>2066 год</v>
      </c>
      <c r="AC226" s="875"/>
      <c r="AD226" s="877"/>
      <c r="AE226" s="878"/>
      <c r="AF226" s="878"/>
      <c r="AG226" s="877"/>
      <c r="AH226" s="883"/>
      <c r="AI226" s="883"/>
      <c r="AJ226" s="877"/>
      <c r="AK226" s="879"/>
      <c r="AL226" s="304"/>
      <c r="AM226" s="72"/>
      <c r="AN226" s="72"/>
      <c r="AO226" s="696" cm="1">
        <f t="array" ref="AO226">K226</f>
        <v>2066</v>
      </c>
      <c r="AP226" s="72"/>
      <c r="AQ226" s="72"/>
    </row>
    <row r="227" spans="1:43" s="880" customFormat="1" ht="14.25" hidden="1" customHeight="1" x14ac:dyDescent="0.15">
      <c r="A227" s="72"/>
      <c r="B227" s="341" t="b">
        <f t="shared" si="14"/>
        <v>0</v>
      </c>
      <c r="C227" s="72"/>
      <c r="D227" s="72"/>
      <c r="E227" s="507">
        <v>15</v>
      </c>
      <c r="F227" s="3" t="str" cm="1">
        <f t="array" aca="1" ref="F227" ca="1">OFFSET(E227,-1,1)</f>
        <v>3</v>
      </c>
      <c r="G227" s="72"/>
      <c r="H227" s="72"/>
      <c r="I227" s="72"/>
      <c r="J227" s="72"/>
      <c r="K227" s="72">
        <f>first_year+43</f>
        <v>2067</v>
      </c>
      <c r="L227" s="72"/>
      <c r="M227" s="72"/>
      <c r="N227" s="72"/>
      <c r="O227" s="72"/>
      <c r="P227" s="72"/>
      <c r="Q227" s="72"/>
      <c r="R227" s="72"/>
      <c r="S227" s="72"/>
      <c r="T227" s="353" t="b" cm="1">
        <f t="array" ref="T227">T226</f>
        <v>1</v>
      </c>
      <c r="U227" s="72"/>
      <c r="V227" s="72"/>
      <c r="W227" s="72"/>
      <c r="X227" s="990"/>
      <c r="Y227" s="72"/>
      <c r="Z227" s="967"/>
      <c r="AA227" s="72"/>
      <c r="AB227" s="168" t="str">
        <f t="shared" si="15"/>
        <v>2067 год</v>
      </c>
      <c r="AC227" s="875"/>
      <c r="AD227" s="877"/>
      <c r="AE227" s="878"/>
      <c r="AF227" s="878"/>
      <c r="AG227" s="877"/>
      <c r="AH227" s="883"/>
      <c r="AI227" s="883"/>
      <c r="AJ227" s="877"/>
      <c r="AK227" s="879"/>
      <c r="AL227" s="304"/>
      <c r="AM227" s="72"/>
      <c r="AN227" s="72"/>
      <c r="AO227" s="696" cm="1">
        <f t="array" ref="AO227">K227</f>
        <v>2067</v>
      </c>
      <c r="AP227" s="72"/>
      <c r="AQ227" s="72"/>
    </row>
    <row r="228" spans="1:43" s="880" customFormat="1" ht="14.25" hidden="1" customHeight="1" x14ac:dyDescent="0.15">
      <c r="A228" s="72"/>
      <c r="B228" s="341" t="b">
        <f t="shared" si="14"/>
        <v>0</v>
      </c>
      <c r="C228" s="72"/>
      <c r="D228" s="72"/>
      <c r="E228" s="507">
        <v>15</v>
      </c>
      <c r="F228" s="3" t="str" cm="1">
        <f t="array" aca="1" ref="F228" ca="1">OFFSET(E228,-1,1)</f>
        <v>3</v>
      </c>
      <c r="G228" s="72"/>
      <c r="H228" s="72"/>
      <c r="I228" s="72"/>
      <c r="J228" s="72"/>
      <c r="K228" s="72">
        <f>first_year+44</f>
        <v>2068</v>
      </c>
      <c r="L228" s="72"/>
      <c r="M228" s="72"/>
      <c r="N228" s="72"/>
      <c r="O228" s="72"/>
      <c r="P228" s="72"/>
      <c r="Q228" s="72"/>
      <c r="R228" s="72"/>
      <c r="S228" s="72"/>
      <c r="T228" s="353" t="b" cm="1">
        <f t="array" ref="T228">T227</f>
        <v>1</v>
      </c>
      <c r="U228" s="72"/>
      <c r="V228" s="72"/>
      <c r="W228" s="72"/>
      <c r="X228" s="990"/>
      <c r="Y228" s="72"/>
      <c r="Z228" s="967"/>
      <c r="AA228" s="72"/>
      <c r="AB228" s="168" t="str">
        <f t="shared" si="15"/>
        <v>2068 год</v>
      </c>
      <c r="AC228" s="875"/>
      <c r="AD228" s="877"/>
      <c r="AE228" s="878"/>
      <c r="AF228" s="878"/>
      <c r="AG228" s="877"/>
      <c r="AH228" s="883"/>
      <c r="AI228" s="883"/>
      <c r="AJ228" s="877"/>
      <c r="AK228" s="879"/>
      <c r="AL228" s="304"/>
      <c r="AM228" s="72"/>
      <c r="AN228" s="72"/>
      <c r="AO228" s="696" cm="1">
        <f t="array" ref="AO228">K228</f>
        <v>2068</v>
      </c>
      <c r="AP228" s="72"/>
      <c r="AQ228" s="72"/>
    </row>
    <row r="229" spans="1:43" s="880" customFormat="1" ht="14.25" hidden="1" customHeight="1" x14ac:dyDescent="0.15">
      <c r="A229" s="72"/>
      <c r="B229" s="341" t="b">
        <f t="shared" si="14"/>
        <v>0</v>
      </c>
      <c r="C229" s="72"/>
      <c r="D229" s="72"/>
      <c r="E229" s="507">
        <v>15</v>
      </c>
      <c r="F229" s="3" t="str" cm="1">
        <f t="array" aca="1" ref="F229" ca="1">OFFSET(E229,-1,1)</f>
        <v>3</v>
      </c>
      <c r="G229" s="72"/>
      <c r="H229" s="72"/>
      <c r="I229" s="72"/>
      <c r="J229" s="72"/>
      <c r="K229" s="72">
        <f>first_year+45</f>
        <v>2069</v>
      </c>
      <c r="L229" s="72"/>
      <c r="M229" s="72"/>
      <c r="N229" s="72"/>
      <c r="O229" s="72"/>
      <c r="P229" s="72"/>
      <c r="Q229" s="72"/>
      <c r="R229" s="72"/>
      <c r="S229" s="72"/>
      <c r="T229" s="353" t="b" cm="1">
        <f t="array" ref="T229">T228</f>
        <v>1</v>
      </c>
      <c r="U229" s="72"/>
      <c r="V229" s="72"/>
      <c r="W229" s="72"/>
      <c r="X229" s="990"/>
      <c r="Y229" s="72"/>
      <c r="Z229" s="967"/>
      <c r="AA229" s="72"/>
      <c r="AB229" s="168" t="str">
        <f t="shared" si="15"/>
        <v>2069 год</v>
      </c>
      <c r="AC229" s="875"/>
      <c r="AD229" s="877"/>
      <c r="AE229" s="878"/>
      <c r="AF229" s="878"/>
      <c r="AG229" s="877"/>
      <c r="AH229" s="883"/>
      <c r="AI229" s="883"/>
      <c r="AJ229" s="877"/>
      <c r="AK229" s="879"/>
      <c r="AL229" s="304"/>
      <c r="AM229" s="72"/>
      <c r="AN229" s="72"/>
      <c r="AO229" s="696" cm="1">
        <f t="array" ref="AO229">K229</f>
        <v>2069</v>
      </c>
      <c r="AP229" s="72"/>
      <c r="AQ229" s="72"/>
    </row>
    <row r="230" spans="1:43" s="880" customFormat="1" ht="14.25" hidden="1" customHeight="1" x14ac:dyDescent="0.15">
      <c r="A230" s="72"/>
      <c r="B230" s="341" t="b">
        <f t="shared" si="14"/>
        <v>0</v>
      </c>
      <c r="C230" s="72"/>
      <c r="D230" s="72"/>
      <c r="E230" s="507">
        <v>15</v>
      </c>
      <c r="F230" s="3" t="str" cm="1">
        <f t="array" aca="1" ref="F230" ca="1">OFFSET(E230,-1,1)</f>
        <v>3</v>
      </c>
      <c r="G230" s="72"/>
      <c r="H230" s="72"/>
      <c r="I230" s="72"/>
      <c r="J230" s="72"/>
      <c r="K230" s="72">
        <f>first_year+46</f>
        <v>2070</v>
      </c>
      <c r="L230" s="72"/>
      <c r="M230" s="72"/>
      <c r="N230" s="72"/>
      <c r="O230" s="72"/>
      <c r="P230" s="72"/>
      <c r="Q230" s="72"/>
      <c r="R230" s="72"/>
      <c r="S230" s="72"/>
      <c r="T230" s="353" t="b" cm="1">
        <f t="array" ref="T230">T229</f>
        <v>1</v>
      </c>
      <c r="U230" s="72"/>
      <c r="V230" s="72"/>
      <c r="W230" s="72"/>
      <c r="X230" s="990"/>
      <c r="Y230" s="72"/>
      <c r="Z230" s="967"/>
      <c r="AA230" s="72"/>
      <c r="AB230" s="168" t="str">
        <f t="shared" si="15"/>
        <v>2070 год</v>
      </c>
      <c r="AC230" s="875"/>
      <c r="AD230" s="877"/>
      <c r="AE230" s="878"/>
      <c r="AF230" s="878"/>
      <c r="AG230" s="877"/>
      <c r="AH230" s="883"/>
      <c r="AI230" s="883"/>
      <c r="AJ230" s="877"/>
      <c r="AK230" s="879"/>
      <c r="AL230" s="304"/>
      <c r="AM230" s="72"/>
      <c r="AN230" s="72"/>
      <c r="AO230" s="696" cm="1">
        <f t="array" ref="AO230">K230</f>
        <v>2070</v>
      </c>
      <c r="AP230" s="72"/>
      <c r="AQ230" s="72"/>
    </row>
    <row r="231" spans="1:43" s="880" customFormat="1" ht="14.25" hidden="1" customHeight="1" x14ac:dyDescent="0.15">
      <c r="A231" s="72"/>
      <c r="B231" s="341" t="b">
        <f t="shared" si="14"/>
        <v>0</v>
      </c>
      <c r="C231" s="72"/>
      <c r="D231" s="72"/>
      <c r="E231" s="507">
        <v>15</v>
      </c>
      <c r="F231" s="3" t="str" cm="1">
        <f t="array" aca="1" ref="F231" ca="1">OFFSET(E231,-1,1)</f>
        <v>3</v>
      </c>
      <c r="G231" s="72"/>
      <c r="H231" s="72"/>
      <c r="I231" s="72"/>
      <c r="J231" s="72"/>
      <c r="K231" s="72">
        <f>first_year+47</f>
        <v>2071</v>
      </c>
      <c r="L231" s="72"/>
      <c r="M231" s="72"/>
      <c r="N231" s="72"/>
      <c r="O231" s="72"/>
      <c r="P231" s="72"/>
      <c r="Q231" s="72"/>
      <c r="R231" s="72"/>
      <c r="S231" s="72"/>
      <c r="T231" s="353" t="b" cm="1">
        <f t="array" ref="T231">T230</f>
        <v>1</v>
      </c>
      <c r="U231" s="72"/>
      <c r="V231" s="72"/>
      <c r="W231" s="72"/>
      <c r="X231" s="990"/>
      <c r="Y231" s="72"/>
      <c r="Z231" s="967"/>
      <c r="AA231" s="72"/>
      <c r="AB231" s="168" t="str">
        <f t="shared" si="15"/>
        <v>2071 год</v>
      </c>
      <c r="AC231" s="875"/>
      <c r="AD231" s="877"/>
      <c r="AE231" s="878"/>
      <c r="AF231" s="878"/>
      <c r="AG231" s="877"/>
      <c r="AH231" s="883"/>
      <c r="AI231" s="883"/>
      <c r="AJ231" s="877"/>
      <c r="AK231" s="879"/>
      <c r="AL231" s="304"/>
      <c r="AM231" s="72"/>
      <c r="AN231" s="72"/>
      <c r="AO231" s="696" cm="1">
        <f t="array" ref="AO231">K231</f>
        <v>2071</v>
      </c>
      <c r="AP231" s="72"/>
      <c r="AQ231" s="72"/>
    </row>
    <row r="232" spans="1:43" s="880" customFormat="1" ht="14.25" hidden="1" customHeight="1" x14ac:dyDescent="0.15">
      <c r="A232" s="72"/>
      <c r="B232" s="341" t="b">
        <f t="shared" si="14"/>
        <v>0</v>
      </c>
      <c r="C232" s="72"/>
      <c r="D232" s="72"/>
      <c r="E232" s="507">
        <v>15</v>
      </c>
      <c r="F232" s="3" t="str" cm="1">
        <f t="array" aca="1" ref="F232" ca="1">OFFSET(E232,-1,1)</f>
        <v>3</v>
      </c>
      <c r="G232" s="72"/>
      <c r="H232" s="72"/>
      <c r="I232" s="72"/>
      <c r="J232" s="72"/>
      <c r="K232" s="72">
        <f>first_year+48</f>
        <v>2072</v>
      </c>
      <c r="L232" s="72"/>
      <c r="M232" s="72"/>
      <c r="N232" s="72"/>
      <c r="O232" s="72"/>
      <c r="P232" s="72"/>
      <c r="Q232" s="72"/>
      <c r="R232" s="72"/>
      <c r="S232" s="72"/>
      <c r="T232" s="353" t="b" cm="1">
        <f t="array" ref="T232">T231</f>
        <v>1</v>
      </c>
      <c r="U232" s="72"/>
      <c r="V232" s="72"/>
      <c r="W232" s="72"/>
      <c r="X232" s="990"/>
      <c r="Y232" s="72"/>
      <c r="Z232" s="967"/>
      <c r="AA232" s="72"/>
      <c r="AB232" s="168" t="str">
        <f t="shared" si="15"/>
        <v>2072 год</v>
      </c>
      <c r="AC232" s="875"/>
      <c r="AD232" s="877"/>
      <c r="AE232" s="878"/>
      <c r="AF232" s="878"/>
      <c r="AG232" s="877"/>
      <c r="AH232" s="883"/>
      <c r="AI232" s="883"/>
      <c r="AJ232" s="877"/>
      <c r="AK232" s="879"/>
      <c r="AL232" s="304"/>
      <c r="AM232" s="72"/>
      <c r="AN232" s="72"/>
      <c r="AO232" s="696" cm="1">
        <f t="array" ref="AO232">K232</f>
        <v>2072</v>
      </c>
      <c r="AP232" s="72"/>
      <c r="AQ232" s="72"/>
    </row>
    <row r="233" spans="1:43" s="880" customFormat="1" ht="14.25" hidden="1" customHeight="1" x14ac:dyDescent="0.15">
      <c r="A233" s="72"/>
      <c r="B233" s="341" t="b">
        <f t="shared" si="14"/>
        <v>0</v>
      </c>
      <c r="C233" s="72"/>
      <c r="D233" s="72"/>
      <c r="E233" s="507">
        <v>15</v>
      </c>
      <c r="F233" s="3" t="str" cm="1">
        <f t="array" aca="1" ref="F233" ca="1">OFFSET(E233,-1,1)</f>
        <v>3</v>
      </c>
      <c r="G233" s="72"/>
      <c r="H233" s="72"/>
      <c r="I233" s="72"/>
      <c r="J233" s="72"/>
      <c r="K233" s="72">
        <f>first_year+49</f>
        <v>2073</v>
      </c>
      <c r="L233" s="72"/>
      <c r="M233" s="72"/>
      <c r="N233" s="72"/>
      <c r="O233" s="72"/>
      <c r="P233" s="72"/>
      <c r="Q233" s="72"/>
      <c r="R233" s="72"/>
      <c r="S233" s="72"/>
      <c r="T233" s="353" t="b" cm="1">
        <f t="array" ref="T233">T232</f>
        <v>1</v>
      </c>
      <c r="U233" s="72"/>
      <c r="V233" s="72"/>
      <c r="W233" s="72"/>
      <c r="X233" s="990"/>
      <c r="Y233" s="72"/>
      <c r="Z233" s="967"/>
      <c r="AA233" s="72"/>
      <c r="AB233" s="168" t="str">
        <f t="shared" si="15"/>
        <v>2073 год</v>
      </c>
      <c r="AC233" s="875"/>
      <c r="AD233" s="877"/>
      <c r="AE233" s="878"/>
      <c r="AF233" s="878"/>
      <c r="AG233" s="877"/>
      <c r="AH233" s="883"/>
      <c r="AI233" s="883"/>
      <c r="AJ233" s="877"/>
      <c r="AK233" s="879"/>
      <c r="AL233" s="304"/>
      <c r="AM233" s="72"/>
      <c r="AN233" s="72"/>
      <c r="AO233" s="696" cm="1">
        <f t="array" ref="AO233">K233</f>
        <v>2073</v>
      </c>
      <c r="AP233" s="72"/>
      <c r="AQ233" s="72"/>
    </row>
    <row r="234" spans="1:43" ht="10.7" customHeight="1" x14ac:dyDescent="0.15">
      <c r="E234" s="507">
        <v>11</v>
      </c>
      <c r="U234" s="17" t="s">
        <v>176</v>
      </c>
      <c r="V234" s="513" t="s">
        <v>2356</v>
      </c>
      <c r="AO234" s="661"/>
    </row>
    <row r="235" spans="1:43" s="72" customFormat="1" ht="14.65" customHeight="1" x14ac:dyDescent="0.15">
      <c r="A235" s="17"/>
      <c r="B235" s="46"/>
      <c r="C235" s="17"/>
      <c r="D235" s="17"/>
      <c r="E235" s="461">
        <v>15</v>
      </c>
      <c r="F235" s="17"/>
      <c r="G235" s="17"/>
      <c r="H235" s="17"/>
      <c r="I235" s="17"/>
      <c r="J235" s="17"/>
      <c r="K235" s="17"/>
      <c r="L235" s="17"/>
      <c r="M235" s="17"/>
      <c r="N235" s="17"/>
      <c r="O235" s="17"/>
      <c r="P235" s="17"/>
      <c r="Q235" s="17"/>
      <c r="R235" s="17"/>
      <c r="S235" s="17"/>
      <c r="T235" s="17"/>
      <c r="U235" s="17"/>
      <c r="V235" s="17"/>
      <c r="W235" s="17"/>
      <c r="X235" s="17"/>
      <c r="Y235" s="17"/>
      <c r="Z235" s="17"/>
      <c r="AA235" s="17"/>
      <c r="AB235" s="997" t="s">
        <v>408</v>
      </c>
      <c r="AC235" s="997"/>
      <c r="AD235" s="997"/>
      <c r="AE235" s="997"/>
      <c r="AF235" s="997"/>
      <c r="AG235" s="997"/>
      <c r="AH235" s="997"/>
      <c r="AI235" s="997"/>
      <c r="AJ235" s="997"/>
      <c r="AK235" s="997"/>
      <c r="AL235" s="17"/>
      <c r="AO235" s="696"/>
    </row>
    <row r="236" spans="1:43" s="72" customFormat="1" ht="14.65" customHeight="1" x14ac:dyDescent="0.15">
      <c r="A236" s="17"/>
      <c r="B236" s="46"/>
      <c r="C236" s="17"/>
      <c r="D236" s="17"/>
      <c r="E236" s="461">
        <v>15</v>
      </c>
      <c r="F236" s="17"/>
      <c r="G236" s="17"/>
      <c r="H236" s="17"/>
      <c r="I236" s="17"/>
      <c r="J236" s="17"/>
      <c r="K236" s="17"/>
      <c r="L236" s="17"/>
      <c r="M236" s="17"/>
      <c r="N236" s="17"/>
      <c r="O236" s="17"/>
      <c r="P236" s="17"/>
      <c r="Q236" s="17"/>
      <c r="R236" s="17"/>
      <c r="S236" s="17"/>
      <c r="T236" s="17"/>
      <c r="U236" s="17"/>
      <c r="V236" s="17"/>
      <c r="W236" s="17"/>
      <c r="X236" s="17"/>
      <c r="Y236" s="17"/>
      <c r="Z236" s="17"/>
      <c r="AA236" s="87"/>
      <c r="AB236" s="1081"/>
      <c r="AC236" s="1081"/>
      <c r="AD236" s="1081"/>
      <c r="AE236" s="1081"/>
      <c r="AF236" s="1081"/>
      <c r="AG236" s="1081"/>
      <c r="AH236" s="1080"/>
      <c r="AI236" s="1080"/>
      <c r="AJ236" s="1080"/>
      <c r="AK236" s="1080"/>
      <c r="AL236" s="17"/>
      <c r="AO236" s="696"/>
    </row>
    <row r="237" spans="1:43" ht="14.65" hidden="1" customHeight="1" x14ac:dyDescent="0.15">
      <c r="E237" s="461">
        <v>15</v>
      </c>
      <c r="T237" s="17" t="b">
        <f>ROW(W237)&gt;ROW(W$237)</f>
        <v>0</v>
      </c>
      <c r="W237" s="72" t="s">
        <v>172</v>
      </c>
      <c r="AA237" s="320" t="s">
        <v>173</v>
      </c>
      <c r="AB237" s="1080" t="s">
        <v>225</v>
      </c>
      <c r="AC237" s="1080"/>
      <c r="AD237" s="1080"/>
      <c r="AE237" s="1080"/>
      <c r="AF237" s="1080"/>
      <c r="AG237" s="1080"/>
      <c r="AH237" s="1080"/>
      <c r="AI237" s="1080"/>
      <c r="AJ237" s="1080"/>
      <c r="AK237" s="1080"/>
      <c r="AM237"/>
      <c r="AN237"/>
      <c r="AO237" s="661"/>
      <c r="AP237"/>
      <c r="AQ237" s="19"/>
    </row>
    <row r="238" spans="1:43" ht="14.65" customHeight="1" x14ac:dyDescent="0.15">
      <c r="E238" s="461">
        <v>15</v>
      </c>
      <c r="W238" s="506" t="s">
        <v>419</v>
      </c>
      <c r="AB238" s="474"/>
      <c r="AC238" s="382" t="s">
        <v>420</v>
      </c>
      <c r="AD238" s="221"/>
      <c r="AE238" s="221"/>
      <c r="AF238" s="221"/>
      <c r="AG238" s="221"/>
      <c r="AH238" s="221"/>
      <c r="AI238" s="221"/>
      <c r="AJ238" s="221"/>
      <c r="AK238" s="222"/>
      <c r="AM238"/>
      <c r="AN238"/>
      <c r="AO238" s="661"/>
      <c r="AP238"/>
      <c r="AQ238" s="19"/>
    </row>
    <row r="239" spans="1:43" ht="10.7" customHeight="1" x14ac:dyDescent="0.15">
      <c r="E239" s="461">
        <v>11</v>
      </c>
      <c r="AL239" s="22"/>
      <c r="AM239"/>
      <c r="AN239"/>
      <c r="AO239" s="661"/>
      <c r="AP239"/>
      <c r="AQ239" s="19"/>
    </row>
    <row r="240" spans="1:43" ht="11.25" hidden="1" customHeight="1" x14ac:dyDescent="0.15">
      <c r="A240"/>
      <c r="B240" s="327"/>
      <c r="C240"/>
      <c r="D240"/>
      <c r="E240" s="454"/>
      <c r="F240"/>
      <c r="G240"/>
      <c r="H240"/>
      <c r="I240"/>
      <c r="J240"/>
      <c r="K240"/>
      <c r="L240"/>
      <c r="M240"/>
      <c r="N240"/>
      <c r="O240"/>
      <c r="P240"/>
      <c r="Q240"/>
      <c r="R240"/>
      <c r="S240"/>
      <c r="T240"/>
      <c r="U240"/>
      <c r="V240"/>
      <c r="W240"/>
      <c r="X240"/>
      <c r="Y240"/>
      <c r="Z240"/>
      <c r="AA240"/>
      <c r="AB240"/>
      <c r="AC240" s="18"/>
      <c r="AD240" s="18"/>
      <c r="AE240" s="18"/>
      <c r="AF240" s="18"/>
      <c r="AG240"/>
      <c r="AH240"/>
      <c r="AI240"/>
      <c r="AJ240"/>
      <c r="AK240"/>
      <c r="AL240"/>
      <c r="AM240"/>
      <c r="AN240"/>
      <c r="AO240" s="661"/>
      <c r="AP240"/>
      <c r="AQ240" s="19"/>
    </row>
  </sheetData>
  <sheetProtection formatColumns="0" formatRows="0" insertRows="0" deleteColumns="0" deleteRows="0" sort="0" autoFilter="0"/>
  <mergeCells count="17">
    <mergeCell ref="Z183:Z233"/>
    <mergeCell ref="AB237:AK237"/>
    <mergeCell ref="X30:X80"/>
    <mergeCell ref="Z30:Z80"/>
    <mergeCell ref="AB24:AE24"/>
    <mergeCell ref="AB235:AK235"/>
    <mergeCell ref="AB236:AK236"/>
    <mergeCell ref="AB26:AB28"/>
    <mergeCell ref="AC26:AC27"/>
    <mergeCell ref="AD26:AD27"/>
    <mergeCell ref="AE26:AE27"/>
    <mergeCell ref="AF26:AK26"/>
    <mergeCell ref="X81:X131"/>
    <mergeCell ref="Z81:Z131"/>
    <mergeCell ref="X132:X182"/>
    <mergeCell ref="Z132:Z182"/>
    <mergeCell ref="X183:X233"/>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AE133:AE182 AE184:AE233"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9D87-3138-1B4B-66F8-01B33976A1F8}">
  <sheetPr>
    <tabColor rgb="FF002060"/>
    <outlinePr summaryBelow="0" summaryRight="0"/>
  </sheetPr>
  <dimension ref="A1:AR245"/>
  <sheetViews>
    <sheetView showGridLines="0" workbookViewId="0">
      <pane xSplit="29" ySplit="26" topLeftCell="AD81" activePane="bottomRight" state="frozen"/>
      <selection pane="topRight" activeCell="AD1" sqref="AD1"/>
      <selection pane="bottomLeft" activeCell="A27" sqref="A27"/>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1"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1" hidden="1"/>
    <col min="43" max="44" width="9.140625" style="461" hidden="1"/>
  </cols>
  <sheetData>
    <row r="1" spans="1:44" ht="11.25" hidden="1" customHeight="1" x14ac:dyDescent="0.15">
      <c r="E1" s="17"/>
      <c r="F1" s="17" t="s">
        <v>320</v>
      </c>
      <c r="G1" s="17" t="s">
        <v>355</v>
      </c>
      <c r="K1" s="17" t="s">
        <v>358</v>
      </c>
      <c r="T1" s="353" t="s">
        <v>92</v>
      </c>
      <c r="U1" s="353" t="s">
        <v>97</v>
      </c>
      <c r="V1" s="353" t="s">
        <v>93</v>
      </c>
      <c r="W1" s="353" t="s">
        <v>94</v>
      </c>
      <c r="X1" s="353" t="s">
        <v>95</v>
      </c>
      <c r="Y1" s="355" t="s">
        <v>322</v>
      </c>
      <c r="Z1" s="353" t="s">
        <v>99</v>
      </c>
      <c r="AA1" s="354" t="s">
        <v>96</v>
      </c>
      <c r="AB1" s="353" t="s">
        <v>98</v>
      </c>
      <c r="AC1" s="354" t="s">
        <v>98</v>
      </c>
      <c r="AN1" s="671" t="s">
        <v>363</v>
      </c>
      <c r="AO1" s="671" t="s">
        <v>324</v>
      </c>
      <c r="AP1" s="671" t="s">
        <v>325</v>
      </c>
      <c r="AQ1" s="461" t="s">
        <v>328</v>
      </c>
      <c r="AR1" s="461" t="s">
        <v>329</v>
      </c>
    </row>
    <row r="2" spans="1:44" s="46" customFormat="1" ht="11.25" hidden="1" customHeight="1" x14ac:dyDescent="0.15">
      <c r="B2" s="341" t="s">
        <v>18</v>
      </c>
      <c r="AB2" s="326"/>
      <c r="AG2" s="341" t="b">
        <f>DPR_ee_divide="нет"</f>
        <v>1</v>
      </c>
      <c r="AH2" s="341" t="b">
        <f>DPR_ee_divide="да"</f>
        <v>0</v>
      </c>
      <c r="AI2" s="341" t="b">
        <f>DPR_ee_divide="да"</f>
        <v>0</v>
      </c>
      <c r="AJ2" s="341" t="b">
        <f>DPR_ee_divide="да"</f>
        <v>0</v>
      </c>
      <c r="AK2" s="341" t="b">
        <f>DPR_ee_divide="да"</f>
        <v>0</v>
      </c>
      <c r="AN2" s="672"/>
      <c r="AO2" s="672"/>
      <c r="AP2" s="672"/>
      <c r="AQ2" s="677"/>
      <c r="AR2" s="677"/>
    </row>
    <row r="3" spans="1:44" ht="11.25" hidden="1" customHeight="1" x14ac:dyDescent="0.15">
      <c r="E3" s="17"/>
    </row>
    <row r="4" spans="1:44" ht="11.25" hidden="1" customHeight="1" x14ac:dyDescent="0.15">
      <c r="E4" s="17"/>
    </row>
    <row r="5" spans="1:44" s="461" customFormat="1" ht="11.25" hidden="1" customHeight="1" x14ac:dyDescent="0.15">
      <c r="A5" s="17"/>
      <c r="B5" s="46"/>
      <c r="C5" s="17"/>
      <c r="D5" s="17"/>
      <c r="E5" s="461" t="s">
        <v>19</v>
      </c>
      <c r="AA5" s="461">
        <v>3</v>
      </c>
      <c r="AB5" s="503">
        <v>14.71</v>
      </c>
      <c r="AC5" s="461">
        <v>17</v>
      </c>
      <c r="AD5" s="461">
        <v>17</v>
      </c>
      <c r="AE5" s="461">
        <v>17</v>
      </c>
      <c r="AF5" s="461">
        <v>17</v>
      </c>
      <c r="AG5" s="461">
        <v>17</v>
      </c>
      <c r="AH5" s="461">
        <v>23</v>
      </c>
      <c r="AI5" s="461">
        <v>23</v>
      </c>
      <c r="AJ5" s="461">
        <v>23</v>
      </c>
      <c r="AK5" s="461">
        <v>25</v>
      </c>
      <c r="AL5" s="461">
        <v>3</v>
      </c>
      <c r="AN5" s="671"/>
      <c r="AO5" s="671"/>
      <c r="AP5" s="671"/>
    </row>
    <row r="6" spans="1:44" ht="11.25" hidden="1" customHeight="1" x14ac:dyDescent="0.15">
      <c r="A6" s="17" t="s">
        <v>330</v>
      </c>
      <c r="AC6" s="17" t="s">
        <v>331</v>
      </c>
      <c r="AD6" s="17" t="s">
        <v>332</v>
      </c>
      <c r="AE6" s="17" t="s">
        <v>333</v>
      </c>
      <c r="AF6" s="17" t="s">
        <v>560</v>
      </c>
      <c r="AG6" s="17" t="s">
        <v>564</v>
      </c>
      <c r="AH6" s="17" t="s">
        <v>2331</v>
      </c>
      <c r="AI6" s="17" t="s">
        <v>2332</v>
      </c>
      <c r="AJ6" s="17" t="s">
        <v>2333</v>
      </c>
      <c r="AK6" s="17" t="s">
        <v>2334</v>
      </c>
    </row>
    <row r="7" spans="1:44" ht="11.25" hidden="1" customHeight="1" x14ac:dyDescent="0.15"/>
    <row r="8" spans="1:44" ht="11.25" hidden="1" customHeight="1" x14ac:dyDescent="0.15"/>
    <row r="9" spans="1:44" s="671" customFormat="1" ht="11.25" hidden="1" customHeight="1" x14ac:dyDescent="0.15">
      <c r="A9" s="671" t="s">
        <v>323</v>
      </c>
      <c r="B9" s="672"/>
      <c r="AB9" s="690"/>
      <c r="AC9" s="705" t="s">
        <v>2335</v>
      </c>
      <c r="AD9" s="705" t="s">
        <v>2336</v>
      </c>
      <c r="AE9" s="705" t="s">
        <v>2337</v>
      </c>
      <c r="AF9" s="705" t="s">
        <v>2338</v>
      </c>
      <c r="AG9" s="705" t="s">
        <v>2339</v>
      </c>
      <c r="AH9" s="705" t="s">
        <v>2340</v>
      </c>
      <c r="AI9" s="705" t="s">
        <v>2341</v>
      </c>
      <c r="AJ9" s="705" t="s">
        <v>2342</v>
      </c>
      <c r="AK9" s="671" t="s">
        <v>2343</v>
      </c>
      <c r="AQ9" s="461"/>
      <c r="AR9" s="461"/>
    </row>
    <row r="10" spans="1:44" s="671" customFormat="1" ht="11.25" hidden="1" customHeight="1" x14ac:dyDescent="0.15">
      <c r="A10" s="671" t="s">
        <v>337</v>
      </c>
      <c r="B10" s="672"/>
      <c r="AB10" s="690" t="s">
        <v>325</v>
      </c>
      <c r="AQ10" s="461"/>
      <c r="AR10" s="461"/>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366</v>
      </c>
      <c r="AB18" s="120" t="s">
        <v>193</v>
      </c>
    </row>
    <row r="19" spans="1:44" ht="11.25" hidden="1" customHeight="1" x14ac:dyDescent="0.15"/>
    <row r="20" spans="1:44" ht="11.25" hidden="1" customHeight="1" x14ac:dyDescent="0.15"/>
    <row r="21" spans="1:44" ht="14.65" customHeight="1" x14ac:dyDescent="0.15">
      <c r="E21" s="461">
        <v>15</v>
      </c>
      <c r="AA21" s="59"/>
      <c r="AB21" s="268" t="str" cm="1">
        <f t="array" ref="AB21">tpl_title</f>
        <v>Кемеровская область / 2026 / КАО "Азот" (ИНН:4205000908, КПП:997550001) / ДПР: 2024-2028</v>
      </c>
    </row>
    <row r="22" spans="1:44" s="59" customFormat="1" ht="23.45" customHeight="1" x14ac:dyDescent="0.15">
      <c r="B22" s="46"/>
      <c r="E22" s="462">
        <v>24</v>
      </c>
      <c r="AB22" s="226" t="s">
        <v>86</v>
      </c>
      <c r="AC22" s="119"/>
      <c r="AD22" s="119"/>
      <c r="AE22" s="119"/>
      <c r="AF22" s="119"/>
      <c r="AG22" s="119"/>
      <c r="AH22" s="119"/>
      <c r="AI22" s="119"/>
      <c r="AJ22" s="119"/>
      <c r="AK22" s="119"/>
      <c r="AN22" s="674"/>
      <c r="AO22" s="674"/>
      <c r="AP22" s="674"/>
      <c r="AQ22" s="462"/>
      <c r="AR22" s="462"/>
    </row>
    <row r="23" spans="1:44" ht="10.9" customHeight="1" x14ac:dyDescent="0.15">
      <c r="E23" s="461">
        <v>11.25</v>
      </c>
      <c r="AB23" s="60"/>
      <c r="AC23" s="60"/>
    </row>
    <row r="24" spans="1:44" s="60" customFormat="1" ht="38.1" customHeight="1" x14ac:dyDescent="0.15">
      <c r="B24" s="326"/>
      <c r="E24" s="459">
        <v>39</v>
      </c>
      <c r="AB24" s="1089" t="s">
        <v>2345</v>
      </c>
      <c r="AC24" s="1092" t="s">
        <v>2346</v>
      </c>
      <c r="AD24" s="1092" t="s">
        <v>483</v>
      </c>
      <c r="AE24" s="1092" t="s">
        <v>2347</v>
      </c>
      <c r="AF24" s="1092" t="s">
        <v>2348</v>
      </c>
      <c r="AG24" s="1092"/>
      <c r="AH24" s="1092"/>
      <c r="AI24" s="1092"/>
      <c r="AJ24" s="1092"/>
      <c r="AK24" s="1093"/>
      <c r="AN24" s="669"/>
      <c r="AO24" s="669"/>
      <c r="AP24" s="669"/>
      <c r="AQ24" s="459"/>
      <c r="AR24" s="459"/>
    </row>
    <row r="25" spans="1:44" s="60" customFormat="1" ht="35.1" customHeight="1" x14ac:dyDescent="0.15">
      <c r="B25" s="326"/>
      <c r="E25" s="459">
        <v>36</v>
      </c>
      <c r="AB25" s="1090"/>
      <c r="AC25" s="1092"/>
      <c r="AD25" s="1092"/>
      <c r="AE25" s="1092"/>
      <c r="AF25" s="167" t="s">
        <v>607</v>
      </c>
      <c r="AG25" s="167" t="s">
        <v>2349</v>
      </c>
      <c r="AH25" s="167" t="s">
        <v>2350</v>
      </c>
      <c r="AI25" s="167" t="s">
        <v>2351</v>
      </c>
      <c r="AJ25" s="167" t="s">
        <v>2352</v>
      </c>
      <c r="AK25" s="168" t="s">
        <v>2353</v>
      </c>
      <c r="AN25" s="669"/>
      <c r="AO25" s="669"/>
      <c r="AP25" s="669"/>
      <c r="AQ25" s="459"/>
      <c r="AR25" s="459"/>
    </row>
    <row r="26" spans="1:44" s="62" customFormat="1" ht="10.9" customHeight="1" x14ac:dyDescent="0.15">
      <c r="B26" s="326"/>
      <c r="E26" s="179">
        <v>11.25</v>
      </c>
      <c r="AB26" s="1091"/>
      <c r="AC26" s="167" t="s">
        <v>828</v>
      </c>
      <c r="AD26" s="167" t="s">
        <v>476</v>
      </c>
      <c r="AE26" s="10" t="s">
        <v>476</v>
      </c>
      <c r="AF26" s="167" t="s">
        <v>476</v>
      </c>
      <c r="AG26" s="167" t="s">
        <v>2354</v>
      </c>
      <c r="AH26" s="167" t="s">
        <v>2354</v>
      </c>
      <c r="AI26" s="167" t="s">
        <v>2354</v>
      </c>
      <c r="AJ26" s="167" t="s">
        <v>2354</v>
      </c>
      <c r="AK26" s="168" t="s">
        <v>2354</v>
      </c>
      <c r="AN26" s="678"/>
      <c r="AO26" s="678"/>
      <c r="AP26" s="678"/>
      <c r="AQ26" s="179"/>
      <c r="AR26" s="179"/>
    </row>
    <row r="27" spans="1:44" ht="11.25" hidden="1" customHeight="1" x14ac:dyDescent="0.15">
      <c r="A27" s="315"/>
      <c r="B27" s="479"/>
      <c r="C27" s="315"/>
      <c r="D27" s="315"/>
      <c r="E27" s="480">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61"/>
      <c r="AO27" s="661"/>
      <c r="AP27" s="661"/>
      <c r="AQ27" s="663"/>
      <c r="AR27" s="454"/>
    </row>
    <row r="28" spans="1:44" s="38" customFormat="1" ht="14.65" hidden="1" customHeight="1" x14ac:dyDescent="0.15">
      <c r="B28" s="43"/>
      <c r="E28" s="448">
        <v>15</v>
      </c>
      <c r="F28" s="17" cm="1">
        <f t="array" ref="F28">X28</f>
        <v>0</v>
      </c>
      <c r="T28" s="353" t="b">
        <f>X28&gt;0</f>
        <v>0</v>
      </c>
      <c r="V28" s="38" t="s">
        <v>264</v>
      </c>
      <c r="X28" s="990">
        <v>0</v>
      </c>
      <c r="Z28" s="967"/>
      <c r="AB28" s="280" t="str" cm="1">
        <f t="array" ref="AB28">INDEX('Общие сведения'!$AG$179:$AG$236,MATCH($X28,'Общие сведения'!$Z$179:$Z$236,0))</f>
        <v xml:space="preserve">Тариф 0 () - </v>
      </c>
      <c r="AC28" s="156"/>
      <c r="AD28" s="156"/>
      <c r="AE28" s="156"/>
      <c r="AF28" s="156"/>
      <c r="AG28" s="156"/>
      <c r="AH28" s="156"/>
      <c r="AI28" s="156"/>
      <c r="AJ28" s="156"/>
      <c r="AK28" s="156"/>
      <c r="AL28" s="303"/>
      <c r="AN28" s="656"/>
      <c r="AO28" s="656"/>
      <c r="AP28" s="656"/>
      <c r="AQ28" s="448"/>
      <c r="AR28" s="448"/>
    </row>
    <row r="29" spans="1:44" s="38" customFormat="1" ht="14.65" hidden="1" customHeight="1" x14ac:dyDescent="0.15">
      <c r="B29" s="43"/>
      <c r="E29" s="448">
        <v>15</v>
      </c>
      <c r="F29" s="3" cm="1">
        <f t="array" aca="1" ref="F29" ca="1">OFFSET(E29,-1,1)</f>
        <v>0</v>
      </c>
      <c r="G29" s="38" cm="1">
        <f t="array" ref="G29">AB29</f>
        <v>0</v>
      </c>
      <c r="T29" s="353" t="b">
        <f ca="1">AND(F29&gt;0,Y29&gt;0)</f>
        <v>0</v>
      </c>
      <c r="W29" s="38" t="s">
        <v>172</v>
      </c>
      <c r="X29" s="990"/>
      <c r="Y29" s="990">
        <v>0</v>
      </c>
      <c r="Z29" s="967"/>
      <c r="AA29" s="1085" t="s">
        <v>173</v>
      </c>
      <c r="AB29" s="1086"/>
      <c r="AC29" s="1086"/>
      <c r="AD29" s="1086"/>
      <c r="AE29" s="1086"/>
      <c r="AF29" s="1086"/>
      <c r="AG29" s="1086"/>
      <c r="AH29" s="1086"/>
      <c r="AI29" s="1086"/>
      <c r="AJ29" s="1086"/>
      <c r="AK29" s="1087"/>
      <c r="AL29" s="303"/>
      <c r="AN29" s="656"/>
      <c r="AO29" s="696" t="s">
        <v>2357</v>
      </c>
      <c r="AP29" s="687" cm="1">
        <f t="array" ref="AP29">AB29</f>
        <v>0</v>
      </c>
      <c r="AQ29" s="448"/>
      <c r="AR29" s="448" t="b">
        <v>1</v>
      </c>
    </row>
    <row r="30" spans="1:44" s="72" customFormat="1" ht="14.65" hidden="1" customHeight="1" x14ac:dyDescent="0.15">
      <c r="B30" s="341" t="b">
        <f t="shared" ref="B30:B61" si="0">K30&lt;first_year+PERIOD_LENGTH</f>
        <v>1</v>
      </c>
      <c r="E30" s="507">
        <v>15</v>
      </c>
      <c r="F30" s="3" cm="1">
        <f t="array" aca="1" ref="F30" ca="1">OFFSET(E30,-1,1)</f>
        <v>0</v>
      </c>
      <c r="G30" s="17" cm="1">
        <f t="array" ref="G30">G29</f>
        <v>0</v>
      </c>
      <c r="K30" s="72" cm="1">
        <f t="array" ref="K30">first_year</f>
        <v>2024</v>
      </c>
      <c r="T30" s="353" t="b" cm="1">
        <f t="array" aca="1" ref="T30" ca="1">T29</f>
        <v>0</v>
      </c>
      <c r="X30" s="990"/>
      <c r="Y30" s="990"/>
      <c r="Z30" s="967"/>
      <c r="AA30" s="1085"/>
      <c r="AB30" s="211" t="str">
        <f t="shared" ref="AB30:AB61" si="1">K30&amp;" год"</f>
        <v>2024 год</v>
      </c>
      <c r="AC30" s="885"/>
      <c r="AD30" s="886"/>
      <c r="AE30" s="885"/>
      <c r="AF30" s="885"/>
      <c r="AG30" s="886"/>
      <c r="AH30" s="885"/>
      <c r="AI30" s="886"/>
      <c r="AJ30" s="885"/>
      <c r="AK30" s="887"/>
      <c r="AL30" s="304"/>
      <c r="AN30" s="696" cm="1">
        <f t="array" ref="AN30">K30</f>
        <v>2024</v>
      </c>
      <c r="AO30" s="696" t="s">
        <v>2357</v>
      </c>
      <c r="AP30" s="706" cm="1">
        <f t="array" ref="AP30">AP29</f>
        <v>0</v>
      </c>
      <c r="AQ30" s="507"/>
      <c r="AR30" s="507"/>
    </row>
    <row r="31" spans="1:44" s="72" customFormat="1" ht="14.65" hidden="1" customHeight="1" x14ac:dyDescent="0.15">
      <c r="B31" s="341" t="b">
        <f t="shared" si="0"/>
        <v>1</v>
      </c>
      <c r="E31" s="507">
        <v>15</v>
      </c>
      <c r="F31" s="3" cm="1">
        <f t="array" aca="1" ref="F31" ca="1">OFFSET(E31,-1,1)</f>
        <v>0</v>
      </c>
      <c r="G31" s="17" cm="1">
        <f t="array" ref="G31">G30</f>
        <v>0</v>
      </c>
      <c r="K31" s="72">
        <f>first_year+1</f>
        <v>2025</v>
      </c>
      <c r="T31" s="353" t="b" cm="1">
        <f t="array" aca="1" ref="T31" ca="1">T30</f>
        <v>0</v>
      </c>
      <c r="X31" s="990"/>
      <c r="Y31" s="990"/>
      <c r="Z31" s="967"/>
      <c r="AA31" s="1085"/>
      <c r="AB31" s="168" t="str">
        <f t="shared" si="1"/>
        <v>2025 год</v>
      </c>
      <c r="AC31" s="308"/>
      <c r="AD31" s="886"/>
      <c r="AE31" s="885"/>
      <c r="AF31" s="885"/>
      <c r="AG31" s="886"/>
      <c r="AH31" s="885"/>
      <c r="AI31" s="886"/>
      <c r="AJ31" s="885"/>
      <c r="AK31" s="887"/>
      <c r="AL31" s="304"/>
      <c r="AN31" s="696" cm="1">
        <f t="array" ref="AN31">K31</f>
        <v>2025</v>
      </c>
      <c r="AO31" s="696" t="s">
        <v>2357</v>
      </c>
      <c r="AP31" s="706" cm="1">
        <f t="array" ref="AP31">AP30</f>
        <v>0</v>
      </c>
      <c r="AQ31" s="507"/>
      <c r="AR31" s="507"/>
    </row>
    <row r="32" spans="1:44" s="72" customFormat="1" ht="14.65" hidden="1" customHeight="1" x14ac:dyDescent="0.15">
      <c r="B32" s="341" t="b">
        <f t="shared" si="0"/>
        <v>1</v>
      </c>
      <c r="E32" s="507">
        <v>15</v>
      </c>
      <c r="F32" s="3" cm="1">
        <f t="array" aca="1" ref="F32" ca="1">OFFSET(E32,-1,1)</f>
        <v>0</v>
      </c>
      <c r="G32" s="17" cm="1">
        <f t="array" ref="G32">G31</f>
        <v>0</v>
      </c>
      <c r="K32" s="72">
        <f>first_year+2</f>
        <v>2026</v>
      </c>
      <c r="T32" s="353" t="b" cm="1">
        <f t="array" aca="1" ref="T32" ca="1">T31</f>
        <v>0</v>
      </c>
      <c r="X32" s="990"/>
      <c r="Y32" s="990"/>
      <c r="Z32" s="967"/>
      <c r="AA32" s="1085"/>
      <c r="AB32" s="168" t="str">
        <f t="shared" si="1"/>
        <v>2026 год</v>
      </c>
      <c r="AC32" s="308"/>
      <c r="AD32" s="886"/>
      <c r="AE32" s="885"/>
      <c r="AF32" s="885"/>
      <c r="AG32" s="886"/>
      <c r="AH32" s="885"/>
      <c r="AI32" s="886"/>
      <c r="AJ32" s="885"/>
      <c r="AK32" s="887"/>
      <c r="AL32" s="304"/>
      <c r="AN32" s="696" cm="1">
        <f t="array" ref="AN32">K32</f>
        <v>2026</v>
      </c>
      <c r="AO32" s="696" t="s">
        <v>2357</v>
      </c>
      <c r="AP32" s="706" cm="1">
        <f t="array" ref="AP32">AP31</f>
        <v>0</v>
      </c>
      <c r="AQ32" s="507"/>
      <c r="AR32" s="507"/>
    </row>
    <row r="33" spans="2:44" s="72" customFormat="1" ht="14.65" hidden="1" customHeight="1" x14ac:dyDescent="0.15">
      <c r="B33" s="341" t="b">
        <f t="shared" si="0"/>
        <v>1</v>
      </c>
      <c r="E33" s="507">
        <v>15</v>
      </c>
      <c r="F33" s="3" cm="1">
        <f t="array" aca="1" ref="F33" ca="1">OFFSET(E33,-1,1)</f>
        <v>0</v>
      </c>
      <c r="G33" s="17" cm="1">
        <f t="array" ref="G33">G32</f>
        <v>0</v>
      </c>
      <c r="K33" s="72">
        <f>first_year+3</f>
        <v>2027</v>
      </c>
      <c r="T33" s="353" t="b" cm="1">
        <f t="array" aca="1" ref="T33" ca="1">T32</f>
        <v>0</v>
      </c>
      <c r="X33" s="990"/>
      <c r="Y33" s="990"/>
      <c r="Z33" s="967"/>
      <c r="AA33" s="1085"/>
      <c r="AB33" s="168" t="str">
        <f t="shared" si="1"/>
        <v>2027 год</v>
      </c>
      <c r="AC33" s="308"/>
      <c r="AD33" s="886"/>
      <c r="AE33" s="885"/>
      <c r="AF33" s="885"/>
      <c r="AG33" s="886"/>
      <c r="AH33" s="885"/>
      <c r="AI33" s="886"/>
      <c r="AJ33" s="885"/>
      <c r="AK33" s="887"/>
      <c r="AL33" s="304"/>
      <c r="AN33" s="696" cm="1">
        <f t="array" ref="AN33">K33</f>
        <v>2027</v>
      </c>
      <c r="AO33" s="696" t="s">
        <v>2357</v>
      </c>
      <c r="AP33" s="706" cm="1">
        <f t="array" ref="AP33">AP32</f>
        <v>0</v>
      </c>
      <c r="AQ33" s="507"/>
      <c r="AR33" s="507"/>
    </row>
    <row r="34" spans="2:44" s="72" customFormat="1" ht="14.65" hidden="1" customHeight="1" x14ac:dyDescent="0.15">
      <c r="B34" s="341" t="b">
        <f t="shared" si="0"/>
        <v>1</v>
      </c>
      <c r="E34" s="507">
        <v>15</v>
      </c>
      <c r="F34" s="3" cm="1">
        <f t="array" aca="1" ref="F34" ca="1">OFFSET(E34,-1,1)</f>
        <v>0</v>
      </c>
      <c r="G34" s="17" cm="1">
        <f t="array" ref="G34">G33</f>
        <v>0</v>
      </c>
      <c r="K34" s="72">
        <f>first_year+4</f>
        <v>2028</v>
      </c>
      <c r="T34" s="353" t="b" cm="1">
        <f t="array" aca="1" ref="T34" ca="1">T33</f>
        <v>0</v>
      </c>
      <c r="X34" s="990"/>
      <c r="Y34" s="990"/>
      <c r="Z34" s="967"/>
      <c r="AA34" s="1085"/>
      <c r="AB34" s="168" t="str">
        <f t="shared" si="1"/>
        <v>2028 год</v>
      </c>
      <c r="AC34" s="308"/>
      <c r="AD34" s="886"/>
      <c r="AE34" s="885"/>
      <c r="AF34" s="885"/>
      <c r="AG34" s="886"/>
      <c r="AH34" s="885"/>
      <c r="AI34" s="886"/>
      <c r="AJ34" s="885"/>
      <c r="AK34" s="887"/>
      <c r="AL34" s="304"/>
      <c r="AN34" s="696" cm="1">
        <f t="array" ref="AN34">K34</f>
        <v>2028</v>
      </c>
      <c r="AO34" s="696" t="s">
        <v>2357</v>
      </c>
      <c r="AP34" s="706" cm="1">
        <f t="array" ref="AP34">AP33</f>
        <v>0</v>
      </c>
      <c r="AQ34" s="507"/>
      <c r="AR34" s="507"/>
    </row>
    <row r="35" spans="2:44" s="72" customFormat="1" ht="14.65" hidden="1" customHeight="1" x14ac:dyDescent="0.15">
      <c r="B35" s="341" t="b">
        <f t="shared" si="0"/>
        <v>0</v>
      </c>
      <c r="E35" s="507">
        <v>15</v>
      </c>
      <c r="F35" s="3" cm="1">
        <f t="array" aca="1" ref="F35" ca="1">OFFSET(E35,-1,1)</f>
        <v>0</v>
      </c>
      <c r="G35" s="17" cm="1">
        <f t="array" ref="G35">G34</f>
        <v>0</v>
      </c>
      <c r="K35" s="72">
        <f>first_year+5</f>
        <v>2029</v>
      </c>
      <c r="T35" s="353" t="b" cm="1">
        <f t="array" aca="1" ref="T35" ca="1">T34</f>
        <v>0</v>
      </c>
      <c r="X35" s="990"/>
      <c r="Y35" s="990"/>
      <c r="Z35" s="967"/>
      <c r="AA35" s="1085"/>
      <c r="AB35" s="168" t="str">
        <f t="shared" si="1"/>
        <v>2029 год</v>
      </c>
      <c r="AC35" s="308"/>
      <c r="AD35" s="886"/>
      <c r="AE35" s="885"/>
      <c r="AF35" s="885"/>
      <c r="AG35" s="886"/>
      <c r="AH35" s="885"/>
      <c r="AI35" s="886"/>
      <c r="AJ35" s="885"/>
      <c r="AK35" s="887"/>
      <c r="AL35" s="304"/>
      <c r="AN35" s="696" cm="1">
        <f t="array" ref="AN35">K35</f>
        <v>2029</v>
      </c>
      <c r="AO35" s="696" t="s">
        <v>2357</v>
      </c>
      <c r="AP35" s="706" cm="1">
        <f t="array" ref="AP35">AP34</f>
        <v>0</v>
      </c>
      <c r="AQ35" s="507"/>
      <c r="AR35" s="507"/>
    </row>
    <row r="36" spans="2:44" s="72" customFormat="1" ht="14.65" hidden="1" customHeight="1" x14ac:dyDescent="0.15">
      <c r="B36" s="341" t="b">
        <f t="shared" si="0"/>
        <v>0</v>
      </c>
      <c r="E36" s="507">
        <v>15</v>
      </c>
      <c r="F36" s="3" cm="1">
        <f t="array" aca="1" ref="F36" ca="1">OFFSET(E36,-1,1)</f>
        <v>0</v>
      </c>
      <c r="G36" s="17" cm="1">
        <f t="array" ref="G36">G35</f>
        <v>0</v>
      </c>
      <c r="K36" s="72">
        <f>first_year+6</f>
        <v>2030</v>
      </c>
      <c r="T36" s="353" t="b" cm="1">
        <f t="array" aca="1" ref="T36" ca="1">T35</f>
        <v>0</v>
      </c>
      <c r="X36" s="990"/>
      <c r="Y36" s="990"/>
      <c r="Z36" s="967"/>
      <c r="AA36" s="1085"/>
      <c r="AB36" s="168" t="str">
        <f t="shared" si="1"/>
        <v>2030 год</v>
      </c>
      <c r="AC36" s="308"/>
      <c r="AD36" s="886"/>
      <c r="AE36" s="885"/>
      <c r="AF36" s="885"/>
      <c r="AG36" s="886"/>
      <c r="AH36" s="885"/>
      <c r="AI36" s="886"/>
      <c r="AJ36" s="885"/>
      <c r="AK36" s="887"/>
      <c r="AL36" s="304"/>
      <c r="AN36" s="696" cm="1">
        <f t="array" ref="AN36">K36</f>
        <v>2030</v>
      </c>
      <c r="AO36" s="696" t="s">
        <v>2357</v>
      </c>
      <c r="AP36" s="706" cm="1">
        <f t="array" ref="AP36">AP35</f>
        <v>0</v>
      </c>
      <c r="AQ36" s="507"/>
      <c r="AR36" s="507"/>
    </row>
    <row r="37" spans="2:44" s="72" customFormat="1" ht="14.65" hidden="1" customHeight="1" x14ac:dyDescent="0.15">
      <c r="B37" s="341" t="b">
        <f t="shared" si="0"/>
        <v>0</v>
      </c>
      <c r="E37" s="507">
        <v>15</v>
      </c>
      <c r="F37" s="3" cm="1">
        <f t="array" aca="1" ref="F37" ca="1">OFFSET(E37,-1,1)</f>
        <v>0</v>
      </c>
      <c r="G37" s="17" cm="1">
        <f t="array" ref="G37">G36</f>
        <v>0</v>
      </c>
      <c r="K37" s="72">
        <f>first_year+7</f>
        <v>2031</v>
      </c>
      <c r="T37" s="353" t="b" cm="1">
        <f t="array" aca="1" ref="T37" ca="1">T36</f>
        <v>0</v>
      </c>
      <c r="X37" s="990"/>
      <c r="Y37" s="990"/>
      <c r="Z37" s="967"/>
      <c r="AA37" s="1085"/>
      <c r="AB37" s="168" t="str">
        <f t="shared" si="1"/>
        <v>2031 год</v>
      </c>
      <c r="AC37" s="308"/>
      <c r="AD37" s="886"/>
      <c r="AE37" s="885"/>
      <c r="AF37" s="885"/>
      <c r="AG37" s="886"/>
      <c r="AH37" s="885"/>
      <c r="AI37" s="886"/>
      <c r="AJ37" s="885"/>
      <c r="AK37" s="887"/>
      <c r="AL37" s="304"/>
      <c r="AN37" s="696" cm="1">
        <f t="array" ref="AN37">K37</f>
        <v>2031</v>
      </c>
      <c r="AO37" s="696" t="s">
        <v>2357</v>
      </c>
      <c r="AP37" s="706" cm="1">
        <f t="array" ref="AP37">AP36</f>
        <v>0</v>
      </c>
      <c r="AQ37" s="507"/>
      <c r="AR37" s="507"/>
    </row>
    <row r="38" spans="2:44" s="72" customFormat="1" ht="14.65" hidden="1" customHeight="1" x14ac:dyDescent="0.15">
      <c r="B38" s="341" t="b">
        <f t="shared" si="0"/>
        <v>0</v>
      </c>
      <c r="E38" s="507">
        <v>15</v>
      </c>
      <c r="F38" s="3" cm="1">
        <f t="array" aca="1" ref="F38" ca="1">OFFSET(E38,-1,1)</f>
        <v>0</v>
      </c>
      <c r="G38" s="17" cm="1">
        <f t="array" ref="G38">G37</f>
        <v>0</v>
      </c>
      <c r="K38" s="72">
        <f>first_year+8</f>
        <v>2032</v>
      </c>
      <c r="T38" s="353" t="b" cm="1">
        <f t="array" aca="1" ref="T38" ca="1">T37</f>
        <v>0</v>
      </c>
      <c r="X38" s="990"/>
      <c r="Y38" s="990"/>
      <c r="Z38" s="967"/>
      <c r="AA38" s="1085"/>
      <c r="AB38" s="168" t="str">
        <f t="shared" si="1"/>
        <v>2032 год</v>
      </c>
      <c r="AC38" s="308"/>
      <c r="AD38" s="886"/>
      <c r="AE38" s="885"/>
      <c r="AF38" s="885"/>
      <c r="AG38" s="886"/>
      <c r="AH38" s="885"/>
      <c r="AI38" s="886"/>
      <c r="AJ38" s="885"/>
      <c r="AK38" s="887"/>
      <c r="AL38" s="304"/>
      <c r="AN38" s="696" cm="1">
        <f t="array" ref="AN38">K38</f>
        <v>2032</v>
      </c>
      <c r="AO38" s="696" t="s">
        <v>2357</v>
      </c>
      <c r="AP38" s="706" cm="1">
        <f t="array" ref="AP38">AP37</f>
        <v>0</v>
      </c>
      <c r="AQ38" s="507"/>
      <c r="AR38" s="507"/>
    </row>
    <row r="39" spans="2:44" s="72" customFormat="1" ht="14.65" hidden="1" customHeight="1" x14ac:dyDescent="0.15">
      <c r="B39" s="341" t="b">
        <f t="shared" si="0"/>
        <v>0</v>
      </c>
      <c r="E39" s="507">
        <v>15</v>
      </c>
      <c r="F39" s="3" cm="1">
        <f t="array" aca="1" ref="F39" ca="1">OFFSET(E39,-1,1)</f>
        <v>0</v>
      </c>
      <c r="G39" s="17" cm="1">
        <f t="array" ref="G39">G38</f>
        <v>0</v>
      </c>
      <c r="K39" s="72">
        <f>first_year+9</f>
        <v>2033</v>
      </c>
      <c r="T39" s="353" t="b" cm="1">
        <f t="array" aca="1" ref="T39" ca="1">T38</f>
        <v>0</v>
      </c>
      <c r="X39" s="990"/>
      <c r="Y39" s="990"/>
      <c r="Z39" s="967"/>
      <c r="AA39" s="1085"/>
      <c r="AB39" s="168" t="str">
        <f t="shared" si="1"/>
        <v>2033 год</v>
      </c>
      <c r="AC39" s="308"/>
      <c r="AD39" s="886"/>
      <c r="AE39" s="885"/>
      <c r="AF39" s="885"/>
      <c r="AG39" s="886"/>
      <c r="AH39" s="885"/>
      <c r="AI39" s="886"/>
      <c r="AJ39" s="885"/>
      <c r="AK39" s="887"/>
      <c r="AL39" s="304"/>
      <c r="AN39" s="696" cm="1">
        <f t="array" ref="AN39">K39</f>
        <v>2033</v>
      </c>
      <c r="AO39" s="696" t="s">
        <v>2357</v>
      </c>
      <c r="AP39" s="706" cm="1">
        <f t="array" ref="AP39">AP38</f>
        <v>0</v>
      </c>
      <c r="AQ39" s="507"/>
      <c r="AR39" s="507"/>
    </row>
    <row r="40" spans="2:44" s="72" customFormat="1" ht="14.65" hidden="1" customHeight="1" x14ac:dyDescent="0.15">
      <c r="B40" s="341" t="b">
        <f t="shared" si="0"/>
        <v>0</v>
      </c>
      <c r="E40" s="507">
        <v>15</v>
      </c>
      <c r="F40" s="3" cm="1">
        <f t="array" aca="1" ref="F40" ca="1">OFFSET(E40,-1,1)</f>
        <v>0</v>
      </c>
      <c r="G40" s="17" cm="1">
        <f t="array" ref="G40">G39</f>
        <v>0</v>
      </c>
      <c r="K40" s="72">
        <f>first_year+10</f>
        <v>2034</v>
      </c>
      <c r="T40" s="353" t="b" cm="1">
        <f t="array" aca="1" ref="T40" ca="1">T39</f>
        <v>0</v>
      </c>
      <c r="X40" s="990"/>
      <c r="Y40" s="990"/>
      <c r="Z40" s="967"/>
      <c r="AA40" s="1085"/>
      <c r="AB40" s="168" t="str">
        <f t="shared" si="1"/>
        <v>2034 год</v>
      </c>
      <c r="AC40" s="308"/>
      <c r="AD40" s="886"/>
      <c r="AE40" s="885"/>
      <c r="AF40" s="885"/>
      <c r="AG40" s="886"/>
      <c r="AH40" s="885"/>
      <c r="AI40" s="886"/>
      <c r="AJ40" s="885"/>
      <c r="AK40" s="887"/>
      <c r="AL40" s="304"/>
      <c r="AN40" s="696" cm="1">
        <f t="array" ref="AN40">K40</f>
        <v>2034</v>
      </c>
      <c r="AO40" s="696" t="s">
        <v>2357</v>
      </c>
      <c r="AP40" s="706" cm="1">
        <f t="array" ref="AP40">AP39</f>
        <v>0</v>
      </c>
      <c r="AQ40" s="507"/>
      <c r="AR40" s="507"/>
    </row>
    <row r="41" spans="2:44" s="72" customFormat="1" ht="14.65" hidden="1" customHeight="1" x14ac:dyDescent="0.15">
      <c r="B41" s="341" t="b">
        <f t="shared" si="0"/>
        <v>0</v>
      </c>
      <c r="E41" s="507">
        <v>15</v>
      </c>
      <c r="F41" s="3" cm="1">
        <f t="array" aca="1" ref="F41" ca="1">OFFSET(E41,-1,1)</f>
        <v>0</v>
      </c>
      <c r="G41" s="17" cm="1">
        <f t="array" ref="G41">G40</f>
        <v>0</v>
      </c>
      <c r="K41" s="72">
        <f>first_year+11</f>
        <v>2035</v>
      </c>
      <c r="T41" s="353" t="b" cm="1">
        <f t="array" aca="1" ref="T41" ca="1">T40</f>
        <v>0</v>
      </c>
      <c r="X41" s="990"/>
      <c r="Y41" s="990"/>
      <c r="Z41" s="967"/>
      <c r="AA41" s="1085"/>
      <c r="AB41" s="168" t="str">
        <f t="shared" si="1"/>
        <v>2035 год</v>
      </c>
      <c r="AC41" s="308"/>
      <c r="AD41" s="886"/>
      <c r="AE41" s="885"/>
      <c r="AF41" s="885"/>
      <c r="AG41" s="886"/>
      <c r="AH41" s="885"/>
      <c r="AI41" s="886"/>
      <c r="AJ41" s="885"/>
      <c r="AK41" s="887"/>
      <c r="AL41" s="304"/>
      <c r="AN41" s="696" cm="1">
        <f t="array" ref="AN41">K41</f>
        <v>2035</v>
      </c>
      <c r="AO41" s="696" t="s">
        <v>2357</v>
      </c>
      <c r="AP41" s="706" cm="1">
        <f t="array" ref="AP41">AP40</f>
        <v>0</v>
      </c>
      <c r="AQ41" s="507"/>
      <c r="AR41" s="507"/>
    </row>
    <row r="42" spans="2:44" s="72" customFormat="1" ht="14.65" hidden="1" customHeight="1" x14ac:dyDescent="0.15">
      <c r="B42" s="341" t="b">
        <f t="shared" si="0"/>
        <v>0</v>
      </c>
      <c r="E42" s="507">
        <v>15</v>
      </c>
      <c r="F42" s="3" cm="1">
        <f t="array" aca="1" ref="F42" ca="1">OFFSET(E42,-1,1)</f>
        <v>0</v>
      </c>
      <c r="G42" s="17" cm="1">
        <f t="array" ref="G42">G41</f>
        <v>0</v>
      </c>
      <c r="K42" s="72">
        <f>first_year+12</f>
        <v>2036</v>
      </c>
      <c r="T42" s="353" t="b" cm="1">
        <f t="array" aca="1" ref="T42" ca="1">T41</f>
        <v>0</v>
      </c>
      <c r="X42" s="990"/>
      <c r="Y42" s="990"/>
      <c r="Z42" s="967"/>
      <c r="AA42" s="1085"/>
      <c r="AB42" s="168" t="str">
        <f t="shared" si="1"/>
        <v>2036 год</v>
      </c>
      <c r="AC42" s="308"/>
      <c r="AD42" s="886"/>
      <c r="AE42" s="885"/>
      <c r="AF42" s="885"/>
      <c r="AG42" s="886"/>
      <c r="AH42" s="885"/>
      <c r="AI42" s="886"/>
      <c r="AJ42" s="885"/>
      <c r="AK42" s="887"/>
      <c r="AL42" s="304"/>
      <c r="AN42" s="696" cm="1">
        <f t="array" ref="AN42">K42</f>
        <v>2036</v>
      </c>
      <c r="AO42" s="696" t="s">
        <v>2357</v>
      </c>
      <c r="AP42" s="706" cm="1">
        <f t="array" ref="AP42">AP41</f>
        <v>0</v>
      </c>
      <c r="AQ42" s="507"/>
      <c r="AR42" s="507"/>
    </row>
    <row r="43" spans="2:44" s="72" customFormat="1" ht="14.65" hidden="1" customHeight="1" x14ac:dyDescent="0.15">
      <c r="B43" s="341" t="b">
        <f t="shared" si="0"/>
        <v>0</v>
      </c>
      <c r="E43" s="507">
        <v>15</v>
      </c>
      <c r="F43" s="3" cm="1">
        <f t="array" aca="1" ref="F43" ca="1">OFFSET(E43,-1,1)</f>
        <v>0</v>
      </c>
      <c r="G43" s="17" cm="1">
        <f t="array" ref="G43">G42</f>
        <v>0</v>
      </c>
      <c r="K43" s="72">
        <f>first_year+13</f>
        <v>2037</v>
      </c>
      <c r="T43" s="353" t="b" cm="1">
        <f t="array" aca="1" ref="T43" ca="1">T42</f>
        <v>0</v>
      </c>
      <c r="X43" s="990"/>
      <c r="Y43" s="990"/>
      <c r="Z43" s="967"/>
      <c r="AA43" s="1085"/>
      <c r="AB43" s="168" t="str">
        <f t="shared" si="1"/>
        <v>2037 год</v>
      </c>
      <c r="AC43" s="308"/>
      <c r="AD43" s="886"/>
      <c r="AE43" s="885"/>
      <c r="AF43" s="885"/>
      <c r="AG43" s="886"/>
      <c r="AH43" s="885"/>
      <c r="AI43" s="886"/>
      <c r="AJ43" s="885"/>
      <c r="AK43" s="887"/>
      <c r="AL43" s="304"/>
      <c r="AN43" s="696" cm="1">
        <f t="array" ref="AN43">K43</f>
        <v>2037</v>
      </c>
      <c r="AO43" s="696" t="s">
        <v>2357</v>
      </c>
      <c r="AP43" s="706" cm="1">
        <f t="array" ref="AP43">AP42</f>
        <v>0</v>
      </c>
      <c r="AQ43" s="507"/>
      <c r="AR43" s="507"/>
    </row>
    <row r="44" spans="2:44" s="72" customFormat="1" ht="14.65" hidden="1" customHeight="1" x14ac:dyDescent="0.15">
      <c r="B44" s="341" t="b">
        <f t="shared" si="0"/>
        <v>0</v>
      </c>
      <c r="E44" s="507">
        <v>15</v>
      </c>
      <c r="F44" s="3" cm="1">
        <f t="array" aca="1" ref="F44" ca="1">OFFSET(E44,-1,1)</f>
        <v>0</v>
      </c>
      <c r="G44" s="17" cm="1">
        <f t="array" ref="G44">G43</f>
        <v>0</v>
      </c>
      <c r="K44" s="72">
        <f>first_year+14</f>
        <v>2038</v>
      </c>
      <c r="T44" s="353" t="b" cm="1">
        <f t="array" aca="1" ref="T44" ca="1">T43</f>
        <v>0</v>
      </c>
      <c r="X44" s="990"/>
      <c r="Y44" s="990"/>
      <c r="Z44" s="967"/>
      <c r="AA44" s="1085"/>
      <c r="AB44" s="168" t="str">
        <f t="shared" si="1"/>
        <v>2038 год</v>
      </c>
      <c r="AC44" s="308"/>
      <c r="AD44" s="886"/>
      <c r="AE44" s="885"/>
      <c r="AF44" s="885"/>
      <c r="AG44" s="886"/>
      <c r="AH44" s="885"/>
      <c r="AI44" s="886"/>
      <c r="AJ44" s="885"/>
      <c r="AK44" s="887"/>
      <c r="AL44" s="304"/>
      <c r="AN44" s="696" cm="1">
        <f t="array" ref="AN44">K44</f>
        <v>2038</v>
      </c>
      <c r="AO44" s="696" t="s">
        <v>2357</v>
      </c>
      <c r="AP44" s="706" cm="1">
        <f t="array" ref="AP44">AP43</f>
        <v>0</v>
      </c>
      <c r="AQ44" s="507"/>
      <c r="AR44" s="507"/>
    </row>
    <row r="45" spans="2:44" s="72" customFormat="1" ht="14.65" hidden="1" customHeight="1" x14ac:dyDescent="0.15">
      <c r="B45" s="341" t="b">
        <f t="shared" si="0"/>
        <v>0</v>
      </c>
      <c r="E45" s="507">
        <v>15</v>
      </c>
      <c r="F45" s="3" cm="1">
        <f t="array" aca="1" ref="F45" ca="1">OFFSET(E45,-1,1)</f>
        <v>0</v>
      </c>
      <c r="G45" s="17" cm="1">
        <f t="array" ref="G45">G44</f>
        <v>0</v>
      </c>
      <c r="K45" s="72">
        <f>first_year+15</f>
        <v>2039</v>
      </c>
      <c r="T45" s="353" t="b" cm="1">
        <f t="array" aca="1" ref="T45" ca="1">T44</f>
        <v>0</v>
      </c>
      <c r="X45" s="990"/>
      <c r="Y45" s="990"/>
      <c r="Z45" s="967"/>
      <c r="AA45" s="1085"/>
      <c r="AB45" s="168" t="str">
        <f t="shared" si="1"/>
        <v>2039 год</v>
      </c>
      <c r="AC45" s="308"/>
      <c r="AD45" s="886"/>
      <c r="AE45" s="885"/>
      <c r="AF45" s="885"/>
      <c r="AG45" s="886"/>
      <c r="AH45" s="885"/>
      <c r="AI45" s="886"/>
      <c r="AJ45" s="885"/>
      <c r="AK45" s="887"/>
      <c r="AL45" s="304"/>
      <c r="AN45" s="696" cm="1">
        <f t="array" ref="AN45">K45</f>
        <v>2039</v>
      </c>
      <c r="AO45" s="696" t="s">
        <v>2357</v>
      </c>
      <c r="AP45" s="706" cm="1">
        <f t="array" ref="AP45">AP44</f>
        <v>0</v>
      </c>
      <c r="AQ45" s="507"/>
      <c r="AR45" s="507"/>
    </row>
    <row r="46" spans="2:44" s="72" customFormat="1" ht="14.65" hidden="1" customHeight="1" x14ac:dyDescent="0.15">
      <c r="B46" s="341" t="b">
        <f t="shared" si="0"/>
        <v>0</v>
      </c>
      <c r="E46" s="507">
        <v>15</v>
      </c>
      <c r="F46" s="3" cm="1">
        <f t="array" aca="1" ref="F46" ca="1">OFFSET(E46,-1,1)</f>
        <v>0</v>
      </c>
      <c r="G46" s="17" cm="1">
        <f t="array" ref="G46">G45</f>
        <v>0</v>
      </c>
      <c r="K46" s="72">
        <f>first_year+16</f>
        <v>2040</v>
      </c>
      <c r="T46" s="353" t="b" cm="1">
        <f t="array" aca="1" ref="T46" ca="1">T45</f>
        <v>0</v>
      </c>
      <c r="X46" s="990"/>
      <c r="Y46" s="990"/>
      <c r="Z46" s="967"/>
      <c r="AA46" s="1085"/>
      <c r="AB46" s="168" t="str">
        <f t="shared" si="1"/>
        <v>2040 год</v>
      </c>
      <c r="AC46" s="308"/>
      <c r="AD46" s="886"/>
      <c r="AE46" s="885"/>
      <c r="AF46" s="885"/>
      <c r="AG46" s="886"/>
      <c r="AH46" s="885"/>
      <c r="AI46" s="886"/>
      <c r="AJ46" s="885"/>
      <c r="AK46" s="887"/>
      <c r="AL46" s="304"/>
      <c r="AN46" s="696" cm="1">
        <f t="array" ref="AN46">K46</f>
        <v>2040</v>
      </c>
      <c r="AO46" s="696" t="s">
        <v>2357</v>
      </c>
      <c r="AP46" s="706" cm="1">
        <f t="array" ref="AP46">AP45</f>
        <v>0</v>
      </c>
      <c r="AQ46" s="507"/>
      <c r="AR46" s="507"/>
    </row>
    <row r="47" spans="2:44" s="72" customFormat="1" ht="14.65" hidden="1" customHeight="1" x14ac:dyDescent="0.15">
      <c r="B47" s="341" t="b">
        <f t="shared" si="0"/>
        <v>0</v>
      </c>
      <c r="E47" s="507">
        <v>15</v>
      </c>
      <c r="F47" s="3" cm="1">
        <f t="array" aca="1" ref="F47" ca="1">OFFSET(E47,-1,1)</f>
        <v>0</v>
      </c>
      <c r="G47" s="17" cm="1">
        <f t="array" ref="G47">G46</f>
        <v>0</v>
      </c>
      <c r="K47" s="72">
        <f>first_year+17</f>
        <v>2041</v>
      </c>
      <c r="T47" s="353" t="b" cm="1">
        <f t="array" aca="1" ref="T47" ca="1">T46</f>
        <v>0</v>
      </c>
      <c r="X47" s="990"/>
      <c r="Y47" s="990"/>
      <c r="Z47" s="967"/>
      <c r="AA47" s="1085"/>
      <c r="AB47" s="168" t="str">
        <f t="shared" si="1"/>
        <v>2041 год</v>
      </c>
      <c r="AC47" s="308"/>
      <c r="AD47" s="886"/>
      <c r="AE47" s="885"/>
      <c r="AF47" s="885"/>
      <c r="AG47" s="886"/>
      <c r="AH47" s="885"/>
      <c r="AI47" s="886"/>
      <c r="AJ47" s="885"/>
      <c r="AK47" s="887"/>
      <c r="AL47" s="304"/>
      <c r="AN47" s="696" cm="1">
        <f t="array" ref="AN47">K47</f>
        <v>2041</v>
      </c>
      <c r="AO47" s="696" t="s">
        <v>2357</v>
      </c>
      <c r="AP47" s="706" cm="1">
        <f t="array" ref="AP47">AP46</f>
        <v>0</v>
      </c>
      <c r="AQ47" s="507"/>
      <c r="AR47" s="507"/>
    </row>
    <row r="48" spans="2:44" s="72" customFormat="1" ht="14.65" hidden="1" customHeight="1" x14ac:dyDescent="0.15">
      <c r="B48" s="341" t="b">
        <f t="shared" si="0"/>
        <v>0</v>
      </c>
      <c r="E48" s="507">
        <v>15</v>
      </c>
      <c r="F48" s="3" cm="1">
        <f t="array" aca="1" ref="F48" ca="1">OFFSET(E48,-1,1)</f>
        <v>0</v>
      </c>
      <c r="G48" s="17" cm="1">
        <f t="array" ref="G48">G47</f>
        <v>0</v>
      </c>
      <c r="K48" s="72">
        <f>first_year+18</f>
        <v>2042</v>
      </c>
      <c r="T48" s="353" t="b" cm="1">
        <f t="array" aca="1" ref="T48" ca="1">T47</f>
        <v>0</v>
      </c>
      <c r="X48" s="990"/>
      <c r="Y48" s="990"/>
      <c r="Z48" s="967"/>
      <c r="AA48" s="1085"/>
      <c r="AB48" s="168" t="str">
        <f t="shared" si="1"/>
        <v>2042 год</v>
      </c>
      <c r="AC48" s="308"/>
      <c r="AD48" s="886"/>
      <c r="AE48" s="885"/>
      <c r="AF48" s="885"/>
      <c r="AG48" s="886"/>
      <c r="AH48" s="885"/>
      <c r="AI48" s="886"/>
      <c r="AJ48" s="885"/>
      <c r="AK48" s="887"/>
      <c r="AL48" s="304"/>
      <c r="AN48" s="696" cm="1">
        <f t="array" ref="AN48">K48</f>
        <v>2042</v>
      </c>
      <c r="AO48" s="696" t="s">
        <v>2357</v>
      </c>
      <c r="AP48" s="706" cm="1">
        <f t="array" ref="AP48">AP47</f>
        <v>0</v>
      </c>
      <c r="AQ48" s="507"/>
      <c r="AR48" s="507"/>
    </row>
    <row r="49" spans="2:44" s="72" customFormat="1" ht="14.65" hidden="1" customHeight="1" x14ac:dyDescent="0.15">
      <c r="B49" s="341" t="b">
        <f t="shared" si="0"/>
        <v>0</v>
      </c>
      <c r="E49" s="507">
        <v>15</v>
      </c>
      <c r="F49" s="3" cm="1">
        <f t="array" aca="1" ref="F49" ca="1">OFFSET(E49,-1,1)</f>
        <v>0</v>
      </c>
      <c r="G49" s="17" cm="1">
        <f t="array" ref="G49">G48</f>
        <v>0</v>
      </c>
      <c r="K49" s="72">
        <f>first_year+19</f>
        <v>2043</v>
      </c>
      <c r="T49" s="353" t="b" cm="1">
        <f t="array" aca="1" ref="T49" ca="1">T48</f>
        <v>0</v>
      </c>
      <c r="X49" s="990"/>
      <c r="Y49" s="990"/>
      <c r="Z49" s="967"/>
      <c r="AA49" s="1085"/>
      <c r="AB49" s="168" t="str">
        <f t="shared" si="1"/>
        <v>2043 год</v>
      </c>
      <c r="AC49" s="308"/>
      <c r="AD49" s="886"/>
      <c r="AE49" s="885"/>
      <c r="AF49" s="885"/>
      <c r="AG49" s="886"/>
      <c r="AH49" s="885"/>
      <c r="AI49" s="886"/>
      <c r="AJ49" s="885"/>
      <c r="AK49" s="887"/>
      <c r="AL49" s="304"/>
      <c r="AN49" s="696" cm="1">
        <f t="array" ref="AN49">K49</f>
        <v>2043</v>
      </c>
      <c r="AO49" s="696" t="s">
        <v>2357</v>
      </c>
      <c r="AP49" s="706" cm="1">
        <f t="array" ref="AP49">AP48</f>
        <v>0</v>
      </c>
      <c r="AQ49" s="507"/>
      <c r="AR49" s="507"/>
    </row>
    <row r="50" spans="2:44" s="72" customFormat="1" ht="14.65" hidden="1" customHeight="1" x14ac:dyDescent="0.15">
      <c r="B50" s="341" t="b">
        <f t="shared" si="0"/>
        <v>0</v>
      </c>
      <c r="E50" s="507">
        <v>15</v>
      </c>
      <c r="F50" s="3" cm="1">
        <f t="array" aca="1" ref="F50" ca="1">OFFSET(E50,-1,1)</f>
        <v>0</v>
      </c>
      <c r="G50" s="17" cm="1">
        <f t="array" ref="G50">G49</f>
        <v>0</v>
      </c>
      <c r="K50" s="72">
        <f>first_year+20</f>
        <v>2044</v>
      </c>
      <c r="T50" s="353" t="b" cm="1">
        <f t="array" aca="1" ref="T50" ca="1">T49</f>
        <v>0</v>
      </c>
      <c r="X50" s="990"/>
      <c r="Y50" s="990"/>
      <c r="Z50" s="967"/>
      <c r="AA50" s="1085"/>
      <c r="AB50" s="168" t="str">
        <f t="shared" si="1"/>
        <v>2044 год</v>
      </c>
      <c r="AC50" s="308"/>
      <c r="AD50" s="886"/>
      <c r="AE50" s="885"/>
      <c r="AF50" s="885"/>
      <c r="AG50" s="886"/>
      <c r="AH50" s="885"/>
      <c r="AI50" s="886"/>
      <c r="AJ50" s="885"/>
      <c r="AK50" s="887"/>
      <c r="AL50" s="304"/>
      <c r="AN50" s="696" cm="1">
        <f t="array" ref="AN50">K50</f>
        <v>2044</v>
      </c>
      <c r="AO50" s="696" t="s">
        <v>2357</v>
      </c>
      <c r="AP50" s="706" cm="1">
        <f t="array" ref="AP50">AP49</f>
        <v>0</v>
      </c>
      <c r="AQ50" s="507"/>
      <c r="AR50" s="507"/>
    </row>
    <row r="51" spans="2:44" s="72" customFormat="1" ht="14.65" hidden="1" customHeight="1" x14ac:dyDescent="0.15">
      <c r="B51" s="341" t="b">
        <f t="shared" si="0"/>
        <v>0</v>
      </c>
      <c r="E51" s="507">
        <v>15</v>
      </c>
      <c r="F51" s="3" cm="1">
        <f t="array" aca="1" ref="F51" ca="1">OFFSET(E51,-1,1)</f>
        <v>0</v>
      </c>
      <c r="G51" s="17" cm="1">
        <f t="array" ref="G51">G50</f>
        <v>0</v>
      </c>
      <c r="K51" s="72">
        <f>first_year+21</f>
        <v>2045</v>
      </c>
      <c r="T51" s="353" t="b" cm="1">
        <f t="array" aca="1" ref="T51" ca="1">T50</f>
        <v>0</v>
      </c>
      <c r="X51" s="990"/>
      <c r="Y51" s="990"/>
      <c r="Z51" s="967"/>
      <c r="AA51" s="1085"/>
      <c r="AB51" s="168" t="str">
        <f t="shared" si="1"/>
        <v>2045 год</v>
      </c>
      <c r="AC51" s="308"/>
      <c r="AD51" s="886"/>
      <c r="AE51" s="885"/>
      <c r="AF51" s="885"/>
      <c r="AG51" s="886"/>
      <c r="AH51" s="885"/>
      <c r="AI51" s="886"/>
      <c r="AJ51" s="885"/>
      <c r="AK51" s="887"/>
      <c r="AL51" s="304"/>
      <c r="AN51" s="696" cm="1">
        <f t="array" ref="AN51">K51</f>
        <v>2045</v>
      </c>
      <c r="AO51" s="696" t="s">
        <v>2357</v>
      </c>
      <c r="AP51" s="706" cm="1">
        <f t="array" ref="AP51">AP50</f>
        <v>0</v>
      </c>
      <c r="AQ51" s="507"/>
      <c r="AR51" s="507"/>
    </row>
    <row r="52" spans="2:44" s="72" customFormat="1" ht="14.65" hidden="1" customHeight="1" x14ac:dyDescent="0.15">
      <c r="B52" s="341" t="b">
        <f t="shared" si="0"/>
        <v>0</v>
      </c>
      <c r="E52" s="507">
        <v>15</v>
      </c>
      <c r="F52" s="3" cm="1">
        <f t="array" aca="1" ref="F52" ca="1">OFFSET(E52,-1,1)</f>
        <v>0</v>
      </c>
      <c r="G52" s="17" cm="1">
        <f t="array" ref="G52">G51</f>
        <v>0</v>
      </c>
      <c r="K52" s="72">
        <f>first_year+22</f>
        <v>2046</v>
      </c>
      <c r="T52" s="353" t="b" cm="1">
        <f t="array" aca="1" ref="T52" ca="1">T51</f>
        <v>0</v>
      </c>
      <c r="X52" s="990"/>
      <c r="Y52" s="990"/>
      <c r="Z52" s="967"/>
      <c r="AA52" s="1085"/>
      <c r="AB52" s="168" t="str">
        <f t="shared" si="1"/>
        <v>2046 год</v>
      </c>
      <c r="AC52" s="308"/>
      <c r="AD52" s="886"/>
      <c r="AE52" s="885"/>
      <c r="AF52" s="885"/>
      <c r="AG52" s="886"/>
      <c r="AH52" s="885"/>
      <c r="AI52" s="886"/>
      <c r="AJ52" s="885"/>
      <c r="AK52" s="887"/>
      <c r="AL52" s="304"/>
      <c r="AN52" s="696" cm="1">
        <f t="array" ref="AN52">K52</f>
        <v>2046</v>
      </c>
      <c r="AO52" s="696" t="s">
        <v>2357</v>
      </c>
      <c r="AP52" s="706" cm="1">
        <f t="array" ref="AP52">AP51</f>
        <v>0</v>
      </c>
      <c r="AQ52" s="507"/>
      <c r="AR52" s="507"/>
    </row>
    <row r="53" spans="2:44" s="72" customFormat="1" ht="14.65" hidden="1" customHeight="1" x14ac:dyDescent="0.15">
      <c r="B53" s="341" t="b">
        <f t="shared" si="0"/>
        <v>0</v>
      </c>
      <c r="E53" s="507">
        <v>15</v>
      </c>
      <c r="F53" s="3" cm="1">
        <f t="array" aca="1" ref="F53" ca="1">OFFSET(E53,-1,1)</f>
        <v>0</v>
      </c>
      <c r="G53" s="17" cm="1">
        <f t="array" ref="G53">G52</f>
        <v>0</v>
      </c>
      <c r="K53" s="72">
        <f>first_year+23</f>
        <v>2047</v>
      </c>
      <c r="T53" s="353" t="b" cm="1">
        <f t="array" aca="1" ref="T53" ca="1">T52</f>
        <v>0</v>
      </c>
      <c r="X53" s="990"/>
      <c r="Y53" s="990"/>
      <c r="Z53" s="967"/>
      <c r="AA53" s="1085"/>
      <c r="AB53" s="168" t="str">
        <f t="shared" si="1"/>
        <v>2047 год</v>
      </c>
      <c r="AC53" s="308"/>
      <c r="AD53" s="886"/>
      <c r="AE53" s="885"/>
      <c r="AF53" s="885"/>
      <c r="AG53" s="886"/>
      <c r="AH53" s="885"/>
      <c r="AI53" s="886"/>
      <c r="AJ53" s="885"/>
      <c r="AK53" s="887"/>
      <c r="AL53" s="304"/>
      <c r="AN53" s="696" cm="1">
        <f t="array" ref="AN53">K53</f>
        <v>2047</v>
      </c>
      <c r="AO53" s="696" t="s">
        <v>2357</v>
      </c>
      <c r="AP53" s="706" cm="1">
        <f t="array" ref="AP53">AP52</f>
        <v>0</v>
      </c>
      <c r="AQ53" s="507"/>
      <c r="AR53" s="507"/>
    </row>
    <row r="54" spans="2:44" s="72" customFormat="1" ht="14.65" hidden="1" customHeight="1" x14ac:dyDescent="0.15">
      <c r="B54" s="341" t="b">
        <f t="shared" si="0"/>
        <v>0</v>
      </c>
      <c r="E54" s="507">
        <v>15</v>
      </c>
      <c r="F54" s="3" cm="1">
        <f t="array" aca="1" ref="F54" ca="1">OFFSET(E54,-1,1)</f>
        <v>0</v>
      </c>
      <c r="G54" s="17" cm="1">
        <f t="array" ref="G54">G53</f>
        <v>0</v>
      </c>
      <c r="K54" s="72">
        <f>first_year+24</f>
        <v>2048</v>
      </c>
      <c r="T54" s="353" t="b" cm="1">
        <f t="array" aca="1" ref="T54" ca="1">T53</f>
        <v>0</v>
      </c>
      <c r="X54" s="990"/>
      <c r="Y54" s="990"/>
      <c r="Z54" s="967"/>
      <c r="AA54" s="1085"/>
      <c r="AB54" s="168" t="str">
        <f t="shared" si="1"/>
        <v>2048 год</v>
      </c>
      <c r="AC54" s="308"/>
      <c r="AD54" s="886"/>
      <c r="AE54" s="885"/>
      <c r="AF54" s="885"/>
      <c r="AG54" s="886"/>
      <c r="AH54" s="885"/>
      <c r="AI54" s="886"/>
      <c r="AJ54" s="885"/>
      <c r="AK54" s="887"/>
      <c r="AL54" s="304"/>
      <c r="AN54" s="696" cm="1">
        <f t="array" ref="AN54">K54</f>
        <v>2048</v>
      </c>
      <c r="AO54" s="696" t="s">
        <v>2357</v>
      </c>
      <c r="AP54" s="706" cm="1">
        <f t="array" ref="AP54">AP53</f>
        <v>0</v>
      </c>
      <c r="AQ54" s="507"/>
      <c r="AR54" s="507"/>
    </row>
    <row r="55" spans="2:44" s="72" customFormat="1" ht="14.65" hidden="1" customHeight="1" x14ac:dyDescent="0.15">
      <c r="B55" s="341" t="b">
        <f t="shared" si="0"/>
        <v>0</v>
      </c>
      <c r="E55" s="507">
        <v>15</v>
      </c>
      <c r="F55" s="3" cm="1">
        <f t="array" aca="1" ref="F55" ca="1">OFFSET(E55,-1,1)</f>
        <v>0</v>
      </c>
      <c r="G55" s="17" cm="1">
        <f t="array" ref="G55">G54</f>
        <v>0</v>
      </c>
      <c r="K55" s="72">
        <f>first_year+25</f>
        <v>2049</v>
      </c>
      <c r="T55" s="353" t="b" cm="1">
        <f t="array" aca="1" ref="T55" ca="1">T54</f>
        <v>0</v>
      </c>
      <c r="X55" s="990"/>
      <c r="Y55" s="990"/>
      <c r="Z55" s="967"/>
      <c r="AA55" s="1085"/>
      <c r="AB55" s="168" t="str">
        <f t="shared" si="1"/>
        <v>2049 год</v>
      </c>
      <c r="AC55" s="308"/>
      <c r="AD55" s="886"/>
      <c r="AE55" s="885"/>
      <c r="AF55" s="885"/>
      <c r="AG55" s="886"/>
      <c r="AH55" s="885"/>
      <c r="AI55" s="886"/>
      <c r="AJ55" s="885"/>
      <c r="AK55" s="887"/>
      <c r="AL55" s="304"/>
      <c r="AN55" s="696" cm="1">
        <f t="array" ref="AN55">K55</f>
        <v>2049</v>
      </c>
      <c r="AO55" s="696" t="s">
        <v>2357</v>
      </c>
      <c r="AP55" s="706" cm="1">
        <f t="array" ref="AP55">AP54</f>
        <v>0</v>
      </c>
      <c r="AQ55" s="507"/>
      <c r="AR55" s="507"/>
    </row>
    <row r="56" spans="2:44" s="72" customFormat="1" ht="14.65" hidden="1" customHeight="1" x14ac:dyDescent="0.15">
      <c r="B56" s="341" t="b">
        <f t="shared" si="0"/>
        <v>0</v>
      </c>
      <c r="E56" s="507">
        <v>15</v>
      </c>
      <c r="F56" s="3" cm="1">
        <f t="array" aca="1" ref="F56" ca="1">OFFSET(E56,-1,1)</f>
        <v>0</v>
      </c>
      <c r="G56" s="17" cm="1">
        <f t="array" ref="G56">G55</f>
        <v>0</v>
      </c>
      <c r="K56" s="72">
        <f>first_year+26</f>
        <v>2050</v>
      </c>
      <c r="T56" s="353" t="b" cm="1">
        <f t="array" aca="1" ref="T56" ca="1">T55</f>
        <v>0</v>
      </c>
      <c r="X56" s="990"/>
      <c r="Y56" s="990"/>
      <c r="Z56" s="967"/>
      <c r="AA56" s="1085"/>
      <c r="AB56" s="168" t="str">
        <f t="shared" si="1"/>
        <v>2050 год</v>
      </c>
      <c r="AC56" s="308"/>
      <c r="AD56" s="886"/>
      <c r="AE56" s="885"/>
      <c r="AF56" s="885"/>
      <c r="AG56" s="886"/>
      <c r="AH56" s="885"/>
      <c r="AI56" s="886"/>
      <c r="AJ56" s="885"/>
      <c r="AK56" s="887"/>
      <c r="AL56" s="304"/>
      <c r="AN56" s="696" cm="1">
        <f t="array" ref="AN56">K56</f>
        <v>2050</v>
      </c>
      <c r="AO56" s="696" t="s">
        <v>2357</v>
      </c>
      <c r="AP56" s="706" cm="1">
        <f t="array" ref="AP56">AP55</f>
        <v>0</v>
      </c>
      <c r="AQ56" s="507"/>
      <c r="AR56" s="507"/>
    </row>
    <row r="57" spans="2:44" s="72" customFormat="1" ht="14.65" hidden="1" customHeight="1" x14ac:dyDescent="0.15">
      <c r="B57" s="341" t="b">
        <f t="shared" si="0"/>
        <v>0</v>
      </c>
      <c r="E57" s="507">
        <v>15</v>
      </c>
      <c r="F57" s="3" cm="1">
        <f t="array" aca="1" ref="F57" ca="1">OFFSET(E57,-1,1)</f>
        <v>0</v>
      </c>
      <c r="G57" s="17" cm="1">
        <f t="array" ref="G57">G56</f>
        <v>0</v>
      </c>
      <c r="K57" s="72">
        <f>first_year+27</f>
        <v>2051</v>
      </c>
      <c r="T57" s="353" t="b" cm="1">
        <f t="array" aca="1" ref="T57" ca="1">T56</f>
        <v>0</v>
      </c>
      <c r="X57" s="990"/>
      <c r="Y57" s="990"/>
      <c r="Z57" s="967"/>
      <c r="AA57" s="1085"/>
      <c r="AB57" s="168" t="str">
        <f t="shared" si="1"/>
        <v>2051 год</v>
      </c>
      <c r="AC57" s="308"/>
      <c r="AD57" s="886"/>
      <c r="AE57" s="885"/>
      <c r="AF57" s="885"/>
      <c r="AG57" s="886"/>
      <c r="AH57" s="885"/>
      <c r="AI57" s="886"/>
      <c r="AJ57" s="885"/>
      <c r="AK57" s="887"/>
      <c r="AL57" s="304"/>
      <c r="AN57" s="696" cm="1">
        <f t="array" ref="AN57">K57</f>
        <v>2051</v>
      </c>
      <c r="AO57" s="696" t="s">
        <v>2357</v>
      </c>
      <c r="AP57" s="706" cm="1">
        <f t="array" ref="AP57">AP56</f>
        <v>0</v>
      </c>
      <c r="AQ57" s="507"/>
      <c r="AR57" s="507"/>
    </row>
    <row r="58" spans="2:44" s="72" customFormat="1" ht="14.65" hidden="1" customHeight="1" x14ac:dyDescent="0.15">
      <c r="B58" s="341" t="b">
        <f t="shared" si="0"/>
        <v>0</v>
      </c>
      <c r="E58" s="507">
        <v>15</v>
      </c>
      <c r="F58" s="3" cm="1">
        <f t="array" aca="1" ref="F58" ca="1">OFFSET(E58,-1,1)</f>
        <v>0</v>
      </c>
      <c r="G58" s="17" cm="1">
        <f t="array" ref="G58">G57</f>
        <v>0</v>
      </c>
      <c r="K58" s="72">
        <f>first_year+28</f>
        <v>2052</v>
      </c>
      <c r="T58" s="353" t="b" cm="1">
        <f t="array" aca="1" ref="T58" ca="1">T57</f>
        <v>0</v>
      </c>
      <c r="X58" s="990"/>
      <c r="Y58" s="990"/>
      <c r="Z58" s="967"/>
      <c r="AA58" s="1085"/>
      <c r="AB58" s="168" t="str">
        <f t="shared" si="1"/>
        <v>2052 год</v>
      </c>
      <c r="AC58" s="308"/>
      <c r="AD58" s="886"/>
      <c r="AE58" s="885"/>
      <c r="AF58" s="885"/>
      <c r="AG58" s="886"/>
      <c r="AH58" s="885"/>
      <c r="AI58" s="886"/>
      <c r="AJ58" s="885"/>
      <c r="AK58" s="887"/>
      <c r="AL58" s="304"/>
      <c r="AN58" s="696" cm="1">
        <f t="array" ref="AN58">K58</f>
        <v>2052</v>
      </c>
      <c r="AO58" s="696" t="s">
        <v>2357</v>
      </c>
      <c r="AP58" s="706" cm="1">
        <f t="array" ref="AP58">AP57</f>
        <v>0</v>
      </c>
      <c r="AQ58" s="507"/>
      <c r="AR58" s="507"/>
    </row>
    <row r="59" spans="2:44" s="72" customFormat="1" ht="14.65" hidden="1" customHeight="1" x14ac:dyDescent="0.15">
      <c r="B59" s="341" t="b">
        <f t="shared" si="0"/>
        <v>0</v>
      </c>
      <c r="E59" s="507">
        <v>15</v>
      </c>
      <c r="F59" s="3" cm="1">
        <f t="array" aca="1" ref="F59" ca="1">OFFSET(E59,-1,1)</f>
        <v>0</v>
      </c>
      <c r="G59" s="17" cm="1">
        <f t="array" ref="G59">G58</f>
        <v>0</v>
      </c>
      <c r="K59" s="72">
        <f>first_year+29</f>
        <v>2053</v>
      </c>
      <c r="T59" s="353" t="b" cm="1">
        <f t="array" aca="1" ref="T59" ca="1">T58</f>
        <v>0</v>
      </c>
      <c r="X59" s="990"/>
      <c r="Y59" s="990"/>
      <c r="Z59" s="967"/>
      <c r="AA59" s="1085"/>
      <c r="AB59" s="168" t="str">
        <f t="shared" si="1"/>
        <v>2053 год</v>
      </c>
      <c r="AC59" s="308"/>
      <c r="AD59" s="886"/>
      <c r="AE59" s="885"/>
      <c r="AF59" s="885"/>
      <c r="AG59" s="886"/>
      <c r="AH59" s="885"/>
      <c r="AI59" s="886"/>
      <c r="AJ59" s="885"/>
      <c r="AK59" s="887"/>
      <c r="AL59" s="304"/>
      <c r="AN59" s="696" cm="1">
        <f t="array" ref="AN59">K59</f>
        <v>2053</v>
      </c>
      <c r="AO59" s="696" t="s">
        <v>2357</v>
      </c>
      <c r="AP59" s="706" cm="1">
        <f t="array" ref="AP59">AP58</f>
        <v>0</v>
      </c>
      <c r="AQ59" s="507"/>
      <c r="AR59" s="507"/>
    </row>
    <row r="60" spans="2:44" s="72" customFormat="1" ht="14.65" hidden="1" customHeight="1" x14ac:dyDescent="0.15">
      <c r="B60" s="341" t="b">
        <f t="shared" si="0"/>
        <v>0</v>
      </c>
      <c r="E60" s="507">
        <v>15</v>
      </c>
      <c r="F60" s="3" cm="1">
        <f t="array" aca="1" ref="F60" ca="1">OFFSET(E60,-1,1)</f>
        <v>0</v>
      </c>
      <c r="G60" s="17" cm="1">
        <f t="array" ref="G60">G59</f>
        <v>0</v>
      </c>
      <c r="K60" s="72">
        <f>first_year+30</f>
        <v>2054</v>
      </c>
      <c r="T60" s="353" t="b" cm="1">
        <f t="array" aca="1" ref="T60" ca="1">T59</f>
        <v>0</v>
      </c>
      <c r="X60" s="990"/>
      <c r="Y60" s="990"/>
      <c r="Z60" s="967"/>
      <c r="AA60" s="1085"/>
      <c r="AB60" s="168" t="str">
        <f t="shared" si="1"/>
        <v>2054 год</v>
      </c>
      <c r="AC60" s="308"/>
      <c r="AD60" s="886"/>
      <c r="AE60" s="885"/>
      <c r="AF60" s="885"/>
      <c r="AG60" s="886"/>
      <c r="AH60" s="885"/>
      <c r="AI60" s="886"/>
      <c r="AJ60" s="885"/>
      <c r="AK60" s="887"/>
      <c r="AL60" s="304"/>
      <c r="AN60" s="696" cm="1">
        <f t="array" ref="AN60">K60</f>
        <v>2054</v>
      </c>
      <c r="AO60" s="696" t="s">
        <v>2357</v>
      </c>
      <c r="AP60" s="706" cm="1">
        <f t="array" ref="AP60">AP59</f>
        <v>0</v>
      </c>
      <c r="AQ60" s="507"/>
      <c r="AR60" s="507"/>
    </row>
    <row r="61" spans="2:44" s="72" customFormat="1" ht="14.65" hidden="1" customHeight="1" x14ac:dyDescent="0.15">
      <c r="B61" s="341" t="b">
        <f t="shared" si="0"/>
        <v>0</v>
      </c>
      <c r="E61" s="507">
        <v>15</v>
      </c>
      <c r="F61" s="3" cm="1">
        <f t="array" aca="1" ref="F61" ca="1">OFFSET(E61,-1,1)</f>
        <v>0</v>
      </c>
      <c r="G61" s="17" cm="1">
        <f t="array" ref="G61">G60</f>
        <v>0</v>
      </c>
      <c r="K61" s="72">
        <f>first_year+31</f>
        <v>2055</v>
      </c>
      <c r="T61" s="353" t="b" cm="1">
        <f t="array" aca="1" ref="T61" ca="1">T60</f>
        <v>0</v>
      </c>
      <c r="X61" s="990"/>
      <c r="Y61" s="990"/>
      <c r="Z61" s="967"/>
      <c r="AA61" s="1085"/>
      <c r="AB61" s="168" t="str">
        <f t="shared" si="1"/>
        <v>2055 год</v>
      </c>
      <c r="AC61" s="308"/>
      <c r="AD61" s="886"/>
      <c r="AE61" s="885"/>
      <c r="AF61" s="885"/>
      <c r="AG61" s="886"/>
      <c r="AH61" s="885"/>
      <c r="AI61" s="886"/>
      <c r="AJ61" s="885"/>
      <c r="AK61" s="887"/>
      <c r="AL61" s="304"/>
      <c r="AN61" s="696" cm="1">
        <f t="array" ref="AN61">K61</f>
        <v>2055</v>
      </c>
      <c r="AO61" s="696" t="s">
        <v>2357</v>
      </c>
      <c r="AP61" s="706" cm="1">
        <f t="array" ref="AP61">AP60</f>
        <v>0</v>
      </c>
      <c r="AQ61" s="507"/>
      <c r="AR61" s="507"/>
    </row>
    <row r="62" spans="2:44" s="72" customFormat="1" ht="14.65" hidden="1" customHeight="1" x14ac:dyDescent="0.15">
      <c r="B62" s="341" t="b">
        <f t="shared" ref="B62:B79" si="2">K62&lt;first_year+PERIOD_LENGTH</f>
        <v>0</v>
      </c>
      <c r="E62" s="507">
        <v>15</v>
      </c>
      <c r="F62" s="3" cm="1">
        <f t="array" aca="1" ref="F62" ca="1">OFFSET(E62,-1,1)</f>
        <v>0</v>
      </c>
      <c r="G62" s="17" cm="1">
        <f t="array" ref="G62">G61</f>
        <v>0</v>
      </c>
      <c r="K62" s="72">
        <f>first_year+32</f>
        <v>2056</v>
      </c>
      <c r="T62" s="353" t="b" cm="1">
        <f t="array" aca="1" ref="T62" ca="1">T61</f>
        <v>0</v>
      </c>
      <c r="X62" s="990"/>
      <c r="Y62" s="990"/>
      <c r="Z62" s="967"/>
      <c r="AA62" s="1085"/>
      <c r="AB62" s="168" t="str">
        <f t="shared" ref="AB62:AB79" si="3">K62&amp;" год"</f>
        <v>2056 год</v>
      </c>
      <c r="AC62" s="308"/>
      <c r="AD62" s="886"/>
      <c r="AE62" s="885"/>
      <c r="AF62" s="885"/>
      <c r="AG62" s="886"/>
      <c r="AH62" s="885"/>
      <c r="AI62" s="886"/>
      <c r="AJ62" s="885"/>
      <c r="AK62" s="887"/>
      <c r="AL62" s="304"/>
      <c r="AN62" s="696" cm="1">
        <f t="array" ref="AN62">K62</f>
        <v>2056</v>
      </c>
      <c r="AO62" s="696" t="s">
        <v>2357</v>
      </c>
      <c r="AP62" s="706" cm="1">
        <f t="array" ref="AP62">AP61</f>
        <v>0</v>
      </c>
      <c r="AQ62" s="507"/>
      <c r="AR62" s="507"/>
    </row>
    <row r="63" spans="2:44" s="72" customFormat="1" ht="14.65" hidden="1" customHeight="1" x14ac:dyDescent="0.15">
      <c r="B63" s="341" t="b">
        <f t="shared" si="2"/>
        <v>0</v>
      </c>
      <c r="E63" s="507">
        <v>15</v>
      </c>
      <c r="F63" s="3" cm="1">
        <f t="array" aca="1" ref="F63" ca="1">OFFSET(E63,-1,1)</f>
        <v>0</v>
      </c>
      <c r="G63" s="17" cm="1">
        <f t="array" ref="G63">G62</f>
        <v>0</v>
      </c>
      <c r="K63" s="72">
        <f>first_year+33</f>
        <v>2057</v>
      </c>
      <c r="T63" s="353" t="b" cm="1">
        <f t="array" aca="1" ref="T63" ca="1">T62</f>
        <v>0</v>
      </c>
      <c r="X63" s="990"/>
      <c r="Y63" s="990"/>
      <c r="Z63" s="967"/>
      <c r="AA63" s="1085"/>
      <c r="AB63" s="168" t="str">
        <f t="shared" si="3"/>
        <v>2057 год</v>
      </c>
      <c r="AC63" s="308"/>
      <c r="AD63" s="886"/>
      <c r="AE63" s="885"/>
      <c r="AF63" s="885"/>
      <c r="AG63" s="886"/>
      <c r="AH63" s="885"/>
      <c r="AI63" s="886"/>
      <c r="AJ63" s="885"/>
      <c r="AK63" s="887"/>
      <c r="AL63" s="304"/>
      <c r="AN63" s="696" cm="1">
        <f t="array" ref="AN63">K63</f>
        <v>2057</v>
      </c>
      <c r="AO63" s="696" t="s">
        <v>2357</v>
      </c>
      <c r="AP63" s="706" cm="1">
        <f t="array" ref="AP63">AP62</f>
        <v>0</v>
      </c>
      <c r="AQ63" s="507"/>
      <c r="AR63" s="507"/>
    </row>
    <row r="64" spans="2:44" s="72" customFormat="1" ht="14.65" hidden="1" customHeight="1" x14ac:dyDescent="0.15">
      <c r="B64" s="341" t="b">
        <f t="shared" si="2"/>
        <v>0</v>
      </c>
      <c r="E64" s="507">
        <v>15</v>
      </c>
      <c r="F64" s="3" cm="1">
        <f t="array" aca="1" ref="F64" ca="1">OFFSET(E64,-1,1)</f>
        <v>0</v>
      </c>
      <c r="G64" s="17" cm="1">
        <f t="array" ref="G64">G63</f>
        <v>0</v>
      </c>
      <c r="K64" s="72">
        <f>first_year+34</f>
        <v>2058</v>
      </c>
      <c r="T64" s="353" t="b" cm="1">
        <f t="array" aca="1" ref="T64" ca="1">T63</f>
        <v>0</v>
      </c>
      <c r="X64" s="990"/>
      <c r="Y64" s="990"/>
      <c r="Z64" s="967"/>
      <c r="AA64" s="1085"/>
      <c r="AB64" s="168" t="str">
        <f t="shared" si="3"/>
        <v>2058 год</v>
      </c>
      <c r="AC64" s="308"/>
      <c r="AD64" s="886"/>
      <c r="AE64" s="885"/>
      <c r="AF64" s="885"/>
      <c r="AG64" s="886"/>
      <c r="AH64" s="885"/>
      <c r="AI64" s="886"/>
      <c r="AJ64" s="885"/>
      <c r="AK64" s="887"/>
      <c r="AL64" s="304"/>
      <c r="AN64" s="696" cm="1">
        <f t="array" ref="AN64">K64</f>
        <v>2058</v>
      </c>
      <c r="AO64" s="696" t="s">
        <v>2357</v>
      </c>
      <c r="AP64" s="706" cm="1">
        <f t="array" ref="AP64">AP63</f>
        <v>0</v>
      </c>
      <c r="AQ64" s="507"/>
      <c r="AR64" s="507"/>
    </row>
    <row r="65" spans="1:44" s="72" customFormat="1" ht="14.65" hidden="1" customHeight="1" x14ac:dyDescent="0.15">
      <c r="B65" s="341" t="b">
        <f t="shared" si="2"/>
        <v>0</v>
      </c>
      <c r="E65" s="507">
        <v>15</v>
      </c>
      <c r="F65" s="3" cm="1">
        <f t="array" aca="1" ref="F65" ca="1">OFFSET(E65,-1,1)</f>
        <v>0</v>
      </c>
      <c r="G65" s="17" cm="1">
        <f t="array" ref="G65">G64</f>
        <v>0</v>
      </c>
      <c r="K65" s="72">
        <f>first_year+35</f>
        <v>2059</v>
      </c>
      <c r="T65" s="353" t="b" cm="1">
        <f t="array" aca="1" ref="T65" ca="1">T64</f>
        <v>0</v>
      </c>
      <c r="X65" s="990"/>
      <c r="Y65" s="990"/>
      <c r="Z65" s="967"/>
      <c r="AA65" s="1085"/>
      <c r="AB65" s="168" t="str">
        <f t="shared" si="3"/>
        <v>2059 год</v>
      </c>
      <c r="AC65" s="308"/>
      <c r="AD65" s="886"/>
      <c r="AE65" s="885"/>
      <c r="AF65" s="885"/>
      <c r="AG65" s="886"/>
      <c r="AH65" s="885"/>
      <c r="AI65" s="886"/>
      <c r="AJ65" s="885"/>
      <c r="AK65" s="887"/>
      <c r="AL65" s="304"/>
      <c r="AN65" s="696" cm="1">
        <f t="array" ref="AN65">K65</f>
        <v>2059</v>
      </c>
      <c r="AO65" s="696" t="s">
        <v>2357</v>
      </c>
      <c r="AP65" s="706" cm="1">
        <f t="array" ref="AP65">AP64</f>
        <v>0</v>
      </c>
      <c r="AQ65" s="507"/>
      <c r="AR65" s="507"/>
    </row>
    <row r="66" spans="1:44" s="72" customFormat="1" ht="14.65" hidden="1" customHeight="1" x14ac:dyDescent="0.15">
      <c r="B66" s="341" t="b">
        <f t="shared" si="2"/>
        <v>0</v>
      </c>
      <c r="E66" s="507">
        <v>15</v>
      </c>
      <c r="F66" s="3" cm="1">
        <f t="array" aca="1" ref="F66" ca="1">OFFSET(E66,-1,1)</f>
        <v>0</v>
      </c>
      <c r="G66" s="17" cm="1">
        <f t="array" ref="G66">G65</f>
        <v>0</v>
      </c>
      <c r="K66" s="72">
        <f>first_year+36</f>
        <v>2060</v>
      </c>
      <c r="T66" s="353" t="b" cm="1">
        <f t="array" aca="1" ref="T66" ca="1">T65</f>
        <v>0</v>
      </c>
      <c r="X66" s="990"/>
      <c r="Y66" s="990"/>
      <c r="Z66" s="967"/>
      <c r="AA66" s="1085"/>
      <c r="AB66" s="168" t="str">
        <f t="shared" si="3"/>
        <v>2060 год</v>
      </c>
      <c r="AC66" s="308"/>
      <c r="AD66" s="886"/>
      <c r="AE66" s="885"/>
      <c r="AF66" s="885"/>
      <c r="AG66" s="886"/>
      <c r="AH66" s="885"/>
      <c r="AI66" s="886"/>
      <c r="AJ66" s="885"/>
      <c r="AK66" s="887"/>
      <c r="AL66" s="304"/>
      <c r="AN66" s="696" cm="1">
        <f t="array" ref="AN66">K66</f>
        <v>2060</v>
      </c>
      <c r="AO66" s="696" t="s">
        <v>2357</v>
      </c>
      <c r="AP66" s="706" cm="1">
        <f t="array" ref="AP66">AP65</f>
        <v>0</v>
      </c>
      <c r="AQ66" s="507"/>
      <c r="AR66" s="507"/>
    </row>
    <row r="67" spans="1:44" s="72" customFormat="1" ht="14.65" hidden="1" customHeight="1" x14ac:dyDescent="0.15">
      <c r="B67" s="341" t="b">
        <f t="shared" si="2"/>
        <v>0</v>
      </c>
      <c r="E67" s="507">
        <v>15</v>
      </c>
      <c r="F67" s="3" cm="1">
        <f t="array" aca="1" ref="F67" ca="1">OFFSET(E67,-1,1)</f>
        <v>0</v>
      </c>
      <c r="G67" s="17" cm="1">
        <f t="array" ref="G67">G66</f>
        <v>0</v>
      </c>
      <c r="K67" s="72">
        <f>first_year+37</f>
        <v>2061</v>
      </c>
      <c r="T67" s="353" t="b" cm="1">
        <f t="array" aca="1" ref="T67" ca="1">T66</f>
        <v>0</v>
      </c>
      <c r="X67" s="990"/>
      <c r="Y67" s="990"/>
      <c r="Z67" s="967"/>
      <c r="AA67" s="1085"/>
      <c r="AB67" s="168" t="str">
        <f t="shared" si="3"/>
        <v>2061 год</v>
      </c>
      <c r="AC67" s="308"/>
      <c r="AD67" s="886"/>
      <c r="AE67" s="885"/>
      <c r="AF67" s="885"/>
      <c r="AG67" s="886"/>
      <c r="AH67" s="885"/>
      <c r="AI67" s="886"/>
      <c r="AJ67" s="885"/>
      <c r="AK67" s="887"/>
      <c r="AL67" s="304"/>
      <c r="AN67" s="696" cm="1">
        <f t="array" ref="AN67">K67</f>
        <v>2061</v>
      </c>
      <c r="AO67" s="696" t="s">
        <v>2357</v>
      </c>
      <c r="AP67" s="706" cm="1">
        <f t="array" ref="AP67">AP66</f>
        <v>0</v>
      </c>
      <c r="AQ67" s="507"/>
      <c r="AR67" s="507"/>
    </row>
    <row r="68" spans="1:44" s="72" customFormat="1" ht="14.65" hidden="1" customHeight="1" x14ac:dyDescent="0.15">
      <c r="B68" s="341" t="b">
        <f t="shared" si="2"/>
        <v>0</v>
      </c>
      <c r="E68" s="507">
        <v>15</v>
      </c>
      <c r="F68" s="3" cm="1">
        <f t="array" aca="1" ref="F68" ca="1">OFFSET(E68,-1,1)</f>
        <v>0</v>
      </c>
      <c r="G68" s="17" cm="1">
        <f t="array" ref="G68">G67</f>
        <v>0</v>
      </c>
      <c r="K68" s="72">
        <f>first_year+38</f>
        <v>2062</v>
      </c>
      <c r="T68" s="353" t="b" cm="1">
        <f t="array" aca="1" ref="T68" ca="1">T67</f>
        <v>0</v>
      </c>
      <c r="X68" s="990"/>
      <c r="Y68" s="990"/>
      <c r="Z68" s="967"/>
      <c r="AA68" s="1085"/>
      <c r="AB68" s="168" t="str">
        <f t="shared" si="3"/>
        <v>2062 год</v>
      </c>
      <c r="AC68" s="308"/>
      <c r="AD68" s="886"/>
      <c r="AE68" s="885"/>
      <c r="AF68" s="885"/>
      <c r="AG68" s="886"/>
      <c r="AH68" s="885"/>
      <c r="AI68" s="886"/>
      <c r="AJ68" s="885"/>
      <c r="AK68" s="887"/>
      <c r="AL68" s="304"/>
      <c r="AN68" s="696" cm="1">
        <f t="array" ref="AN68">K68</f>
        <v>2062</v>
      </c>
      <c r="AO68" s="696" t="s">
        <v>2357</v>
      </c>
      <c r="AP68" s="706" cm="1">
        <f t="array" ref="AP68">AP67</f>
        <v>0</v>
      </c>
      <c r="AQ68" s="507"/>
      <c r="AR68" s="507"/>
    </row>
    <row r="69" spans="1:44" s="72" customFormat="1" ht="14.65" hidden="1" customHeight="1" x14ac:dyDescent="0.15">
      <c r="B69" s="341" t="b">
        <f t="shared" si="2"/>
        <v>0</v>
      </c>
      <c r="E69" s="507">
        <v>15</v>
      </c>
      <c r="F69" s="3" cm="1">
        <f t="array" aca="1" ref="F69" ca="1">OFFSET(E69,-1,1)</f>
        <v>0</v>
      </c>
      <c r="G69" s="17" cm="1">
        <f t="array" ref="G69">G68</f>
        <v>0</v>
      </c>
      <c r="K69" s="72">
        <f>first_year+39</f>
        <v>2063</v>
      </c>
      <c r="T69" s="353" t="b" cm="1">
        <f t="array" aca="1" ref="T69" ca="1">T68</f>
        <v>0</v>
      </c>
      <c r="X69" s="990"/>
      <c r="Y69" s="990"/>
      <c r="Z69" s="967"/>
      <c r="AA69" s="1085"/>
      <c r="AB69" s="168" t="str">
        <f t="shared" si="3"/>
        <v>2063 год</v>
      </c>
      <c r="AC69" s="308"/>
      <c r="AD69" s="886"/>
      <c r="AE69" s="885"/>
      <c r="AF69" s="885"/>
      <c r="AG69" s="886"/>
      <c r="AH69" s="885"/>
      <c r="AI69" s="886"/>
      <c r="AJ69" s="885"/>
      <c r="AK69" s="887"/>
      <c r="AL69" s="304"/>
      <c r="AN69" s="696" cm="1">
        <f t="array" ref="AN69">K69</f>
        <v>2063</v>
      </c>
      <c r="AO69" s="696" t="s">
        <v>2357</v>
      </c>
      <c r="AP69" s="706" cm="1">
        <f t="array" ref="AP69">AP68</f>
        <v>0</v>
      </c>
      <c r="AQ69" s="507"/>
      <c r="AR69" s="507"/>
    </row>
    <row r="70" spans="1:44" s="72" customFormat="1" ht="14.65" hidden="1" customHeight="1" x14ac:dyDescent="0.15">
      <c r="B70" s="341" t="b">
        <f t="shared" si="2"/>
        <v>0</v>
      </c>
      <c r="E70" s="507">
        <v>15</v>
      </c>
      <c r="F70" s="3" cm="1">
        <f t="array" aca="1" ref="F70" ca="1">OFFSET(E70,-1,1)</f>
        <v>0</v>
      </c>
      <c r="G70" s="17" cm="1">
        <f t="array" ref="G70">G69</f>
        <v>0</v>
      </c>
      <c r="K70" s="72">
        <f>first_year+40</f>
        <v>2064</v>
      </c>
      <c r="T70" s="353" t="b" cm="1">
        <f t="array" aca="1" ref="T70" ca="1">T69</f>
        <v>0</v>
      </c>
      <c r="X70" s="990"/>
      <c r="Y70" s="990"/>
      <c r="Z70" s="967"/>
      <c r="AA70" s="1085"/>
      <c r="AB70" s="168" t="str">
        <f t="shared" si="3"/>
        <v>2064 год</v>
      </c>
      <c r="AC70" s="308"/>
      <c r="AD70" s="886"/>
      <c r="AE70" s="885"/>
      <c r="AF70" s="885"/>
      <c r="AG70" s="886"/>
      <c r="AH70" s="885"/>
      <c r="AI70" s="886"/>
      <c r="AJ70" s="885"/>
      <c r="AK70" s="887"/>
      <c r="AL70" s="304"/>
      <c r="AN70" s="696" cm="1">
        <f t="array" ref="AN70">K70</f>
        <v>2064</v>
      </c>
      <c r="AO70" s="696" t="s">
        <v>2357</v>
      </c>
      <c r="AP70" s="706" cm="1">
        <f t="array" ref="AP70">AP69</f>
        <v>0</v>
      </c>
      <c r="AQ70" s="507"/>
      <c r="AR70" s="507"/>
    </row>
    <row r="71" spans="1:44" s="72" customFormat="1" ht="14.65" hidden="1" customHeight="1" x14ac:dyDescent="0.15">
      <c r="B71" s="341" t="b">
        <f t="shared" si="2"/>
        <v>0</v>
      </c>
      <c r="E71" s="507">
        <v>15</v>
      </c>
      <c r="F71" s="3" cm="1">
        <f t="array" aca="1" ref="F71" ca="1">OFFSET(E71,-1,1)</f>
        <v>0</v>
      </c>
      <c r="G71" s="17" cm="1">
        <f t="array" ref="G71">G70</f>
        <v>0</v>
      </c>
      <c r="K71" s="72">
        <f>first_year+41</f>
        <v>2065</v>
      </c>
      <c r="T71" s="353" t="b" cm="1">
        <f t="array" aca="1" ref="T71" ca="1">T70</f>
        <v>0</v>
      </c>
      <c r="X71" s="990"/>
      <c r="Y71" s="990"/>
      <c r="Z71" s="967"/>
      <c r="AA71" s="1085"/>
      <c r="AB71" s="168" t="str">
        <f t="shared" si="3"/>
        <v>2065 год</v>
      </c>
      <c r="AC71" s="308"/>
      <c r="AD71" s="886"/>
      <c r="AE71" s="885"/>
      <c r="AF71" s="885"/>
      <c r="AG71" s="886"/>
      <c r="AH71" s="885"/>
      <c r="AI71" s="886"/>
      <c r="AJ71" s="885"/>
      <c r="AK71" s="887"/>
      <c r="AL71" s="304"/>
      <c r="AN71" s="696" cm="1">
        <f t="array" ref="AN71">K71</f>
        <v>2065</v>
      </c>
      <c r="AO71" s="696" t="s">
        <v>2357</v>
      </c>
      <c r="AP71" s="706" cm="1">
        <f t="array" ref="AP71">AP70</f>
        <v>0</v>
      </c>
      <c r="AQ71" s="507"/>
      <c r="AR71" s="507"/>
    </row>
    <row r="72" spans="1:44" s="72" customFormat="1" ht="14.65" hidden="1" customHeight="1" x14ac:dyDescent="0.15">
      <c r="B72" s="341" t="b">
        <f t="shared" si="2"/>
        <v>0</v>
      </c>
      <c r="E72" s="507">
        <v>15</v>
      </c>
      <c r="F72" s="3" cm="1">
        <f t="array" aca="1" ref="F72" ca="1">OFFSET(E72,-1,1)</f>
        <v>0</v>
      </c>
      <c r="G72" s="17" cm="1">
        <f t="array" ref="G72">G71</f>
        <v>0</v>
      </c>
      <c r="K72" s="72">
        <f>first_year+42</f>
        <v>2066</v>
      </c>
      <c r="T72" s="353" t="b" cm="1">
        <f t="array" aca="1" ref="T72" ca="1">T71</f>
        <v>0</v>
      </c>
      <c r="X72" s="990"/>
      <c r="Y72" s="990"/>
      <c r="Z72" s="967"/>
      <c r="AA72" s="1085"/>
      <c r="AB72" s="168" t="str">
        <f t="shared" si="3"/>
        <v>2066 год</v>
      </c>
      <c r="AC72" s="308"/>
      <c r="AD72" s="886"/>
      <c r="AE72" s="885"/>
      <c r="AF72" s="885"/>
      <c r="AG72" s="886"/>
      <c r="AH72" s="885"/>
      <c r="AI72" s="886"/>
      <c r="AJ72" s="885"/>
      <c r="AK72" s="887"/>
      <c r="AL72" s="304"/>
      <c r="AN72" s="696" cm="1">
        <f t="array" ref="AN72">K72</f>
        <v>2066</v>
      </c>
      <c r="AO72" s="696" t="s">
        <v>2357</v>
      </c>
      <c r="AP72" s="706" cm="1">
        <f t="array" ref="AP72">AP71</f>
        <v>0</v>
      </c>
      <c r="AQ72" s="507"/>
      <c r="AR72" s="507"/>
    </row>
    <row r="73" spans="1:44" s="72" customFormat="1" ht="14.65" hidden="1" customHeight="1" x14ac:dyDescent="0.15">
      <c r="B73" s="341" t="b">
        <f t="shared" si="2"/>
        <v>0</v>
      </c>
      <c r="E73" s="507">
        <v>15</v>
      </c>
      <c r="F73" s="3" cm="1">
        <f t="array" aca="1" ref="F73" ca="1">OFFSET(E73,-1,1)</f>
        <v>0</v>
      </c>
      <c r="G73" s="17" cm="1">
        <f t="array" ref="G73">G72</f>
        <v>0</v>
      </c>
      <c r="K73" s="72">
        <f>first_year+43</f>
        <v>2067</v>
      </c>
      <c r="T73" s="353" t="b" cm="1">
        <f t="array" aca="1" ref="T73" ca="1">T72</f>
        <v>0</v>
      </c>
      <c r="X73" s="990"/>
      <c r="Y73" s="990"/>
      <c r="Z73" s="967"/>
      <c r="AA73" s="1085"/>
      <c r="AB73" s="168" t="str">
        <f t="shared" si="3"/>
        <v>2067 год</v>
      </c>
      <c r="AC73" s="308"/>
      <c r="AD73" s="886"/>
      <c r="AE73" s="885"/>
      <c r="AF73" s="885"/>
      <c r="AG73" s="886"/>
      <c r="AH73" s="885"/>
      <c r="AI73" s="886"/>
      <c r="AJ73" s="885"/>
      <c r="AK73" s="887"/>
      <c r="AL73" s="304"/>
      <c r="AN73" s="696" cm="1">
        <f t="array" ref="AN73">K73</f>
        <v>2067</v>
      </c>
      <c r="AO73" s="696" t="s">
        <v>2357</v>
      </c>
      <c r="AP73" s="706" cm="1">
        <f t="array" ref="AP73">AP72</f>
        <v>0</v>
      </c>
      <c r="AQ73" s="507"/>
      <c r="AR73" s="507"/>
    </row>
    <row r="74" spans="1:44" s="72" customFormat="1" ht="14.65" hidden="1" customHeight="1" x14ac:dyDescent="0.15">
      <c r="B74" s="341" t="b">
        <f t="shared" si="2"/>
        <v>0</v>
      </c>
      <c r="E74" s="507">
        <v>15</v>
      </c>
      <c r="F74" s="3" cm="1">
        <f t="array" aca="1" ref="F74" ca="1">OFFSET(E74,-1,1)</f>
        <v>0</v>
      </c>
      <c r="G74" s="17" cm="1">
        <f t="array" ref="G74">G73</f>
        <v>0</v>
      </c>
      <c r="K74" s="72">
        <f>first_year+44</f>
        <v>2068</v>
      </c>
      <c r="T74" s="353" t="b" cm="1">
        <f t="array" aca="1" ref="T74" ca="1">T73</f>
        <v>0</v>
      </c>
      <c r="X74" s="990"/>
      <c r="Y74" s="990"/>
      <c r="Z74" s="967"/>
      <c r="AA74" s="1085"/>
      <c r="AB74" s="168" t="str">
        <f t="shared" si="3"/>
        <v>2068 год</v>
      </c>
      <c r="AC74" s="308"/>
      <c r="AD74" s="886"/>
      <c r="AE74" s="885"/>
      <c r="AF74" s="885"/>
      <c r="AG74" s="886"/>
      <c r="AH74" s="885"/>
      <c r="AI74" s="886"/>
      <c r="AJ74" s="885"/>
      <c r="AK74" s="887"/>
      <c r="AL74" s="304"/>
      <c r="AN74" s="696" cm="1">
        <f t="array" ref="AN74">K74</f>
        <v>2068</v>
      </c>
      <c r="AO74" s="696" t="s">
        <v>2357</v>
      </c>
      <c r="AP74" s="706" cm="1">
        <f t="array" ref="AP74">AP73</f>
        <v>0</v>
      </c>
      <c r="AQ74" s="507"/>
      <c r="AR74" s="507"/>
    </row>
    <row r="75" spans="1:44" s="72" customFormat="1" ht="14.65" hidden="1" customHeight="1" x14ac:dyDescent="0.15">
      <c r="B75" s="341" t="b">
        <f t="shared" si="2"/>
        <v>0</v>
      </c>
      <c r="E75" s="507">
        <v>15</v>
      </c>
      <c r="F75" s="3" cm="1">
        <f t="array" aca="1" ref="F75" ca="1">OFFSET(E75,-1,1)</f>
        <v>0</v>
      </c>
      <c r="G75" s="17" cm="1">
        <f t="array" ref="G75">G74</f>
        <v>0</v>
      </c>
      <c r="K75" s="72">
        <f>first_year+45</f>
        <v>2069</v>
      </c>
      <c r="T75" s="353" t="b" cm="1">
        <f t="array" aca="1" ref="T75" ca="1">T74</f>
        <v>0</v>
      </c>
      <c r="X75" s="990"/>
      <c r="Y75" s="990"/>
      <c r="Z75" s="967"/>
      <c r="AA75" s="1085"/>
      <c r="AB75" s="168" t="str">
        <f t="shared" si="3"/>
        <v>2069 год</v>
      </c>
      <c r="AC75" s="308"/>
      <c r="AD75" s="886"/>
      <c r="AE75" s="885"/>
      <c r="AF75" s="885"/>
      <c r="AG75" s="886"/>
      <c r="AH75" s="885"/>
      <c r="AI75" s="886"/>
      <c r="AJ75" s="885"/>
      <c r="AK75" s="887"/>
      <c r="AL75" s="304"/>
      <c r="AN75" s="696" cm="1">
        <f t="array" ref="AN75">K75</f>
        <v>2069</v>
      </c>
      <c r="AO75" s="696" t="s">
        <v>2357</v>
      </c>
      <c r="AP75" s="706" cm="1">
        <f t="array" ref="AP75">AP74</f>
        <v>0</v>
      </c>
      <c r="AQ75" s="507"/>
      <c r="AR75" s="507"/>
    </row>
    <row r="76" spans="1:44" s="72" customFormat="1" ht="14.65" hidden="1" customHeight="1" x14ac:dyDescent="0.15">
      <c r="B76" s="341" t="b">
        <f t="shared" si="2"/>
        <v>0</v>
      </c>
      <c r="E76" s="507">
        <v>15</v>
      </c>
      <c r="F76" s="3" cm="1">
        <f t="array" aca="1" ref="F76" ca="1">OFFSET(E76,-1,1)</f>
        <v>0</v>
      </c>
      <c r="G76" s="17" cm="1">
        <f t="array" ref="G76">G75</f>
        <v>0</v>
      </c>
      <c r="K76" s="72">
        <f>first_year+46</f>
        <v>2070</v>
      </c>
      <c r="T76" s="353" t="b" cm="1">
        <f t="array" aca="1" ref="T76" ca="1">T75</f>
        <v>0</v>
      </c>
      <c r="X76" s="990"/>
      <c r="Y76" s="990"/>
      <c r="Z76" s="967"/>
      <c r="AA76" s="1085"/>
      <c r="AB76" s="168" t="str">
        <f t="shared" si="3"/>
        <v>2070 год</v>
      </c>
      <c r="AC76" s="308"/>
      <c r="AD76" s="886"/>
      <c r="AE76" s="885"/>
      <c r="AF76" s="885"/>
      <c r="AG76" s="886"/>
      <c r="AH76" s="885"/>
      <c r="AI76" s="886"/>
      <c r="AJ76" s="885"/>
      <c r="AK76" s="887"/>
      <c r="AL76" s="304"/>
      <c r="AN76" s="696" cm="1">
        <f t="array" ref="AN76">K76</f>
        <v>2070</v>
      </c>
      <c r="AO76" s="696" t="s">
        <v>2357</v>
      </c>
      <c r="AP76" s="706" cm="1">
        <f t="array" ref="AP76">AP75</f>
        <v>0</v>
      </c>
      <c r="AQ76" s="507"/>
      <c r="AR76" s="507"/>
    </row>
    <row r="77" spans="1:44" s="72" customFormat="1" ht="14.65" hidden="1" customHeight="1" x14ac:dyDescent="0.15">
      <c r="B77" s="341" t="b">
        <f t="shared" si="2"/>
        <v>0</v>
      </c>
      <c r="E77" s="507">
        <v>15</v>
      </c>
      <c r="F77" s="3" cm="1">
        <f t="array" aca="1" ref="F77" ca="1">OFFSET(E77,-1,1)</f>
        <v>0</v>
      </c>
      <c r="G77" s="17" cm="1">
        <f t="array" ref="G77">G76</f>
        <v>0</v>
      </c>
      <c r="K77" s="72">
        <f>first_year+47</f>
        <v>2071</v>
      </c>
      <c r="T77" s="353" t="b" cm="1">
        <f t="array" aca="1" ref="T77" ca="1">T76</f>
        <v>0</v>
      </c>
      <c r="X77" s="990"/>
      <c r="Y77" s="990"/>
      <c r="Z77" s="967"/>
      <c r="AA77" s="1085"/>
      <c r="AB77" s="168" t="str">
        <f t="shared" si="3"/>
        <v>2071 год</v>
      </c>
      <c r="AC77" s="308"/>
      <c r="AD77" s="886"/>
      <c r="AE77" s="885"/>
      <c r="AF77" s="885"/>
      <c r="AG77" s="886"/>
      <c r="AH77" s="885"/>
      <c r="AI77" s="886"/>
      <c r="AJ77" s="885"/>
      <c r="AK77" s="887"/>
      <c r="AL77" s="304"/>
      <c r="AN77" s="696" cm="1">
        <f t="array" ref="AN77">K77</f>
        <v>2071</v>
      </c>
      <c r="AO77" s="696" t="s">
        <v>2357</v>
      </c>
      <c r="AP77" s="706" cm="1">
        <f t="array" ref="AP77">AP76</f>
        <v>0</v>
      </c>
      <c r="AQ77" s="507"/>
      <c r="AR77" s="507"/>
    </row>
    <row r="78" spans="1:44" s="72" customFormat="1" ht="14.65" hidden="1" customHeight="1" x14ac:dyDescent="0.15">
      <c r="B78" s="341" t="b">
        <f t="shared" si="2"/>
        <v>0</v>
      </c>
      <c r="E78" s="507">
        <v>15</v>
      </c>
      <c r="F78" s="3" cm="1">
        <f t="array" aca="1" ref="F78" ca="1">OFFSET(E78,-1,1)</f>
        <v>0</v>
      </c>
      <c r="G78" s="17" cm="1">
        <f t="array" ref="G78">G77</f>
        <v>0</v>
      </c>
      <c r="K78" s="72">
        <f>first_year+48</f>
        <v>2072</v>
      </c>
      <c r="T78" s="353" t="b" cm="1">
        <f t="array" aca="1" ref="T78" ca="1">T77</f>
        <v>0</v>
      </c>
      <c r="X78" s="990"/>
      <c r="Y78" s="990"/>
      <c r="Z78" s="967"/>
      <c r="AA78" s="1085"/>
      <c r="AB78" s="168" t="str">
        <f t="shared" si="3"/>
        <v>2072 год</v>
      </c>
      <c r="AC78" s="308"/>
      <c r="AD78" s="886"/>
      <c r="AE78" s="885"/>
      <c r="AF78" s="885"/>
      <c r="AG78" s="886"/>
      <c r="AH78" s="885"/>
      <c r="AI78" s="886"/>
      <c r="AJ78" s="885"/>
      <c r="AK78" s="887"/>
      <c r="AL78" s="304"/>
      <c r="AN78" s="696" cm="1">
        <f t="array" ref="AN78">K78</f>
        <v>2072</v>
      </c>
      <c r="AO78" s="696" t="s">
        <v>2357</v>
      </c>
      <c r="AP78" s="706" cm="1">
        <f t="array" ref="AP78">AP77</f>
        <v>0</v>
      </c>
      <c r="AQ78" s="507"/>
      <c r="AR78" s="507"/>
    </row>
    <row r="79" spans="1:44" s="72" customFormat="1" ht="14.65" hidden="1" customHeight="1" x14ac:dyDescent="0.15">
      <c r="B79" s="341" t="b">
        <f t="shared" si="2"/>
        <v>0</v>
      </c>
      <c r="E79" s="507">
        <v>15</v>
      </c>
      <c r="F79" s="3" cm="1">
        <f t="array" aca="1" ref="F79" ca="1">OFFSET(E79,-1,1)</f>
        <v>0</v>
      </c>
      <c r="G79" s="17" cm="1">
        <f t="array" ref="G79">G78</f>
        <v>0</v>
      </c>
      <c r="K79" s="72">
        <f>first_year+49</f>
        <v>2073</v>
      </c>
      <c r="T79" s="353" t="b" cm="1">
        <f t="array" aca="1" ref="T79" ca="1">T78</f>
        <v>0</v>
      </c>
      <c r="X79" s="990"/>
      <c r="Y79" s="990"/>
      <c r="Z79" s="967"/>
      <c r="AA79" s="1085"/>
      <c r="AB79" s="168" t="str">
        <f t="shared" si="3"/>
        <v>2073 год</v>
      </c>
      <c r="AC79" s="308"/>
      <c r="AD79" s="886"/>
      <c r="AE79" s="885"/>
      <c r="AF79" s="885"/>
      <c r="AG79" s="886"/>
      <c r="AH79" s="885"/>
      <c r="AI79" s="886"/>
      <c r="AJ79" s="885"/>
      <c r="AK79" s="887"/>
      <c r="AL79" s="304"/>
      <c r="AN79" s="696" cm="1">
        <f t="array" ref="AN79">K79</f>
        <v>2073</v>
      </c>
      <c r="AO79" s="696" t="s">
        <v>2357</v>
      </c>
      <c r="AP79" s="706" cm="1">
        <f t="array" ref="AP79">AP78</f>
        <v>0</v>
      </c>
      <c r="AQ79" s="507"/>
      <c r="AR79" s="507"/>
    </row>
    <row r="80" spans="1:44" ht="14.65" hidden="1" customHeight="1" x14ac:dyDescent="0.15">
      <c r="A80" s="72"/>
      <c r="B80" s="329"/>
      <c r="C80" s="72"/>
      <c r="D80" s="72"/>
      <c r="E80" s="507">
        <v>15</v>
      </c>
      <c r="F80" s="765" cm="1">
        <f t="array" aca="1" ref="F80" ca="1">OFFSET(E80,-1,1)</f>
        <v>0</v>
      </c>
      <c r="G80" s="72" t="str">
        <f>"!== 'не определено'"</f>
        <v>!== 'не определено'</v>
      </c>
      <c r="H80" s="72"/>
      <c r="I80" s="72"/>
      <c r="J80" s="72"/>
      <c r="K80" s="72"/>
      <c r="L80" s="72"/>
      <c r="M80" s="72"/>
      <c r="N80" s="72"/>
      <c r="O80" s="72"/>
      <c r="P80" s="72"/>
      <c r="Q80" s="72"/>
      <c r="R80" s="72"/>
      <c r="S80" s="72"/>
      <c r="T80" s="353" t="b">
        <f ca="1">F80&gt;0</f>
        <v>0</v>
      </c>
      <c r="U80" s="72"/>
      <c r="V80" s="72"/>
      <c r="W80" s="506" t="s">
        <v>2358</v>
      </c>
      <c r="X80" s="990"/>
      <c r="Y80" s="72"/>
      <c r="Z80" s="967"/>
      <c r="AA80" s="72"/>
      <c r="AB80" s="623" t="s">
        <v>176</v>
      </c>
      <c r="AC80" s="212"/>
      <c r="AD80" s="212"/>
      <c r="AE80" s="212"/>
      <c r="AF80" s="212"/>
      <c r="AG80" s="212"/>
      <c r="AH80" s="212"/>
      <c r="AI80" s="212"/>
      <c r="AJ80" s="212"/>
      <c r="AK80" s="212"/>
      <c r="AL80" s="304"/>
      <c r="AM80"/>
      <c r="AN80" s="661"/>
      <c r="AO80" s="661"/>
      <c r="AP80" s="661"/>
      <c r="AQ80" s="663" t="s">
        <v>2357</v>
      </c>
      <c r="AR80" s="454"/>
    </row>
    <row r="81" spans="1:44" s="396" customFormat="1" ht="14.25" customHeight="1" x14ac:dyDescent="0.15">
      <c r="A81" s="38"/>
      <c r="B81" s="43"/>
      <c r="C81" s="38"/>
      <c r="D81" s="38"/>
      <c r="E81" s="448">
        <v>15</v>
      </c>
      <c r="F81" s="17" t="str" cm="1">
        <f t="array" ref="F81">X81</f>
        <v>1</v>
      </c>
      <c r="G81" s="38"/>
      <c r="H81" s="38"/>
      <c r="I81" s="38"/>
      <c r="J81" s="38"/>
      <c r="K81" s="38"/>
      <c r="L81" s="38"/>
      <c r="M81" s="38"/>
      <c r="N81" s="38"/>
      <c r="O81" s="38"/>
      <c r="P81" s="38"/>
      <c r="Q81" s="38"/>
      <c r="R81" s="38"/>
      <c r="S81" s="38"/>
      <c r="T81" s="353" t="b">
        <f>X81&gt;0</f>
        <v>1</v>
      </c>
      <c r="U81" s="38"/>
      <c r="V81" s="38" t="str" cm="1">
        <f t="array" ref="V81">ДПР!$AB$81</f>
        <v>Тариф 1 (Водоснабжение) - тариф на техническую воду</v>
      </c>
      <c r="W81" s="38"/>
      <c r="X81" s="990" t="s">
        <v>275</v>
      </c>
      <c r="Y81" s="38"/>
      <c r="Z81" s="967"/>
      <c r="AA81" s="38"/>
      <c r="AB81" s="280" t="str" cm="1">
        <f t="array" ref="AB81">ДПР!$AB$81</f>
        <v>Тариф 1 (Водоснабжение) - тариф на техническую воду</v>
      </c>
      <c r="AC81" s="156"/>
      <c r="AD81" s="156"/>
      <c r="AE81" s="156"/>
      <c r="AF81" s="156"/>
      <c r="AG81" s="156"/>
      <c r="AH81" s="156"/>
      <c r="AI81" s="156"/>
      <c r="AJ81" s="156"/>
      <c r="AK81" s="156"/>
      <c r="AL81" s="303"/>
      <c r="AM81" s="38"/>
      <c r="AN81" s="656"/>
      <c r="AO81" s="656"/>
      <c r="AP81" s="656"/>
      <c r="AQ81" s="448"/>
      <c r="AR81" s="448"/>
    </row>
    <row r="82" spans="1:44" s="396" customFormat="1" ht="14.25" hidden="1" customHeight="1" x14ac:dyDescent="0.15">
      <c r="A82" s="38"/>
      <c r="B82" s="43"/>
      <c r="C82" s="38"/>
      <c r="D82" s="38"/>
      <c r="E82" s="448">
        <v>15</v>
      </c>
      <c r="F82" s="3" t="str" cm="1">
        <f t="array" aca="1" ref="F82" ca="1">OFFSET(E82,-1,1)</f>
        <v>1</v>
      </c>
      <c r="G82" s="38" cm="1">
        <f t="array" ref="G82">AB82</f>
        <v>0</v>
      </c>
      <c r="H82" s="38"/>
      <c r="I82" s="38"/>
      <c r="J82" s="38"/>
      <c r="K82" s="38"/>
      <c r="L82" s="38"/>
      <c r="M82" s="38"/>
      <c r="N82" s="38"/>
      <c r="O82" s="38"/>
      <c r="P82" s="38"/>
      <c r="Q82" s="38"/>
      <c r="R82" s="38"/>
      <c r="S82" s="38"/>
      <c r="T82" s="353" t="b">
        <f ca="1">AND(F82&gt;0,Y82&gt;0)</f>
        <v>0</v>
      </c>
      <c r="U82" s="38"/>
      <c r="V82" s="38"/>
      <c r="W82" s="38" t="s">
        <v>172</v>
      </c>
      <c r="X82" s="990"/>
      <c r="Y82" s="990">
        <v>0</v>
      </c>
      <c r="Z82" s="967"/>
      <c r="AA82" s="1085" t="s">
        <v>173</v>
      </c>
      <c r="AB82" s="1086"/>
      <c r="AC82" s="1086"/>
      <c r="AD82" s="1086"/>
      <c r="AE82" s="1086"/>
      <c r="AF82" s="1086"/>
      <c r="AG82" s="1086"/>
      <c r="AH82" s="1086"/>
      <c r="AI82" s="1086"/>
      <c r="AJ82" s="1086"/>
      <c r="AK82" s="1087"/>
      <c r="AL82" s="303"/>
      <c r="AM82" s="38"/>
      <c r="AN82" s="656"/>
      <c r="AO82" s="696" t="s">
        <v>2357</v>
      </c>
      <c r="AP82" s="687" cm="1">
        <f t="array" ref="AP82">AB82</f>
        <v>0</v>
      </c>
      <c r="AQ82" s="448"/>
      <c r="AR82" s="448" t="b">
        <v>1</v>
      </c>
    </row>
    <row r="83" spans="1:44" s="880" customFormat="1" ht="14.25" hidden="1" customHeight="1" x14ac:dyDescent="0.15">
      <c r="A83" s="72"/>
      <c r="B83" s="341" t="b">
        <f t="shared" ref="B83:B114" si="4">K83&lt;first_year+PERIOD_LENGTH</f>
        <v>1</v>
      </c>
      <c r="C83" s="72"/>
      <c r="D83" s="72"/>
      <c r="E83" s="507">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3" t="b" cm="1">
        <f t="array" aca="1" ref="T83" ca="1">T82</f>
        <v>0</v>
      </c>
      <c r="U83" s="72"/>
      <c r="V83" s="72"/>
      <c r="W83" s="72"/>
      <c r="X83" s="990"/>
      <c r="Y83" s="990"/>
      <c r="Z83" s="967"/>
      <c r="AA83" s="1085"/>
      <c r="AB83" s="211" t="str">
        <f t="shared" ref="AB83:AB114" si="5">K83&amp;" год"</f>
        <v>2024 год</v>
      </c>
      <c r="AC83" s="885"/>
      <c r="AD83" s="886"/>
      <c r="AE83" s="885"/>
      <c r="AF83" s="885"/>
      <c r="AG83" s="886"/>
      <c r="AH83" s="885"/>
      <c r="AI83" s="886"/>
      <c r="AJ83" s="885"/>
      <c r="AK83" s="887"/>
      <c r="AL83" s="304"/>
      <c r="AM83" s="72"/>
      <c r="AN83" s="696" cm="1">
        <f t="array" ref="AN83">K83</f>
        <v>2024</v>
      </c>
      <c r="AO83" s="696" t="s">
        <v>2357</v>
      </c>
      <c r="AP83" s="706" cm="1">
        <f t="array" ref="AP83">AP82</f>
        <v>0</v>
      </c>
      <c r="AQ83" s="507"/>
      <c r="AR83" s="507"/>
    </row>
    <row r="84" spans="1:44" s="880" customFormat="1" ht="14.25" hidden="1" customHeight="1" x14ac:dyDescent="0.15">
      <c r="A84" s="72"/>
      <c r="B84" s="341" t="b">
        <f t="shared" si="4"/>
        <v>1</v>
      </c>
      <c r="C84" s="72"/>
      <c r="D84" s="72"/>
      <c r="E84" s="507">
        <v>15</v>
      </c>
      <c r="F84" s="3" t="str" cm="1">
        <f t="array" aca="1" ref="F84" ca="1">OFFSET(E84,-1,1)</f>
        <v>1</v>
      </c>
      <c r="G84" s="17" cm="1">
        <f t="array" ref="G84">G83</f>
        <v>0</v>
      </c>
      <c r="H84" s="72"/>
      <c r="I84" s="72"/>
      <c r="J84" s="72"/>
      <c r="K84" s="72">
        <f>first_year+1</f>
        <v>2025</v>
      </c>
      <c r="L84" s="72"/>
      <c r="M84" s="72"/>
      <c r="N84" s="72"/>
      <c r="O84" s="72"/>
      <c r="P84" s="72"/>
      <c r="Q84" s="72"/>
      <c r="R84" s="72"/>
      <c r="S84" s="72"/>
      <c r="T84" s="353" t="b" cm="1">
        <f t="array" aca="1" ref="T84" ca="1">T83</f>
        <v>0</v>
      </c>
      <c r="U84" s="72"/>
      <c r="V84" s="72"/>
      <c r="W84" s="72"/>
      <c r="X84" s="990"/>
      <c r="Y84" s="990"/>
      <c r="Z84" s="967"/>
      <c r="AA84" s="1085"/>
      <c r="AB84" s="168" t="str">
        <f t="shared" si="5"/>
        <v>2025 год</v>
      </c>
      <c r="AC84" s="308"/>
      <c r="AD84" s="886"/>
      <c r="AE84" s="885"/>
      <c r="AF84" s="885"/>
      <c r="AG84" s="886"/>
      <c r="AH84" s="885"/>
      <c r="AI84" s="886"/>
      <c r="AJ84" s="885"/>
      <c r="AK84" s="887"/>
      <c r="AL84" s="304"/>
      <c r="AM84" s="72"/>
      <c r="AN84" s="696" cm="1">
        <f t="array" ref="AN84">K84</f>
        <v>2025</v>
      </c>
      <c r="AO84" s="696" t="s">
        <v>2357</v>
      </c>
      <c r="AP84" s="706" cm="1">
        <f t="array" ref="AP84">AP83</f>
        <v>0</v>
      </c>
      <c r="AQ84" s="507"/>
      <c r="AR84" s="507"/>
    </row>
    <row r="85" spans="1:44" s="880" customFormat="1" ht="14.25" hidden="1" customHeight="1" x14ac:dyDescent="0.15">
      <c r="A85" s="72"/>
      <c r="B85" s="341" t="b">
        <f t="shared" si="4"/>
        <v>1</v>
      </c>
      <c r="C85" s="72"/>
      <c r="D85" s="72"/>
      <c r="E85" s="507">
        <v>15</v>
      </c>
      <c r="F85" s="3" t="str" cm="1">
        <f t="array" aca="1" ref="F85" ca="1">OFFSET(E85,-1,1)</f>
        <v>1</v>
      </c>
      <c r="G85" s="17" cm="1">
        <f t="array" ref="G85">G84</f>
        <v>0</v>
      </c>
      <c r="H85" s="72"/>
      <c r="I85" s="72"/>
      <c r="J85" s="72"/>
      <c r="K85" s="72">
        <f>first_year+2</f>
        <v>2026</v>
      </c>
      <c r="L85" s="72"/>
      <c r="M85" s="72"/>
      <c r="N85" s="72"/>
      <c r="O85" s="72"/>
      <c r="P85" s="72"/>
      <c r="Q85" s="72"/>
      <c r="R85" s="72"/>
      <c r="S85" s="72"/>
      <c r="T85" s="353" t="b" cm="1">
        <f t="array" aca="1" ref="T85" ca="1">T84</f>
        <v>0</v>
      </c>
      <c r="U85" s="72"/>
      <c r="V85" s="72"/>
      <c r="W85" s="72"/>
      <c r="X85" s="990"/>
      <c r="Y85" s="990"/>
      <c r="Z85" s="967"/>
      <c r="AA85" s="1085"/>
      <c r="AB85" s="168" t="str">
        <f t="shared" si="5"/>
        <v>2026 год</v>
      </c>
      <c r="AC85" s="308"/>
      <c r="AD85" s="886"/>
      <c r="AE85" s="885"/>
      <c r="AF85" s="885"/>
      <c r="AG85" s="886"/>
      <c r="AH85" s="885"/>
      <c r="AI85" s="886"/>
      <c r="AJ85" s="885"/>
      <c r="AK85" s="887"/>
      <c r="AL85" s="304"/>
      <c r="AM85" s="72"/>
      <c r="AN85" s="696" cm="1">
        <f t="array" ref="AN85">K85</f>
        <v>2026</v>
      </c>
      <c r="AO85" s="696" t="s">
        <v>2357</v>
      </c>
      <c r="AP85" s="706" cm="1">
        <f t="array" ref="AP85">AP84</f>
        <v>0</v>
      </c>
      <c r="AQ85" s="507"/>
      <c r="AR85" s="507"/>
    </row>
    <row r="86" spans="1:44" s="880" customFormat="1" ht="14.25" hidden="1" customHeight="1" x14ac:dyDescent="0.15">
      <c r="A86" s="72"/>
      <c r="B86" s="341" t="b">
        <f t="shared" si="4"/>
        <v>1</v>
      </c>
      <c r="C86" s="72"/>
      <c r="D86" s="72"/>
      <c r="E86" s="507">
        <v>15</v>
      </c>
      <c r="F86" s="3" t="str" cm="1">
        <f t="array" aca="1" ref="F86" ca="1">OFFSET(E86,-1,1)</f>
        <v>1</v>
      </c>
      <c r="G86" s="17" cm="1">
        <f t="array" ref="G86">G85</f>
        <v>0</v>
      </c>
      <c r="H86" s="72"/>
      <c r="I86" s="72"/>
      <c r="J86" s="72"/>
      <c r="K86" s="72">
        <f>first_year+3</f>
        <v>2027</v>
      </c>
      <c r="L86" s="72"/>
      <c r="M86" s="72"/>
      <c r="N86" s="72"/>
      <c r="O86" s="72"/>
      <c r="P86" s="72"/>
      <c r="Q86" s="72"/>
      <c r="R86" s="72"/>
      <c r="S86" s="72"/>
      <c r="T86" s="353" t="b" cm="1">
        <f t="array" aca="1" ref="T86" ca="1">T85</f>
        <v>0</v>
      </c>
      <c r="U86" s="72"/>
      <c r="V86" s="72"/>
      <c r="W86" s="72"/>
      <c r="X86" s="990"/>
      <c r="Y86" s="990"/>
      <c r="Z86" s="967"/>
      <c r="AA86" s="1085"/>
      <c r="AB86" s="168" t="str">
        <f t="shared" si="5"/>
        <v>2027 год</v>
      </c>
      <c r="AC86" s="308"/>
      <c r="AD86" s="886"/>
      <c r="AE86" s="885"/>
      <c r="AF86" s="885"/>
      <c r="AG86" s="886"/>
      <c r="AH86" s="885"/>
      <c r="AI86" s="886"/>
      <c r="AJ86" s="885"/>
      <c r="AK86" s="887"/>
      <c r="AL86" s="304"/>
      <c r="AM86" s="72"/>
      <c r="AN86" s="696" cm="1">
        <f t="array" ref="AN86">K86</f>
        <v>2027</v>
      </c>
      <c r="AO86" s="696" t="s">
        <v>2357</v>
      </c>
      <c r="AP86" s="706" cm="1">
        <f t="array" ref="AP86">AP85</f>
        <v>0</v>
      </c>
      <c r="AQ86" s="507"/>
      <c r="AR86" s="507"/>
    </row>
    <row r="87" spans="1:44" s="880" customFormat="1" ht="14.25" hidden="1" customHeight="1" x14ac:dyDescent="0.15">
      <c r="A87" s="72"/>
      <c r="B87" s="341" t="b">
        <f t="shared" si="4"/>
        <v>1</v>
      </c>
      <c r="C87" s="72"/>
      <c r="D87" s="72"/>
      <c r="E87" s="507">
        <v>15</v>
      </c>
      <c r="F87" s="3" t="str" cm="1">
        <f t="array" aca="1" ref="F87" ca="1">OFFSET(E87,-1,1)</f>
        <v>1</v>
      </c>
      <c r="G87" s="17" cm="1">
        <f t="array" ref="G87">G86</f>
        <v>0</v>
      </c>
      <c r="H87" s="72"/>
      <c r="I87" s="72"/>
      <c r="J87" s="72"/>
      <c r="K87" s="72">
        <f>first_year+4</f>
        <v>2028</v>
      </c>
      <c r="L87" s="72"/>
      <c r="M87" s="72"/>
      <c r="N87" s="72"/>
      <c r="O87" s="72"/>
      <c r="P87" s="72"/>
      <c r="Q87" s="72"/>
      <c r="R87" s="72"/>
      <c r="S87" s="72"/>
      <c r="T87" s="353" t="b" cm="1">
        <f t="array" aca="1" ref="T87" ca="1">T86</f>
        <v>0</v>
      </c>
      <c r="U87" s="72"/>
      <c r="V87" s="72"/>
      <c r="W87" s="72"/>
      <c r="X87" s="990"/>
      <c r="Y87" s="990"/>
      <c r="Z87" s="967"/>
      <c r="AA87" s="1085"/>
      <c r="AB87" s="168" t="str">
        <f t="shared" si="5"/>
        <v>2028 год</v>
      </c>
      <c r="AC87" s="308"/>
      <c r="AD87" s="886"/>
      <c r="AE87" s="885"/>
      <c r="AF87" s="885"/>
      <c r="AG87" s="886"/>
      <c r="AH87" s="885"/>
      <c r="AI87" s="886"/>
      <c r="AJ87" s="885"/>
      <c r="AK87" s="887"/>
      <c r="AL87" s="304"/>
      <c r="AM87" s="72"/>
      <c r="AN87" s="696" cm="1">
        <f t="array" ref="AN87">K87</f>
        <v>2028</v>
      </c>
      <c r="AO87" s="696" t="s">
        <v>2357</v>
      </c>
      <c r="AP87" s="706" cm="1">
        <f t="array" ref="AP87">AP86</f>
        <v>0</v>
      </c>
      <c r="AQ87" s="507"/>
      <c r="AR87" s="507"/>
    </row>
    <row r="88" spans="1:44" s="880" customFormat="1" ht="14.25" hidden="1" customHeight="1" x14ac:dyDescent="0.15">
      <c r="A88" s="72"/>
      <c r="B88" s="341" t="b">
        <f t="shared" si="4"/>
        <v>0</v>
      </c>
      <c r="C88" s="72"/>
      <c r="D88" s="72"/>
      <c r="E88" s="507">
        <v>15</v>
      </c>
      <c r="F88" s="3" t="str" cm="1">
        <f t="array" aca="1" ref="F88" ca="1">OFFSET(E88,-1,1)</f>
        <v>1</v>
      </c>
      <c r="G88" s="17" cm="1">
        <f t="array" ref="G88">G87</f>
        <v>0</v>
      </c>
      <c r="H88" s="72"/>
      <c r="I88" s="72"/>
      <c r="J88" s="72"/>
      <c r="K88" s="72">
        <f>first_year+5</f>
        <v>2029</v>
      </c>
      <c r="L88" s="72"/>
      <c r="M88" s="72"/>
      <c r="N88" s="72"/>
      <c r="O88" s="72"/>
      <c r="P88" s="72"/>
      <c r="Q88" s="72"/>
      <c r="R88" s="72"/>
      <c r="S88" s="72"/>
      <c r="T88" s="353" t="b" cm="1">
        <f t="array" aca="1" ref="T88" ca="1">T87</f>
        <v>0</v>
      </c>
      <c r="U88" s="72"/>
      <c r="V88" s="72"/>
      <c r="W88" s="72"/>
      <c r="X88" s="990"/>
      <c r="Y88" s="990"/>
      <c r="Z88" s="967"/>
      <c r="AA88" s="1085"/>
      <c r="AB88" s="168" t="str">
        <f t="shared" si="5"/>
        <v>2029 год</v>
      </c>
      <c r="AC88" s="308"/>
      <c r="AD88" s="886"/>
      <c r="AE88" s="885"/>
      <c r="AF88" s="885"/>
      <c r="AG88" s="886"/>
      <c r="AH88" s="885"/>
      <c r="AI88" s="886"/>
      <c r="AJ88" s="885"/>
      <c r="AK88" s="887"/>
      <c r="AL88" s="304"/>
      <c r="AM88" s="72"/>
      <c r="AN88" s="696" cm="1">
        <f t="array" ref="AN88">K88</f>
        <v>2029</v>
      </c>
      <c r="AO88" s="696" t="s">
        <v>2357</v>
      </c>
      <c r="AP88" s="706" cm="1">
        <f t="array" ref="AP88">AP87</f>
        <v>0</v>
      </c>
      <c r="AQ88" s="507"/>
      <c r="AR88" s="507"/>
    </row>
    <row r="89" spans="1:44" s="880" customFormat="1" ht="14.25" hidden="1" customHeight="1" x14ac:dyDescent="0.15">
      <c r="A89" s="72"/>
      <c r="B89" s="341" t="b">
        <f t="shared" si="4"/>
        <v>0</v>
      </c>
      <c r="C89" s="72"/>
      <c r="D89" s="72"/>
      <c r="E89" s="507">
        <v>15</v>
      </c>
      <c r="F89" s="3" t="str" cm="1">
        <f t="array" aca="1" ref="F89" ca="1">OFFSET(E89,-1,1)</f>
        <v>1</v>
      </c>
      <c r="G89" s="17" cm="1">
        <f t="array" ref="G89">G88</f>
        <v>0</v>
      </c>
      <c r="H89" s="72"/>
      <c r="I89" s="72"/>
      <c r="J89" s="72"/>
      <c r="K89" s="72">
        <f>first_year+6</f>
        <v>2030</v>
      </c>
      <c r="L89" s="72"/>
      <c r="M89" s="72"/>
      <c r="N89" s="72"/>
      <c r="O89" s="72"/>
      <c r="P89" s="72"/>
      <c r="Q89" s="72"/>
      <c r="R89" s="72"/>
      <c r="S89" s="72"/>
      <c r="T89" s="353" t="b" cm="1">
        <f t="array" aca="1" ref="T89" ca="1">T88</f>
        <v>0</v>
      </c>
      <c r="U89" s="72"/>
      <c r="V89" s="72"/>
      <c r="W89" s="72"/>
      <c r="X89" s="990"/>
      <c r="Y89" s="990"/>
      <c r="Z89" s="967"/>
      <c r="AA89" s="1085"/>
      <c r="AB89" s="168" t="str">
        <f t="shared" si="5"/>
        <v>2030 год</v>
      </c>
      <c r="AC89" s="308"/>
      <c r="AD89" s="886"/>
      <c r="AE89" s="885"/>
      <c r="AF89" s="885"/>
      <c r="AG89" s="886"/>
      <c r="AH89" s="885"/>
      <c r="AI89" s="886"/>
      <c r="AJ89" s="885"/>
      <c r="AK89" s="887"/>
      <c r="AL89" s="304"/>
      <c r="AM89" s="72"/>
      <c r="AN89" s="696" cm="1">
        <f t="array" ref="AN89">K89</f>
        <v>2030</v>
      </c>
      <c r="AO89" s="696" t="s">
        <v>2357</v>
      </c>
      <c r="AP89" s="706" cm="1">
        <f t="array" ref="AP89">AP88</f>
        <v>0</v>
      </c>
      <c r="AQ89" s="507"/>
      <c r="AR89" s="507"/>
    </row>
    <row r="90" spans="1:44" s="880" customFormat="1" ht="14.25" hidden="1" customHeight="1" x14ac:dyDescent="0.15">
      <c r="A90" s="72"/>
      <c r="B90" s="341" t="b">
        <f t="shared" si="4"/>
        <v>0</v>
      </c>
      <c r="C90" s="72"/>
      <c r="D90" s="72"/>
      <c r="E90" s="507">
        <v>15</v>
      </c>
      <c r="F90" s="3" t="str" cm="1">
        <f t="array" aca="1" ref="F90" ca="1">OFFSET(E90,-1,1)</f>
        <v>1</v>
      </c>
      <c r="G90" s="17" cm="1">
        <f t="array" ref="G90">G89</f>
        <v>0</v>
      </c>
      <c r="H90" s="72"/>
      <c r="I90" s="72"/>
      <c r="J90" s="72"/>
      <c r="K90" s="72">
        <f>first_year+7</f>
        <v>2031</v>
      </c>
      <c r="L90" s="72"/>
      <c r="M90" s="72"/>
      <c r="N90" s="72"/>
      <c r="O90" s="72"/>
      <c r="P90" s="72"/>
      <c r="Q90" s="72"/>
      <c r="R90" s="72"/>
      <c r="S90" s="72"/>
      <c r="T90" s="353" t="b" cm="1">
        <f t="array" aca="1" ref="T90" ca="1">T89</f>
        <v>0</v>
      </c>
      <c r="U90" s="72"/>
      <c r="V90" s="72"/>
      <c r="W90" s="72"/>
      <c r="X90" s="990"/>
      <c r="Y90" s="990"/>
      <c r="Z90" s="967"/>
      <c r="AA90" s="1085"/>
      <c r="AB90" s="168" t="str">
        <f t="shared" si="5"/>
        <v>2031 год</v>
      </c>
      <c r="AC90" s="308"/>
      <c r="AD90" s="886"/>
      <c r="AE90" s="885"/>
      <c r="AF90" s="885"/>
      <c r="AG90" s="886"/>
      <c r="AH90" s="885"/>
      <c r="AI90" s="886"/>
      <c r="AJ90" s="885"/>
      <c r="AK90" s="887"/>
      <c r="AL90" s="304"/>
      <c r="AM90" s="72"/>
      <c r="AN90" s="696" cm="1">
        <f t="array" ref="AN90">K90</f>
        <v>2031</v>
      </c>
      <c r="AO90" s="696" t="s">
        <v>2357</v>
      </c>
      <c r="AP90" s="706" cm="1">
        <f t="array" ref="AP90">AP89</f>
        <v>0</v>
      </c>
      <c r="AQ90" s="507"/>
      <c r="AR90" s="507"/>
    </row>
    <row r="91" spans="1:44" s="880" customFormat="1" ht="14.25" hidden="1" customHeight="1" x14ac:dyDescent="0.15">
      <c r="A91" s="72"/>
      <c r="B91" s="341" t="b">
        <f t="shared" si="4"/>
        <v>0</v>
      </c>
      <c r="C91" s="72"/>
      <c r="D91" s="72"/>
      <c r="E91" s="507">
        <v>15</v>
      </c>
      <c r="F91" s="3" t="str" cm="1">
        <f t="array" aca="1" ref="F91" ca="1">OFFSET(E91,-1,1)</f>
        <v>1</v>
      </c>
      <c r="G91" s="17" cm="1">
        <f t="array" ref="G91">G90</f>
        <v>0</v>
      </c>
      <c r="H91" s="72"/>
      <c r="I91" s="72"/>
      <c r="J91" s="72"/>
      <c r="K91" s="72">
        <f>first_year+8</f>
        <v>2032</v>
      </c>
      <c r="L91" s="72"/>
      <c r="M91" s="72"/>
      <c r="N91" s="72"/>
      <c r="O91" s="72"/>
      <c r="P91" s="72"/>
      <c r="Q91" s="72"/>
      <c r="R91" s="72"/>
      <c r="S91" s="72"/>
      <c r="T91" s="353" t="b" cm="1">
        <f t="array" aca="1" ref="T91" ca="1">T90</f>
        <v>0</v>
      </c>
      <c r="U91" s="72"/>
      <c r="V91" s="72"/>
      <c r="W91" s="72"/>
      <c r="X91" s="990"/>
      <c r="Y91" s="990"/>
      <c r="Z91" s="967"/>
      <c r="AA91" s="1085"/>
      <c r="AB91" s="168" t="str">
        <f t="shared" si="5"/>
        <v>2032 год</v>
      </c>
      <c r="AC91" s="308"/>
      <c r="AD91" s="886"/>
      <c r="AE91" s="885"/>
      <c r="AF91" s="885"/>
      <c r="AG91" s="886"/>
      <c r="AH91" s="885"/>
      <c r="AI91" s="886"/>
      <c r="AJ91" s="885"/>
      <c r="AK91" s="887"/>
      <c r="AL91" s="304"/>
      <c r="AM91" s="72"/>
      <c r="AN91" s="696" cm="1">
        <f t="array" ref="AN91">K91</f>
        <v>2032</v>
      </c>
      <c r="AO91" s="696" t="s">
        <v>2357</v>
      </c>
      <c r="AP91" s="706" cm="1">
        <f t="array" ref="AP91">AP90</f>
        <v>0</v>
      </c>
      <c r="AQ91" s="507"/>
      <c r="AR91" s="507"/>
    </row>
    <row r="92" spans="1:44" s="880" customFormat="1" ht="14.25" hidden="1" customHeight="1" x14ac:dyDescent="0.15">
      <c r="A92" s="72"/>
      <c r="B92" s="341" t="b">
        <f t="shared" si="4"/>
        <v>0</v>
      </c>
      <c r="C92" s="72"/>
      <c r="D92" s="72"/>
      <c r="E92" s="507">
        <v>15</v>
      </c>
      <c r="F92" s="3" t="str" cm="1">
        <f t="array" aca="1" ref="F92" ca="1">OFFSET(E92,-1,1)</f>
        <v>1</v>
      </c>
      <c r="G92" s="17" cm="1">
        <f t="array" ref="G92">G91</f>
        <v>0</v>
      </c>
      <c r="H92" s="72"/>
      <c r="I92" s="72"/>
      <c r="J92" s="72"/>
      <c r="K92" s="72">
        <f>first_year+9</f>
        <v>2033</v>
      </c>
      <c r="L92" s="72"/>
      <c r="M92" s="72"/>
      <c r="N92" s="72"/>
      <c r="O92" s="72"/>
      <c r="P92" s="72"/>
      <c r="Q92" s="72"/>
      <c r="R92" s="72"/>
      <c r="S92" s="72"/>
      <c r="T92" s="353" t="b" cm="1">
        <f t="array" aca="1" ref="T92" ca="1">T91</f>
        <v>0</v>
      </c>
      <c r="U92" s="72"/>
      <c r="V92" s="72"/>
      <c r="W92" s="72"/>
      <c r="X92" s="990"/>
      <c r="Y92" s="990"/>
      <c r="Z92" s="967"/>
      <c r="AA92" s="1085"/>
      <c r="AB92" s="168" t="str">
        <f t="shared" si="5"/>
        <v>2033 год</v>
      </c>
      <c r="AC92" s="308"/>
      <c r="AD92" s="886"/>
      <c r="AE92" s="885"/>
      <c r="AF92" s="885"/>
      <c r="AG92" s="886"/>
      <c r="AH92" s="885"/>
      <c r="AI92" s="886"/>
      <c r="AJ92" s="885"/>
      <c r="AK92" s="887"/>
      <c r="AL92" s="304"/>
      <c r="AM92" s="72"/>
      <c r="AN92" s="696" cm="1">
        <f t="array" ref="AN92">K92</f>
        <v>2033</v>
      </c>
      <c r="AO92" s="696" t="s">
        <v>2357</v>
      </c>
      <c r="AP92" s="706" cm="1">
        <f t="array" ref="AP92">AP91</f>
        <v>0</v>
      </c>
      <c r="AQ92" s="507"/>
      <c r="AR92" s="507"/>
    </row>
    <row r="93" spans="1:44" s="880" customFormat="1" ht="14.25" hidden="1" customHeight="1" x14ac:dyDescent="0.15">
      <c r="A93" s="72"/>
      <c r="B93" s="341" t="b">
        <f t="shared" si="4"/>
        <v>0</v>
      </c>
      <c r="C93" s="72"/>
      <c r="D93" s="72"/>
      <c r="E93" s="507">
        <v>15</v>
      </c>
      <c r="F93" s="3" t="str" cm="1">
        <f t="array" aca="1" ref="F93" ca="1">OFFSET(E93,-1,1)</f>
        <v>1</v>
      </c>
      <c r="G93" s="17" cm="1">
        <f t="array" ref="G93">G92</f>
        <v>0</v>
      </c>
      <c r="H93" s="72"/>
      <c r="I93" s="72"/>
      <c r="J93" s="72"/>
      <c r="K93" s="72">
        <f>first_year+10</f>
        <v>2034</v>
      </c>
      <c r="L93" s="72"/>
      <c r="M93" s="72"/>
      <c r="N93" s="72"/>
      <c r="O93" s="72"/>
      <c r="P93" s="72"/>
      <c r="Q93" s="72"/>
      <c r="R93" s="72"/>
      <c r="S93" s="72"/>
      <c r="T93" s="353" t="b" cm="1">
        <f t="array" aca="1" ref="T93" ca="1">T92</f>
        <v>0</v>
      </c>
      <c r="U93" s="72"/>
      <c r="V93" s="72"/>
      <c r="W93" s="72"/>
      <c r="X93" s="990"/>
      <c r="Y93" s="990"/>
      <c r="Z93" s="967"/>
      <c r="AA93" s="1085"/>
      <c r="AB93" s="168" t="str">
        <f t="shared" si="5"/>
        <v>2034 год</v>
      </c>
      <c r="AC93" s="308"/>
      <c r="AD93" s="886"/>
      <c r="AE93" s="885"/>
      <c r="AF93" s="885"/>
      <c r="AG93" s="886"/>
      <c r="AH93" s="885"/>
      <c r="AI93" s="886"/>
      <c r="AJ93" s="885"/>
      <c r="AK93" s="887"/>
      <c r="AL93" s="304"/>
      <c r="AM93" s="72"/>
      <c r="AN93" s="696" cm="1">
        <f t="array" ref="AN93">K93</f>
        <v>2034</v>
      </c>
      <c r="AO93" s="696" t="s">
        <v>2357</v>
      </c>
      <c r="AP93" s="706" cm="1">
        <f t="array" ref="AP93">AP92</f>
        <v>0</v>
      </c>
      <c r="AQ93" s="507"/>
      <c r="AR93" s="507"/>
    </row>
    <row r="94" spans="1:44" s="880" customFormat="1" ht="14.25" hidden="1" customHeight="1" x14ac:dyDescent="0.15">
      <c r="A94" s="72"/>
      <c r="B94" s="341" t="b">
        <f t="shared" si="4"/>
        <v>0</v>
      </c>
      <c r="C94" s="72"/>
      <c r="D94" s="72"/>
      <c r="E94" s="507">
        <v>15</v>
      </c>
      <c r="F94" s="3" t="str" cm="1">
        <f t="array" aca="1" ref="F94" ca="1">OFFSET(E94,-1,1)</f>
        <v>1</v>
      </c>
      <c r="G94" s="17" cm="1">
        <f t="array" ref="G94">G93</f>
        <v>0</v>
      </c>
      <c r="H94" s="72"/>
      <c r="I94" s="72"/>
      <c r="J94" s="72"/>
      <c r="K94" s="72">
        <f>first_year+11</f>
        <v>2035</v>
      </c>
      <c r="L94" s="72"/>
      <c r="M94" s="72"/>
      <c r="N94" s="72"/>
      <c r="O94" s="72"/>
      <c r="P94" s="72"/>
      <c r="Q94" s="72"/>
      <c r="R94" s="72"/>
      <c r="S94" s="72"/>
      <c r="T94" s="353" t="b" cm="1">
        <f t="array" aca="1" ref="T94" ca="1">T93</f>
        <v>0</v>
      </c>
      <c r="U94" s="72"/>
      <c r="V94" s="72"/>
      <c r="W94" s="72"/>
      <c r="X94" s="990"/>
      <c r="Y94" s="990"/>
      <c r="Z94" s="967"/>
      <c r="AA94" s="1085"/>
      <c r="AB94" s="168" t="str">
        <f t="shared" si="5"/>
        <v>2035 год</v>
      </c>
      <c r="AC94" s="308"/>
      <c r="AD94" s="886"/>
      <c r="AE94" s="885"/>
      <c r="AF94" s="885"/>
      <c r="AG94" s="886"/>
      <c r="AH94" s="885"/>
      <c r="AI94" s="886"/>
      <c r="AJ94" s="885"/>
      <c r="AK94" s="887"/>
      <c r="AL94" s="304"/>
      <c r="AM94" s="72"/>
      <c r="AN94" s="696" cm="1">
        <f t="array" ref="AN94">K94</f>
        <v>2035</v>
      </c>
      <c r="AO94" s="696" t="s">
        <v>2357</v>
      </c>
      <c r="AP94" s="706" cm="1">
        <f t="array" ref="AP94">AP93</f>
        <v>0</v>
      </c>
      <c r="AQ94" s="507"/>
      <c r="AR94" s="507"/>
    </row>
    <row r="95" spans="1:44" s="880" customFormat="1" ht="14.25" hidden="1" customHeight="1" x14ac:dyDescent="0.15">
      <c r="A95" s="72"/>
      <c r="B95" s="341" t="b">
        <f t="shared" si="4"/>
        <v>0</v>
      </c>
      <c r="C95" s="72"/>
      <c r="D95" s="72"/>
      <c r="E95" s="507">
        <v>15</v>
      </c>
      <c r="F95" s="3" t="str" cm="1">
        <f t="array" aca="1" ref="F95" ca="1">OFFSET(E95,-1,1)</f>
        <v>1</v>
      </c>
      <c r="G95" s="17" cm="1">
        <f t="array" ref="G95">G94</f>
        <v>0</v>
      </c>
      <c r="H95" s="72"/>
      <c r="I95" s="72"/>
      <c r="J95" s="72"/>
      <c r="K95" s="72">
        <f>first_year+12</f>
        <v>2036</v>
      </c>
      <c r="L95" s="72"/>
      <c r="M95" s="72"/>
      <c r="N95" s="72"/>
      <c r="O95" s="72"/>
      <c r="P95" s="72"/>
      <c r="Q95" s="72"/>
      <c r="R95" s="72"/>
      <c r="S95" s="72"/>
      <c r="T95" s="353" t="b" cm="1">
        <f t="array" aca="1" ref="T95" ca="1">T94</f>
        <v>0</v>
      </c>
      <c r="U95" s="72"/>
      <c r="V95" s="72"/>
      <c r="W95" s="72"/>
      <c r="X95" s="990"/>
      <c r="Y95" s="990"/>
      <c r="Z95" s="967"/>
      <c r="AA95" s="1085"/>
      <c r="AB95" s="168" t="str">
        <f t="shared" si="5"/>
        <v>2036 год</v>
      </c>
      <c r="AC95" s="308"/>
      <c r="AD95" s="886"/>
      <c r="AE95" s="885"/>
      <c r="AF95" s="885"/>
      <c r="AG95" s="886"/>
      <c r="AH95" s="885"/>
      <c r="AI95" s="886"/>
      <c r="AJ95" s="885"/>
      <c r="AK95" s="887"/>
      <c r="AL95" s="304"/>
      <c r="AM95" s="72"/>
      <c r="AN95" s="696" cm="1">
        <f t="array" ref="AN95">K95</f>
        <v>2036</v>
      </c>
      <c r="AO95" s="696" t="s">
        <v>2357</v>
      </c>
      <c r="AP95" s="706" cm="1">
        <f t="array" ref="AP95">AP94</f>
        <v>0</v>
      </c>
      <c r="AQ95" s="507"/>
      <c r="AR95" s="507"/>
    </row>
    <row r="96" spans="1:44" s="880" customFormat="1" ht="14.25" hidden="1" customHeight="1" x14ac:dyDescent="0.15">
      <c r="A96" s="72"/>
      <c r="B96" s="341" t="b">
        <f t="shared" si="4"/>
        <v>0</v>
      </c>
      <c r="C96" s="72"/>
      <c r="D96" s="72"/>
      <c r="E96" s="507">
        <v>15</v>
      </c>
      <c r="F96" s="3" t="str" cm="1">
        <f t="array" aca="1" ref="F96" ca="1">OFFSET(E96,-1,1)</f>
        <v>1</v>
      </c>
      <c r="G96" s="17" cm="1">
        <f t="array" ref="G96">G95</f>
        <v>0</v>
      </c>
      <c r="H96" s="72"/>
      <c r="I96" s="72"/>
      <c r="J96" s="72"/>
      <c r="K96" s="72">
        <f>first_year+13</f>
        <v>2037</v>
      </c>
      <c r="L96" s="72"/>
      <c r="M96" s="72"/>
      <c r="N96" s="72"/>
      <c r="O96" s="72"/>
      <c r="P96" s="72"/>
      <c r="Q96" s="72"/>
      <c r="R96" s="72"/>
      <c r="S96" s="72"/>
      <c r="T96" s="353" t="b" cm="1">
        <f t="array" aca="1" ref="T96" ca="1">T95</f>
        <v>0</v>
      </c>
      <c r="U96" s="72"/>
      <c r="V96" s="72"/>
      <c r="W96" s="72"/>
      <c r="X96" s="990"/>
      <c r="Y96" s="990"/>
      <c r="Z96" s="967"/>
      <c r="AA96" s="1085"/>
      <c r="AB96" s="168" t="str">
        <f t="shared" si="5"/>
        <v>2037 год</v>
      </c>
      <c r="AC96" s="308"/>
      <c r="AD96" s="886"/>
      <c r="AE96" s="885"/>
      <c r="AF96" s="885"/>
      <c r="AG96" s="886"/>
      <c r="AH96" s="885"/>
      <c r="AI96" s="886"/>
      <c r="AJ96" s="885"/>
      <c r="AK96" s="887"/>
      <c r="AL96" s="304"/>
      <c r="AM96" s="72"/>
      <c r="AN96" s="696" cm="1">
        <f t="array" ref="AN96">K96</f>
        <v>2037</v>
      </c>
      <c r="AO96" s="696" t="s">
        <v>2357</v>
      </c>
      <c r="AP96" s="706" cm="1">
        <f t="array" ref="AP96">AP95</f>
        <v>0</v>
      </c>
      <c r="AQ96" s="507"/>
      <c r="AR96" s="507"/>
    </row>
    <row r="97" spans="1:44" s="880" customFormat="1" ht="14.25" hidden="1" customHeight="1" x14ac:dyDescent="0.15">
      <c r="A97" s="72"/>
      <c r="B97" s="341" t="b">
        <f t="shared" si="4"/>
        <v>0</v>
      </c>
      <c r="C97" s="72"/>
      <c r="D97" s="72"/>
      <c r="E97" s="507">
        <v>15</v>
      </c>
      <c r="F97" s="3" t="str" cm="1">
        <f t="array" aca="1" ref="F97" ca="1">OFFSET(E97,-1,1)</f>
        <v>1</v>
      </c>
      <c r="G97" s="17" cm="1">
        <f t="array" ref="G97">G96</f>
        <v>0</v>
      </c>
      <c r="H97" s="72"/>
      <c r="I97" s="72"/>
      <c r="J97" s="72"/>
      <c r="K97" s="72">
        <f>first_year+14</f>
        <v>2038</v>
      </c>
      <c r="L97" s="72"/>
      <c r="M97" s="72"/>
      <c r="N97" s="72"/>
      <c r="O97" s="72"/>
      <c r="P97" s="72"/>
      <c r="Q97" s="72"/>
      <c r="R97" s="72"/>
      <c r="S97" s="72"/>
      <c r="T97" s="353" t="b" cm="1">
        <f t="array" aca="1" ref="T97" ca="1">T96</f>
        <v>0</v>
      </c>
      <c r="U97" s="72"/>
      <c r="V97" s="72"/>
      <c r="W97" s="72"/>
      <c r="X97" s="990"/>
      <c r="Y97" s="990"/>
      <c r="Z97" s="967"/>
      <c r="AA97" s="1085"/>
      <c r="AB97" s="168" t="str">
        <f t="shared" si="5"/>
        <v>2038 год</v>
      </c>
      <c r="AC97" s="308"/>
      <c r="AD97" s="886"/>
      <c r="AE97" s="885"/>
      <c r="AF97" s="885"/>
      <c r="AG97" s="886"/>
      <c r="AH97" s="885"/>
      <c r="AI97" s="886"/>
      <c r="AJ97" s="885"/>
      <c r="AK97" s="887"/>
      <c r="AL97" s="304"/>
      <c r="AM97" s="72"/>
      <c r="AN97" s="696" cm="1">
        <f t="array" ref="AN97">K97</f>
        <v>2038</v>
      </c>
      <c r="AO97" s="696" t="s">
        <v>2357</v>
      </c>
      <c r="AP97" s="706" cm="1">
        <f t="array" ref="AP97">AP96</f>
        <v>0</v>
      </c>
      <c r="AQ97" s="507"/>
      <c r="AR97" s="507"/>
    </row>
    <row r="98" spans="1:44" s="880" customFormat="1" ht="14.25" hidden="1" customHeight="1" x14ac:dyDescent="0.15">
      <c r="A98" s="72"/>
      <c r="B98" s="341" t="b">
        <f t="shared" si="4"/>
        <v>0</v>
      </c>
      <c r="C98" s="72"/>
      <c r="D98" s="72"/>
      <c r="E98" s="507">
        <v>15</v>
      </c>
      <c r="F98" s="3" t="str" cm="1">
        <f t="array" aca="1" ref="F98" ca="1">OFFSET(E98,-1,1)</f>
        <v>1</v>
      </c>
      <c r="G98" s="17" cm="1">
        <f t="array" ref="G98">G97</f>
        <v>0</v>
      </c>
      <c r="H98" s="72"/>
      <c r="I98" s="72"/>
      <c r="J98" s="72"/>
      <c r="K98" s="72">
        <f>first_year+15</f>
        <v>2039</v>
      </c>
      <c r="L98" s="72"/>
      <c r="M98" s="72"/>
      <c r="N98" s="72"/>
      <c r="O98" s="72"/>
      <c r="P98" s="72"/>
      <c r="Q98" s="72"/>
      <c r="R98" s="72"/>
      <c r="S98" s="72"/>
      <c r="T98" s="353" t="b" cm="1">
        <f t="array" aca="1" ref="T98" ca="1">T97</f>
        <v>0</v>
      </c>
      <c r="U98" s="72"/>
      <c r="V98" s="72"/>
      <c r="W98" s="72"/>
      <c r="X98" s="990"/>
      <c r="Y98" s="990"/>
      <c r="Z98" s="967"/>
      <c r="AA98" s="1085"/>
      <c r="AB98" s="168" t="str">
        <f t="shared" si="5"/>
        <v>2039 год</v>
      </c>
      <c r="AC98" s="308"/>
      <c r="AD98" s="886"/>
      <c r="AE98" s="885"/>
      <c r="AF98" s="885"/>
      <c r="AG98" s="886"/>
      <c r="AH98" s="885"/>
      <c r="AI98" s="886"/>
      <c r="AJ98" s="885"/>
      <c r="AK98" s="887"/>
      <c r="AL98" s="304"/>
      <c r="AM98" s="72"/>
      <c r="AN98" s="696" cm="1">
        <f t="array" ref="AN98">K98</f>
        <v>2039</v>
      </c>
      <c r="AO98" s="696" t="s">
        <v>2357</v>
      </c>
      <c r="AP98" s="706" cm="1">
        <f t="array" ref="AP98">AP97</f>
        <v>0</v>
      </c>
      <c r="AQ98" s="507"/>
      <c r="AR98" s="507"/>
    </row>
    <row r="99" spans="1:44" s="880" customFormat="1" ht="14.25" hidden="1" customHeight="1" x14ac:dyDescent="0.15">
      <c r="A99" s="72"/>
      <c r="B99" s="341" t="b">
        <f t="shared" si="4"/>
        <v>0</v>
      </c>
      <c r="C99" s="72"/>
      <c r="D99" s="72"/>
      <c r="E99" s="507">
        <v>15</v>
      </c>
      <c r="F99" s="3" t="str" cm="1">
        <f t="array" aca="1" ref="F99" ca="1">OFFSET(E99,-1,1)</f>
        <v>1</v>
      </c>
      <c r="G99" s="17" cm="1">
        <f t="array" ref="G99">G98</f>
        <v>0</v>
      </c>
      <c r="H99" s="72"/>
      <c r="I99" s="72"/>
      <c r="J99" s="72"/>
      <c r="K99" s="72">
        <f>first_year+16</f>
        <v>2040</v>
      </c>
      <c r="L99" s="72"/>
      <c r="M99" s="72"/>
      <c r="N99" s="72"/>
      <c r="O99" s="72"/>
      <c r="P99" s="72"/>
      <c r="Q99" s="72"/>
      <c r="R99" s="72"/>
      <c r="S99" s="72"/>
      <c r="T99" s="353" t="b" cm="1">
        <f t="array" aca="1" ref="T99" ca="1">T98</f>
        <v>0</v>
      </c>
      <c r="U99" s="72"/>
      <c r="V99" s="72"/>
      <c r="W99" s="72"/>
      <c r="X99" s="990"/>
      <c r="Y99" s="990"/>
      <c r="Z99" s="967"/>
      <c r="AA99" s="1085"/>
      <c r="AB99" s="168" t="str">
        <f t="shared" si="5"/>
        <v>2040 год</v>
      </c>
      <c r="AC99" s="308"/>
      <c r="AD99" s="886"/>
      <c r="AE99" s="885"/>
      <c r="AF99" s="885"/>
      <c r="AG99" s="886"/>
      <c r="AH99" s="885"/>
      <c r="AI99" s="886"/>
      <c r="AJ99" s="885"/>
      <c r="AK99" s="887"/>
      <c r="AL99" s="304"/>
      <c r="AM99" s="72"/>
      <c r="AN99" s="696" cm="1">
        <f t="array" ref="AN99">K99</f>
        <v>2040</v>
      </c>
      <c r="AO99" s="696" t="s">
        <v>2357</v>
      </c>
      <c r="AP99" s="706" cm="1">
        <f t="array" ref="AP99">AP98</f>
        <v>0</v>
      </c>
      <c r="AQ99" s="507"/>
      <c r="AR99" s="507"/>
    </row>
    <row r="100" spans="1:44" s="880" customFormat="1" ht="14.25" hidden="1" customHeight="1" x14ac:dyDescent="0.15">
      <c r="A100" s="72"/>
      <c r="B100" s="341" t="b">
        <f t="shared" si="4"/>
        <v>0</v>
      </c>
      <c r="C100" s="72"/>
      <c r="D100" s="72"/>
      <c r="E100" s="507">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3" t="b" cm="1">
        <f t="array" aca="1" ref="T100" ca="1">T99</f>
        <v>0</v>
      </c>
      <c r="U100" s="72"/>
      <c r="V100" s="72"/>
      <c r="W100" s="72"/>
      <c r="X100" s="990"/>
      <c r="Y100" s="990"/>
      <c r="Z100" s="967"/>
      <c r="AA100" s="1085"/>
      <c r="AB100" s="168" t="str">
        <f t="shared" si="5"/>
        <v>2041 год</v>
      </c>
      <c r="AC100" s="308"/>
      <c r="AD100" s="886"/>
      <c r="AE100" s="885"/>
      <c r="AF100" s="885"/>
      <c r="AG100" s="886"/>
      <c r="AH100" s="885"/>
      <c r="AI100" s="886"/>
      <c r="AJ100" s="885"/>
      <c r="AK100" s="887"/>
      <c r="AL100" s="304"/>
      <c r="AM100" s="72"/>
      <c r="AN100" s="696" cm="1">
        <f t="array" ref="AN100">K100</f>
        <v>2041</v>
      </c>
      <c r="AO100" s="696" t="s">
        <v>2357</v>
      </c>
      <c r="AP100" s="706" cm="1">
        <f t="array" ref="AP100">AP99</f>
        <v>0</v>
      </c>
      <c r="AQ100" s="507"/>
      <c r="AR100" s="507"/>
    </row>
    <row r="101" spans="1:44" s="880" customFormat="1" ht="14.25" hidden="1" customHeight="1" x14ac:dyDescent="0.15">
      <c r="A101" s="72"/>
      <c r="B101" s="341" t="b">
        <f t="shared" si="4"/>
        <v>0</v>
      </c>
      <c r="C101" s="72"/>
      <c r="D101" s="72"/>
      <c r="E101" s="507">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3" t="b" cm="1">
        <f t="array" aca="1" ref="T101" ca="1">T100</f>
        <v>0</v>
      </c>
      <c r="U101" s="72"/>
      <c r="V101" s="72"/>
      <c r="W101" s="72"/>
      <c r="X101" s="990"/>
      <c r="Y101" s="990"/>
      <c r="Z101" s="967"/>
      <c r="AA101" s="1085"/>
      <c r="AB101" s="168" t="str">
        <f t="shared" si="5"/>
        <v>2042 год</v>
      </c>
      <c r="AC101" s="308"/>
      <c r="AD101" s="886"/>
      <c r="AE101" s="885"/>
      <c r="AF101" s="885"/>
      <c r="AG101" s="886"/>
      <c r="AH101" s="885"/>
      <c r="AI101" s="886"/>
      <c r="AJ101" s="885"/>
      <c r="AK101" s="887"/>
      <c r="AL101" s="304"/>
      <c r="AM101" s="72"/>
      <c r="AN101" s="696" cm="1">
        <f t="array" ref="AN101">K101</f>
        <v>2042</v>
      </c>
      <c r="AO101" s="696" t="s">
        <v>2357</v>
      </c>
      <c r="AP101" s="706" cm="1">
        <f t="array" ref="AP101">AP100</f>
        <v>0</v>
      </c>
      <c r="AQ101" s="507"/>
      <c r="AR101" s="507"/>
    </row>
    <row r="102" spans="1:44" s="880" customFormat="1" ht="14.25" hidden="1" customHeight="1" x14ac:dyDescent="0.15">
      <c r="A102" s="72"/>
      <c r="B102" s="341" t="b">
        <f t="shared" si="4"/>
        <v>0</v>
      </c>
      <c r="C102" s="72"/>
      <c r="D102" s="72"/>
      <c r="E102" s="507">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3" t="b" cm="1">
        <f t="array" aca="1" ref="T102" ca="1">T101</f>
        <v>0</v>
      </c>
      <c r="U102" s="72"/>
      <c r="V102" s="72"/>
      <c r="W102" s="72"/>
      <c r="X102" s="990"/>
      <c r="Y102" s="990"/>
      <c r="Z102" s="967"/>
      <c r="AA102" s="1085"/>
      <c r="AB102" s="168" t="str">
        <f t="shared" si="5"/>
        <v>2043 год</v>
      </c>
      <c r="AC102" s="308"/>
      <c r="AD102" s="886"/>
      <c r="AE102" s="885"/>
      <c r="AF102" s="885"/>
      <c r="AG102" s="886"/>
      <c r="AH102" s="885"/>
      <c r="AI102" s="886"/>
      <c r="AJ102" s="885"/>
      <c r="AK102" s="887"/>
      <c r="AL102" s="304"/>
      <c r="AM102" s="72"/>
      <c r="AN102" s="696" cm="1">
        <f t="array" ref="AN102">K102</f>
        <v>2043</v>
      </c>
      <c r="AO102" s="696" t="s">
        <v>2357</v>
      </c>
      <c r="AP102" s="706" cm="1">
        <f t="array" ref="AP102">AP101</f>
        <v>0</v>
      </c>
      <c r="AQ102" s="507"/>
      <c r="AR102" s="507"/>
    </row>
    <row r="103" spans="1:44" s="880" customFormat="1" ht="14.25" hidden="1" customHeight="1" x14ac:dyDescent="0.15">
      <c r="A103" s="72"/>
      <c r="B103" s="341" t="b">
        <f t="shared" si="4"/>
        <v>0</v>
      </c>
      <c r="C103" s="72"/>
      <c r="D103" s="72"/>
      <c r="E103" s="507">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3" t="b" cm="1">
        <f t="array" aca="1" ref="T103" ca="1">T102</f>
        <v>0</v>
      </c>
      <c r="U103" s="72"/>
      <c r="V103" s="72"/>
      <c r="W103" s="72"/>
      <c r="X103" s="990"/>
      <c r="Y103" s="990"/>
      <c r="Z103" s="967"/>
      <c r="AA103" s="1085"/>
      <c r="AB103" s="168" t="str">
        <f t="shared" si="5"/>
        <v>2044 год</v>
      </c>
      <c r="AC103" s="308"/>
      <c r="AD103" s="886"/>
      <c r="AE103" s="885"/>
      <c r="AF103" s="885"/>
      <c r="AG103" s="886"/>
      <c r="AH103" s="885"/>
      <c r="AI103" s="886"/>
      <c r="AJ103" s="885"/>
      <c r="AK103" s="887"/>
      <c r="AL103" s="304"/>
      <c r="AM103" s="72"/>
      <c r="AN103" s="696" cm="1">
        <f t="array" ref="AN103">K103</f>
        <v>2044</v>
      </c>
      <c r="AO103" s="696" t="s">
        <v>2357</v>
      </c>
      <c r="AP103" s="706" cm="1">
        <f t="array" ref="AP103">AP102</f>
        <v>0</v>
      </c>
      <c r="AQ103" s="507"/>
      <c r="AR103" s="507"/>
    </row>
    <row r="104" spans="1:44" s="880" customFormat="1" ht="14.25" hidden="1" customHeight="1" x14ac:dyDescent="0.15">
      <c r="A104" s="72"/>
      <c r="B104" s="341" t="b">
        <f t="shared" si="4"/>
        <v>0</v>
      </c>
      <c r="C104" s="72"/>
      <c r="D104" s="72"/>
      <c r="E104" s="507">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3" t="b" cm="1">
        <f t="array" aca="1" ref="T104" ca="1">T103</f>
        <v>0</v>
      </c>
      <c r="U104" s="72"/>
      <c r="V104" s="72"/>
      <c r="W104" s="72"/>
      <c r="X104" s="990"/>
      <c r="Y104" s="990"/>
      <c r="Z104" s="967"/>
      <c r="AA104" s="1085"/>
      <c r="AB104" s="168" t="str">
        <f t="shared" si="5"/>
        <v>2045 год</v>
      </c>
      <c r="AC104" s="308"/>
      <c r="AD104" s="886"/>
      <c r="AE104" s="885"/>
      <c r="AF104" s="885"/>
      <c r="AG104" s="886"/>
      <c r="AH104" s="885"/>
      <c r="AI104" s="886"/>
      <c r="AJ104" s="885"/>
      <c r="AK104" s="887"/>
      <c r="AL104" s="304"/>
      <c r="AM104" s="72"/>
      <c r="AN104" s="696" cm="1">
        <f t="array" ref="AN104">K104</f>
        <v>2045</v>
      </c>
      <c r="AO104" s="696" t="s">
        <v>2357</v>
      </c>
      <c r="AP104" s="706" cm="1">
        <f t="array" ref="AP104">AP103</f>
        <v>0</v>
      </c>
      <c r="AQ104" s="507"/>
      <c r="AR104" s="507"/>
    </row>
    <row r="105" spans="1:44" s="880" customFormat="1" ht="14.25" hidden="1" customHeight="1" x14ac:dyDescent="0.15">
      <c r="A105" s="72"/>
      <c r="B105" s="341" t="b">
        <f t="shared" si="4"/>
        <v>0</v>
      </c>
      <c r="C105" s="72"/>
      <c r="D105" s="72"/>
      <c r="E105" s="507">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3" t="b" cm="1">
        <f t="array" aca="1" ref="T105" ca="1">T104</f>
        <v>0</v>
      </c>
      <c r="U105" s="72"/>
      <c r="V105" s="72"/>
      <c r="W105" s="72"/>
      <c r="X105" s="990"/>
      <c r="Y105" s="990"/>
      <c r="Z105" s="967"/>
      <c r="AA105" s="1085"/>
      <c r="AB105" s="168" t="str">
        <f t="shared" si="5"/>
        <v>2046 год</v>
      </c>
      <c r="AC105" s="308"/>
      <c r="AD105" s="886"/>
      <c r="AE105" s="885"/>
      <c r="AF105" s="885"/>
      <c r="AG105" s="886"/>
      <c r="AH105" s="885"/>
      <c r="AI105" s="886"/>
      <c r="AJ105" s="885"/>
      <c r="AK105" s="887"/>
      <c r="AL105" s="304"/>
      <c r="AM105" s="72"/>
      <c r="AN105" s="696" cm="1">
        <f t="array" ref="AN105">K105</f>
        <v>2046</v>
      </c>
      <c r="AO105" s="696" t="s">
        <v>2357</v>
      </c>
      <c r="AP105" s="706" cm="1">
        <f t="array" ref="AP105">AP104</f>
        <v>0</v>
      </c>
      <c r="AQ105" s="507"/>
      <c r="AR105" s="507"/>
    </row>
    <row r="106" spans="1:44" s="880" customFormat="1" ht="14.25" hidden="1" customHeight="1" x14ac:dyDescent="0.15">
      <c r="A106" s="72"/>
      <c r="B106" s="341" t="b">
        <f t="shared" si="4"/>
        <v>0</v>
      </c>
      <c r="C106" s="72"/>
      <c r="D106" s="72"/>
      <c r="E106" s="507">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3" t="b" cm="1">
        <f t="array" aca="1" ref="T106" ca="1">T105</f>
        <v>0</v>
      </c>
      <c r="U106" s="72"/>
      <c r="V106" s="72"/>
      <c r="W106" s="72"/>
      <c r="X106" s="990"/>
      <c r="Y106" s="990"/>
      <c r="Z106" s="967"/>
      <c r="AA106" s="1085"/>
      <c r="AB106" s="168" t="str">
        <f t="shared" si="5"/>
        <v>2047 год</v>
      </c>
      <c r="AC106" s="308"/>
      <c r="AD106" s="886"/>
      <c r="AE106" s="885"/>
      <c r="AF106" s="885"/>
      <c r="AG106" s="886"/>
      <c r="AH106" s="885"/>
      <c r="AI106" s="886"/>
      <c r="AJ106" s="885"/>
      <c r="AK106" s="887"/>
      <c r="AL106" s="304"/>
      <c r="AM106" s="72"/>
      <c r="AN106" s="696" cm="1">
        <f t="array" ref="AN106">K106</f>
        <v>2047</v>
      </c>
      <c r="AO106" s="696" t="s">
        <v>2357</v>
      </c>
      <c r="AP106" s="706" cm="1">
        <f t="array" ref="AP106">AP105</f>
        <v>0</v>
      </c>
      <c r="AQ106" s="507"/>
      <c r="AR106" s="507"/>
    </row>
    <row r="107" spans="1:44" s="880" customFormat="1" ht="14.25" hidden="1" customHeight="1" x14ac:dyDescent="0.15">
      <c r="A107" s="72"/>
      <c r="B107" s="341" t="b">
        <f t="shared" si="4"/>
        <v>0</v>
      </c>
      <c r="C107" s="72"/>
      <c r="D107" s="72"/>
      <c r="E107" s="507">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3" t="b" cm="1">
        <f t="array" aca="1" ref="T107" ca="1">T106</f>
        <v>0</v>
      </c>
      <c r="U107" s="72"/>
      <c r="V107" s="72"/>
      <c r="W107" s="72"/>
      <c r="X107" s="990"/>
      <c r="Y107" s="990"/>
      <c r="Z107" s="967"/>
      <c r="AA107" s="1085"/>
      <c r="AB107" s="168" t="str">
        <f t="shared" si="5"/>
        <v>2048 год</v>
      </c>
      <c r="AC107" s="308"/>
      <c r="AD107" s="886"/>
      <c r="AE107" s="885"/>
      <c r="AF107" s="885"/>
      <c r="AG107" s="886"/>
      <c r="AH107" s="885"/>
      <c r="AI107" s="886"/>
      <c r="AJ107" s="885"/>
      <c r="AK107" s="887"/>
      <c r="AL107" s="304"/>
      <c r="AM107" s="72"/>
      <c r="AN107" s="696" cm="1">
        <f t="array" ref="AN107">K107</f>
        <v>2048</v>
      </c>
      <c r="AO107" s="696" t="s">
        <v>2357</v>
      </c>
      <c r="AP107" s="706" cm="1">
        <f t="array" ref="AP107">AP106</f>
        <v>0</v>
      </c>
      <c r="AQ107" s="507"/>
      <c r="AR107" s="507"/>
    </row>
    <row r="108" spans="1:44" s="880" customFormat="1" ht="14.25" hidden="1" customHeight="1" x14ac:dyDescent="0.15">
      <c r="A108" s="72"/>
      <c r="B108" s="341" t="b">
        <f t="shared" si="4"/>
        <v>0</v>
      </c>
      <c r="C108" s="72"/>
      <c r="D108" s="72"/>
      <c r="E108" s="507">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3" t="b" cm="1">
        <f t="array" aca="1" ref="T108" ca="1">T107</f>
        <v>0</v>
      </c>
      <c r="U108" s="72"/>
      <c r="V108" s="72"/>
      <c r="W108" s="72"/>
      <c r="X108" s="990"/>
      <c r="Y108" s="990"/>
      <c r="Z108" s="967"/>
      <c r="AA108" s="1085"/>
      <c r="AB108" s="168" t="str">
        <f t="shared" si="5"/>
        <v>2049 год</v>
      </c>
      <c r="AC108" s="308"/>
      <c r="AD108" s="886"/>
      <c r="AE108" s="885"/>
      <c r="AF108" s="885"/>
      <c r="AG108" s="886"/>
      <c r="AH108" s="885"/>
      <c r="AI108" s="886"/>
      <c r="AJ108" s="885"/>
      <c r="AK108" s="887"/>
      <c r="AL108" s="304"/>
      <c r="AM108" s="72"/>
      <c r="AN108" s="696" cm="1">
        <f t="array" ref="AN108">K108</f>
        <v>2049</v>
      </c>
      <c r="AO108" s="696" t="s">
        <v>2357</v>
      </c>
      <c r="AP108" s="706" cm="1">
        <f t="array" ref="AP108">AP107</f>
        <v>0</v>
      </c>
      <c r="AQ108" s="507"/>
      <c r="AR108" s="507"/>
    </row>
    <row r="109" spans="1:44" s="880" customFormat="1" ht="14.25" hidden="1" customHeight="1" x14ac:dyDescent="0.15">
      <c r="A109" s="72"/>
      <c r="B109" s="341" t="b">
        <f t="shared" si="4"/>
        <v>0</v>
      </c>
      <c r="C109" s="72"/>
      <c r="D109" s="72"/>
      <c r="E109" s="507">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3" t="b" cm="1">
        <f t="array" aca="1" ref="T109" ca="1">T108</f>
        <v>0</v>
      </c>
      <c r="U109" s="72"/>
      <c r="V109" s="72"/>
      <c r="W109" s="72"/>
      <c r="X109" s="990"/>
      <c r="Y109" s="990"/>
      <c r="Z109" s="967"/>
      <c r="AA109" s="1085"/>
      <c r="AB109" s="168" t="str">
        <f t="shared" si="5"/>
        <v>2050 год</v>
      </c>
      <c r="AC109" s="308"/>
      <c r="AD109" s="886"/>
      <c r="AE109" s="885"/>
      <c r="AF109" s="885"/>
      <c r="AG109" s="886"/>
      <c r="AH109" s="885"/>
      <c r="AI109" s="886"/>
      <c r="AJ109" s="885"/>
      <c r="AK109" s="887"/>
      <c r="AL109" s="304"/>
      <c r="AM109" s="72"/>
      <c r="AN109" s="696" cm="1">
        <f t="array" ref="AN109">K109</f>
        <v>2050</v>
      </c>
      <c r="AO109" s="696" t="s">
        <v>2357</v>
      </c>
      <c r="AP109" s="706" cm="1">
        <f t="array" ref="AP109">AP108</f>
        <v>0</v>
      </c>
      <c r="AQ109" s="507"/>
      <c r="AR109" s="507"/>
    </row>
    <row r="110" spans="1:44" s="880" customFormat="1" ht="14.25" hidden="1" customHeight="1" x14ac:dyDescent="0.15">
      <c r="A110" s="72"/>
      <c r="B110" s="341" t="b">
        <f t="shared" si="4"/>
        <v>0</v>
      </c>
      <c r="C110" s="72"/>
      <c r="D110" s="72"/>
      <c r="E110" s="507">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3" t="b" cm="1">
        <f t="array" aca="1" ref="T110" ca="1">T109</f>
        <v>0</v>
      </c>
      <c r="U110" s="72"/>
      <c r="V110" s="72"/>
      <c r="W110" s="72"/>
      <c r="X110" s="990"/>
      <c r="Y110" s="990"/>
      <c r="Z110" s="967"/>
      <c r="AA110" s="1085"/>
      <c r="AB110" s="168" t="str">
        <f t="shared" si="5"/>
        <v>2051 год</v>
      </c>
      <c r="AC110" s="308"/>
      <c r="AD110" s="886"/>
      <c r="AE110" s="885"/>
      <c r="AF110" s="885"/>
      <c r="AG110" s="886"/>
      <c r="AH110" s="885"/>
      <c r="AI110" s="886"/>
      <c r="AJ110" s="885"/>
      <c r="AK110" s="887"/>
      <c r="AL110" s="304"/>
      <c r="AM110" s="72"/>
      <c r="AN110" s="696" cm="1">
        <f t="array" ref="AN110">K110</f>
        <v>2051</v>
      </c>
      <c r="AO110" s="696" t="s">
        <v>2357</v>
      </c>
      <c r="AP110" s="706" cm="1">
        <f t="array" ref="AP110">AP109</f>
        <v>0</v>
      </c>
      <c r="AQ110" s="507"/>
      <c r="AR110" s="507"/>
    </row>
    <row r="111" spans="1:44" s="880" customFormat="1" ht="14.25" hidden="1" customHeight="1" x14ac:dyDescent="0.15">
      <c r="A111" s="72"/>
      <c r="B111" s="341" t="b">
        <f t="shared" si="4"/>
        <v>0</v>
      </c>
      <c r="C111" s="72"/>
      <c r="D111" s="72"/>
      <c r="E111" s="507">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3" t="b" cm="1">
        <f t="array" aca="1" ref="T111" ca="1">T110</f>
        <v>0</v>
      </c>
      <c r="U111" s="72"/>
      <c r="V111" s="72"/>
      <c r="W111" s="72"/>
      <c r="X111" s="990"/>
      <c r="Y111" s="990"/>
      <c r="Z111" s="967"/>
      <c r="AA111" s="1085"/>
      <c r="AB111" s="168" t="str">
        <f t="shared" si="5"/>
        <v>2052 год</v>
      </c>
      <c r="AC111" s="308"/>
      <c r="AD111" s="886"/>
      <c r="AE111" s="885"/>
      <c r="AF111" s="885"/>
      <c r="AG111" s="886"/>
      <c r="AH111" s="885"/>
      <c r="AI111" s="886"/>
      <c r="AJ111" s="885"/>
      <c r="AK111" s="887"/>
      <c r="AL111" s="304"/>
      <c r="AM111" s="72"/>
      <c r="AN111" s="696" cm="1">
        <f t="array" ref="AN111">K111</f>
        <v>2052</v>
      </c>
      <c r="AO111" s="696" t="s">
        <v>2357</v>
      </c>
      <c r="AP111" s="706" cm="1">
        <f t="array" ref="AP111">AP110</f>
        <v>0</v>
      </c>
      <c r="AQ111" s="507"/>
      <c r="AR111" s="507"/>
    </row>
    <row r="112" spans="1:44" s="880" customFormat="1" ht="14.25" hidden="1" customHeight="1" x14ac:dyDescent="0.15">
      <c r="A112" s="72"/>
      <c r="B112" s="341" t="b">
        <f t="shared" si="4"/>
        <v>0</v>
      </c>
      <c r="C112" s="72"/>
      <c r="D112" s="72"/>
      <c r="E112" s="507">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3" t="b" cm="1">
        <f t="array" aca="1" ref="T112" ca="1">T111</f>
        <v>0</v>
      </c>
      <c r="U112" s="72"/>
      <c r="V112" s="72"/>
      <c r="W112" s="72"/>
      <c r="X112" s="990"/>
      <c r="Y112" s="990"/>
      <c r="Z112" s="967"/>
      <c r="AA112" s="1085"/>
      <c r="AB112" s="168" t="str">
        <f t="shared" si="5"/>
        <v>2053 год</v>
      </c>
      <c r="AC112" s="308"/>
      <c r="AD112" s="886"/>
      <c r="AE112" s="885"/>
      <c r="AF112" s="885"/>
      <c r="AG112" s="886"/>
      <c r="AH112" s="885"/>
      <c r="AI112" s="886"/>
      <c r="AJ112" s="885"/>
      <c r="AK112" s="887"/>
      <c r="AL112" s="304"/>
      <c r="AM112" s="72"/>
      <c r="AN112" s="696" cm="1">
        <f t="array" ref="AN112">K112</f>
        <v>2053</v>
      </c>
      <c r="AO112" s="696" t="s">
        <v>2357</v>
      </c>
      <c r="AP112" s="706" cm="1">
        <f t="array" ref="AP112">AP111</f>
        <v>0</v>
      </c>
      <c r="AQ112" s="507"/>
      <c r="AR112" s="507"/>
    </row>
    <row r="113" spans="1:44" s="880" customFormat="1" ht="14.25" hidden="1" customHeight="1" x14ac:dyDescent="0.15">
      <c r="A113" s="72"/>
      <c r="B113" s="341" t="b">
        <f t="shared" si="4"/>
        <v>0</v>
      </c>
      <c r="C113" s="72"/>
      <c r="D113" s="72"/>
      <c r="E113" s="507">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3" t="b" cm="1">
        <f t="array" aca="1" ref="T113" ca="1">T112</f>
        <v>0</v>
      </c>
      <c r="U113" s="72"/>
      <c r="V113" s="72"/>
      <c r="W113" s="72"/>
      <c r="X113" s="990"/>
      <c r="Y113" s="990"/>
      <c r="Z113" s="967"/>
      <c r="AA113" s="1085"/>
      <c r="AB113" s="168" t="str">
        <f t="shared" si="5"/>
        <v>2054 год</v>
      </c>
      <c r="AC113" s="308"/>
      <c r="AD113" s="886"/>
      <c r="AE113" s="885"/>
      <c r="AF113" s="885"/>
      <c r="AG113" s="886"/>
      <c r="AH113" s="885"/>
      <c r="AI113" s="886"/>
      <c r="AJ113" s="885"/>
      <c r="AK113" s="887"/>
      <c r="AL113" s="304"/>
      <c r="AM113" s="72"/>
      <c r="AN113" s="696" cm="1">
        <f t="array" ref="AN113">K113</f>
        <v>2054</v>
      </c>
      <c r="AO113" s="696" t="s">
        <v>2357</v>
      </c>
      <c r="AP113" s="706" cm="1">
        <f t="array" ref="AP113">AP112</f>
        <v>0</v>
      </c>
      <c r="AQ113" s="507"/>
      <c r="AR113" s="507"/>
    </row>
    <row r="114" spans="1:44" s="880" customFormat="1" ht="14.25" hidden="1" customHeight="1" x14ac:dyDescent="0.15">
      <c r="A114" s="72"/>
      <c r="B114" s="341" t="b">
        <f t="shared" si="4"/>
        <v>0</v>
      </c>
      <c r="C114" s="72"/>
      <c r="D114" s="72"/>
      <c r="E114" s="507">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3" t="b" cm="1">
        <f t="array" aca="1" ref="T114" ca="1">T113</f>
        <v>0</v>
      </c>
      <c r="U114" s="72"/>
      <c r="V114" s="72"/>
      <c r="W114" s="72"/>
      <c r="X114" s="990"/>
      <c r="Y114" s="990"/>
      <c r="Z114" s="967"/>
      <c r="AA114" s="1085"/>
      <c r="AB114" s="168" t="str">
        <f t="shared" si="5"/>
        <v>2055 год</v>
      </c>
      <c r="AC114" s="308"/>
      <c r="AD114" s="886"/>
      <c r="AE114" s="885"/>
      <c r="AF114" s="885"/>
      <c r="AG114" s="886"/>
      <c r="AH114" s="885"/>
      <c r="AI114" s="886"/>
      <c r="AJ114" s="885"/>
      <c r="AK114" s="887"/>
      <c r="AL114" s="304"/>
      <c r="AM114" s="72"/>
      <c r="AN114" s="696" cm="1">
        <f t="array" ref="AN114">K114</f>
        <v>2055</v>
      </c>
      <c r="AO114" s="696" t="s">
        <v>2357</v>
      </c>
      <c r="AP114" s="706" cm="1">
        <f t="array" ref="AP114">AP113</f>
        <v>0</v>
      </c>
      <c r="AQ114" s="507"/>
      <c r="AR114" s="507"/>
    </row>
    <row r="115" spans="1:44" s="880" customFormat="1" ht="14.25" hidden="1" customHeight="1" x14ac:dyDescent="0.15">
      <c r="A115" s="72"/>
      <c r="B115" s="341" t="b">
        <f t="shared" ref="B115:B132" si="6">K115&lt;first_year+PERIOD_LENGTH</f>
        <v>0</v>
      </c>
      <c r="C115" s="72"/>
      <c r="D115" s="72"/>
      <c r="E115" s="507">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3" t="b" cm="1">
        <f t="array" aca="1" ref="T115" ca="1">T114</f>
        <v>0</v>
      </c>
      <c r="U115" s="72"/>
      <c r="V115" s="72"/>
      <c r="W115" s="72"/>
      <c r="X115" s="990"/>
      <c r="Y115" s="990"/>
      <c r="Z115" s="967"/>
      <c r="AA115" s="1085"/>
      <c r="AB115" s="168" t="str">
        <f t="shared" ref="AB115:AB132" si="7">K115&amp;" год"</f>
        <v>2056 год</v>
      </c>
      <c r="AC115" s="308"/>
      <c r="AD115" s="886"/>
      <c r="AE115" s="885"/>
      <c r="AF115" s="885"/>
      <c r="AG115" s="886"/>
      <c r="AH115" s="885"/>
      <c r="AI115" s="886"/>
      <c r="AJ115" s="885"/>
      <c r="AK115" s="887"/>
      <c r="AL115" s="304"/>
      <c r="AM115" s="72"/>
      <c r="AN115" s="696" cm="1">
        <f t="array" ref="AN115">K115</f>
        <v>2056</v>
      </c>
      <c r="AO115" s="696" t="s">
        <v>2357</v>
      </c>
      <c r="AP115" s="706" cm="1">
        <f t="array" ref="AP115">AP114</f>
        <v>0</v>
      </c>
      <c r="AQ115" s="507"/>
      <c r="AR115" s="507"/>
    </row>
    <row r="116" spans="1:44" s="880" customFormat="1" ht="14.25" hidden="1" customHeight="1" x14ac:dyDescent="0.15">
      <c r="A116" s="72"/>
      <c r="B116" s="341" t="b">
        <f t="shared" si="6"/>
        <v>0</v>
      </c>
      <c r="C116" s="72"/>
      <c r="D116" s="72"/>
      <c r="E116" s="507">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3" t="b" cm="1">
        <f t="array" aca="1" ref="T116" ca="1">T115</f>
        <v>0</v>
      </c>
      <c r="U116" s="72"/>
      <c r="V116" s="72"/>
      <c r="W116" s="72"/>
      <c r="X116" s="990"/>
      <c r="Y116" s="990"/>
      <c r="Z116" s="967"/>
      <c r="AA116" s="1085"/>
      <c r="AB116" s="168" t="str">
        <f t="shared" si="7"/>
        <v>2057 год</v>
      </c>
      <c r="AC116" s="308"/>
      <c r="AD116" s="886"/>
      <c r="AE116" s="885"/>
      <c r="AF116" s="885"/>
      <c r="AG116" s="886"/>
      <c r="AH116" s="885"/>
      <c r="AI116" s="886"/>
      <c r="AJ116" s="885"/>
      <c r="AK116" s="887"/>
      <c r="AL116" s="304"/>
      <c r="AM116" s="72"/>
      <c r="AN116" s="696" cm="1">
        <f t="array" ref="AN116">K116</f>
        <v>2057</v>
      </c>
      <c r="AO116" s="696" t="s">
        <v>2357</v>
      </c>
      <c r="AP116" s="706" cm="1">
        <f t="array" ref="AP116">AP115</f>
        <v>0</v>
      </c>
      <c r="AQ116" s="507"/>
      <c r="AR116" s="507"/>
    </row>
    <row r="117" spans="1:44" s="880" customFormat="1" ht="14.25" hidden="1" customHeight="1" x14ac:dyDescent="0.15">
      <c r="A117" s="72"/>
      <c r="B117" s="341" t="b">
        <f t="shared" si="6"/>
        <v>0</v>
      </c>
      <c r="C117" s="72"/>
      <c r="D117" s="72"/>
      <c r="E117" s="507">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3" t="b" cm="1">
        <f t="array" aca="1" ref="T117" ca="1">T116</f>
        <v>0</v>
      </c>
      <c r="U117" s="72"/>
      <c r="V117" s="72"/>
      <c r="W117" s="72"/>
      <c r="X117" s="990"/>
      <c r="Y117" s="990"/>
      <c r="Z117" s="967"/>
      <c r="AA117" s="1085"/>
      <c r="AB117" s="168" t="str">
        <f t="shared" si="7"/>
        <v>2058 год</v>
      </c>
      <c r="AC117" s="308"/>
      <c r="AD117" s="886"/>
      <c r="AE117" s="885"/>
      <c r="AF117" s="885"/>
      <c r="AG117" s="886"/>
      <c r="AH117" s="885"/>
      <c r="AI117" s="886"/>
      <c r="AJ117" s="885"/>
      <c r="AK117" s="887"/>
      <c r="AL117" s="304"/>
      <c r="AM117" s="72"/>
      <c r="AN117" s="696" cm="1">
        <f t="array" ref="AN117">K117</f>
        <v>2058</v>
      </c>
      <c r="AO117" s="696" t="s">
        <v>2357</v>
      </c>
      <c r="AP117" s="706" cm="1">
        <f t="array" ref="AP117">AP116</f>
        <v>0</v>
      </c>
      <c r="AQ117" s="507"/>
      <c r="AR117" s="507"/>
    </row>
    <row r="118" spans="1:44" s="880" customFormat="1" ht="14.25" hidden="1" customHeight="1" x14ac:dyDescent="0.15">
      <c r="A118" s="72"/>
      <c r="B118" s="341" t="b">
        <f t="shared" si="6"/>
        <v>0</v>
      </c>
      <c r="C118" s="72"/>
      <c r="D118" s="72"/>
      <c r="E118" s="507">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3" t="b" cm="1">
        <f t="array" aca="1" ref="T118" ca="1">T117</f>
        <v>0</v>
      </c>
      <c r="U118" s="72"/>
      <c r="V118" s="72"/>
      <c r="W118" s="72"/>
      <c r="X118" s="990"/>
      <c r="Y118" s="990"/>
      <c r="Z118" s="967"/>
      <c r="AA118" s="1085"/>
      <c r="AB118" s="168" t="str">
        <f t="shared" si="7"/>
        <v>2059 год</v>
      </c>
      <c r="AC118" s="308"/>
      <c r="AD118" s="886"/>
      <c r="AE118" s="885"/>
      <c r="AF118" s="885"/>
      <c r="AG118" s="886"/>
      <c r="AH118" s="885"/>
      <c r="AI118" s="886"/>
      <c r="AJ118" s="885"/>
      <c r="AK118" s="887"/>
      <c r="AL118" s="304"/>
      <c r="AM118" s="72"/>
      <c r="AN118" s="696" cm="1">
        <f t="array" ref="AN118">K118</f>
        <v>2059</v>
      </c>
      <c r="AO118" s="696" t="s">
        <v>2357</v>
      </c>
      <c r="AP118" s="706" cm="1">
        <f t="array" ref="AP118">AP117</f>
        <v>0</v>
      </c>
      <c r="AQ118" s="507"/>
      <c r="AR118" s="507"/>
    </row>
    <row r="119" spans="1:44" s="880" customFormat="1" ht="14.25" hidden="1" customHeight="1" x14ac:dyDescent="0.15">
      <c r="A119" s="72"/>
      <c r="B119" s="341" t="b">
        <f t="shared" si="6"/>
        <v>0</v>
      </c>
      <c r="C119" s="72"/>
      <c r="D119" s="72"/>
      <c r="E119" s="507">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3" t="b" cm="1">
        <f t="array" aca="1" ref="T119" ca="1">T118</f>
        <v>0</v>
      </c>
      <c r="U119" s="72"/>
      <c r="V119" s="72"/>
      <c r="W119" s="72"/>
      <c r="X119" s="990"/>
      <c r="Y119" s="990"/>
      <c r="Z119" s="967"/>
      <c r="AA119" s="1085"/>
      <c r="AB119" s="168" t="str">
        <f t="shared" si="7"/>
        <v>2060 год</v>
      </c>
      <c r="AC119" s="308"/>
      <c r="AD119" s="886"/>
      <c r="AE119" s="885"/>
      <c r="AF119" s="885"/>
      <c r="AG119" s="886"/>
      <c r="AH119" s="885"/>
      <c r="AI119" s="886"/>
      <c r="AJ119" s="885"/>
      <c r="AK119" s="887"/>
      <c r="AL119" s="304"/>
      <c r="AM119" s="72"/>
      <c r="AN119" s="696" cm="1">
        <f t="array" ref="AN119">K119</f>
        <v>2060</v>
      </c>
      <c r="AO119" s="696" t="s">
        <v>2357</v>
      </c>
      <c r="AP119" s="706" cm="1">
        <f t="array" ref="AP119">AP118</f>
        <v>0</v>
      </c>
      <c r="AQ119" s="507"/>
      <c r="AR119" s="507"/>
    </row>
    <row r="120" spans="1:44" s="880" customFormat="1" ht="14.25" hidden="1" customHeight="1" x14ac:dyDescent="0.15">
      <c r="A120" s="72"/>
      <c r="B120" s="341" t="b">
        <f t="shared" si="6"/>
        <v>0</v>
      </c>
      <c r="C120" s="72"/>
      <c r="D120" s="72"/>
      <c r="E120" s="507">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3" t="b" cm="1">
        <f t="array" aca="1" ref="T120" ca="1">T119</f>
        <v>0</v>
      </c>
      <c r="U120" s="72"/>
      <c r="V120" s="72"/>
      <c r="W120" s="72"/>
      <c r="X120" s="990"/>
      <c r="Y120" s="990"/>
      <c r="Z120" s="967"/>
      <c r="AA120" s="1085"/>
      <c r="AB120" s="168" t="str">
        <f t="shared" si="7"/>
        <v>2061 год</v>
      </c>
      <c r="AC120" s="308"/>
      <c r="AD120" s="886"/>
      <c r="AE120" s="885"/>
      <c r="AF120" s="885"/>
      <c r="AG120" s="886"/>
      <c r="AH120" s="885"/>
      <c r="AI120" s="886"/>
      <c r="AJ120" s="885"/>
      <c r="AK120" s="887"/>
      <c r="AL120" s="304"/>
      <c r="AM120" s="72"/>
      <c r="AN120" s="696" cm="1">
        <f t="array" ref="AN120">K120</f>
        <v>2061</v>
      </c>
      <c r="AO120" s="696" t="s">
        <v>2357</v>
      </c>
      <c r="AP120" s="706" cm="1">
        <f t="array" ref="AP120">AP119</f>
        <v>0</v>
      </c>
      <c r="AQ120" s="507"/>
      <c r="AR120" s="507"/>
    </row>
    <row r="121" spans="1:44" s="880" customFormat="1" ht="14.25" hidden="1" customHeight="1" x14ac:dyDescent="0.15">
      <c r="A121" s="72"/>
      <c r="B121" s="341" t="b">
        <f t="shared" si="6"/>
        <v>0</v>
      </c>
      <c r="C121" s="72"/>
      <c r="D121" s="72"/>
      <c r="E121" s="507">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3" t="b" cm="1">
        <f t="array" aca="1" ref="T121" ca="1">T120</f>
        <v>0</v>
      </c>
      <c r="U121" s="72"/>
      <c r="V121" s="72"/>
      <c r="W121" s="72"/>
      <c r="X121" s="990"/>
      <c r="Y121" s="990"/>
      <c r="Z121" s="967"/>
      <c r="AA121" s="1085"/>
      <c r="AB121" s="168" t="str">
        <f t="shared" si="7"/>
        <v>2062 год</v>
      </c>
      <c r="AC121" s="308"/>
      <c r="AD121" s="886"/>
      <c r="AE121" s="885"/>
      <c r="AF121" s="885"/>
      <c r="AG121" s="886"/>
      <c r="AH121" s="885"/>
      <c r="AI121" s="886"/>
      <c r="AJ121" s="885"/>
      <c r="AK121" s="887"/>
      <c r="AL121" s="304"/>
      <c r="AM121" s="72"/>
      <c r="AN121" s="696" cm="1">
        <f t="array" ref="AN121">K121</f>
        <v>2062</v>
      </c>
      <c r="AO121" s="696" t="s">
        <v>2357</v>
      </c>
      <c r="AP121" s="706" cm="1">
        <f t="array" ref="AP121">AP120</f>
        <v>0</v>
      </c>
      <c r="AQ121" s="507"/>
      <c r="AR121" s="507"/>
    </row>
    <row r="122" spans="1:44" s="880" customFormat="1" ht="14.25" hidden="1" customHeight="1" x14ac:dyDescent="0.15">
      <c r="A122" s="72"/>
      <c r="B122" s="341" t="b">
        <f t="shared" si="6"/>
        <v>0</v>
      </c>
      <c r="C122" s="72"/>
      <c r="D122" s="72"/>
      <c r="E122" s="507">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3" t="b" cm="1">
        <f t="array" aca="1" ref="T122" ca="1">T121</f>
        <v>0</v>
      </c>
      <c r="U122" s="72"/>
      <c r="V122" s="72"/>
      <c r="W122" s="72"/>
      <c r="X122" s="990"/>
      <c r="Y122" s="990"/>
      <c r="Z122" s="967"/>
      <c r="AA122" s="1085"/>
      <c r="AB122" s="168" t="str">
        <f t="shared" si="7"/>
        <v>2063 год</v>
      </c>
      <c r="AC122" s="308"/>
      <c r="AD122" s="886"/>
      <c r="AE122" s="885"/>
      <c r="AF122" s="885"/>
      <c r="AG122" s="886"/>
      <c r="AH122" s="885"/>
      <c r="AI122" s="886"/>
      <c r="AJ122" s="885"/>
      <c r="AK122" s="887"/>
      <c r="AL122" s="304"/>
      <c r="AM122" s="72"/>
      <c r="AN122" s="696" cm="1">
        <f t="array" ref="AN122">K122</f>
        <v>2063</v>
      </c>
      <c r="AO122" s="696" t="s">
        <v>2357</v>
      </c>
      <c r="AP122" s="706" cm="1">
        <f t="array" ref="AP122">AP121</f>
        <v>0</v>
      </c>
      <c r="AQ122" s="507"/>
      <c r="AR122" s="507"/>
    </row>
    <row r="123" spans="1:44" s="880" customFormat="1" ht="14.25" hidden="1" customHeight="1" x14ac:dyDescent="0.15">
      <c r="A123" s="72"/>
      <c r="B123" s="341" t="b">
        <f t="shared" si="6"/>
        <v>0</v>
      </c>
      <c r="C123" s="72"/>
      <c r="D123" s="72"/>
      <c r="E123" s="507">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3" t="b" cm="1">
        <f t="array" aca="1" ref="T123" ca="1">T122</f>
        <v>0</v>
      </c>
      <c r="U123" s="72"/>
      <c r="V123" s="72"/>
      <c r="W123" s="72"/>
      <c r="X123" s="990"/>
      <c r="Y123" s="990"/>
      <c r="Z123" s="967"/>
      <c r="AA123" s="1085"/>
      <c r="AB123" s="168" t="str">
        <f t="shared" si="7"/>
        <v>2064 год</v>
      </c>
      <c r="AC123" s="308"/>
      <c r="AD123" s="886"/>
      <c r="AE123" s="885"/>
      <c r="AF123" s="885"/>
      <c r="AG123" s="886"/>
      <c r="AH123" s="885"/>
      <c r="AI123" s="886"/>
      <c r="AJ123" s="885"/>
      <c r="AK123" s="887"/>
      <c r="AL123" s="304"/>
      <c r="AM123" s="72"/>
      <c r="AN123" s="696" cm="1">
        <f t="array" ref="AN123">K123</f>
        <v>2064</v>
      </c>
      <c r="AO123" s="696" t="s">
        <v>2357</v>
      </c>
      <c r="AP123" s="706" cm="1">
        <f t="array" ref="AP123">AP122</f>
        <v>0</v>
      </c>
      <c r="AQ123" s="507"/>
      <c r="AR123" s="507"/>
    </row>
    <row r="124" spans="1:44" s="880" customFormat="1" ht="14.25" hidden="1" customHeight="1" x14ac:dyDescent="0.15">
      <c r="A124" s="72"/>
      <c r="B124" s="341" t="b">
        <f t="shared" si="6"/>
        <v>0</v>
      </c>
      <c r="C124" s="72"/>
      <c r="D124" s="72"/>
      <c r="E124" s="507">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3" t="b" cm="1">
        <f t="array" aca="1" ref="T124" ca="1">T123</f>
        <v>0</v>
      </c>
      <c r="U124" s="72"/>
      <c r="V124" s="72"/>
      <c r="W124" s="72"/>
      <c r="X124" s="990"/>
      <c r="Y124" s="990"/>
      <c r="Z124" s="967"/>
      <c r="AA124" s="1085"/>
      <c r="AB124" s="168" t="str">
        <f t="shared" si="7"/>
        <v>2065 год</v>
      </c>
      <c r="AC124" s="308"/>
      <c r="AD124" s="886"/>
      <c r="AE124" s="885"/>
      <c r="AF124" s="885"/>
      <c r="AG124" s="886"/>
      <c r="AH124" s="885"/>
      <c r="AI124" s="886"/>
      <c r="AJ124" s="885"/>
      <c r="AK124" s="887"/>
      <c r="AL124" s="304"/>
      <c r="AM124" s="72"/>
      <c r="AN124" s="696" cm="1">
        <f t="array" ref="AN124">K124</f>
        <v>2065</v>
      </c>
      <c r="AO124" s="696" t="s">
        <v>2357</v>
      </c>
      <c r="AP124" s="706" cm="1">
        <f t="array" ref="AP124">AP123</f>
        <v>0</v>
      </c>
      <c r="AQ124" s="507"/>
      <c r="AR124" s="507"/>
    </row>
    <row r="125" spans="1:44" s="880" customFormat="1" ht="14.25" hidden="1" customHeight="1" x14ac:dyDescent="0.15">
      <c r="A125" s="72"/>
      <c r="B125" s="341" t="b">
        <f t="shared" si="6"/>
        <v>0</v>
      </c>
      <c r="C125" s="72"/>
      <c r="D125" s="72"/>
      <c r="E125" s="507">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3" t="b" cm="1">
        <f t="array" aca="1" ref="T125" ca="1">T124</f>
        <v>0</v>
      </c>
      <c r="U125" s="72"/>
      <c r="V125" s="72"/>
      <c r="W125" s="72"/>
      <c r="X125" s="990"/>
      <c r="Y125" s="990"/>
      <c r="Z125" s="967"/>
      <c r="AA125" s="1085"/>
      <c r="AB125" s="168" t="str">
        <f t="shared" si="7"/>
        <v>2066 год</v>
      </c>
      <c r="AC125" s="308"/>
      <c r="AD125" s="886"/>
      <c r="AE125" s="885"/>
      <c r="AF125" s="885"/>
      <c r="AG125" s="886"/>
      <c r="AH125" s="885"/>
      <c r="AI125" s="886"/>
      <c r="AJ125" s="885"/>
      <c r="AK125" s="887"/>
      <c r="AL125" s="304"/>
      <c r="AM125" s="72"/>
      <c r="AN125" s="696" cm="1">
        <f t="array" ref="AN125">K125</f>
        <v>2066</v>
      </c>
      <c r="AO125" s="696" t="s">
        <v>2357</v>
      </c>
      <c r="AP125" s="706" cm="1">
        <f t="array" ref="AP125">AP124</f>
        <v>0</v>
      </c>
      <c r="AQ125" s="507"/>
      <c r="AR125" s="507"/>
    </row>
    <row r="126" spans="1:44" s="880" customFormat="1" ht="14.25" hidden="1" customHeight="1" x14ac:dyDescent="0.15">
      <c r="A126" s="72"/>
      <c r="B126" s="341" t="b">
        <f t="shared" si="6"/>
        <v>0</v>
      </c>
      <c r="C126" s="72"/>
      <c r="D126" s="72"/>
      <c r="E126" s="507">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3" t="b" cm="1">
        <f t="array" aca="1" ref="T126" ca="1">T125</f>
        <v>0</v>
      </c>
      <c r="U126" s="72"/>
      <c r="V126" s="72"/>
      <c r="W126" s="72"/>
      <c r="X126" s="990"/>
      <c r="Y126" s="990"/>
      <c r="Z126" s="967"/>
      <c r="AA126" s="1085"/>
      <c r="AB126" s="168" t="str">
        <f t="shared" si="7"/>
        <v>2067 год</v>
      </c>
      <c r="AC126" s="308"/>
      <c r="AD126" s="886"/>
      <c r="AE126" s="885"/>
      <c r="AF126" s="885"/>
      <c r="AG126" s="886"/>
      <c r="AH126" s="885"/>
      <c r="AI126" s="886"/>
      <c r="AJ126" s="885"/>
      <c r="AK126" s="887"/>
      <c r="AL126" s="304"/>
      <c r="AM126" s="72"/>
      <c r="AN126" s="696" cm="1">
        <f t="array" ref="AN126">K126</f>
        <v>2067</v>
      </c>
      <c r="AO126" s="696" t="s">
        <v>2357</v>
      </c>
      <c r="AP126" s="706" cm="1">
        <f t="array" ref="AP126">AP125</f>
        <v>0</v>
      </c>
      <c r="AQ126" s="507"/>
      <c r="AR126" s="507"/>
    </row>
    <row r="127" spans="1:44" s="880" customFormat="1" ht="14.25" hidden="1" customHeight="1" x14ac:dyDescent="0.15">
      <c r="A127" s="72"/>
      <c r="B127" s="341" t="b">
        <f t="shared" si="6"/>
        <v>0</v>
      </c>
      <c r="C127" s="72"/>
      <c r="D127" s="72"/>
      <c r="E127" s="507">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3" t="b" cm="1">
        <f t="array" aca="1" ref="T127" ca="1">T126</f>
        <v>0</v>
      </c>
      <c r="U127" s="72"/>
      <c r="V127" s="72"/>
      <c r="W127" s="72"/>
      <c r="X127" s="990"/>
      <c r="Y127" s="990"/>
      <c r="Z127" s="967"/>
      <c r="AA127" s="1085"/>
      <c r="AB127" s="168" t="str">
        <f t="shared" si="7"/>
        <v>2068 год</v>
      </c>
      <c r="AC127" s="308"/>
      <c r="AD127" s="886"/>
      <c r="AE127" s="885"/>
      <c r="AF127" s="885"/>
      <c r="AG127" s="886"/>
      <c r="AH127" s="885"/>
      <c r="AI127" s="886"/>
      <c r="AJ127" s="885"/>
      <c r="AK127" s="887"/>
      <c r="AL127" s="304"/>
      <c r="AM127" s="72"/>
      <c r="AN127" s="696" cm="1">
        <f t="array" ref="AN127">K127</f>
        <v>2068</v>
      </c>
      <c r="AO127" s="696" t="s">
        <v>2357</v>
      </c>
      <c r="AP127" s="706" cm="1">
        <f t="array" ref="AP127">AP126</f>
        <v>0</v>
      </c>
      <c r="AQ127" s="507"/>
      <c r="AR127" s="507"/>
    </row>
    <row r="128" spans="1:44" s="880" customFormat="1" ht="14.25" hidden="1" customHeight="1" x14ac:dyDescent="0.15">
      <c r="A128" s="72"/>
      <c r="B128" s="341" t="b">
        <f t="shared" si="6"/>
        <v>0</v>
      </c>
      <c r="C128" s="72"/>
      <c r="D128" s="72"/>
      <c r="E128" s="507">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3" t="b" cm="1">
        <f t="array" aca="1" ref="T128" ca="1">T127</f>
        <v>0</v>
      </c>
      <c r="U128" s="72"/>
      <c r="V128" s="72"/>
      <c r="W128" s="72"/>
      <c r="X128" s="990"/>
      <c r="Y128" s="990"/>
      <c r="Z128" s="967"/>
      <c r="AA128" s="1085"/>
      <c r="AB128" s="168" t="str">
        <f t="shared" si="7"/>
        <v>2069 год</v>
      </c>
      <c r="AC128" s="308"/>
      <c r="AD128" s="886"/>
      <c r="AE128" s="885"/>
      <c r="AF128" s="885"/>
      <c r="AG128" s="886"/>
      <c r="AH128" s="885"/>
      <c r="AI128" s="886"/>
      <c r="AJ128" s="885"/>
      <c r="AK128" s="887"/>
      <c r="AL128" s="304"/>
      <c r="AM128" s="72"/>
      <c r="AN128" s="696" cm="1">
        <f t="array" ref="AN128">K128</f>
        <v>2069</v>
      </c>
      <c r="AO128" s="696" t="s">
        <v>2357</v>
      </c>
      <c r="AP128" s="706" cm="1">
        <f t="array" ref="AP128">AP127</f>
        <v>0</v>
      </c>
      <c r="AQ128" s="507"/>
      <c r="AR128" s="507"/>
    </row>
    <row r="129" spans="1:44" s="880" customFormat="1" ht="14.25" hidden="1" customHeight="1" x14ac:dyDescent="0.15">
      <c r="A129" s="72"/>
      <c r="B129" s="341" t="b">
        <f t="shared" si="6"/>
        <v>0</v>
      </c>
      <c r="C129" s="72"/>
      <c r="D129" s="72"/>
      <c r="E129" s="507">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3" t="b" cm="1">
        <f t="array" aca="1" ref="T129" ca="1">T128</f>
        <v>0</v>
      </c>
      <c r="U129" s="72"/>
      <c r="V129" s="72"/>
      <c r="W129" s="72"/>
      <c r="X129" s="990"/>
      <c r="Y129" s="990"/>
      <c r="Z129" s="967"/>
      <c r="AA129" s="1085"/>
      <c r="AB129" s="168" t="str">
        <f t="shared" si="7"/>
        <v>2070 год</v>
      </c>
      <c r="AC129" s="308"/>
      <c r="AD129" s="886"/>
      <c r="AE129" s="885"/>
      <c r="AF129" s="885"/>
      <c r="AG129" s="886"/>
      <c r="AH129" s="885"/>
      <c r="AI129" s="886"/>
      <c r="AJ129" s="885"/>
      <c r="AK129" s="887"/>
      <c r="AL129" s="304"/>
      <c r="AM129" s="72"/>
      <c r="AN129" s="696" cm="1">
        <f t="array" ref="AN129">K129</f>
        <v>2070</v>
      </c>
      <c r="AO129" s="696" t="s">
        <v>2357</v>
      </c>
      <c r="AP129" s="706" cm="1">
        <f t="array" ref="AP129">AP128</f>
        <v>0</v>
      </c>
      <c r="AQ129" s="507"/>
      <c r="AR129" s="507"/>
    </row>
    <row r="130" spans="1:44" s="880" customFormat="1" ht="14.25" hidden="1" customHeight="1" x14ac:dyDescent="0.15">
      <c r="A130" s="72"/>
      <c r="B130" s="341" t="b">
        <f t="shared" si="6"/>
        <v>0</v>
      </c>
      <c r="C130" s="72"/>
      <c r="D130" s="72"/>
      <c r="E130" s="507">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3" t="b" cm="1">
        <f t="array" aca="1" ref="T130" ca="1">T129</f>
        <v>0</v>
      </c>
      <c r="U130" s="72"/>
      <c r="V130" s="72"/>
      <c r="W130" s="72"/>
      <c r="X130" s="990"/>
      <c r="Y130" s="990"/>
      <c r="Z130" s="967"/>
      <c r="AA130" s="1085"/>
      <c r="AB130" s="168" t="str">
        <f t="shared" si="7"/>
        <v>2071 год</v>
      </c>
      <c r="AC130" s="308"/>
      <c r="AD130" s="886"/>
      <c r="AE130" s="885"/>
      <c r="AF130" s="885"/>
      <c r="AG130" s="886"/>
      <c r="AH130" s="885"/>
      <c r="AI130" s="886"/>
      <c r="AJ130" s="885"/>
      <c r="AK130" s="887"/>
      <c r="AL130" s="304"/>
      <c r="AM130" s="72"/>
      <c r="AN130" s="696" cm="1">
        <f t="array" ref="AN130">K130</f>
        <v>2071</v>
      </c>
      <c r="AO130" s="696" t="s">
        <v>2357</v>
      </c>
      <c r="AP130" s="706" cm="1">
        <f t="array" ref="AP130">AP129</f>
        <v>0</v>
      </c>
      <c r="AQ130" s="507"/>
      <c r="AR130" s="507"/>
    </row>
    <row r="131" spans="1:44" s="880" customFormat="1" ht="14.25" hidden="1" customHeight="1" x14ac:dyDescent="0.15">
      <c r="A131" s="72"/>
      <c r="B131" s="341" t="b">
        <f t="shared" si="6"/>
        <v>0</v>
      </c>
      <c r="C131" s="72"/>
      <c r="D131" s="72"/>
      <c r="E131" s="507">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3" t="b" cm="1">
        <f t="array" aca="1" ref="T131" ca="1">T130</f>
        <v>0</v>
      </c>
      <c r="U131" s="72"/>
      <c r="V131" s="72"/>
      <c r="W131" s="72"/>
      <c r="X131" s="990"/>
      <c r="Y131" s="990"/>
      <c r="Z131" s="967"/>
      <c r="AA131" s="1085"/>
      <c r="AB131" s="168" t="str">
        <f t="shared" si="7"/>
        <v>2072 год</v>
      </c>
      <c r="AC131" s="308"/>
      <c r="AD131" s="886"/>
      <c r="AE131" s="885"/>
      <c r="AF131" s="885"/>
      <c r="AG131" s="886"/>
      <c r="AH131" s="885"/>
      <c r="AI131" s="886"/>
      <c r="AJ131" s="885"/>
      <c r="AK131" s="887"/>
      <c r="AL131" s="304"/>
      <c r="AM131" s="72"/>
      <c r="AN131" s="696" cm="1">
        <f t="array" ref="AN131">K131</f>
        <v>2072</v>
      </c>
      <c r="AO131" s="696" t="s">
        <v>2357</v>
      </c>
      <c r="AP131" s="706" cm="1">
        <f t="array" ref="AP131">AP130</f>
        <v>0</v>
      </c>
      <c r="AQ131" s="507"/>
      <c r="AR131" s="507"/>
    </row>
    <row r="132" spans="1:44" s="880" customFormat="1" ht="14.25" hidden="1" customHeight="1" x14ac:dyDescent="0.15">
      <c r="A132" s="72"/>
      <c r="B132" s="341" t="b">
        <f t="shared" si="6"/>
        <v>0</v>
      </c>
      <c r="C132" s="72"/>
      <c r="D132" s="72"/>
      <c r="E132" s="507">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3" t="b" cm="1">
        <f t="array" aca="1" ref="T132" ca="1">T131</f>
        <v>0</v>
      </c>
      <c r="U132" s="72"/>
      <c r="V132" s="72"/>
      <c r="W132" s="72"/>
      <c r="X132" s="990"/>
      <c r="Y132" s="990"/>
      <c r="Z132" s="967"/>
      <c r="AA132" s="1085"/>
      <c r="AB132" s="168" t="str">
        <f t="shared" si="7"/>
        <v>2073 год</v>
      </c>
      <c r="AC132" s="308"/>
      <c r="AD132" s="886"/>
      <c r="AE132" s="885"/>
      <c r="AF132" s="885"/>
      <c r="AG132" s="886"/>
      <c r="AH132" s="885"/>
      <c r="AI132" s="886"/>
      <c r="AJ132" s="885"/>
      <c r="AK132" s="887"/>
      <c r="AL132" s="304"/>
      <c r="AM132" s="72"/>
      <c r="AN132" s="696" cm="1">
        <f t="array" ref="AN132">K132</f>
        <v>2073</v>
      </c>
      <c r="AO132" s="696" t="s">
        <v>2357</v>
      </c>
      <c r="AP132" s="706" cm="1">
        <f t="array" ref="AP132">AP131</f>
        <v>0</v>
      </c>
      <c r="AQ132" s="507"/>
      <c r="AR132" s="507"/>
    </row>
    <row r="133" spans="1:44" ht="14.25" customHeight="1" x14ac:dyDescent="0.15">
      <c r="A133" s="72"/>
      <c r="B133" s="329"/>
      <c r="C133" s="72"/>
      <c r="D133" s="72"/>
      <c r="E133" s="507">
        <v>15</v>
      </c>
      <c r="F133" s="765"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3" t="b">
        <f ca="1">F133&gt;0</f>
        <v>1</v>
      </c>
      <c r="U133" s="72"/>
      <c r="V133" s="72"/>
      <c r="W133" s="506" t="s">
        <v>2358</v>
      </c>
      <c r="X133" s="990"/>
      <c r="Y133" s="72"/>
      <c r="Z133" s="967"/>
      <c r="AA133" s="72"/>
      <c r="AB133" s="623" t="s">
        <v>176</v>
      </c>
      <c r="AC133" s="212"/>
      <c r="AD133" s="212"/>
      <c r="AE133" s="212"/>
      <c r="AF133" s="212"/>
      <c r="AG133" s="212"/>
      <c r="AH133" s="212"/>
      <c r="AI133" s="212"/>
      <c r="AJ133" s="212"/>
      <c r="AK133" s="212"/>
      <c r="AL133" s="304"/>
      <c r="AM133"/>
      <c r="AN133" s="661"/>
      <c r="AO133" s="661"/>
      <c r="AP133" s="661"/>
      <c r="AQ133" s="663" t="s">
        <v>2357</v>
      </c>
      <c r="AR133" s="454"/>
    </row>
    <row r="134" spans="1:44" s="396" customFormat="1" ht="14.25" customHeight="1" x14ac:dyDescent="0.15">
      <c r="A134" s="38"/>
      <c r="B134" s="43"/>
      <c r="C134" s="38"/>
      <c r="D134" s="38"/>
      <c r="E134" s="448">
        <v>15</v>
      </c>
      <c r="F134" s="17" t="str" cm="1">
        <f t="array" ref="F134">X134</f>
        <v>2</v>
      </c>
      <c r="G134" s="38"/>
      <c r="H134" s="38"/>
      <c r="I134" s="38"/>
      <c r="J134" s="38"/>
      <c r="K134" s="38"/>
      <c r="L134" s="38"/>
      <c r="M134" s="38"/>
      <c r="N134" s="38"/>
      <c r="O134" s="38"/>
      <c r="P134" s="38"/>
      <c r="Q134" s="38"/>
      <c r="R134" s="38"/>
      <c r="S134" s="38"/>
      <c r="T134" s="353" t="b">
        <f>X134&gt;0</f>
        <v>1</v>
      </c>
      <c r="U134" s="38"/>
      <c r="V134" s="38" t="str" cm="1">
        <f t="array" ref="V134">ДПР!$AB$132</f>
        <v>Тариф 2 (Водоотведение) - тариф на водоотведение</v>
      </c>
      <c r="W134" s="38"/>
      <c r="X134" s="990" t="s">
        <v>285</v>
      </c>
      <c r="Y134" s="38"/>
      <c r="Z134" s="967"/>
      <c r="AA134" s="38"/>
      <c r="AB134" s="280" t="str" cm="1">
        <f t="array" ref="AB134">ДПР!$AB$132</f>
        <v>Тариф 2 (Водоотведение) - тариф на водоотведение</v>
      </c>
      <c r="AC134" s="156"/>
      <c r="AD134" s="156"/>
      <c r="AE134" s="156"/>
      <c r="AF134" s="156"/>
      <c r="AG134" s="156"/>
      <c r="AH134" s="156"/>
      <c r="AI134" s="156"/>
      <c r="AJ134" s="156"/>
      <c r="AK134" s="156"/>
      <c r="AL134" s="303"/>
      <c r="AM134" s="38"/>
      <c r="AN134" s="656"/>
      <c r="AO134" s="656"/>
      <c r="AP134" s="656"/>
      <c r="AQ134" s="448"/>
      <c r="AR134" s="448"/>
    </row>
    <row r="135" spans="1:44" s="396" customFormat="1" ht="14.25" hidden="1" customHeight="1" x14ac:dyDescent="0.15">
      <c r="A135" s="38"/>
      <c r="B135" s="43"/>
      <c r="C135" s="38"/>
      <c r="D135" s="38"/>
      <c r="E135" s="448">
        <v>15</v>
      </c>
      <c r="F135" s="3" t="str" cm="1">
        <f t="array" aca="1" ref="F135" ca="1">OFFSET(E135,-1,1)</f>
        <v>2</v>
      </c>
      <c r="G135" s="38" cm="1">
        <f t="array" ref="G135">AB135</f>
        <v>0</v>
      </c>
      <c r="H135" s="38"/>
      <c r="I135" s="38"/>
      <c r="J135" s="38"/>
      <c r="K135" s="38"/>
      <c r="L135" s="38"/>
      <c r="M135" s="38"/>
      <c r="N135" s="38"/>
      <c r="O135" s="38"/>
      <c r="P135" s="38"/>
      <c r="Q135" s="38"/>
      <c r="R135" s="38"/>
      <c r="S135" s="38"/>
      <c r="T135" s="353" t="b">
        <f ca="1">AND(F135&gt;0,Y135&gt;0)</f>
        <v>0</v>
      </c>
      <c r="U135" s="38"/>
      <c r="V135" s="38"/>
      <c r="W135" s="38" t="s">
        <v>172</v>
      </c>
      <c r="X135" s="990"/>
      <c r="Y135" s="990">
        <v>0</v>
      </c>
      <c r="Z135" s="967"/>
      <c r="AA135" s="1085" t="s">
        <v>173</v>
      </c>
      <c r="AB135" s="1086"/>
      <c r="AC135" s="1086"/>
      <c r="AD135" s="1086"/>
      <c r="AE135" s="1086"/>
      <c r="AF135" s="1086"/>
      <c r="AG135" s="1086"/>
      <c r="AH135" s="1086"/>
      <c r="AI135" s="1086"/>
      <c r="AJ135" s="1086"/>
      <c r="AK135" s="1087"/>
      <c r="AL135" s="303"/>
      <c r="AM135" s="38"/>
      <c r="AN135" s="656"/>
      <c r="AO135" s="696" t="s">
        <v>2357</v>
      </c>
      <c r="AP135" s="687" cm="1">
        <f t="array" ref="AP135">AB135</f>
        <v>0</v>
      </c>
      <c r="AQ135" s="448"/>
      <c r="AR135" s="448" t="b">
        <v>1</v>
      </c>
    </row>
    <row r="136" spans="1:44" s="880" customFormat="1" ht="14.25" hidden="1" customHeight="1" x14ac:dyDescent="0.15">
      <c r="A136" s="72"/>
      <c r="B136" s="341" t="b">
        <f t="shared" ref="B136:B167" si="8">K136&lt;first_year+PERIOD_LENGTH</f>
        <v>1</v>
      </c>
      <c r="C136" s="72"/>
      <c r="D136" s="72"/>
      <c r="E136" s="507">
        <v>15</v>
      </c>
      <c r="F136" s="3" t="str" cm="1">
        <f t="array" aca="1" ref="F136" ca="1">OFFSET(E136,-1,1)</f>
        <v>2</v>
      </c>
      <c r="G136" s="17" cm="1">
        <f t="array" ref="G136">G135</f>
        <v>0</v>
      </c>
      <c r="H136" s="72"/>
      <c r="I136" s="72"/>
      <c r="J136" s="72"/>
      <c r="K136" s="72" cm="1">
        <f t="array" ref="K136">first_year</f>
        <v>2024</v>
      </c>
      <c r="L136" s="72"/>
      <c r="M136" s="72"/>
      <c r="N136" s="72"/>
      <c r="O136" s="72"/>
      <c r="P136" s="72"/>
      <c r="Q136" s="72"/>
      <c r="R136" s="72"/>
      <c r="S136" s="72"/>
      <c r="T136" s="353" t="b" cm="1">
        <f t="array" aca="1" ref="T136" ca="1">T135</f>
        <v>0</v>
      </c>
      <c r="U136" s="72"/>
      <c r="V136" s="72"/>
      <c r="W136" s="72"/>
      <c r="X136" s="990"/>
      <c r="Y136" s="990"/>
      <c r="Z136" s="967"/>
      <c r="AA136" s="1085"/>
      <c r="AB136" s="211" t="str">
        <f t="shared" ref="AB136:AB167" si="9">K136&amp;" год"</f>
        <v>2024 год</v>
      </c>
      <c r="AC136" s="885"/>
      <c r="AD136" s="886"/>
      <c r="AE136" s="885"/>
      <c r="AF136" s="885"/>
      <c r="AG136" s="886"/>
      <c r="AH136" s="885"/>
      <c r="AI136" s="886"/>
      <c r="AJ136" s="885"/>
      <c r="AK136" s="887"/>
      <c r="AL136" s="304"/>
      <c r="AM136" s="72"/>
      <c r="AN136" s="696" cm="1">
        <f t="array" ref="AN136">K136</f>
        <v>2024</v>
      </c>
      <c r="AO136" s="696" t="s">
        <v>2357</v>
      </c>
      <c r="AP136" s="706" cm="1">
        <f t="array" ref="AP136">AP135</f>
        <v>0</v>
      </c>
      <c r="AQ136" s="507"/>
      <c r="AR136" s="507"/>
    </row>
    <row r="137" spans="1:44" s="880" customFormat="1" ht="14.25" hidden="1" customHeight="1" x14ac:dyDescent="0.15">
      <c r="A137" s="72"/>
      <c r="B137" s="341" t="b">
        <f t="shared" si="8"/>
        <v>1</v>
      </c>
      <c r="C137" s="72"/>
      <c r="D137" s="72"/>
      <c r="E137" s="507">
        <v>15</v>
      </c>
      <c r="F137" s="3" t="str" cm="1">
        <f t="array" aca="1" ref="F137" ca="1">OFFSET(E137,-1,1)</f>
        <v>2</v>
      </c>
      <c r="G137" s="17" cm="1">
        <f t="array" ref="G137">G136</f>
        <v>0</v>
      </c>
      <c r="H137" s="72"/>
      <c r="I137" s="72"/>
      <c r="J137" s="72"/>
      <c r="K137" s="72">
        <f>first_year+1</f>
        <v>2025</v>
      </c>
      <c r="L137" s="72"/>
      <c r="M137" s="72"/>
      <c r="N137" s="72"/>
      <c r="O137" s="72"/>
      <c r="P137" s="72"/>
      <c r="Q137" s="72"/>
      <c r="R137" s="72"/>
      <c r="S137" s="72"/>
      <c r="T137" s="353" t="b" cm="1">
        <f t="array" aca="1" ref="T137" ca="1">T136</f>
        <v>0</v>
      </c>
      <c r="U137" s="72"/>
      <c r="V137" s="72"/>
      <c r="W137" s="72"/>
      <c r="X137" s="990"/>
      <c r="Y137" s="990"/>
      <c r="Z137" s="967"/>
      <c r="AA137" s="1085"/>
      <c r="AB137" s="168" t="str">
        <f t="shared" si="9"/>
        <v>2025 год</v>
      </c>
      <c r="AC137" s="308"/>
      <c r="AD137" s="886"/>
      <c r="AE137" s="885"/>
      <c r="AF137" s="885"/>
      <c r="AG137" s="886"/>
      <c r="AH137" s="885"/>
      <c r="AI137" s="886"/>
      <c r="AJ137" s="885"/>
      <c r="AK137" s="887"/>
      <c r="AL137" s="304"/>
      <c r="AM137" s="72"/>
      <c r="AN137" s="696" cm="1">
        <f t="array" ref="AN137">K137</f>
        <v>2025</v>
      </c>
      <c r="AO137" s="696" t="s">
        <v>2357</v>
      </c>
      <c r="AP137" s="706" cm="1">
        <f t="array" ref="AP137">AP136</f>
        <v>0</v>
      </c>
      <c r="AQ137" s="507"/>
      <c r="AR137" s="507"/>
    </row>
    <row r="138" spans="1:44" s="880" customFormat="1" ht="14.25" hidden="1" customHeight="1" x14ac:dyDescent="0.15">
      <c r="A138" s="72"/>
      <c r="B138" s="341" t="b">
        <f t="shared" si="8"/>
        <v>1</v>
      </c>
      <c r="C138" s="72"/>
      <c r="D138" s="72"/>
      <c r="E138" s="507">
        <v>15</v>
      </c>
      <c r="F138" s="3" t="str" cm="1">
        <f t="array" aca="1" ref="F138" ca="1">OFFSET(E138,-1,1)</f>
        <v>2</v>
      </c>
      <c r="G138" s="17" cm="1">
        <f t="array" ref="G138">G137</f>
        <v>0</v>
      </c>
      <c r="H138" s="72"/>
      <c r="I138" s="72"/>
      <c r="J138" s="72"/>
      <c r="K138" s="72">
        <f>first_year+2</f>
        <v>2026</v>
      </c>
      <c r="L138" s="72"/>
      <c r="M138" s="72"/>
      <c r="N138" s="72"/>
      <c r="O138" s="72"/>
      <c r="P138" s="72"/>
      <c r="Q138" s="72"/>
      <c r="R138" s="72"/>
      <c r="S138" s="72"/>
      <c r="T138" s="353" t="b" cm="1">
        <f t="array" aca="1" ref="T138" ca="1">T137</f>
        <v>0</v>
      </c>
      <c r="U138" s="72"/>
      <c r="V138" s="72"/>
      <c r="W138" s="72"/>
      <c r="X138" s="990"/>
      <c r="Y138" s="990"/>
      <c r="Z138" s="967"/>
      <c r="AA138" s="1085"/>
      <c r="AB138" s="168" t="str">
        <f t="shared" si="9"/>
        <v>2026 год</v>
      </c>
      <c r="AC138" s="308"/>
      <c r="AD138" s="886"/>
      <c r="AE138" s="885"/>
      <c r="AF138" s="885"/>
      <c r="AG138" s="886"/>
      <c r="AH138" s="885"/>
      <c r="AI138" s="886"/>
      <c r="AJ138" s="885"/>
      <c r="AK138" s="887"/>
      <c r="AL138" s="304"/>
      <c r="AM138" s="72"/>
      <c r="AN138" s="696" cm="1">
        <f t="array" ref="AN138">K138</f>
        <v>2026</v>
      </c>
      <c r="AO138" s="696" t="s">
        <v>2357</v>
      </c>
      <c r="AP138" s="706" cm="1">
        <f t="array" ref="AP138">AP137</f>
        <v>0</v>
      </c>
      <c r="AQ138" s="507"/>
      <c r="AR138" s="507"/>
    </row>
    <row r="139" spans="1:44" s="880" customFormat="1" ht="14.25" hidden="1" customHeight="1" x14ac:dyDescent="0.15">
      <c r="A139" s="72"/>
      <c r="B139" s="341" t="b">
        <f t="shared" si="8"/>
        <v>1</v>
      </c>
      <c r="C139" s="72"/>
      <c r="D139" s="72"/>
      <c r="E139" s="507">
        <v>15</v>
      </c>
      <c r="F139" s="3" t="str" cm="1">
        <f t="array" aca="1" ref="F139" ca="1">OFFSET(E139,-1,1)</f>
        <v>2</v>
      </c>
      <c r="G139" s="17" cm="1">
        <f t="array" ref="G139">G138</f>
        <v>0</v>
      </c>
      <c r="H139" s="72"/>
      <c r="I139" s="72"/>
      <c r="J139" s="72"/>
      <c r="K139" s="72">
        <f>first_year+3</f>
        <v>2027</v>
      </c>
      <c r="L139" s="72"/>
      <c r="M139" s="72"/>
      <c r="N139" s="72"/>
      <c r="O139" s="72"/>
      <c r="P139" s="72"/>
      <c r="Q139" s="72"/>
      <c r="R139" s="72"/>
      <c r="S139" s="72"/>
      <c r="T139" s="353" t="b" cm="1">
        <f t="array" aca="1" ref="T139" ca="1">T138</f>
        <v>0</v>
      </c>
      <c r="U139" s="72"/>
      <c r="V139" s="72"/>
      <c r="W139" s="72"/>
      <c r="X139" s="990"/>
      <c r="Y139" s="990"/>
      <c r="Z139" s="967"/>
      <c r="AA139" s="1085"/>
      <c r="AB139" s="168" t="str">
        <f t="shared" si="9"/>
        <v>2027 год</v>
      </c>
      <c r="AC139" s="308"/>
      <c r="AD139" s="886"/>
      <c r="AE139" s="885"/>
      <c r="AF139" s="885"/>
      <c r="AG139" s="886"/>
      <c r="AH139" s="885"/>
      <c r="AI139" s="886"/>
      <c r="AJ139" s="885"/>
      <c r="AK139" s="887"/>
      <c r="AL139" s="304"/>
      <c r="AM139" s="72"/>
      <c r="AN139" s="696" cm="1">
        <f t="array" ref="AN139">K139</f>
        <v>2027</v>
      </c>
      <c r="AO139" s="696" t="s">
        <v>2357</v>
      </c>
      <c r="AP139" s="706" cm="1">
        <f t="array" ref="AP139">AP138</f>
        <v>0</v>
      </c>
      <c r="AQ139" s="507"/>
      <c r="AR139" s="507"/>
    </row>
    <row r="140" spans="1:44" s="880" customFormat="1" ht="14.25" hidden="1" customHeight="1" x14ac:dyDescent="0.15">
      <c r="A140" s="72"/>
      <c r="B140" s="341" t="b">
        <f t="shared" si="8"/>
        <v>1</v>
      </c>
      <c r="C140" s="72"/>
      <c r="D140" s="72"/>
      <c r="E140" s="507">
        <v>15</v>
      </c>
      <c r="F140" s="3" t="str" cm="1">
        <f t="array" aca="1" ref="F140" ca="1">OFFSET(E140,-1,1)</f>
        <v>2</v>
      </c>
      <c r="G140" s="17" cm="1">
        <f t="array" ref="G140">G139</f>
        <v>0</v>
      </c>
      <c r="H140" s="72"/>
      <c r="I140" s="72"/>
      <c r="J140" s="72"/>
      <c r="K140" s="72">
        <f>first_year+4</f>
        <v>2028</v>
      </c>
      <c r="L140" s="72"/>
      <c r="M140" s="72"/>
      <c r="N140" s="72"/>
      <c r="O140" s="72"/>
      <c r="P140" s="72"/>
      <c r="Q140" s="72"/>
      <c r="R140" s="72"/>
      <c r="S140" s="72"/>
      <c r="T140" s="353" t="b" cm="1">
        <f t="array" aca="1" ref="T140" ca="1">T139</f>
        <v>0</v>
      </c>
      <c r="U140" s="72"/>
      <c r="V140" s="72"/>
      <c r="W140" s="72"/>
      <c r="X140" s="990"/>
      <c r="Y140" s="990"/>
      <c r="Z140" s="967"/>
      <c r="AA140" s="1085"/>
      <c r="AB140" s="168" t="str">
        <f t="shared" si="9"/>
        <v>2028 год</v>
      </c>
      <c r="AC140" s="308"/>
      <c r="AD140" s="886"/>
      <c r="AE140" s="885"/>
      <c r="AF140" s="885"/>
      <c r="AG140" s="886"/>
      <c r="AH140" s="885"/>
      <c r="AI140" s="886"/>
      <c r="AJ140" s="885"/>
      <c r="AK140" s="887"/>
      <c r="AL140" s="304"/>
      <c r="AM140" s="72"/>
      <c r="AN140" s="696" cm="1">
        <f t="array" ref="AN140">K140</f>
        <v>2028</v>
      </c>
      <c r="AO140" s="696" t="s">
        <v>2357</v>
      </c>
      <c r="AP140" s="706" cm="1">
        <f t="array" ref="AP140">AP139</f>
        <v>0</v>
      </c>
      <c r="AQ140" s="507"/>
      <c r="AR140" s="507"/>
    </row>
    <row r="141" spans="1:44" s="880" customFormat="1" ht="14.25" hidden="1" customHeight="1" x14ac:dyDescent="0.15">
      <c r="A141" s="72"/>
      <c r="B141" s="341" t="b">
        <f t="shared" si="8"/>
        <v>0</v>
      </c>
      <c r="C141" s="72"/>
      <c r="D141" s="72"/>
      <c r="E141" s="507">
        <v>15</v>
      </c>
      <c r="F141" s="3" t="str" cm="1">
        <f t="array" aca="1" ref="F141" ca="1">OFFSET(E141,-1,1)</f>
        <v>2</v>
      </c>
      <c r="G141" s="17" cm="1">
        <f t="array" ref="G141">G140</f>
        <v>0</v>
      </c>
      <c r="H141" s="72"/>
      <c r="I141" s="72"/>
      <c r="J141" s="72"/>
      <c r="K141" s="72">
        <f>first_year+5</f>
        <v>2029</v>
      </c>
      <c r="L141" s="72"/>
      <c r="M141" s="72"/>
      <c r="N141" s="72"/>
      <c r="O141" s="72"/>
      <c r="P141" s="72"/>
      <c r="Q141" s="72"/>
      <c r="R141" s="72"/>
      <c r="S141" s="72"/>
      <c r="T141" s="353" t="b" cm="1">
        <f t="array" aca="1" ref="T141" ca="1">T140</f>
        <v>0</v>
      </c>
      <c r="U141" s="72"/>
      <c r="V141" s="72"/>
      <c r="W141" s="72"/>
      <c r="X141" s="990"/>
      <c r="Y141" s="990"/>
      <c r="Z141" s="967"/>
      <c r="AA141" s="1085"/>
      <c r="AB141" s="168" t="str">
        <f t="shared" si="9"/>
        <v>2029 год</v>
      </c>
      <c r="AC141" s="308"/>
      <c r="AD141" s="886"/>
      <c r="AE141" s="885"/>
      <c r="AF141" s="885"/>
      <c r="AG141" s="886"/>
      <c r="AH141" s="885"/>
      <c r="AI141" s="886"/>
      <c r="AJ141" s="885"/>
      <c r="AK141" s="887"/>
      <c r="AL141" s="304"/>
      <c r="AM141" s="72"/>
      <c r="AN141" s="696" cm="1">
        <f t="array" ref="AN141">K141</f>
        <v>2029</v>
      </c>
      <c r="AO141" s="696" t="s">
        <v>2357</v>
      </c>
      <c r="AP141" s="706" cm="1">
        <f t="array" ref="AP141">AP140</f>
        <v>0</v>
      </c>
      <c r="AQ141" s="507"/>
      <c r="AR141" s="507"/>
    </row>
    <row r="142" spans="1:44" s="880" customFormat="1" ht="14.25" hidden="1" customHeight="1" x14ac:dyDescent="0.15">
      <c r="A142" s="72"/>
      <c r="B142" s="341" t="b">
        <f t="shared" si="8"/>
        <v>0</v>
      </c>
      <c r="C142" s="72"/>
      <c r="D142" s="72"/>
      <c r="E142" s="507">
        <v>15</v>
      </c>
      <c r="F142" s="3" t="str" cm="1">
        <f t="array" aca="1" ref="F142" ca="1">OFFSET(E142,-1,1)</f>
        <v>2</v>
      </c>
      <c r="G142" s="17" cm="1">
        <f t="array" ref="G142">G141</f>
        <v>0</v>
      </c>
      <c r="H142" s="72"/>
      <c r="I142" s="72"/>
      <c r="J142" s="72"/>
      <c r="K142" s="72">
        <f>first_year+6</f>
        <v>2030</v>
      </c>
      <c r="L142" s="72"/>
      <c r="M142" s="72"/>
      <c r="N142" s="72"/>
      <c r="O142" s="72"/>
      <c r="P142" s="72"/>
      <c r="Q142" s="72"/>
      <c r="R142" s="72"/>
      <c r="S142" s="72"/>
      <c r="T142" s="353" t="b" cm="1">
        <f t="array" aca="1" ref="T142" ca="1">T141</f>
        <v>0</v>
      </c>
      <c r="U142" s="72"/>
      <c r="V142" s="72"/>
      <c r="W142" s="72"/>
      <c r="X142" s="990"/>
      <c r="Y142" s="990"/>
      <c r="Z142" s="967"/>
      <c r="AA142" s="1085"/>
      <c r="AB142" s="168" t="str">
        <f t="shared" si="9"/>
        <v>2030 год</v>
      </c>
      <c r="AC142" s="308"/>
      <c r="AD142" s="886"/>
      <c r="AE142" s="885"/>
      <c r="AF142" s="885"/>
      <c r="AG142" s="886"/>
      <c r="AH142" s="885"/>
      <c r="AI142" s="886"/>
      <c r="AJ142" s="885"/>
      <c r="AK142" s="887"/>
      <c r="AL142" s="304"/>
      <c r="AM142" s="72"/>
      <c r="AN142" s="696" cm="1">
        <f t="array" ref="AN142">K142</f>
        <v>2030</v>
      </c>
      <c r="AO142" s="696" t="s">
        <v>2357</v>
      </c>
      <c r="AP142" s="706" cm="1">
        <f t="array" ref="AP142">AP141</f>
        <v>0</v>
      </c>
      <c r="AQ142" s="507"/>
      <c r="AR142" s="507"/>
    </row>
    <row r="143" spans="1:44" s="880" customFormat="1" ht="14.25" hidden="1" customHeight="1" x14ac:dyDescent="0.15">
      <c r="A143" s="72"/>
      <c r="B143" s="341" t="b">
        <f t="shared" si="8"/>
        <v>0</v>
      </c>
      <c r="C143" s="72"/>
      <c r="D143" s="72"/>
      <c r="E143" s="507">
        <v>15</v>
      </c>
      <c r="F143" s="3" t="str" cm="1">
        <f t="array" aca="1" ref="F143" ca="1">OFFSET(E143,-1,1)</f>
        <v>2</v>
      </c>
      <c r="G143" s="17" cm="1">
        <f t="array" ref="G143">G142</f>
        <v>0</v>
      </c>
      <c r="H143" s="72"/>
      <c r="I143" s="72"/>
      <c r="J143" s="72"/>
      <c r="K143" s="72">
        <f>first_year+7</f>
        <v>2031</v>
      </c>
      <c r="L143" s="72"/>
      <c r="M143" s="72"/>
      <c r="N143" s="72"/>
      <c r="O143" s="72"/>
      <c r="P143" s="72"/>
      <c r="Q143" s="72"/>
      <c r="R143" s="72"/>
      <c r="S143" s="72"/>
      <c r="T143" s="353" t="b" cm="1">
        <f t="array" aca="1" ref="T143" ca="1">T142</f>
        <v>0</v>
      </c>
      <c r="U143" s="72"/>
      <c r="V143" s="72"/>
      <c r="W143" s="72"/>
      <c r="X143" s="990"/>
      <c r="Y143" s="990"/>
      <c r="Z143" s="967"/>
      <c r="AA143" s="1085"/>
      <c r="AB143" s="168" t="str">
        <f t="shared" si="9"/>
        <v>2031 год</v>
      </c>
      <c r="AC143" s="308"/>
      <c r="AD143" s="886"/>
      <c r="AE143" s="885"/>
      <c r="AF143" s="885"/>
      <c r="AG143" s="886"/>
      <c r="AH143" s="885"/>
      <c r="AI143" s="886"/>
      <c r="AJ143" s="885"/>
      <c r="AK143" s="887"/>
      <c r="AL143" s="304"/>
      <c r="AM143" s="72"/>
      <c r="AN143" s="696" cm="1">
        <f t="array" ref="AN143">K143</f>
        <v>2031</v>
      </c>
      <c r="AO143" s="696" t="s">
        <v>2357</v>
      </c>
      <c r="AP143" s="706" cm="1">
        <f t="array" ref="AP143">AP142</f>
        <v>0</v>
      </c>
      <c r="AQ143" s="507"/>
      <c r="AR143" s="507"/>
    </row>
    <row r="144" spans="1:44" s="880" customFormat="1" ht="14.25" hidden="1" customHeight="1" x14ac:dyDescent="0.15">
      <c r="A144" s="72"/>
      <c r="B144" s="341" t="b">
        <f t="shared" si="8"/>
        <v>0</v>
      </c>
      <c r="C144" s="72"/>
      <c r="D144" s="72"/>
      <c r="E144" s="507">
        <v>15</v>
      </c>
      <c r="F144" s="3" t="str" cm="1">
        <f t="array" aca="1" ref="F144" ca="1">OFFSET(E144,-1,1)</f>
        <v>2</v>
      </c>
      <c r="G144" s="17" cm="1">
        <f t="array" ref="G144">G143</f>
        <v>0</v>
      </c>
      <c r="H144" s="72"/>
      <c r="I144" s="72"/>
      <c r="J144" s="72"/>
      <c r="K144" s="72">
        <f>first_year+8</f>
        <v>2032</v>
      </c>
      <c r="L144" s="72"/>
      <c r="M144" s="72"/>
      <c r="N144" s="72"/>
      <c r="O144" s="72"/>
      <c r="P144" s="72"/>
      <c r="Q144" s="72"/>
      <c r="R144" s="72"/>
      <c r="S144" s="72"/>
      <c r="T144" s="353" t="b" cm="1">
        <f t="array" aca="1" ref="T144" ca="1">T143</f>
        <v>0</v>
      </c>
      <c r="U144" s="72"/>
      <c r="V144" s="72"/>
      <c r="W144" s="72"/>
      <c r="X144" s="990"/>
      <c r="Y144" s="990"/>
      <c r="Z144" s="967"/>
      <c r="AA144" s="1085"/>
      <c r="AB144" s="168" t="str">
        <f t="shared" si="9"/>
        <v>2032 год</v>
      </c>
      <c r="AC144" s="308"/>
      <c r="AD144" s="886"/>
      <c r="AE144" s="885"/>
      <c r="AF144" s="885"/>
      <c r="AG144" s="886"/>
      <c r="AH144" s="885"/>
      <c r="AI144" s="886"/>
      <c r="AJ144" s="885"/>
      <c r="AK144" s="887"/>
      <c r="AL144" s="304"/>
      <c r="AM144" s="72"/>
      <c r="AN144" s="696" cm="1">
        <f t="array" ref="AN144">K144</f>
        <v>2032</v>
      </c>
      <c r="AO144" s="696" t="s">
        <v>2357</v>
      </c>
      <c r="AP144" s="706" cm="1">
        <f t="array" ref="AP144">AP143</f>
        <v>0</v>
      </c>
      <c r="AQ144" s="507"/>
      <c r="AR144" s="507"/>
    </row>
    <row r="145" spans="1:44" s="880" customFormat="1" ht="14.25" hidden="1" customHeight="1" x14ac:dyDescent="0.15">
      <c r="A145" s="72"/>
      <c r="B145" s="341" t="b">
        <f t="shared" si="8"/>
        <v>0</v>
      </c>
      <c r="C145" s="72"/>
      <c r="D145" s="72"/>
      <c r="E145" s="507">
        <v>15</v>
      </c>
      <c r="F145" s="3" t="str" cm="1">
        <f t="array" aca="1" ref="F145" ca="1">OFFSET(E145,-1,1)</f>
        <v>2</v>
      </c>
      <c r="G145" s="17" cm="1">
        <f t="array" ref="G145">G144</f>
        <v>0</v>
      </c>
      <c r="H145" s="72"/>
      <c r="I145" s="72"/>
      <c r="J145" s="72"/>
      <c r="K145" s="72">
        <f>first_year+9</f>
        <v>2033</v>
      </c>
      <c r="L145" s="72"/>
      <c r="M145" s="72"/>
      <c r="N145" s="72"/>
      <c r="O145" s="72"/>
      <c r="P145" s="72"/>
      <c r="Q145" s="72"/>
      <c r="R145" s="72"/>
      <c r="S145" s="72"/>
      <c r="T145" s="353" t="b" cm="1">
        <f t="array" aca="1" ref="T145" ca="1">T144</f>
        <v>0</v>
      </c>
      <c r="U145" s="72"/>
      <c r="V145" s="72"/>
      <c r="W145" s="72"/>
      <c r="X145" s="990"/>
      <c r="Y145" s="990"/>
      <c r="Z145" s="967"/>
      <c r="AA145" s="1085"/>
      <c r="AB145" s="168" t="str">
        <f t="shared" si="9"/>
        <v>2033 год</v>
      </c>
      <c r="AC145" s="308"/>
      <c r="AD145" s="886"/>
      <c r="AE145" s="885"/>
      <c r="AF145" s="885"/>
      <c r="AG145" s="886"/>
      <c r="AH145" s="885"/>
      <c r="AI145" s="886"/>
      <c r="AJ145" s="885"/>
      <c r="AK145" s="887"/>
      <c r="AL145" s="304"/>
      <c r="AM145" s="72"/>
      <c r="AN145" s="696" cm="1">
        <f t="array" ref="AN145">K145</f>
        <v>2033</v>
      </c>
      <c r="AO145" s="696" t="s">
        <v>2357</v>
      </c>
      <c r="AP145" s="706" cm="1">
        <f t="array" ref="AP145">AP144</f>
        <v>0</v>
      </c>
      <c r="AQ145" s="507"/>
      <c r="AR145" s="507"/>
    </row>
    <row r="146" spans="1:44" s="880" customFormat="1" ht="14.25" hidden="1" customHeight="1" x14ac:dyDescent="0.15">
      <c r="A146" s="72"/>
      <c r="B146" s="341" t="b">
        <f t="shared" si="8"/>
        <v>0</v>
      </c>
      <c r="C146" s="72"/>
      <c r="D146" s="72"/>
      <c r="E146" s="507">
        <v>15</v>
      </c>
      <c r="F146" s="3" t="str" cm="1">
        <f t="array" aca="1" ref="F146" ca="1">OFFSET(E146,-1,1)</f>
        <v>2</v>
      </c>
      <c r="G146" s="17" cm="1">
        <f t="array" ref="G146">G145</f>
        <v>0</v>
      </c>
      <c r="H146" s="72"/>
      <c r="I146" s="72"/>
      <c r="J146" s="72"/>
      <c r="K146" s="72">
        <f>first_year+10</f>
        <v>2034</v>
      </c>
      <c r="L146" s="72"/>
      <c r="M146" s="72"/>
      <c r="N146" s="72"/>
      <c r="O146" s="72"/>
      <c r="P146" s="72"/>
      <c r="Q146" s="72"/>
      <c r="R146" s="72"/>
      <c r="S146" s="72"/>
      <c r="T146" s="353" t="b" cm="1">
        <f t="array" aca="1" ref="T146" ca="1">T145</f>
        <v>0</v>
      </c>
      <c r="U146" s="72"/>
      <c r="V146" s="72"/>
      <c r="W146" s="72"/>
      <c r="X146" s="990"/>
      <c r="Y146" s="990"/>
      <c r="Z146" s="967"/>
      <c r="AA146" s="1085"/>
      <c r="AB146" s="168" t="str">
        <f t="shared" si="9"/>
        <v>2034 год</v>
      </c>
      <c r="AC146" s="308"/>
      <c r="AD146" s="886"/>
      <c r="AE146" s="885"/>
      <c r="AF146" s="885"/>
      <c r="AG146" s="886"/>
      <c r="AH146" s="885"/>
      <c r="AI146" s="886"/>
      <c r="AJ146" s="885"/>
      <c r="AK146" s="887"/>
      <c r="AL146" s="304"/>
      <c r="AM146" s="72"/>
      <c r="AN146" s="696" cm="1">
        <f t="array" ref="AN146">K146</f>
        <v>2034</v>
      </c>
      <c r="AO146" s="696" t="s">
        <v>2357</v>
      </c>
      <c r="AP146" s="706" cm="1">
        <f t="array" ref="AP146">AP145</f>
        <v>0</v>
      </c>
      <c r="AQ146" s="507"/>
      <c r="AR146" s="507"/>
    </row>
    <row r="147" spans="1:44" s="880" customFormat="1" ht="14.25" hidden="1" customHeight="1" x14ac:dyDescent="0.15">
      <c r="A147" s="72"/>
      <c r="B147" s="341" t="b">
        <f t="shared" si="8"/>
        <v>0</v>
      </c>
      <c r="C147" s="72"/>
      <c r="D147" s="72"/>
      <c r="E147" s="507">
        <v>15</v>
      </c>
      <c r="F147" s="3" t="str" cm="1">
        <f t="array" aca="1" ref="F147" ca="1">OFFSET(E147,-1,1)</f>
        <v>2</v>
      </c>
      <c r="G147" s="17" cm="1">
        <f t="array" ref="G147">G146</f>
        <v>0</v>
      </c>
      <c r="H147" s="72"/>
      <c r="I147" s="72"/>
      <c r="J147" s="72"/>
      <c r="K147" s="72">
        <f>first_year+11</f>
        <v>2035</v>
      </c>
      <c r="L147" s="72"/>
      <c r="M147" s="72"/>
      <c r="N147" s="72"/>
      <c r="O147" s="72"/>
      <c r="P147" s="72"/>
      <c r="Q147" s="72"/>
      <c r="R147" s="72"/>
      <c r="S147" s="72"/>
      <c r="T147" s="353" t="b" cm="1">
        <f t="array" aca="1" ref="T147" ca="1">T146</f>
        <v>0</v>
      </c>
      <c r="U147" s="72"/>
      <c r="V147" s="72"/>
      <c r="W147" s="72"/>
      <c r="X147" s="990"/>
      <c r="Y147" s="990"/>
      <c r="Z147" s="967"/>
      <c r="AA147" s="1085"/>
      <c r="AB147" s="168" t="str">
        <f t="shared" si="9"/>
        <v>2035 год</v>
      </c>
      <c r="AC147" s="308"/>
      <c r="AD147" s="886"/>
      <c r="AE147" s="885"/>
      <c r="AF147" s="885"/>
      <c r="AG147" s="886"/>
      <c r="AH147" s="885"/>
      <c r="AI147" s="886"/>
      <c r="AJ147" s="885"/>
      <c r="AK147" s="887"/>
      <c r="AL147" s="304"/>
      <c r="AM147" s="72"/>
      <c r="AN147" s="696" cm="1">
        <f t="array" ref="AN147">K147</f>
        <v>2035</v>
      </c>
      <c r="AO147" s="696" t="s">
        <v>2357</v>
      </c>
      <c r="AP147" s="706" cm="1">
        <f t="array" ref="AP147">AP146</f>
        <v>0</v>
      </c>
      <c r="AQ147" s="507"/>
      <c r="AR147" s="507"/>
    </row>
    <row r="148" spans="1:44" s="880" customFormat="1" ht="14.25" hidden="1" customHeight="1" x14ac:dyDescent="0.15">
      <c r="A148" s="72"/>
      <c r="B148" s="341" t="b">
        <f t="shared" si="8"/>
        <v>0</v>
      </c>
      <c r="C148" s="72"/>
      <c r="D148" s="72"/>
      <c r="E148" s="507">
        <v>15</v>
      </c>
      <c r="F148" s="3" t="str" cm="1">
        <f t="array" aca="1" ref="F148" ca="1">OFFSET(E148,-1,1)</f>
        <v>2</v>
      </c>
      <c r="G148" s="17" cm="1">
        <f t="array" ref="G148">G147</f>
        <v>0</v>
      </c>
      <c r="H148" s="72"/>
      <c r="I148" s="72"/>
      <c r="J148" s="72"/>
      <c r="K148" s="72">
        <f>first_year+12</f>
        <v>2036</v>
      </c>
      <c r="L148" s="72"/>
      <c r="M148" s="72"/>
      <c r="N148" s="72"/>
      <c r="O148" s="72"/>
      <c r="P148" s="72"/>
      <c r="Q148" s="72"/>
      <c r="R148" s="72"/>
      <c r="S148" s="72"/>
      <c r="T148" s="353" t="b" cm="1">
        <f t="array" aca="1" ref="T148" ca="1">T147</f>
        <v>0</v>
      </c>
      <c r="U148" s="72"/>
      <c r="V148" s="72"/>
      <c r="W148" s="72"/>
      <c r="X148" s="990"/>
      <c r="Y148" s="990"/>
      <c r="Z148" s="967"/>
      <c r="AA148" s="1085"/>
      <c r="AB148" s="168" t="str">
        <f t="shared" si="9"/>
        <v>2036 год</v>
      </c>
      <c r="AC148" s="308"/>
      <c r="AD148" s="886"/>
      <c r="AE148" s="885"/>
      <c r="AF148" s="885"/>
      <c r="AG148" s="886"/>
      <c r="AH148" s="885"/>
      <c r="AI148" s="886"/>
      <c r="AJ148" s="885"/>
      <c r="AK148" s="887"/>
      <c r="AL148" s="304"/>
      <c r="AM148" s="72"/>
      <c r="AN148" s="696" cm="1">
        <f t="array" ref="AN148">K148</f>
        <v>2036</v>
      </c>
      <c r="AO148" s="696" t="s">
        <v>2357</v>
      </c>
      <c r="AP148" s="706" cm="1">
        <f t="array" ref="AP148">AP147</f>
        <v>0</v>
      </c>
      <c r="AQ148" s="507"/>
      <c r="AR148" s="507"/>
    </row>
    <row r="149" spans="1:44" s="880" customFormat="1" ht="14.25" hidden="1" customHeight="1" x14ac:dyDescent="0.15">
      <c r="A149" s="72"/>
      <c r="B149" s="341" t="b">
        <f t="shared" si="8"/>
        <v>0</v>
      </c>
      <c r="C149" s="72"/>
      <c r="D149" s="72"/>
      <c r="E149" s="507">
        <v>15</v>
      </c>
      <c r="F149" s="3" t="str" cm="1">
        <f t="array" aca="1" ref="F149" ca="1">OFFSET(E149,-1,1)</f>
        <v>2</v>
      </c>
      <c r="G149" s="17" cm="1">
        <f t="array" ref="G149">G148</f>
        <v>0</v>
      </c>
      <c r="H149" s="72"/>
      <c r="I149" s="72"/>
      <c r="J149" s="72"/>
      <c r="K149" s="72">
        <f>first_year+13</f>
        <v>2037</v>
      </c>
      <c r="L149" s="72"/>
      <c r="M149" s="72"/>
      <c r="N149" s="72"/>
      <c r="O149" s="72"/>
      <c r="P149" s="72"/>
      <c r="Q149" s="72"/>
      <c r="R149" s="72"/>
      <c r="S149" s="72"/>
      <c r="T149" s="353" t="b" cm="1">
        <f t="array" aca="1" ref="T149" ca="1">T148</f>
        <v>0</v>
      </c>
      <c r="U149" s="72"/>
      <c r="V149" s="72"/>
      <c r="W149" s="72"/>
      <c r="X149" s="990"/>
      <c r="Y149" s="990"/>
      <c r="Z149" s="967"/>
      <c r="AA149" s="1085"/>
      <c r="AB149" s="168" t="str">
        <f t="shared" si="9"/>
        <v>2037 год</v>
      </c>
      <c r="AC149" s="308"/>
      <c r="AD149" s="886"/>
      <c r="AE149" s="885"/>
      <c r="AF149" s="885"/>
      <c r="AG149" s="886"/>
      <c r="AH149" s="885"/>
      <c r="AI149" s="886"/>
      <c r="AJ149" s="885"/>
      <c r="AK149" s="887"/>
      <c r="AL149" s="304"/>
      <c r="AM149" s="72"/>
      <c r="AN149" s="696" cm="1">
        <f t="array" ref="AN149">K149</f>
        <v>2037</v>
      </c>
      <c r="AO149" s="696" t="s">
        <v>2357</v>
      </c>
      <c r="AP149" s="706" cm="1">
        <f t="array" ref="AP149">AP148</f>
        <v>0</v>
      </c>
      <c r="AQ149" s="507"/>
      <c r="AR149" s="507"/>
    </row>
    <row r="150" spans="1:44" s="880" customFormat="1" ht="14.25" hidden="1" customHeight="1" x14ac:dyDescent="0.15">
      <c r="A150" s="72"/>
      <c r="B150" s="341" t="b">
        <f t="shared" si="8"/>
        <v>0</v>
      </c>
      <c r="C150" s="72"/>
      <c r="D150" s="72"/>
      <c r="E150" s="507">
        <v>15</v>
      </c>
      <c r="F150" s="3" t="str" cm="1">
        <f t="array" aca="1" ref="F150" ca="1">OFFSET(E150,-1,1)</f>
        <v>2</v>
      </c>
      <c r="G150" s="17" cm="1">
        <f t="array" ref="G150">G149</f>
        <v>0</v>
      </c>
      <c r="H150" s="72"/>
      <c r="I150" s="72"/>
      <c r="J150" s="72"/>
      <c r="K150" s="72">
        <f>first_year+14</f>
        <v>2038</v>
      </c>
      <c r="L150" s="72"/>
      <c r="M150" s="72"/>
      <c r="N150" s="72"/>
      <c r="O150" s="72"/>
      <c r="P150" s="72"/>
      <c r="Q150" s="72"/>
      <c r="R150" s="72"/>
      <c r="S150" s="72"/>
      <c r="T150" s="353" t="b" cm="1">
        <f t="array" aca="1" ref="T150" ca="1">T149</f>
        <v>0</v>
      </c>
      <c r="U150" s="72"/>
      <c r="V150" s="72"/>
      <c r="W150" s="72"/>
      <c r="X150" s="990"/>
      <c r="Y150" s="990"/>
      <c r="Z150" s="967"/>
      <c r="AA150" s="1085"/>
      <c r="AB150" s="168" t="str">
        <f t="shared" si="9"/>
        <v>2038 год</v>
      </c>
      <c r="AC150" s="308"/>
      <c r="AD150" s="886"/>
      <c r="AE150" s="885"/>
      <c r="AF150" s="885"/>
      <c r="AG150" s="886"/>
      <c r="AH150" s="885"/>
      <c r="AI150" s="886"/>
      <c r="AJ150" s="885"/>
      <c r="AK150" s="887"/>
      <c r="AL150" s="304"/>
      <c r="AM150" s="72"/>
      <c r="AN150" s="696" cm="1">
        <f t="array" ref="AN150">K150</f>
        <v>2038</v>
      </c>
      <c r="AO150" s="696" t="s">
        <v>2357</v>
      </c>
      <c r="AP150" s="706" cm="1">
        <f t="array" ref="AP150">AP149</f>
        <v>0</v>
      </c>
      <c r="AQ150" s="507"/>
      <c r="AR150" s="507"/>
    </row>
    <row r="151" spans="1:44" s="880" customFormat="1" ht="14.25" hidden="1" customHeight="1" x14ac:dyDescent="0.15">
      <c r="A151" s="72"/>
      <c r="B151" s="341" t="b">
        <f t="shared" si="8"/>
        <v>0</v>
      </c>
      <c r="C151" s="72"/>
      <c r="D151" s="72"/>
      <c r="E151" s="507">
        <v>15</v>
      </c>
      <c r="F151" s="3" t="str" cm="1">
        <f t="array" aca="1" ref="F151" ca="1">OFFSET(E151,-1,1)</f>
        <v>2</v>
      </c>
      <c r="G151" s="17" cm="1">
        <f t="array" ref="G151">G150</f>
        <v>0</v>
      </c>
      <c r="H151" s="72"/>
      <c r="I151" s="72"/>
      <c r="J151" s="72"/>
      <c r="K151" s="72">
        <f>first_year+15</f>
        <v>2039</v>
      </c>
      <c r="L151" s="72"/>
      <c r="M151" s="72"/>
      <c r="N151" s="72"/>
      <c r="O151" s="72"/>
      <c r="P151" s="72"/>
      <c r="Q151" s="72"/>
      <c r="R151" s="72"/>
      <c r="S151" s="72"/>
      <c r="T151" s="353" t="b" cm="1">
        <f t="array" aca="1" ref="T151" ca="1">T150</f>
        <v>0</v>
      </c>
      <c r="U151" s="72"/>
      <c r="V151" s="72"/>
      <c r="W151" s="72"/>
      <c r="X151" s="990"/>
      <c r="Y151" s="990"/>
      <c r="Z151" s="967"/>
      <c r="AA151" s="1085"/>
      <c r="AB151" s="168" t="str">
        <f t="shared" si="9"/>
        <v>2039 год</v>
      </c>
      <c r="AC151" s="308"/>
      <c r="AD151" s="886"/>
      <c r="AE151" s="885"/>
      <c r="AF151" s="885"/>
      <c r="AG151" s="886"/>
      <c r="AH151" s="885"/>
      <c r="AI151" s="886"/>
      <c r="AJ151" s="885"/>
      <c r="AK151" s="887"/>
      <c r="AL151" s="304"/>
      <c r="AM151" s="72"/>
      <c r="AN151" s="696" cm="1">
        <f t="array" ref="AN151">K151</f>
        <v>2039</v>
      </c>
      <c r="AO151" s="696" t="s">
        <v>2357</v>
      </c>
      <c r="AP151" s="706" cm="1">
        <f t="array" ref="AP151">AP150</f>
        <v>0</v>
      </c>
      <c r="AQ151" s="507"/>
      <c r="AR151" s="507"/>
    </row>
    <row r="152" spans="1:44" s="880" customFormat="1" ht="14.25" hidden="1" customHeight="1" x14ac:dyDescent="0.15">
      <c r="A152" s="72"/>
      <c r="B152" s="341" t="b">
        <f t="shared" si="8"/>
        <v>0</v>
      </c>
      <c r="C152" s="72"/>
      <c r="D152" s="72"/>
      <c r="E152" s="507">
        <v>15</v>
      </c>
      <c r="F152" s="3" t="str" cm="1">
        <f t="array" aca="1" ref="F152" ca="1">OFFSET(E152,-1,1)</f>
        <v>2</v>
      </c>
      <c r="G152" s="17" cm="1">
        <f t="array" ref="G152">G151</f>
        <v>0</v>
      </c>
      <c r="H152" s="72"/>
      <c r="I152" s="72"/>
      <c r="J152" s="72"/>
      <c r="K152" s="72">
        <f>first_year+16</f>
        <v>2040</v>
      </c>
      <c r="L152" s="72"/>
      <c r="M152" s="72"/>
      <c r="N152" s="72"/>
      <c r="O152" s="72"/>
      <c r="P152" s="72"/>
      <c r="Q152" s="72"/>
      <c r="R152" s="72"/>
      <c r="S152" s="72"/>
      <c r="T152" s="353" t="b" cm="1">
        <f t="array" aca="1" ref="T152" ca="1">T151</f>
        <v>0</v>
      </c>
      <c r="U152" s="72"/>
      <c r="V152" s="72"/>
      <c r="W152" s="72"/>
      <c r="X152" s="990"/>
      <c r="Y152" s="990"/>
      <c r="Z152" s="967"/>
      <c r="AA152" s="1085"/>
      <c r="AB152" s="168" t="str">
        <f t="shared" si="9"/>
        <v>2040 год</v>
      </c>
      <c r="AC152" s="308"/>
      <c r="AD152" s="886"/>
      <c r="AE152" s="885"/>
      <c r="AF152" s="885"/>
      <c r="AG152" s="886"/>
      <c r="AH152" s="885"/>
      <c r="AI152" s="886"/>
      <c r="AJ152" s="885"/>
      <c r="AK152" s="887"/>
      <c r="AL152" s="304"/>
      <c r="AM152" s="72"/>
      <c r="AN152" s="696" cm="1">
        <f t="array" ref="AN152">K152</f>
        <v>2040</v>
      </c>
      <c r="AO152" s="696" t="s">
        <v>2357</v>
      </c>
      <c r="AP152" s="706" cm="1">
        <f t="array" ref="AP152">AP151</f>
        <v>0</v>
      </c>
      <c r="AQ152" s="507"/>
      <c r="AR152" s="507"/>
    </row>
    <row r="153" spans="1:44" s="880" customFormat="1" ht="14.25" hidden="1" customHeight="1" x14ac:dyDescent="0.15">
      <c r="A153" s="72"/>
      <c r="B153" s="341" t="b">
        <f t="shared" si="8"/>
        <v>0</v>
      </c>
      <c r="C153" s="72"/>
      <c r="D153" s="72"/>
      <c r="E153" s="507">
        <v>15</v>
      </c>
      <c r="F153" s="3" t="str" cm="1">
        <f t="array" aca="1" ref="F153" ca="1">OFFSET(E153,-1,1)</f>
        <v>2</v>
      </c>
      <c r="G153" s="17" cm="1">
        <f t="array" ref="G153">G152</f>
        <v>0</v>
      </c>
      <c r="H153" s="72"/>
      <c r="I153" s="72"/>
      <c r="J153" s="72"/>
      <c r="K153" s="72">
        <f>first_year+17</f>
        <v>2041</v>
      </c>
      <c r="L153" s="72"/>
      <c r="M153" s="72"/>
      <c r="N153" s="72"/>
      <c r="O153" s="72"/>
      <c r="P153" s="72"/>
      <c r="Q153" s="72"/>
      <c r="R153" s="72"/>
      <c r="S153" s="72"/>
      <c r="T153" s="353" t="b" cm="1">
        <f t="array" aca="1" ref="T153" ca="1">T152</f>
        <v>0</v>
      </c>
      <c r="U153" s="72"/>
      <c r="V153" s="72"/>
      <c r="W153" s="72"/>
      <c r="X153" s="990"/>
      <c r="Y153" s="990"/>
      <c r="Z153" s="967"/>
      <c r="AA153" s="1085"/>
      <c r="AB153" s="168" t="str">
        <f t="shared" si="9"/>
        <v>2041 год</v>
      </c>
      <c r="AC153" s="308"/>
      <c r="AD153" s="886"/>
      <c r="AE153" s="885"/>
      <c r="AF153" s="885"/>
      <c r="AG153" s="886"/>
      <c r="AH153" s="885"/>
      <c r="AI153" s="886"/>
      <c r="AJ153" s="885"/>
      <c r="AK153" s="887"/>
      <c r="AL153" s="304"/>
      <c r="AM153" s="72"/>
      <c r="AN153" s="696" cm="1">
        <f t="array" ref="AN153">K153</f>
        <v>2041</v>
      </c>
      <c r="AO153" s="696" t="s">
        <v>2357</v>
      </c>
      <c r="AP153" s="706" cm="1">
        <f t="array" ref="AP153">AP152</f>
        <v>0</v>
      </c>
      <c r="AQ153" s="507"/>
      <c r="AR153" s="507"/>
    </row>
    <row r="154" spans="1:44" s="880" customFormat="1" ht="14.25" hidden="1" customHeight="1" x14ac:dyDescent="0.15">
      <c r="A154" s="72"/>
      <c r="B154" s="341" t="b">
        <f t="shared" si="8"/>
        <v>0</v>
      </c>
      <c r="C154" s="72"/>
      <c r="D154" s="72"/>
      <c r="E154" s="507">
        <v>15</v>
      </c>
      <c r="F154" s="3" t="str" cm="1">
        <f t="array" aca="1" ref="F154" ca="1">OFFSET(E154,-1,1)</f>
        <v>2</v>
      </c>
      <c r="G154" s="17" cm="1">
        <f t="array" ref="G154">G153</f>
        <v>0</v>
      </c>
      <c r="H154" s="72"/>
      <c r="I154" s="72"/>
      <c r="J154" s="72"/>
      <c r="K154" s="72">
        <f>first_year+18</f>
        <v>2042</v>
      </c>
      <c r="L154" s="72"/>
      <c r="M154" s="72"/>
      <c r="N154" s="72"/>
      <c r="O154" s="72"/>
      <c r="P154" s="72"/>
      <c r="Q154" s="72"/>
      <c r="R154" s="72"/>
      <c r="S154" s="72"/>
      <c r="T154" s="353" t="b" cm="1">
        <f t="array" aca="1" ref="T154" ca="1">T153</f>
        <v>0</v>
      </c>
      <c r="U154" s="72"/>
      <c r="V154" s="72"/>
      <c r="W154" s="72"/>
      <c r="X154" s="990"/>
      <c r="Y154" s="990"/>
      <c r="Z154" s="967"/>
      <c r="AA154" s="1085"/>
      <c r="AB154" s="168" t="str">
        <f t="shared" si="9"/>
        <v>2042 год</v>
      </c>
      <c r="AC154" s="308"/>
      <c r="AD154" s="886"/>
      <c r="AE154" s="885"/>
      <c r="AF154" s="885"/>
      <c r="AG154" s="886"/>
      <c r="AH154" s="885"/>
      <c r="AI154" s="886"/>
      <c r="AJ154" s="885"/>
      <c r="AK154" s="887"/>
      <c r="AL154" s="304"/>
      <c r="AM154" s="72"/>
      <c r="AN154" s="696" cm="1">
        <f t="array" ref="AN154">K154</f>
        <v>2042</v>
      </c>
      <c r="AO154" s="696" t="s">
        <v>2357</v>
      </c>
      <c r="AP154" s="706" cm="1">
        <f t="array" ref="AP154">AP153</f>
        <v>0</v>
      </c>
      <c r="AQ154" s="507"/>
      <c r="AR154" s="507"/>
    </row>
    <row r="155" spans="1:44" s="880" customFormat="1" ht="14.25" hidden="1" customHeight="1" x14ac:dyDescent="0.15">
      <c r="A155" s="72"/>
      <c r="B155" s="341" t="b">
        <f t="shared" si="8"/>
        <v>0</v>
      </c>
      <c r="C155" s="72"/>
      <c r="D155" s="72"/>
      <c r="E155" s="507">
        <v>15</v>
      </c>
      <c r="F155" s="3" t="str" cm="1">
        <f t="array" aca="1" ref="F155" ca="1">OFFSET(E155,-1,1)</f>
        <v>2</v>
      </c>
      <c r="G155" s="17" cm="1">
        <f t="array" ref="G155">G154</f>
        <v>0</v>
      </c>
      <c r="H155" s="72"/>
      <c r="I155" s="72"/>
      <c r="J155" s="72"/>
      <c r="K155" s="72">
        <f>first_year+19</f>
        <v>2043</v>
      </c>
      <c r="L155" s="72"/>
      <c r="M155" s="72"/>
      <c r="N155" s="72"/>
      <c r="O155" s="72"/>
      <c r="P155" s="72"/>
      <c r="Q155" s="72"/>
      <c r="R155" s="72"/>
      <c r="S155" s="72"/>
      <c r="T155" s="353" t="b" cm="1">
        <f t="array" aca="1" ref="T155" ca="1">T154</f>
        <v>0</v>
      </c>
      <c r="U155" s="72"/>
      <c r="V155" s="72"/>
      <c r="W155" s="72"/>
      <c r="X155" s="990"/>
      <c r="Y155" s="990"/>
      <c r="Z155" s="967"/>
      <c r="AA155" s="1085"/>
      <c r="AB155" s="168" t="str">
        <f t="shared" si="9"/>
        <v>2043 год</v>
      </c>
      <c r="AC155" s="308"/>
      <c r="AD155" s="886"/>
      <c r="AE155" s="885"/>
      <c r="AF155" s="885"/>
      <c r="AG155" s="886"/>
      <c r="AH155" s="885"/>
      <c r="AI155" s="886"/>
      <c r="AJ155" s="885"/>
      <c r="AK155" s="887"/>
      <c r="AL155" s="304"/>
      <c r="AM155" s="72"/>
      <c r="AN155" s="696" cm="1">
        <f t="array" ref="AN155">K155</f>
        <v>2043</v>
      </c>
      <c r="AO155" s="696" t="s">
        <v>2357</v>
      </c>
      <c r="AP155" s="706" cm="1">
        <f t="array" ref="AP155">AP154</f>
        <v>0</v>
      </c>
      <c r="AQ155" s="507"/>
      <c r="AR155" s="507"/>
    </row>
    <row r="156" spans="1:44" s="880" customFormat="1" ht="14.25" hidden="1" customHeight="1" x14ac:dyDescent="0.15">
      <c r="A156" s="72"/>
      <c r="B156" s="341" t="b">
        <f t="shared" si="8"/>
        <v>0</v>
      </c>
      <c r="C156" s="72"/>
      <c r="D156" s="72"/>
      <c r="E156" s="507">
        <v>15</v>
      </c>
      <c r="F156" s="3" t="str" cm="1">
        <f t="array" aca="1" ref="F156" ca="1">OFFSET(E156,-1,1)</f>
        <v>2</v>
      </c>
      <c r="G156" s="17" cm="1">
        <f t="array" ref="G156">G155</f>
        <v>0</v>
      </c>
      <c r="H156" s="72"/>
      <c r="I156" s="72"/>
      <c r="J156" s="72"/>
      <c r="K156" s="72">
        <f>first_year+20</f>
        <v>2044</v>
      </c>
      <c r="L156" s="72"/>
      <c r="M156" s="72"/>
      <c r="N156" s="72"/>
      <c r="O156" s="72"/>
      <c r="P156" s="72"/>
      <c r="Q156" s="72"/>
      <c r="R156" s="72"/>
      <c r="S156" s="72"/>
      <c r="T156" s="353" t="b" cm="1">
        <f t="array" aca="1" ref="T156" ca="1">T155</f>
        <v>0</v>
      </c>
      <c r="U156" s="72"/>
      <c r="V156" s="72"/>
      <c r="W156" s="72"/>
      <c r="X156" s="990"/>
      <c r="Y156" s="990"/>
      <c r="Z156" s="967"/>
      <c r="AA156" s="1085"/>
      <c r="AB156" s="168" t="str">
        <f t="shared" si="9"/>
        <v>2044 год</v>
      </c>
      <c r="AC156" s="308"/>
      <c r="AD156" s="886"/>
      <c r="AE156" s="885"/>
      <c r="AF156" s="885"/>
      <c r="AG156" s="886"/>
      <c r="AH156" s="885"/>
      <c r="AI156" s="886"/>
      <c r="AJ156" s="885"/>
      <c r="AK156" s="887"/>
      <c r="AL156" s="304"/>
      <c r="AM156" s="72"/>
      <c r="AN156" s="696" cm="1">
        <f t="array" ref="AN156">K156</f>
        <v>2044</v>
      </c>
      <c r="AO156" s="696" t="s">
        <v>2357</v>
      </c>
      <c r="AP156" s="706" cm="1">
        <f t="array" ref="AP156">AP155</f>
        <v>0</v>
      </c>
      <c r="AQ156" s="507"/>
      <c r="AR156" s="507"/>
    </row>
    <row r="157" spans="1:44" s="880" customFormat="1" ht="14.25" hidden="1" customHeight="1" x14ac:dyDescent="0.15">
      <c r="A157" s="72"/>
      <c r="B157" s="341" t="b">
        <f t="shared" si="8"/>
        <v>0</v>
      </c>
      <c r="C157" s="72"/>
      <c r="D157" s="72"/>
      <c r="E157" s="507">
        <v>15</v>
      </c>
      <c r="F157" s="3" t="str" cm="1">
        <f t="array" aca="1" ref="F157" ca="1">OFFSET(E157,-1,1)</f>
        <v>2</v>
      </c>
      <c r="G157" s="17" cm="1">
        <f t="array" ref="G157">G156</f>
        <v>0</v>
      </c>
      <c r="H157" s="72"/>
      <c r="I157" s="72"/>
      <c r="J157" s="72"/>
      <c r="K157" s="72">
        <f>first_year+21</f>
        <v>2045</v>
      </c>
      <c r="L157" s="72"/>
      <c r="M157" s="72"/>
      <c r="N157" s="72"/>
      <c r="O157" s="72"/>
      <c r="P157" s="72"/>
      <c r="Q157" s="72"/>
      <c r="R157" s="72"/>
      <c r="S157" s="72"/>
      <c r="T157" s="353" t="b" cm="1">
        <f t="array" aca="1" ref="T157" ca="1">T156</f>
        <v>0</v>
      </c>
      <c r="U157" s="72"/>
      <c r="V157" s="72"/>
      <c r="W157" s="72"/>
      <c r="X157" s="990"/>
      <c r="Y157" s="990"/>
      <c r="Z157" s="967"/>
      <c r="AA157" s="1085"/>
      <c r="AB157" s="168" t="str">
        <f t="shared" si="9"/>
        <v>2045 год</v>
      </c>
      <c r="AC157" s="308"/>
      <c r="AD157" s="886"/>
      <c r="AE157" s="885"/>
      <c r="AF157" s="885"/>
      <c r="AG157" s="886"/>
      <c r="AH157" s="885"/>
      <c r="AI157" s="886"/>
      <c r="AJ157" s="885"/>
      <c r="AK157" s="887"/>
      <c r="AL157" s="304"/>
      <c r="AM157" s="72"/>
      <c r="AN157" s="696" cm="1">
        <f t="array" ref="AN157">K157</f>
        <v>2045</v>
      </c>
      <c r="AO157" s="696" t="s">
        <v>2357</v>
      </c>
      <c r="AP157" s="706" cm="1">
        <f t="array" ref="AP157">AP156</f>
        <v>0</v>
      </c>
      <c r="AQ157" s="507"/>
      <c r="AR157" s="507"/>
    </row>
    <row r="158" spans="1:44" s="880" customFormat="1" ht="14.25" hidden="1" customHeight="1" x14ac:dyDescent="0.15">
      <c r="A158" s="72"/>
      <c r="B158" s="341" t="b">
        <f t="shared" si="8"/>
        <v>0</v>
      </c>
      <c r="C158" s="72"/>
      <c r="D158" s="72"/>
      <c r="E158" s="507">
        <v>15</v>
      </c>
      <c r="F158" s="3" t="str" cm="1">
        <f t="array" aca="1" ref="F158" ca="1">OFFSET(E158,-1,1)</f>
        <v>2</v>
      </c>
      <c r="G158" s="17" cm="1">
        <f t="array" ref="G158">G157</f>
        <v>0</v>
      </c>
      <c r="H158" s="72"/>
      <c r="I158" s="72"/>
      <c r="J158" s="72"/>
      <c r="K158" s="72">
        <f>first_year+22</f>
        <v>2046</v>
      </c>
      <c r="L158" s="72"/>
      <c r="M158" s="72"/>
      <c r="N158" s="72"/>
      <c r="O158" s="72"/>
      <c r="P158" s="72"/>
      <c r="Q158" s="72"/>
      <c r="R158" s="72"/>
      <c r="S158" s="72"/>
      <c r="T158" s="353" t="b" cm="1">
        <f t="array" aca="1" ref="T158" ca="1">T157</f>
        <v>0</v>
      </c>
      <c r="U158" s="72"/>
      <c r="V158" s="72"/>
      <c r="W158" s="72"/>
      <c r="X158" s="990"/>
      <c r="Y158" s="990"/>
      <c r="Z158" s="967"/>
      <c r="AA158" s="1085"/>
      <c r="AB158" s="168" t="str">
        <f t="shared" si="9"/>
        <v>2046 год</v>
      </c>
      <c r="AC158" s="308"/>
      <c r="AD158" s="886"/>
      <c r="AE158" s="885"/>
      <c r="AF158" s="885"/>
      <c r="AG158" s="886"/>
      <c r="AH158" s="885"/>
      <c r="AI158" s="886"/>
      <c r="AJ158" s="885"/>
      <c r="AK158" s="887"/>
      <c r="AL158" s="304"/>
      <c r="AM158" s="72"/>
      <c r="AN158" s="696" cm="1">
        <f t="array" ref="AN158">K158</f>
        <v>2046</v>
      </c>
      <c r="AO158" s="696" t="s">
        <v>2357</v>
      </c>
      <c r="AP158" s="706" cm="1">
        <f t="array" ref="AP158">AP157</f>
        <v>0</v>
      </c>
      <c r="AQ158" s="507"/>
      <c r="AR158" s="507"/>
    </row>
    <row r="159" spans="1:44" s="880" customFormat="1" ht="14.25" hidden="1" customHeight="1" x14ac:dyDescent="0.15">
      <c r="A159" s="72"/>
      <c r="B159" s="341" t="b">
        <f t="shared" si="8"/>
        <v>0</v>
      </c>
      <c r="C159" s="72"/>
      <c r="D159" s="72"/>
      <c r="E159" s="507">
        <v>15</v>
      </c>
      <c r="F159" s="3" t="str" cm="1">
        <f t="array" aca="1" ref="F159" ca="1">OFFSET(E159,-1,1)</f>
        <v>2</v>
      </c>
      <c r="G159" s="17" cm="1">
        <f t="array" ref="G159">G158</f>
        <v>0</v>
      </c>
      <c r="H159" s="72"/>
      <c r="I159" s="72"/>
      <c r="J159" s="72"/>
      <c r="K159" s="72">
        <f>first_year+23</f>
        <v>2047</v>
      </c>
      <c r="L159" s="72"/>
      <c r="M159" s="72"/>
      <c r="N159" s="72"/>
      <c r="O159" s="72"/>
      <c r="P159" s="72"/>
      <c r="Q159" s="72"/>
      <c r="R159" s="72"/>
      <c r="S159" s="72"/>
      <c r="T159" s="353" t="b" cm="1">
        <f t="array" aca="1" ref="T159" ca="1">T158</f>
        <v>0</v>
      </c>
      <c r="U159" s="72"/>
      <c r="V159" s="72"/>
      <c r="W159" s="72"/>
      <c r="X159" s="990"/>
      <c r="Y159" s="990"/>
      <c r="Z159" s="967"/>
      <c r="AA159" s="1085"/>
      <c r="AB159" s="168" t="str">
        <f t="shared" si="9"/>
        <v>2047 год</v>
      </c>
      <c r="AC159" s="308"/>
      <c r="AD159" s="886"/>
      <c r="AE159" s="885"/>
      <c r="AF159" s="885"/>
      <c r="AG159" s="886"/>
      <c r="AH159" s="885"/>
      <c r="AI159" s="886"/>
      <c r="AJ159" s="885"/>
      <c r="AK159" s="887"/>
      <c r="AL159" s="304"/>
      <c r="AM159" s="72"/>
      <c r="AN159" s="696" cm="1">
        <f t="array" ref="AN159">K159</f>
        <v>2047</v>
      </c>
      <c r="AO159" s="696" t="s">
        <v>2357</v>
      </c>
      <c r="AP159" s="706" cm="1">
        <f t="array" ref="AP159">AP158</f>
        <v>0</v>
      </c>
      <c r="AQ159" s="507"/>
      <c r="AR159" s="507"/>
    </row>
    <row r="160" spans="1:44" s="880" customFormat="1" ht="14.25" hidden="1" customHeight="1" x14ac:dyDescent="0.15">
      <c r="A160" s="72"/>
      <c r="B160" s="341" t="b">
        <f t="shared" si="8"/>
        <v>0</v>
      </c>
      <c r="C160" s="72"/>
      <c r="D160" s="72"/>
      <c r="E160" s="507">
        <v>15</v>
      </c>
      <c r="F160" s="3" t="str" cm="1">
        <f t="array" aca="1" ref="F160" ca="1">OFFSET(E160,-1,1)</f>
        <v>2</v>
      </c>
      <c r="G160" s="17" cm="1">
        <f t="array" ref="G160">G159</f>
        <v>0</v>
      </c>
      <c r="H160" s="72"/>
      <c r="I160" s="72"/>
      <c r="J160" s="72"/>
      <c r="K160" s="72">
        <f>first_year+24</f>
        <v>2048</v>
      </c>
      <c r="L160" s="72"/>
      <c r="M160" s="72"/>
      <c r="N160" s="72"/>
      <c r="O160" s="72"/>
      <c r="P160" s="72"/>
      <c r="Q160" s="72"/>
      <c r="R160" s="72"/>
      <c r="S160" s="72"/>
      <c r="T160" s="353" t="b" cm="1">
        <f t="array" aca="1" ref="T160" ca="1">T159</f>
        <v>0</v>
      </c>
      <c r="U160" s="72"/>
      <c r="V160" s="72"/>
      <c r="W160" s="72"/>
      <c r="X160" s="990"/>
      <c r="Y160" s="990"/>
      <c r="Z160" s="967"/>
      <c r="AA160" s="1085"/>
      <c r="AB160" s="168" t="str">
        <f t="shared" si="9"/>
        <v>2048 год</v>
      </c>
      <c r="AC160" s="308"/>
      <c r="AD160" s="886"/>
      <c r="AE160" s="885"/>
      <c r="AF160" s="885"/>
      <c r="AG160" s="886"/>
      <c r="AH160" s="885"/>
      <c r="AI160" s="886"/>
      <c r="AJ160" s="885"/>
      <c r="AK160" s="887"/>
      <c r="AL160" s="304"/>
      <c r="AM160" s="72"/>
      <c r="AN160" s="696" cm="1">
        <f t="array" ref="AN160">K160</f>
        <v>2048</v>
      </c>
      <c r="AO160" s="696" t="s">
        <v>2357</v>
      </c>
      <c r="AP160" s="706" cm="1">
        <f t="array" ref="AP160">AP159</f>
        <v>0</v>
      </c>
      <c r="AQ160" s="507"/>
      <c r="AR160" s="507"/>
    </row>
    <row r="161" spans="1:44" s="880" customFormat="1" ht="14.25" hidden="1" customHeight="1" x14ac:dyDescent="0.15">
      <c r="A161" s="72"/>
      <c r="B161" s="341" t="b">
        <f t="shared" si="8"/>
        <v>0</v>
      </c>
      <c r="C161" s="72"/>
      <c r="D161" s="72"/>
      <c r="E161" s="507">
        <v>15</v>
      </c>
      <c r="F161" s="3" t="str" cm="1">
        <f t="array" aca="1" ref="F161" ca="1">OFFSET(E161,-1,1)</f>
        <v>2</v>
      </c>
      <c r="G161" s="17" cm="1">
        <f t="array" ref="G161">G160</f>
        <v>0</v>
      </c>
      <c r="H161" s="72"/>
      <c r="I161" s="72"/>
      <c r="J161" s="72"/>
      <c r="K161" s="72">
        <f>first_year+25</f>
        <v>2049</v>
      </c>
      <c r="L161" s="72"/>
      <c r="M161" s="72"/>
      <c r="N161" s="72"/>
      <c r="O161" s="72"/>
      <c r="P161" s="72"/>
      <c r="Q161" s="72"/>
      <c r="R161" s="72"/>
      <c r="S161" s="72"/>
      <c r="T161" s="353" t="b" cm="1">
        <f t="array" aca="1" ref="T161" ca="1">T160</f>
        <v>0</v>
      </c>
      <c r="U161" s="72"/>
      <c r="V161" s="72"/>
      <c r="W161" s="72"/>
      <c r="X161" s="990"/>
      <c r="Y161" s="990"/>
      <c r="Z161" s="967"/>
      <c r="AA161" s="1085"/>
      <c r="AB161" s="168" t="str">
        <f t="shared" si="9"/>
        <v>2049 год</v>
      </c>
      <c r="AC161" s="308"/>
      <c r="AD161" s="886"/>
      <c r="AE161" s="885"/>
      <c r="AF161" s="885"/>
      <c r="AG161" s="886"/>
      <c r="AH161" s="885"/>
      <c r="AI161" s="886"/>
      <c r="AJ161" s="885"/>
      <c r="AK161" s="887"/>
      <c r="AL161" s="304"/>
      <c r="AM161" s="72"/>
      <c r="AN161" s="696" cm="1">
        <f t="array" ref="AN161">K161</f>
        <v>2049</v>
      </c>
      <c r="AO161" s="696" t="s">
        <v>2357</v>
      </c>
      <c r="AP161" s="706" cm="1">
        <f t="array" ref="AP161">AP160</f>
        <v>0</v>
      </c>
      <c r="AQ161" s="507"/>
      <c r="AR161" s="507"/>
    </row>
    <row r="162" spans="1:44" s="880" customFormat="1" ht="14.25" hidden="1" customHeight="1" x14ac:dyDescent="0.15">
      <c r="A162" s="72"/>
      <c r="B162" s="341" t="b">
        <f t="shared" si="8"/>
        <v>0</v>
      </c>
      <c r="C162" s="72"/>
      <c r="D162" s="72"/>
      <c r="E162" s="507">
        <v>15</v>
      </c>
      <c r="F162" s="3" t="str" cm="1">
        <f t="array" aca="1" ref="F162" ca="1">OFFSET(E162,-1,1)</f>
        <v>2</v>
      </c>
      <c r="G162" s="17" cm="1">
        <f t="array" ref="G162">G161</f>
        <v>0</v>
      </c>
      <c r="H162" s="72"/>
      <c r="I162" s="72"/>
      <c r="J162" s="72"/>
      <c r="K162" s="72">
        <f>first_year+26</f>
        <v>2050</v>
      </c>
      <c r="L162" s="72"/>
      <c r="M162" s="72"/>
      <c r="N162" s="72"/>
      <c r="O162" s="72"/>
      <c r="P162" s="72"/>
      <c r="Q162" s="72"/>
      <c r="R162" s="72"/>
      <c r="S162" s="72"/>
      <c r="T162" s="353" t="b" cm="1">
        <f t="array" aca="1" ref="T162" ca="1">T161</f>
        <v>0</v>
      </c>
      <c r="U162" s="72"/>
      <c r="V162" s="72"/>
      <c r="W162" s="72"/>
      <c r="X162" s="990"/>
      <c r="Y162" s="990"/>
      <c r="Z162" s="967"/>
      <c r="AA162" s="1085"/>
      <c r="AB162" s="168" t="str">
        <f t="shared" si="9"/>
        <v>2050 год</v>
      </c>
      <c r="AC162" s="308"/>
      <c r="AD162" s="886"/>
      <c r="AE162" s="885"/>
      <c r="AF162" s="885"/>
      <c r="AG162" s="886"/>
      <c r="AH162" s="885"/>
      <c r="AI162" s="886"/>
      <c r="AJ162" s="885"/>
      <c r="AK162" s="887"/>
      <c r="AL162" s="304"/>
      <c r="AM162" s="72"/>
      <c r="AN162" s="696" cm="1">
        <f t="array" ref="AN162">K162</f>
        <v>2050</v>
      </c>
      <c r="AO162" s="696" t="s">
        <v>2357</v>
      </c>
      <c r="AP162" s="706" cm="1">
        <f t="array" ref="AP162">AP161</f>
        <v>0</v>
      </c>
      <c r="AQ162" s="507"/>
      <c r="AR162" s="507"/>
    </row>
    <row r="163" spans="1:44" s="880" customFormat="1" ht="14.25" hidden="1" customHeight="1" x14ac:dyDescent="0.15">
      <c r="A163" s="72"/>
      <c r="B163" s="341" t="b">
        <f t="shared" si="8"/>
        <v>0</v>
      </c>
      <c r="C163" s="72"/>
      <c r="D163" s="72"/>
      <c r="E163" s="507">
        <v>15</v>
      </c>
      <c r="F163" s="3" t="str" cm="1">
        <f t="array" aca="1" ref="F163" ca="1">OFFSET(E163,-1,1)</f>
        <v>2</v>
      </c>
      <c r="G163" s="17" cm="1">
        <f t="array" ref="G163">G162</f>
        <v>0</v>
      </c>
      <c r="H163" s="72"/>
      <c r="I163" s="72"/>
      <c r="J163" s="72"/>
      <c r="K163" s="72">
        <f>first_year+27</f>
        <v>2051</v>
      </c>
      <c r="L163" s="72"/>
      <c r="M163" s="72"/>
      <c r="N163" s="72"/>
      <c r="O163" s="72"/>
      <c r="P163" s="72"/>
      <c r="Q163" s="72"/>
      <c r="R163" s="72"/>
      <c r="S163" s="72"/>
      <c r="T163" s="353" t="b" cm="1">
        <f t="array" aca="1" ref="T163" ca="1">T162</f>
        <v>0</v>
      </c>
      <c r="U163" s="72"/>
      <c r="V163" s="72"/>
      <c r="W163" s="72"/>
      <c r="X163" s="990"/>
      <c r="Y163" s="990"/>
      <c r="Z163" s="967"/>
      <c r="AA163" s="1085"/>
      <c r="AB163" s="168" t="str">
        <f t="shared" si="9"/>
        <v>2051 год</v>
      </c>
      <c r="AC163" s="308"/>
      <c r="AD163" s="886"/>
      <c r="AE163" s="885"/>
      <c r="AF163" s="885"/>
      <c r="AG163" s="886"/>
      <c r="AH163" s="885"/>
      <c r="AI163" s="886"/>
      <c r="AJ163" s="885"/>
      <c r="AK163" s="887"/>
      <c r="AL163" s="304"/>
      <c r="AM163" s="72"/>
      <c r="AN163" s="696" cm="1">
        <f t="array" ref="AN163">K163</f>
        <v>2051</v>
      </c>
      <c r="AO163" s="696" t="s">
        <v>2357</v>
      </c>
      <c r="AP163" s="706" cm="1">
        <f t="array" ref="AP163">AP162</f>
        <v>0</v>
      </c>
      <c r="AQ163" s="507"/>
      <c r="AR163" s="507"/>
    </row>
    <row r="164" spans="1:44" s="880" customFormat="1" ht="14.25" hidden="1" customHeight="1" x14ac:dyDescent="0.15">
      <c r="A164" s="72"/>
      <c r="B164" s="341" t="b">
        <f t="shared" si="8"/>
        <v>0</v>
      </c>
      <c r="C164" s="72"/>
      <c r="D164" s="72"/>
      <c r="E164" s="507">
        <v>15</v>
      </c>
      <c r="F164" s="3" t="str" cm="1">
        <f t="array" aca="1" ref="F164" ca="1">OFFSET(E164,-1,1)</f>
        <v>2</v>
      </c>
      <c r="G164" s="17" cm="1">
        <f t="array" ref="G164">G163</f>
        <v>0</v>
      </c>
      <c r="H164" s="72"/>
      <c r="I164" s="72"/>
      <c r="J164" s="72"/>
      <c r="K164" s="72">
        <f>first_year+28</f>
        <v>2052</v>
      </c>
      <c r="L164" s="72"/>
      <c r="M164" s="72"/>
      <c r="N164" s="72"/>
      <c r="O164" s="72"/>
      <c r="P164" s="72"/>
      <c r="Q164" s="72"/>
      <c r="R164" s="72"/>
      <c r="S164" s="72"/>
      <c r="T164" s="353" t="b" cm="1">
        <f t="array" aca="1" ref="T164" ca="1">T163</f>
        <v>0</v>
      </c>
      <c r="U164" s="72"/>
      <c r="V164" s="72"/>
      <c r="W164" s="72"/>
      <c r="X164" s="990"/>
      <c r="Y164" s="990"/>
      <c r="Z164" s="967"/>
      <c r="AA164" s="1085"/>
      <c r="AB164" s="168" t="str">
        <f t="shared" si="9"/>
        <v>2052 год</v>
      </c>
      <c r="AC164" s="308"/>
      <c r="AD164" s="886"/>
      <c r="AE164" s="885"/>
      <c r="AF164" s="885"/>
      <c r="AG164" s="886"/>
      <c r="AH164" s="885"/>
      <c r="AI164" s="886"/>
      <c r="AJ164" s="885"/>
      <c r="AK164" s="887"/>
      <c r="AL164" s="304"/>
      <c r="AM164" s="72"/>
      <c r="AN164" s="696" cm="1">
        <f t="array" ref="AN164">K164</f>
        <v>2052</v>
      </c>
      <c r="AO164" s="696" t="s">
        <v>2357</v>
      </c>
      <c r="AP164" s="706" cm="1">
        <f t="array" ref="AP164">AP163</f>
        <v>0</v>
      </c>
      <c r="AQ164" s="507"/>
      <c r="AR164" s="507"/>
    </row>
    <row r="165" spans="1:44" s="880" customFormat="1" ht="14.25" hidden="1" customHeight="1" x14ac:dyDescent="0.15">
      <c r="A165" s="72"/>
      <c r="B165" s="341" t="b">
        <f t="shared" si="8"/>
        <v>0</v>
      </c>
      <c r="C165" s="72"/>
      <c r="D165" s="72"/>
      <c r="E165" s="507">
        <v>15</v>
      </c>
      <c r="F165" s="3" t="str" cm="1">
        <f t="array" aca="1" ref="F165" ca="1">OFFSET(E165,-1,1)</f>
        <v>2</v>
      </c>
      <c r="G165" s="17" cm="1">
        <f t="array" ref="G165">G164</f>
        <v>0</v>
      </c>
      <c r="H165" s="72"/>
      <c r="I165" s="72"/>
      <c r="J165" s="72"/>
      <c r="K165" s="72">
        <f>first_year+29</f>
        <v>2053</v>
      </c>
      <c r="L165" s="72"/>
      <c r="M165" s="72"/>
      <c r="N165" s="72"/>
      <c r="O165" s="72"/>
      <c r="P165" s="72"/>
      <c r="Q165" s="72"/>
      <c r="R165" s="72"/>
      <c r="S165" s="72"/>
      <c r="T165" s="353" t="b" cm="1">
        <f t="array" aca="1" ref="T165" ca="1">T164</f>
        <v>0</v>
      </c>
      <c r="U165" s="72"/>
      <c r="V165" s="72"/>
      <c r="W165" s="72"/>
      <c r="X165" s="990"/>
      <c r="Y165" s="990"/>
      <c r="Z165" s="967"/>
      <c r="AA165" s="1085"/>
      <c r="AB165" s="168" t="str">
        <f t="shared" si="9"/>
        <v>2053 год</v>
      </c>
      <c r="AC165" s="308"/>
      <c r="AD165" s="886"/>
      <c r="AE165" s="885"/>
      <c r="AF165" s="885"/>
      <c r="AG165" s="886"/>
      <c r="AH165" s="885"/>
      <c r="AI165" s="886"/>
      <c r="AJ165" s="885"/>
      <c r="AK165" s="887"/>
      <c r="AL165" s="304"/>
      <c r="AM165" s="72"/>
      <c r="AN165" s="696" cm="1">
        <f t="array" ref="AN165">K165</f>
        <v>2053</v>
      </c>
      <c r="AO165" s="696" t="s">
        <v>2357</v>
      </c>
      <c r="AP165" s="706" cm="1">
        <f t="array" ref="AP165">AP164</f>
        <v>0</v>
      </c>
      <c r="AQ165" s="507"/>
      <c r="AR165" s="507"/>
    </row>
    <row r="166" spans="1:44" s="880" customFormat="1" ht="14.25" hidden="1" customHeight="1" x14ac:dyDescent="0.15">
      <c r="A166" s="72"/>
      <c r="B166" s="341" t="b">
        <f t="shared" si="8"/>
        <v>0</v>
      </c>
      <c r="C166" s="72"/>
      <c r="D166" s="72"/>
      <c r="E166" s="507">
        <v>15</v>
      </c>
      <c r="F166" s="3" t="str" cm="1">
        <f t="array" aca="1" ref="F166" ca="1">OFFSET(E166,-1,1)</f>
        <v>2</v>
      </c>
      <c r="G166" s="17" cm="1">
        <f t="array" ref="G166">G165</f>
        <v>0</v>
      </c>
      <c r="H166" s="72"/>
      <c r="I166" s="72"/>
      <c r="J166" s="72"/>
      <c r="K166" s="72">
        <f>first_year+30</f>
        <v>2054</v>
      </c>
      <c r="L166" s="72"/>
      <c r="M166" s="72"/>
      <c r="N166" s="72"/>
      <c r="O166" s="72"/>
      <c r="P166" s="72"/>
      <c r="Q166" s="72"/>
      <c r="R166" s="72"/>
      <c r="S166" s="72"/>
      <c r="T166" s="353" t="b" cm="1">
        <f t="array" aca="1" ref="T166" ca="1">T165</f>
        <v>0</v>
      </c>
      <c r="U166" s="72"/>
      <c r="V166" s="72"/>
      <c r="W166" s="72"/>
      <c r="X166" s="990"/>
      <c r="Y166" s="990"/>
      <c r="Z166" s="967"/>
      <c r="AA166" s="1085"/>
      <c r="AB166" s="168" t="str">
        <f t="shared" si="9"/>
        <v>2054 год</v>
      </c>
      <c r="AC166" s="308"/>
      <c r="AD166" s="886"/>
      <c r="AE166" s="885"/>
      <c r="AF166" s="885"/>
      <c r="AG166" s="886"/>
      <c r="AH166" s="885"/>
      <c r="AI166" s="886"/>
      <c r="AJ166" s="885"/>
      <c r="AK166" s="887"/>
      <c r="AL166" s="304"/>
      <c r="AM166" s="72"/>
      <c r="AN166" s="696" cm="1">
        <f t="array" ref="AN166">K166</f>
        <v>2054</v>
      </c>
      <c r="AO166" s="696" t="s">
        <v>2357</v>
      </c>
      <c r="AP166" s="706" cm="1">
        <f t="array" ref="AP166">AP165</f>
        <v>0</v>
      </c>
      <c r="AQ166" s="507"/>
      <c r="AR166" s="507"/>
    </row>
    <row r="167" spans="1:44" s="880" customFormat="1" ht="14.25" hidden="1" customHeight="1" x14ac:dyDescent="0.15">
      <c r="A167" s="72"/>
      <c r="B167" s="341" t="b">
        <f t="shared" si="8"/>
        <v>0</v>
      </c>
      <c r="C167" s="72"/>
      <c r="D167" s="72"/>
      <c r="E167" s="507">
        <v>15</v>
      </c>
      <c r="F167" s="3" t="str" cm="1">
        <f t="array" aca="1" ref="F167" ca="1">OFFSET(E167,-1,1)</f>
        <v>2</v>
      </c>
      <c r="G167" s="17" cm="1">
        <f t="array" ref="G167">G166</f>
        <v>0</v>
      </c>
      <c r="H167" s="72"/>
      <c r="I167" s="72"/>
      <c r="J167" s="72"/>
      <c r="K167" s="72">
        <f>first_year+31</f>
        <v>2055</v>
      </c>
      <c r="L167" s="72"/>
      <c r="M167" s="72"/>
      <c r="N167" s="72"/>
      <c r="O167" s="72"/>
      <c r="P167" s="72"/>
      <c r="Q167" s="72"/>
      <c r="R167" s="72"/>
      <c r="S167" s="72"/>
      <c r="T167" s="353" t="b" cm="1">
        <f t="array" aca="1" ref="T167" ca="1">T166</f>
        <v>0</v>
      </c>
      <c r="U167" s="72"/>
      <c r="V167" s="72"/>
      <c r="W167" s="72"/>
      <c r="X167" s="990"/>
      <c r="Y167" s="990"/>
      <c r="Z167" s="967"/>
      <c r="AA167" s="1085"/>
      <c r="AB167" s="168" t="str">
        <f t="shared" si="9"/>
        <v>2055 год</v>
      </c>
      <c r="AC167" s="308"/>
      <c r="AD167" s="886"/>
      <c r="AE167" s="885"/>
      <c r="AF167" s="885"/>
      <c r="AG167" s="886"/>
      <c r="AH167" s="885"/>
      <c r="AI167" s="886"/>
      <c r="AJ167" s="885"/>
      <c r="AK167" s="887"/>
      <c r="AL167" s="304"/>
      <c r="AM167" s="72"/>
      <c r="AN167" s="696" cm="1">
        <f t="array" ref="AN167">K167</f>
        <v>2055</v>
      </c>
      <c r="AO167" s="696" t="s">
        <v>2357</v>
      </c>
      <c r="AP167" s="706" cm="1">
        <f t="array" ref="AP167">AP166</f>
        <v>0</v>
      </c>
      <c r="AQ167" s="507"/>
      <c r="AR167" s="507"/>
    </row>
    <row r="168" spans="1:44" s="880" customFormat="1" ht="14.25" hidden="1" customHeight="1" x14ac:dyDescent="0.15">
      <c r="A168" s="72"/>
      <c r="B168" s="341" t="b">
        <f t="shared" ref="B168:B185" si="10">K168&lt;first_year+PERIOD_LENGTH</f>
        <v>0</v>
      </c>
      <c r="C168" s="72"/>
      <c r="D168" s="72"/>
      <c r="E168" s="507">
        <v>15</v>
      </c>
      <c r="F168" s="3" t="str" cm="1">
        <f t="array" aca="1" ref="F168" ca="1">OFFSET(E168,-1,1)</f>
        <v>2</v>
      </c>
      <c r="G168" s="17" cm="1">
        <f t="array" ref="G168">G167</f>
        <v>0</v>
      </c>
      <c r="H168" s="72"/>
      <c r="I168" s="72"/>
      <c r="J168" s="72"/>
      <c r="K168" s="72">
        <f>first_year+32</f>
        <v>2056</v>
      </c>
      <c r="L168" s="72"/>
      <c r="M168" s="72"/>
      <c r="N168" s="72"/>
      <c r="O168" s="72"/>
      <c r="P168" s="72"/>
      <c r="Q168" s="72"/>
      <c r="R168" s="72"/>
      <c r="S168" s="72"/>
      <c r="T168" s="353" t="b" cm="1">
        <f t="array" aca="1" ref="T168" ca="1">T167</f>
        <v>0</v>
      </c>
      <c r="U168" s="72"/>
      <c r="V168" s="72"/>
      <c r="W168" s="72"/>
      <c r="X168" s="990"/>
      <c r="Y168" s="990"/>
      <c r="Z168" s="967"/>
      <c r="AA168" s="1085"/>
      <c r="AB168" s="168" t="str">
        <f t="shared" ref="AB168:AB185" si="11">K168&amp;" год"</f>
        <v>2056 год</v>
      </c>
      <c r="AC168" s="308"/>
      <c r="AD168" s="886"/>
      <c r="AE168" s="885"/>
      <c r="AF168" s="885"/>
      <c r="AG168" s="886"/>
      <c r="AH168" s="885"/>
      <c r="AI168" s="886"/>
      <c r="AJ168" s="885"/>
      <c r="AK168" s="887"/>
      <c r="AL168" s="304"/>
      <c r="AM168" s="72"/>
      <c r="AN168" s="696" cm="1">
        <f t="array" ref="AN168">K168</f>
        <v>2056</v>
      </c>
      <c r="AO168" s="696" t="s">
        <v>2357</v>
      </c>
      <c r="AP168" s="706" cm="1">
        <f t="array" ref="AP168">AP167</f>
        <v>0</v>
      </c>
      <c r="AQ168" s="507"/>
      <c r="AR168" s="507"/>
    </row>
    <row r="169" spans="1:44" s="880" customFormat="1" ht="14.25" hidden="1" customHeight="1" x14ac:dyDescent="0.15">
      <c r="A169" s="72"/>
      <c r="B169" s="341" t="b">
        <f t="shared" si="10"/>
        <v>0</v>
      </c>
      <c r="C169" s="72"/>
      <c r="D169" s="72"/>
      <c r="E169" s="507">
        <v>15</v>
      </c>
      <c r="F169" s="3" t="str" cm="1">
        <f t="array" aca="1" ref="F169" ca="1">OFFSET(E169,-1,1)</f>
        <v>2</v>
      </c>
      <c r="G169" s="17" cm="1">
        <f t="array" ref="G169">G168</f>
        <v>0</v>
      </c>
      <c r="H169" s="72"/>
      <c r="I169" s="72"/>
      <c r="J169" s="72"/>
      <c r="K169" s="72">
        <f>first_year+33</f>
        <v>2057</v>
      </c>
      <c r="L169" s="72"/>
      <c r="M169" s="72"/>
      <c r="N169" s="72"/>
      <c r="O169" s="72"/>
      <c r="P169" s="72"/>
      <c r="Q169" s="72"/>
      <c r="R169" s="72"/>
      <c r="S169" s="72"/>
      <c r="T169" s="353" t="b" cm="1">
        <f t="array" aca="1" ref="T169" ca="1">T168</f>
        <v>0</v>
      </c>
      <c r="U169" s="72"/>
      <c r="V169" s="72"/>
      <c r="W169" s="72"/>
      <c r="X169" s="990"/>
      <c r="Y169" s="990"/>
      <c r="Z169" s="967"/>
      <c r="AA169" s="1085"/>
      <c r="AB169" s="168" t="str">
        <f t="shared" si="11"/>
        <v>2057 год</v>
      </c>
      <c r="AC169" s="308"/>
      <c r="AD169" s="886"/>
      <c r="AE169" s="885"/>
      <c r="AF169" s="885"/>
      <c r="AG169" s="886"/>
      <c r="AH169" s="885"/>
      <c r="AI169" s="886"/>
      <c r="AJ169" s="885"/>
      <c r="AK169" s="887"/>
      <c r="AL169" s="304"/>
      <c r="AM169" s="72"/>
      <c r="AN169" s="696" cm="1">
        <f t="array" ref="AN169">K169</f>
        <v>2057</v>
      </c>
      <c r="AO169" s="696" t="s">
        <v>2357</v>
      </c>
      <c r="AP169" s="706" cm="1">
        <f t="array" ref="AP169">AP168</f>
        <v>0</v>
      </c>
      <c r="AQ169" s="507"/>
      <c r="AR169" s="507"/>
    </row>
    <row r="170" spans="1:44" s="880" customFormat="1" ht="14.25" hidden="1" customHeight="1" x14ac:dyDescent="0.15">
      <c r="A170" s="72"/>
      <c r="B170" s="341" t="b">
        <f t="shared" si="10"/>
        <v>0</v>
      </c>
      <c r="C170" s="72"/>
      <c r="D170" s="72"/>
      <c r="E170" s="507">
        <v>15</v>
      </c>
      <c r="F170" s="3" t="str" cm="1">
        <f t="array" aca="1" ref="F170" ca="1">OFFSET(E170,-1,1)</f>
        <v>2</v>
      </c>
      <c r="G170" s="17" cm="1">
        <f t="array" ref="G170">G169</f>
        <v>0</v>
      </c>
      <c r="H170" s="72"/>
      <c r="I170" s="72"/>
      <c r="J170" s="72"/>
      <c r="K170" s="72">
        <f>first_year+34</f>
        <v>2058</v>
      </c>
      <c r="L170" s="72"/>
      <c r="M170" s="72"/>
      <c r="N170" s="72"/>
      <c r="O170" s="72"/>
      <c r="P170" s="72"/>
      <c r="Q170" s="72"/>
      <c r="R170" s="72"/>
      <c r="S170" s="72"/>
      <c r="T170" s="353" t="b" cm="1">
        <f t="array" aca="1" ref="T170" ca="1">T169</f>
        <v>0</v>
      </c>
      <c r="U170" s="72"/>
      <c r="V170" s="72"/>
      <c r="W170" s="72"/>
      <c r="X170" s="990"/>
      <c r="Y170" s="990"/>
      <c r="Z170" s="967"/>
      <c r="AA170" s="1085"/>
      <c r="AB170" s="168" t="str">
        <f t="shared" si="11"/>
        <v>2058 год</v>
      </c>
      <c r="AC170" s="308"/>
      <c r="AD170" s="886"/>
      <c r="AE170" s="885"/>
      <c r="AF170" s="885"/>
      <c r="AG170" s="886"/>
      <c r="AH170" s="885"/>
      <c r="AI170" s="886"/>
      <c r="AJ170" s="885"/>
      <c r="AK170" s="887"/>
      <c r="AL170" s="304"/>
      <c r="AM170" s="72"/>
      <c r="AN170" s="696" cm="1">
        <f t="array" ref="AN170">K170</f>
        <v>2058</v>
      </c>
      <c r="AO170" s="696" t="s">
        <v>2357</v>
      </c>
      <c r="AP170" s="706" cm="1">
        <f t="array" ref="AP170">AP169</f>
        <v>0</v>
      </c>
      <c r="AQ170" s="507"/>
      <c r="AR170" s="507"/>
    </row>
    <row r="171" spans="1:44" s="880" customFormat="1" ht="14.25" hidden="1" customHeight="1" x14ac:dyDescent="0.15">
      <c r="A171" s="72"/>
      <c r="B171" s="341" t="b">
        <f t="shared" si="10"/>
        <v>0</v>
      </c>
      <c r="C171" s="72"/>
      <c r="D171" s="72"/>
      <c r="E171" s="507">
        <v>15</v>
      </c>
      <c r="F171" s="3" t="str" cm="1">
        <f t="array" aca="1" ref="F171" ca="1">OFFSET(E171,-1,1)</f>
        <v>2</v>
      </c>
      <c r="G171" s="17" cm="1">
        <f t="array" ref="G171">G170</f>
        <v>0</v>
      </c>
      <c r="H171" s="72"/>
      <c r="I171" s="72"/>
      <c r="J171" s="72"/>
      <c r="K171" s="72">
        <f>first_year+35</f>
        <v>2059</v>
      </c>
      <c r="L171" s="72"/>
      <c r="M171" s="72"/>
      <c r="N171" s="72"/>
      <c r="O171" s="72"/>
      <c r="P171" s="72"/>
      <c r="Q171" s="72"/>
      <c r="R171" s="72"/>
      <c r="S171" s="72"/>
      <c r="T171" s="353" t="b" cm="1">
        <f t="array" aca="1" ref="T171" ca="1">T170</f>
        <v>0</v>
      </c>
      <c r="U171" s="72"/>
      <c r="V171" s="72"/>
      <c r="W171" s="72"/>
      <c r="X171" s="990"/>
      <c r="Y171" s="990"/>
      <c r="Z171" s="967"/>
      <c r="AA171" s="1085"/>
      <c r="AB171" s="168" t="str">
        <f t="shared" si="11"/>
        <v>2059 год</v>
      </c>
      <c r="AC171" s="308"/>
      <c r="AD171" s="886"/>
      <c r="AE171" s="885"/>
      <c r="AF171" s="885"/>
      <c r="AG171" s="886"/>
      <c r="AH171" s="885"/>
      <c r="AI171" s="886"/>
      <c r="AJ171" s="885"/>
      <c r="AK171" s="887"/>
      <c r="AL171" s="304"/>
      <c r="AM171" s="72"/>
      <c r="AN171" s="696" cm="1">
        <f t="array" ref="AN171">K171</f>
        <v>2059</v>
      </c>
      <c r="AO171" s="696" t="s">
        <v>2357</v>
      </c>
      <c r="AP171" s="706" cm="1">
        <f t="array" ref="AP171">AP170</f>
        <v>0</v>
      </c>
      <c r="AQ171" s="507"/>
      <c r="AR171" s="507"/>
    </row>
    <row r="172" spans="1:44" s="880" customFormat="1" ht="14.25" hidden="1" customHeight="1" x14ac:dyDescent="0.15">
      <c r="A172" s="72"/>
      <c r="B172" s="341" t="b">
        <f t="shared" si="10"/>
        <v>0</v>
      </c>
      <c r="C172" s="72"/>
      <c r="D172" s="72"/>
      <c r="E172" s="507">
        <v>15</v>
      </c>
      <c r="F172" s="3" t="str" cm="1">
        <f t="array" aca="1" ref="F172" ca="1">OFFSET(E172,-1,1)</f>
        <v>2</v>
      </c>
      <c r="G172" s="17" cm="1">
        <f t="array" ref="G172">G171</f>
        <v>0</v>
      </c>
      <c r="H172" s="72"/>
      <c r="I172" s="72"/>
      <c r="J172" s="72"/>
      <c r="K172" s="72">
        <f>first_year+36</f>
        <v>2060</v>
      </c>
      <c r="L172" s="72"/>
      <c r="M172" s="72"/>
      <c r="N172" s="72"/>
      <c r="O172" s="72"/>
      <c r="P172" s="72"/>
      <c r="Q172" s="72"/>
      <c r="R172" s="72"/>
      <c r="S172" s="72"/>
      <c r="T172" s="353" t="b" cm="1">
        <f t="array" aca="1" ref="T172" ca="1">T171</f>
        <v>0</v>
      </c>
      <c r="U172" s="72"/>
      <c r="V172" s="72"/>
      <c r="W172" s="72"/>
      <c r="X172" s="990"/>
      <c r="Y172" s="990"/>
      <c r="Z172" s="967"/>
      <c r="AA172" s="1085"/>
      <c r="AB172" s="168" t="str">
        <f t="shared" si="11"/>
        <v>2060 год</v>
      </c>
      <c r="AC172" s="308"/>
      <c r="AD172" s="886"/>
      <c r="AE172" s="885"/>
      <c r="AF172" s="885"/>
      <c r="AG172" s="886"/>
      <c r="AH172" s="885"/>
      <c r="AI172" s="886"/>
      <c r="AJ172" s="885"/>
      <c r="AK172" s="887"/>
      <c r="AL172" s="304"/>
      <c r="AM172" s="72"/>
      <c r="AN172" s="696" cm="1">
        <f t="array" ref="AN172">K172</f>
        <v>2060</v>
      </c>
      <c r="AO172" s="696" t="s">
        <v>2357</v>
      </c>
      <c r="AP172" s="706" cm="1">
        <f t="array" ref="AP172">AP171</f>
        <v>0</v>
      </c>
      <c r="AQ172" s="507"/>
      <c r="AR172" s="507"/>
    </row>
    <row r="173" spans="1:44" s="880" customFormat="1" ht="14.25" hidden="1" customHeight="1" x14ac:dyDescent="0.15">
      <c r="A173" s="72"/>
      <c r="B173" s="341" t="b">
        <f t="shared" si="10"/>
        <v>0</v>
      </c>
      <c r="C173" s="72"/>
      <c r="D173" s="72"/>
      <c r="E173" s="507">
        <v>15</v>
      </c>
      <c r="F173" s="3" t="str" cm="1">
        <f t="array" aca="1" ref="F173" ca="1">OFFSET(E173,-1,1)</f>
        <v>2</v>
      </c>
      <c r="G173" s="17" cm="1">
        <f t="array" ref="G173">G172</f>
        <v>0</v>
      </c>
      <c r="H173" s="72"/>
      <c r="I173" s="72"/>
      <c r="J173" s="72"/>
      <c r="K173" s="72">
        <f>first_year+37</f>
        <v>2061</v>
      </c>
      <c r="L173" s="72"/>
      <c r="M173" s="72"/>
      <c r="N173" s="72"/>
      <c r="O173" s="72"/>
      <c r="P173" s="72"/>
      <c r="Q173" s="72"/>
      <c r="R173" s="72"/>
      <c r="S173" s="72"/>
      <c r="T173" s="353" t="b" cm="1">
        <f t="array" aca="1" ref="T173" ca="1">T172</f>
        <v>0</v>
      </c>
      <c r="U173" s="72"/>
      <c r="V173" s="72"/>
      <c r="W173" s="72"/>
      <c r="X173" s="990"/>
      <c r="Y173" s="990"/>
      <c r="Z173" s="967"/>
      <c r="AA173" s="1085"/>
      <c r="AB173" s="168" t="str">
        <f t="shared" si="11"/>
        <v>2061 год</v>
      </c>
      <c r="AC173" s="308"/>
      <c r="AD173" s="886"/>
      <c r="AE173" s="885"/>
      <c r="AF173" s="885"/>
      <c r="AG173" s="886"/>
      <c r="AH173" s="885"/>
      <c r="AI173" s="886"/>
      <c r="AJ173" s="885"/>
      <c r="AK173" s="887"/>
      <c r="AL173" s="304"/>
      <c r="AM173" s="72"/>
      <c r="AN173" s="696" cm="1">
        <f t="array" ref="AN173">K173</f>
        <v>2061</v>
      </c>
      <c r="AO173" s="696" t="s">
        <v>2357</v>
      </c>
      <c r="AP173" s="706" cm="1">
        <f t="array" ref="AP173">AP172</f>
        <v>0</v>
      </c>
      <c r="AQ173" s="507"/>
      <c r="AR173" s="507"/>
    </row>
    <row r="174" spans="1:44" s="880" customFormat="1" ht="14.25" hidden="1" customHeight="1" x14ac:dyDescent="0.15">
      <c r="A174" s="72"/>
      <c r="B174" s="341" t="b">
        <f t="shared" si="10"/>
        <v>0</v>
      </c>
      <c r="C174" s="72"/>
      <c r="D174" s="72"/>
      <c r="E174" s="507">
        <v>15</v>
      </c>
      <c r="F174" s="3" t="str" cm="1">
        <f t="array" aca="1" ref="F174" ca="1">OFFSET(E174,-1,1)</f>
        <v>2</v>
      </c>
      <c r="G174" s="17" cm="1">
        <f t="array" ref="G174">G173</f>
        <v>0</v>
      </c>
      <c r="H174" s="72"/>
      <c r="I174" s="72"/>
      <c r="J174" s="72"/>
      <c r="K174" s="72">
        <f>first_year+38</f>
        <v>2062</v>
      </c>
      <c r="L174" s="72"/>
      <c r="M174" s="72"/>
      <c r="N174" s="72"/>
      <c r="O174" s="72"/>
      <c r="P174" s="72"/>
      <c r="Q174" s="72"/>
      <c r="R174" s="72"/>
      <c r="S174" s="72"/>
      <c r="T174" s="353" t="b" cm="1">
        <f t="array" aca="1" ref="T174" ca="1">T173</f>
        <v>0</v>
      </c>
      <c r="U174" s="72"/>
      <c r="V174" s="72"/>
      <c r="W174" s="72"/>
      <c r="X174" s="990"/>
      <c r="Y174" s="990"/>
      <c r="Z174" s="967"/>
      <c r="AA174" s="1085"/>
      <c r="AB174" s="168" t="str">
        <f t="shared" si="11"/>
        <v>2062 год</v>
      </c>
      <c r="AC174" s="308"/>
      <c r="AD174" s="886"/>
      <c r="AE174" s="885"/>
      <c r="AF174" s="885"/>
      <c r="AG174" s="886"/>
      <c r="AH174" s="885"/>
      <c r="AI174" s="886"/>
      <c r="AJ174" s="885"/>
      <c r="AK174" s="887"/>
      <c r="AL174" s="304"/>
      <c r="AM174" s="72"/>
      <c r="AN174" s="696" cm="1">
        <f t="array" ref="AN174">K174</f>
        <v>2062</v>
      </c>
      <c r="AO174" s="696" t="s">
        <v>2357</v>
      </c>
      <c r="AP174" s="706" cm="1">
        <f t="array" ref="AP174">AP173</f>
        <v>0</v>
      </c>
      <c r="AQ174" s="507"/>
      <c r="AR174" s="507"/>
    </row>
    <row r="175" spans="1:44" s="880" customFormat="1" ht="14.25" hidden="1" customHeight="1" x14ac:dyDescent="0.15">
      <c r="A175" s="72"/>
      <c r="B175" s="341" t="b">
        <f t="shared" si="10"/>
        <v>0</v>
      </c>
      <c r="C175" s="72"/>
      <c r="D175" s="72"/>
      <c r="E175" s="507">
        <v>15</v>
      </c>
      <c r="F175" s="3" t="str" cm="1">
        <f t="array" aca="1" ref="F175" ca="1">OFFSET(E175,-1,1)</f>
        <v>2</v>
      </c>
      <c r="G175" s="17" cm="1">
        <f t="array" ref="G175">G174</f>
        <v>0</v>
      </c>
      <c r="H175" s="72"/>
      <c r="I175" s="72"/>
      <c r="J175" s="72"/>
      <c r="K175" s="72">
        <f>first_year+39</f>
        <v>2063</v>
      </c>
      <c r="L175" s="72"/>
      <c r="M175" s="72"/>
      <c r="N175" s="72"/>
      <c r="O175" s="72"/>
      <c r="P175" s="72"/>
      <c r="Q175" s="72"/>
      <c r="R175" s="72"/>
      <c r="S175" s="72"/>
      <c r="T175" s="353" t="b" cm="1">
        <f t="array" aca="1" ref="T175" ca="1">T174</f>
        <v>0</v>
      </c>
      <c r="U175" s="72"/>
      <c r="V175" s="72"/>
      <c r="W175" s="72"/>
      <c r="X175" s="990"/>
      <c r="Y175" s="990"/>
      <c r="Z175" s="967"/>
      <c r="AA175" s="1085"/>
      <c r="AB175" s="168" t="str">
        <f t="shared" si="11"/>
        <v>2063 год</v>
      </c>
      <c r="AC175" s="308"/>
      <c r="AD175" s="886"/>
      <c r="AE175" s="885"/>
      <c r="AF175" s="885"/>
      <c r="AG175" s="886"/>
      <c r="AH175" s="885"/>
      <c r="AI175" s="886"/>
      <c r="AJ175" s="885"/>
      <c r="AK175" s="887"/>
      <c r="AL175" s="304"/>
      <c r="AM175" s="72"/>
      <c r="AN175" s="696" cm="1">
        <f t="array" ref="AN175">K175</f>
        <v>2063</v>
      </c>
      <c r="AO175" s="696" t="s">
        <v>2357</v>
      </c>
      <c r="AP175" s="706" cm="1">
        <f t="array" ref="AP175">AP174</f>
        <v>0</v>
      </c>
      <c r="AQ175" s="507"/>
      <c r="AR175" s="507"/>
    </row>
    <row r="176" spans="1:44" s="880" customFormat="1" ht="14.25" hidden="1" customHeight="1" x14ac:dyDescent="0.15">
      <c r="A176" s="72"/>
      <c r="B176" s="341" t="b">
        <f t="shared" si="10"/>
        <v>0</v>
      </c>
      <c r="C176" s="72"/>
      <c r="D176" s="72"/>
      <c r="E176" s="507">
        <v>15</v>
      </c>
      <c r="F176" s="3" t="str" cm="1">
        <f t="array" aca="1" ref="F176" ca="1">OFFSET(E176,-1,1)</f>
        <v>2</v>
      </c>
      <c r="G176" s="17" cm="1">
        <f t="array" ref="G176">G175</f>
        <v>0</v>
      </c>
      <c r="H176" s="72"/>
      <c r="I176" s="72"/>
      <c r="J176" s="72"/>
      <c r="K176" s="72">
        <f>first_year+40</f>
        <v>2064</v>
      </c>
      <c r="L176" s="72"/>
      <c r="M176" s="72"/>
      <c r="N176" s="72"/>
      <c r="O176" s="72"/>
      <c r="P176" s="72"/>
      <c r="Q176" s="72"/>
      <c r="R176" s="72"/>
      <c r="S176" s="72"/>
      <c r="T176" s="353" t="b" cm="1">
        <f t="array" aca="1" ref="T176" ca="1">T175</f>
        <v>0</v>
      </c>
      <c r="U176" s="72"/>
      <c r="V176" s="72"/>
      <c r="W176" s="72"/>
      <c r="X176" s="990"/>
      <c r="Y176" s="990"/>
      <c r="Z176" s="967"/>
      <c r="AA176" s="1085"/>
      <c r="AB176" s="168" t="str">
        <f t="shared" si="11"/>
        <v>2064 год</v>
      </c>
      <c r="AC176" s="308"/>
      <c r="AD176" s="886"/>
      <c r="AE176" s="885"/>
      <c r="AF176" s="885"/>
      <c r="AG176" s="886"/>
      <c r="AH176" s="885"/>
      <c r="AI176" s="886"/>
      <c r="AJ176" s="885"/>
      <c r="AK176" s="887"/>
      <c r="AL176" s="304"/>
      <c r="AM176" s="72"/>
      <c r="AN176" s="696" cm="1">
        <f t="array" ref="AN176">K176</f>
        <v>2064</v>
      </c>
      <c r="AO176" s="696" t="s">
        <v>2357</v>
      </c>
      <c r="AP176" s="706" cm="1">
        <f t="array" ref="AP176">AP175</f>
        <v>0</v>
      </c>
      <c r="AQ176" s="507"/>
      <c r="AR176" s="507"/>
    </row>
    <row r="177" spans="1:44" s="880" customFormat="1" ht="14.25" hidden="1" customHeight="1" x14ac:dyDescent="0.15">
      <c r="A177" s="72"/>
      <c r="B177" s="341" t="b">
        <f t="shared" si="10"/>
        <v>0</v>
      </c>
      <c r="C177" s="72"/>
      <c r="D177" s="72"/>
      <c r="E177" s="507">
        <v>15</v>
      </c>
      <c r="F177" s="3" t="str" cm="1">
        <f t="array" aca="1" ref="F177" ca="1">OFFSET(E177,-1,1)</f>
        <v>2</v>
      </c>
      <c r="G177" s="17" cm="1">
        <f t="array" ref="G177">G176</f>
        <v>0</v>
      </c>
      <c r="H177" s="72"/>
      <c r="I177" s="72"/>
      <c r="J177" s="72"/>
      <c r="K177" s="72">
        <f>first_year+41</f>
        <v>2065</v>
      </c>
      <c r="L177" s="72"/>
      <c r="M177" s="72"/>
      <c r="N177" s="72"/>
      <c r="O177" s="72"/>
      <c r="P177" s="72"/>
      <c r="Q177" s="72"/>
      <c r="R177" s="72"/>
      <c r="S177" s="72"/>
      <c r="T177" s="353" t="b" cm="1">
        <f t="array" aca="1" ref="T177" ca="1">T176</f>
        <v>0</v>
      </c>
      <c r="U177" s="72"/>
      <c r="V177" s="72"/>
      <c r="W177" s="72"/>
      <c r="X177" s="990"/>
      <c r="Y177" s="990"/>
      <c r="Z177" s="967"/>
      <c r="AA177" s="1085"/>
      <c r="AB177" s="168" t="str">
        <f t="shared" si="11"/>
        <v>2065 год</v>
      </c>
      <c r="AC177" s="308"/>
      <c r="AD177" s="886"/>
      <c r="AE177" s="885"/>
      <c r="AF177" s="885"/>
      <c r="AG177" s="886"/>
      <c r="AH177" s="885"/>
      <c r="AI177" s="886"/>
      <c r="AJ177" s="885"/>
      <c r="AK177" s="887"/>
      <c r="AL177" s="304"/>
      <c r="AM177" s="72"/>
      <c r="AN177" s="696" cm="1">
        <f t="array" ref="AN177">K177</f>
        <v>2065</v>
      </c>
      <c r="AO177" s="696" t="s">
        <v>2357</v>
      </c>
      <c r="AP177" s="706" cm="1">
        <f t="array" ref="AP177">AP176</f>
        <v>0</v>
      </c>
      <c r="AQ177" s="507"/>
      <c r="AR177" s="507"/>
    </row>
    <row r="178" spans="1:44" s="880" customFormat="1" ht="14.25" hidden="1" customHeight="1" x14ac:dyDescent="0.15">
      <c r="A178" s="72"/>
      <c r="B178" s="341" t="b">
        <f t="shared" si="10"/>
        <v>0</v>
      </c>
      <c r="C178" s="72"/>
      <c r="D178" s="72"/>
      <c r="E178" s="507">
        <v>15</v>
      </c>
      <c r="F178" s="3" t="str" cm="1">
        <f t="array" aca="1" ref="F178" ca="1">OFFSET(E178,-1,1)</f>
        <v>2</v>
      </c>
      <c r="G178" s="17" cm="1">
        <f t="array" ref="G178">G177</f>
        <v>0</v>
      </c>
      <c r="H178" s="72"/>
      <c r="I178" s="72"/>
      <c r="J178" s="72"/>
      <c r="K178" s="72">
        <f>first_year+42</f>
        <v>2066</v>
      </c>
      <c r="L178" s="72"/>
      <c r="M178" s="72"/>
      <c r="N178" s="72"/>
      <c r="O178" s="72"/>
      <c r="P178" s="72"/>
      <c r="Q178" s="72"/>
      <c r="R178" s="72"/>
      <c r="S178" s="72"/>
      <c r="T178" s="353" t="b" cm="1">
        <f t="array" aca="1" ref="T178" ca="1">T177</f>
        <v>0</v>
      </c>
      <c r="U178" s="72"/>
      <c r="V178" s="72"/>
      <c r="W178" s="72"/>
      <c r="X178" s="990"/>
      <c r="Y178" s="990"/>
      <c r="Z178" s="967"/>
      <c r="AA178" s="1085"/>
      <c r="AB178" s="168" t="str">
        <f t="shared" si="11"/>
        <v>2066 год</v>
      </c>
      <c r="AC178" s="308"/>
      <c r="AD178" s="886"/>
      <c r="AE178" s="885"/>
      <c r="AF178" s="885"/>
      <c r="AG178" s="886"/>
      <c r="AH178" s="885"/>
      <c r="AI178" s="886"/>
      <c r="AJ178" s="885"/>
      <c r="AK178" s="887"/>
      <c r="AL178" s="304"/>
      <c r="AM178" s="72"/>
      <c r="AN178" s="696" cm="1">
        <f t="array" ref="AN178">K178</f>
        <v>2066</v>
      </c>
      <c r="AO178" s="696" t="s">
        <v>2357</v>
      </c>
      <c r="AP178" s="706" cm="1">
        <f t="array" ref="AP178">AP177</f>
        <v>0</v>
      </c>
      <c r="AQ178" s="507"/>
      <c r="AR178" s="507"/>
    </row>
    <row r="179" spans="1:44" s="880" customFormat="1" ht="14.25" hidden="1" customHeight="1" x14ac:dyDescent="0.15">
      <c r="A179" s="72"/>
      <c r="B179" s="341" t="b">
        <f t="shared" si="10"/>
        <v>0</v>
      </c>
      <c r="C179" s="72"/>
      <c r="D179" s="72"/>
      <c r="E179" s="507">
        <v>15</v>
      </c>
      <c r="F179" s="3" t="str" cm="1">
        <f t="array" aca="1" ref="F179" ca="1">OFFSET(E179,-1,1)</f>
        <v>2</v>
      </c>
      <c r="G179" s="17" cm="1">
        <f t="array" ref="G179">G178</f>
        <v>0</v>
      </c>
      <c r="H179" s="72"/>
      <c r="I179" s="72"/>
      <c r="J179" s="72"/>
      <c r="K179" s="72">
        <f>first_year+43</f>
        <v>2067</v>
      </c>
      <c r="L179" s="72"/>
      <c r="M179" s="72"/>
      <c r="N179" s="72"/>
      <c r="O179" s="72"/>
      <c r="P179" s="72"/>
      <c r="Q179" s="72"/>
      <c r="R179" s="72"/>
      <c r="S179" s="72"/>
      <c r="T179" s="353" t="b" cm="1">
        <f t="array" aca="1" ref="T179" ca="1">T178</f>
        <v>0</v>
      </c>
      <c r="U179" s="72"/>
      <c r="V179" s="72"/>
      <c r="W179" s="72"/>
      <c r="X179" s="990"/>
      <c r="Y179" s="990"/>
      <c r="Z179" s="967"/>
      <c r="AA179" s="1085"/>
      <c r="AB179" s="168" t="str">
        <f t="shared" si="11"/>
        <v>2067 год</v>
      </c>
      <c r="AC179" s="308"/>
      <c r="AD179" s="886"/>
      <c r="AE179" s="885"/>
      <c r="AF179" s="885"/>
      <c r="AG179" s="886"/>
      <c r="AH179" s="885"/>
      <c r="AI179" s="886"/>
      <c r="AJ179" s="885"/>
      <c r="AK179" s="887"/>
      <c r="AL179" s="304"/>
      <c r="AM179" s="72"/>
      <c r="AN179" s="696" cm="1">
        <f t="array" ref="AN179">K179</f>
        <v>2067</v>
      </c>
      <c r="AO179" s="696" t="s">
        <v>2357</v>
      </c>
      <c r="AP179" s="706" cm="1">
        <f t="array" ref="AP179">AP178</f>
        <v>0</v>
      </c>
      <c r="AQ179" s="507"/>
      <c r="AR179" s="507"/>
    </row>
    <row r="180" spans="1:44" s="880" customFormat="1" ht="14.25" hidden="1" customHeight="1" x14ac:dyDescent="0.15">
      <c r="A180" s="72"/>
      <c r="B180" s="341" t="b">
        <f t="shared" si="10"/>
        <v>0</v>
      </c>
      <c r="C180" s="72"/>
      <c r="D180" s="72"/>
      <c r="E180" s="507">
        <v>15</v>
      </c>
      <c r="F180" s="3" t="str" cm="1">
        <f t="array" aca="1" ref="F180" ca="1">OFFSET(E180,-1,1)</f>
        <v>2</v>
      </c>
      <c r="G180" s="17" cm="1">
        <f t="array" ref="G180">G179</f>
        <v>0</v>
      </c>
      <c r="H180" s="72"/>
      <c r="I180" s="72"/>
      <c r="J180" s="72"/>
      <c r="K180" s="72">
        <f>first_year+44</f>
        <v>2068</v>
      </c>
      <c r="L180" s="72"/>
      <c r="M180" s="72"/>
      <c r="N180" s="72"/>
      <c r="O180" s="72"/>
      <c r="P180" s="72"/>
      <c r="Q180" s="72"/>
      <c r="R180" s="72"/>
      <c r="S180" s="72"/>
      <c r="T180" s="353" t="b" cm="1">
        <f t="array" aca="1" ref="T180" ca="1">T179</f>
        <v>0</v>
      </c>
      <c r="U180" s="72"/>
      <c r="V180" s="72"/>
      <c r="W180" s="72"/>
      <c r="X180" s="990"/>
      <c r="Y180" s="990"/>
      <c r="Z180" s="967"/>
      <c r="AA180" s="1085"/>
      <c r="AB180" s="168" t="str">
        <f t="shared" si="11"/>
        <v>2068 год</v>
      </c>
      <c r="AC180" s="308"/>
      <c r="AD180" s="886"/>
      <c r="AE180" s="885"/>
      <c r="AF180" s="885"/>
      <c r="AG180" s="886"/>
      <c r="AH180" s="885"/>
      <c r="AI180" s="886"/>
      <c r="AJ180" s="885"/>
      <c r="AK180" s="887"/>
      <c r="AL180" s="304"/>
      <c r="AM180" s="72"/>
      <c r="AN180" s="696" cm="1">
        <f t="array" ref="AN180">K180</f>
        <v>2068</v>
      </c>
      <c r="AO180" s="696" t="s">
        <v>2357</v>
      </c>
      <c r="AP180" s="706" cm="1">
        <f t="array" ref="AP180">AP179</f>
        <v>0</v>
      </c>
      <c r="AQ180" s="507"/>
      <c r="AR180" s="507"/>
    </row>
    <row r="181" spans="1:44" s="880" customFormat="1" ht="14.25" hidden="1" customHeight="1" x14ac:dyDescent="0.15">
      <c r="A181" s="72"/>
      <c r="B181" s="341" t="b">
        <f t="shared" si="10"/>
        <v>0</v>
      </c>
      <c r="C181" s="72"/>
      <c r="D181" s="72"/>
      <c r="E181" s="507">
        <v>15</v>
      </c>
      <c r="F181" s="3" t="str" cm="1">
        <f t="array" aca="1" ref="F181" ca="1">OFFSET(E181,-1,1)</f>
        <v>2</v>
      </c>
      <c r="G181" s="17" cm="1">
        <f t="array" ref="G181">G180</f>
        <v>0</v>
      </c>
      <c r="H181" s="72"/>
      <c r="I181" s="72"/>
      <c r="J181" s="72"/>
      <c r="K181" s="72">
        <f>first_year+45</f>
        <v>2069</v>
      </c>
      <c r="L181" s="72"/>
      <c r="M181" s="72"/>
      <c r="N181" s="72"/>
      <c r="O181" s="72"/>
      <c r="P181" s="72"/>
      <c r="Q181" s="72"/>
      <c r="R181" s="72"/>
      <c r="S181" s="72"/>
      <c r="T181" s="353" t="b" cm="1">
        <f t="array" aca="1" ref="T181" ca="1">T180</f>
        <v>0</v>
      </c>
      <c r="U181" s="72"/>
      <c r="V181" s="72"/>
      <c r="W181" s="72"/>
      <c r="X181" s="990"/>
      <c r="Y181" s="990"/>
      <c r="Z181" s="967"/>
      <c r="AA181" s="1085"/>
      <c r="AB181" s="168" t="str">
        <f t="shared" si="11"/>
        <v>2069 год</v>
      </c>
      <c r="AC181" s="308"/>
      <c r="AD181" s="886"/>
      <c r="AE181" s="885"/>
      <c r="AF181" s="885"/>
      <c r="AG181" s="886"/>
      <c r="AH181" s="885"/>
      <c r="AI181" s="886"/>
      <c r="AJ181" s="885"/>
      <c r="AK181" s="887"/>
      <c r="AL181" s="304"/>
      <c r="AM181" s="72"/>
      <c r="AN181" s="696" cm="1">
        <f t="array" ref="AN181">K181</f>
        <v>2069</v>
      </c>
      <c r="AO181" s="696" t="s">
        <v>2357</v>
      </c>
      <c r="AP181" s="706" cm="1">
        <f t="array" ref="AP181">AP180</f>
        <v>0</v>
      </c>
      <c r="AQ181" s="507"/>
      <c r="AR181" s="507"/>
    </row>
    <row r="182" spans="1:44" s="880" customFormat="1" ht="14.25" hidden="1" customHeight="1" x14ac:dyDescent="0.15">
      <c r="A182" s="72"/>
      <c r="B182" s="341" t="b">
        <f t="shared" si="10"/>
        <v>0</v>
      </c>
      <c r="C182" s="72"/>
      <c r="D182" s="72"/>
      <c r="E182" s="507">
        <v>15</v>
      </c>
      <c r="F182" s="3" t="str" cm="1">
        <f t="array" aca="1" ref="F182" ca="1">OFFSET(E182,-1,1)</f>
        <v>2</v>
      </c>
      <c r="G182" s="17" cm="1">
        <f t="array" ref="G182">G181</f>
        <v>0</v>
      </c>
      <c r="H182" s="72"/>
      <c r="I182" s="72"/>
      <c r="J182" s="72"/>
      <c r="K182" s="72">
        <f>first_year+46</f>
        <v>2070</v>
      </c>
      <c r="L182" s="72"/>
      <c r="M182" s="72"/>
      <c r="N182" s="72"/>
      <c r="O182" s="72"/>
      <c r="P182" s="72"/>
      <c r="Q182" s="72"/>
      <c r="R182" s="72"/>
      <c r="S182" s="72"/>
      <c r="T182" s="353" t="b" cm="1">
        <f t="array" aca="1" ref="T182" ca="1">T181</f>
        <v>0</v>
      </c>
      <c r="U182" s="72"/>
      <c r="V182" s="72"/>
      <c r="W182" s="72"/>
      <c r="X182" s="990"/>
      <c r="Y182" s="990"/>
      <c r="Z182" s="967"/>
      <c r="AA182" s="1085"/>
      <c r="AB182" s="168" t="str">
        <f t="shared" si="11"/>
        <v>2070 год</v>
      </c>
      <c r="AC182" s="308"/>
      <c r="AD182" s="886"/>
      <c r="AE182" s="885"/>
      <c r="AF182" s="885"/>
      <c r="AG182" s="886"/>
      <c r="AH182" s="885"/>
      <c r="AI182" s="886"/>
      <c r="AJ182" s="885"/>
      <c r="AK182" s="887"/>
      <c r="AL182" s="304"/>
      <c r="AM182" s="72"/>
      <c r="AN182" s="696" cm="1">
        <f t="array" ref="AN182">K182</f>
        <v>2070</v>
      </c>
      <c r="AO182" s="696" t="s">
        <v>2357</v>
      </c>
      <c r="AP182" s="706" cm="1">
        <f t="array" ref="AP182">AP181</f>
        <v>0</v>
      </c>
      <c r="AQ182" s="507"/>
      <c r="AR182" s="507"/>
    </row>
    <row r="183" spans="1:44" s="880" customFormat="1" ht="14.25" hidden="1" customHeight="1" x14ac:dyDescent="0.15">
      <c r="A183" s="72"/>
      <c r="B183" s="341" t="b">
        <f t="shared" si="10"/>
        <v>0</v>
      </c>
      <c r="C183" s="72"/>
      <c r="D183" s="72"/>
      <c r="E183" s="507">
        <v>15</v>
      </c>
      <c r="F183" s="3" t="str" cm="1">
        <f t="array" aca="1" ref="F183" ca="1">OFFSET(E183,-1,1)</f>
        <v>2</v>
      </c>
      <c r="G183" s="17" cm="1">
        <f t="array" ref="G183">G182</f>
        <v>0</v>
      </c>
      <c r="H183" s="72"/>
      <c r="I183" s="72"/>
      <c r="J183" s="72"/>
      <c r="K183" s="72">
        <f>first_year+47</f>
        <v>2071</v>
      </c>
      <c r="L183" s="72"/>
      <c r="M183" s="72"/>
      <c r="N183" s="72"/>
      <c r="O183" s="72"/>
      <c r="P183" s="72"/>
      <c r="Q183" s="72"/>
      <c r="R183" s="72"/>
      <c r="S183" s="72"/>
      <c r="T183" s="353" t="b" cm="1">
        <f t="array" aca="1" ref="T183" ca="1">T182</f>
        <v>0</v>
      </c>
      <c r="U183" s="72"/>
      <c r="V183" s="72"/>
      <c r="W183" s="72"/>
      <c r="X183" s="990"/>
      <c r="Y183" s="990"/>
      <c r="Z183" s="967"/>
      <c r="AA183" s="1085"/>
      <c r="AB183" s="168" t="str">
        <f t="shared" si="11"/>
        <v>2071 год</v>
      </c>
      <c r="AC183" s="308"/>
      <c r="AD183" s="886"/>
      <c r="AE183" s="885"/>
      <c r="AF183" s="885"/>
      <c r="AG183" s="886"/>
      <c r="AH183" s="885"/>
      <c r="AI183" s="886"/>
      <c r="AJ183" s="885"/>
      <c r="AK183" s="887"/>
      <c r="AL183" s="304"/>
      <c r="AM183" s="72"/>
      <c r="AN183" s="696" cm="1">
        <f t="array" ref="AN183">K183</f>
        <v>2071</v>
      </c>
      <c r="AO183" s="696" t="s">
        <v>2357</v>
      </c>
      <c r="AP183" s="706" cm="1">
        <f t="array" ref="AP183">AP182</f>
        <v>0</v>
      </c>
      <c r="AQ183" s="507"/>
      <c r="AR183" s="507"/>
    </row>
    <row r="184" spans="1:44" s="880" customFormat="1" ht="14.25" hidden="1" customHeight="1" x14ac:dyDescent="0.15">
      <c r="A184" s="72"/>
      <c r="B184" s="341" t="b">
        <f t="shared" si="10"/>
        <v>0</v>
      </c>
      <c r="C184" s="72"/>
      <c r="D184" s="72"/>
      <c r="E184" s="507">
        <v>15</v>
      </c>
      <c r="F184" s="3" t="str" cm="1">
        <f t="array" aca="1" ref="F184" ca="1">OFFSET(E184,-1,1)</f>
        <v>2</v>
      </c>
      <c r="G184" s="17" cm="1">
        <f t="array" ref="G184">G183</f>
        <v>0</v>
      </c>
      <c r="H184" s="72"/>
      <c r="I184" s="72"/>
      <c r="J184" s="72"/>
      <c r="K184" s="72">
        <f>first_year+48</f>
        <v>2072</v>
      </c>
      <c r="L184" s="72"/>
      <c r="M184" s="72"/>
      <c r="N184" s="72"/>
      <c r="O184" s="72"/>
      <c r="P184" s="72"/>
      <c r="Q184" s="72"/>
      <c r="R184" s="72"/>
      <c r="S184" s="72"/>
      <c r="T184" s="353" t="b" cm="1">
        <f t="array" aca="1" ref="T184" ca="1">T183</f>
        <v>0</v>
      </c>
      <c r="U184" s="72"/>
      <c r="V184" s="72"/>
      <c r="W184" s="72"/>
      <c r="X184" s="990"/>
      <c r="Y184" s="990"/>
      <c r="Z184" s="967"/>
      <c r="AA184" s="1085"/>
      <c r="AB184" s="168" t="str">
        <f t="shared" si="11"/>
        <v>2072 год</v>
      </c>
      <c r="AC184" s="308"/>
      <c r="AD184" s="886"/>
      <c r="AE184" s="885"/>
      <c r="AF184" s="885"/>
      <c r="AG184" s="886"/>
      <c r="AH184" s="885"/>
      <c r="AI184" s="886"/>
      <c r="AJ184" s="885"/>
      <c r="AK184" s="887"/>
      <c r="AL184" s="304"/>
      <c r="AM184" s="72"/>
      <c r="AN184" s="696" cm="1">
        <f t="array" ref="AN184">K184</f>
        <v>2072</v>
      </c>
      <c r="AO184" s="696" t="s">
        <v>2357</v>
      </c>
      <c r="AP184" s="706" cm="1">
        <f t="array" ref="AP184">AP183</f>
        <v>0</v>
      </c>
      <c r="AQ184" s="507"/>
      <c r="AR184" s="507"/>
    </row>
    <row r="185" spans="1:44" s="880" customFormat="1" ht="14.25" hidden="1" customHeight="1" x14ac:dyDescent="0.15">
      <c r="A185" s="72"/>
      <c r="B185" s="341" t="b">
        <f t="shared" si="10"/>
        <v>0</v>
      </c>
      <c r="C185" s="72"/>
      <c r="D185" s="72"/>
      <c r="E185" s="507">
        <v>15</v>
      </c>
      <c r="F185" s="3" t="str" cm="1">
        <f t="array" aca="1" ref="F185" ca="1">OFFSET(E185,-1,1)</f>
        <v>2</v>
      </c>
      <c r="G185" s="17" cm="1">
        <f t="array" ref="G185">G184</f>
        <v>0</v>
      </c>
      <c r="H185" s="72"/>
      <c r="I185" s="72"/>
      <c r="J185" s="72"/>
      <c r="K185" s="72">
        <f>first_year+49</f>
        <v>2073</v>
      </c>
      <c r="L185" s="72"/>
      <c r="M185" s="72"/>
      <c r="N185" s="72"/>
      <c r="O185" s="72"/>
      <c r="P185" s="72"/>
      <c r="Q185" s="72"/>
      <c r="R185" s="72"/>
      <c r="S185" s="72"/>
      <c r="T185" s="353" t="b" cm="1">
        <f t="array" aca="1" ref="T185" ca="1">T184</f>
        <v>0</v>
      </c>
      <c r="U185" s="72"/>
      <c r="V185" s="72"/>
      <c r="W185" s="72"/>
      <c r="X185" s="990"/>
      <c r="Y185" s="990"/>
      <c r="Z185" s="967"/>
      <c r="AA185" s="1085"/>
      <c r="AB185" s="168" t="str">
        <f t="shared" si="11"/>
        <v>2073 год</v>
      </c>
      <c r="AC185" s="308"/>
      <c r="AD185" s="886"/>
      <c r="AE185" s="885"/>
      <c r="AF185" s="885"/>
      <c r="AG185" s="886"/>
      <c r="AH185" s="885"/>
      <c r="AI185" s="886"/>
      <c r="AJ185" s="885"/>
      <c r="AK185" s="887"/>
      <c r="AL185" s="304"/>
      <c r="AM185" s="72"/>
      <c r="AN185" s="696" cm="1">
        <f t="array" ref="AN185">K185</f>
        <v>2073</v>
      </c>
      <c r="AO185" s="696" t="s">
        <v>2357</v>
      </c>
      <c r="AP185" s="706" cm="1">
        <f t="array" ref="AP185">AP184</f>
        <v>0</v>
      </c>
      <c r="AQ185" s="507"/>
      <c r="AR185" s="507"/>
    </row>
    <row r="186" spans="1:44" ht="14.25" customHeight="1" x14ac:dyDescent="0.15">
      <c r="A186" s="72"/>
      <c r="B186" s="329"/>
      <c r="C186" s="72"/>
      <c r="D186" s="72"/>
      <c r="E186" s="507">
        <v>15</v>
      </c>
      <c r="F186" s="765"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3" t="b">
        <f ca="1">F186&gt;0</f>
        <v>1</v>
      </c>
      <c r="U186" s="72"/>
      <c r="V186" s="72"/>
      <c r="W186" s="506" t="s">
        <v>2358</v>
      </c>
      <c r="X186" s="990"/>
      <c r="Y186" s="72"/>
      <c r="Z186" s="967"/>
      <c r="AA186" s="72"/>
      <c r="AB186" s="623" t="s">
        <v>176</v>
      </c>
      <c r="AC186" s="212"/>
      <c r="AD186" s="212"/>
      <c r="AE186" s="212"/>
      <c r="AF186" s="212"/>
      <c r="AG186" s="212"/>
      <c r="AH186" s="212"/>
      <c r="AI186" s="212"/>
      <c r="AJ186" s="212"/>
      <c r="AK186" s="212"/>
      <c r="AL186" s="304"/>
      <c r="AM186"/>
      <c r="AN186" s="661"/>
      <c r="AO186" s="661"/>
      <c r="AP186" s="661"/>
      <c r="AQ186" s="663" t="s">
        <v>2357</v>
      </c>
      <c r="AR186" s="454"/>
    </row>
    <row r="187" spans="1:44" s="396" customFormat="1" ht="14.25" customHeight="1" x14ac:dyDescent="0.15">
      <c r="A187" s="38"/>
      <c r="B187" s="43"/>
      <c r="C187" s="38"/>
      <c r="D187" s="38"/>
      <c r="E187" s="448">
        <v>15</v>
      </c>
      <c r="F187" s="17" t="str" cm="1">
        <f t="array" ref="F187">X187</f>
        <v>3</v>
      </c>
      <c r="G187" s="38"/>
      <c r="H187" s="38"/>
      <c r="I187" s="38"/>
      <c r="J187" s="38"/>
      <c r="K187" s="38"/>
      <c r="L187" s="38"/>
      <c r="M187" s="38"/>
      <c r="N187" s="38"/>
      <c r="O187" s="38"/>
      <c r="P187" s="38"/>
      <c r="Q187" s="38"/>
      <c r="R187" s="38"/>
      <c r="S187" s="38"/>
      <c r="T187" s="353" t="b">
        <f>X187&gt;0</f>
        <v>1</v>
      </c>
      <c r="U187" s="38"/>
      <c r="V187" s="38" t="str" cm="1">
        <f t="array" ref="V187">ДПР!$AB$183</f>
        <v>Тариф 3 (Водоотведение) - тариф на транспортировку сточных вод</v>
      </c>
      <c r="W187" s="38"/>
      <c r="X187" s="990" t="s">
        <v>291</v>
      </c>
      <c r="Y187" s="38"/>
      <c r="Z187" s="967"/>
      <c r="AA187" s="38"/>
      <c r="AB187" s="280" t="str" cm="1">
        <f t="array" ref="AB187">ДПР!$AB$183</f>
        <v>Тариф 3 (Водоотведение) - тариф на транспортировку сточных вод</v>
      </c>
      <c r="AC187" s="156"/>
      <c r="AD187" s="156"/>
      <c r="AE187" s="156"/>
      <c r="AF187" s="156"/>
      <c r="AG187" s="156"/>
      <c r="AH187" s="156"/>
      <c r="AI187" s="156"/>
      <c r="AJ187" s="156"/>
      <c r="AK187" s="156"/>
      <c r="AL187" s="303"/>
      <c r="AM187" s="38"/>
      <c r="AN187" s="656"/>
      <c r="AO187" s="656"/>
      <c r="AP187" s="656"/>
      <c r="AQ187" s="448"/>
      <c r="AR187" s="448"/>
    </row>
    <row r="188" spans="1:44" s="396" customFormat="1" ht="14.25" hidden="1" customHeight="1" x14ac:dyDescent="0.15">
      <c r="A188" s="38"/>
      <c r="B188" s="43"/>
      <c r="C188" s="38"/>
      <c r="D188" s="38"/>
      <c r="E188" s="448">
        <v>15</v>
      </c>
      <c r="F188" s="3" t="str" cm="1">
        <f t="array" aca="1" ref="F188" ca="1">OFFSET(E188,-1,1)</f>
        <v>3</v>
      </c>
      <c r="G188" s="38" cm="1">
        <f t="array" ref="G188">AB188</f>
        <v>0</v>
      </c>
      <c r="H188" s="38"/>
      <c r="I188" s="38"/>
      <c r="J188" s="38"/>
      <c r="K188" s="38"/>
      <c r="L188" s="38"/>
      <c r="M188" s="38"/>
      <c r="N188" s="38"/>
      <c r="O188" s="38"/>
      <c r="P188" s="38"/>
      <c r="Q188" s="38"/>
      <c r="R188" s="38"/>
      <c r="S188" s="38"/>
      <c r="T188" s="353" t="b">
        <f ca="1">AND(F188&gt;0,Y188&gt;0)</f>
        <v>0</v>
      </c>
      <c r="U188" s="38"/>
      <c r="V188" s="38"/>
      <c r="W188" s="38" t="s">
        <v>172</v>
      </c>
      <c r="X188" s="990"/>
      <c r="Y188" s="990">
        <v>0</v>
      </c>
      <c r="Z188" s="967"/>
      <c r="AA188" s="1085" t="s">
        <v>173</v>
      </c>
      <c r="AB188" s="1086"/>
      <c r="AC188" s="1086"/>
      <c r="AD188" s="1086"/>
      <c r="AE188" s="1086"/>
      <c r="AF188" s="1086"/>
      <c r="AG188" s="1086"/>
      <c r="AH188" s="1086"/>
      <c r="AI188" s="1086"/>
      <c r="AJ188" s="1086"/>
      <c r="AK188" s="1087"/>
      <c r="AL188" s="303"/>
      <c r="AM188" s="38"/>
      <c r="AN188" s="656"/>
      <c r="AO188" s="696" t="s">
        <v>2357</v>
      </c>
      <c r="AP188" s="687" cm="1">
        <f t="array" ref="AP188">AB188</f>
        <v>0</v>
      </c>
      <c r="AQ188" s="448"/>
      <c r="AR188" s="448" t="b">
        <v>1</v>
      </c>
    </row>
    <row r="189" spans="1:44" s="880" customFormat="1" ht="14.25" hidden="1" customHeight="1" x14ac:dyDescent="0.15">
      <c r="A189" s="72"/>
      <c r="B189" s="341" t="b">
        <f t="shared" ref="B189:B220" si="12">K189&lt;first_year+PERIOD_LENGTH</f>
        <v>1</v>
      </c>
      <c r="C189" s="72"/>
      <c r="D189" s="72"/>
      <c r="E189" s="507">
        <v>15</v>
      </c>
      <c r="F189" s="3" t="str" cm="1">
        <f t="array" aca="1" ref="F189" ca="1">OFFSET(E189,-1,1)</f>
        <v>3</v>
      </c>
      <c r="G189" s="17" cm="1">
        <f t="array" ref="G189">G188</f>
        <v>0</v>
      </c>
      <c r="H189" s="72"/>
      <c r="I189" s="72"/>
      <c r="J189" s="72"/>
      <c r="K189" s="72" cm="1">
        <f t="array" ref="K189">first_year</f>
        <v>2024</v>
      </c>
      <c r="L189" s="72"/>
      <c r="M189" s="72"/>
      <c r="N189" s="72"/>
      <c r="O189" s="72"/>
      <c r="P189" s="72"/>
      <c r="Q189" s="72"/>
      <c r="R189" s="72"/>
      <c r="S189" s="72"/>
      <c r="T189" s="353" t="b" cm="1">
        <f t="array" aca="1" ref="T189" ca="1">T188</f>
        <v>0</v>
      </c>
      <c r="U189" s="72"/>
      <c r="V189" s="72"/>
      <c r="W189" s="72"/>
      <c r="X189" s="990"/>
      <c r="Y189" s="990"/>
      <c r="Z189" s="967"/>
      <c r="AA189" s="1085"/>
      <c r="AB189" s="211" t="str">
        <f t="shared" ref="AB189:AB220" si="13">K189&amp;" год"</f>
        <v>2024 год</v>
      </c>
      <c r="AC189" s="885"/>
      <c r="AD189" s="886"/>
      <c r="AE189" s="885"/>
      <c r="AF189" s="885"/>
      <c r="AG189" s="886"/>
      <c r="AH189" s="885"/>
      <c r="AI189" s="886"/>
      <c r="AJ189" s="885"/>
      <c r="AK189" s="887"/>
      <c r="AL189" s="304"/>
      <c r="AM189" s="72"/>
      <c r="AN189" s="696" cm="1">
        <f t="array" ref="AN189">K189</f>
        <v>2024</v>
      </c>
      <c r="AO189" s="696" t="s">
        <v>2357</v>
      </c>
      <c r="AP189" s="706" cm="1">
        <f t="array" ref="AP189">AP188</f>
        <v>0</v>
      </c>
      <c r="AQ189" s="507"/>
      <c r="AR189" s="507"/>
    </row>
    <row r="190" spans="1:44" s="880" customFormat="1" ht="14.25" hidden="1" customHeight="1" x14ac:dyDescent="0.15">
      <c r="A190" s="72"/>
      <c r="B190" s="341" t="b">
        <f t="shared" si="12"/>
        <v>1</v>
      </c>
      <c r="C190" s="72"/>
      <c r="D190" s="72"/>
      <c r="E190" s="507">
        <v>15</v>
      </c>
      <c r="F190" s="3" t="str" cm="1">
        <f t="array" aca="1" ref="F190" ca="1">OFFSET(E190,-1,1)</f>
        <v>3</v>
      </c>
      <c r="G190" s="17" cm="1">
        <f t="array" ref="G190">G189</f>
        <v>0</v>
      </c>
      <c r="H190" s="72"/>
      <c r="I190" s="72"/>
      <c r="J190" s="72"/>
      <c r="K190" s="72">
        <f>first_year+1</f>
        <v>2025</v>
      </c>
      <c r="L190" s="72"/>
      <c r="M190" s="72"/>
      <c r="N190" s="72"/>
      <c r="O190" s="72"/>
      <c r="P190" s="72"/>
      <c r="Q190" s="72"/>
      <c r="R190" s="72"/>
      <c r="S190" s="72"/>
      <c r="T190" s="353" t="b" cm="1">
        <f t="array" aca="1" ref="T190" ca="1">T189</f>
        <v>0</v>
      </c>
      <c r="U190" s="72"/>
      <c r="V190" s="72"/>
      <c r="W190" s="72"/>
      <c r="X190" s="990"/>
      <c r="Y190" s="990"/>
      <c r="Z190" s="967"/>
      <c r="AA190" s="1085"/>
      <c r="AB190" s="168" t="str">
        <f t="shared" si="13"/>
        <v>2025 год</v>
      </c>
      <c r="AC190" s="308"/>
      <c r="AD190" s="886"/>
      <c r="AE190" s="885"/>
      <c r="AF190" s="885"/>
      <c r="AG190" s="886"/>
      <c r="AH190" s="885"/>
      <c r="AI190" s="886"/>
      <c r="AJ190" s="885"/>
      <c r="AK190" s="887"/>
      <c r="AL190" s="304"/>
      <c r="AM190" s="72"/>
      <c r="AN190" s="696" cm="1">
        <f t="array" ref="AN190">K190</f>
        <v>2025</v>
      </c>
      <c r="AO190" s="696" t="s">
        <v>2357</v>
      </c>
      <c r="AP190" s="706" cm="1">
        <f t="array" ref="AP190">AP189</f>
        <v>0</v>
      </c>
      <c r="AQ190" s="507"/>
      <c r="AR190" s="507"/>
    </row>
    <row r="191" spans="1:44" s="880" customFormat="1" ht="14.25" hidden="1" customHeight="1" x14ac:dyDescent="0.15">
      <c r="A191" s="72"/>
      <c r="B191" s="341" t="b">
        <f t="shared" si="12"/>
        <v>1</v>
      </c>
      <c r="C191" s="72"/>
      <c r="D191" s="72"/>
      <c r="E191" s="507">
        <v>15</v>
      </c>
      <c r="F191" s="3" t="str" cm="1">
        <f t="array" aca="1" ref="F191" ca="1">OFFSET(E191,-1,1)</f>
        <v>3</v>
      </c>
      <c r="G191" s="17" cm="1">
        <f t="array" ref="G191">G190</f>
        <v>0</v>
      </c>
      <c r="H191" s="72"/>
      <c r="I191" s="72"/>
      <c r="J191" s="72"/>
      <c r="K191" s="72">
        <f>first_year+2</f>
        <v>2026</v>
      </c>
      <c r="L191" s="72"/>
      <c r="M191" s="72"/>
      <c r="N191" s="72"/>
      <c r="O191" s="72"/>
      <c r="P191" s="72"/>
      <c r="Q191" s="72"/>
      <c r="R191" s="72"/>
      <c r="S191" s="72"/>
      <c r="T191" s="353" t="b" cm="1">
        <f t="array" aca="1" ref="T191" ca="1">T190</f>
        <v>0</v>
      </c>
      <c r="U191" s="72"/>
      <c r="V191" s="72"/>
      <c r="W191" s="72"/>
      <c r="X191" s="990"/>
      <c r="Y191" s="990"/>
      <c r="Z191" s="967"/>
      <c r="AA191" s="1085"/>
      <c r="AB191" s="168" t="str">
        <f t="shared" si="13"/>
        <v>2026 год</v>
      </c>
      <c r="AC191" s="308"/>
      <c r="AD191" s="886"/>
      <c r="AE191" s="885"/>
      <c r="AF191" s="885"/>
      <c r="AG191" s="886"/>
      <c r="AH191" s="885"/>
      <c r="AI191" s="886"/>
      <c r="AJ191" s="885"/>
      <c r="AK191" s="887"/>
      <c r="AL191" s="304"/>
      <c r="AM191" s="72"/>
      <c r="AN191" s="696" cm="1">
        <f t="array" ref="AN191">K191</f>
        <v>2026</v>
      </c>
      <c r="AO191" s="696" t="s">
        <v>2357</v>
      </c>
      <c r="AP191" s="706" cm="1">
        <f t="array" ref="AP191">AP190</f>
        <v>0</v>
      </c>
      <c r="AQ191" s="507"/>
      <c r="AR191" s="507"/>
    </row>
    <row r="192" spans="1:44" s="880" customFormat="1" ht="14.25" hidden="1" customHeight="1" x14ac:dyDescent="0.15">
      <c r="A192" s="72"/>
      <c r="B192" s="341" t="b">
        <f t="shared" si="12"/>
        <v>1</v>
      </c>
      <c r="C192" s="72"/>
      <c r="D192" s="72"/>
      <c r="E192" s="507">
        <v>15</v>
      </c>
      <c r="F192" s="3" t="str" cm="1">
        <f t="array" aca="1" ref="F192" ca="1">OFFSET(E192,-1,1)</f>
        <v>3</v>
      </c>
      <c r="G192" s="17" cm="1">
        <f t="array" ref="G192">G191</f>
        <v>0</v>
      </c>
      <c r="H192" s="72"/>
      <c r="I192" s="72"/>
      <c r="J192" s="72"/>
      <c r="K192" s="72">
        <f>first_year+3</f>
        <v>2027</v>
      </c>
      <c r="L192" s="72"/>
      <c r="M192" s="72"/>
      <c r="N192" s="72"/>
      <c r="O192" s="72"/>
      <c r="P192" s="72"/>
      <c r="Q192" s="72"/>
      <c r="R192" s="72"/>
      <c r="S192" s="72"/>
      <c r="T192" s="353" t="b" cm="1">
        <f t="array" aca="1" ref="T192" ca="1">T191</f>
        <v>0</v>
      </c>
      <c r="U192" s="72"/>
      <c r="V192" s="72"/>
      <c r="W192" s="72"/>
      <c r="X192" s="990"/>
      <c r="Y192" s="990"/>
      <c r="Z192" s="967"/>
      <c r="AA192" s="1085"/>
      <c r="AB192" s="168" t="str">
        <f t="shared" si="13"/>
        <v>2027 год</v>
      </c>
      <c r="AC192" s="308"/>
      <c r="AD192" s="886"/>
      <c r="AE192" s="885"/>
      <c r="AF192" s="885"/>
      <c r="AG192" s="886"/>
      <c r="AH192" s="885"/>
      <c r="AI192" s="886"/>
      <c r="AJ192" s="885"/>
      <c r="AK192" s="887"/>
      <c r="AL192" s="304"/>
      <c r="AM192" s="72"/>
      <c r="AN192" s="696" cm="1">
        <f t="array" ref="AN192">K192</f>
        <v>2027</v>
      </c>
      <c r="AO192" s="696" t="s">
        <v>2357</v>
      </c>
      <c r="AP192" s="706" cm="1">
        <f t="array" ref="AP192">AP191</f>
        <v>0</v>
      </c>
      <c r="AQ192" s="507"/>
      <c r="AR192" s="507"/>
    </row>
    <row r="193" spans="1:44" s="880" customFormat="1" ht="14.25" hidden="1" customHeight="1" x14ac:dyDescent="0.15">
      <c r="A193" s="72"/>
      <c r="B193" s="341" t="b">
        <f t="shared" si="12"/>
        <v>1</v>
      </c>
      <c r="C193" s="72"/>
      <c r="D193" s="72"/>
      <c r="E193" s="507">
        <v>15</v>
      </c>
      <c r="F193" s="3" t="str" cm="1">
        <f t="array" aca="1" ref="F193" ca="1">OFFSET(E193,-1,1)</f>
        <v>3</v>
      </c>
      <c r="G193" s="17" cm="1">
        <f t="array" ref="G193">G192</f>
        <v>0</v>
      </c>
      <c r="H193" s="72"/>
      <c r="I193" s="72"/>
      <c r="J193" s="72"/>
      <c r="K193" s="72">
        <f>first_year+4</f>
        <v>2028</v>
      </c>
      <c r="L193" s="72"/>
      <c r="M193" s="72"/>
      <c r="N193" s="72"/>
      <c r="O193" s="72"/>
      <c r="P193" s="72"/>
      <c r="Q193" s="72"/>
      <c r="R193" s="72"/>
      <c r="S193" s="72"/>
      <c r="T193" s="353" t="b" cm="1">
        <f t="array" aca="1" ref="T193" ca="1">T192</f>
        <v>0</v>
      </c>
      <c r="U193" s="72"/>
      <c r="V193" s="72"/>
      <c r="W193" s="72"/>
      <c r="X193" s="990"/>
      <c r="Y193" s="990"/>
      <c r="Z193" s="967"/>
      <c r="AA193" s="1085"/>
      <c r="AB193" s="168" t="str">
        <f t="shared" si="13"/>
        <v>2028 год</v>
      </c>
      <c r="AC193" s="308"/>
      <c r="AD193" s="886"/>
      <c r="AE193" s="885"/>
      <c r="AF193" s="885"/>
      <c r="AG193" s="886"/>
      <c r="AH193" s="885"/>
      <c r="AI193" s="886"/>
      <c r="AJ193" s="885"/>
      <c r="AK193" s="887"/>
      <c r="AL193" s="304"/>
      <c r="AM193" s="72"/>
      <c r="AN193" s="696" cm="1">
        <f t="array" ref="AN193">K193</f>
        <v>2028</v>
      </c>
      <c r="AO193" s="696" t="s">
        <v>2357</v>
      </c>
      <c r="AP193" s="706" cm="1">
        <f t="array" ref="AP193">AP192</f>
        <v>0</v>
      </c>
      <c r="AQ193" s="507"/>
      <c r="AR193" s="507"/>
    </row>
    <row r="194" spans="1:44" s="880" customFormat="1" ht="14.25" hidden="1" customHeight="1" x14ac:dyDescent="0.15">
      <c r="A194" s="72"/>
      <c r="B194" s="341" t="b">
        <f t="shared" si="12"/>
        <v>0</v>
      </c>
      <c r="C194" s="72"/>
      <c r="D194" s="72"/>
      <c r="E194" s="507">
        <v>15</v>
      </c>
      <c r="F194" s="3" t="str" cm="1">
        <f t="array" aca="1" ref="F194" ca="1">OFFSET(E194,-1,1)</f>
        <v>3</v>
      </c>
      <c r="G194" s="17" cm="1">
        <f t="array" ref="G194">G193</f>
        <v>0</v>
      </c>
      <c r="H194" s="72"/>
      <c r="I194" s="72"/>
      <c r="J194" s="72"/>
      <c r="K194" s="72">
        <f>first_year+5</f>
        <v>2029</v>
      </c>
      <c r="L194" s="72"/>
      <c r="M194" s="72"/>
      <c r="N194" s="72"/>
      <c r="O194" s="72"/>
      <c r="P194" s="72"/>
      <c r="Q194" s="72"/>
      <c r="R194" s="72"/>
      <c r="S194" s="72"/>
      <c r="T194" s="353" t="b" cm="1">
        <f t="array" aca="1" ref="T194" ca="1">T193</f>
        <v>0</v>
      </c>
      <c r="U194" s="72"/>
      <c r="V194" s="72"/>
      <c r="W194" s="72"/>
      <c r="X194" s="990"/>
      <c r="Y194" s="990"/>
      <c r="Z194" s="967"/>
      <c r="AA194" s="1085"/>
      <c r="AB194" s="168" t="str">
        <f t="shared" si="13"/>
        <v>2029 год</v>
      </c>
      <c r="AC194" s="308"/>
      <c r="AD194" s="886"/>
      <c r="AE194" s="885"/>
      <c r="AF194" s="885"/>
      <c r="AG194" s="886"/>
      <c r="AH194" s="885"/>
      <c r="AI194" s="886"/>
      <c r="AJ194" s="885"/>
      <c r="AK194" s="887"/>
      <c r="AL194" s="304"/>
      <c r="AM194" s="72"/>
      <c r="AN194" s="696" cm="1">
        <f t="array" ref="AN194">K194</f>
        <v>2029</v>
      </c>
      <c r="AO194" s="696" t="s">
        <v>2357</v>
      </c>
      <c r="AP194" s="706" cm="1">
        <f t="array" ref="AP194">AP193</f>
        <v>0</v>
      </c>
      <c r="AQ194" s="507"/>
      <c r="AR194" s="507"/>
    </row>
    <row r="195" spans="1:44" s="880" customFormat="1" ht="14.25" hidden="1" customHeight="1" x14ac:dyDescent="0.15">
      <c r="A195" s="72"/>
      <c r="B195" s="341" t="b">
        <f t="shared" si="12"/>
        <v>0</v>
      </c>
      <c r="C195" s="72"/>
      <c r="D195" s="72"/>
      <c r="E195" s="507">
        <v>15</v>
      </c>
      <c r="F195" s="3" t="str" cm="1">
        <f t="array" aca="1" ref="F195" ca="1">OFFSET(E195,-1,1)</f>
        <v>3</v>
      </c>
      <c r="G195" s="17" cm="1">
        <f t="array" ref="G195">G194</f>
        <v>0</v>
      </c>
      <c r="H195" s="72"/>
      <c r="I195" s="72"/>
      <c r="J195" s="72"/>
      <c r="K195" s="72">
        <f>first_year+6</f>
        <v>2030</v>
      </c>
      <c r="L195" s="72"/>
      <c r="M195" s="72"/>
      <c r="N195" s="72"/>
      <c r="O195" s="72"/>
      <c r="P195" s="72"/>
      <c r="Q195" s="72"/>
      <c r="R195" s="72"/>
      <c r="S195" s="72"/>
      <c r="T195" s="353" t="b" cm="1">
        <f t="array" aca="1" ref="T195" ca="1">T194</f>
        <v>0</v>
      </c>
      <c r="U195" s="72"/>
      <c r="V195" s="72"/>
      <c r="W195" s="72"/>
      <c r="X195" s="990"/>
      <c r="Y195" s="990"/>
      <c r="Z195" s="967"/>
      <c r="AA195" s="1085"/>
      <c r="AB195" s="168" t="str">
        <f t="shared" si="13"/>
        <v>2030 год</v>
      </c>
      <c r="AC195" s="308"/>
      <c r="AD195" s="886"/>
      <c r="AE195" s="885"/>
      <c r="AF195" s="885"/>
      <c r="AG195" s="886"/>
      <c r="AH195" s="885"/>
      <c r="AI195" s="886"/>
      <c r="AJ195" s="885"/>
      <c r="AK195" s="887"/>
      <c r="AL195" s="304"/>
      <c r="AM195" s="72"/>
      <c r="AN195" s="696" cm="1">
        <f t="array" ref="AN195">K195</f>
        <v>2030</v>
      </c>
      <c r="AO195" s="696" t="s">
        <v>2357</v>
      </c>
      <c r="AP195" s="706" cm="1">
        <f t="array" ref="AP195">AP194</f>
        <v>0</v>
      </c>
      <c r="AQ195" s="507"/>
      <c r="AR195" s="507"/>
    </row>
    <row r="196" spans="1:44" s="880" customFormat="1" ht="14.25" hidden="1" customHeight="1" x14ac:dyDescent="0.15">
      <c r="A196" s="72"/>
      <c r="B196" s="341" t="b">
        <f t="shared" si="12"/>
        <v>0</v>
      </c>
      <c r="C196" s="72"/>
      <c r="D196" s="72"/>
      <c r="E196" s="507">
        <v>15</v>
      </c>
      <c r="F196" s="3" t="str" cm="1">
        <f t="array" aca="1" ref="F196" ca="1">OFFSET(E196,-1,1)</f>
        <v>3</v>
      </c>
      <c r="G196" s="17" cm="1">
        <f t="array" ref="G196">G195</f>
        <v>0</v>
      </c>
      <c r="H196" s="72"/>
      <c r="I196" s="72"/>
      <c r="J196" s="72"/>
      <c r="K196" s="72">
        <f>first_year+7</f>
        <v>2031</v>
      </c>
      <c r="L196" s="72"/>
      <c r="M196" s="72"/>
      <c r="N196" s="72"/>
      <c r="O196" s="72"/>
      <c r="P196" s="72"/>
      <c r="Q196" s="72"/>
      <c r="R196" s="72"/>
      <c r="S196" s="72"/>
      <c r="T196" s="353" t="b" cm="1">
        <f t="array" aca="1" ref="T196" ca="1">T195</f>
        <v>0</v>
      </c>
      <c r="U196" s="72"/>
      <c r="V196" s="72"/>
      <c r="W196" s="72"/>
      <c r="X196" s="990"/>
      <c r="Y196" s="990"/>
      <c r="Z196" s="967"/>
      <c r="AA196" s="1085"/>
      <c r="AB196" s="168" t="str">
        <f t="shared" si="13"/>
        <v>2031 год</v>
      </c>
      <c r="AC196" s="308"/>
      <c r="AD196" s="886"/>
      <c r="AE196" s="885"/>
      <c r="AF196" s="885"/>
      <c r="AG196" s="886"/>
      <c r="AH196" s="885"/>
      <c r="AI196" s="886"/>
      <c r="AJ196" s="885"/>
      <c r="AK196" s="887"/>
      <c r="AL196" s="304"/>
      <c r="AM196" s="72"/>
      <c r="AN196" s="696" cm="1">
        <f t="array" ref="AN196">K196</f>
        <v>2031</v>
      </c>
      <c r="AO196" s="696" t="s">
        <v>2357</v>
      </c>
      <c r="AP196" s="706" cm="1">
        <f t="array" ref="AP196">AP195</f>
        <v>0</v>
      </c>
      <c r="AQ196" s="507"/>
      <c r="AR196" s="507"/>
    </row>
    <row r="197" spans="1:44" s="880" customFormat="1" ht="14.25" hidden="1" customHeight="1" x14ac:dyDescent="0.15">
      <c r="A197" s="72"/>
      <c r="B197" s="341" t="b">
        <f t="shared" si="12"/>
        <v>0</v>
      </c>
      <c r="C197" s="72"/>
      <c r="D197" s="72"/>
      <c r="E197" s="507">
        <v>15</v>
      </c>
      <c r="F197" s="3" t="str" cm="1">
        <f t="array" aca="1" ref="F197" ca="1">OFFSET(E197,-1,1)</f>
        <v>3</v>
      </c>
      <c r="G197" s="17" cm="1">
        <f t="array" ref="G197">G196</f>
        <v>0</v>
      </c>
      <c r="H197" s="72"/>
      <c r="I197" s="72"/>
      <c r="J197" s="72"/>
      <c r="K197" s="72">
        <f>first_year+8</f>
        <v>2032</v>
      </c>
      <c r="L197" s="72"/>
      <c r="M197" s="72"/>
      <c r="N197" s="72"/>
      <c r="O197" s="72"/>
      <c r="P197" s="72"/>
      <c r="Q197" s="72"/>
      <c r="R197" s="72"/>
      <c r="S197" s="72"/>
      <c r="T197" s="353" t="b" cm="1">
        <f t="array" aca="1" ref="T197" ca="1">T196</f>
        <v>0</v>
      </c>
      <c r="U197" s="72"/>
      <c r="V197" s="72"/>
      <c r="W197" s="72"/>
      <c r="X197" s="990"/>
      <c r="Y197" s="990"/>
      <c r="Z197" s="967"/>
      <c r="AA197" s="1085"/>
      <c r="AB197" s="168" t="str">
        <f t="shared" si="13"/>
        <v>2032 год</v>
      </c>
      <c r="AC197" s="308"/>
      <c r="AD197" s="886"/>
      <c r="AE197" s="885"/>
      <c r="AF197" s="885"/>
      <c r="AG197" s="886"/>
      <c r="AH197" s="885"/>
      <c r="AI197" s="886"/>
      <c r="AJ197" s="885"/>
      <c r="AK197" s="887"/>
      <c r="AL197" s="304"/>
      <c r="AM197" s="72"/>
      <c r="AN197" s="696" cm="1">
        <f t="array" ref="AN197">K197</f>
        <v>2032</v>
      </c>
      <c r="AO197" s="696" t="s">
        <v>2357</v>
      </c>
      <c r="AP197" s="706" cm="1">
        <f t="array" ref="AP197">AP196</f>
        <v>0</v>
      </c>
      <c r="AQ197" s="507"/>
      <c r="AR197" s="507"/>
    </row>
    <row r="198" spans="1:44" s="880" customFormat="1" ht="14.25" hidden="1" customHeight="1" x14ac:dyDescent="0.15">
      <c r="A198" s="72"/>
      <c r="B198" s="341" t="b">
        <f t="shared" si="12"/>
        <v>0</v>
      </c>
      <c r="C198" s="72"/>
      <c r="D198" s="72"/>
      <c r="E198" s="507">
        <v>15</v>
      </c>
      <c r="F198" s="3" t="str" cm="1">
        <f t="array" aca="1" ref="F198" ca="1">OFFSET(E198,-1,1)</f>
        <v>3</v>
      </c>
      <c r="G198" s="17" cm="1">
        <f t="array" ref="G198">G197</f>
        <v>0</v>
      </c>
      <c r="H198" s="72"/>
      <c r="I198" s="72"/>
      <c r="J198" s="72"/>
      <c r="K198" s="72">
        <f>first_year+9</f>
        <v>2033</v>
      </c>
      <c r="L198" s="72"/>
      <c r="M198" s="72"/>
      <c r="N198" s="72"/>
      <c r="O198" s="72"/>
      <c r="P198" s="72"/>
      <c r="Q198" s="72"/>
      <c r="R198" s="72"/>
      <c r="S198" s="72"/>
      <c r="T198" s="353" t="b" cm="1">
        <f t="array" aca="1" ref="T198" ca="1">T197</f>
        <v>0</v>
      </c>
      <c r="U198" s="72"/>
      <c r="V198" s="72"/>
      <c r="W198" s="72"/>
      <c r="X198" s="990"/>
      <c r="Y198" s="990"/>
      <c r="Z198" s="967"/>
      <c r="AA198" s="1085"/>
      <c r="AB198" s="168" t="str">
        <f t="shared" si="13"/>
        <v>2033 год</v>
      </c>
      <c r="AC198" s="308"/>
      <c r="AD198" s="886"/>
      <c r="AE198" s="885"/>
      <c r="AF198" s="885"/>
      <c r="AG198" s="886"/>
      <c r="AH198" s="885"/>
      <c r="AI198" s="886"/>
      <c r="AJ198" s="885"/>
      <c r="AK198" s="887"/>
      <c r="AL198" s="304"/>
      <c r="AM198" s="72"/>
      <c r="AN198" s="696" cm="1">
        <f t="array" ref="AN198">K198</f>
        <v>2033</v>
      </c>
      <c r="AO198" s="696" t="s">
        <v>2357</v>
      </c>
      <c r="AP198" s="706" cm="1">
        <f t="array" ref="AP198">AP197</f>
        <v>0</v>
      </c>
      <c r="AQ198" s="507"/>
      <c r="AR198" s="507"/>
    </row>
    <row r="199" spans="1:44" s="880" customFormat="1" ht="14.25" hidden="1" customHeight="1" x14ac:dyDescent="0.15">
      <c r="A199" s="72"/>
      <c r="B199" s="341" t="b">
        <f t="shared" si="12"/>
        <v>0</v>
      </c>
      <c r="C199" s="72"/>
      <c r="D199" s="72"/>
      <c r="E199" s="507">
        <v>15</v>
      </c>
      <c r="F199" s="3" t="str" cm="1">
        <f t="array" aca="1" ref="F199" ca="1">OFFSET(E199,-1,1)</f>
        <v>3</v>
      </c>
      <c r="G199" s="17" cm="1">
        <f t="array" ref="G199">G198</f>
        <v>0</v>
      </c>
      <c r="H199" s="72"/>
      <c r="I199" s="72"/>
      <c r="J199" s="72"/>
      <c r="K199" s="72">
        <f>first_year+10</f>
        <v>2034</v>
      </c>
      <c r="L199" s="72"/>
      <c r="M199" s="72"/>
      <c r="N199" s="72"/>
      <c r="O199" s="72"/>
      <c r="P199" s="72"/>
      <c r="Q199" s="72"/>
      <c r="R199" s="72"/>
      <c r="S199" s="72"/>
      <c r="T199" s="353" t="b" cm="1">
        <f t="array" aca="1" ref="T199" ca="1">T198</f>
        <v>0</v>
      </c>
      <c r="U199" s="72"/>
      <c r="V199" s="72"/>
      <c r="W199" s="72"/>
      <c r="X199" s="990"/>
      <c r="Y199" s="990"/>
      <c r="Z199" s="967"/>
      <c r="AA199" s="1085"/>
      <c r="AB199" s="168" t="str">
        <f t="shared" si="13"/>
        <v>2034 год</v>
      </c>
      <c r="AC199" s="308"/>
      <c r="AD199" s="886"/>
      <c r="AE199" s="885"/>
      <c r="AF199" s="885"/>
      <c r="AG199" s="886"/>
      <c r="AH199" s="885"/>
      <c r="AI199" s="886"/>
      <c r="AJ199" s="885"/>
      <c r="AK199" s="887"/>
      <c r="AL199" s="304"/>
      <c r="AM199" s="72"/>
      <c r="AN199" s="696" cm="1">
        <f t="array" ref="AN199">K199</f>
        <v>2034</v>
      </c>
      <c r="AO199" s="696" t="s">
        <v>2357</v>
      </c>
      <c r="AP199" s="706" cm="1">
        <f t="array" ref="AP199">AP198</f>
        <v>0</v>
      </c>
      <c r="AQ199" s="507"/>
      <c r="AR199" s="507"/>
    </row>
    <row r="200" spans="1:44" s="880" customFormat="1" ht="14.25" hidden="1" customHeight="1" x14ac:dyDescent="0.15">
      <c r="A200" s="72"/>
      <c r="B200" s="341" t="b">
        <f t="shared" si="12"/>
        <v>0</v>
      </c>
      <c r="C200" s="72"/>
      <c r="D200" s="72"/>
      <c r="E200" s="507">
        <v>15</v>
      </c>
      <c r="F200" s="3" t="str" cm="1">
        <f t="array" aca="1" ref="F200" ca="1">OFFSET(E200,-1,1)</f>
        <v>3</v>
      </c>
      <c r="G200" s="17" cm="1">
        <f t="array" ref="G200">G199</f>
        <v>0</v>
      </c>
      <c r="H200" s="72"/>
      <c r="I200" s="72"/>
      <c r="J200" s="72"/>
      <c r="K200" s="72">
        <f>first_year+11</f>
        <v>2035</v>
      </c>
      <c r="L200" s="72"/>
      <c r="M200" s="72"/>
      <c r="N200" s="72"/>
      <c r="O200" s="72"/>
      <c r="P200" s="72"/>
      <c r="Q200" s="72"/>
      <c r="R200" s="72"/>
      <c r="S200" s="72"/>
      <c r="T200" s="353" t="b" cm="1">
        <f t="array" aca="1" ref="T200" ca="1">T199</f>
        <v>0</v>
      </c>
      <c r="U200" s="72"/>
      <c r="V200" s="72"/>
      <c r="W200" s="72"/>
      <c r="X200" s="990"/>
      <c r="Y200" s="990"/>
      <c r="Z200" s="967"/>
      <c r="AA200" s="1085"/>
      <c r="AB200" s="168" t="str">
        <f t="shared" si="13"/>
        <v>2035 год</v>
      </c>
      <c r="AC200" s="308"/>
      <c r="AD200" s="886"/>
      <c r="AE200" s="885"/>
      <c r="AF200" s="885"/>
      <c r="AG200" s="886"/>
      <c r="AH200" s="885"/>
      <c r="AI200" s="886"/>
      <c r="AJ200" s="885"/>
      <c r="AK200" s="887"/>
      <c r="AL200" s="304"/>
      <c r="AM200" s="72"/>
      <c r="AN200" s="696" cm="1">
        <f t="array" ref="AN200">K200</f>
        <v>2035</v>
      </c>
      <c r="AO200" s="696" t="s">
        <v>2357</v>
      </c>
      <c r="AP200" s="706" cm="1">
        <f t="array" ref="AP200">AP199</f>
        <v>0</v>
      </c>
      <c r="AQ200" s="507"/>
      <c r="AR200" s="507"/>
    </row>
    <row r="201" spans="1:44" s="880" customFormat="1" ht="14.25" hidden="1" customHeight="1" x14ac:dyDescent="0.15">
      <c r="A201" s="72"/>
      <c r="B201" s="341" t="b">
        <f t="shared" si="12"/>
        <v>0</v>
      </c>
      <c r="C201" s="72"/>
      <c r="D201" s="72"/>
      <c r="E201" s="507">
        <v>15</v>
      </c>
      <c r="F201" s="3" t="str" cm="1">
        <f t="array" aca="1" ref="F201" ca="1">OFFSET(E201,-1,1)</f>
        <v>3</v>
      </c>
      <c r="G201" s="17" cm="1">
        <f t="array" ref="G201">G200</f>
        <v>0</v>
      </c>
      <c r="H201" s="72"/>
      <c r="I201" s="72"/>
      <c r="J201" s="72"/>
      <c r="K201" s="72">
        <f>first_year+12</f>
        <v>2036</v>
      </c>
      <c r="L201" s="72"/>
      <c r="M201" s="72"/>
      <c r="N201" s="72"/>
      <c r="O201" s="72"/>
      <c r="P201" s="72"/>
      <c r="Q201" s="72"/>
      <c r="R201" s="72"/>
      <c r="S201" s="72"/>
      <c r="T201" s="353" t="b" cm="1">
        <f t="array" aca="1" ref="T201" ca="1">T200</f>
        <v>0</v>
      </c>
      <c r="U201" s="72"/>
      <c r="V201" s="72"/>
      <c r="W201" s="72"/>
      <c r="X201" s="990"/>
      <c r="Y201" s="990"/>
      <c r="Z201" s="967"/>
      <c r="AA201" s="1085"/>
      <c r="AB201" s="168" t="str">
        <f t="shared" si="13"/>
        <v>2036 год</v>
      </c>
      <c r="AC201" s="308"/>
      <c r="AD201" s="886"/>
      <c r="AE201" s="885"/>
      <c r="AF201" s="885"/>
      <c r="AG201" s="886"/>
      <c r="AH201" s="885"/>
      <c r="AI201" s="886"/>
      <c r="AJ201" s="885"/>
      <c r="AK201" s="887"/>
      <c r="AL201" s="304"/>
      <c r="AM201" s="72"/>
      <c r="AN201" s="696" cm="1">
        <f t="array" ref="AN201">K201</f>
        <v>2036</v>
      </c>
      <c r="AO201" s="696" t="s">
        <v>2357</v>
      </c>
      <c r="AP201" s="706" cm="1">
        <f t="array" ref="AP201">AP200</f>
        <v>0</v>
      </c>
      <c r="AQ201" s="507"/>
      <c r="AR201" s="507"/>
    </row>
    <row r="202" spans="1:44" s="880" customFormat="1" ht="14.25" hidden="1" customHeight="1" x14ac:dyDescent="0.15">
      <c r="A202" s="72"/>
      <c r="B202" s="341" t="b">
        <f t="shared" si="12"/>
        <v>0</v>
      </c>
      <c r="C202" s="72"/>
      <c r="D202" s="72"/>
      <c r="E202" s="507">
        <v>15</v>
      </c>
      <c r="F202" s="3" t="str" cm="1">
        <f t="array" aca="1" ref="F202" ca="1">OFFSET(E202,-1,1)</f>
        <v>3</v>
      </c>
      <c r="G202" s="17" cm="1">
        <f t="array" ref="G202">G201</f>
        <v>0</v>
      </c>
      <c r="H202" s="72"/>
      <c r="I202" s="72"/>
      <c r="J202" s="72"/>
      <c r="K202" s="72">
        <f>first_year+13</f>
        <v>2037</v>
      </c>
      <c r="L202" s="72"/>
      <c r="M202" s="72"/>
      <c r="N202" s="72"/>
      <c r="O202" s="72"/>
      <c r="P202" s="72"/>
      <c r="Q202" s="72"/>
      <c r="R202" s="72"/>
      <c r="S202" s="72"/>
      <c r="T202" s="353" t="b" cm="1">
        <f t="array" aca="1" ref="T202" ca="1">T201</f>
        <v>0</v>
      </c>
      <c r="U202" s="72"/>
      <c r="V202" s="72"/>
      <c r="W202" s="72"/>
      <c r="X202" s="990"/>
      <c r="Y202" s="990"/>
      <c r="Z202" s="967"/>
      <c r="AA202" s="1085"/>
      <c r="AB202" s="168" t="str">
        <f t="shared" si="13"/>
        <v>2037 год</v>
      </c>
      <c r="AC202" s="308"/>
      <c r="AD202" s="886"/>
      <c r="AE202" s="885"/>
      <c r="AF202" s="885"/>
      <c r="AG202" s="886"/>
      <c r="AH202" s="885"/>
      <c r="AI202" s="886"/>
      <c r="AJ202" s="885"/>
      <c r="AK202" s="887"/>
      <c r="AL202" s="304"/>
      <c r="AM202" s="72"/>
      <c r="AN202" s="696" cm="1">
        <f t="array" ref="AN202">K202</f>
        <v>2037</v>
      </c>
      <c r="AO202" s="696" t="s">
        <v>2357</v>
      </c>
      <c r="AP202" s="706" cm="1">
        <f t="array" ref="AP202">AP201</f>
        <v>0</v>
      </c>
      <c r="AQ202" s="507"/>
      <c r="AR202" s="507"/>
    </row>
    <row r="203" spans="1:44" s="880" customFormat="1" ht="14.25" hidden="1" customHeight="1" x14ac:dyDescent="0.15">
      <c r="A203" s="72"/>
      <c r="B203" s="341" t="b">
        <f t="shared" si="12"/>
        <v>0</v>
      </c>
      <c r="C203" s="72"/>
      <c r="D203" s="72"/>
      <c r="E203" s="507">
        <v>15</v>
      </c>
      <c r="F203" s="3" t="str" cm="1">
        <f t="array" aca="1" ref="F203" ca="1">OFFSET(E203,-1,1)</f>
        <v>3</v>
      </c>
      <c r="G203" s="17" cm="1">
        <f t="array" ref="G203">G202</f>
        <v>0</v>
      </c>
      <c r="H203" s="72"/>
      <c r="I203" s="72"/>
      <c r="J203" s="72"/>
      <c r="K203" s="72">
        <f>first_year+14</f>
        <v>2038</v>
      </c>
      <c r="L203" s="72"/>
      <c r="M203" s="72"/>
      <c r="N203" s="72"/>
      <c r="O203" s="72"/>
      <c r="P203" s="72"/>
      <c r="Q203" s="72"/>
      <c r="R203" s="72"/>
      <c r="S203" s="72"/>
      <c r="T203" s="353" t="b" cm="1">
        <f t="array" aca="1" ref="T203" ca="1">T202</f>
        <v>0</v>
      </c>
      <c r="U203" s="72"/>
      <c r="V203" s="72"/>
      <c r="W203" s="72"/>
      <c r="X203" s="990"/>
      <c r="Y203" s="990"/>
      <c r="Z203" s="967"/>
      <c r="AA203" s="1085"/>
      <c r="AB203" s="168" t="str">
        <f t="shared" si="13"/>
        <v>2038 год</v>
      </c>
      <c r="AC203" s="308"/>
      <c r="AD203" s="886"/>
      <c r="AE203" s="885"/>
      <c r="AF203" s="885"/>
      <c r="AG203" s="886"/>
      <c r="AH203" s="885"/>
      <c r="AI203" s="886"/>
      <c r="AJ203" s="885"/>
      <c r="AK203" s="887"/>
      <c r="AL203" s="304"/>
      <c r="AM203" s="72"/>
      <c r="AN203" s="696" cm="1">
        <f t="array" ref="AN203">K203</f>
        <v>2038</v>
      </c>
      <c r="AO203" s="696" t="s">
        <v>2357</v>
      </c>
      <c r="AP203" s="706" cm="1">
        <f t="array" ref="AP203">AP202</f>
        <v>0</v>
      </c>
      <c r="AQ203" s="507"/>
      <c r="AR203" s="507"/>
    </row>
    <row r="204" spans="1:44" s="880" customFormat="1" ht="14.25" hidden="1" customHeight="1" x14ac:dyDescent="0.15">
      <c r="A204" s="72"/>
      <c r="B204" s="341" t="b">
        <f t="shared" si="12"/>
        <v>0</v>
      </c>
      <c r="C204" s="72"/>
      <c r="D204" s="72"/>
      <c r="E204" s="507">
        <v>15</v>
      </c>
      <c r="F204" s="3" t="str" cm="1">
        <f t="array" aca="1" ref="F204" ca="1">OFFSET(E204,-1,1)</f>
        <v>3</v>
      </c>
      <c r="G204" s="17" cm="1">
        <f t="array" ref="G204">G203</f>
        <v>0</v>
      </c>
      <c r="H204" s="72"/>
      <c r="I204" s="72"/>
      <c r="J204" s="72"/>
      <c r="K204" s="72">
        <f>first_year+15</f>
        <v>2039</v>
      </c>
      <c r="L204" s="72"/>
      <c r="M204" s="72"/>
      <c r="N204" s="72"/>
      <c r="O204" s="72"/>
      <c r="P204" s="72"/>
      <c r="Q204" s="72"/>
      <c r="R204" s="72"/>
      <c r="S204" s="72"/>
      <c r="T204" s="353" t="b" cm="1">
        <f t="array" aca="1" ref="T204" ca="1">T203</f>
        <v>0</v>
      </c>
      <c r="U204" s="72"/>
      <c r="V204" s="72"/>
      <c r="W204" s="72"/>
      <c r="X204" s="990"/>
      <c r="Y204" s="990"/>
      <c r="Z204" s="967"/>
      <c r="AA204" s="1085"/>
      <c r="AB204" s="168" t="str">
        <f t="shared" si="13"/>
        <v>2039 год</v>
      </c>
      <c r="AC204" s="308"/>
      <c r="AD204" s="886"/>
      <c r="AE204" s="885"/>
      <c r="AF204" s="885"/>
      <c r="AG204" s="886"/>
      <c r="AH204" s="885"/>
      <c r="AI204" s="886"/>
      <c r="AJ204" s="885"/>
      <c r="AK204" s="887"/>
      <c r="AL204" s="304"/>
      <c r="AM204" s="72"/>
      <c r="AN204" s="696" cm="1">
        <f t="array" ref="AN204">K204</f>
        <v>2039</v>
      </c>
      <c r="AO204" s="696" t="s">
        <v>2357</v>
      </c>
      <c r="AP204" s="706" cm="1">
        <f t="array" ref="AP204">AP203</f>
        <v>0</v>
      </c>
      <c r="AQ204" s="507"/>
      <c r="AR204" s="507"/>
    </row>
    <row r="205" spans="1:44" s="880" customFormat="1" ht="14.25" hidden="1" customHeight="1" x14ac:dyDescent="0.15">
      <c r="A205" s="72"/>
      <c r="B205" s="341" t="b">
        <f t="shared" si="12"/>
        <v>0</v>
      </c>
      <c r="C205" s="72"/>
      <c r="D205" s="72"/>
      <c r="E205" s="507">
        <v>15</v>
      </c>
      <c r="F205" s="3" t="str" cm="1">
        <f t="array" aca="1" ref="F205" ca="1">OFFSET(E205,-1,1)</f>
        <v>3</v>
      </c>
      <c r="G205" s="17" cm="1">
        <f t="array" ref="G205">G204</f>
        <v>0</v>
      </c>
      <c r="H205" s="72"/>
      <c r="I205" s="72"/>
      <c r="J205" s="72"/>
      <c r="K205" s="72">
        <f>first_year+16</f>
        <v>2040</v>
      </c>
      <c r="L205" s="72"/>
      <c r="M205" s="72"/>
      <c r="N205" s="72"/>
      <c r="O205" s="72"/>
      <c r="P205" s="72"/>
      <c r="Q205" s="72"/>
      <c r="R205" s="72"/>
      <c r="S205" s="72"/>
      <c r="T205" s="353" t="b" cm="1">
        <f t="array" aca="1" ref="T205" ca="1">T204</f>
        <v>0</v>
      </c>
      <c r="U205" s="72"/>
      <c r="V205" s="72"/>
      <c r="W205" s="72"/>
      <c r="X205" s="990"/>
      <c r="Y205" s="990"/>
      <c r="Z205" s="967"/>
      <c r="AA205" s="1085"/>
      <c r="AB205" s="168" t="str">
        <f t="shared" si="13"/>
        <v>2040 год</v>
      </c>
      <c r="AC205" s="308"/>
      <c r="AD205" s="886"/>
      <c r="AE205" s="885"/>
      <c r="AF205" s="885"/>
      <c r="AG205" s="886"/>
      <c r="AH205" s="885"/>
      <c r="AI205" s="886"/>
      <c r="AJ205" s="885"/>
      <c r="AK205" s="887"/>
      <c r="AL205" s="304"/>
      <c r="AM205" s="72"/>
      <c r="AN205" s="696" cm="1">
        <f t="array" ref="AN205">K205</f>
        <v>2040</v>
      </c>
      <c r="AO205" s="696" t="s">
        <v>2357</v>
      </c>
      <c r="AP205" s="706" cm="1">
        <f t="array" ref="AP205">AP204</f>
        <v>0</v>
      </c>
      <c r="AQ205" s="507"/>
      <c r="AR205" s="507"/>
    </row>
    <row r="206" spans="1:44" s="880" customFormat="1" ht="14.25" hidden="1" customHeight="1" x14ac:dyDescent="0.15">
      <c r="A206" s="72"/>
      <c r="B206" s="341" t="b">
        <f t="shared" si="12"/>
        <v>0</v>
      </c>
      <c r="C206" s="72"/>
      <c r="D206" s="72"/>
      <c r="E206" s="507">
        <v>15</v>
      </c>
      <c r="F206" s="3" t="str" cm="1">
        <f t="array" aca="1" ref="F206" ca="1">OFFSET(E206,-1,1)</f>
        <v>3</v>
      </c>
      <c r="G206" s="17" cm="1">
        <f t="array" ref="G206">G205</f>
        <v>0</v>
      </c>
      <c r="H206" s="72"/>
      <c r="I206" s="72"/>
      <c r="J206" s="72"/>
      <c r="K206" s="72">
        <f>first_year+17</f>
        <v>2041</v>
      </c>
      <c r="L206" s="72"/>
      <c r="M206" s="72"/>
      <c r="N206" s="72"/>
      <c r="O206" s="72"/>
      <c r="P206" s="72"/>
      <c r="Q206" s="72"/>
      <c r="R206" s="72"/>
      <c r="S206" s="72"/>
      <c r="T206" s="353" t="b" cm="1">
        <f t="array" aca="1" ref="T206" ca="1">T205</f>
        <v>0</v>
      </c>
      <c r="U206" s="72"/>
      <c r="V206" s="72"/>
      <c r="W206" s="72"/>
      <c r="X206" s="990"/>
      <c r="Y206" s="990"/>
      <c r="Z206" s="967"/>
      <c r="AA206" s="1085"/>
      <c r="AB206" s="168" t="str">
        <f t="shared" si="13"/>
        <v>2041 год</v>
      </c>
      <c r="AC206" s="308"/>
      <c r="AD206" s="886"/>
      <c r="AE206" s="885"/>
      <c r="AF206" s="885"/>
      <c r="AG206" s="886"/>
      <c r="AH206" s="885"/>
      <c r="AI206" s="886"/>
      <c r="AJ206" s="885"/>
      <c r="AK206" s="887"/>
      <c r="AL206" s="304"/>
      <c r="AM206" s="72"/>
      <c r="AN206" s="696" cm="1">
        <f t="array" ref="AN206">K206</f>
        <v>2041</v>
      </c>
      <c r="AO206" s="696" t="s">
        <v>2357</v>
      </c>
      <c r="AP206" s="706" cm="1">
        <f t="array" ref="AP206">AP205</f>
        <v>0</v>
      </c>
      <c r="AQ206" s="507"/>
      <c r="AR206" s="507"/>
    </row>
    <row r="207" spans="1:44" s="880" customFormat="1" ht="14.25" hidden="1" customHeight="1" x14ac:dyDescent="0.15">
      <c r="A207" s="72"/>
      <c r="B207" s="341" t="b">
        <f t="shared" si="12"/>
        <v>0</v>
      </c>
      <c r="C207" s="72"/>
      <c r="D207" s="72"/>
      <c r="E207" s="507">
        <v>15</v>
      </c>
      <c r="F207" s="3" t="str" cm="1">
        <f t="array" aca="1" ref="F207" ca="1">OFFSET(E207,-1,1)</f>
        <v>3</v>
      </c>
      <c r="G207" s="17" cm="1">
        <f t="array" ref="G207">G206</f>
        <v>0</v>
      </c>
      <c r="H207" s="72"/>
      <c r="I207" s="72"/>
      <c r="J207" s="72"/>
      <c r="K207" s="72">
        <f>first_year+18</f>
        <v>2042</v>
      </c>
      <c r="L207" s="72"/>
      <c r="M207" s="72"/>
      <c r="N207" s="72"/>
      <c r="O207" s="72"/>
      <c r="P207" s="72"/>
      <c r="Q207" s="72"/>
      <c r="R207" s="72"/>
      <c r="S207" s="72"/>
      <c r="T207" s="353" t="b" cm="1">
        <f t="array" aca="1" ref="T207" ca="1">T206</f>
        <v>0</v>
      </c>
      <c r="U207" s="72"/>
      <c r="V207" s="72"/>
      <c r="W207" s="72"/>
      <c r="X207" s="990"/>
      <c r="Y207" s="990"/>
      <c r="Z207" s="967"/>
      <c r="AA207" s="1085"/>
      <c r="AB207" s="168" t="str">
        <f t="shared" si="13"/>
        <v>2042 год</v>
      </c>
      <c r="AC207" s="308"/>
      <c r="AD207" s="886"/>
      <c r="AE207" s="885"/>
      <c r="AF207" s="885"/>
      <c r="AG207" s="886"/>
      <c r="AH207" s="885"/>
      <c r="AI207" s="886"/>
      <c r="AJ207" s="885"/>
      <c r="AK207" s="887"/>
      <c r="AL207" s="304"/>
      <c r="AM207" s="72"/>
      <c r="AN207" s="696" cm="1">
        <f t="array" ref="AN207">K207</f>
        <v>2042</v>
      </c>
      <c r="AO207" s="696" t="s">
        <v>2357</v>
      </c>
      <c r="AP207" s="706" cm="1">
        <f t="array" ref="AP207">AP206</f>
        <v>0</v>
      </c>
      <c r="AQ207" s="507"/>
      <c r="AR207" s="507"/>
    </row>
    <row r="208" spans="1:44" s="880" customFormat="1" ht="14.25" hidden="1" customHeight="1" x14ac:dyDescent="0.15">
      <c r="A208" s="72"/>
      <c r="B208" s="341" t="b">
        <f t="shared" si="12"/>
        <v>0</v>
      </c>
      <c r="C208" s="72"/>
      <c r="D208" s="72"/>
      <c r="E208" s="507">
        <v>15</v>
      </c>
      <c r="F208" s="3" t="str" cm="1">
        <f t="array" aca="1" ref="F208" ca="1">OFFSET(E208,-1,1)</f>
        <v>3</v>
      </c>
      <c r="G208" s="17" cm="1">
        <f t="array" ref="G208">G207</f>
        <v>0</v>
      </c>
      <c r="H208" s="72"/>
      <c r="I208" s="72"/>
      <c r="J208" s="72"/>
      <c r="K208" s="72">
        <f>first_year+19</f>
        <v>2043</v>
      </c>
      <c r="L208" s="72"/>
      <c r="M208" s="72"/>
      <c r="N208" s="72"/>
      <c r="O208" s="72"/>
      <c r="P208" s="72"/>
      <c r="Q208" s="72"/>
      <c r="R208" s="72"/>
      <c r="S208" s="72"/>
      <c r="T208" s="353" t="b" cm="1">
        <f t="array" aca="1" ref="T208" ca="1">T207</f>
        <v>0</v>
      </c>
      <c r="U208" s="72"/>
      <c r="V208" s="72"/>
      <c r="W208" s="72"/>
      <c r="X208" s="990"/>
      <c r="Y208" s="990"/>
      <c r="Z208" s="967"/>
      <c r="AA208" s="1085"/>
      <c r="AB208" s="168" t="str">
        <f t="shared" si="13"/>
        <v>2043 год</v>
      </c>
      <c r="AC208" s="308"/>
      <c r="AD208" s="886"/>
      <c r="AE208" s="885"/>
      <c r="AF208" s="885"/>
      <c r="AG208" s="886"/>
      <c r="AH208" s="885"/>
      <c r="AI208" s="886"/>
      <c r="AJ208" s="885"/>
      <c r="AK208" s="887"/>
      <c r="AL208" s="304"/>
      <c r="AM208" s="72"/>
      <c r="AN208" s="696" cm="1">
        <f t="array" ref="AN208">K208</f>
        <v>2043</v>
      </c>
      <c r="AO208" s="696" t="s">
        <v>2357</v>
      </c>
      <c r="AP208" s="706" cm="1">
        <f t="array" ref="AP208">AP207</f>
        <v>0</v>
      </c>
      <c r="AQ208" s="507"/>
      <c r="AR208" s="507"/>
    </row>
    <row r="209" spans="1:44" s="880" customFormat="1" ht="14.25" hidden="1" customHeight="1" x14ac:dyDescent="0.15">
      <c r="A209" s="72"/>
      <c r="B209" s="341" t="b">
        <f t="shared" si="12"/>
        <v>0</v>
      </c>
      <c r="C209" s="72"/>
      <c r="D209" s="72"/>
      <c r="E209" s="507">
        <v>15</v>
      </c>
      <c r="F209" s="3" t="str" cm="1">
        <f t="array" aca="1" ref="F209" ca="1">OFFSET(E209,-1,1)</f>
        <v>3</v>
      </c>
      <c r="G209" s="17" cm="1">
        <f t="array" ref="G209">G208</f>
        <v>0</v>
      </c>
      <c r="H209" s="72"/>
      <c r="I209" s="72"/>
      <c r="J209" s="72"/>
      <c r="K209" s="72">
        <f>first_year+20</f>
        <v>2044</v>
      </c>
      <c r="L209" s="72"/>
      <c r="M209" s="72"/>
      <c r="N209" s="72"/>
      <c r="O209" s="72"/>
      <c r="P209" s="72"/>
      <c r="Q209" s="72"/>
      <c r="R209" s="72"/>
      <c r="S209" s="72"/>
      <c r="T209" s="353" t="b" cm="1">
        <f t="array" aca="1" ref="T209" ca="1">T208</f>
        <v>0</v>
      </c>
      <c r="U209" s="72"/>
      <c r="V209" s="72"/>
      <c r="W209" s="72"/>
      <c r="X209" s="990"/>
      <c r="Y209" s="990"/>
      <c r="Z209" s="967"/>
      <c r="AA209" s="1085"/>
      <c r="AB209" s="168" t="str">
        <f t="shared" si="13"/>
        <v>2044 год</v>
      </c>
      <c r="AC209" s="308"/>
      <c r="AD209" s="886"/>
      <c r="AE209" s="885"/>
      <c r="AF209" s="885"/>
      <c r="AG209" s="886"/>
      <c r="AH209" s="885"/>
      <c r="AI209" s="886"/>
      <c r="AJ209" s="885"/>
      <c r="AK209" s="887"/>
      <c r="AL209" s="304"/>
      <c r="AM209" s="72"/>
      <c r="AN209" s="696" cm="1">
        <f t="array" ref="AN209">K209</f>
        <v>2044</v>
      </c>
      <c r="AO209" s="696" t="s">
        <v>2357</v>
      </c>
      <c r="AP209" s="706" cm="1">
        <f t="array" ref="AP209">AP208</f>
        <v>0</v>
      </c>
      <c r="AQ209" s="507"/>
      <c r="AR209" s="507"/>
    </row>
    <row r="210" spans="1:44" s="880" customFormat="1" ht="14.25" hidden="1" customHeight="1" x14ac:dyDescent="0.15">
      <c r="A210" s="72"/>
      <c r="B210" s="341" t="b">
        <f t="shared" si="12"/>
        <v>0</v>
      </c>
      <c r="C210" s="72"/>
      <c r="D210" s="72"/>
      <c r="E210" s="507">
        <v>15</v>
      </c>
      <c r="F210" s="3" t="str" cm="1">
        <f t="array" aca="1" ref="F210" ca="1">OFFSET(E210,-1,1)</f>
        <v>3</v>
      </c>
      <c r="G210" s="17" cm="1">
        <f t="array" ref="G210">G209</f>
        <v>0</v>
      </c>
      <c r="H210" s="72"/>
      <c r="I210" s="72"/>
      <c r="J210" s="72"/>
      <c r="K210" s="72">
        <f>first_year+21</f>
        <v>2045</v>
      </c>
      <c r="L210" s="72"/>
      <c r="M210" s="72"/>
      <c r="N210" s="72"/>
      <c r="O210" s="72"/>
      <c r="P210" s="72"/>
      <c r="Q210" s="72"/>
      <c r="R210" s="72"/>
      <c r="S210" s="72"/>
      <c r="T210" s="353" t="b" cm="1">
        <f t="array" aca="1" ref="T210" ca="1">T209</f>
        <v>0</v>
      </c>
      <c r="U210" s="72"/>
      <c r="V210" s="72"/>
      <c r="W210" s="72"/>
      <c r="X210" s="990"/>
      <c r="Y210" s="990"/>
      <c r="Z210" s="967"/>
      <c r="AA210" s="1085"/>
      <c r="AB210" s="168" t="str">
        <f t="shared" si="13"/>
        <v>2045 год</v>
      </c>
      <c r="AC210" s="308"/>
      <c r="AD210" s="886"/>
      <c r="AE210" s="885"/>
      <c r="AF210" s="885"/>
      <c r="AG210" s="886"/>
      <c r="AH210" s="885"/>
      <c r="AI210" s="886"/>
      <c r="AJ210" s="885"/>
      <c r="AK210" s="887"/>
      <c r="AL210" s="304"/>
      <c r="AM210" s="72"/>
      <c r="AN210" s="696" cm="1">
        <f t="array" ref="AN210">K210</f>
        <v>2045</v>
      </c>
      <c r="AO210" s="696" t="s">
        <v>2357</v>
      </c>
      <c r="AP210" s="706" cm="1">
        <f t="array" ref="AP210">AP209</f>
        <v>0</v>
      </c>
      <c r="AQ210" s="507"/>
      <c r="AR210" s="507"/>
    </row>
    <row r="211" spans="1:44" s="880" customFormat="1" ht="14.25" hidden="1" customHeight="1" x14ac:dyDescent="0.15">
      <c r="A211" s="72"/>
      <c r="B211" s="341" t="b">
        <f t="shared" si="12"/>
        <v>0</v>
      </c>
      <c r="C211" s="72"/>
      <c r="D211" s="72"/>
      <c r="E211" s="507">
        <v>15</v>
      </c>
      <c r="F211" s="3" t="str" cm="1">
        <f t="array" aca="1" ref="F211" ca="1">OFFSET(E211,-1,1)</f>
        <v>3</v>
      </c>
      <c r="G211" s="17" cm="1">
        <f t="array" ref="G211">G210</f>
        <v>0</v>
      </c>
      <c r="H211" s="72"/>
      <c r="I211" s="72"/>
      <c r="J211" s="72"/>
      <c r="K211" s="72">
        <f>first_year+22</f>
        <v>2046</v>
      </c>
      <c r="L211" s="72"/>
      <c r="M211" s="72"/>
      <c r="N211" s="72"/>
      <c r="O211" s="72"/>
      <c r="P211" s="72"/>
      <c r="Q211" s="72"/>
      <c r="R211" s="72"/>
      <c r="S211" s="72"/>
      <c r="T211" s="353" t="b" cm="1">
        <f t="array" aca="1" ref="T211" ca="1">T210</f>
        <v>0</v>
      </c>
      <c r="U211" s="72"/>
      <c r="V211" s="72"/>
      <c r="W211" s="72"/>
      <c r="X211" s="990"/>
      <c r="Y211" s="990"/>
      <c r="Z211" s="967"/>
      <c r="AA211" s="1085"/>
      <c r="AB211" s="168" t="str">
        <f t="shared" si="13"/>
        <v>2046 год</v>
      </c>
      <c r="AC211" s="308"/>
      <c r="AD211" s="886"/>
      <c r="AE211" s="885"/>
      <c r="AF211" s="885"/>
      <c r="AG211" s="886"/>
      <c r="AH211" s="885"/>
      <c r="AI211" s="886"/>
      <c r="AJ211" s="885"/>
      <c r="AK211" s="887"/>
      <c r="AL211" s="304"/>
      <c r="AM211" s="72"/>
      <c r="AN211" s="696" cm="1">
        <f t="array" ref="AN211">K211</f>
        <v>2046</v>
      </c>
      <c r="AO211" s="696" t="s">
        <v>2357</v>
      </c>
      <c r="AP211" s="706" cm="1">
        <f t="array" ref="AP211">AP210</f>
        <v>0</v>
      </c>
      <c r="AQ211" s="507"/>
      <c r="AR211" s="507"/>
    </row>
    <row r="212" spans="1:44" s="880" customFormat="1" ht="14.25" hidden="1" customHeight="1" x14ac:dyDescent="0.15">
      <c r="A212" s="72"/>
      <c r="B212" s="341" t="b">
        <f t="shared" si="12"/>
        <v>0</v>
      </c>
      <c r="C212" s="72"/>
      <c r="D212" s="72"/>
      <c r="E212" s="507">
        <v>15</v>
      </c>
      <c r="F212" s="3" t="str" cm="1">
        <f t="array" aca="1" ref="F212" ca="1">OFFSET(E212,-1,1)</f>
        <v>3</v>
      </c>
      <c r="G212" s="17" cm="1">
        <f t="array" ref="G212">G211</f>
        <v>0</v>
      </c>
      <c r="H212" s="72"/>
      <c r="I212" s="72"/>
      <c r="J212" s="72"/>
      <c r="K212" s="72">
        <f>first_year+23</f>
        <v>2047</v>
      </c>
      <c r="L212" s="72"/>
      <c r="M212" s="72"/>
      <c r="N212" s="72"/>
      <c r="O212" s="72"/>
      <c r="P212" s="72"/>
      <c r="Q212" s="72"/>
      <c r="R212" s="72"/>
      <c r="S212" s="72"/>
      <c r="T212" s="353" t="b" cm="1">
        <f t="array" aca="1" ref="T212" ca="1">T211</f>
        <v>0</v>
      </c>
      <c r="U212" s="72"/>
      <c r="V212" s="72"/>
      <c r="W212" s="72"/>
      <c r="X212" s="990"/>
      <c r="Y212" s="990"/>
      <c r="Z212" s="967"/>
      <c r="AA212" s="1085"/>
      <c r="AB212" s="168" t="str">
        <f t="shared" si="13"/>
        <v>2047 год</v>
      </c>
      <c r="AC212" s="308"/>
      <c r="AD212" s="886"/>
      <c r="AE212" s="885"/>
      <c r="AF212" s="885"/>
      <c r="AG212" s="886"/>
      <c r="AH212" s="885"/>
      <c r="AI212" s="886"/>
      <c r="AJ212" s="885"/>
      <c r="AK212" s="887"/>
      <c r="AL212" s="304"/>
      <c r="AM212" s="72"/>
      <c r="AN212" s="696" cm="1">
        <f t="array" ref="AN212">K212</f>
        <v>2047</v>
      </c>
      <c r="AO212" s="696" t="s">
        <v>2357</v>
      </c>
      <c r="AP212" s="706" cm="1">
        <f t="array" ref="AP212">AP211</f>
        <v>0</v>
      </c>
      <c r="AQ212" s="507"/>
      <c r="AR212" s="507"/>
    </row>
    <row r="213" spans="1:44" s="880" customFormat="1" ht="14.25" hidden="1" customHeight="1" x14ac:dyDescent="0.15">
      <c r="A213" s="72"/>
      <c r="B213" s="341" t="b">
        <f t="shared" si="12"/>
        <v>0</v>
      </c>
      <c r="C213" s="72"/>
      <c r="D213" s="72"/>
      <c r="E213" s="507">
        <v>15</v>
      </c>
      <c r="F213" s="3" t="str" cm="1">
        <f t="array" aca="1" ref="F213" ca="1">OFFSET(E213,-1,1)</f>
        <v>3</v>
      </c>
      <c r="G213" s="17" cm="1">
        <f t="array" ref="G213">G212</f>
        <v>0</v>
      </c>
      <c r="H213" s="72"/>
      <c r="I213" s="72"/>
      <c r="J213" s="72"/>
      <c r="K213" s="72">
        <f>first_year+24</f>
        <v>2048</v>
      </c>
      <c r="L213" s="72"/>
      <c r="M213" s="72"/>
      <c r="N213" s="72"/>
      <c r="O213" s="72"/>
      <c r="P213" s="72"/>
      <c r="Q213" s="72"/>
      <c r="R213" s="72"/>
      <c r="S213" s="72"/>
      <c r="T213" s="353" t="b" cm="1">
        <f t="array" aca="1" ref="T213" ca="1">T212</f>
        <v>0</v>
      </c>
      <c r="U213" s="72"/>
      <c r="V213" s="72"/>
      <c r="W213" s="72"/>
      <c r="X213" s="990"/>
      <c r="Y213" s="990"/>
      <c r="Z213" s="967"/>
      <c r="AA213" s="1085"/>
      <c r="AB213" s="168" t="str">
        <f t="shared" si="13"/>
        <v>2048 год</v>
      </c>
      <c r="AC213" s="308"/>
      <c r="AD213" s="886"/>
      <c r="AE213" s="885"/>
      <c r="AF213" s="885"/>
      <c r="AG213" s="886"/>
      <c r="AH213" s="885"/>
      <c r="AI213" s="886"/>
      <c r="AJ213" s="885"/>
      <c r="AK213" s="887"/>
      <c r="AL213" s="304"/>
      <c r="AM213" s="72"/>
      <c r="AN213" s="696" cm="1">
        <f t="array" ref="AN213">K213</f>
        <v>2048</v>
      </c>
      <c r="AO213" s="696" t="s">
        <v>2357</v>
      </c>
      <c r="AP213" s="706" cm="1">
        <f t="array" ref="AP213">AP212</f>
        <v>0</v>
      </c>
      <c r="AQ213" s="507"/>
      <c r="AR213" s="507"/>
    </row>
    <row r="214" spans="1:44" s="880" customFormat="1" ht="14.25" hidden="1" customHeight="1" x14ac:dyDescent="0.15">
      <c r="A214" s="72"/>
      <c r="B214" s="341" t="b">
        <f t="shared" si="12"/>
        <v>0</v>
      </c>
      <c r="C214" s="72"/>
      <c r="D214" s="72"/>
      <c r="E214" s="507">
        <v>15</v>
      </c>
      <c r="F214" s="3" t="str" cm="1">
        <f t="array" aca="1" ref="F214" ca="1">OFFSET(E214,-1,1)</f>
        <v>3</v>
      </c>
      <c r="G214" s="17" cm="1">
        <f t="array" ref="G214">G213</f>
        <v>0</v>
      </c>
      <c r="H214" s="72"/>
      <c r="I214" s="72"/>
      <c r="J214" s="72"/>
      <c r="K214" s="72">
        <f>first_year+25</f>
        <v>2049</v>
      </c>
      <c r="L214" s="72"/>
      <c r="M214" s="72"/>
      <c r="N214" s="72"/>
      <c r="O214" s="72"/>
      <c r="P214" s="72"/>
      <c r="Q214" s="72"/>
      <c r="R214" s="72"/>
      <c r="S214" s="72"/>
      <c r="T214" s="353" t="b" cm="1">
        <f t="array" aca="1" ref="T214" ca="1">T213</f>
        <v>0</v>
      </c>
      <c r="U214" s="72"/>
      <c r="V214" s="72"/>
      <c r="W214" s="72"/>
      <c r="X214" s="990"/>
      <c r="Y214" s="990"/>
      <c r="Z214" s="967"/>
      <c r="AA214" s="1085"/>
      <c r="AB214" s="168" t="str">
        <f t="shared" si="13"/>
        <v>2049 год</v>
      </c>
      <c r="AC214" s="308"/>
      <c r="AD214" s="886"/>
      <c r="AE214" s="885"/>
      <c r="AF214" s="885"/>
      <c r="AG214" s="886"/>
      <c r="AH214" s="885"/>
      <c r="AI214" s="886"/>
      <c r="AJ214" s="885"/>
      <c r="AK214" s="887"/>
      <c r="AL214" s="304"/>
      <c r="AM214" s="72"/>
      <c r="AN214" s="696" cm="1">
        <f t="array" ref="AN214">K214</f>
        <v>2049</v>
      </c>
      <c r="AO214" s="696" t="s">
        <v>2357</v>
      </c>
      <c r="AP214" s="706" cm="1">
        <f t="array" ref="AP214">AP213</f>
        <v>0</v>
      </c>
      <c r="AQ214" s="507"/>
      <c r="AR214" s="507"/>
    </row>
    <row r="215" spans="1:44" s="880" customFormat="1" ht="14.25" hidden="1" customHeight="1" x14ac:dyDescent="0.15">
      <c r="A215" s="72"/>
      <c r="B215" s="341" t="b">
        <f t="shared" si="12"/>
        <v>0</v>
      </c>
      <c r="C215" s="72"/>
      <c r="D215" s="72"/>
      <c r="E215" s="507">
        <v>15</v>
      </c>
      <c r="F215" s="3" t="str" cm="1">
        <f t="array" aca="1" ref="F215" ca="1">OFFSET(E215,-1,1)</f>
        <v>3</v>
      </c>
      <c r="G215" s="17" cm="1">
        <f t="array" ref="G215">G214</f>
        <v>0</v>
      </c>
      <c r="H215" s="72"/>
      <c r="I215" s="72"/>
      <c r="J215" s="72"/>
      <c r="K215" s="72">
        <f>first_year+26</f>
        <v>2050</v>
      </c>
      <c r="L215" s="72"/>
      <c r="M215" s="72"/>
      <c r="N215" s="72"/>
      <c r="O215" s="72"/>
      <c r="P215" s="72"/>
      <c r="Q215" s="72"/>
      <c r="R215" s="72"/>
      <c r="S215" s="72"/>
      <c r="T215" s="353" t="b" cm="1">
        <f t="array" aca="1" ref="T215" ca="1">T214</f>
        <v>0</v>
      </c>
      <c r="U215" s="72"/>
      <c r="V215" s="72"/>
      <c r="W215" s="72"/>
      <c r="X215" s="990"/>
      <c r="Y215" s="990"/>
      <c r="Z215" s="967"/>
      <c r="AA215" s="1085"/>
      <c r="AB215" s="168" t="str">
        <f t="shared" si="13"/>
        <v>2050 год</v>
      </c>
      <c r="AC215" s="308"/>
      <c r="AD215" s="886"/>
      <c r="AE215" s="885"/>
      <c r="AF215" s="885"/>
      <c r="AG215" s="886"/>
      <c r="AH215" s="885"/>
      <c r="AI215" s="886"/>
      <c r="AJ215" s="885"/>
      <c r="AK215" s="887"/>
      <c r="AL215" s="304"/>
      <c r="AM215" s="72"/>
      <c r="AN215" s="696" cm="1">
        <f t="array" ref="AN215">K215</f>
        <v>2050</v>
      </c>
      <c r="AO215" s="696" t="s">
        <v>2357</v>
      </c>
      <c r="AP215" s="706" cm="1">
        <f t="array" ref="AP215">AP214</f>
        <v>0</v>
      </c>
      <c r="AQ215" s="507"/>
      <c r="AR215" s="507"/>
    </row>
    <row r="216" spans="1:44" s="880" customFormat="1" ht="14.25" hidden="1" customHeight="1" x14ac:dyDescent="0.15">
      <c r="A216" s="72"/>
      <c r="B216" s="341" t="b">
        <f t="shared" si="12"/>
        <v>0</v>
      </c>
      <c r="C216" s="72"/>
      <c r="D216" s="72"/>
      <c r="E216" s="507">
        <v>15</v>
      </c>
      <c r="F216" s="3" t="str" cm="1">
        <f t="array" aca="1" ref="F216" ca="1">OFFSET(E216,-1,1)</f>
        <v>3</v>
      </c>
      <c r="G216" s="17" cm="1">
        <f t="array" ref="G216">G215</f>
        <v>0</v>
      </c>
      <c r="H216" s="72"/>
      <c r="I216" s="72"/>
      <c r="J216" s="72"/>
      <c r="K216" s="72">
        <f>first_year+27</f>
        <v>2051</v>
      </c>
      <c r="L216" s="72"/>
      <c r="M216" s="72"/>
      <c r="N216" s="72"/>
      <c r="O216" s="72"/>
      <c r="P216" s="72"/>
      <c r="Q216" s="72"/>
      <c r="R216" s="72"/>
      <c r="S216" s="72"/>
      <c r="T216" s="353" t="b" cm="1">
        <f t="array" aca="1" ref="T216" ca="1">T215</f>
        <v>0</v>
      </c>
      <c r="U216" s="72"/>
      <c r="V216" s="72"/>
      <c r="W216" s="72"/>
      <c r="X216" s="990"/>
      <c r="Y216" s="990"/>
      <c r="Z216" s="967"/>
      <c r="AA216" s="1085"/>
      <c r="AB216" s="168" t="str">
        <f t="shared" si="13"/>
        <v>2051 год</v>
      </c>
      <c r="AC216" s="308"/>
      <c r="AD216" s="886"/>
      <c r="AE216" s="885"/>
      <c r="AF216" s="885"/>
      <c r="AG216" s="886"/>
      <c r="AH216" s="885"/>
      <c r="AI216" s="886"/>
      <c r="AJ216" s="885"/>
      <c r="AK216" s="887"/>
      <c r="AL216" s="304"/>
      <c r="AM216" s="72"/>
      <c r="AN216" s="696" cm="1">
        <f t="array" ref="AN216">K216</f>
        <v>2051</v>
      </c>
      <c r="AO216" s="696" t="s">
        <v>2357</v>
      </c>
      <c r="AP216" s="706" cm="1">
        <f t="array" ref="AP216">AP215</f>
        <v>0</v>
      </c>
      <c r="AQ216" s="507"/>
      <c r="AR216" s="507"/>
    </row>
    <row r="217" spans="1:44" s="880" customFormat="1" ht="14.25" hidden="1" customHeight="1" x14ac:dyDescent="0.15">
      <c r="A217" s="72"/>
      <c r="B217" s="341" t="b">
        <f t="shared" si="12"/>
        <v>0</v>
      </c>
      <c r="C217" s="72"/>
      <c r="D217" s="72"/>
      <c r="E217" s="507">
        <v>15</v>
      </c>
      <c r="F217" s="3" t="str" cm="1">
        <f t="array" aca="1" ref="F217" ca="1">OFFSET(E217,-1,1)</f>
        <v>3</v>
      </c>
      <c r="G217" s="17" cm="1">
        <f t="array" ref="G217">G216</f>
        <v>0</v>
      </c>
      <c r="H217" s="72"/>
      <c r="I217" s="72"/>
      <c r="J217" s="72"/>
      <c r="K217" s="72">
        <f>first_year+28</f>
        <v>2052</v>
      </c>
      <c r="L217" s="72"/>
      <c r="M217" s="72"/>
      <c r="N217" s="72"/>
      <c r="O217" s="72"/>
      <c r="P217" s="72"/>
      <c r="Q217" s="72"/>
      <c r="R217" s="72"/>
      <c r="S217" s="72"/>
      <c r="T217" s="353" t="b" cm="1">
        <f t="array" aca="1" ref="T217" ca="1">T216</f>
        <v>0</v>
      </c>
      <c r="U217" s="72"/>
      <c r="V217" s="72"/>
      <c r="W217" s="72"/>
      <c r="X217" s="990"/>
      <c r="Y217" s="990"/>
      <c r="Z217" s="967"/>
      <c r="AA217" s="1085"/>
      <c r="AB217" s="168" t="str">
        <f t="shared" si="13"/>
        <v>2052 год</v>
      </c>
      <c r="AC217" s="308"/>
      <c r="AD217" s="886"/>
      <c r="AE217" s="885"/>
      <c r="AF217" s="885"/>
      <c r="AG217" s="886"/>
      <c r="AH217" s="885"/>
      <c r="AI217" s="886"/>
      <c r="AJ217" s="885"/>
      <c r="AK217" s="887"/>
      <c r="AL217" s="304"/>
      <c r="AM217" s="72"/>
      <c r="AN217" s="696" cm="1">
        <f t="array" ref="AN217">K217</f>
        <v>2052</v>
      </c>
      <c r="AO217" s="696" t="s">
        <v>2357</v>
      </c>
      <c r="AP217" s="706" cm="1">
        <f t="array" ref="AP217">AP216</f>
        <v>0</v>
      </c>
      <c r="AQ217" s="507"/>
      <c r="AR217" s="507"/>
    </row>
    <row r="218" spans="1:44" s="880" customFormat="1" ht="14.25" hidden="1" customHeight="1" x14ac:dyDescent="0.15">
      <c r="A218" s="72"/>
      <c r="B218" s="341" t="b">
        <f t="shared" si="12"/>
        <v>0</v>
      </c>
      <c r="C218" s="72"/>
      <c r="D218" s="72"/>
      <c r="E218" s="507">
        <v>15</v>
      </c>
      <c r="F218" s="3" t="str" cm="1">
        <f t="array" aca="1" ref="F218" ca="1">OFFSET(E218,-1,1)</f>
        <v>3</v>
      </c>
      <c r="G218" s="17" cm="1">
        <f t="array" ref="G218">G217</f>
        <v>0</v>
      </c>
      <c r="H218" s="72"/>
      <c r="I218" s="72"/>
      <c r="J218" s="72"/>
      <c r="K218" s="72">
        <f>first_year+29</f>
        <v>2053</v>
      </c>
      <c r="L218" s="72"/>
      <c r="M218" s="72"/>
      <c r="N218" s="72"/>
      <c r="O218" s="72"/>
      <c r="P218" s="72"/>
      <c r="Q218" s="72"/>
      <c r="R218" s="72"/>
      <c r="S218" s="72"/>
      <c r="T218" s="353" t="b" cm="1">
        <f t="array" aca="1" ref="T218" ca="1">T217</f>
        <v>0</v>
      </c>
      <c r="U218" s="72"/>
      <c r="V218" s="72"/>
      <c r="W218" s="72"/>
      <c r="X218" s="990"/>
      <c r="Y218" s="990"/>
      <c r="Z218" s="967"/>
      <c r="AA218" s="1085"/>
      <c r="AB218" s="168" t="str">
        <f t="shared" si="13"/>
        <v>2053 год</v>
      </c>
      <c r="AC218" s="308"/>
      <c r="AD218" s="886"/>
      <c r="AE218" s="885"/>
      <c r="AF218" s="885"/>
      <c r="AG218" s="886"/>
      <c r="AH218" s="885"/>
      <c r="AI218" s="886"/>
      <c r="AJ218" s="885"/>
      <c r="AK218" s="887"/>
      <c r="AL218" s="304"/>
      <c r="AM218" s="72"/>
      <c r="AN218" s="696" cm="1">
        <f t="array" ref="AN218">K218</f>
        <v>2053</v>
      </c>
      <c r="AO218" s="696" t="s">
        <v>2357</v>
      </c>
      <c r="AP218" s="706" cm="1">
        <f t="array" ref="AP218">AP217</f>
        <v>0</v>
      </c>
      <c r="AQ218" s="507"/>
      <c r="AR218" s="507"/>
    </row>
    <row r="219" spans="1:44" s="880" customFormat="1" ht="14.25" hidden="1" customHeight="1" x14ac:dyDescent="0.15">
      <c r="A219" s="72"/>
      <c r="B219" s="341" t="b">
        <f t="shared" si="12"/>
        <v>0</v>
      </c>
      <c r="C219" s="72"/>
      <c r="D219" s="72"/>
      <c r="E219" s="507">
        <v>15</v>
      </c>
      <c r="F219" s="3" t="str" cm="1">
        <f t="array" aca="1" ref="F219" ca="1">OFFSET(E219,-1,1)</f>
        <v>3</v>
      </c>
      <c r="G219" s="17" cm="1">
        <f t="array" ref="G219">G218</f>
        <v>0</v>
      </c>
      <c r="H219" s="72"/>
      <c r="I219" s="72"/>
      <c r="J219" s="72"/>
      <c r="K219" s="72">
        <f>first_year+30</f>
        <v>2054</v>
      </c>
      <c r="L219" s="72"/>
      <c r="M219" s="72"/>
      <c r="N219" s="72"/>
      <c r="O219" s="72"/>
      <c r="P219" s="72"/>
      <c r="Q219" s="72"/>
      <c r="R219" s="72"/>
      <c r="S219" s="72"/>
      <c r="T219" s="353" t="b" cm="1">
        <f t="array" aca="1" ref="T219" ca="1">T218</f>
        <v>0</v>
      </c>
      <c r="U219" s="72"/>
      <c r="V219" s="72"/>
      <c r="W219" s="72"/>
      <c r="X219" s="990"/>
      <c r="Y219" s="990"/>
      <c r="Z219" s="967"/>
      <c r="AA219" s="1085"/>
      <c r="AB219" s="168" t="str">
        <f t="shared" si="13"/>
        <v>2054 год</v>
      </c>
      <c r="AC219" s="308"/>
      <c r="AD219" s="886"/>
      <c r="AE219" s="885"/>
      <c r="AF219" s="885"/>
      <c r="AG219" s="886"/>
      <c r="AH219" s="885"/>
      <c r="AI219" s="886"/>
      <c r="AJ219" s="885"/>
      <c r="AK219" s="887"/>
      <c r="AL219" s="304"/>
      <c r="AM219" s="72"/>
      <c r="AN219" s="696" cm="1">
        <f t="array" ref="AN219">K219</f>
        <v>2054</v>
      </c>
      <c r="AO219" s="696" t="s">
        <v>2357</v>
      </c>
      <c r="AP219" s="706" cm="1">
        <f t="array" ref="AP219">AP218</f>
        <v>0</v>
      </c>
      <c r="AQ219" s="507"/>
      <c r="AR219" s="507"/>
    </row>
    <row r="220" spans="1:44" s="880" customFormat="1" ht="14.25" hidden="1" customHeight="1" x14ac:dyDescent="0.15">
      <c r="A220" s="72"/>
      <c r="B220" s="341" t="b">
        <f t="shared" si="12"/>
        <v>0</v>
      </c>
      <c r="C220" s="72"/>
      <c r="D220" s="72"/>
      <c r="E220" s="507">
        <v>15</v>
      </c>
      <c r="F220" s="3" t="str" cm="1">
        <f t="array" aca="1" ref="F220" ca="1">OFFSET(E220,-1,1)</f>
        <v>3</v>
      </c>
      <c r="G220" s="17" cm="1">
        <f t="array" ref="G220">G219</f>
        <v>0</v>
      </c>
      <c r="H220" s="72"/>
      <c r="I220" s="72"/>
      <c r="J220" s="72"/>
      <c r="K220" s="72">
        <f>first_year+31</f>
        <v>2055</v>
      </c>
      <c r="L220" s="72"/>
      <c r="M220" s="72"/>
      <c r="N220" s="72"/>
      <c r="O220" s="72"/>
      <c r="P220" s="72"/>
      <c r="Q220" s="72"/>
      <c r="R220" s="72"/>
      <c r="S220" s="72"/>
      <c r="T220" s="353" t="b" cm="1">
        <f t="array" aca="1" ref="T220" ca="1">T219</f>
        <v>0</v>
      </c>
      <c r="U220" s="72"/>
      <c r="V220" s="72"/>
      <c r="W220" s="72"/>
      <c r="X220" s="990"/>
      <c r="Y220" s="990"/>
      <c r="Z220" s="967"/>
      <c r="AA220" s="1085"/>
      <c r="AB220" s="168" t="str">
        <f t="shared" si="13"/>
        <v>2055 год</v>
      </c>
      <c r="AC220" s="308"/>
      <c r="AD220" s="886"/>
      <c r="AE220" s="885"/>
      <c r="AF220" s="885"/>
      <c r="AG220" s="886"/>
      <c r="AH220" s="885"/>
      <c r="AI220" s="886"/>
      <c r="AJ220" s="885"/>
      <c r="AK220" s="887"/>
      <c r="AL220" s="304"/>
      <c r="AM220" s="72"/>
      <c r="AN220" s="696" cm="1">
        <f t="array" ref="AN220">K220</f>
        <v>2055</v>
      </c>
      <c r="AO220" s="696" t="s">
        <v>2357</v>
      </c>
      <c r="AP220" s="706" cm="1">
        <f t="array" ref="AP220">AP219</f>
        <v>0</v>
      </c>
      <c r="AQ220" s="507"/>
      <c r="AR220" s="507"/>
    </row>
    <row r="221" spans="1:44" s="880" customFormat="1" ht="14.25" hidden="1" customHeight="1" x14ac:dyDescent="0.15">
      <c r="A221" s="72"/>
      <c r="B221" s="341" t="b">
        <f t="shared" ref="B221:B238" si="14">K221&lt;first_year+PERIOD_LENGTH</f>
        <v>0</v>
      </c>
      <c r="C221" s="72"/>
      <c r="D221" s="72"/>
      <c r="E221" s="507">
        <v>15</v>
      </c>
      <c r="F221" s="3" t="str" cm="1">
        <f t="array" aca="1" ref="F221" ca="1">OFFSET(E221,-1,1)</f>
        <v>3</v>
      </c>
      <c r="G221" s="17" cm="1">
        <f t="array" ref="G221">G220</f>
        <v>0</v>
      </c>
      <c r="H221" s="72"/>
      <c r="I221" s="72"/>
      <c r="J221" s="72"/>
      <c r="K221" s="72">
        <f>first_year+32</f>
        <v>2056</v>
      </c>
      <c r="L221" s="72"/>
      <c r="M221" s="72"/>
      <c r="N221" s="72"/>
      <c r="O221" s="72"/>
      <c r="P221" s="72"/>
      <c r="Q221" s="72"/>
      <c r="R221" s="72"/>
      <c r="S221" s="72"/>
      <c r="T221" s="353" t="b" cm="1">
        <f t="array" aca="1" ref="T221" ca="1">T220</f>
        <v>0</v>
      </c>
      <c r="U221" s="72"/>
      <c r="V221" s="72"/>
      <c r="W221" s="72"/>
      <c r="X221" s="990"/>
      <c r="Y221" s="990"/>
      <c r="Z221" s="967"/>
      <c r="AA221" s="1085"/>
      <c r="AB221" s="168" t="str">
        <f t="shared" ref="AB221:AB238" si="15">K221&amp;" год"</f>
        <v>2056 год</v>
      </c>
      <c r="AC221" s="308"/>
      <c r="AD221" s="886"/>
      <c r="AE221" s="885"/>
      <c r="AF221" s="885"/>
      <c r="AG221" s="886"/>
      <c r="AH221" s="885"/>
      <c r="AI221" s="886"/>
      <c r="AJ221" s="885"/>
      <c r="AK221" s="887"/>
      <c r="AL221" s="304"/>
      <c r="AM221" s="72"/>
      <c r="AN221" s="696" cm="1">
        <f t="array" ref="AN221">K221</f>
        <v>2056</v>
      </c>
      <c r="AO221" s="696" t="s">
        <v>2357</v>
      </c>
      <c r="AP221" s="706" cm="1">
        <f t="array" ref="AP221">AP220</f>
        <v>0</v>
      </c>
      <c r="AQ221" s="507"/>
      <c r="AR221" s="507"/>
    </row>
    <row r="222" spans="1:44" s="880" customFormat="1" ht="14.25" hidden="1" customHeight="1" x14ac:dyDescent="0.15">
      <c r="A222" s="72"/>
      <c r="B222" s="341" t="b">
        <f t="shared" si="14"/>
        <v>0</v>
      </c>
      <c r="C222" s="72"/>
      <c r="D222" s="72"/>
      <c r="E222" s="507">
        <v>15</v>
      </c>
      <c r="F222" s="3" t="str" cm="1">
        <f t="array" aca="1" ref="F222" ca="1">OFFSET(E222,-1,1)</f>
        <v>3</v>
      </c>
      <c r="G222" s="17" cm="1">
        <f t="array" ref="G222">G221</f>
        <v>0</v>
      </c>
      <c r="H222" s="72"/>
      <c r="I222" s="72"/>
      <c r="J222" s="72"/>
      <c r="K222" s="72">
        <f>first_year+33</f>
        <v>2057</v>
      </c>
      <c r="L222" s="72"/>
      <c r="M222" s="72"/>
      <c r="N222" s="72"/>
      <c r="O222" s="72"/>
      <c r="P222" s="72"/>
      <c r="Q222" s="72"/>
      <c r="R222" s="72"/>
      <c r="S222" s="72"/>
      <c r="T222" s="353" t="b" cm="1">
        <f t="array" aca="1" ref="T222" ca="1">T221</f>
        <v>0</v>
      </c>
      <c r="U222" s="72"/>
      <c r="V222" s="72"/>
      <c r="W222" s="72"/>
      <c r="X222" s="990"/>
      <c r="Y222" s="990"/>
      <c r="Z222" s="967"/>
      <c r="AA222" s="1085"/>
      <c r="AB222" s="168" t="str">
        <f t="shared" si="15"/>
        <v>2057 год</v>
      </c>
      <c r="AC222" s="308"/>
      <c r="AD222" s="886"/>
      <c r="AE222" s="885"/>
      <c r="AF222" s="885"/>
      <c r="AG222" s="886"/>
      <c r="AH222" s="885"/>
      <c r="AI222" s="886"/>
      <c r="AJ222" s="885"/>
      <c r="AK222" s="887"/>
      <c r="AL222" s="304"/>
      <c r="AM222" s="72"/>
      <c r="AN222" s="696" cm="1">
        <f t="array" ref="AN222">K222</f>
        <v>2057</v>
      </c>
      <c r="AO222" s="696" t="s">
        <v>2357</v>
      </c>
      <c r="AP222" s="706" cm="1">
        <f t="array" ref="AP222">AP221</f>
        <v>0</v>
      </c>
      <c r="AQ222" s="507"/>
      <c r="AR222" s="507"/>
    </row>
    <row r="223" spans="1:44" s="880" customFormat="1" ht="14.25" hidden="1" customHeight="1" x14ac:dyDescent="0.15">
      <c r="A223" s="72"/>
      <c r="B223" s="341" t="b">
        <f t="shared" si="14"/>
        <v>0</v>
      </c>
      <c r="C223" s="72"/>
      <c r="D223" s="72"/>
      <c r="E223" s="507">
        <v>15</v>
      </c>
      <c r="F223" s="3" t="str" cm="1">
        <f t="array" aca="1" ref="F223" ca="1">OFFSET(E223,-1,1)</f>
        <v>3</v>
      </c>
      <c r="G223" s="17" cm="1">
        <f t="array" ref="G223">G222</f>
        <v>0</v>
      </c>
      <c r="H223" s="72"/>
      <c r="I223" s="72"/>
      <c r="J223" s="72"/>
      <c r="K223" s="72">
        <f>first_year+34</f>
        <v>2058</v>
      </c>
      <c r="L223" s="72"/>
      <c r="M223" s="72"/>
      <c r="N223" s="72"/>
      <c r="O223" s="72"/>
      <c r="P223" s="72"/>
      <c r="Q223" s="72"/>
      <c r="R223" s="72"/>
      <c r="S223" s="72"/>
      <c r="T223" s="353" t="b" cm="1">
        <f t="array" aca="1" ref="T223" ca="1">T222</f>
        <v>0</v>
      </c>
      <c r="U223" s="72"/>
      <c r="V223" s="72"/>
      <c r="W223" s="72"/>
      <c r="X223" s="990"/>
      <c r="Y223" s="990"/>
      <c r="Z223" s="967"/>
      <c r="AA223" s="1085"/>
      <c r="AB223" s="168" t="str">
        <f t="shared" si="15"/>
        <v>2058 год</v>
      </c>
      <c r="AC223" s="308"/>
      <c r="AD223" s="886"/>
      <c r="AE223" s="885"/>
      <c r="AF223" s="885"/>
      <c r="AG223" s="886"/>
      <c r="AH223" s="885"/>
      <c r="AI223" s="886"/>
      <c r="AJ223" s="885"/>
      <c r="AK223" s="887"/>
      <c r="AL223" s="304"/>
      <c r="AM223" s="72"/>
      <c r="AN223" s="696" cm="1">
        <f t="array" ref="AN223">K223</f>
        <v>2058</v>
      </c>
      <c r="AO223" s="696" t="s">
        <v>2357</v>
      </c>
      <c r="AP223" s="706" cm="1">
        <f t="array" ref="AP223">AP222</f>
        <v>0</v>
      </c>
      <c r="AQ223" s="507"/>
      <c r="AR223" s="507"/>
    </row>
    <row r="224" spans="1:44" s="880" customFormat="1" ht="14.25" hidden="1" customHeight="1" x14ac:dyDescent="0.15">
      <c r="A224" s="72"/>
      <c r="B224" s="341" t="b">
        <f t="shared" si="14"/>
        <v>0</v>
      </c>
      <c r="C224" s="72"/>
      <c r="D224" s="72"/>
      <c r="E224" s="507">
        <v>15</v>
      </c>
      <c r="F224" s="3" t="str" cm="1">
        <f t="array" aca="1" ref="F224" ca="1">OFFSET(E224,-1,1)</f>
        <v>3</v>
      </c>
      <c r="G224" s="17" cm="1">
        <f t="array" ref="G224">G223</f>
        <v>0</v>
      </c>
      <c r="H224" s="72"/>
      <c r="I224" s="72"/>
      <c r="J224" s="72"/>
      <c r="K224" s="72">
        <f>first_year+35</f>
        <v>2059</v>
      </c>
      <c r="L224" s="72"/>
      <c r="M224" s="72"/>
      <c r="N224" s="72"/>
      <c r="O224" s="72"/>
      <c r="P224" s="72"/>
      <c r="Q224" s="72"/>
      <c r="R224" s="72"/>
      <c r="S224" s="72"/>
      <c r="T224" s="353" t="b" cm="1">
        <f t="array" aca="1" ref="T224" ca="1">T223</f>
        <v>0</v>
      </c>
      <c r="U224" s="72"/>
      <c r="V224" s="72"/>
      <c r="W224" s="72"/>
      <c r="X224" s="990"/>
      <c r="Y224" s="990"/>
      <c r="Z224" s="967"/>
      <c r="AA224" s="1085"/>
      <c r="AB224" s="168" t="str">
        <f t="shared" si="15"/>
        <v>2059 год</v>
      </c>
      <c r="AC224" s="308"/>
      <c r="AD224" s="886"/>
      <c r="AE224" s="885"/>
      <c r="AF224" s="885"/>
      <c r="AG224" s="886"/>
      <c r="AH224" s="885"/>
      <c r="AI224" s="886"/>
      <c r="AJ224" s="885"/>
      <c r="AK224" s="887"/>
      <c r="AL224" s="304"/>
      <c r="AM224" s="72"/>
      <c r="AN224" s="696" cm="1">
        <f t="array" ref="AN224">K224</f>
        <v>2059</v>
      </c>
      <c r="AO224" s="696" t="s">
        <v>2357</v>
      </c>
      <c r="AP224" s="706" cm="1">
        <f t="array" ref="AP224">AP223</f>
        <v>0</v>
      </c>
      <c r="AQ224" s="507"/>
      <c r="AR224" s="507"/>
    </row>
    <row r="225" spans="1:44" s="880" customFormat="1" ht="14.25" hidden="1" customHeight="1" x14ac:dyDescent="0.15">
      <c r="A225" s="72"/>
      <c r="B225" s="341" t="b">
        <f t="shared" si="14"/>
        <v>0</v>
      </c>
      <c r="C225" s="72"/>
      <c r="D225" s="72"/>
      <c r="E225" s="507">
        <v>15</v>
      </c>
      <c r="F225" s="3" t="str" cm="1">
        <f t="array" aca="1" ref="F225" ca="1">OFFSET(E225,-1,1)</f>
        <v>3</v>
      </c>
      <c r="G225" s="17" cm="1">
        <f t="array" ref="G225">G224</f>
        <v>0</v>
      </c>
      <c r="H225" s="72"/>
      <c r="I225" s="72"/>
      <c r="J225" s="72"/>
      <c r="K225" s="72">
        <f>first_year+36</f>
        <v>2060</v>
      </c>
      <c r="L225" s="72"/>
      <c r="M225" s="72"/>
      <c r="N225" s="72"/>
      <c r="O225" s="72"/>
      <c r="P225" s="72"/>
      <c r="Q225" s="72"/>
      <c r="R225" s="72"/>
      <c r="S225" s="72"/>
      <c r="T225" s="353" t="b" cm="1">
        <f t="array" aca="1" ref="T225" ca="1">T224</f>
        <v>0</v>
      </c>
      <c r="U225" s="72"/>
      <c r="V225" s="72"/>
      <c r="W225" s="72"/>
      <c r="X225" s="990"/>
      <c r="Y225" s="990"/>
      <c r="Z225" s="967"/>
      <c r="AA225" s="1085"/>
      <c r="AB225" s="168" t="str">
        <f t="shared" si="15"/>
        <v>2060 год</v>
      </c>
      <c r="AC225" s="308"/>
      <c r="AD225" s="886"/>
      <c r="AE225" s="885"/>
      <c r="AF225" s="885"/>
      <c r="AG225" s="886"/>
      <c r="AH225" s="885"/>
      <c r="AI225" s="886"/>
      <c r="AJ225" s="885"/>
      <c r="AK225" s="887"/>
      <c r="AL225" s="304"/>
      <c r="AM225" s="72"/>
      <c r="AN225" s="696" cm="1">
        <f t="array" ref="AN225">K225</f>
        <v>2060</v>
      </c>
      <c r="AO225" s="696" t="s">
        <v>2357</v>
      </c>
      <c r="AP225" s="706" cm="1">
        <f t="array" ref="AP225">AP224</f>
        <v>0</v>
      </c>
      <c r="AQ225" s="507"/>
      <c r="AR225" s="507"/>
    </row>
    <row r="226" spans="1:44" s="880" customFormat="1" ht="14.25" hidden="1" customHeight="1" x14ac:dyDescent="0.15">
      <c r="A226" s="72"/>
      <c r="B226" s="341" t="b">
        <f t="shared" si="14"/>
        <v>0</v>
      </c>
      <c r="C226" s="72"/>
      <c r="D226" s="72"/>
      <c r="E226" s="507">
        <v>15</v>
      </c>
      <c r="F226" s="3" t="str" cm="1">
        <f t="array" aca="1" ref="F226" ca="1">OFFSET(E226,-1,1)</f>
        <v>3</v>
      </c>
      <c r="G226" s="17" cm="1">
        <f t="array" ref="G226">G225</f>
        <v>0</v>
      </c>
      <c r="H226" s="72"/>
      <c r="I226" s="72"/>
      <c r="J226" s="72"/>
      <c r="K226" s="72">
        <f>first_year+37</f>
        <v>2061</v>
      </c>
      <c r="L226" s="72"/>
      <c r="M226" s="72"/>
      <c r="N226" s="72"/>
      <c r="O226" s="72"/>
      <c r="P226" s="72"/>
      <c r="Q226" s="72"/>
      <c r="R226" s="72"/>
      <c r="S226" s="72"/>
      <c r="T226" s="353" t="b" cm="1">
        <f t="array" aca="1" ref="T226" ca="1">T225</f>
        <v>0</v>
      </c>
      <c r="U226" s="72"/>
      <c r="V226" s="72"/>
      <c r="W226" s="72"/>
      <c r="X226" s="990"/>
      <c r="Y226" s="990"/>
      <c r="Z226" s="967"/>
      <c r="AA226" s="1085"/>
      <c r="AB226" s="168" t="str">
        <f t="shared" si="15"/>
        <v>2061 год</v>
      </c>
      <c r="AC226" s="308"/>
      <c r="AD226" s="886"/>
      <c r="AE226" s="885"/>
      <c r="AF226" s="885"/>
      <c r="AG226" s="886"/>
      <c r="AH226" s="885"/>
      <c r="AI226" s="886"/>
      <c r="AJ226" s="885"/>
      <c r="AK226" s="887"/>
      <c r="AL226" s="304"/>
      <c r="AM226" s="72"/>
      <c r="AN226" s="696" cm="1">
        <f t="array" ref="AN226">K226</f>
        <v>2061</v>
      </c>
      <c r="AO226" s="696" t="s">
        <v>2357</v>
      </c>
      <c r="AP226" s="706" cm="1">
        <f t="array" ref="AP226">AP225</f>
        <v>0</v>
      </c>
      <c r="AQ226" s="507"/>
      <c r="AR226" s="507"/>
    </row>
    <row r="227" spans="1:44" s="880" customFormat="1" ht="14.25" hidden="1" customHeight="1" x14ac:dyDescent="0.15">
      <c r="A227" s="72"/>
      <c r="B227" s="341" t="b">
        <f t="shared" si="14"/>
        <v>0</v>
      </c>
      <c r="C227" s="72"/>
      <c r="D227" s="72"/>
      <c r="E227" s="507">
        <v>15</v>
      </c>
      <c r="F227" s="3" t="str" cm="1">
        <f t="array" aca="1" ref="F227" ca="1">OFFSET(E227,-1,1)</f>
        <v>3</v>
      </c>
      <c r="G227" s="17" cm="1">
        <f t="array" ref="G227">G226</f>
        <v>0</v>
      </c>
      <c r="H227" s="72"/>
      <c r="I227" s="72"/>
      <c r="J227" s="72"/>
      <c r="K227" s="72">
        <f>first_year+38</f>
        <v>2062</v>
      </c>
      <c r="L227" s="72"/>
      <c r="M227" s="72"/>
      <c r="N227" s="72"/>
      <c r="O227" s="72"/>
      <c r="P227" s="72"/>
      <c r="Q227" s="72"/>
      <c r="R227" s="72"/>
      <c r="S227" s="72"/>
      <c r="T227" s="353" t="b" cm="1">
        <f t="array" aca="1" ref="T227" ca="1">T226</f>
        <v>0</v>
      </c>
      <c r="U227" s="72"/>
      <c r="V227" s="72"/>
      <c r="W227" s="72"/>
      <c r="X227" s="990"/>
      <c r="Y227" s="990"/>
      <c r="Z227" s="967"/>
      <c r="AA227" s="1085"/>
      <c r="AB227" s="168" t="str">
        <f t="shared" si="15"/>
        <v>2062 год</v>
      </c>
      <c r="AC227" s="308"/>
      <c r="AD227" s="886"/>
      <c r="AE227" s="885"/>
      <c r="AF227" s="885"/>
      <c r="AG227" s="886"/>
      <c r="AH227" s="885"/>
      <c r="AI227" s="886"/>
      <c r="AJ227" s="885"/>
      <c r="AK227" s="887"/>
      <c r="AL227" s="304"/>
      <c r="AM227" s="72"/>
      <c r="AN227" s="696" cm="1">
        <f t="array" ref="AN227">K227</f>
        <v>2062</v>
      </c>
      <c r="AO227" s="696" t="s">
        <v>2357</v>
      </c>
      <c r="AP227" s="706" cm="1">
        <f t="array" ref="AP227">AP226</f>
        <v>0</v>
      </c>
      <c r="AQ227" s="507"/>
      <c r="AR227" s="507"/>
    </row>
    <row r="228" spans="1:44" s="880" customFormat="1" ht="14.25" hidden="1" customHeight="1" x14ac:dyDescent="0.15">
      <c r="A228" s="72"/>
      <c r="B228" s="341" t="b">
        <f t="shared" si="14"/>
        <v>0</v>
      </c>
      <c r="C228" s="72"/>
      <c r="D228" s="72"/>
      <c r="E228" s="507">
        <v>15</v>
      </c>
      <c r="F228" s="3" t="str" cm="1">
        <f t="array" aca="1" ref="F228" ca="1">OFFSET(E228,-1,1)</f>
        <v>3</v>
      </c>
      <c r="G228" s="17" cm="1">
        <f t="array" ref="G228">G227</f>
        <v>0</v>
      </c>
      <c r="H228" s="72"/>
      <c r="I228" s="72"/>
      <c r="J228" s="72"/>
      <c r="K228" s="72">
        <f>first_year+39</f>
        <v>2063</v>
      </c>
      <c r="L228" s="72"/>
      <c r="M228" s="72"/>
      <c r="N228" s="72"/>
      <c r="O228" s="72"/>
      <c r="P228" s="72"/>
      <c r="Q228" s="72"/>
      <c r="R228" s="72"/>
      <c r="S228" s="72"/>
      <c r="T228" s="353" t="b" cm="1">
        <f t="array" aca="1" ref="T228" ca="1">T227</f>
        <v>0</v>
      </c>
      <c r="U228" s="72"/>
      <c r="V228" s="72"/>
      <c r="W228" s="72"/>
      <c r="X228" s="990"/>
      <c r="Y228" s="990"/>
      <c r="Z228" s="967"/>
      <c r="AA228" s="1085"/>
      <c r="AB228" s="168" t="str">
        <f t="shared" si="15"/>
        <v>2063 год</v>
      </c>
      <c r="AC228" s="308"/>
      <c r="AD228" s="886"/>
      <c r="AE228" s="885"/>
      <c r="AF228" s="885"/>
      <c r="AG228" s="886"/>
      <c r="AH228" s="885"/>
      <c r="AI228" s="886"/>
      <c r="AJ228" s="885"/>
      <c r="AK228" s="887"/>
      <c r="AL228" s="304"/>
      <c r="AM228" s="72"/>
      <c r="AN228" s="696" cm="1">
        <f t="array" ref="AN228">K228</f>
        <v>2063</v>
      </c>
      <c r="AO228" s="696" t="s">
        <v>2357</v>
      </c>
      <c r="AP228" s="706" cm="1">
        <f t="array" ref="AP228">AP227</f>
        <v>0</v>
      </c>
      <c r="AQ228" s="507"/>
      <c r="AR228" s="507"/>
    </row>
    <row r="229" spans="1:44" s="880" customFormat="1" ht="14.25" hidden="1" customHeight="1" x14ac:dyDescent="0.15">
      <c r="A229" s="72"/>
      <c r="B229" s="341" t="b">
        <f t="shared" si="14"/>
        <v>0</v>
      </c>
      <c r="C229" s="72"/>
      <c r="D229" s="72"/>
      <c r="E229" s="507">
        <v>15</v>
      </c>
      <c r="F229" s="3" t="str" cm="1">
        <f t="array" aca="1" ref="F229" ca="1">OFFSET(E229,-1,1)</f>
        <v>3</v>
      </c>
      <c r="G229" s="17" cm="1">
        <f t="array" ref="G229">G228</f>
        <v>0</v>
      </c>
      <c r="H229" s="72"/>
      <c r="I229" s="72"/>
      <c r="J229" s="72"/>
      <c r="K229" s="72">
        <f>first_year+40</f>
        <v>2064</v>
      </c>
      <c r="L229" s="72"/>
      <c r="M229" s="72"/>
      <c r="N229" s="72"/>
      <c r="O229" s="72"/>
      <c r="P229" s="72"/>
      <c r="Q229" s="72"/>
      <c r="R229" s="72"/>
      <c r="S229" s="72"/>
      <c r="T229" s="353" t="b" cm="1">
        <f t="array" aca="1" ref="T229" ca="1">T228</f>
        <v>0</v>
      </c>
      <c r="U229" s="72"/>
      <c r="V229" s="72"/>
      <c r="W229" s="72"/>
      <c r="X229" s="990"/>
      <c r="Y229" s="990"/>
      <c r="Z229" s="967"/>
      <c r="AA229" s="1085"/>
      <c r="AB229" s="168" t="str">
        <f t="shared" si="15"/>
        <v>2064 год</v>
      </c>
      <c r="AC229" s="308"/>
      <c r="AD229" s="886"/>
      <c r="AE229" s="885"/>
      <c r="AF229" s="885"/>
      <c r="AG229" s="886"/>
      <c r="AH229" s="885"/>
      <c r="AI229" s="886"/>
      <c r="AJ229" s="885"/>
      <c r="AK229" s="887"/>
      <c r="AL229" s="304"/>
      <c r="AM229" s="72"/>
      <c r="AN229" s="696" cm="1">
        <f t="array" ref="AN229">K229</f>
        <v>2064</v>
      </c>
      <c r="AO229" s="696" t="s">
        <v>2357</v>
      </c>
      <c r="AP229" s="706" cm="1">
        <f t="array" ref="AP229">AP228</f>
        <v>0</v>
      </c>
      <c r="AQ229" s="507"/>
      <c r="AR229" s="507"/>
    </row>
    <row r="230" spans="1:44" s="880" customFormat="1" ht="14.25" hidden="1" customHeight="1" x14ac:dyDescent="0.15">
      <c r="A230" s="72"/>
      <c r="B230" s="341" t="b">
        <f t="shared" si="14"/>
        <v>0</v>
      </c>
      <c r="C230" s="72"/>
      <c r="D230" s="72"/>
      <c r="E230" s="507">
        <v>15</v>
      </c>
      <c r="F230" s="3" t="str" cm="1">
        <f t="array" aca="1" ref="F230" ca="1">OFFSET(E230,-1,1)</f>
        <v>3</v>
      </c>
      <c r="G230" s="17" cm="1">
        <f t="array" ref="G230">G229</f>
        <v>0</v>
      </c>
      <c r="H230" s="72"/>
      <c r="I230" s="72"/>
      <c r="J230" s="72"/>
      <c r="K230" s="72">
        <f>first_year+41</f>
        <v>2065</v>
      </c>
      <c r="L230" s="72"/>
      <c r="M230" s="72"/>
      <c r="N230" s="72"/>
      <c r="O230" s="72"/>
      <c r="P230" s="72"/>
      <c r="Q230" s="72"/>
      <c r="R230" s="72"/>
      <c r="S230" s="72"/>
      <c r="T230" s="353" t="b" cm="1">
        <f t="array" aca="1" ref="T230" ca="1">T229</f>
        <v>0</v>
      </c>
      <c r="U230" s="72"/>
      <c r="V230" s="72"/>
      <c r="W230" s="72"/>
      <c r="X230" s="990"/>
      <c r="Y230" s="990"/>
      <c r="Z230" s="967"/>
      <c r="AA230" s="1085"/>
      <c r="AB230" s="168" t="str">
        <f t="shared" si="15"/>
        <v>2065 год</v>
      </c>
      <c r="AC230" s="308"/>
      <c r="AD230" s="886"/>
      <c r="AE230" s="885"/>
      <c r="AF230" s="885"/>
      <c r="AG230" s="886"/>
      <c r="AH230" s="885"/>
      <c r="AI230" s="886"/>
      <c r="AJ230" s="885"/>
      <c r="AK230" s="887"/>
      <c r="AL230" s="304"/>
      <c r="AM230" s="72"/>
      <c r="AN230" s="696" cm="1">
        <f t="array" ref="AN230">K230</f>
        <v>2065</v>
      </c>
      <c r="AO230" s="696" t="s">
        <v>2357</v>
      </c>
      <c r="AP230" s="706" cm="1">
        <f t="array" ref="AP230">AP229</f>
        <v>0</v>
      </c>
      <c r="AQ230" s="507"/>
      <c r="AR230" s="507"/>
    </row>
    <row r="231" spans="1:44" s="880" customFormat="1" ht="14.25" hidden="1" customHeight="1" x14ac:dyDescent="0.15">
      <c r="A231" s="72"/>
      <c r="B231" s="341" t="b">
        <f t="shared" si="14"/>
        <v>0</v>
      </c>
      <c r="C231" s="72"/>
      <c r="D231" s="72"/>
      <c r="E231" s="507">
        <v>15</v>
      </c>
      <c r="F231" s="3" t="str" cm="1">
        <f t="array" aca="1" ref="F231" ca="1">OFFSET(E231,-1,1)</f>
        <v>3</v>
      </c>
      <c r="G231" s="17" cm="1">
        <f t="array" ref="G231">G230</f>
        <v>0</v>
      </c>
      <c r="H231" s="72"/>
      <c r="I231" s="72"/>
      <c r="J231" s="72"/>
      <c r="K231" s="72">
        <f>first_year+42</f>
        <v>2066</v>
      </c>
      <c r="L231" s="72"/>
      <c r="M231" s="72"/>
      <c r="N231" s="72"/>
      <c r="O231" s="72"/>
      <c r="P231" s="72"/>
      <c r="Q231" s="72"/>
      <c r="R231" s="72"/>
      <c r="S231" s="72"/>
      <c r="T231" s="353" t="b" cm="1">
        <f t="array" aca="1" ref="T231" ca="1">T230</f>
        <v>0</v>
      </c>
      <c r="U231" s="72"/>
      <c r="V231" s="72"/>
      <c r="W231" s="72"/>
      <c r="X231" s="990"/>
      <c r="Y231" s="990"/>
      <c r="Z231" s="967"/>
      <c r="AA231" s="1085"/>
      <c r="AB231" s="168" t="str">
        <f t="shared" si="15"/>
        <v>2066 год</v>
      </c>
      <c r="AC231" s="308"/>
      <c r="AD231" s="886"/>
      <c r="AE231" s="885"/>
      <c r="AF231" s="885"/>
      <c r="AG231" s="886"/>
      <c r="AH231" s="885"/>
      <c r="AI231" s="886"/>
      <c r="AJ231" s="885"/>
      <c r="AK231" s="887"/>
      <c r="AL231" s="304"/>
      <c r="AM231" s="72"/>
      <c r="AN231" s="696" cm="1">
        <f t="array" ref="AN231">K231</f>
        <v>2066</v>
      </c>
      <c r="AO231" s="696" t="s">
        <v>2357</v>
      </c>
      <c r="AP231" s="706" cm="1">
        <f t="array" ref="AP231">AP230</f>
        <v>0</v>
      </c>
      <c r="AQ231" s="507"/>
      <c r="AR231" s="507"/>
    </row>
    <row r="232" spans="1:44" s="880" customFormat="1" ht="14.25" hidden="1" customHeight="1" x14ac:dyDescent="0.15">
      <c r="A232" s="72"/>
      <c r="B232" s="341" t="b">
        <f t="shared" si="14"/>
        <v>0</v>
      </c>
      <c r="C232" s="72"/>
      <c r="D232" s="72"/>
      <c r="E232" s="507">
        <v>15</v>
      </c>
      <c r="F232" s="3" t="str" cm="1">
        <f t="array" aca="1" ref="F232" ca="1">OFFSET(E232,-1,1)</f>
        <v>3</v>
      </c>
      <c r="G232" s="17" cm="1">
        <f t="array" ref="G232">G231</f>
        <v>0</v>
      </c>
      <c r="H232" s="72"/>
      <c r="I232" s="72"/>
      <c r="J232" s="72"/>
      <c r="K232" s="72">
        <f>first_year+43</f>
        <v>2067</v>
      </c>
      <c r="L232" s="72"/>
      <c r="M232" s="72"/>
      <c r="N232" s="72"/>
      <c r="O232" s="72"/>
      <c r="P232" s="72"/>
      <c r="Q232" s="72"/>
      <c r="R232" s="72"/>
      <c r="S232" s="72"/>
      <c r="T232" s="353" t="b" cm="1">
        <f t="array" aca="1" ref="T232" ca="1">T231</f>
        <v>0</v>
      </c>
      <c r="U232" s="72"/>
      <c r="V232" s="72"/>
      <c r="W232" s="72"/>
      <c r="X232" s="990"/>
      <c r="Y232" s="990"/>
      <c r="Z232" s="967"/>
      <c r="AA232" s="1085"/>
      <c r="AB232" s="168" t="str">
        <f t="shared" si="15"/>
        <v>2067 год</v>
      </c>
      <c r="AC232" s="308"/>
      <c r="AD232" s="886"/>
      <c r="AE232" s="885"/>
      <c r="AF232" s="885"/>
      <c r="AG232" s="886"/>
      <c r="AH232" s="885"/>
      <c r="AI232" s="886"/>
      <c r="AJ232" s="885"/>
      <c r="AK232" s="887"/>
      <c r="AL232" s="304"/>
      <c r="AM232" s="72"/>
      <c r="AN232" s="696" cm="1">
        <f t="array" ref="AN232">K232</f>
        <v>2067</v>
      </c>
      <c r="AO232" s="696" t="s">
        <v>2357</v>
      </c>
      <c r="AP232" s="706" cm="1">
        <f t="array" ref="AP232">AP231</f>
        <v>0</v>
      </c>
      <c r="AQ232" s="507"/>
      <c r="AR232" s="507"/>
    </row>
    <row r="233" spans="1:44" s="880" customFormat="1" ht="14.25" hidden="1" customHeight="1" x14ac:dyDescent="0.15">
      <c r="A233" s="72"/>
      <c r="B233" s="341" t="b">
        <f t="shared" si="14"/>
        <v>0</v>
      </c>
      <c r="C233" s="72"/>
      <c r="D233" s="72"/>
      <c r="E233" s="507">
        <v>15</v>
      </c>
      <c r="F233" s="3" t="str" cm="1">
        <f t="array" aca="1" ref="F233" ca="1">OFFSET(E233,-1,1)</f>
        <v>3</v>
      </c>
      <c r="G233" s="17" cm="1">
        <f t="array" ref="G233">G232</f>
        <v>0</v>
      </c>
      <c r="H233" s="72"/>
      <c r="I233" s="72"/>
      <c r="J233" s="72"/>
      <c r="K233" s="72">
        <f>first_year+44</f>
        <v>2068</v>
      </c>
      <c r="L233" s="72"/>
      <c r="M233" s="72"/>
      <c r="N233" s="72"/>
      <c r="O233" s="72"/>
      <c r="P233" s="72"/>
      <c r="Q233" s="72"/>
      <c r="R233" s="72"/>
      <c r="S233" s="72"/>
      <c r="T233" s="353" t="b" cm="1">
        <f t="array" aca="1" ref="T233" ca="1">T232</f>
        <v>0</v>
      </c>
      <c r="U233" s="72"/>
      <c r="V233" s="72"/>
      <c r="W233" s="72"/>
      <c r="X233" s="990"/>
      <c r="Y233" s="990"/>
      <c r="Z233" s="967"/>
      <c r="AA233" s="1085"/>
      <c r="AB233" s="168" t="str">
        <f t="shared" si="15"/>
        <v>2068 год</v>
      </c>
      <c r="AC233" s="308"/>
      <c r="AD233" s="886"/>
      <c r="AE233" s="885"/>
      <c r="AF233" s="885"/>
      <c r="AG233" s="886"/>
      <c r="AH233" s="885"/>
      <c r="AI233" s="886"/>
      <c r="AJ233" s="885"/>
      <c r="AK233" s="887"/>
      <c r="AL233" s="304"/>
      <c r="AM233" s="72"/>
      <c r="AN233" s="696" cm="1">
        <f t="array" ref="AN233">K233</f>
        <v>2068</v>
      </c>
      <c r="AO233" s="696" t="s">
        <v>2357</v>
      </c>
      <c r="AP233" s="706" cm="1">
        <f t="array" ref="AP233">AP232</f>
        <v>0</v>
      </c>
      <c r="AQ233" s="507"/>
      <c r="AR233" s="507"/>
    </row>
    <row r="234" spans="1:44" s="880" customFormat="1" ht="14.25" hidden="1" customHeight="1" x14ac:dyDescent="0.15">
      <c r="A234" s="72"/>
      <c r="B234" s="341" t="b">
        <f t="shared" si="14"/>
        <v>0</v>
      </c>
      <c r="C234" s="72"/>
      <c r="D234" s="72"/>
      <c r="E234" s="507">
        <v>15</v>
      </c>
      <c r="F234" s="3" t="str" cm="1">
        <f t="array" aca="1" ref="F234" ca="1">OFFSET(E234,-1,1)</f>
        <v>3</v>
      </c>
      <c r="G234" s="17" cm="1">
        <f t="array" ref="G234">G233</f>
        <v>0</v>
      </c>
      <c r="H234" s="72"/>
      <c r="I234" s="72"/>
      <c r="J234" s="72"/>
      <c r="K234" s="72">
        <f>first_year+45</f>
        <v>2069</v>
      </c>
      <c r="L234" s="72"/>
      <c r="M234" s="72"/>
      <c r="N234" s="72"/>
      <c r="O234" s="72"/>
      <c r="P234" s="72"/>
      <c r="Q234" s="72"/>
      <c r="R234" s="72"/>
      <c r="S234" s="72"/>
      <c r="T234" s="353" t="b" cm="1">
        <f t="array" aca="1" ref="T234" ca="1">T233</f>
        <v>0</v>
      </c>
      <c r="U234" s="72"/>
      <c r="V234" s="72"/>
      <c r="W234" s="72"/>
      <c r="X234" s="990"/>
      <c r="Y234" s="990"/>
      <c r="Z234" s="967"/>
      <c r="AA234" s="1085"/>
      <c r="AB234" s="168" t="str">
        <f t="shared" si="15"/>
        <v>2069 год</v>
      </c>
      <c r="AC234" s="308"/>
      <c r="AD234" s="886"/>
      <c r="AE234" s="885"/>
      <c r="AF234" s="885"/>
      <c r="AG234" s="886"/>
      <c r="AH234" s="885"/>
      <c r="AI234" s="886"/>
      <c r="AJ234" s="885"/>
      <c r="AK234" s="887"/>
      <c r="AL234" s="304"/>
      <c r="AM234" s="72"/>
      <c r="AN234" s="696" cm="1">
        <f t="array" ref="AN234">K234</f>
        <v>2069</v>
      </c>
      <c r="AO234" s="696" t="s">
        <v>2357</v>
      </c>
      <c r="AP234" s="706" cm="1">
        <f t="array" ref="AP234">AP233</f>
        <v>0</v>
      </c>
      <c r="AQ234" s="507"/>
      <c r="AR234" s="507"/>
    </row>
    <row r="235" spans="1:44" s="880" customFormat="1" ht="14.25" hidden="1" customHeight="1" x14ac:dyDescent="0.15">
      <c r="A235" s="72"/>
      <c r="B235" s="341" t="b">
        <f t="shared" si="14"/>
        <v>0</v>
      </c>
      <c r="C235" s="72"/>
      <c r="D235" s="72"/>
      <c r="E235" s="507">
        <v>15</v>
      </c>
      <c r="F235" s="3" t="str" cm="1">
        <f t="array" aca="1" ref="F235" ca="1">OFFSET(E235,-1,1)</f>
        <v>3</v>
      </c>
      <c r="G235" s="17" cm="1">
        <f t="array" ref="G235">G234</f>
        <v>0</v>
      </c>
      <c r="H235" s="72"/>
      <c r="I235" s="72"/>
      <c r="J235" s="72"/>
      <c r="K235" s="72">
        <f>first_year+46</f>
        <v>2070</v>
      </c>
      <c r="L235" s="72"/>
      <c r="M235" s="72"/>
      <c r="N235" s="72"/>
      <c r="O235" s="72"/>
      <c r="P235" s="72"/>
      <c r="Q235" s="72"/>
      <c r="R235" s="72"/>
      <c r="S235" s="72"/>
      <c r="T235" s="353" t="b" cm="1">
        <f t="array" aca="1" ref="T235" ca="1">T234</f>
        <v>0</v>
      </c>
      <c r="U235" s="72"/>
      <c r="V235" s="72"/>
      <c r="W235" s="72"/>
      <c r="X235" s="990"/>
      <c r="Y235" s="990"/>
      <c r="Z235" s="967"/>
      <c r="AA235" s="1085"/>
      <c r="AB235" s="168" t="str">
        <f t="shared" si="15"/>
        <v>2070 год</v>
      </c>
      <c r="AC235" s="308"/>
      <c r="AD235" s="886"/>
      <c r="AE235" s="885"/>
      <c r="AF235" s="885"/>
      <c r="AG235" s="886"/>
      <c r="AH235" s="885"/>
      <c r="AI235" s="886"/>
      <c r="AJ235" s="885"/>
      <c r="AK235" s="887"/>
      <c r="AL235" s="304"/>
      <c r="AM235" s="72"/>
      <c r="AN235" s="696" cm="1">
        <f t="array" ref="AN235">K235</f>
        <v>2070</v>
      </c>
      <c r="AO235" s="696" t="s">
        <v>2357</v>
      </c>
      <c r="AP235" s="706" cm="1">
        <f t="array" ref="AP235">AP234</f>
        <v>0</v>
      </c>
      <c r="AQ235" s="507"/>
      <c r="AR235" s="507"/>
    </row>
    <row r="236" spans="1:44" s="880" customFormat="1" ht="14.25" hidden="1" customHeight="1" x14ac:dyDescent="0.15">
      <c r="A236" s="72"/>
      <c r="B236" s="341" t="b">
        <f t="shared" si="14"/>
        <v>0</v>
      </c>
      <c r="C236" s="72"/>
      <c r="D236" s="72"/>
      <c r="E236" s="507">
        <v>15</v>
      </c>
      <c r="F236" s="3" t="str" cm="1">
        <f t="array" aca="1" ref="F236" ca="1">OFFSET(E236,-1,1)</f>
        <v>3</v>
      </c>
      <c r="G236" s="17" cm="1">
        <f t="array" ref="G236">G235</f>
        <v>0</v>
      </c>
      <c r="H236" s="72"/>
      <c r="I236" s="72"/>
      <c r="J236" s="72"/>
      <c r="K236" s="72">
        <f>first_year+47</f>
        <v>2071</v>
      </c>
      <c r="L236" s="72"/>
      <c r="M236" s="72"/>
      <c r="N236" s="72"/>
      <c r="O236" s="72"/>
      <c r="P236" s="72"/>
      <c r="Q236" s="72"/>
      <c r="R236" s="72"/>
      <c r="S236" s="72"/>
      <c r="T236" s="353" t="b" cm="1">
        <f t="array" aca="1" ref="T236" ca="1">T235</f>
        <v>0</v>
      </c>
      <c r="U236" s="72"/>
      <c r="V236" s="72"/>
      <c r="W236" s="72"/>
      <c r="X236" s="990"/>
      <c r="Y236" s="990"/>
      <c r="Z236" s="967"/>
      <c r="AA236" s="1085"/>
      <c r="AB236" s="168" t="str">
        <f t="shared" si="15"/>
        <v>2071 год</v>
      </c>
      <c r="AC236" s="308"/>
      <c r="AD236" s="886"/>
      <c r="AE236" s="885"/>
      <c r="AF236" s="885"/>
      <c r="AG236" s="886"/>
      <c r="AH236" s="885"/>
      <c r="AI236" s="886"/>
      <c r="AJ236" s="885"/>
      <c r="AK236" s="887"/>
      <c r="AL236" s="304"/>
      <c r="AM236" s="72"/>
      <c r="AN236" s="696" cm="1">
        <f t="array" ref="AN236">K236</f>
        <v>2071</v>
      </c>
      <c r="AO236" s="696" t="s">
        <v>2357</v>
      </c>
      <c r="AP236" s="706" cm="1">
        <f t="array" ref="AP236">AP235</f>
        <v>0</v>
      </c>
      <c r="AQ236" s="507"/>
      <c r="AR236" s="507"/>
    </row>
    <row r="237" spans="1:44" s="880" customFormat="1" ht="14.25" hidden="1" customHeight="1" x14ac:dyDescent="0.15">
      <c r="A237" s="72"/>
      <c r="B237" s="341" t="b">
        <f t="shared" si="14"/>
        <v>0</v>
      </c>
      <c r="C237" s="72"/>
      <c r="D237" s="72"/>
      <c r="E237" s="507">
        <v>15</v>
      </c>
      <c r="F237" s="3" t="str" cm="1">
        <f t="array" aca="1" ref="F237" ca="1">OFFSET(E237,-1,1)</f>
        <v>3</v>
      </c>
      <c r="G237" s="17" cm="1">
        <f t="array" ref="G237">G236</f>
        <v>0</v>
      </c>
      <c r="H237" s="72"/>
      <c r="I237" s="72"/>
      <c r="J237" s="72"/>
      <c r="K237" s="72">
        <f>first_year+48</f>
        <v>2072</v>
      </c>
      <c r="L237" s="72"/>
      <c r="M237" s="72"/>
      <c r="N237" s="72"/>
      <c r="O237" s="72"/>
      <c r="P237" s="72"/>
      <c r="Q237" s="72"/>
      <c r="R237" s="72"/>
      <c r="S237" s="72"/>
      <c r="T237" s="353" t="b" cm="1">
        <f t="array" aca="1" ref="T237" ca="1">T236</f>
        <v>0</v>
      </c>
      <c r="U237" s="72"/>
      <c r="V237" s="72"/>
      <c r="W237" s="72"/>
      <c r="X237" s="990"/>
      <c r="Y237" s="990"/>
      <c r="Z237" s="967"/>
      <c r="AA237" s="1085"/>
      <c r="AB237" s="168" t="str">
        <f t="shared" si="15"/>
        <v>2072 год</v>
      </c>
      <c r="AC237" s="308"/>
      <c r="AD237" s="886"/>
      <c r="AE237" s="885"/>
      <c r="AF237" s="885"/>
      <c r="AG237" s="886"/>
      <c r="AH237" s="885"/>
      <c r="AI237" s="886"/>
      <c r="AJ237" s="885"/>
      <c r="AK237" s="887"/>
      <c r="AL237" s="304"/>
      <c r="AM237" s="72"/>
      <c r="AN237" s="696" cm="1">
        <f t="array" ref="AN237">K237</f>
        <v>2072</v>
      </c>
      <c r="AO237" s="696" t="s">
        <v>2357</v>
      </c>
      <c r="AP237" s="706" cm="1">
        <f t="array" ref="AP237">AP236</f>
        <v>0</v>
      </c>
      <c r="AQ237" s="507"/>
      <c r="AR237" s="507"/>
    </row>
    <row r="238" spans="1:44" s="880" customFormat="1" ht="14.25" hidden="1" customHeight="1" x14ac:dyDescent="0.15">
      <c r="A238" s="72"/>
      <c r="B238" s="341" t="b">
        <f t="shared" si="14"/>
        <v>0</v>
      </c>
      <c r="C238" s="72"/>
      <c r="D238" s="72"/>
      <c r="E238" s="507">
        <v>15</v>
      </c>
      <c r="F238" s="3" t="str" cm="1">
        <f t="array" aca="1" ref="F238" ca="1">OFFSET(E238,-1,1)</f>
        <v>3</v>
      </c>
      <c r="G238" s="17" cm="1">
        <f t="array" ref="G238">G237</f>
        <v>0</v>
      </c>
      <c r="H238" s="72"/>
      <c r="I238" s="72"/>
      <c r="J238" s="72"/>
      <c r="K238" s="72">
        <f>first_year+49</f>
        <v>2073</v>
      </c>
      <c r="L238" s="72"/>
      <c r="M238" s="72"/>
      <c r="N238" s="72"/>
      <c r="O238" s="72"/>
      <c r="P238" s="72"/>
      <c r="Q238" s="72"/>
      <c r="R238" s="72"/>
      <c r="S238" s="72"/>
      <c r="T238" s="353" t="b" cm="1">
        <f t="array" aca="1" ref="T238" ca="1">T237</f>
        <v>0</v>
      </c>
      <c r="U238" s="72"/>
      <c r="V238" s="72"/>
      <c r="W238" s="72"/>
      <c r="X238" s="990"/>
      <c r="Y238" s="990"/>
      <c r="Z238" s="967"/>
      <c r="AA238" s="1085"/>
      <c r="AB238" s="168" t="str">
        <f t="shared" si="15"/>
        <v>2073 год</v>
      </c>
      <c r="AC238" s="308"/>
      <c r="AD238" s="886"/>
      <c r="AE238" s="885"/>
      <c r="AF238" s="885"/>
      <c r="AG238" s="886"/>
      <c r="AH238" s="885"/>
      <c r="AI238" s="886"/>
      <c r="AJ238" s="885"/>
      <c r="AK238" s="887"/>
      <c r="AL238" s="304"/>
      <c r="AM238" s="72"/>
      <c r="AN238" s="696" cm="1">
        <f t="array" ref="AN238">K238</f>
        <v>2073</v>
      </c>
      <c r="AO238" s="696" t="s">
        <v>2357</v>
      </c>
      <c r="AP238" s="706" cm="1">
        <f t="array" ref="AP238">AP237</f>
        <v>0</v>
      </c>
      <c r="AQ238" s="507"/>
      <c r="AR238" s="507"/>
    </row>
    <row r="239" spans="1:44" ht="14.25" customHeight="1" x14ac:dyDescent="0.15">
      <c r="A239" s="72"/>
      <c r="B239" s="329"/>
      <c r="C239" s="72"/>
      <c r="D239" s="72"/>
      <c r="E239" s="507">
        <v>15</v>
      </c>
      <c r="F239" s="765" t="str" cm="1">
        <f t="array" aca="1" ref="F239" ca="1">OFFSET(E239,-1,1)</f>
        <v>3</v>
      </c>
      <c r="G239" s="72" t="str">
        <f>"!== 'не определено'"</f>
        <v>!== 'не определено'</v>
      </c>
      <c r="H239" s="72"/>
      <c r="I239" s="72"/>
      <c r="J239" s="72"/>
      <c r="K239" s="72"/>
      <c r="L239" s="72"/>
      <c r="M239" s="72"/>
      <c r="N239" s="72"/>
      <c r="O239" s="72"/>
      <c r="P239" s="72"/>
      <c r="Q239" s="72"/>
      <c r="R239" s="72"/>
      <c r="S239" s="72"/>
      <c r="T239" s="353" t="b">
        <f ca="1">F239&gt;0</f>
        <v>1</v>
      </c>
      <c r="U239" s="72"/>
      <c r="V239" s="72"/>
      <c r="W239" s="506" t="s">
        <v>2358</v>
      </c>
      <c r="X239" s="990"/>
      <c r="Y239" s="72"/>
      <c r="Z239" s="967"/>
      <c r="AA239" s="72"/>
      <c r="AB239" s="623" t="s">
        <v>176</v>
      </c>
      <c r="AC239" s="212"/>
      <c r="AD239" s="212"/>
      <c r="AE239" s="212"/>
      <c r="AF239" s="212"/>
      <c r="AG239" s="212"/>
      <c r="AH239" s="212"/>
      <c r="AI239" s="212"/>
      <c r="AJ239" s="212"/>
      <c r="AK239" s="212"/>
      <c r="AL239" s="304"/>
      <c r="AM239"/>
      <c r="AN239" s="661"/>
      <c r="AO239" s="661"/>
      <c r="AP239" s="661"/>
      <c r="AQ239" s="663" t="s">
        <v>2357</v>
      </c>
      <c r="AR239" s="454"/>
    </row>
    <row r="240" spans="1:44" ht="10.9" customHeight="1" x14ac:dyDescent="0.15">
      <c r="E240" s="507">
        <v>11.25</v>
      </c>
      <c r="U240" s="17" t="s">
        <v>176</v>
      </c>
      <c r="V240" s="513" t="s">
        <v>2359</v>
      </c>
      <c r="AN240" s="661"/>
      <c r="AO240" s="661"/>
      <c r="AP240" s="661"/>
      <c r="AQ240" s="454"/>
      <c r="AR240" s="454"/>
    </row>
    <row r="241" spans="5:38" ht="14.65" customHeight="1" x14ac:dyDescent="0.15">
      <c r="E241" s="461">
        <v>15</v>
      </c>
      <c r="AB241" s="997" t="s">
        <v>408</v>
      </c>
      <c r="AC241" s="997"/>
      <c r="AD241" s="997"/>
      <c r="AE241" s="997"/>
      <c r="AF241" s="997"/>
      <c r="AG241" s="997"/>
      <c r="AH241" s="997"/>
      <c r="AI241" s="997"/>
      <c r="AJ241" s="997"/>
      <c r="AK241" s="997"/>
    </row>
    <row r="242" spans="5:38" ht="14.65" customHeight="1" x14ac:dyDescent="0.15">
      <c r="E242" s="461">
        <v>15</v>
      </c>
      <c r="AA242" s="481"/>
      <c r="AB242" s="1081"/>
      <c r="AC242" s="1081"/>
      <c r="AD242" s="1081"/>
      <c r="AE242" s="1081"/>
      <c r="AF242" s="1081"/>
      <c r="AG242" s="1081"/>
      <c r="AH242" s="1080"/>
      <c r="AI242" s="1080"/>
      <c r="AJ242" s="1080"/>
      <c r="AK242" s="1080"/>
    </row>
    <row r="243" spans="5:38" ht="14.65" hidden="1" customHeight="1" x14ac:dyDescent="0.15">
      <c r="E243" s="461">
        <v>15</v>
      </c>
      <c r="T243" s="17" t="b">
        <f>ROW(W243)&gt;ROW(W$243)</f>
        <v>0</v>
      </c>
      <c r="W243" s="17" t="s">
        <v>172</v>
      </c>
      <c r="AA243" s="320" t="s">
        <v>173</v>
      </c>
      <c r="AB243" s="1080" t="s">
        <v>225</v>
      </c>
      <c r="AC243" s="1080"/>
      <c r="AD243" s="1080"/>
      <c r="AE243" s="1080"/>
      <c r="AF243" s="1080"/>
      <c r="AG243" s="1080"/>
      <c r="AH243" s="1080"/>
      <c r="AI243" s="1080"/>
      <c r="AJ243" s="1080"/>
      <c r="AK243" s="1088"/>
    </row>
    <row r="244" spans="5:38" ht="14.65" customHeight="1" x14ac:dyDescent="0.15">
      <c r="E244" s="461">
        <v>15</v>
      </c>
      <c r="W244" s="506" t="s">
        <v>419</v>
      </c>
      <c r="AB244" s="474"/>
      <c r="AC244" s="382" t="s">
        <v>420</v>
      </c>
      <c r="AD244" s="221"/>
      <c r="AE244" s="221"/>
      <c r="AF244" s="221"/>
      <c r="AG244" s="221"/>
      <c r="AH244" s="221"/>
      <c r="AI244" s="221"/>
      <c r="AJ244" s="221"/>
      <c r="AK244" s="514"/>
    </row>
    <row r="245" spans="5:38" ht="10.7" customHeight="1" x14ac:dyDescent="0.15">
      <c r="E245" s="461">
        <v>11</v>
      </c>
      <c r="AL245" s="22"/>
    </row>
  </sheetData>
  <sheetProtection formatColumns="0" formatRows="0" insertRows="0" deleteColumns="0" deleteRows="0" sort="0" autoFilter="0"/>
  <mergeCells count="28">
    <mergeCell ref="X187:X239"/>
    <mergeCell ref="Z187:Z239"/>
    <mergeCell ref="Y188:Y238"/>
    <mergeCell ref="AA188:AA238"/>
    <mergeCell ref="AB188:AK188"/>
    <mergeCell ref="X134:X186"/>
    <mergeCell ref="Z134:Z186"/>
    <mergeCell ref="Y135:Y185"/>
    <mergeCell ref="AA135:AA185"/>
    <mergeCell ref="AB135:AK135"/>
    <mergeCell ref="X81:X133"/>
    <mergeCell ref="Z81:Z133"/>
    <mergeCell ref="Y82:Y132"/>
    <mergeCell ref="AA82:AA132"/>
    <mergeCell ref="AB82:AK82"/>
    <mergeCell ref="AB242:AK242"/>
    <mergeCell ref="AB241:AK241"/>
    <mergeCell ref="AB243:AK243"/>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K136:AK186 AK189:AK239 AJ30:AJ80 AJ83:AJ133 AJ136:AJ186 AJ189:AJ239 AI30:AI80 AI83:AI133 AI136:AI186 AI189:AI239 AH30:AH80 AH83:AH133 AH136:AH186 AH189:AH239 AG30:AG80 AG83:AG133 AG136:AG186 AG189:AG239 AF30:AF80 AF83:AF133 AF136:AF186 AF189:AF239 AE30:AE80 AE83:AE133 AE136:AE186 AE189:AE239 AD30:AD80 AD83:AD133 AD136:AD186 AD189:AD239 AC30:AC80 AC83:AC133 AC136:AC186 AC189:AC239"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A497-1A11-C61C-B53C-EF04D263B877}">
  <sheetPr>
    <tabColor rgb="FF002060"/>
    <outlinePr summaryBelow="0" summaryRight="0"/>
    <pageSetUpPr fitToPage="1"/>
  </sheetPr>
  <dimension ref="A1:AP4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87" hidden="1" customWidth="1"/>
    <col min="2" max="2" width="9.28515625" style="22" hidden="1" customWidth="1"/>
    <col min="3" max="3" width="5.140625" style="22" hidden="1" customWidth="1"/>
    <col min="4" max="4" width="2.7109375" style="22" hidden="1" customWidth="1"/>
    <col min="5" max="5" width="5.7109375" style="449"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5"/>
    <col min="33" max="33" width="8.7109375" style="315" hidden="1"/>
    <col min="34" max="36" width="8.7109375" style="655" hidden="1"/>
    <col min="37" max="38" width="8.7109375" style="480" hidden="1"/>
    <col min="39" max="42" width="8.7109375" hidden="1"/>
  </cols>
  <sheetData>
    <row r="1" spans="1:42" ht="11.25" hidden="1" customHeight="1" x14ac:dyDescent="0.15">
      <c r="E1" s="22"/>
      <c r="F1" s="22" t="s">
        <v>320</v>
      </c>
      <c r="H1" s="22" t="s">
        <v>330</v>
      </c>
      <c r="I1" s="22" t="s">
        <v>355</v>
      </c>
      <c r="T1" s="353" t="s">
        <v>92</v>
      </c>
      <c r="U1" s="353" t="s">
        <v>97</v>
      </c>
      <c r="V1" s="353" t="s">
        <v>93</v>
      </c>
      <c r="W1" s="353" t="s">
        <v>94</v>
      </c>
      <c r="X1" s="353" t="s">
        <v>95</v>
      </c>
      <c r="Y1" s="355" t="s">
        <v>322</v>
      </c>
      <c r="Z1" s="353" t="s">
        <v>99</v>
      </c>
      <c r="AA1" s="355" t="s">
        <v>96</v>
      </c>
      <c r="AB1" s="315"/>
      <c r="AC1" s="354" t="s">
        <v>98</v>
      </c>
      <c r="AH1" s="655" t="s">
        <v>323</v>
      </c>
      <c r="AI1" s="655" t="s">
        <v>324</v>
      </c>
      <c r="AJ1" s="655" t="s">
        <v>325</v>
      </c>
      <c r="AK1" s="480" t="s">
        <v>328</v>
      </c>
      <c r="AL1" s="480" t="s">
        <v>329</v>
      </c>
    </row>
    <row r="2" spans="1:42" ht="11.25" hidden="1" customHeight="1" x14ac:dyDescent="0.15">
      <c r="B2" s="341" t="s">
        <v>18</v>
      </c>
      <c r="E2" s="22"/>
    </row>
    <row r="3" spans="1:42" ht="11.25" hidden="1" customHeight="1" x14ac:dyDescent="0.15">
      <c r="E3" s="22"/>
    </row>
    <row r="4" spans="1:42" ht="11.25" hidden="1" customHeight="1" x14ac:dyDescent="0.15">
      <c r="E4" s="22"/>
    </row>
    <row r="5" spans="1:42" s="449" customFormat="1" ht="11.25" hidden="1" customHeight="1" x14ac:dyDescent="0.15">
      <c r="A5" s="487"/>
      <c r="B5" s="22"/>
      <c r="C5" s="22"/>
      <c r="D5" s="22"/>
      <c r="E5" s="449" t="s">
        <v>19</v>
      </c>
      <c r="AA5" s="449">
        <v>3</v>
      </c>
      <c r="AB5" s="449">
        <v>11</v>
      </c>
      <c r="AC5" s="449">
        <v>58</v>
      </c>
      <c r="AD5" s="475">
        <v>11</v>
      </c>
      <c r="AE5" s="475">
        <v>18.29</v>
      </c>
      <c r="AF5" s="480" t="s">
        <v>291</v>
      </c>
      <c r="AG5" s="480"/>
      <c r="AH5" s="655"/>
      <c r="AI5" s="655"/>
      <c r="AJ5" s="655"/>
      <c r="AK5" s="480"/>
      <c r="AL5" s="480"/>
      <c r="AM5" s="454"/>
      <c r="AN5" s="454"/>
      <c r="AO5" s="454"/>
      <c r="AP5" s="454"/>
    </row>
    <row r="6" spans="1:42" ht="13.5" hidden="1" customHeight="1" x14ac:dyDescent="0.15">
      <c r="A6" s="487" t="s">
        <v>358</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58" customFormat="1" ht="11.25" hidden="1" customHeight="1" x14ac:dyDescent="0.15">
      <c r="A10" s="707" t="s">
        <v>337</v>
      </c>
      <c r="AC10" s="658" t="s">
        <v>325</v>
      </c>
      <c r="AD10" s="675"/>
      <c r="AE10" s="671"/>
      <c r="AF10" s="655"/>
      <c r="AG10" s="655"/>
      <c r="AH10" s="655"/>
      <c r="AI10" s="655"/>
      <c r="AJ10" s="655"/>
      <c r="AK10" s="480"/>
      <c r="AL10" s="480"/>
      <c r="AM10" s="661"/>
      <c r="AN10" s="661"/>
      <c r="AO10" s="661"/>
      <c r="AP10" s="661"/>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7" t="s">
        <v>366</v>
      </c>
      <c r="AC18" s="22" t="s">
        <v>193</v>
      </c>
    </row>
    <row r="19" spans="1:34" ht="11.25" hidden="1" customHeight="1" x14ac:dyDescent="0.15"/>
    <row r="20" spans="1:34" ht="11.25" hidden="1" customHeight="1" x14ac:dyDescent="0.15"/>
    <row r="21" spans="1:34" ht="14.65" customHeight="1" x14ac:dyDescent="0.15">
      <c r="E21" s="449">
        <v>15</v>
      </c>
      <c r="AC21" s="267" t="str" cm="1">
        <f t="array" ref="AC21">tpl_title</f>
        <v>Кемеровская область / 2026 / КАО "Азот" (ИНН:4205000908, КПП:997550001) / ДПР: 2024-2028</v>
      </c>
    </row>
    <row r="22" spans="1:34" ht="43.9" customHeight="1" x14ac:dyDescent="0.15">
      <c r="E22" s="449">
        <v>45</v>
      </c>
      <c r="AB22" s="109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0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09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09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49">
        <v>11.25</v>
      </c>
      <c r="AB23" s="1007"/>
      <c r="AC23" s="1007"/>
      <c r="AD23" s="1007"/>
      <c r="AE23" s="1007"/>
    </row>
    <row r="24" spans="1:34" ht="14.65" customHeight="1" x14ac:dyDescent="0.15">
      <c r="E24" s="449">
        <v>15</v>
      </c>
      <c r="AB24" s="993" t="s">
        <v>810</v>
      </c>
      <c r="AC24" s="1039" t="s">
        <v>193</v>
      </c>
      <c r="AD24" s="993" t="s">
        <v>368</v>
      </c>
      <c r="AE24" s="13" t="str">
        <f>god-2&amp;" год"</f>
        <v>2024 год</v>
      </c>
    </row>
    <row r="25" spans="1:34" ht="48.75" customHeight="1" x14ac:dyDescent="0.15">
      <c r="E25" s="449">
        <v>50</v>
      </c>
      <c r="AB25" s="993"/>
      <c r="AC25" s="1039"/>
      <c r="AD25" s="1034"/>
      <c r="AE25" s="10" t="s">
        <v>2360</v>
      </c>
    </row>
    <row r="26" spans="1:34" ht="11.25" hidden="1" customHeight="1" x14ac:dyDescent="0.15">
      <c r="E26" s="449">
        <v>0</v>
      </c>
      <c r="AB26" s="521"/>
      <c r="AC26" s="520"/>
      <c r="AD26" s="521"/>
      <c r="AE26" s="518"/>
    </row>
    <row r="27" spans="1:34" ht="14.65" hidden="1" customHeight="1" x14ac:dyDescent="0.15">
      <c r="E27" s="449">
        <v>15</v>
      </c>
      <c r="F27" s="267" cm="1">
        <f t="array" ref="F27">X27</f>
        <v>0</v>
      </c>
      <c r="G27" s="22" t="s">
        <v>821</v>
      </c>
      <c r="T27" s="353" t="b">
        <f>X27&gt;0</f>
        <v>0</v>
      </c>
      <c r="V27" s="22" t="s">
        <v>264</v>
      </c>
      <c r="X27" s="1022">
        <v>0</v>
      </c>
      <c r="Z27" s="1023"/>
      <c r="AB27" s="135" t="str" cm="1">
        <f t="array" ref="AB27">INDEX('Общие сведения'!$AG$179:$AG$236,MATCH($X27,'Общие сведения'!$Z$179:$Z$236,0))</f>
        <v xml:space="preserve">Тариф 0 () - </v>
      </c>
      <c r="AC27" s="94"/>
      <c r="AD27" s="88"/>
      <c r="AE27" s="782">
        <f>AE28+AE78+AE115</f>
        <v>0</v>
      </c>
    </row>
    <row r="28" spans="1:34" ht="14.65" hidden="1" customHeight="1" x14ac:dyDescent="0.15">
      <c r="E28" s="449">
        <v>15</v>
      </c>
      <c r="F28" s="3" cm="1">
        <f t="array" aca="1" ref="F28" ca="1">OFFSET(E28,-1,1)</f>
        <v>0</v>
      </c>
      <c r="H28" s="22" t="s">
        <v>331</v>
      </c>
      <c r="T28" s="353" t="b" cm="1">
        <f t="array" ref="T28">T27</f>
        <v>0</v>
      </c>
      <c r="X28" s="1022"/>
      <c r="Z28" s="1023"/>
      <c r="AB28" s="515" t="s">
        <v>275</v>
      </c>
      <c r="AC28" s="399" t="s">
        <v>1950</v>
      </c>
      <c r="AD28" s="400" t="s">
        <v>828</v>
      </c>
      <c r="AE28" s="406">
        <f>AE29+AE47+AE55+AE75</f>
        <v>0</v>
      </c>
      <c r="AH28" s="655" t="s">
        <v>550</v>
      </c>
    </row>
    <row r="29" spans="1:34" ht="14.65" hidden="1" customHeight="1" x14ac:dyDescent="0.15">
      <c r="E29" s="449">
        <v>15</v>
      </c>
      <c r="F29" s="3" cm="1">
        <f t="array" aca="1" ref="F29" ca="1">OFFSET(E29,-1,1)</f>
        <v>0</v>
      </c>
      <c r="H29" s="22" t="s">
        <v>482</v>
      </c>
      <c r="T29" s="353" t="b" cm="1">
        <f t="array" ref="T29">T28</f>
        <v>0</v>
      </c>
      <c r="X29" s="1022"/>
      <c r="Z29" s="1023"/>
      <c r="AB29" s="516" t="s">
        <v>939</v>
      </c>
      <c r="AC29" s="401" t="s">
        <v>1738</v>
      </c>
      <c r="AD29" s="402" t="s">
        <v>828</v>
      </c>
      <c r="AE29" s="406">
        <f>AE30+AE31+AE32+AE37+AE38+AE39</f>
        <v>0</v>
      </c>
      <c r="AH29" s="655" t="s">
        <v>1164</v>
      </c>
    </row>
    <row r="30" spans="1:34" ht="14.65" hidden="1" customHeight="1" x14ac:dyDescent="0.15">
      <c r="E30" s="449">
        <v>15</v>
      </c>
      <c r="F30" s="3" cm="1">
        <f t="array" aca="1" ref="F30" ca="1">OFFSET(E30,-1,1)</f>
        <v>0</v>
      </c>
      <c r="H30" s="22" t="s">
        <v>1070</v>
      </c>
      <c r="T30" s="353" t="b" cm="1">
        <f t="array" ref="T30">T29</f>
        <v>0</v>
      </c>
      <c r="X30" s="1022"/>
      <c r="Z30" s="1023"/>
      <c r="AB30" s="516" t="s">
        <v>1071</v>
      </c>
      <c r="AC30" s="403" t="s">
        <v>2361</v>
      </c>
      <c r="AD30" s="402" t="s">
        <v>828</v>
      </c>
      <c r="AE30" s="854"/>
      <c r="AH30" s="655" t="s">
        <v>1260</v>
      </c>
    </row>
    <row r="31" spans="1:34" ht="21.95" hidden="1" customHeight="1" x14ac:dyDescent="0.15">
      <c r="E31" s="449">
        <v>22.5</v>
      </c>
      <c r="F31" s="3" cm="1">
        <f t="array" aca="1" ref="F31" ca="1">OFFSET(E31,-1,1)</f>
        <v>0</v>
      </c>
      <c r="H31" s="22" t="s">
        <v>1074</v>
      </c>
      <c r="T31" s="353" t="b" cm="1">
        <f t="array" ref="T31">T30</f>
        <v>0</v>
      </c>
      <c r="X31" s="1022"/>
      <c r="Z31" s="1023"/>
      <c r="AB31" s="516" t="s">
        <v>1075</v>
      </c>
      <c r="AC31" s="403" t="s">
        <v>1958</v>
      </c>
      <c r="AD31" s="402" t="s">
        <v>828</v>
      </c>
      <c r="AE31" s="854"/>
      <c r="AH31" s="655" t="s">
        <v>1771</v>
      </c>
    </row>
    <row r="32" spans="1:34" ht="32.85" hidden="1" customHeight="1" x14ac:dyDescent="0.15">
      <c r="E32" s="449">
        <v>33.75</v>
      </c>
      <c r="F32" s="3" cm="1">
        <f t="array" aca="1" ref="F32" ca="1">OFFSET(E32,-1,1)</f>
        <v>0</v>
      </c>
      <c r="H32" s="22" t="s">
        <v>1319</v>
      </c>
      <c r="T32" s="353" t="b" cm="1">
        <f t="array" ref="T32">T31</f>
        <v>0</v>
      </c>
      <c r="X32" s="1022"/>
      <c r="Z32" s="1023"/>
      <c r="AB32" s="516" t="s">
        <v>1320</v>
      </c>
      <c r="AC32" s="403" t="s">
        <v>2362</v>
      </c>
      <c r="AD32" s="402" t="s">
        <v>828</v>
      </c>
      <c r="AE32" s="406">
        <f>AE33+AE36</f>
        <v>0</v>
      </c>
      <c r="AH32" s="655" t="s">
        <v>1773</v>
      </c>
    </row>
    <row r="33" spans="5:34" ht="21.95" hidden="1" customHeight="1" x14ac:dyDescent="0.15">
      <c r="E33" s="449">
        <v>22.5</v>
      </c>
      <c r="F33" s="3" cm="1">
        <f t="array" aca="1" ref="F33" ca="1">OFFSET(E33,-1,1)</f>
        <v>0</v>
      </c>
      <c r="H33" s="22" t="s">
        <v>2363</v>
      </c>
      <c r="T33" s="353" t="b" cm="1">
        <f t="array" ref="T33">T32</f>
        <v>0</v>
      </c>
      <c r="X33" s="1022"/>
      <c r="Z33" s="1023"/>
      <c r="AB33" s="516" t="s">
        <v>2364</v>
      </c>
      <c r="AC33" s="404" t="s">
        <v>2365</v>
      </c>
      <c r="AD33" s="402" t="s">
        <v>828</v>
      </c>
      <c r="AE33" s="854"/>
      <c r="AH33" s="655" t="s">
        <v>1775</v>
      </c>
    </row>
    <row r="34" spans="5:34" ht="21.95" hidden="1" customHeight="1" x14ac:dyDescent="0.15">
      <c r="E34" s="449">
        <v>22.5</v>
      </c>
      <c r="F34" s="3" cm="1">
        <f t="array" aca="1" ref="F34" ca="1">OFFSET(E34,-1,1)</f>
        <v>0</v>
      </c>
      <c r="H34" s="22" t="s">
        <v>2366</v>
      </c>
      <c r="T34" s="353" t="b" cm="1">
        <f t="array" ref="T34">T33</f>
        <v>0</v>
      </c>
      <c r="X34" s="1022"/>
      <c r="Z34" s="1023"/>
      <c r="AB34" s="516" t="s">
        <v>2367</v>
      </c>
      <c r="AC34" s="405" t="s">
        <v>2368</v>
      </c>
      <c r="AD34" s="402" t="s">
        <v>2369</v>
      </c>
      <c r="AE34" s="854"/>
      <c r="AH34" s="655" t="s">
        <v>2370</v>
      </c>
    </row>
    <row r="35" spans="5:34" ht="21.95" hidden="1" customHeight="1" x14ac:dyDescent="0.15">
      <c r="E35" s="449">
        <v>22.5</v>
      </c>
      <c r="F35" s="3" cm="1">
        <f t="array" aca="1" ref="F35" ca="1">OFFSET(E35,-1,1)</f>
        <v>0</v>
      </c>
      <c r="H35" s="22" t="s">
        <v>2371</v>
      </c>
      <c r="T35" s="353" t="b" cm="1">
        <f t="array" ref="T35">T34</f>
        <v>0</v>
      </c>
      <c r="X35" s="1022"/>
      <c r="Z35" s="1023"/>
      <c r="AB35" s="516" t="s">
        <v>2372</v>
      </c>
      <c r="AC35" s="405" t="s">
        <v>2373</v>
      </c>
      <c r="AD35" s="402" t="s">
        <v>2374</v>
      </c>
      <c r="AE35" s="854"/>
      <c r="AH35" s="655" t="s">
        <v>2375</v>
      </c>
    </row>
    <row r="36" spans="5:34" ht="21.95" hidden="1" customHeight="1" x14ac:dyDescent="0.15">
      <c r="E36" s="449">
        <v>22.5</v>
      </c>
      <c r="F36" s="3" cm="1">
        <f t="array" aca="1" ref="F36" ca="1">OFFSET(E36,-1,1)</f>
        <v>0</v>
      </c>
      <c r="H36" s="22" t="s">
        <v>2376</v>
      </c>
      <c r="T36" s="353" t="b" cm="1">
        <f t="array" ref="T36">T35</f>
        <v>0</v>
      </c>
      <c r="X36" s="1022"/>
      <c r="Z36" s="1023"/>
      <c r="AB36" s="516" t="s">
        <v>2377</v>
      </c>
      <c r="AC36" s="404" t="s">
        <v>2378</v>
      </c>
      <c r="AD36" s="402" t="s">
        <v>828</v>
      </c>
      <c r="AE36" s="854"/>
      <c r="AH36" s="655" t="s">
        <v>1777</v>
      </c>
    </row>
    <row r="37" spans="5:34" ht="14.65" hidden="1" customHeight="1" x14ac:dyDescent="0.15">
      <c r="E37" s="449">
        <v>15</v>
      </c>
      <c r="F37" s="3" cm="1">
        <f t="array" aca="1" ref="F37" ca="1">OFFSET(E37,-1,1)</f>
        <v>0</v>
      </c>
      <c r="H37" s="22" t="s">
        <v>1323</v>
      </c>
      <c r="T37" s="353" t="b" cm="1">
        <f t="array" ref="T37">T36</f>
        <v>0</v>
      </c>
      <c r="X37" s="1022"/>
      <c r="Z37" s="1023"/>
      <c r="AB37" s="516" t="s">
        <v>1324</v>
      </c>
      <c r="AC37" s="403" t="s">
        <v>2379</v>
      </c>
      <c r="AD37" s="402" t="s">
        <v>828</v>
      </c>
      <c r="AE37" s="854"/>
      <c r="AH37" s="655" t="s">
        <v>2139</v>
      </c>
    </row>
    <row r="38" spans="5:34" ht="14.65" hidden="1" customHeight="1" x14ac:dyDescent="0.15">
      <c r="E38" s="449">
        <v>15</v>
      </c>
      <c r="F38" s="3" cm="1">
        <f t="array" aca="1" ref="F38" ca="1">OFFSET(E38,-1,1)</f>
        <v>0</v>
      </c>
      <c r="H38" s="22" t="s">
        <v>2380</v>
      </c>
      <c r="T38" s="353" t="b" cm="1">
        <f t="array" ref="T38">T37</f>
        <v>0</v>
      </c>
      <c r="X38" s="1022"/>
      <c r="Z38" s="1023"/>
      <c r="AB38" s="516" t="s">
        <v>1327</v>
      </c>
      <c r="AC38" s="403" t="s">
        <v>1964</v>
      </c>
      <c r="AD38" s="402" t="s">
        <v>828</v>
      </c>
      <c r="AE38" s="854"/>
      <c r="AH38" s="655" t="s">
        <v>1782</v>
      </c>
    </row>
    <row r="39" spans="5:34" ht="14.65" hidden="1" customHeight="1" x14ac:dyDescent="0.15">
      <c r="E39" s="449">
        <v>15</v>
      </c>
      <c r="F39" s="3" cm="1">
        <f t="array" aca="1" ref="F39" ca="1">OFFSET(E39,-1,1)</f>
        <v>0</v>
      </c>
      <c r="H39" s="22" t="s">
        <v>2381</v>
      </c>
      <c r="T39" s="353" t="b" cm="1">
        <f t="array" ref="T39">T38</f>
        <v>0</v>
      </c>
      <c r="X39" s="1022"/>
      <c r="Z39" s="1023"/>
      <c r="AB39" s="516" t="s">
        <v>2382</v>
      </c>
      <c r="AC39" s="403" t="s">
        <v>2383</v>
      </c>
      <c r="AD39" s="402" t="s">
        <v>828</v>
      </c>
      <c r="AE39" s="406">
        <f>SUM(AE40:AE46)</f>
        <v>0</v>
      </c>
      <c r="AH39" s="655" t="s">
        <v>1786</v>
      </c>
    </row>
    <row r="40" spans="5:34" ht="14.65" hidden="1" customHeight="1" x14ac:dyDescent="0.15">
      <c r="E40" s="449">
        <v>15</v>
      </c>
      <c r="F40" s="3" cm="1">
        <f t="array" aca="1" ref="F40" ca="1">OFFSET(E40,-1,1)</f>
        <v>0</v>
      </c>
      <c r="H40" s="22" t="s">
        <v>2384</v>
      </c>
      <c r="T40" s="353" t="b" cm="1">
        <f t="array" ref="T40">T39</f>
        <v>0</v>
      </c>
      <c r="X40" s="1022"/>
      <c r="Z40" s="1023"/>
      <c r="AB40" s="516" t="s">
        <v>2385</v>
      </c>
      <c r="AC40" s="404" t="s">
        <v>1793</v>
      </c>
      <c r="AD40" s="402" t="s">
        <v>828</v>
      </c>
      <c r="AE40" s="854"/>
      <c r="AH40" s="655" t="s">
        <v>2386</v>
      </c>
    </row>
    <row r="41" spans="5:34" ht="21.95" hidden="1" customHeight="1" x14ac:dyDescent="0.15">
      <c r="E41" s="449">
        <v>22.5</v>
      </c>
      <c r="F41" s="3" cm="1">
        <f t="array" aca="1" ref="F41" ca="1">OFFSET(E41,-1,1)</f>
        <v>0</v>
      </c>
      <c r="H41" s="22" t="s">
        <v>2387</v>
      </c>
      <c r="T41" s="353" t="b" cm="1">
        <f t="array" ref="T41">T40</f>
        <v>0</v>
      </c>
      <c r="X41" s="1022"/>
      <c r="Z41" s="1023"/>
      <c r="AB41" s="516" t="s">
        <v>2388</v>
      </c>
      <c r="AC41" s="404" t="s">
        <v>1972</v>
      </c>
      <c r="AD41" s="402" t="s">
        <v>828</v>
      </c>
      <c r="AE41" s="854"/>
      <c r="AH41" s="696" t="s">
        <v>1973</v>
      </c>
    </row>
    <row r="42" spans="5:34" ht="21.95" hidden="1" customHeight="1" x14ac:dyDescent="0.15">
      <c r="E42" s="449">
        <v>22.5</v>
      </c>
      <c r="F42" s="3" cm="1">
        <f t="array" aca="1" ref="F42" ca="1">OFFSET(E42,-1,1)</f>
        <v>0</v>
      </c>
      <c r="H42" s="22" t="s">
        <v>2389</v>
      </c>
      <c r="T42" s="353" t="b" cm="1">
        <f t="array" ref="T42">T41</f>
        <v>0</v>
      </c>
      <c r="X42" s="1022"/>
      <c r="Z42" s="1023"/>
      <c r="AB42" s="516" t="s">
        <v>2390</v>
      </c>
      <c r="AC42" s="404" t="s">
        <v>1976</v>
      </c>
      <c r="AD42" s="402" t="s">
        <v>828</v>
      </c>
      <c r="AE42" s="854"/>
      <c r="AH42" s="696" t="s">
        <v>1977</v>
      </c>
    </row>
    <row r="43" spans="5:34" ht="21.95" hidden="1" customHeight="1" x14ac:dyDescent="0.15">
      <c r="E43" s="449">
        <v>22.5</v>
      </c>
      <c r="F43" s="3" cm="1">
        <f t="array" aca="1" ref="F43" ca="1">OFFSET(E43,-1,1)</f>
        <v>0</v>
      </c>
      <c r="H43" s="22" t="s">
        <v>2391</v>
      </c>
      <c r="T43" s="353" t="b" cm="1">
        <f t="array" ref="T43">T42</f>
        <v>0</v>
      </c>
      <c r="X43" s="1022"/>
      <c r="Z43" s="1023"/>
      <c r="AB43" s="516" t="s">
        <v>2392</v>
      </c>
      <c r="AC43" s="404" t="s">
        <v>2393</v>
      </c>
      <c r="AD43" s="402" t="s">
        <v>828</v>
      </c>
      <c r="AE43" s="854"/>
      <c r="AH43" s="696" t="s">
        <v>1981</v>
      </c>
    </row>
    <row r="44" spans="5:34" ht="54.75" hidden="1" customHeight="1" x14ac:dyDescent="0.15">
      <c r="E44" s="449">
        <v>56.25</v>
      </c>
      <c r="F44" s="3" cm="1">
        <f t="array" aca="1" ref="F44" ca="1">OFFSET(E44,-1,1)</f>
        <v>0</v>
      </c>
      <c r="H44" s="22" t="s">
        <v>2394</v>
      </c>
      <c r="T44" s="353" t="b" cm="1">
        <f t="array" ref="T44">T43</f>
        <v>0</v>
      </c>
      <c r="X44" s="1022"/>
      <c r="Z44" s="1023"/>
      <c r="AB44" s="516" t="s">
        <v>2395</v>
      </c>
      <c r="AC44" s="404" t="s">
        <v>1984</v>
      </c>
      <c r="AD44" s="402" t="s">
        <v>828</v>
      </c>
      <c r="AE44" s="854"/>
      <c r="AH44" s="696" t="s">
        <v>1798</v>
      </c>
    </row>
    <row r="45" spans="5:34" ht="14.65" hidden="1" customHeight="1" x14ac:dyDescent="0.15">
      <c r="E45" s="449">
        <v>15</v>
      </c>
      <c r="F45" s="3" cm="1">
        <f t="array" aca="1" ref="F45" ca="1">OFFSET(E45,-1,1)</f>
        <v>0</v>
      </c>
      <c r="H45" s="22" t="s">
        <v>2396</v>
      </c>
      <c r="T45" s="353" t="b" cm="1">
        <f t="array" ref="T45">T44</f>
        <v>0</v>
      </c>
      <c r="X45" s="1022"/>
      <c r="Z45" s="1023"/>
      <c r="AB45" s="516" t="s">
        <v>2397</v>
      </c>
      <c r="AC45" s="404" t="s">
        <v>1801</v>
      </c>
      <c r="AD45" s="402" t="s">
        <v>828</v>
      </c>
      <c r="AE45" s="854"/>
      <c r="AH45" s="696" t="s">
        <v>1802</v>
      </c>
    </row>
    <row r="46" spans="5:34" ht="14.65" hidden="1" customHeight="1" x14ac:dyDescent="0.15">
      <c r="E46" s="449">
        <v>15</v>
      </c>
      <c r="F46" s="3" cm="1">
        <f t="array" aca="1" ref="F46" ca="1">OFFSET(E46,-1,1)</f>
        <v>0</v>
      </c>
      <c r="H46" s="22" t="s">
        <v>2398</v>
      </c>
      <c r="T46" s="353" t="b" cm="1">
        <f t="array" ref="T46">T45</f>
        <v>0</v>
      </c>
      <c r="X46" s="1022"/>
      <c r="Z46" s="1023"/>
      <c r="AB46" s="516" t="s">
        <v>2399</v>
      </c>
      <c r="AC46" s="404" t="s">
        <v>1252</v>
      </c>
      <c r="AD46" s="402" t="s">
        <v>828</v>
      </c>
      <c r="AE46" s="854"/>
      <c r="AH46" s="696" t="s">
        <v>1786</v>
      </c>
    </row>
    <row r="47" spans="5:34" ht="14.65" hidden="1" customHeight="1" x14ac:dyDescent="0.25">
      <c r="E47" s="449">
        <v>15</v>
      </c>
      <c r="F47" s="3" cm="1">
        <f t="array" aca="1" ref="F47" ca="1">OFFSET(E47,-1,1)</f>
        <v>0</v>
      </c>
      <c r="H47" s="22" t="s">
        <v>486</v>
      </c>
      <c r="T47" s="353" t="b" cm="1">
        <f t="array" ref="T47">T46</f>
        <v>0</v>
      </c>
      <c r="X47" s="1022"/>
      <c r="Z47" s="1023"/>
      <c r="AB47" s="516" t="s">
        <v>942</v>
      </c>
      <c r="AC47" s="401" t="s">
        <v>2400</v>
      </c>
      <c r="AD47" s="402" t="s">
        <v>828</v>
      </c>
      <c r="AE47" s="406">
        <f>AE48+AE49+AE50</f>
        <v>0</v>
      </c>
      <c r="AH47" s="695" t="s">
        <v>1807</v>
      </c>
    </row>
    <row r="48" spans="5:34" ht="14.65" hidden="1" customHeight="1" x14ac:dyDescent="0.25">
      <c r="E48" s="449">
        <v>15</v>
      </c>
      <c r="F48" s="3" cm="1">
        <f t="array" aca="1" ref="F48" ca="1">OFFSET(E48,-1,1)</f>
        <v>0</v>
      </c>
      <c r="H48" s="22" t="s">
        <v>1344</v>
      </c>
      <c r="T48" s="353" t="b" cm="1">
        <f t="array" ref="T48">T47</f>
        <v>0</v>
      </c>
      <c r="X48" s="1022"/>
      <c r="Z48" s="1023"/>
      <c r="AB48" s="516" t="s">
        <v>1345</v>
      </c>
      <c r="AC48" s="403" t="s">
        <v>2401</v>
      </c>
      <c r="AD48" s="402" t="s">
        <v>828</v>
      </c>
      <c r="AE48" s="854"/>
      <c r="AH48" s="694" t="s">
        <v>1809</v>
      </c>
    </row>
    <row r="49" spans="5:34" ht="14.65" hidden="1" customHeight="1" x14ac:dyDescent="0.15">
      <c r="E49" s="449">
        <v>15</v>
      </c>
      <c r="F49" s="3" cm="1">
        <f t="array" aca="1" ref="F49" ca="1">OFFSET(E49,-1,1)</f>
        <v>0</v>
      </c>
      <c r="H49" s="22" t="s">
        <v>1347</v>
      </c>
      <c r="T49" s="353" t="b" cm="1">
        <f t="array" ref="T49">T48</f>
        <v>0</v>
      </c>
      <c r="X49" s="1022"/>
      <c r="Z49" s="1023"/>
      <c r="AB49" s="516" t="s">
        <v>1348</v>
      </c>
      <c r="AC49" s="403" t="s">
        <v>2402</v>
      </c>
      <c r="AD49" s="402" t="s">
        <v>828</v>
      </c>
      <c r="AE49" s="854"/>
      <c r="AH49" s="696" t="s">
        <v>1992</v>
      </c>
    </row>
    <row r="50" spans="5:34" ht="21.95" hidden="1" customHeight="1" x14ac:dyDescent="0.25">
      <c r="E50" s="449">
        <v>22.5</v>
      </c>
      <c r="F50" s="3" cm="1">
        <f t="array" aca="1" ref="F50" ca="1">OFFSET(E50,-1,1)</f>
        <v>0</v>
      </c>
      <c r="H50" s="22" t="s">
        <v>1351</v>
      </c>
      <c r="T50" s="353" t="b" cm="1">
        <f t="array" ref="T50">T49</f>
        <v>0</v>
      </c>
      <c r="X50" s="1022"/>
      <c r="Z50" s="1023"/>
      <c r="AB50" s="516" t="s">
        <v>1352</v>
      </c>
      <c r="AC50" s="403" t="s">
        <v>2403</v>
      </c>
      <c r="AD50" s="402" t="s">
        <v>828</v>
      </c>
      <c r="AE50" s="406">
        <f>AE51+AE54</f>
        <v>0</v>
      </c>
      <c r="AH50" s="694" t="s">
        <v>1811</v>
      </c>
    </row>
    <row r="51" spans="5:34" ht="14.65" hidden="1" customHeight="1" x14ac:dyDescent="0.25">
      <c r="E51" s="449">
        <v>15</v>
      </c>
      <c r="F51" s="3" cm="1">
        <f t="array" aca="1" ref="F51" ca="1">OFFSET(E51,-1,1)</f>
        <v>0</v>
      </c>
      <c r="H51" s="22" t="s">
        <v>1495</v>
      </c>
      <c r="T51" s="353" t="b" cm="1">
        <f t="array" ref="T51">T50</f>
        <v>0</v>
      </c>
      <c r="X51" s="1022"/>
      <c r="Z51" s="1023"/>
      <c r="AB51" s="516" t="s">
        <v>1961</v>
      </c>
      <c r="AC51" s="404" t="s">
        <v>1813</v>
      </c>
      <c r="AD51" s="402" t="s">
        <v>828</v>
      </c>
      <c r="AE51" s="854"/>
      <c r="AH51" s="694" t="s">
        <v>1814</v>
      </c>
    </row>
    <row r="52" spans="5:34" ht="14.65" hidden="1" customHeight="1" x14ac:dyDescent="0.15">
      <c r="E52" s="449">
        <v>15</v>
      </c>
      <c r="F52" s="3" cm="1">
        <f t="array" aca="1" ref="F52" ca="1">OFFSET(E52,-1,1)</f>
        <v>0</v>
      </c>
      <c r="H52" s="22" t="s">
        <v>2404</v>
      </c>
      <c r="T52" s="353" t="b" cm="1">
        <f t="array" ref="T52">T51</f>
        <v>0</v>
      </c>
      <c r="X52" s="1022"/>
      <c r="Z52" s="1023"/>
      <c r="AB52" s="516" t="s">
        <v>2405</v>
      </c>
      <c r="AC52" s="405" t="s">
        <v>2406</v>
      </c>
      <c r="AD52" s="402" t="s">
        <v>2369</v>
      </c>
      <c r="AE52" s="854"/>
      <c r="AH52" s="655" t="s">
        <v>2407</v>
      </c>
    </row>
    <row r="53" spans="5:34" ht="14.65" hidden="1" customHeight="1" x14ac:dyDescent="0.15">
      <c r="E53" s="449">
        <v>15</v>
      </c>
      <c r="F53" s="3" cm="1">
        <f t="array" aca="1" ref="F53" ca="1">OFFSET(E53,-1,1)</f>
        <v>0</v>
      </c>
      <c r="H53" s="22" t="s">
        <v>2408</v>
      </c>
      <c r="T53" s="353" t="b" cm="1">
        <f t="array" ref="T53">T52</f>
        <v>0</v>
      </c>
      <c r="X53" s="1022"/>
      <c r="Z53" s="1023"/>
      <c r="AB53" s="516" t="s">
        <v>2409</v>
      </c>
      <c r="AC53" s="405" t="s">
        <v>2410</v>
      </c>
      <c r="AD53" s="402" t="s">
        <v>2374</v>
      </c>
      <c r="AE53" s="854"/>
      <c r="AH53" s="655" t="s">
        <v>2411</v>
      </c>
    </row>
    <row r="54" spans="5:34" ht="21.95" hidden="1" customHeight="1" x14ac:dyDescent="0.25">
      <c r="E54" s="449">
        <v>22.5</v>
      </c>
      <c r="F54" s="3" cm="1">
        <f t="array" aca="1" ref="F54" ca="1">OFFSET(E54,-1,1)</f>
        <v>0</v>
      </c>
      <c r="H54" s="22" t="s">
        <v>1499</v>
      </c>
      <c r="T54" s="353" t="b" cm="1">
        <f t="array" ref="T54">T53</f>
        <v>0</v>
      </c>
      <c r="X54" s="1022"/>
      <c r="Z54" s="1023"/>
      <c r="AB54" s="516" t="s">
        <v>1962</v>
      </c>
      <c r="AC54" s="404" t="s">
        <v>1998</v>
      </c>
      <c r="AD54" s="402" t="s">
        <v>828</v>
      </c>
      <c r="AE54" s="854"/>
      <c r="AH54" s="694" t="s">
        <v>1817</v>
      </c>
    </row>
    <row r="55" spans="5:34" ht="14.65" hidden="1" customHeight="1" x14ac:dyDescent="0.25">
      <c r="E55" s="449">
        <v>15</v>
      </c>
      <c r="F55" s="3" cm="1">
        <f t="array" aca="1" ref="F55" ca="1">OFFSET(E55,-1,1)</f>
        <v>0</v>
      </c>
      <c r="H55" s="22" t="s">
        <v>489</v>
      </c>
      <c r="T55" s="353" t="b" cm="1">
        <f t="array" ref="T55">T54</f>
        <v>0</v>
      </c>
      <c r="X55" s="1022"/>
      <c r="Z55" s="1023"/>
      <c r="AB55" s="516" t="s">
        <v>945</v>
      </c>
      <c r="AC55" s="401" t="s">
        <v>1999</v>
      </c>
      <c r="AD55" s="402" t="s">
        <v>828</v>
      </c>
      <c r="AE55" s="406">
        <f>AE56+AE62+AE67+AE68+AE69+AE70+AE71</f>
        <v>0</v>
      </c>
      <c r="AH55" s="695" t="s">
        <v>1819</v>
      </c>
    </row>
    <row r="56" spans="5:34" ht="21.95" hidden="1" customHeight="1" x14ac:dyDescent="0.25">
      <c r="E56" s="449">
        <v>22.5</v>
      </c>
      <c r="F56" s="3" cm="1">
        <f t="array" aca="1" ref="F56" ca="1">OFFSET(E56,-1,1)</f>
        <v>0</v>
      </c>
      <c r="H56" s="22" t="s">
        <v>1357</v>
      </c>
      <c r="T56" s="353" t="b" cm="1">
        <f t="array" ref="T56">T55</f>
        <v>0</v>
      </c>
      <c r="X56" s="1022"/>
      <c r="Z56" s="1023"/>
      <c r="AB56" s="516" t="s">
        <v>1358</v>
      </c>
      <c r="AC56" s="403" t="s">
        <v>1820</v>
      </c>
      <c r="AD56" s="402" t="s">
        <v>828</v>
      </c>
      <c r="AE56" s="406">
        <f>SUM(AE57:AE61)</f>
        <v>0</v>
      </c>
      <c r="AH56" s="694" t="s">
        <v>1205</v>
      </c>
    </row>
    <row r="57" spans="5:34" ht="14.65" hidden="1" customHeight="1" x14ac:dyDescent="0.15">
      <c r="E57" s="449">
        <v>15</v>
      </c>
      <c r="F57" s="3" cm="1">
        <f t="array" aca="1" ref="F57" ca="1">OFFSET(E57,-1,1)</f>
        <v>0</v>
      </c>
      <c r="H57" s="22" t="s">
        <v>2412</v>
      </c>
      <c r="T57" s="353" t="b" cm="1">
        <f t="array" ref="T57">T56</f>
        <v>0</v>
      </c>
      <c r="X57" s="1022"/>
      <c r="Z57" s="1023"/>
      <c r="AB57" s="516" t="s">
        <v>2413</v>
      </c>
      <c r="AC57" s="404" t="s">
        <v>1207</v>
      </c>
      <c r="AD57" s="402" t="s">
        <v>828</v>
      </c>
      <c r="AE57" s="854"/>
      <c r="AH57" s="696" t="s">
        <v>1208</v>
      </c>
    </row>
    <row r="58" spans="5:34" ht="14.65" hidden="1" customHeight="1" x14ac:dyDescent="0.15">
      <c r="E58" s="449">
        <v>15</v>
      </c>
      <c r="F58" s="3" cm="1">
        <f t="array" aca="1" ref="F58" ca="1">OFFSET(E58,-1,1)</f>
        <v>0</v>
      </c>
      <c r="H58" s="22" t="s">
        <v>2414</v>
      </c>
      <c r="T58" s="353" t="b" cm="1">
        <f t="array" ref="T58">T57</f>
        <v>0</v>
      </c>
      <c r="X58" s="1022"/>
      <c r="Z58" s="1023"/>
      <c r="AB58" s="516" t="s">
        <v>2415</v>
      </c>
      <c r="AC58" s="404" t="s">
        <v>1210</v>
      </c>
      <c r="AD58" s="402" t="s">
        <v>828</v>
      </c>
      <c r="AE58" s="854"/>
      <c r="AH58" s="696" t="s">
        <v>1211</v>
      </c>
    </row>
    <row r="59" spans="5:34" ht="14.65" hidden="1" customHeight="1" x14ac:dyDescent="0.15">
      <c r="E59" s="449">
        <v>15</v>
      </c>
      <c r="F59" s="3" cm="1">
        <f t="array" aca="1" ref="F59" ca="1">OFFSET(E59,-1,1)</f>
        <v>0</v>
      </c>
      <c r="H59" s="22" t="s">
        <v>2416</v>
      </c>
      <c r="T59" s="353" t="b" cm="1">
        <f t="array" ref="T59">T58</f>
        <v>0</v>
      </c>
      <c r="X59" s="1022"/>
      <c r="Z59" s="1023"/>
      <c r="AB59" s="516" t="s">
        <v>2417</v>
      </c>
      <c r="AC59" s="404" t="s">
        <v>1213</v>
      </c>
      <c r="AD59" s="402" t="s">
        <v>828</v>
      </c>
      <c r="AE59" s="854"/>
      <c r="AH59" s="696" t="s">
        <v>1214</v>
      </c>
    </row>
    <row r="60" spans="5:34" ht="14.65" hidden="1" customHeight="1" x14ac:dyDescent="0.15">
      <c r="E60" s="449">
        <v>15</v>
      </c>
      <c r="F60" s="3" cm="1">
        <f t="array" aca="1" ref="F60" ca="1">OFFSET(E60,-1,1)</f>
        <v>0</v>
      </c>
      <c r="H60" s="22" t="s">
        <v>2418</v>
      </c>
      <c r="T60" s="353" t="b" cm="1">
        <f t="array" ref="T60">T59</f>
        <v>0</v>
      </c>
      <c r="X60" s="1022"/>
      <c r="Z60" s="1023"/>
      <c r="AB60" s="516" t="s">
        <v>2419</v>
      </c>
      <c r="AC60" s="404" t="s">
        <v>1216</v>
      </c>
      <c r="AD60" s="402" t="s">
        <v>828</v>
      </c>
      <c r="AE60" s="854"/>
      <c r="AH60" s="696" t="s">
        <v>1217</v>
      </c>
    </row>
    <row r="61" spans="5:34" ht="14.65" hidden="1" customHeight="1" x14ac:dyDescent="0.15">
      <c r="E61" s="449">
        <v>15</v>
      </c>
      <c r="F61" s="3" cm="1">
        <f t="array" aca="1" ref="F61" ca="1">OFFSET(E61,-1,1)</f>
        <v>0</v>
      </c>
      <c r="H61" s="22" t="s">
        <v>2420</v>
      </c>
      <c r="T61" s="353" t="b" cm="1">
        <f t="array" ref="T61">T60</f>
        <v>0</v>
      </c>
      <c r="X61" s="1022"/>
      <c r="Z61" s="1023"/>
      <c r="AB61" s="516" t="s">
        <v>2421</v>
      </c>
      <c r="AC61" s="404" t="s">
        <v>1224</v>
      </c>
      <c r="AD61" s="402" t="s">
        <v>828</v>
      </c>
      <c r="AE61" s="854"/>
      <c r="AH61" s="696" t="s">
        <v>1225</v>
      </c>
    </row>
    <row r="62" spans="5:34" ht="32.85" hidden="1" customHeight="1" x14ac:dyDescent="0.25">
      <c r="E62" s="449">
        <v>33.75</v>
      </c>
      <c r="F62" s="3" cm="1">
        <f t="array" aca="1" ref="F62" ca="1">OFFSET(E62,-1,1)</f>
        <v>0</v>
      </c>
      <c r="H62" s="22" t="s">
        <v>1361</v>
      </c>
      <c r="T62" s="353" t="b" cm="1">
        <f t="array" ref="T62">T61</f>
        <v>0</v>
      </c>
      <c r="X62" s="1022"/>
      <c r="Z62" s="1023"/>
      <c r="AB62" s="516" t="s">
        <v>1362</v>
      </c>
      <c r="AC62" s="403" t="s">
        <v>2422</v>
      </c>
      <c r="AD62" s="402" t="s">
        <v>828</v>
      </c>
      <c r="AE62" s="406">
        <f>AE63+AE66</f>
        <v>0</v>
      </c>
      <c r="AH62" s="694" t="s">
        <v>1822</v>
      </c>
    </row>
    <row r="63" spans="5:34" ht="21.95" hidden="1" customHeight="1" x14ac:dyDescent="0.25">
      <c r="E63" s="449">
        <v>22.5</v>
      </c>
      <c r="F63" s="3" cm="1">
        <f t="array" aca="1" ref="F63" ca="1">OFFSET(E63,-1,1)</f>
        <v>0</v>
      </c>
      <c r="H63" s="22" t="s">
        <v>2423</v>
      </c>
      <c r="T63" s="353" t="b" cm="1">
        <f t="array" ref="T63">T62</f>
        <v>0</v>
      </c>
      <c r="X63" s="1022"/>
      <c r="Z63" s="1023"/>
      <c r="AB63" s="516" t="s">
        <v>2424</v>
      </c>
      <c r="AC63" s="404" t="s">
        <v>1823</v>
      </c>
      <c r="AD63" s="402" t="s">
        <v>828</v>
      </c>
      <c r="AE63" s="854"/>
      <c r="AH63" s="694" t="s">
        <v>1202</v>
      </c>
    </row>
    <row r="64" spans="5:34" ht="14.65" hidden="1" customHeight="1" x14ac:dyDescent="0.15">
      <c r="E64" s="449">
        <v>15</v>
      </c>
      <c r="F64" s="3" cm="1">
        <f t="array" aca="1" ref="F64" ca="1">OFFSET(E64,-1,1)</f>
        <v>0</v>
      </c>
      <c r="H64" s="22" t="s">
        <v>2425</v>
      </c>
      <c r="T64" s="353" t="b" cm="1">
        <f t="array" ref="T64">T63</f>
        <v>0</v>
      </c>
      <c r="X64" s="1022"/>
      <c r="Z64" s="1023"/>
      <c r="AB64" s="516" t="s">
        <v>2426</v>
      </c>
      <c r="AC64" s="405" t="s">
        <v>2427</v>
      </c>
      <c r="AD64" s="402" t="s">
        <v>2369</v>
      </c>
      <c r="AE64" s="854"/>
      <c r="AH64" s="655" t="s">
        <v>2428</v>
      </c>
    </row>
    <row r="65" spans="1:38" ht="21.95" hidden="1" customHeight="1" x14ac:dyDescent="0.15">
      <c r="E65" s="449">
        <v>22.5</v>
      </c>
      <c r="F65" s="3" cm="1">
        <f t="array" aca="1" ref="F65" ca="1">OFFSET(E65,-1,1)</f>
        <v>0</v>
      </c>
      <c r="H65" s="22" t="s">
        <v>2429</v>
      </c>
      <c r="T65" s="353" t="b" cm="1">
        <f t="array" ref="T65">T64</f>
        <v>0</v>
      </c>
      <c r="X65" s="1022"/>
      <c r="Z65" s="1023"/>
      <c r="AB65" s="516" t="s">
        <v>2430</v>
      </c>
      <c r="AC65" s="405" t="s">
        <v>2431</v>
      </c>
      <c r="AD65" s="402" t="s">
        <v>2374</v>
      </c>
      <c r="AE65" s="854"/>
      <c r="AH65" s="655" t="s">
        <v>2432</v>
      </c>
    </row>
    <row r="66" spans="1:38" ht="21.95" hidden="1" customHeight="1" x14ac:dyDescent="0.25">
      <c r="E66" s="449">
        <v>22.5</v>
      </c>
      <c r="F66" s="3" cm="1">
        <f t="array" aca="1" ref="F66" ca="1">OFFSET(E66,-1,1)</f>
        <v>0</v>
      </c>
      <c r="H66" s="22" t="s">
        <v>2433</v>
      </c>
      <c r="T66" s="353" t="b" cm="1">
        <f t="array" ref="T66">T65</f>
        <v>0</v>
      </c>
      <c r="X66" s="1022"/>
      <c r="Z66" s="1023"/>
      <c r="AB66" s="516" t="s">
        <v>2434</v>
      </c>
      <c r="AC66" s="404" t="s">
        <v>2022</v>
      </c>
      <c r="AD66" s="402" t="s">
        <v>828</v>
      </c>
      <c r="AE66" s="854"/>
      <c r="AH66" s="694" t="s">
        <v>1825</v>
      </c>
    </row>
    <row r="67" spans="1:38" ht="21.95" hidden="1" customHeight="1" x14ac:dyDescent="0.25">
      <c r="E67" s="449">
        <v>22.5</v>
      </c>
      <c r="F67" s="3" cm="1">
        <f t="array" aca="1" ref="F67" ca="1">OFFSET(E67,-1,1)</f>
        <v>0</v>
      </c>
      <c r="H67" s="22" t="s">
        <v>1365</v>
      </c>
      <c r="T67" s="353" t="b" cm="1">
        <f t="array" ref="T67">T66</f>
        <v>0</v>
      </c>
      <c r="X67" s="1022"/>
      <c r="Z67" s="1023"/>
      <c r="AB67" s="516" t="s">
        <v>1366</v>
      </c>
      <c r="AC67" s="403" t="s">
        <v>2435</v>
      </c>
      <c r="AD67" s="402" t="s">
        <v>828</v>
      </c>
      <c r="AE67" s="854"/>
      <c r="AH67" s="694" t="s">
        <v>1233</v>
      </c>
    </row>
    <row r="68" spans="1:38" ht="14.65" hidden="1" customHeight="1" x14ac:dyDescent="0.25">
      <c r="E68" s="449">
        <v>15</v>
      </c>
      <c r="F68" s="3" cm="1">
        <f t="array" aca="1" ref="F68" ca="1">OFFSET(E68,-1,1)</f>
        <v>0</v>
      </c>
      <c r="H68" s="22" t="s">
        <v>2436</v>
      </c>
      <c r="T68" s="353" t="b" cm="1">
        <f t="array" ref="T68">T67</f>
        <v>0</v>
      </c>
      <c r="X68" s="1022"/>
      <c r="Z68" s="1023"/>
      <c r="AB68" s="516" t="s">
        <v>2437</v>
      </c>
      <c r="AC68" s="403" t="s">
        <v>1235</v>
      </c>
      <c r="AD68" s="402" t="s">
        <v>828</v>
      </c>
      <c r="AE68" s="854"/>
      <c r="AH68" s="694" t="s">
        <v>1236</v>
      </c>
    </row>
    <row r="69" spans="1:38" ht="14.65" hidden="1" customHeight="1" x14ac:dyDescent="0.25">
      <c r="E69" s="449">
        <v>15</v>
      </c>
      <c r="F69" s="3" cm="1">
        <f t="array" aca="1" ref="F69" ca="1">OFFSET(E69,-1,1)</f>
        <v>0</v>
      </c>
      <c r="H69" s="22" t="s">
        <v>2438</v>
      </c>
      <c r="T69" s="353" t="b" cm="1">
        <f t="array" ref="T69">T68</f>
        <v>0</v>
      </c>
      <c r="X69" s="1022"/>
      <c r="Z69" s="1023"/>
      <c r="AB69" s="516" t="s">
        <v>2439</v>
      </c>
      <c r="AC69" s="403" t="s">
        <v>1238</v>
      </c>
      <c r="AD69" s="402" t="s">
        <v>828</v>
      </c>
      <c r="AE69" s="854"/>
      <c r="AH69" s="694" t="s">
        <v>1239</v>
      </c>
    </row>
    <row r="70" spans="1:38" ht="21.95" hidden="1" customHeight="1" x14ac:dyDescent="0.25">
      <c r="E70" s="449">
        <v>22.5</v>
      </c>
      <c r="F70" s="3" cm="1">
        <f t="array" aca="1" ref="F70" ca="1">OFFSET(E70,-1,1)</f>
        <v>0</v>
      </c>
      <c r="H70" s="22" t="s">
        <v>2440</v>
      </c>
      <c r="T70" s="353" t="b" cm="1">
        <f t="array" ref="T70">T69</f>
        <v>0</v>
      </c>
      <c r="X70" s="1022"/>
      <c r="Z70" s="1023"/>
      <c r="AB70" s="516" t="s">
        <v>2441</v>
      </c>
      <c r="AC70" s="403" t="s">
        <v>2442</v>
      </c>
      <c r="AD70" s="402" t="s">
        <v>828</v>
      </c>
      <c r="AE70" s="854"/>
      <c r="AH70" s="694" t="s">
        <v>1827</v>
      </c>
    </row>
    <row r="71" spans="1:38" ht="14.65" hidden="1" customHeight="1" x14ac:dyDescent="0.25">
      <c r="E71" s="449">
        <v>15</v>
      </c>
      <c r="F71" s="3" cm="1">
        <f t="array" aca="1" ref="F71" ca="1">OFFSET(E71,-1,1)</f>
        <v>0</v>
      </c>
      <c r="H71" s="22" t="s">
        <v>2443</v>
      </c>
      <c r="T71" s="353" t="b" cm="1">
        <f t="array" ref="T71">T70</f>
        <v>0</v>
      </c>
      <c r="X71" s="1022"/>
      <c r="Z71" s="1023"/>
      <c r="AB71" s="516" t="s">
        <v>2444</v>
      </c>
      <c r="AC71" s="403" t="s">
        <v>2445</v>
      </c>
      <c r="AD71" s="402" t="s">
        <v>828</v>
      </c>
      <c r="AE71" s="406">
        <f>AE72+AE73+AE74</f>
        <v>0</v>
      </c>
      <c r="AH71" s="694" t="s">
        <v>1829</v>
      </c>
    </row>
    <row r="72" spans="1:38" ht="14.65" hidden="1" customHeight="1" x14ac:dyDescent="0.25">
      <c r="E72" s="449">
        <v>15</v>
      </c>
      <c r="F72" s="3" cm="1">
        <f t="array" aca="1" ref="F72" ca="1">OFFSET(E72,-1,1)</f>
        <v>0</v>
      </c>
      <c r="H72" s="22" t="s">
        <v>2446</v>
      </c>
      <c r="T72" s="353" t="b" cm="1">
        <f t="array" ref="T72">T71</f>
        <v>0</v>
      </c>
      <c r="X72" s="1022"/>
      <c r="Z72" s="1023"/>
      <c r="AB72" s="516" t="s">
        <v>2447</v>
      </c>
      <c r="AC72" s="404" t="s">
        <v>2448</v>
      </c>
      <c r="AD72" s="402" t="s">
        <v>828</v>
      </c>
      <c r="AE72" s="854"/>
      <c r="AH72" s="694" t="s">
        <v>1833</v>
      </c>
    </row>
    <row r="73" spans="1:38" ht="14.65" hidden="1" customHeight="1" x14ac:dyDescent="0.25">
      <c r="E73" s="449">
        <v>15</v>
      </c>
      <c r="F73" s="3" cm="1">
        <f t="array" aca="1" ref="F73" ca="1">OFFSET(E73,-1,1)</f>
        <v>0</v>
      </c>
      <c r="H73" s="22" t="s">
        <v>2449</v>
      </c>
      <c r="T73" s="353" t="b" cm="1">
        <f t="array" ref="T73">T72</f>
        <v>0</v>
      </c>
      <c r="X73" s="1022"/>
      <c r="Z73" s="1023"/>
      <c r="AB73" s="516" t="s">
        <v>2450</v>
      </c>
      <c r="AC73" s="404" t="s">
        <v>2451</v>
      </c>
      <c r="AD73" s="402" t="s">
        <v>828</v>
      </c>
      <c r="AE73" s="854"/>
      <c r="AH73" s="694" t="s">
        <v>1836</v>
      </c>
    </row>
    <row r="74" spans="1:38" ht="14.65" hidden="1" customHeight="1" x14ac:dyDescent="0.25">
      <c r="E74" s="449">
        <v>15</v>
      </c>
      <c r="F74" s="3" cm="1">
        <f t="array" aca="1" ref="F74" ca="1">OFFSET(E74,-1,1)</f>
        <v>0</v>
      </c>
      <c r="H74" s="22" t="s">
        <v>2452</v>
      </c>
      <c r="T74" s="353" t="b" cm="1">
        <f t="array" ref="T74">T73</f>
        <v>0</v>
      </c>
      <c r="X74" s="1022"/>
      <c r="Z74" s="1023"/>
      <c r="AB74" s="516" t="s">
        <v>2453</v>
      </c>
      <c r="AC74" s="404" t="s">
        <v>1252</v>
      </c>
      <c r="AD74" s="402" t="s">
        <v>828</v>
      </c>
      <c r="AE74" s="854"/>
      <c r="AH74" s="694" t="s">
        <v>1839</v>
      </c>
    </row>
    <row r="75" spans="1:38" ht="14.65" hidden="1" customHeight="1" x14ac:dyDescent="0.15">
      <c r="E75" s="449">
        <v>15</v>
      </c>
      <c r="F75" s="3" cm="1">
        <f t="array" aca="1" ref="F75" ca="1">OFFSET(E75,-1,1)</f>
        <v>0</v>
      </c>
      <c r="H75" s="22" t="s">
        <v>493</v>
      </c>
      <c r="T75" s="353" t="b" cm="1">
        <f t="array" ref="T75">T74</f>
        <v>0</v>
      </c>
      <c r="X75" s="1022"/>
      <c r="Z75" s="1023"/>
      <c r="AB75" s="516" t="s">
        <v>948</v>
      </c>
      <c r="AC75" s="401" t="s">
        <v>2454</v>
      </c>
      <c r="AD75" s="402" t="s">
        <v>828</v>
      </c>
      <c r="AE75" s="406">
        <f>SUM(AE76:AE77)</f>
        <v>0</v>
      </c>
      <c r="AH75" s="696" t="s">
        <v>2455</v>
      </c>
    </row>
    <row r="76" spans="1:38" ht="14.65" hidden="1" customHeight="1" x14ac:dyDescent="0.15">
      <c r="E76" s="449">
        <v>15</v>
      </c>
      <c r="F76" s="3" cm="1">
        <f t="array" aca="1" ref="F76" ca="1">OFFSET(E76,-1,1)</f>
        <v>0</v>
      </c>
      <c r="H76" s="22" t="s">
        <v>493</v>
      </c>
      <c r="I76" s="410" cm="1">
        <f t="array" ref="I76">AC76</f>
        <v>0</v>
      </c>
      <c r="T76" s="353" t="b">
        <f ca="1">AND(F76&gt;0,Y76&gt;0)</f>
        <v>0</v>
      </c>
      <c r="W76" s="17" t="s">
        <v>172</v>
      </c>
      <c r="X76" s="1022"/>
      <c r="Y76" s="22">
        <v>0</v>
      </c>
      <c r="Z76" s="1023"/>
      <c r="AA76" s="482" t="s">
        <v>173</v>
      </c>
      <c r="AB76" s="516" t="str">
        <f>"1.4."&amp;Y76</f>
        <v>1.4.0</v>
      </c>
      <c r="AC76" s="888"/>
      <c r="AD76" s="402" t="s">
        <v>828</v>
      </c>
      <c r="AE76" s="854"/>
      <c r="AH76" s="696" t="s">
        <v>2455</v>
      </c>
      <c r="AI76" s="655" t="s">
        <v>2456</v>
      </c>
      <c r="AJ76" s="655" cm="1">
        <f t="array" ref="AJ76">AC76</f>
        <v>0</v>
      </c>
      <c r="AL76" s="480" t="b">
        <v>1</v>
      </c>
    </row>
    <row r="77" spans="1:38" ht="14.65" hidden="1" customHeight="1" x14ac:dyDescent="0.15">
      <c r="E77" s="449">
        <v>15</v>
      </c>
      <c r="F77" s="3" cm="1">
        <f t="array" aca="1" ref="F77" ca="1">OFFSET(E77,-1,1)</f>
        <v>0</v>
      </c>
      <c r="I77" s="72" t="str">
        <f>"!== 'не определено' &amp;&amp; row.l1_4 !== null"</f>
        <v>!== 'не определено' &amp;&amp; row.l1_4 !== null</v>
      </c>
      <c r="T77" s="353" t="b">
        <f ca="1">F77&gt;0</f>
        <v>0</v>
      </c>
      <c r="W77" s="506" t="s">
        <v>397</v>
      </c>
      <c r="X77" s="1022"/>
      <c r="Z77" s="1023"/>
      <c r="AB77" s="783"/>
      <c r="AC77" s="784" t="s">
        <v>176</v>
      </c>
      <c r="AD77" s="785"/>
      <c r="AE77" s="795"/>
      <c r="AK77" s="480" t="s">
        <v>2456</v>
      </c>
    </row>
    <row r="78" spans="1:38" ht="14.65" hidden="1" customHeight="1" x14ac:dyDescent="0.15">
      <c r="E78" s="449">
        <v>15</v>
      </c>
      <c r="F78" s="3" cm="1">
        <f t="array" aca="1" ref="F78" ca="1">OFFSET(E78,-1,1)</f>
        <v>0</v>
      </c>
      <c r="H78" s="22" t="s">
        <v>332</v>
      </c>
      <c r="T78" s="353" t="b" cm="1">
        <f t="array" aca="1" ref="T78" ca="1">T77</f>
        <v>0</v>
      </c>
      <c r="X78" s="1022"/>
      <c r="Z78" s="1023"/>
      <c r="AB78" s="515" t="s">
        <v>285</v>
      </c>
      <c r="AC78" s="399" t="s">
        <v>2047</v>
      </c>
      <c r="AD78" s="400" t="s">
        <v>828</v>
      </c>
      <c r="AE78" s="406">
        <f>AE79+AE91+AE92+AE102+AE103+AE104+AE107+AE108+AE109+AE110+AE111+AE112</f>
        <v>0</v>
      </c>
      <c r="AH78" s="655" t="s">
        <v>2457</v>
      </c>
    </row>
    <row r="79" spans="1:38" s="4" customFormat="1" ht="26.25" hidden="1" customHeight="1" x14ac:dyDescent="0.15">
      <c r="A79" s="487"/>
      <c r="B79" s="22"/>
      <c r="C79" s="22"/>
      <c r="D79" s="22"/>
      <c r="E79" s="449">
        <v>27</v>
      </c>
      <c r="F79" s="267" cm="1">
        <f t="array" aca="1" ref="F79" ca="1">OFFSET(E79,-1,1)</f>
        <v>0</v>
      </c>
      <c r="G79" s="22"/>
      <c r="H79" s="22"/>
      <c r="I79" s="22"/>
      <c r="J79" s="22"/>
      <c r="K79" s="22"/>
      <c r="L79" s="22"/>
      <c r="M79" s="22"/>
      <c r="N79" s="22"/>
      <c r="O79" s="22"/>
      <c r="P79" s="22"/>
      <c r="Q79" s="22"/>
      <c r="R79" s="22"/>
      <c r="S79" s="22"/>
      <c r="T79" s="353" t="b" cm="1">
        <f t="array" aca="1" ref="T79" ca="1">T78</f>
        <v>0</v>
      </c>
      <c r="U79" s="22"/>
      <c r="V79" s="22"/>
      <c r="W79" s="22"/>
      <c r="X79" s="1022"/>
      <c r="Y79" s="22"/>
      <c r="Z79" s="1023"/>
      <c r="AA79" s="22"/>
      <c r="AB79" s="516" t="s">
        <v>561</v>
      </c>
      <c r="AC79" s="786" t="s">
        <v>2049</v>
      </c>
      <c r="AD79" s="400" t="s">
        <v>828</v>
      </c>
      <c r="AE79" s="406">
        <f>SUM(AE80:AE90)</f>
        <v>0</v>
      </c>
      <c r="AF79" s="315"/>
      <c r="AG79" s="315"/>
      <c r="AH79" s="696" t="s">
        <v>1253</v>
      </c>
      <c r="AI79" s="655"/>
      <c r="AJ79" s="655"/>
      <c r="AK79" s="480"/>
      <c r="AL79" s="480"/>
    </row>
    <row r="80" spans="1:38" s="4" customFormat="1" ht="14.65" hidden="1" customHeight="1" x14ac:dyDescent="0.15">
      <c r="A80" s="487"/>
      <c r="B80" s="22"/>
      <c r="C80" s="22"/>
      <c r="D80" s="22"/>
      <c r="E80" s="449">
        <v>15</v>
      </c>
      <c r="F80" s="267" cm="1">
        <f t="array" aca="1" ref="F80" ca="1">OFFSET(E80,-1,1)</f>
        <v>0</v>
      </c>
      <c r="G80" s="22"/>
      <c r="H80" s="22"/>
      <c r="I80" s="22"/>
      <c r="J80" s="22"/>
      <c r="K80" s="22"/>
      <c r="L80" s="22"/>
      <c r="M80" s="22"/>
      <c r="N80" s="22"/>
      <c r="O80" s="22"/>
      <c r="P80" s="22"/>
      <c r="Q80" s="22"/>
      <c r="R80" s="22"/>
      <c r="S80" s="22"/>
      <c r="T80" s="353" t="b" cm="1">
        <f t="array" aca="1" ref="T80" ca="1">T79</f>
        <v>0</v>
      </c>
      <c r="U80" s="22"/>
      <c r="V80" s="22"/>
      <c r="W80" s="22"/>
      <c r="X80" s="1022"/>
      <c r="Y80" s="22"/>
      <c r="Z80" s="1023"/>
      <c r="AA80" s="22"/>
      <c r="AB80" s="516" t="s">
        <v>508</v>
      </c>
      <c r="AC80" s="403" t="s">
        <v>2051</v>
      </c>
      <c r="AD80" s="402" t="s">
        <v>828</v>
      </c>
      <c r="AE80" s="854"/>
      <c r="AF80" s="315"/>
      <c r="AG80" s="315"/>
      <c r="AH80" s="696" t="s">
        <v>2458</v>
      </c>
      <c r="AI80" s="655"/>
      <c r="AJ80" s="655"/>
      <c r="AK80" s="480"/>
      <c r="AL80" s="480"/>
    </row>
    <row r="81" spans="1:38" s="4" customFormat="1" ht="14.65" hidden="1" customHeight="1" x14ac:dyDescent="0.15">
      <c r="A81" s="487"/>
      <c r="B81" s="22"/>
      <c r="C81" s="22"/>
      <c r="D81" s="22"/>
      <c r="E81" s="449">
        <v>15</v>
      </c>
      <c r="F81" s="267" cm="1">
        <f t="array" aca="1" ref="F81" ca="1">OFFSET(E81,-1,1)</f>
        <v>0</v>
      </c>
      <c r="G81" s="22"/>
      <c r="H81" s="22"/>
      <c r="I81" s="22"/>
      <c r="J81" s="22"/>
      <c r="K81" s="22"/>
      <c r="L81" s="22"/>
      <c r="M81" s="22"/>
      <c r="N81" s="22"/>
      <c r="O81" s="22"/>
      <c r="P81" s="22"/>
      <c r="Q81" s="22"/>
      <c r="R81" s="22"/>
      <c r="S81" s="22"/>
      <c r="T81" s="353" t="b" cm="1">
        <f t="array" aca="1" ref="T81" ca="1">T80</f>
        <v>0</v>
      </c>
      <c r="U81" s="22"/>
      <c r="V81" s="22"/>
      <c r="W81" s="22"/>
      <c r="X81" s="1022"/>
      <c r="Y81" s="22"/>
      <c r="Z81" s="1023"/>
      <c r="AA81" s="22"/>
      <c r="AB81" s="516" t="s">
        <v>2052</v>
      </c>
      <c r="AC81" s="403" t="s">
        <v>2053</v>
      </c>
      <c r="AD81" s="402" t="s">
        <v>828</v>
      </c>
      <c r="AE81" s="854"/>
      <c r="AF81" s="315"/>
      <c r="AG81" s="315"/>
      <c r="AH81" s="696" t="s">
        <v>2459</v>
      </c>
      <c r="AI81" s="655"/>
      <c r="AJ81" s="655"/>
      <c r="AK81" s="480"/>
      <c r="AL81" s="480"/>
    </row>
    <row r="82" spans="1:38" s="4" customFormat="1" ht="14.65" hidden="1" customHeight="1" x14ac:dyDescent="0.15">
      <c r="A82" s="487"/>
      <c r="B82" s="22"/>
      <c r="C82" s="22"/>
      <c r="D82" s="22"/>
      <c r="E82" s="449">
        <v>15</v>
      </c>
      <c r="F82" s="267" cm="1">
        <f t="array" aca="1" ref="F82" ca="1">OFFSET(E82,-1,1)</f>
        <v>0</v>
      </c>
      <c r="G82" s="22"/>
      <c r="H82" s="22"/>
      <c r="I82" s="22"/>
      <c r="J82" s="22"/>
      <c r="K82" s="22"/>
      <c r="L82" s="22"/>
      <c r="M82" s="22"/>
      <c r="N82" s="22"/>
      <c r="O82" s="22"/>
      <c r="P82" s="22"/>
      <c r="Q82" s="22"/>
      <c r="R82" s="22"/>
      <c r="S82" s="22"/>
      <c r="T82" s="353" t="b" cm="1">
        <f t="array" aca="1" ref="T82" ca="1">T81</f>
        <v>0</v>
      </c>
      <c r="U82" s="22"/>
      <c r="V82" s="22"/>
      <c r="W82" s="22"/>
      <c r="X82" s="1022"/>
      <c r="Y82" s="22"/>
      <c r="Z82" s="1023"/>
      <c r="AA82" s="22"/>
      <c r="AB82" s="516" t="s">
        <v>2054</v>
      </c>
      <c r="AC82" s="403" t="s">
        <v>2055</v>
      </c>
      <c r="AD82" s="402" t="s">
        <v>828</v>
      </c>
      <c r="AE82" s="854"/>
      <c r="AF82" s="315"/>
      <c r="AG82" s="315"/>
      <c r="AH82" s="696" t="s">
        <v>2460</v>
      </c>
      <c r="AI82" s="655"/>
      <c r="AJ82" s="655"/>
      <c r="AK82" s="480"/>
      <c r="AL82" s="480"/>
    </row>
    <row r="83" spans="1:38" s="4" customFormat="1" ht="14.65" hidden="1" customHeight="1" x14ac:dyDescent="0.15">
      <c r="A83" s="487"/>
      <c r="B83" s="22"/>
      <c r="C83" s="22"/>
      <c r="D83" s="22"/>
      <c r="E83" s="449">
        <v>15</v>
      </c>
      <c r="F83" s="267" cm="1">
        <f t="array" aca="1" ref="F83" ca="1">OFFSET(E83,-1,1)</f>
        <v>0</v>
      </c>
      <c r="G83" s="22"/>
      <c r="H83" s="22"/>
      <c r="I83" s="22"/>
      <c r="J83" s="22"/>
      <c r="K83" s="22"/>
      <c r="L83" s="22"/>
      <c r="M83" s="22"/>
      <c r="N83" s="22"/>
      <c r="O83" s="22"/>
      <c r="P83" s="22"/>
      <c r="Q83" s="22"/>
      <c r="R83" s="22"/>
      <c r="S83" s="22"/>
      <c r="T83" s="353" t="b" cm="1">
        <f t="array" aca="1" ref="T83" ca="1">T82</f>
        <v>0</v>
      </c>
      <c r="U83" s="22"/>
      <c r="V83" s="22"/>
      <c r="W83" s="22"/>
      <c r="X83" s="1022"/>
      <c r="Y83" s="22"/>
      <c r="Z83" s="1023"/>
      <c r="AA83" s="22"/>
      <c r="AB83" s="516" t="s">
        <v>2057</v>
      </c>
      <c r="AC83" s="403" t="s">
        <v>2058</v>
      </c>
      <c r="AD83" s="402" t="s">
        <v>828</v>
      </c>
      <c r="AE83" s="854"/>
      <c r="AF83" s="315"/>
      <c r="AG83" s="315"/>
      <c r="AH83" s="696" t="s">
        <v>2461</v>
      </c>
      <c r="AI83" s="655"/>
      <c r="AJ83" s="655"/>
      <c r="AK83" s="480"/>
      <c r="AL83" s="480"/>
    </row>
    <row r="84" spans="1:38" s="4" customFormat="1" ht="14.65" hidden="1" customHeight="1" x14ac:dyDescent="0.15">
      <c r="A84" s="487"/>
      <c r="B84" s="22"/>
      <c r="C84" s="22"/>
      <c r="D84" s="22"/>
      <c r="E84" s="449">
        <v>15</v>
      </c>
      <c r="F84" s="267" cm="1">
        <f t="array" aca="1" ref="F84" ca="1">OFFSET(E84,-1,1)</f>
        <v>0</v>
      </c>
      <c r="G84" s="22"/>
      <c r="H84" s="22"/>
      <c r="I84" s="22"/>
      <c r="J84" s="22"/>
      <c r="K84" s="22"/>
      <c r="L84" s="22"/>
      <c r="M84" s="22"/>
      <c r="N84" s="22"/>
      <c r="O84" s="22"/>
      <c r="P84" s="22"/>
      <c r="Q84" s="22"/>
      <c r="R84" s="22"/>
      <c r="S84" s="22"/>
      <c r="T84" s="353" t="b" cm="1">
        <f t="array" aca="1" ref="T84" ca="1">T83</f>
        <v>0</v>
      </c>
      <c r="U84" s="22"/>
      <c r="V84" s="22"/>
      <c r="W84" s="22"/>
      <c r="X84" s="1022"/>
      <c r="Y84" s="22"/>
      <c r="Z84" s="1023"/>
      <c r="AA84" s="22"/>
      <c r="AB84" s="516" t="s">
        <v>2060</v>
      </c>
      <c r="AC84" s="403" t="s">
        <v>2061</v>
      </c>
      <c r="AD84" s="402" t="s">
        <v>828</v>
      </c>
      <c r="AE84" s="854"/>
      <c r="AF84" s="315"/>
      <c r="AG84" s="315"/>
      <c r="AH84" s="696" t="s">
        <v>2462</v>
      </c>
      <c r="AI84" s="655"/>
      <c r="AJ84" s="655"/>
      <c r="AK84" s="480"/>
      <c r="AL84" s="480"/>
    </row>
    <row r="85" spans="1:38" s="4" customFormat="1" ht="26.25" hidden="1" customHeight="1" x14ac:dyDescent="0.15">
      <c r="A85" s="487"/>
      <c r="B85" s="22"/>
      <c r="C85" s="22"/>
      <c r="D85" s="22"/>
      <c r="E85" s="449">
        <v>27</v>
      </c>
      <c r="F85" s="267" cm="1">
        <f t="array" aca="1" ref="F85" ca="1">OFFSET(E85,-1,1)</f>
        <v>0</v>
      </c>
      <c r="G85" s="22"/>
      <c r="H85" s="22"/>
      <c r="I85" s="22"/>
      <c r="J85" s="22"/>
      <c r="K85" s="22"/>
      <c r="L85" s="22"/>
      <c r="M85" s="22"/>
      <c r="N85" s="22"/>
      <c r="O85" s="22"/>
      <c r="P85" s="22"/>
      <c r="Q85" s="22"/>
      <c r="R85" s="22"/>
      <c r="S85" s="22"/>
      <c r="T85" s="353" t="b" cm="1">
        <f t="array" aca="1" ref="T85" ca="1">T84</f>
        <v>0</v>
      </c>
      <c r="U85" s="22"/>
      <c r="V85" s="22"/>
      <c r="W85" s="22"/>
      <c r="X85" s="1022"/>
      <c r="Y85" s="22"/>
      <c r="Z85" s="1023"/>
      <c r="AA85" s="22"/>
      <c r="AB85" s="516" t="s">
        <v>2063</v>
      </c>
      <c r="AC85" s="403" t="s">
        <v>2064</v>
      </c>
      <c r="AD85" s="402" t="s">
        <v>828</v>
      </c>
      <c r="AE85" s="854"/>
      <c r="AF85" s="315"/>
      <c r="AG85" s="315"/>
      <c r="AH85" s="696" t="s">
        <v>2463</v>
      </c>
      <c r="AI85" s="655"/>
      <c r="AJ85" s="655"/>
      <c r="AK85" s="480"/>
      <c r="AL85" s="480"/>
    </row>
    <row r="86" spans="1:38" s="4" customFormat="1" ht="14.65" hidden="1" customHeight="1" x14ac:dyDescent="0.15">
      <c r="A86" s="487"/>
      <c r="B86" s="22"/>
      <c r="C86" s="22"/>
      <c r="D86" s="22"/>
      <c r="E86" s="449">
        <v>15</v>
      </c>
      <c r="F86" s="267" cm="1">
        <f t="array" aca="1" ref="F86" ca="1">OFFSET(E86,-1,1)</f>
        <v>0</v>
      </c>
      <c r="G86" s="22"/>
      <c r="H86" s="22"/>
      <c r="I86" s="22"/>
      <c r="J86" s="22"/>
      <c r="K86" s="22"/>
      <c r="L86" s="22"/>
      <c r="M86" s="22"/>
      <c r="N86" s="22"/>
      <c r="O86" s="22"/>
      <c r="P86" s="22"/>
      <c r="Q86" s="22"/>
      <c r="R86" s="22"/>
      <c r="S86" s="22"/>
      <c r="T86" s="353" t="b" cm="1">
        <f t="array" aca="1" ref="T86" ca="1">T85</f>
        <v>0</v>
      </c>
      <c r="U86" s="22"/>
      <c r="V86" s="22"/>
      <c r="W86" s="22"/>
      <c r="X86" s="1022"/>
      <c r="Y86" s="22"/>
      <c r="Z86" s="1023"/>
      <c r="AA86" s="22"/>
      <c r="AB86" s="516" t="s">
        <v>2067</v>
      </c>
      <c r="AC86" s="403" t="s">
        <v>2068</v>
      </c>
      <c r="AD86" s="402" t="s">
        <v>828</v>
      </c>
      <c r="AE86" s="854"/>
      <c r="AF86" s="315"/>
      <c r="AG86" s="315"/>
      <c r="AH86" s="696" t="s">
        <v>2464</v>
      </c>
      <c r="AI86" s="655"/>
      <c r="AJ86" s="655"/>
      <c r="AK86" s="480"/>
      <c r="AL86" s="480"/>
    </row>
    <row r="87" spans="1:38" s="4" customFormat="1" ht="14.65" hidden="1" customHeight="1" x14ac:dyDescent="0.15">
      <c r="A87" s="487"/>
      <c r="B87" s="22"/>
      <c r="C87" s="22"/>
      <c r="D87" s="22"/>
      <c r="E87" s="449">
        <v>15</v>
      </c>
      <c r="F87" s="267" cm="1">
        <f t="array" aca="1" ref="F87" ca="1">OFFSET(E87,-1,1)</f>
        <v>0</v>
      </c>
      <c r="G87" s="22"/>
      <c r="H87" s="22"/>
      <c r="I87" s="22"/>
      <c r="J87" s="22"/>
      <c r="K87" s="22"/>
      <c r="L87" s="22"/>
      <c r="M87" s="22"/>
      <c r="N87" s="22"/>
      <c r="O87" s="22"/>
      <c r="P87" s="22"/>
      <c r="Q87" s="22"/>
      <c r="R87" s="22"/>
      <c r="S87" s="22"/>
      <c r="T87" s="353" t="b" cm="1">
        <f t="array" aca="1" ref="T87" ca="1">T86</f>
        <v>0</v>
      </c>
      <c r="U87" s="22"/>
      <c r="V87" s="22"/>
      <c r="W87" s="22"/>
      <c r="X87" s="1022"/>
      <c r="Y87" s="22"/>
      <c r="Z87" s="1023"/>
      <c r="AA87" s="22"/>
      <c r="AB87" s="516" t="s">
        <v>2071</v>
      </c>
      <c r="AC87" s="403" t="s">
        <v>2072</v>
      </c>
      <c r="AD87" s="402" t="s">
        <v>828</v>
      </c>
      <c r="AE87" s="854"/>
      <c r="AF87" s="315"/>
      <c r="AG87" s="315"/>
      <c r="AH87" s="696" t="s">
        <v>2465</v>
      </c>
      <c r="AI87" s="655"/>
      <c r="AJ87" s="655"/>
      <c r="AK87" s="480"/>
      <c r="AL87" s="480"/>
    </row>
    <row r="88" spans="1:38" s="4" customFormat="1" ht="14.65" hidden="1" customHeight="1" x14ac:dyDescent="0.15">
      <c r="A88" s="487"/>
      <c r="B88" s="22"/>
      <c r="C88" s="22"/>
      <c r="D88" s="22"/>
      <c r="E88" s="449">
        <v>15</v>
      </c>
      <c r="F88" s="267" cm="1">
        <f t="array" aca="1" ref="F88" ca="1">OFFSET(E88,-1,1)</f>
        <v>0</v>
      </c>
      <c r="G88" s="22"/>
      <c r="H88" s="22"/>
      <c r="I88" s="22"/>
      <c r="J88" s="22"/>
      <c r="K88" s="22"/>
      <c r="L88" s="22"/>
      <c r="M88" s="22"/>
      <c r="N88" s="22"/>
      <c r="O88" s="22"/>
      <c r="P88" s="22"/>
      <c r="Q88" s="22"/>
      <c r="R88" s="22"/>
      <c r="S88" s="22"/>
      <c r="T88" s="353" t="b" cm="1">
        <f t="array" aca="1" ref="T88" ca="1">T87</f>
        <v>0</v>
      </c>
      <c r="U88" s="22"/>
      <c r="V88" s="22"/>
      <c r="W88" s="22"/>
      <c r="X88" s="1022"/>
      <c r="Y88" s="22"/>
      <c r="Z88" s="1023"/>
      <c r="AA88" s="22"/>
      <c r="AB88" s="516" t="s">
        <v>2074</v>
      </c>
      <c r="AC88" s="403" t="s">
        <v>2075</v>
      </c>
      <c r="AD88" s="402" t="s">
        <v>828</v>
      </c>
      <c r="AE88" s="854"/>
      <c r="AF88" s="315"/>
      <c r="AG88" s="315"/>
      <c r="AH88" s="696" t="s">
        <v>2466</v>
      </c>
      <c r="AI88" s="655"/>
      <c r="AJ88" s="655"/>
      <c r="AK88" s="480"/>
      <c r="AL88" s="480"/>
    </row>
    <row r="89" spans="1:38" s="4" customFormat="1" ht="14.65" hidden="1" customHeight="1" x14ac:dyDescent="0.15">
      <c r="A89" s="487"/>
      <c r="B89" s="22"/>
      <c r="C89" s="22"/>
      <c r="D89" s="22"/>
      <c r="E89" s="449">
        <v>15</v>
      </c>
      <c r="F89" s="267" cm="1">
        <f t="array" aca="1" ref="F89" ca="1">OFFSET(E89,-1,1)</f>
        <v>0</v>
      </c>
      <c r="G89" s="22"/>
      <c r="H89" s="22"/>
      <c r="I89" s="22"/>
      <c r="J89" s="22"/>
      <c r="K89" s="22"/>
      <c r="L89" s="22"/>
      <c r="M89" s="22"/>
      <c r="N89" s="22"/>
      <c r="O89" s="22"/>
      <c r="P89" s="22"/>
      <c r="Q89" s="22"/>
      <c r="R89" s="22"/>
      <c r="S89" s="22"/>
      <c r="T89" s="353" t="b" cm="1">
        <f t="array" aca="1" ref="T89" ca="1">T88</f>
        <v>0</v>
      </c>
      <c r="U89" s="22"/>
      <c r="V89" s="22"/>
      <c r="W89" s="22"/>
      <c r="X89" s="1022"/>
      <c r="Y89" s="22"/>
      <c r="Z89" s="1023"/>
      <c r="AA89" s="22"/>
      <c r="AB89" s="516" t="s">
        <v>2077</v>
      </c>
      <c r="AC89" s="403" t="s">
        <v>2078</v>
      </c>
      <c r="AD89" s="402" t="s">
        <v>828</v>
      </c>
      <c r="AE89" s="854"/>
      <c r="AF89" s="315"/>
      <c r="AG89" s="315"/>
      <c r="AH89" s="696" t="s">
        <v>2467</v>
      </c>
      <c r="AI89" s="655"/>
      <c r="AJ89" s="655"/>
      <c r="AK89" s="480"/>
      <c r="AL89" s="480"/>
    </row>
    <row r="90" spans="1:38" s="4" customFormat="1" ht="14.65" hidden="1" customHeight="1" x14ac:dyDescent="0.15">
      <c r="A90" s="487"/>
      <c r="B90" s="22"/>
      <c r="C90" s="22"/>
      <c r="D90" s="22"/>
      <c r="E90" s="449">
        <v>15</v>
      </c>
      <c r="F90" s="267" cm="1">
        <f t="array" aca="1" ref="F90" ca="1">OFFSET(E90,-1,1)</f>
        <v>0</v>
      </c>
      <c r="G90" s="22"/>
      <c r="H90" s="22"/>
      <c r="I90" s="22"/>
      <c r="J90" s="22"/>
      <c r="K90" s="22"/>
      <c r="L90" s="22"/>
      <c r="M90" s="22"/>
      <c r="N90" s="22"/>
      <c r="O90" s="22"/>
      <c r="P90" s="22"/>
      <c r="Q90" s="22"/>
      <c r="R90" s="22"/>
      <c r="S90" s="22"/>
      <c r="T90" s="353" t="b" cm="1">
        <f t="array" aca="1" ref="T90" ca="1">T89</f>
        <v>0</v>
      </c>
      <c r="U90" s="22"/>
      <c r="V90" s="22"/>
      <c r="W90" s="22"/>
      <c r="X90" s="1022"/>
      <c r="Y90" s="22"/>
      <c r="Z90" s="1023"/>
      <c r="AA90" s="22"/>
      <c r="AB90" s="516" t="s">
        <v>2079</v>
      </c>
      <c r="AC90" s="403" t="s">
        <v>2080</v>
      </c>
      <c r="AD90" s="402" t="s">
        <v>828</v>
      </c>
      <c r="AE90" s="854"/>
      <c r="AF90" s="315"/>
      <c r="AG90" s="315"/>
      <c r="AH90" s="696" t="s">
        <v>2468</v>
      </c>
      <c r="AI90" s="655"/>
      <c r="AJ90" s="655"/>
      <c r="AK90" s="480"/>
      <c r="AL90" s="480"/>
    </row>
    <row r="91" spans="1:38" s="4" customFormat="1" ht="14.65" hidden="1" customHeight="1" x14ac:dyDescent="0.15">
      <c r="A91" s="487"/>
      <c r="B91" s="22"/>
      <c r="C91" s="22"/>
      <c r="D91" s="22"/>
      <c r="E91" s="449">
        <v>15</v>
      </c>
      <c r="F91" s="267" cm="1">
        <f t="array" aca="1" ref="F91" ca="1">OFFSET(E91,-1,1)</f>
        <v>0</v>
      </c>
      <c r="G91" s="22"/>
      <c r="H91" s="22"/>
      <c r="I91" s="22"/>
      <c r="J91" s="22"/>
      <c r="K91" s="22"/>
      <c r="L91" s="22"/>
      <c r="M91" s="22"/>
      <c r="N91" s="22"/>
      <c r="O91" s="22"/>
      <c r="P91" s="22"/>
      <c r="Q91" s="22"/>
      <c r="R91" s="22"/>
      <c r="S91" s="22"/>
      <c r="T91" s="353" t="b" cm="1">
        <f t="array" aca="1" ref="T91" ca="1">T90</f>
        <v>0</v>
      </c>
      <c r="U91" s="22"/>
      <c r="V91" s="22"/>
      <c r="W91" s="22"/>
      <c r="X91" s="1022"/>
      <c r="Y91" s="22"/>
      <c r="Z91" s="1023"/>
      <c r="AA91" s="22"/>
      <c r="AB91" s="516" t="s">
        <v>565</v>
      </c>
      <c r="AC91" s="401" t="s">
        <v>2081</v>
      </c>
      <c r="AD91" s="402" t="s">
        <v>828</v>
      </c>
      <c r="AE91" s="854"/>
      <c r="AF91" s="315"/>
      <c r="AG91" s="315"/>
      <c r="AH91" s="696" t="s">
        <v>2469</v>
      </c>
      <c r="AI91" s="655"/>
      <c r="AJ91" s="655"/>
      <c r="AK91" s="480"/>
      <c r="AL91" s="480"/>
    </row>
    <row r="92" spans="1:38" ht="14.65" hidden="1" customHeight="1" x14ac:dyDescent="0.15">
      <c r="E92" s="449">
        <v>15</v>
      </c>
      <c r="F92" s="3" cm="1">
        <f t="array" aca="1" ref="F92" ca="1">OFFSET(E92,-1,1)</f>
        <v>0</v>
      </c>
      <c r="H92" s="22" t="s">
        <v>503</v>
      </c>
      <c r="T92" s="353" t="b" cm="1">
        <f t="array" aca="1" ref="T92" ca="1">T78</f>
        <v>0</v>
      </c>
      <c r="X92" s="1022"/>
      <c r="Z92" s="1023"/>
      <c r="AB92" s="516" t="s">
        <v>569</v>
      </c>
      <c r="AC92" s="401" t="s">
        <v>2470</v>
      </c>
      <c r="AD92" s="402" t="s">
        <v>828</v>
      </c>
      <c r="AE92" s="406">
        <f>SUM(AE93:AE101)</f>
        <v>0</v>
      </c>
      <c r="AH92" s="702" t="s">
        <v>1275</v>
      </c>
    </row>
    <row r="93" spans="1:38" ht="14.65" hidden="1" customHeight="1" x14ac:dyDescent="0.15">
      <c r="E93" s="449">
        <v>15</v>
      </c>
      <c r="F93" s="3" cm="1">
        <f t="array" aca="1" ref="F93" ca="1">OFFSET(E93,-1,1)</f>
        <v>0</v>
      </c>
      <c r="H93" s="22" t="s">
        <v>1812</v>
      </c>
      <c r="T93" s="353" t="b" cm="1">
        <f t="array" aca="1" ref="T93" ca="1">T92</f>
        <v>0</v>
      </c>
      <c r="X93" s="1022"/>
      <c r="Z93" s="1023"/>
      <c r="AB93" s="516" t="s">
        <v>519</v>
      </c>
      <c r="AC93" s="403" t="s">
        <v>1290</v>
      </c>
      <c r="AD93" s="402" t="s">
        <v>828</v>
      </c>
      <c r="AE93" s="854"/>
      <c r="AH93" s="696" t="s">
        <v>2084</v>
      </c>
    </row>
    <row r="94" spans="1:38" ht="14.65" hidden="1" customHeight="1" x14ac:dyDescent="0.15">
      <c r="E94" s="449">
        <v>15</v>
      </c>
      <c r="F94" s="3" cm="1">
        <f t="array" aca="1" ref="F94" ca="1">OFFSET(E94,-1,1)</f>
        <v>0</v>
      </c>
      <c r="H94" s="22" t="s">
        <v>1815</v>
      </c>
      <c r="T94" s="353" t="b" cm="1">
        <f t="array" aca="1" ref="T94" ca="1">T93</f>
        <v>0</v>
      </c>
      <c r="X94" s="1022"/>
      <c r="Z94" s="1023"/>
      <c r="AB94" s="516" t="s">
        <v>1500</v>
      </c>
      <c r="AC94" s="403" t="s">
        <v>2471</v>
      </c>
      <c r="AD94" s="402" t="s">
        <v>828</v>
      </c>
      <c r="AE94" s="854"/>
      <c r="AH94" s="696" t="s">
        <v>2087</v>
      </c>
    </row>
    <row r="95" spans="1:38" ht="14.65" hidden="1" customHeight="1" x14ac:dyDescent="0.15">
      <c r="E95" s="449">
        <v>15</v>
      </c>
      <c r="F95" s="3" cm="1">
        <f t="array" aca="1" ref="F95" ca="1">OFFSET(E95,-1,1)</f>
        <v>0</v>
      </c>
      <c r="H95" s="22" t="s">
        <v>2472</v>
      </c>
      <c r="T95" s="353" t="b" cm="1">
        <f t="array" aca="1" ref="T95" ca="1">T94</f>
        <v>0</v>
      </c>
      <c r="X95" s="1022"/>
      <c r="Z95" s="1023"/>
      <c r="AB95" s="516" t="s">
        <v>1505</v>
      </c>
      <c r="AC95" s="403" t="s">
        <v>2473</v>
      </c>
      <c r="AD95" s="402" t="s">
        <v>828</v>
      </c>
      <c r="AE95" s="854"/>
      <c r="AH95" s="696" t="s">
        <v>2090</v>
      </c>
    </row>
    <row r="96" spans="1:38" ht="14.65" hidden="1" customHeight="1" x14ac:dyDescent="0.15">
      <c r="E96" s="449">
        <v>15</v>
      </c>
      <c r="F96" s="3" cm="1">
        <f t="array" aca="1" ref="F96" ca="1">OFFSET(E96,-1,1)</f>
        <v>0</v>
      </c>
      <c r="H96" s="22" t="s">
        <v>2474</v>
      </c>
      <c r="T96" s="353" t="b" cm="1">
        <f t="array" aca="1" ref="T96" ca="1">T95</f>
        <v>0</v>
      </c>
      <c r="X96" s="1022"/>
      <c r="Z96" s="1023"/>
      <c r="AB96" s="516" t="s">
        <v>2092</v>
      </c>
      <c r="AC96" s="403" t="s">
        <v>1283</v>
      </c>
      <c r="AD96" s="402" t="s">
        <v>828</v>
      </c>
      <c r="AE96" s="854"/>
      <c r="AH96" s="696" t="s">
        <v>2094</v>
      </c>
    </row>
    <row r="97" spans="1:38" ht="14.65" hidden="1" customHeight="1" x14ac:dyDescent="0.15">
      <c r="E97" s="449">
        <v>15</v>
      </c>
      <c r="F97" s="3" cm="1">
        <f t="array" aca="1" ref="F97" ca="1">OFFSET(E97,-1,1)</f>
        <v>0</v>
      </c>
      <c r="H97" s="22" t="s">
        <v>2475</v>
      </c>
      <c r="T97" s="353" t="b" cm="1">
        <f t="array" aca="1" ref="T97" ca="1">T96</f>
        <v>0</v>
      </c>
      <c r="X97" s="1022"/>
      <c r="Z97" s="1023"/>
      <c r="AB97" s="516" t="s">
        <v>2096</v>
      </c>
      <c r="AC97" s="403" t="s">
        <v>1285</v>
      </c>
      <c r="AD97" s="402" t="s">
        <v>828</v>
      </c>
      <c r="AE97" s="854"/>
      <c r="AH97" s="696" t="s">
        <v>2098</v>
      </c>
    </row>
    <row r="98" spans="1:38" ht="14.65" hidden="1" customHeight="1" x14ac:dyDescent="0.15">
      <c r="E98" s="449">
        <v>15</v>
      </c>
      <c r="F98" s="3" cm="1">
        <f t="array" aca="1" ref="F98" ca="1">OFFSET(E98,-1,1)</f>
        <v>0</v>
      </c>
      <c r="H98" s="22" t="s">
        <v>2476</v>
      </c>
      <c r="T98" s="353" t="b" cm="1">
        <f t="array" aca="1" ref="T98" ca="1">T97</f>
        <v>0</v>
      </c>
      <c r="X98" s="1022"/>
      <c r="Z98" s="1023"/>
      <c r="AB98" s="516" t="s">
        <v>2100</v>
      </c>
      <c r="AC98" s="403" t="s">
        <v>1276</v>
      </c>
      <c r="AD98" s="402" t="s">
        <v>828</v>
      </c>
      <c r="AE98" s="854"/>
      <c r="AH98" s="696" t="s">
        <v>2102</v>
      </c>
    </row>
    <row r="99" spans="1:38" s="4" customFormat="1" ht="14.65" hidden="1" customHeight="1" x14ac:dyDescent="0.15">
      <c r="A99" s="487"/>
      <c r="B99" s="22"/>
      <c r="C99" s="22"/>
      <c r="D99" s="22"/>
      <c r="E99" s="449">
        <v>15</v>
      </c>
      <c r="F99" s="267" cm="1">
        <f t="array" aca="1" ref="F99" ca="1">OFFSET(E99,-1,1)</f>
        <v>0</v>
      </c>
      <c r="G99" s="22"/>
      <c r="H99" s="22"/>
      <c r="I99" s="22"/>
      <c r="J99" s="22"/>
      <c r="K99" s="22"/>
      <c r="L99" s="22"/>
      <c r="M99" s="22"/>
      <c r="N99" s="22"/>
      <c r="O99" s="22"/>
      <c r="P99" s="22"/>
      <c r="Q99" s="22"/>
      <c r="R99" s="22"/>
      <c r="S99" s="22"/>
      <c r="T99" s="353" t="b" cm="1">
        <f t="array" aca="1" ref="T99" ca="1">T98</f>
        <v>0</v>
      </c>
      <c r="U99" s="22"/>
      <c r="V99" s="22"/>
      <c r="W99" s="22"/>
      <c r="X99" s="1022"/>
      <c r="Y99" s="22"/>
      <c r="Z99" s="1023"/>
      <c r="AA99" s="22"/>
      <c r="AB99" s="516" t="s">
        <v>2104</v>
      </c>
      <c r="AC99" s="403" t="s">
        <v>2477</v>
      </c>
      <c r="AD99" s="402" t="s">
        <v>828</v>
      </c>
      <c r="AE99" s="854"/>
      <c r="AF99" s="315"/>
      <c r="AG99" s="315"/>
      <c r="AH99" s="696" t="s">
        <v>1293</v>
      </c>
      <c r="AI99" s="655"/>
      <c r="AJ99" s="655"/>
      <c r="AK99" s="480"/>
      <c r="AL99" s="480"/>
    </row>
    <row r="100" spans="1:38" s="4" customFormat="1" ht="14.65" hidden="1" customHeight="1" x14ac:dyDescent="0.15">
      <c r="A100" s="487"/>
      <c r="B100" s="22"/>
      <c r="C100" s="22"/>
      <c r="D100" s="22"/>
      <c r="E100" s="449">
        <v>15</v>
      </c>
      <c r="F100" s="267" cm="1">
        <f t="array" aca="1" ref="F100" ca="1">OFFSET(E100,-1,1)</f>
        <v>0</v>
      </c>
      <c r="G100" s="22"/>
      <c r="H100" s="22"/>
      <c r="I100" s="22"/>
      <c r="J100" s="22"/>
      <c r="K100" s="22"/>
      <c r="L100" s="22"/>
      <c r="M100" s="22"/>
      <c r="N100" s="22"/>
      <c r="O100" s="22"/>
      <c r="P100" s="22"/>
      <c r="Q100" s="22"/>
      <c r="R100" s="22"/>
      <c r="S100" s="22"/>
      <c r="T100" s="353" t="b" cm="1">
        <f t="array" aca="1" ref="T100" ca="1">T99</f>
        <v>0</v>
      </c>
      <c r="U100" s="22"/>
      <c r="V100" s="22"/>
      <c r="W100" s="22"/>
      <c r="X100" s="1022"/>
      <c r="Y100" s="22"/>
      <c r="Z100" s="1023"/>
      <c r="AA100" s="22"/>
      <c r="AB100" s="516" t="s">
        <v>2108</v>
      </c>
      <c r="AC100" s="403" t="s">
        <v>1294</v>
      </c>
      <c r="AD100" s="402" t="s">
        <v>828</v>
      </c>
      <c r="AE100" s="854"/>
      <c r="AF100" s="315"/>
      <c r="AG100" s="315"/>
      <c r="AH100" s="696" t="s">
        <v>2478</v>
      </c>
      <c r="AI100" s="655"/>
      <c r="AJ100" s="655"/>
      <c r="AK100" s="480"/>
      <c r="AL100" s="480"/>
    </row>
    <row r="101" spans="1:38" ht="14.65" hidden="1" customHeight="1" x14ac:dyDescent="0.15">
      <c r="E101" s="449">
        <v>15</v>
      </c>
      <c r="F101" s="3" cm="1">
        <f t="array" aca="1" ref="F101" ca="1">OFFSET(E101,-1,1)</f>
        <v>0</v>
      </c>
      <c r="H101" s="22" t="s">
        <v>2479</v>
      </c>
      <c r="T101" s="353" t="b" cm="1">
        <f t="array" aca="1" ref="T101" ca="1">T98</f>
        <v>0</v>
      </c>
      <c r="X101" s="1022"/>
      <c r="Z101" s="1023"/>
      <c r="AB101" s="516" t="s">
        <v>2110</v>
      </c>
      <c r="AC101" s="403" t="s">
        <v>1296</v>
      </c>
      <c r="AD101" s="402" t="s">
        <v>828</v>
      </c>
      <c r="AE101" s="854"/>
      <c r="AH101" s="696" t="s">
        <v>2116</v>
      </c>
    </row>
    <row r="102" spans="1:38" ht="14.65" hidden="1" customHeight="1" x14ac:dyDescent="0.15">
      <c r="E102" s="449">
        <v>15</v>
      </c>
      <c r="F102" s="3" cm="1">
        <f t="array" aca="1" ref="F102" ca="1">OFFSET(E102,-1,1)</f>
        <v>0</v>
      </c>
      <c r="H102" s="22" t="s">
        <v>959</v>
      </c>
      <c r="T102" s="353" t="b" cm="1">
        <f t="array" aca="1" ref="T102" ca="1">T101</f>
        <v>0</v>
      </c>
      <c r="X102" s="1022"/>
      <c r="Z102" s="1023"/>
      <c r="AB102" s="516" t="s">
        <v>962</v>
      </c>
      <c r="AC102" s="403" t="s">
        <v>1085</v>
      </c>
      <c r="AD102" s="402" t="s">
        <v>828</v>
      </c>
      <c r="AE102" s="854"/>
      <c r="AH102" s="696" t="s">
        <v>1233</v>
      </c>
    </row>
    <row r="103" spans="1:38" ht="14.65" hidden="1" customHeight="1" x14ac:dyDescent="0.15">
      <c r="E103" s="449">
        <v>15</v>
      </c>
      <c r="F103" s="3" cm="1">
        <f t="array" aca="1" ref="F103" ca="1">OFFSET(E103,-1,1)</f>
        <v>0</v>
      </c>
      <c r="H103" s="22" t="s">
        <v>2119</v>
      </c>
      <c r="T103" s="353" t="b" cm="1">
        <f t="array" aca="1" ref="T103" ca="1">T102</f>
        <v>0</v>
      </c>
      <c r="X103" s="1022"/>
      <c r="Z103" s="1023"/>
      <c r="AB103" s="516" t="s">
        <v>965</v>
      </c>
      <c r="AC103" s="401" t="s">
        <v>1472</v>
      </c>
      <c r="AD103" s="402" t="s">
        <v>828</v>
      </c>
      <c r="AE103" s="854"/>
      <c r="AH103" s="703" t="s">
        <v>1856</v>
      </c>
    </row>
    <row r="104" spans="1:38" ht="14.65" hidden="1" customHeight="1" x14ac:dyDescent="0.15">
      <c r="E104" s="449">
        <v>15</v>
      </c>
      <c r="F104" s="3" cm="1">
        <f t="array" aca="1" ref="F104" ca="1">OFFSET(E104,-1,1)</f>
        <v>0</v>
      </c>
      <c r="H104" s="22" t="s">
        <v>2127</v>
      </c>
      <c r="T104" s="353" t="b" cm="1">
        <f t="array" aca="1" ref="T104" ca="1">T103</f>
        <v>0</v>
      </c>
      <c r="X104" s="1022"/>
      <c r="Z104" s="1023"/>
      <c r="AB104" s="516" t="s">
        <v>1520</v>
      </c>
      <c r="AC104" s="401" t="s">
        <v>1482</v>
      </c>
      <c r="AD104" s="402" t="s">
        <v>828</v>
      </c>
      <c r="AE104" s="406">
        <f>AE105+AE106</f>
        <v>0</v>
      </c>
      <c r="AH104" s="696" t="s">
        <v>2132</v>
      </c>
    </row>
    <row r="105" spans="1:38" ht="14.65" hidden="1" customHeight="1" x14ac:dyDescent="0.15">
      <c r="E105" s="449">
        <v>15</v>
      </c>
      <c r="F105" s="3" cm="1">
        <f t="array" aca="1" ref="F105" ca="1">OFFSET(E105,-1,1)</f>
        <v>0</v>
      </c>
      <c r="H105" s="22" t="s">
        <v>2480</v>
      </c>
      <c r="T105" s="353" t="b" cm="1">
        <f t="array" aca="1" ref="T105" ca="1">T104</f>
        <v>0</v>
      </c>
      <c r="X105" s="1022"/>
      <c r="Z105" s="1023"/>
      <c r="AB105" s="516" t="s">
        <v>2123</v>
      </c>
      <c r="AC105" s="403" t="s">
        <v>2481</v>
      </c>
      <c r="AD105" s="402" t="s">
        <v>828</v>
      </c>
      <c r="AE105" s="854"/>
      <c r="AH105" s="696" t="s">
        <v>1268</v>
      </c>
    </row>
    <row r="106" spans="1:38" ht="21.95" hidden="1" customHeight="1" x14ac:dyDescent="0.15">
      <c r="E106" s="449">
        <v>22.5</v>
      </c>
      <c r="F106" s="3" cm="1">
        <f t="array" aca="1" ref="F106" ca="1">OFFSET(E106,-1,1)</f>
        <v>0</v>
      </c>
      <c r="H106" s="22" t="s">
        <v>2482</v>
      </c>
      <c r="T106" s="353" t="b" cm="1">
        <f t="array" aca="1" ref="T106" ca="1">T105</f>
        <v>0</v>
      </c>
      <c r="X106" s="1022"/>
      <c r="Z106" s="1023"/>
      <c r="AB106" s="516" t="s">
        <v>2483</v>
      </c>
      <c r="AC106" s="403" t="s">
        <v>2484</v>
      </c>
      <c r="AD106" s="402" t="s">
        <v>828</v>
      </c>
      <c r="AE106" s="854"/>
      <c r="AH106" s="696" t="s">
        <v>2139</v>
      </c>
    </row>
    <row r="107" spans="1:38" ht="76.7" hidden="1" customHeight="1" x14ac:dyDescent="0.15">
      <c r="E107" s="449">
        <v>78.75</v>
      </c>
      <c r="F107" s="3" cm="1">
        <f t="array" aca="1" ref="F107" ca="1">OFFSET(E107,-1,1)</f>
        <v>0</v>
      </c>
      <c r="H107" s="22" t="s">
        <v>2131</v>
      </c>
      <c r="T107" s="353" t="b" cm="1">
        <f t="array" aca="1" ref="T107" ca="1">T106</f>
        <v>0</v>
      </c>
      <c r="X107" s="1022"/>
      <c r="Z107" s="1023"/>
      <c r="AB107" s="516" t="s">
        <v>1525</v>
      </c>
      <c r="AC107" s="409" t="s">
        <v>1456</v>
      </c>
      <c r="AD107" s="402" t="s">
        <v>828</v>
      </c>
      <c r="AE107" s="854"/>
      <c r="AH107" s="696" t="s">
        <v>2117</v>
      </c>
    </row>
    <row r="108" spans="1:38" s="4" customFormat="1" ht="14.65" hidden="1" customHeight="1" x14ac:dyDescent="0.15">
      <c r="A108" s="487"/>
      <c r="B108" s="22"/>
      <c r="C108" s="22"/>
      <c r="D108" s="22"/>
      <c r="E108" s="449">
        <v>15</v>
      </c>
      <c r="F108" s="267" cm="1">
        <f t="array" aca="1" ref="F108" ca="1">OFFSET(E108,-1,1)</f>
        <v>0</v>
      </c>
      <c r="G108" s="22"/>
      <c r="H108" s="22"/>
      <c r="I108" s="22"/>
      <c r="J108" s="22"/>
      <c r="K108" s="22"/>
      <c r="L108" s="22"/>
      <c r="M108" s="22"/>
      <c r="N108" s="22"/>
      <c r="O108" s="22"/>
      <c r="P108" s="22"/>
      <c r="Q108" s="22"/>
      <c r="R108" s="22"/>
      <c r="S108" s="22"/>
      <c r="T108" s="353" t="b" cm="1">
        <f t="array" aca="1" ref="T108" ca="1">T107</f>
        <v>0</v>
      </c>
      <c r="U108" s="22"/>
      <c r="V108" s="22"/>
      <c r="W108" s="22"/>
      <c r="X108" s="1022"/>
      <c r="Y108" s="22"/>
      <c r="Z108" s="1023"/>
      <c r="AA108" s="22"/>
      <c r="AB108" s="516" t="s">
        <v>2128</v>
      </c>
      <c r="AC108" s="409" t="s">
        <v>1065</v>
      </c>
      <c r="AD108" s="402" t="s">
        <v>828</v>
      </c>
      <c r="AE108" s="854"/>
      <c r="AF108" s="315"/>
      <c r="AG108" s="315"/>
      <c r="AH108" s="696" t="s">
        <v>1067</v>
      </c>
      <c r="AI108" s="655"/>
      <c r="AJ108" s="655"/>
      <c r="AK108" s="480"/>
      <c r="AL108" s="480"/>
    </row>
    <row r="109" spans="1:38" s="4" customFormat="1" ht="14.65" hidden="1" customHeight="1" x14ac:dyDescent="0.15">
      <c r="A109" s="487"/>
      <c r="B109" s="22"/>
      <c r="C109" s="22"/>
      <c r="D109" s="22"/>
      <c r="E109" s="449">
        <v>15</v>
      </c>
      <c r="F109" s="267" cm="1">
        <f t="array" aca="1" ref="F109" ca="1">OFFSET(E109,-1,1)</f>
        <v>0</v>
      </c>
      <c r="G109" s="22"/>
      <c r="H109" s="22"/>
      <c r="I109" s="22"/>
      <c r="J109" s="22"/>
      <c r="K109" s="22"/>
      <c r="L109" s="22"/>
      <c r="M109" s="22"/>
      <c r="N109" s="22"/>
      <c r="O109" s="22"/>
      <c r="P109" s="22"/>
      <c r="Q109" s="22"/>
      <c r="R109" s="22"/>
      <c r="S109" s="22"/>
      <c r="T109" s="353" t="b" cm="1">
        <f t="array" aca="1" ref="T109" ca="1">T108</f>
        <v>0</v>
      </c>
      <c r="U109" s="22"/>
      <c r="V109" s="22"/>
      <c r="W109" s="22"/>
      <c r="X109" s="1022"/>
      <c r="Y109" s="22"/>
      <c r="Z109" s="1023"/>
      <c r="AA109" s="22"/>
      <c r="AB109" s="516" t="s">
        <v>1544</v>
      </c>
      <c r="AC109" s="409" t="s">
        <v>1467</v>
      </c>
      <c r="AD109" s="402" t="s">
        <v>828</v>
      </c>
      <c r="AE109" s="854"/>
      <c r="AF109" s="315"/>
      <c r="AG109" s="315"/>
      <c r="AH109" s="696" t="s">
        <v>2485</v>
      </c>
      <c r="AI109" s="655"/>
      <c r="AJ109" s="655"/>
      <c r="AK109" s="480"/>
      <c r="AL109" s="480"/>
    </row>
    <row r="110" spans="1:38" ht="14.65" hidden="1" customHeight="1" x14ac:dyDescent="0.15">
      <c r="E110" s="449">
        <v>15</v>
      </c>
      <c r="F110" s="3" cm="1">
        <f t="array" aca="1" ref="F110" ca="1">OFFSET(E110,-1,1)</f>
        <v>0</v>
      </c>
      <c r="H110" s="22" t="s">
        <v>2486</v>
      </c>
      <c r="T110" s="353" t="b" cm="1">
        <f t="array" aca="1" ref="T110" ca="1">T107</f>
        <v>0</v>
      </c>
      <c r="X110" s="1022"/>
      <c r="Z110" s="1023"/>
      <c r="AB110" s="516" t="s">
        <v>1548</v>
      </c>
      <c r="AC110" s="401" t="s">
        <v>2487</v>
      </c>
      <c r="AD110" s="402" t="s">
        <v>828</v>
      </c>
      <c r="AE110" s="854"/>
      <c r="AH110" s="655" t="s">
        <v>2488</v>
      </c>
    </row>
    <row r="111" spans="1:38" s="4" customFormat="1" ht="32.1" hidden="1" customHeight="1" x14ac:dyDescent="0.15">
      <c r="A111" s="487"/>
      <c r="B111" s="22"/>
      <c r="C111" s="22"/>
      <c r="D111" s="22"/>
      <c r="E111" s="449">
        <v>33</v>
      </c>
      <c r="F111" s="267" cm="1">
        <f t="array" aca="1" ref="F111" ca="1">OFFSET(E111,-1,1)</f>
        <v>0</v>
      </c>
      <c r="G111" s="22"/>
      <c r="H111" s="22"/>
      <c r="I111" s="22"/>
      <c r="J111" s="22"/>
      <c r="K111" s="22"/>
      <c r="L111" s="22"/>
      <c r="M111" s="22"/>
      <c r="N111" s="22"/>
      <c r="O111" s="22"/>
      <c r="P111" s="22"/>
      <c r="Q111" s="22"/>
      <c r="R111" s="22"/>
      <c r="S111" s="22"/>
      <c r="T111" s="353" t="b" cm="1">
        <f t="array" aca="1" ref="T111" ca="1">T110</f>
        <v>0</v>
      </c>
      <c r="U111" s="22"/>
      <c r="V111" s="22"/>
      <c r="W111" s="22"/>
      <c r="X111" s="1022"/>
      <c r="Y111" s="22"/>
      <c r="Z111" s="1023"/>
      <c r="AA111" s="22"/>
      <c r="AB111" s="516" t="s">
        <v>1551</v>
      </c>
      <c r="AC111" s="401" t="s">
        <v>2141</v>
      </c>
      <c r="AD111" s="402" t="s">
        <v>828</v>
      </c>
      <c r="AE111" s="854"/>
      <c r="AF111" s="315"/>
      <c r="AG111" s="315"/>
      <c r="AH111" s="655" t="s">
        <v>2489</v>
      </c>
      <c r="AI111" s="655"/>
      <c r="AJ111" s="655"/>
      <c r="AK111" s="480"/>
      <c r="AL111" s="480"/>
    </row>
    <row r="112" spans="1:38" ht="14.65" hidden="1" customHeight="1" x14ac:dyDescent="0.15">
      <c r="E112" s="449">
        <v>15</v>
      </c>
      <c r="F112" s="3" cm="1">
        <f t="array" aca="1" ref="F112" ca="1">OFFSET(E112,-1,1)</f>
        <v>0</v>
      </c>
      <c r="H112" s="22" t="s">
        <v>2490</v>
      </c>
      <c r="T112" s="353" t="b" cm="1">
        <f t="array" aca="1" ref="T112" ca="1">T110</f>
        <v>0</v>
      </c>
      <c r="X112" s="1022"/>
      <c r="Z112" s="1023"/>
      <c r="AB112" s="516" t="s">
        <v>2491</v>
      </c>
      <c r="AC112" s="401" t="s">
        <v>2492</v>
      </c>
      <c r="AD112" s="402" t="s">
        <v>828</v>
      </c>
      <c r="AE112" s="406">
        <f>SUM(AE113:AE114)</f>
        <v>0</v>
      </c>
      <c r="AH112" s="655" t="s">
        <v>2493</v>
      </c>
    </row>
    <row r="113" spans="5:38" ht="14.65" hidden="1" customHeight="1" x14ac:dyDescent="0.15">
      <c r="E113" s="449">
        <v>15</v>
      </c>
      <c r="F113" s="3" cm="1">
        <f t="array" aca="1" ref="F113" ca="1">OFFSET(E113,-1,1)</f>
        <v>0</v>
      </c>
      <c r="H113" s="22" t="s">
        <v>2490</v>
      </c>
      <c r="I113" s="410" cm="1">
        <f t="array" ref="I113">AC113</f>
        <v>0</v>
      </c>
      <c r="T113" s="353" t="b">
        <f ca="1">AND(F113&gt;0,Y113&gt;0)</f>
        <v>0</v>
      </c>
      <c r="W113" s="17" t="s">
        <v>172</v>
      </c>
      <c r="X113" s="1022"/>
      <c r="Y113" s="22">
        <v>0</v>
      </c>
      <c r="Z113" s="1023"/>
      <c r="AA113" s="482" t="s">
        <v>173</v>
      </c>
      <c r="AB113" s="516" t="str">
        <f>"2.12."&amp;Y113</f>
        <v>2.12.0</v>
      </c>
      <c r="AC113" s="888"/>
      <c r="AD113" s="402" t="s">
        <v>828</v>
      </c>
      <c r="AE113" s="854"/>
      <c r="AH113" s="655" t="s">
        <v>2493</v>
      </c>
      <c r="AI113" s="655" t="s">
        <v>2494</v>
      </c>
      <c r="AJ113" s="661" cm="1">
        <f t="array" ref="AJ113">AC113</f>
        <v>0</v>
      </c>
      <c r="AL113" s="480" t="b">
        <v>1</v>
      </c>
    </row>
    <row r="114" spans="5:38" ht="14.65" hidden="1" customHeight="1" x14ac:dyDescent="0.15">
      <c r="E114" s="449">
        <v>15</v>
      </c>
      <c r="F114" s="3" cm="1">
        <f t="array" aca="1" ref="F114" ca="1">OFFSET(E114,-1,1)</f>
        <v>0</v>
      </c>
      <c r="I114" s="72" t="str">
        <f>"!== 'не определено' &amp;&amp; row.l2_13 !== null"</f>
        <v>!== 'не определено' &amp;&amp; row.l2_13 !== null</v>
      </c>
      <c r="T114" s="353" t="b">
        <f ca="1">F114&gt;0</f>
        <v>0</v>
      </c>
      <c r="W114" s="506" t="s">
        <v>919</v>
      </c>
      <c r="X114" s="1022"/>
      <c r="Z114" s="1023"/>
      <c r="AB114" s="783"/>
      <c r="AC114" s="784" t="s">
        <v>176</v>
      </c>
      <c r="AD114" s="785"/>
      <c r="AE114" s="795"/>
      <c r="AK114" s="480" t="s">
        <v>2494</v>
      </c>
    </row>
    <row r="115" spans="5:38" ht="14.65" hidden="1" customHeight="1" x14ac:dyDescent="0.15">
      <c r="E115" s="449">
        <v>15</v>
      </c>
      <c r="F115" s="3" cm="1">
        <f t="array" aca="1" ref="F115" ca="1">OFFSET(E115,-1,1)</f>
        <v>0</v>
      </c>
      <c r="G115" s="22" t="s">
        <v>49</v>
      </c>
      <c r="H115" s="22" t="s">
        <v>333</v>
      </c>
      <c r="T115" s="353" t="b" cm="1">
        <f t="array" aca="1" ref="T115" ca="1">T114</f>
        <v>0</v>
      </c>
      <c r="X115" s="1022"/>
      <c r="Z115" s="1023"/>
      <c r="AB115" s="515" t="s">
        <v>291</v>
      </c>
      <c r="AC115" s="399" t="s">
        <v>2144</v>
      </c>
      <c r="AD115" s="400" t="s">
        <v>828</v>
      </c>
      <c r="AE115" s="889"/>
      <c r="AH115" s="655" t="s">
        <v>1750</v>
      </c>
    </row>
    <row r="116" spans="5:38" ht="14.25" customHeight="1" x14ac:dyDescent="0.15">
      <c r="E116" s="449">
        <v>15</v>
      </c>
      <c r="F116" s="267" t="str" cm="1">
        <f t="array" ref="F116">X116</f>
        <v>1</v>
      </c>
      <c r="G116" s="22" t="s">
        <v>821</v>
      </c>
      <c r="T116" s="353" t="b">
        <f>X116&gt;0</f>
        <v>1</v>
      </c>
      <c r="V116" s="22" t="str" cm="1">
        <f t="array" ref="V116">'ДПР (концессии)'!$AB$81</f>
        <v>Тариф 1 (Водоснабжение) - тариф на техническую воду</v>
      </c>
      <c r="X116" s="1022" t="s">
        <v>275</v>
      </c>
      <c r="Z116" s="1023"/>
      <c r="AB116" s="135" t="str" cm="1">
        <f t="array" ref="AB116">'ДПР (концессии)'!$AB$81</f>
        <v>Тариф 1 (Водоснабжение) - тариф на техническую воду</v>
      </c>
      <c r="AC116" s="94"/>
      <c r="AD116" s="88"/>
      <c r="AE116" s="782">
        <f>AE117+AE167+AE204</f>
        <v>0</v>
      </c>
    </row>
    <row r="117" spans="5:38" ht="14.25" customHeight="1" x14ac:dyDescent="0.15">
      <c r="E117" s="449">
        <v>15</v>
      </c>
      <c r="F117" s="3" t="str" cm="1">
        <f t="array" aca="1" ref="F117" ca="1">OFFSET(E117,-1,1)</f>
        <v>1</v>
      </c>
      <c r="H117" s="22" t="s">
        <v>331</v>
      </c>
      <c r="T117" s="353" t="b" cm="1">
        <f t="array" ref="T117">T116</f>
        <v>1</v>
      </c>
      <c r="X117" s="1022"/>
      <c r="Z117" s="1023"/>
      <c r="AB117" s="515" t="s">
        <v>275</v>
      </c>
      <c r="AC117" s="399" t="s">
        <v>1950</v>
      </c>
      <c r="AD117" s="400" t="s">
        <v>828</v>
      </c>
      <c r="AE117" s="406">
        <f>AE118+AE136+AE144+AE164</f>
        <v>0</v>
      </c>
      <c r="AH117" s="655" t="s">
        <v>550</v>
      </c>
    </row>
    <row r="118" spans="5:38" ht="14.25" customHeight="1" x14ac:dyDescent="0.15">
      <c r="E118" s="449">
        <v>15</v>
      </c>
      <c r="F118" s="3" t="str" cm="1">
        <f t="array" aca="1" ref="F118" ca="1">OFFSET(E118,-1,1)</f>
        <v>1</v>
      </c>
      <c r="H118" s="22" t="s">
        <v>482</v>
      </c>
      <c r="T118" s="353" t="b" cm="1">
        <f t="array" ref="T118">T117</f>
        <v>1</v>
      </c>
      <c r="X118" s="1022"/>
      <c r="Z118" s="1023"/>
      <c r="AB118" s="516" t="s">
        <v>939</v>
      </c>
      <c r="AC118" s="401" t="s">
        <v>1738</v>
      </c>
      <c r="AD118" s="402" t="s">
        <v>828</v>
      </c>
      <c r="AE118" s="406">
        <f>AE119+AE120+AE121+AE126+AE127+AE128</f>
        <v>0</v>
      </c>
      <c r="AH118" s="655" t="s">
        <v>1164</v>
      </c>
    </row>
    <row r="119" spans="5:38" ht="14.25" customHeight="1" x14ac:dyDescent="0.15">
      <c r="E119" s="449">
        <v>15</v>
      </c>
      <c r="F119" s="3" t="str" cm="1">
        <f t="array" aca="1" ref="F119" ca="1">OFFSET(E119,-1,1)</f>
        <v>1</v>
      </c>
      <c r="H119" s="22" t="s">
        <v>1070</v>
      </c>
      <c r="T119" s="353" t="b" cm="1">
        <f t="array" ref="T119">T118</f>
        <v>1</v>
      </c>
      <c r="X119" s="1022"/>
      <c r="Z119" s="1023"/>
      <c r="AB119" s="516" t="s">
        <v>1071</v>
      </c>
      <c r="AC119" s="403" t="s">
        <v>2361</v>
      </c>
      <c r="AD119" s="402" t="s">
        <v>828</v>
      </c>
      <c r="AE119" s="142"/>
      <c r="AH119" s="655" t="s">
        <v>1260</v>
      </c>
    </row>
    <row r="120" spans="5:38" ht="21.75" customHeight="1" x14ac:dyDescent="0.15">
      <c r="E120" s="449">
        <v>22.5</v>
      </c>
      <c r="F120" s="3" t="str" cm="1">
        <f t="array" aca="1" ref="F120" ca="1">OFFSET(E120,-1,1)</f>
        <v>1</v>
      </c>
      <c r="H120" s="22" t="s">
        <v>1074</v>
      </c>
      <c r="T120" s="353" t="b" cm="1">
        <f t="array" ref="T120">T119</f>
        <v>1</v>
      </c>
      <c r="X120" s="1022"/>
      <c r="Z120" s="1023"/>
      <c r="AB120" s="516" t="s">
        <v>1075</v>
      </c>
      <c r="AC120" s="403" t="s">
        <v>1958</v>
      </c>
      <c r="AD120" s="402" t="s">
        <v>828</v>
      </c>
      <c r="AE120" s="142"/>
      <c r="AH120" s="655" t="s">
        <v>1771</v>
      </c>
    </row>
    <row r="121" spans="5:38" ht="32.25" customHeight="1" x14ac:dyDescent="0.15">
      <c r="E121" s="449">
        <v>33.75</v>
      </c>
      <c r="F121" s="3" t="str" cm="1">
        <f t="array" aca="1" ref="F121" ca="1">OFFSET(E121,-1,1)</f>
        <v>1</v>
      </c>
      <c r="H121" s="22" t="s">
        <v>1319</v>
      </c>
      <c r="T121" s="353" t="b" cm="1">
        <f t="array" ref="T121">T120</f>
        <v>1</v>
      </c>
      <c r="X121" s="1022"/>
      <c r="Z121" s="1023"/>
      <c r="AB121" s="516" t="s">
        <v>1320</v>
      </c>
      <c r="AC121" s="403" t="s">
        <v>2362</v>
      </c>
      <c r="AD121" s="402" t="s">
        <v>828</v>
      </c>
      <c r="AE121" s="406">
        <f>AE122+AE125</f>
        <v>0</v>
      </c>
      <c r="AH121" s="655" t="s">
        <v>1773</v>
      </c>
    </row>
    <row r="122" spans="5:38" ht="21.75" customHeight="1" x14ac:dyDescent="0.15">
      <c r="E122" s="449">
        <v>22.5</v>
      </c>
      <c r="F122" s="3" t="str" cm="1">
        <f t="array" aca="1" ref="F122" ca="1">OFFSET(E122,-1,1)</f>
        <v>1</v>
      </c>
      <c r="H122" s="22" t="s">
        <v>2363</v>
      </c>
      <c r="T122" s="353" t="b" cm="1">
        <f t="array" ref="T122">T121</f>
        <v>1</v>
      </c>
      <c r="X122" s="1022"/>
      <c r="Z122" s="1023"/>
      <c r="AB122" s="516" t="s">
        <v>2364</v>
      </c>
      <c r="AC122" s="404" t="s">
        <v>2365</v>
      </c>
      <c r="AD122" s="402" t="s">
        <v>828</v>
      </c>
      <c r="AE122" s="142"/>
      <c r="AH122" s="655" t="s">
        <v>1775</v>
      </c>
    </row>
    <row r="123" spans="5:38" ht="21.75" customHeight="1" x14ac:dyDescent="0.15">
      <c r="E123" s="449">
        <v>22.5</v>
      </c>
      <c r="F123" s="3" t="str" cm="1">
        <f t="array" aca="1" ref="F123" ca="1">OFFSET(E123,-1,1)</f>
        <v>1</v>
      </c>
      <c r="H123" s="22" t="s">
        <v>2366</v>
      </c>
      <c r="T123" s="353" t="b" cm="1">
        <f t="array" ref="T123">T122</f>
        <v>1</v>
      </c>
      <c r="X123" s="1022"/>
      <c r="Z123" s="1023"/>
      <c r="AB123" s="516" t="s">
        <v>2367</v>
      </c>
      <c r="AC123" s="405" t="s">
        <v>2368</v>
      </c>
      <c r="AD123" s="402" t="s">
        <v>2369</v>
      </c>
      <c r="AE123" s="142"/>
      <c r="AH123" s="655" t="s">
        <v>2370</v>
      </c>
    </row>
    <row r="124" spans="5:38" ht="21.75" customHeight="1" x14ac:dyDescent="0.15">
      <c r="E124" s="449">
        <v>22.5</v>
      </c>
      <c r="F124" s="3" t="str" cm="1">
        <f t="array" aca="1" ref="F124" ca="1">OFFSET(E124,-1,1)</f>
        <v>1</v>
      </c>
      <c r="H124" s="22" t="s">
        <v>2371</v>
      </c>
      <c r="T124" s="353" t="b" cm="1">
        <f t="array" ref="T124">T123</f>
        <v>1</v>
      </c>
      <c r="X124" s="1022"/>
      <c r="Z124" s="1023"/>
      <c r="AB124" s="516" t="s">
        <v>2372</v>
      </c>
      <c r="AC124" s="405" t="s">
        <v>2373</v>
      </c>
      <c r="AD124" s="402" t="s">
        <v>2374</v>
      </c>
      <c r="AE124" s="142"/>
      <c r="AH124" s="655" t="s">
        <v>2375</v>
      </c>
    </row>
    <row r="125" spans="5:38" ht="21.75" customHeight="1" x14ac:dyDescent="0.15">
      <c r="E125" s="449">
        <v>22.5</v>
      </c>
      <c r="F125" s="3" t="str" cm="1">
        <f t="array" aca="1" ref="F125" ca="1">OFFSET(E125,-1,1)</f>
        <v>1</v>
      </c>
      <c r="H125" s="22" t="s">
        <v>2376</v>
      </c>
      <c r="T125" s="353" t="b" cm="1">
        <f t="array" ref="T125">T124</f>
        <v>1</v>
      </c>
      <c r="X125" s="1022"/>
      <c r="Z125" s="1023"/>
      <c r="AB125" s="516" t="s">
        <v>2377</v>
      </c>
      <c r="AC125" s="404" t="s">
        <v>2378</v>
      </c>
      <c r="AD125" s="402" t="s">
        <v>828</v>
      </c>
      <c r="AE125" s="142"/>
      <c r="AH125" s="655" t="s">
        <v>1777</v>
      </c>
    </row>
    <row r="126" spans="5:38" ht="14.25" customHeight="1" x14ac:dyDescent="0.15">
      <c r="E126" s="449">
        <v>15</v>
      </c>
      <c r="F126" s="3" t="str" cm="1">
        <f t="array" aca="1" ref="F126" ca="1">OFFSET(E126,-1,1)</f>
        <v>1</v>
      </c>
      <c r="H126" s="22" t="s">
        <v>1323</v>
      </c>
      <c r="T126" s="353" t="b" cm="1">
        <f t="array" ref="T126">T125</f>
        <v>1</v>
      </c>
      <c r="X126" s="1022"/>
      <c r="Z126" s="1023"/>
      <c r="AB126" s="516" t="s">
        <v>1324</v>
      </c>
      <c r="AC126" s="403" t="s">
        <v>2379</v>
      </c>
      <c r="AD126" s="402" t="s">
        <v>828</v>
      </c>
      <c r="AE126" s="142"/>
      <c r="AH126" s="655" t="s">
        <v>2139</v>
      </c>
    </row>
    <row r="127" spans="5:38" ht="14.25" customHeight="1" x14ac:dyDescent="0.15">
      <c r="E127" s="449">
        <v>15</v>
      </c>
      <c r="F127" s="3" t="str" cm="1">
        <f t="array" aca="1" ref="F127" ca="1">OFFSET(E127,-1,1)</f>
        <v>1</v>
      </c>
      <c r="H127" s="22" t="s">
        <v>2380</v>
      </c>
      <c r="T127" s="353" t="b" cm="1">
        <f t="array" ref="T127">T126</f>
        <v>1</v>
      </c>
      <c r="X127" s="1022"/>
      <c r="Z127" s="1023"/>
      <c r="AB127" s="516" t="s">
        <v>1327</v>
      </c>
      <c r="AC127" s="403" t="s">
        <v>1964</v>
      </c>
      <c r="AD127" s="402" t="s">
        <v>828</v>
      </c>
      <c r="AE127" s="142"/>
      <c r="AH127" s="655" t="s">
        <v>1782</v>
      </c>
    </row>
    <row r="128" spans="5:38" ht="14.25" customHeight="1" x14ac:dyDescent="0.15">
      <c r="E128" s="449">
        <v>15</v>
      </c>
      <c r="F128" s="3" t="str" cm="1">
        <f t="array" aca="1" ref="F128" ca="1">OFFSET(E128,-1,1)</f>
        <v>1</v>
      </c>
      <c r="H128" s="22" t="s">
        <v>2381</v>
      </c>
      <c r="T128" s="353" t="b" cm="1">
        <f t="array" ref="T128">T127</f>
        <v>1</v>
      </c>
      <c r="X128" s="1022"/>
      <c r="Z128" s="1023"/>
      <c r="AB128" s="516" t="s">
        <v>2382</v>
      </c>
      <c r="AC128" s="403" t="s">
        <v>2383</v>
      </c>
      <c r="AD128" s="402" t="s">
        <v>828</v>
      </c>
      <c r="AE128" s="406">
        <f>SUM(AE129:AE135)</f>
        <v>0</v>
      </c>
      <c r="AH128" s="655" t="s">
        <v>1786</v>
      </c>
    </row>
    <row r="129" spans="5:34" ht="14.25" customHeight="1" x14ac:dyDescent="0.15">
      <c r="E129" s="449">
        <v>15</v>
      </c>
      <c r="F129" s="3" t="str" cm="1">
        <f t="array" aca="1" ref="F129" ca="1">OFFSET(E129,-1,1)</f>
        <v>1</v>
      </c>
      <c r="H129" s="22" t="s">
        <v>2384</v>
      </c>
      <c r="T129" s="353" t="b" cm="1">
        <f t="array" ref="T129">T128</f>
        <v>1</v>
      </c>
      <c r="X129" s="1022"/>
      <c r="Z129" s="1023"/>
      <c r="AB129" s="516" t="s">
        <v>2385</v>
      </c>
      <c r="AC129" s="404" t="s">
        <v>1793</v>
      </c>
      <c r="AD129" s="402" t="s">
        <v>828</v>
      </c>
      <c r="AE129" s="142"/>
      <c r="AH129" s="655" t="s">
        <v>2386</v>
      </c>
    </row>
    <row r="130" spans="5:34" ht="21.75" customHeight="1" x14ac:dyDescent="0.15">
      <c r="E130" s="449">
        <v>22.5</v>
      </c>
      <c r="F130" s="3" t="str" cm="1">
        <f t="array" aca="1" ref="F130" ca="1">OFFSET(E130,-1,1)</f>
        <v>1</v>
      </c>
      <c r="H130" s="22" t="s">
        <v>2387</v>
      </c>
      <c r="T130" s="353" t="b" cm="1">
        <f t="array" ref="T130">T129</f>
        <v>1</v>
      </c>
      <c r="X130" s="1022"/>
      <c r="Z130" s="1023"/>
      <c r="AB130" s="516" t="s">
        <v>2388</v>
      </c>
      <c r="AC130" s="404" t="s">
        <v>1972</v>
      </c>
      <c r="AD130" s="402" t="s">
        <v>828</v>
      </c>
      <c r="AE130" s="142"/>
      <c r="AH130" s="696" t="s">
        <v>1973</v>
      </c>
    </row>
    <row r="131" spans="5:34" ht="21.75" customHeight="1" x14ac:dyDescent="0.15">
      <c r="E131" s="449">
        <v>22.5</v>
      </c>
      <c r="F131" s="3" t="str" cm="1">
        <f t="array" aca="1" ref="F131" ca="1">OFFSET(E131,-1,1)</f>
        <v>1</v>
      </c>
      <c r="H131" s="22" t="s">
        <v>2389</v>
      </c>
      <c r="T131" s="353" t="b" cm="1">
        <f t="array" ref="T131">T130</f>
        <v>1</v>
      </c>
      <c r="X131" s="1022"/>
      <c r="Z131" s="1023"/>
      <c r="AB131" s="516" t="s">
        <v>2390</v>
      </c>
      <c r="AC131" s="404" t="s">
        <v>1976</v>
      </c>
      <c r="AD131" s="402" t="s">
        <v>828</v>
      </c>
      <c r="AE131" s="142"/>
      <c r="AH131" s="696" t="s">
        <v>1977</v>
      </c>
    </row>
    <row r="132" spans="5:34" ht="21.75" customHeight="1" x14ac:dyDescent="0.15">
      <c r="E132" s="449">
        <v>22.5</v>
      </c>
      <c r="F132" s="3" t="str" cm="1">
        <f t="array" aca="1" ref="F132" ca="1">OFFSET(E132,-1,1)</f>
        <v>1</v>
      </c>
      <c r="H132" s="22" t="s">
        <v>2391</v>
      </c>
      <c r="T132" s="353" t="b" cm="1">
        <f t="array" ref="T132">T131</f>
        <v>1</v>
      </c>
      <c r="X132" s="1022"/>
      <c r="Z132" s="1023"/>
      <c r="AB132" s="516" t="s">
        <v>2392</v>
      </c>
      <c r="AC132" s="404" t="s">
        <v>2393</v>
      </c>
      <c r="AD132" s="402" t="s">
        <v>828</v>
      </c>
      <c r="AE132" s="142"/>
      <c r="AH132" s="696" t="s">
        <v>1981</v>
      </c>
    </row>
    <row r="133" spans="5:34" ht="54.75" customHeight="1" x14ac:dyDescent="0.15">
      <c r="E133" s="449">
        <v>56.25</v>
      </c>
      <c r="F133" s="3" t="str" cm="1">
        <f t="array" aca="1" ref="F133" ca="1">OFFSET(E133,-1,1)</f>
        <v>1</v>
      </c>
      <c r="H133" s="22" t="s">
        <v>2394</v>
      </c>
      <c r="T133" s="353" t="b" cm="1">
        <f t="array" ref="T133">T132</f>
        <v>1</v>
      </c>
      <c r="X133" s="1022"/>
      <c r="Z133" s="1023"/>
      <c r="AB133" s="516" t="s">
        <v>2395</v>
      </c>
      <c r="AC133" s="404" t="s">
        <v>1984</v>
      </c>
      <c r="AD133" s="402" t="s">
        <v>828</v>
      </c>
      <c r="AE133" s="142"/>
      <c r="AH133" s="696" t="s">
        <v>1798</v>
      </c>
    </row>
    <row r="134" spans="5:34" ht="14.25" customHeight="1" x14ac:dyDescent="0.15">
      <c r="E134" s="449">
        <v>15</v>
      </c>
      <c r="F134" s="3" t="str" cm="1">
        <f t="array" aca="1" ref="F134" ca="1">OFFSET(E134,-1,1)</f>
        <v>1</v>
      </c>
      <c r="H134" s="22" t="s">
        <v>2396</v>
      </c>
      <c r="T134" s="353" t="b" cm="1">
        <f t="array" ref="T134">T133</f>
        <v>1</v>
      </c>
      <c r="X134" s="1022"/>
      <c r="Z134" s="1023"/>
      <c r="AB134" s="516" t="s">
        <v>2397</v>
      </c>
      <c r="AC134" s="404" t="s">
        <v>1801</v>
      </c>
      <c r="AD134" s="402" t="s">
        <v>828</v>
      </c>
      <c r="AE134" s="142"/>
      <c r="AH134" s="696" t="s">
        <v>1802</v>
      </c>
    </row>
    <row r="135" spans="5:34" ht="14.25" customHeight="1" x14ac:dyDescent="0.15">
      <c r="E135" s="449">
        <v>15</v>
      </c>
      <c r="F135" s="3" t="str" cm="1">
        <f t="array" aca="1" ref="F135" ca="1">OFFSET(E135,-1,1)</f>
        <v>1</v>
      </c>
      <c r="H135" s="22" t="s">
        <v>2398</v>
      </c>
      <c r="T135" s="353" t="b" cm="1">
        <f t="array" ref="T135">T134</f>
        <v>1</v>
      </c>
      <c r="X135" s="1022"/>
      <c r="Z135" s="1023"/>
      <c r="AB135" s="516" t="s">
        <v>2399</v>
      </c>
      <c r="AC135" s="404" t="s">
        <v>1252</v>
      </c>
      <c r="AD135" s="402" t="s">
        <v>828</v>
      </c>
      <c r="AE135" s="142"/>
      <c r="AH135" s="696" t="s">
        <v>1786</v>
      </c>
    </row>
    <row r="136" spans="5:34" ht="14.25" customHeight="1" x14ac:dyDescent="0.25">
      <c r="E136" s="449">
        <v>15</v>
      </c>
      <c r="F136" s="3" t="str" cm="1">
        <f t="array" aca="1" ref="F136" ca="1">OFFSET(E136,-1,1)</f>
        <v>1</v>
      </c>
      <c r="H136" s="22" t="s">
        <v>486</v>
      </c>
      <c r="T136" s="353" t="b" cm="1">
        <f t="array" ref="T136">T135</f>
        <v>1</v>
      </c>
      <c r="X136" s="1022"/>
      <c r="Z136" s="1023"/>
      <c r="AB136" s="516" t="s">
        <v>942</v>
      </c>
      <c r="AC136" s="401" t="s">
        <v>2400</v>
      </c>
      <c r="AD136" s="402" t="s">
        <v>828</v>
      </c>
      <c r="AE136" s="406">
        <f>AE137+AE138+AE139</f>
        <v>0</v>
      </c>
      <c r="AH136" s="695" t="s">
        <v>1807</v>
      </c>
    </row>
    <row r="137" spans="5:34" ht="14.25" customHeight="1" x14ac:dyDescent="0.25">
      <c r="E137" s="449">
        <v>15</v>
      </c>
      <c r="F137" s="3" t="str" cm="1">
        <f t="array" aca="1" ref="F137" ca="1">OFFSET(E137,-1,1)</f>
        <v>1</v>
      </c>
      <c r="H137" s="22" t="s">
        <v>1344</v>
      </c>
      <c r="T137" s="353" t="b" cm="1">
        <f t="array" ref="T137">T136</f>
        <v>1</v>
      </c>
      <c r="X137" s="1022"/>
      <c r="Z137" s="1023"/>
      <c r="AB137" s="516" t="s">
        <v>1345</v>
      </c>
      <c r="AC137" s="403" t="s">
        <v>2401</v>
      </c>
      <c r="AD137" s="402" t="s">
        <v>828</v>
      </c>
      <c r="AE137" s="142"/>
      <c r="AH137" s="694" t="s">
        <v>1809</v>
      </c>
    </row>
    <row r="138" spans="5:34" ht="14.25" customHeight="1" x14ac:dyDescent="0.15">
      <c r="E138" s="449">
        <v>15</v>
      </c>
      <c r="F138" s="3" t="str" cm="1">
        <f t="array" aca="1" ref="F138" ca="1">OFFSET(E138,-1,1)</f>
        <v>1</v>
      </c>
      <c r="H138" s="22" t="s">
        <v>1347</v>
      </c>
      <c r="T138" s="353" t="b" cm="1">
        <f t="array" ref="T138">T137</f>
        <v>1</v>
      </c>
      <c r="X138" s="1022"/>
      <c r="Z138" s="1023"/>
      <c r="AB138" s="516" t="s">
        <v>1348</v>
      </c>
      <c r="AC138" s="403" t="s">
        <v>2402</v>
      </c>
      <c r="AD138" s="402" t="s">
        <v>828</v>
      </c>
      <c r="AE138" s="142"/>
      <c r="AH138" s="696" t="s">
        <v>1992</v>
      </c>
    </row>
    <row r="139" spans="5:34" ht="21.75" customHeight="1" x14ac:dyDescent="0.25">
      <c r="E139" s="449">
        <v>22.5</v>
      </c>
      <c r="F139" s="3" t="str" cm="1">
        <f t="array" aca="1" ref="F139" ca="1">OFFSET(E139,-1,1)</f>
        <v>1</v>
      </c>
      <c r="H139" s="22" t="s">
        <v>1351</v>
      </c>
      <c r="T139" s="353" t="b" cm="1">
        <f t="array" ref="T139">T138</f>
        <v>1</v>
      </c>
      <c r="X139" s="1022"/>
      <c r="Z139" s="1023"/>
      <c r="AB139" s="516" t="s">
        <v>1352</v>
      </c>
      <c r="AC139" s="403" t="s">
        <v>2403</v>
      </c>
      <c r="AD139" s="402" t="s">
        <v>828</v>
      </c>
      <c r="AE139" s="406">
        <f>AE140+AE143</f>
        <v>0</v>
      </c>
      <c r="AH139" s="694" t="s">
        <v>1811</v>
      </c>
    </row>
    <row r="140" spans="5:34" ht="14.25" customHeight="1" x14ac:dyDescent="0.25">
      <c r="E140" s="449">
        <v>15</v>
      </c>
      <c r="F140" s="3" t="str" cm="1">
        <f t="array" aca="1" ref="F140" ca="1">OFFSET(E140,-1,1)</f>
        <v>1</v>
      </c>
      <c r="H140" s="22" t="s">
        <v>1495</v>
      </c>
      <c r="T140" s="353" t="b" cm="1">
        <f t="array" ref="T140">T139</f>
        <v>1</v>
      </c>
      <c r="X140" s="1022"/>
      <c r="Z140" s="1023"/>
      <c r="AB140" s="516" t="s">
        <v>1961</v>
      </c>
      <c r="AC140" s="404" t="s">
        <v>1813</v>
      </c>
      <c r="AD140" s="402" t="s">
        <v>828</v>
      </c>
      <c r="AE140" s="142"/>
      <c r="AH140" s="694" t="s">
        <v>1814</v>
      </c>
    </row>
    <row r="141" spans="5:34" ht="14.25" customHeight="1" x14ac:dyDescent="0.15">
      <c r="E141" s="449">
        <v>15</v>
      </c>
      <c r="F141" s="3" t="str" cm="1">
        <f t="array" aca="1" ref="F141" ca="1">OFFSET(E141,-1,1)</f>
        <v>1</v>
      </c>
      <c r="H141" s="22" t="s">
        <v>2404</v>
      </c>
      <c r="T141" s="353" t="b" cm="1">
        <f t="array" ref="T141">T140</f>
        <v>1</v>
      </c>
      <c r="X141" s="1022"/>
      <c r="Z141" s="1023"/>
      <c r="AB141" s="516" t="s">
        <v>2405</v>
      </c>
      <c r="AC141" s="405" t="s">
        <v>2406</v>
      </c>
      <c r="AD141" s="402" t="s">
        <v>2369</v>
      </c>
      <c r="AE141" s="142"/>
      <c r="AH141" s="655" t="s">
        <v>2407</v>
      </c>
    </row>
    <row r="142" spans="5:34" ht="14.25" customHeight="1" x14ac:dyDescent="0.15">
      <c r="E142" s="449">
        <v>15</v>
      </c>
      <c r="F142" s="3" t="str" cm="1">
        <f t="array" aca="1" ref="F142" ca="1">OFFSET(E142,-1,1)</f>
        <v>1</v>
      </c>
      <c r="H142" s="22" t="s">
        <v>2408</v>
      </c>
      <c r="T142" s="353" t="b" cm="1">
        <f t="array" ref="T142">T141</f>
        <v>1</v>
      </c>
      <c r="X142" s="1022"/>
      <c r="Z142" s="1023"/>
      <c r="AB142" s="516" t="s">
        <v>2409</v>
      </c>
      <c r="AC142" s="405" t="s">
        <v>2410</v>
      </c>
      <c r="AD142" s="402" t="s">
        <v>2374</v>
      </c>
      <c r="AE142" s="142"/>
      <c r="AH142" s="655" t="s">
        <v>2411</v>
      </c>
    </row>
    <row r="143" spans="5:34" ht="21.75" customHeight="1" x14ac:dyDescent="0.25">
      <c r="E143" s="449">
        <v>22.5</v>
      </c>
      <c r="F143" s="3" t="str" cm="1">
        <f t="array" aca="1" ref="F143" ca="1">OFFSET(E143,-1,1)</f>
        <v>1</v>
      </c>
      <c r="H143" s="22" t="s">
        <v>1499</v>
      </c>
      <c r="T143" s="353" t="b" cm="1">
        <f t="array" ref="T143">T142</f>
        <v>1</v>
      </c>
      <c r="X143" s="1022"/>
      <c r="Z143" s="1023"/>
      <c r="AB143" s="516" t="s">
        <v>1962</v>
      </c>
      <c r="AC143" s="404" t="s">
        <v>1998</v>
      </c>
      <c r="AD143" s="402" t="s">
        <v>828</v>
      </c>
      <c r="AE143" s="142"/>
      <c r="AH143" s="694" t="s">
        <v>1817</v>
      </c>
    </row>
    <row r="144" spans="5:34" ht="14.25" customHeight="1" x14ac:dyDescent="0.25">
      <c r="E144" s="449">
        <v>15</v>
      </c>
      <c r="F144" s="3" t="str" cm="1">
        <f t="array" aca="1" ref="F144" ca="1">OFFSET(E144,-1,1)</f>
        <v>1</v>
      </c>
      <c r="H144" s="22" t="s">
        <v>489</v>
      </c>
      <c r="T144" s="353" t="b" cm="1">
        <f t="array" ref="T144">T143</f>
        <v>1</v>
      </c>
      <c r="X144" s="1022"/>
      <c r="Z144" s="1023"/>
      <c r="AB144" s="516" t="s">
        <v>945</v>
      </c>
      <c r="AC144" s="401" t="s">
        <v>1999</v>
      </c>
      <c r="AD144" s="402" t="s">
        <v>828</v>
      </c>
      <c r="AE144" s="406">
        <f>AE145+AE151+AE156+AE157+AE158+AE159+AE160</f>
        <v>0</v>
      </c>
      <c r="AH144" s="695" t="s">
        <v>1819</v>
      </c>
    </row>
    <row r="145" spans="5:34" ht="21.75" customHeight="1" x14ac:dyDescent="0.25">
      <c r="E145" s="449">
        <v>22.5</v>
      </c>
      <c r="F145" s="3" t="str" cm="1">
        <f t="array" aca="1" ref="F145" ca="1">OFFSET(E145,-1,1)</f>
        <v>1</v>
      </c>
      <c r="H145" s="22" t="s">
        <v>1357</v>
      </c>
      <c r="T145" s="353" t="b" cm="1">
        <f t="array" ref="T145">T144</f>
        <v>1</v>
      </c>
      <c r="X145" s="1022"/>
      <c r="Z145" s="1023"/>
      <c r="AB145" s="516" t="s">
        <v>1358</v>
      </c>
      <c r="AC145" s="403" t="s">
        <v>1820</v>
      </c>
      <c r="AD145" s="402" t="s">
        <v>828</v>
      </c>
      <c r="AE145" s="406">
        <f>SUM(AE146:AE150)</f>
        <v>0</v>
      </c>
      <c r="AH145" s="694" t="s">
        <v>1205</v>
      </c>
    </row>
    <row r="146" spans="5:34" ht="14.25" customHeight="1" x14ac:dyDescent="0.15">
      <c r="E146" s="449">
        <v>15</v>
      </c>
      <c r="F146" s="3" t="str" cm="1">
        <f t="array" aca="1" ref="F146" ca="1">OFFSET(E146,-1,1)</f>
        <v>1</v>
      </c>
      <c r="H146" s="22" t="s">
        <v>2412</v>
      </c>
      <c r="T146" s="353" t="b" cm="1">
        <f t="array" ref="T146">T145</f>
        <v>1</v>
      </c>
      <c r="X146" s="1022"/>
      <c r="Z146" s="1023"/>
      <c r="AB146" s="516" t="s">
        <v>2413</v>
      </c>
      <c r="AC146" s="404" t="s">
        <v>1207</v>
      </c>
      <c r="AD146" s="402" t="s">
        <v>828</v>
      </c>
      <c r="AE146" s="142"/>
      <c r="AH146" s="696" t="s">
        <v>1208</v>
      </c>
    </row>
    <row r="147" spans="5:34" ht="14.25" customHeight="1" x14ac:dyDescent="0.15">
      <c r="E147" s="449">
        <v>15</v>
      </c>
      <c r="F147" s="3" t="str" cm="1">
        <f t="array" aca="1" ref="F147" ca="1">OFFSET(E147,-1,1)</f>
        <v>1</v>
      </c>
      <c r="H147" s="22" t="s">
        <v>2414</v>
      </c>
      <c r="T147" s="353" t="b" cm="1">
        <f t="array" ref="T147">T146</f>
        <v>1</v>
      </c>
      <c r="X147" s="1022"/>
      <c r="Z147" s="1023"/>
      <c r="AB147" s="516" t="s">
        <v>2415</v>
      </c>
      <c r="AC147" s="404" t="s">
        <v>1210</v>
      </c>
      <c r="AD147" s="402" t="s">
        <v>828</v>
      </c>
      <c r="AE147" s="142"/>
      <c r="AH147" s="696" t="s">
        <v>1211</v>
      </c>
    </row>
    <row r="148" spans="5:34" ht="14.25" customHeight="1" x14ac:dyDescent="0.15">
      <c r="E148" s="449">
        <v>15</v>
      </c>
      <c r="F148" s="3" t="str" cm="1">
        <f t="array" aca="1" ref="F148" ca="1">OFFSET(E148,-1,1)</f>
        <v>1</v>
      </c>
      <c r="H148" s="22" t="s">
        <v>2416</v>
      </c>
      <c r="T148" s="353" t="b" cm="1">
        <f t="array" ref="T148">T147</f>
        <v>1</v>
      </c>
      <c r="X148" s="1022"/>
      <c r="Z148" s="1023"/>
      <c r="AB148" s="516" t="s">
        <v>2417</v>
      </c>
      <c r="AC148" s="404" t="s">
        <v>1213</v>
      </c>
      <c r="AD148" s="402" t="s">
        <v>828</v>
      </c>
      <c r="AE148" s="142"/>
      <c r="AH148" s="696" t="s">
        <v>1214</v>
      </c>
    </row>
    <row r="149" spans="5:34" ht="14.25" customHeight="1" x14ac:dyDescent="0.15">
      <c r="E149" s="449">
        <v>15</v>
      </c>
      <c r="F149" s="3" t="str" cm="1">
        <f t="array" aca="1" ref="F149" ca="1">OFFSET(E149,-1,1)</f>
        <v>1</v>
      </c>
      <c r="H149" s="22" t="s">
        <v>2418</v>
      </c>
      <c r="T149" s="353" t="b" cm="1">
        <f t="array" ref="T149">T148</f>
        <v>1</v>
      </c>
      <c r="X149" s="1022"/>
      <c r="Z149" s="1023"/>
      <c r="AB149" s="516" t="s">
        <v>2419</v>
      </c>
      <c r="AC149" s="404" t="s">
        <v>1216</v>
      </c>
      <c r="AD149" s="402" t="s">
        <v>828</v>
      </c>
      <c r="AE149" s="142"/>
      <c r="AH149" s="696" t="s">
        <v>1217</v>
      </c>
    </row>
    <row r="150" spans="5:34" ht="14.25" customHeight="1" x14ac:dyDescent="0.15">
      <c r="E150" s="449">
        <v>15</v>
      </c>
      <c r="F150" s="3" t="str" cm="1">
        <f t="array" aca="1" ref="F150" ca="1">OFFSET(E150,-1,1)</f>
        <v>1</v>
      </c>
      <c r="H150" s="22" t="s">
        <v>2420</v>
      </c>
      <c r="T150" s="353" t="b" cm="1">
        <f t="array" ref="T150">T149</f>
        <v>1</v>
      </c>
      <c r="X150" s="1022"/>
      <c r="Z150" s="1023"/>
      <c r="AB150" s="516" t="s">
        <v>2421</v>
      </c>
      <c r="AC150" s="404" t="s">
        <v>1224</v>
      </c>
      <c r="AD150" s="402" t="s">
        <v>828</v>
      </c>
      <c r="AE150" s="142"/>
      <c r="AH150" s="696" t="s">
        <v>1225</v>
      </c>
    </row>
    <row r="151" spans="5:34" ht="32.25" customHeight="1" x14ac:dyDescent="0.25">
      <c r="E151" s="449">
        <v>33.75</v>
      </c>
      <c r="F151" s="3" t="str" cm="1">
        <f t="array" aca="1" ref="F151" ca="1">OFFSET(E151,-1,1)</f>
        <v>1</v>
      </c>
      <c r="H151" s="22" t="s">
        <v>1361</v>
      </c>
      <c r="T151" s="353" t="b" cm="1">
        <f t="array" ref="T151">T150</f>
        <v>1</v>
      </c>
      <c r="X151" s="1022"/>
      <c r="Z151" s="1023"/>
      <c r="AB151" s="516" t="s">
        <v>1362</v>
      </c>
      <c r="AC151" s="403" t="s">
        <v>2422</v>
      </c>
      <c r="AD151" s="402" t="s">
        <v>828</v>
      </c>
      <c r="AE151" s="406">
        <f>AE152+AE155</f>
        <v>0</v>
      </c>
      <c r="AH151" s="694" t="s">
        <v>1822</v>
      </c>
    </row>
    <row r="152" spans="5:34" ht="21.75" customHeight="1" x14ac:dyDescent="0.25">
      <c r="E152" s="449">
        <v>22.5</v>
      </c>
      <c r="F152" s="3" t="str" cm="1">
        <f t="array" aca="1" ref="F152" ca="1">OFFSET(E152,-1,1)</f>
        <v>1</v>
      </c>
      <c r="H152" s="22" t="s">
        <v>2423</v>
      </c>
      <c r="T152" s="353" t="b" cm="1">
        <f t="array" ref="T152">T151</f>
        <v>1</v>
      </c>
      <c r="X152" s="1022"/>
      <c r="Z152" s="1023"/>
      <c r="AB152" s="516" t="s">
        <v>2424</v>
      </c>
      <c r="AC152" s="404" t="s">
        <v>1823</v>
      </c>
      <c r="AD152" s="402" t="s">
        <v>828</v>
      </c>
      <c r="AE152" s="142"/>
      <c r="AH152" s="694" t="s">
        <v>1202</v>
      </c>
    </row>
    <row r="153" spans="5:34" ht="14.25" customHeight="1" x14ac:dyDescent="0.15">
      <c r="E153" s="449">
        <v>15</v>
      </c>
      <c r="F153" s="3" t="str" cm="1">
        <f t="array" aca="1" ref="F153" ca="1">OFFSET(E153,-1,1)</f>
        <v>1</v>
      </c>
      <c r="H153" s="22" t="s">
        <v>2425</v>
      </c>
      <c r="T153" s="353" t="b" cm="1">
        <f t="array" ref="T153">T152</f>
        <v>1</v>
      </c>
      <c r="X153" s="1022"/>
      <c r="Z153" s="1023"/>
      <c r="AB153" s="516" t="s">
        <v>2426</v>
      </c>
      <c r="AC153" s="405" t="s">
        <v>2427</v>
      </c>
      <c r="AD153" s="402" t="s">
        <v>2369</v>
      </c>
      <c r="AE153" s="142"/>
      <c r="AH153" s="655" t="s">
        <v>2428</v>
      </c>
    </row>
    <row r="154" spans="5:34" ht="21.75" customHeight="1" x14ac:dyDescent="0.15">
      <c r="E154" s="449">
        <v>22.5</v>
      </c>
      <c r="F154" s="3" t="str" cm="1">
        <f t="array" aca="1" ref="F154" ca="1">OFFSET(E154,-1,1)</f>
        <v>1</v>
      </c>
      <c r="H154" s="22" t="s">
        <v>2429</v>
      </c>
      <c r="T154" s="353" t="b" cm="1">
        <f t="array" ref="T154">T153</f>
        <v>1</v>
      </c>
      <c r="X154" s="1022"/>
      <c r="Z154" s="1023"/>
      <c r="AB154" s="516" t="s">
        <v>2430</v>
      </c>
      <c r="AC154" s="405" t="s">
        <v>2431</v>
      </c>
      <c r="AD154" s="402" t="s">
        <v>2374</v>
      </c>
      <c r="AE154" s="142"/>
      <c r="AH154" s="655" t="s">
        <v>2432</v>
      </c>
    </row>
    <row r="155" spans="5:34" ht="21.75" customHeight="1" x14ac:dyDescent="0.25">
      <c r="E155" s="449">
        <v>22.5</v>
      </c>
      <c r="F155" s="3" t="str" cm="1">
        <f t="array" aca="1" ref="F155" ca="1">OFFSET(E155,-1,1)</f>
        <v>1</v>
      </c>
      <c r="H155" s="22" t="s">
        <v>2433</v>
      </c>
      <c r="T155" s="353" t="b" cm="1">
        <f t="array" ref="T155">T154</f>
        <v>1</v>
      </c>
      <c r="X155" s="1022"/>
      <c r="Z155" s="1023"/>
      <c r="AB155" s="516" t="s">
        <v>2434</v>
      </c>
      <c r="AC155" s="404" t="s">
        <v>2022</v>
      </c>
      <c r="AD155" s="402" t="s">
        <v>828</v>
      </c>
      <c r="AE155" s="142"/>
      <c r="AH155" s="694" t="s">
        <v>1825</v>
      </c>
    </row>
    <row r="156" spans="5:34" ht="21.75" customHeight="1" x14ac:dyDescent="0.25">
      <c r="E156" s="449">
        <v>22.5</v>
      </c>
      <c r="F156" s="3" t="str" cm="1">
        <f t="array" aca="1" ref="F156" ca="1">OFFSET(E156,-1,1)</f>
        <v>1</v>
      </c>
      <c r="H156" s="22" t="s">
        <v>1365</v>
      </c>
      <c r="T156" s="353" t="b" cm="1">
        <f t="array" ref="T156">T155</f>
        <v>1</v>
      </c>
      <c r="X156" s="1022"/>
      <c r="Z156" s="1023"/>
      <c r="AB156" s="516" t="s">
        <v>1366</v>
      </c>
      <c r="AC156" s="403" t="s">
        <v>2435</v>
      </c>
      <c r="AD156" s="402" t="s">
        <v>828</v>
      </c>
      <c r="AE156" s="142"/>
      <c r="AH156" s="694" t="s">
        <v>1233</v>
      </c>
    </row>
    <row r="157" spans="5:34" ht="14.25" customHeight="1" x14ac:dyDescent="0.25">
      <c r="E157" s="449">
        <v>15</v>
      </c>
      <c r="F157" s="3" t="str" cm="1">
        <f t="array" aca="1" ref="F157" ca="1">OFFSET(E157,-1,1)</f>
        <v>1</v>
      </c>
      <c r="H157" s="22" t="s">
        <v>2436</v>
      </c>
      <c r="T157" s="353" t="b" cm="1">
        <f t="array" ref="T157">T156</f>
        <v>1</v>
      </c>
      <c r="X157" s="1022"/>
      <c r="Z157" s="1023"/>
      <c r="AB157" s="516" t="s">
        <v>2437</v>
      </c>
      <c r="AC157" s="403" t="s">
        <v>1235</v>
      </c>
      <c r="AD157" s="402" t="s">
        <v>828</v>
      </c>
      <c r="AE157" s="142"/>
      <c r="AH157" s="694" t="s">
        <v>1236</v>
      </c>
    </row>
    <row r="158" spans="5:34" ht="14.25" customHeight="1" x14ac:dyDescent="0.25">
      <c r="E158" s="449">
        <v>15</v>
      </c>
      <c r="F158" s="3" t="str" cm="1">
        <f t="array" aca="1" ref="F158" ca="1">OFFSET(E158,-1,1)</f>
        <v>1</v>
      </c>
      <c r="H158" s="22" t="s">
        <v>2438</v>
      </c>
      <c r="T158" s="353" t="b" cm="1">
        <f t="array" ref="T158">T157</f>
        <v>1</v>
      </c>
      <c r="X158" s="1022"/>
      <c r="Z158" s="1023"/>
      <c r="AB158" s="516" t="s">
        <v>2439</v>
      </c>
      <c r="AC158" s="403" t="s">
        <v>1238</v>
      </c>
      <c r="AD158" s="402" t="s">
        <v>828</v>
      </c>
      <c r="AE158" s="142"/>
      <c r="AH158" s="694" t="s">
        <v>1239</v>
      </c>
    </row>
    <row r="159" spans="5:34" ht="21.75" customHeight="1" x14ac:dyDescent="0.25">
      <c r="E159" s="449">
        <v>22.5</v>
      </c>
      <c r="F159" s="3" t="str" cm="1">
        <f t="array" aca="1" ref="F159" ca="1">OFFSET(E159,-1,1)</f>
        <v>1</v>
      </c>
      <c r="H159" s="22" t="s">
        <v>2440</v>
      </c>
      <c r="T159" s="353" t="b" cm="1">
        <f t="array" ref="T159">T158</f>
        <v>1</v>
      </c>
      <c r="X159" s="1022"/>
      <c r="Z159" s="1023"/>
      <c r="AB159" s="516" t="s">
        <v>2441</v>
      </c>
      <c r="AC159" s="403" t="s">
        <v>2442</v>
      </c>
      <c r="AD159" s="402" t="s">
        <v>828</v>
      </c>
      <c r="AE159" s="142"/>
      <c r="AH159" s="694" t="s">
        <v>1827</v>
      </c>
    </row>
    <row r="160" spans="5:34" ht="14.25" customHeight="1" x14ac:dyDescent="0.25">
      <c r="E160" s="449">
        <v>15</v>
      </c>
      <c r="F160" s="3" t="str" cm="1">
        <f t="array" aca="1" ref="F160" ca="1">OFFSET(E160,-1,1)</f>
        <v>1</v>
      </c>
      <c r="H160" s="22" t="s">
        <v>2443</v>
      </c>
      <c r="T160" s="353" t="b" cm="1">
        <f t="array" ref="T160">T159</f>
        <v>1</v>
      </c>
      <c r="X160" s="1022"/>
      <c r="Z160" s="1023"/>
      <c r="AB160" s="516" t="s">
        <v>2444</v>
      </c>
      <c r="AC160" s="403" t="s">
        <v>2445</v>
      </c>
      <c r="AD160" s="402" t="s">
        <v>828</v>
      </c>
      <c r="AE160" s="406">
        <f>AE161+AE162+AE163</f>
        <v>0</v>
      </c>
      <c r="AH160" s="694" t="s">
        <v>1829</v>
      </c>
    </row>
    <row r="161" spans="1:38" ht="14.25" customHeight="1" x14ac:dyDescent="0.25">
      <c r="E161" s="449">
        <v>15</v>
      </c>
      <c r="F161" s="3" t="str" cm="1">
        <f t="array" aca="1" ref="F161" ca="1">OFFSET(E161,-1,1)</f>
        <v>1</v>
      </c>
      <c r="H161" s="22" t="s">
        <v>2446</v>
      </c>
      <c r="T161" s="353" t="b" cm="1">
        <f t="array" ref="T161">T160</f>
        <v>1</v>
      </c>
      <c r="X161" s="1022"/>
      <c r="Z161" s="1023"/>
      <c r="AB161" s="516" t="s">
        <v>2447</v>
      </c>
      <c r="AC161" s="404" t="s">
        <v>2448</v>
      </c>
      <c r="AD161" s="402" t="s">
        <v>828</v>
      </c>
      <c r="AE161" s="142"/>
      <c r="AH161" s="694" t="s">
        <v>1833</v>
      </c>
    </row>
    <row r="162" spans="1:38" ht="14.25" customHeight="1" x14ac:dyDescent="0.25">
      <c r="E162" s="449">
        <v>15</v>
      </c>
      <c r="F162" s="3" t="str" cm="1">
        <f t="array" aca="1" ref="F162" ca="1">OFFSET(E162,-1,1)</f>
        <v>1</v>
      </c>
      <c r="H162" s="22" t="s">
        <v>2449</v>
      </c>
      <c r="T162" s="353" t="b" cm="1">
        <f t="array" ref="T162">T161</f>
        <v>1</v>
      </c>
      <c r="X162" s="1022"/>
      <c r="Z162" s="1023"/>
      <c r="AB162" s="516" t="s">
        <v>2450</v>
      </c>
      <c r="AC162" s="404" t="s">
        <v>2451</v>
      </c>
      <c r="AD162" s="402" t="s">
        <v>828</v>
      </c>
      <c r="AE162" s="142"/>
      <c r="AH162" s="694" t="s">
        <v>1836</v>
      </c>
    </row>
    <row r="163" spans="1:38" ht="14.25" customHeight="1" x14ac:dyDescent="0.25">
      <c r="E163" s="449">
        <v>15</v>
      </c>
      <c r="F163" s="3" t="str" cm="1">
        <f t="array" aca="1" ref="F163" ca="1">OFFSET(E163,-1,1)</f>
        <v>1</v>
      </c>
      <c r="H163" s="22" t="s">
        <v>2452</v>
      </c>
      <c r="T163" s="353" t="b" cm="1">
        <f t="array" ref="T163">T162</f>
        <v>1</v>
      </c>
      <c r="X163" s="1022"/>
      <c r="Z163" s="1023"/>
      <c r="AB163" s="516" t="s">
        <v>2453</v>
      </c>
      <c r="AC163" s="404" t="s">
        <v>1252</v>
      </c>
      <c r="AD163" s="402" t="s">
        <v>828</v>
      </c>
      <c r="AE163" s="142"/>
      <c r="AH163" s="694" t="s">
        <v>1839</v>
      </c>
    </row>
    <row r="164" spans="1:38" ht="14.25" customHeight="1" x14ac:dyDescent="0.15">
      <c r="E164" s="449">
        <v>15</v>
      </c>
      <c r="F164" s="3" t="str" cm="1">
        <f t="array" aca="1" ref="F164" ca="1">OFFSET(E164,-1,1)</f>
        <v>1</v>
      </c>
      <c r="H164" s="22" t="s">
        <v>493</v>
      </c>
      <c r="T164" s="353" t="b" cm="1">
        <f t="array" ref="T164">T163</f>
        <v>1</v>
      </c>
      <c r="X164" s="1022"/>
      <c r="Z164" s="1023"/>
      <c r="AB164" s="516" t="s">
        <v>948</v>
      </c>
      <c r="AC164" s="401" t="s">
        <v>2454</v>
      </c>
      <c r="AD164" s="402" t="s">
        <v>828</v>
      </c>
      <c r="AE164" s="406">
        <f>SUM(AE165:AE166)</f>
        <v>0</v>
      </c>
      <c r="AH164" s="696" t="s">
        <v>2455</v>
      </c>
    </row>
    <row r="165" spans="1:38" ht="14.25" hidden="1" customHeight="1" x14ac:dyDescent="0.15">
      <c r="E165" s="449">
        <v>15</v>
      </c>
      <c r="F165" s="3" t="str" cm="1">
        <f t="array" aca="1" ref="F165" ca="1">OFFSET(E165,-1,1)</f>
        <v>1</v>
      </c>
      <c r="H165" s="22" t="s">
        <v>493</v>
      </c>
      <c r="I165" s="410" cm="1">
        <f t="array" ref="I165">AC165</f>
        <v>0</v>
      </c>
      <c r="T165" s="353" t="b">
        <f ca="1">AND(F165&gt;0,Y165&gt;0)</f>
        <v>0</v>
      </c>
      <c r="W165" s="17" t="s">
        <v>172</v>
      </c>
      <c r="X165" s="1022"/>
      <c r="Y165" s="22">
        <v>0</v>
      </c>
      <c r="Z165" s="1023"/>
      <c r="AA165" s="482" t="s">
        <v>173</v>
      </c>
      <c r="AB165" s="516" t="str">
        <f>"1.4."&amp;Y165</f>
        <v>1.4.0</v>
      </c>
      <c r="AC165" s="888"/>
      <c r="AD165" s="402" t="s">
        <v>828</v>
      </c>
      <c r="AE165" s="854"/>
      <c r="AH165" s="696" t="s">
        <v>2455</v>
      </c>
      <c r="AI165" s="655" t="s">
        <v>2456</v>
      </c>
      <c r="AJ165" s="655" cm="1">
        <f t="array" ref="AJ165">AC165</f>
        <v>0</v>
      </c>
      <c r="AL165" s="480" t="b">
        <v>1</v>
      </c>
    </row>
    <row r="166" spans="1:38" ht="14.25" customHeight="1" x14ac:dyDescent="0.15">
      <c r="E166" s="449">
        <v>15</v>
      </c>
      <c r="F166" s="3" t="str" cm="1">
        <f t="array" aca="1" ref="F166" ca="1">OFFSET(E166,-1,1)</f>
        <v>1</v>
      </c>
      <c r="I166" s="72" t="str">
        <f>"!== 'не определено' &amp;&amp; row.l1_4 !== null"</f>
        <v>!== 'не определено' &amp;&amp; row.l1_4 !== null</v>
      </c>
      <c r="T166" s="353" t="b">
        <f ca="1">F166&gt;0</f>
        <v>1</v>
      </c>
      <c r="W166" s="506" t="s">
        <v>397</v>
      </c>
      <c r="X166" s="1022"/>
      <c r="Z166" s="1023"/>
      <c r="AB166" s="783"/>
      <c r="AC166" s="784" t="s">
        <v>176</v>
      </c>
      <c r="AD166" s="785"/>
      <c r="AE166" s="795"/>
      <c r="AK166" s="480" t="s">
        <v>2456</v>
      </c>
    </row>
    <row r="167" spans="1:38" ht="14.25" customHeight="1" x14ac:dyDescent="0.15">
      <c r="E167" s="449">
        <v>15</v>
      </c>
      <c r="F167" s="3" t="str" cm="1">
        <f t="array" aca="1" ref="F167" ca="1">OFFSET(E167,-1,1)</f>
        <v>1</v>
      </c>
      <c r="H167" s="22" t="s">
        <v>332</v>
      </c>
      <c r="T167" s="353" t="b" cm="1">
        <f t="array" aca="1" ref="T167" ca="1">T166</f>
        <v>1</v>
      </c>
      <c r="X167" s="1022"/>
      <c r="Z167" s="1023"/>
      <c r="AB167" s="515" t="s">
        <v>285</v>
      </c>
      <c r="AC167" s="399" t="s">
        <v>2047</v>
      </c>
      <c r="AD167" s="400" t="s">
        <v>828</v>
      </c>
      <c r="AE167" s="406">
        <f>AE168+AE180+AE181+AE191+AE192+AE193+AE196+AE197+AE198+AE199+AE200+AE201</f>
        <v>0</v>
      </c>
      <c r="AH167" s="655" t="s">
        <v>2457</v>
      </c>
    </row>
    <row r="168" spans="1:38" s="4" customFormat="1" ht="26.25" customHeight="1" x14ac:dyDescent="0.15">
      <c r="A168" s="487"/>
      <c r="B168" s="22"/>
      <c r="C168" s="22"/>
      <c r="D168" s="22"/>
      <c r="E168" s="449">
        <v>27</v>
      </c>
      <c r="F168" s="267" t="str" cm="1">
        <f t="array" aca="1" ref="F168" ca="1">OFFSET(E168,-1,1)</f>
        <v>1</v>
      </c>
      <c r="G168" s="22"/>
      <c r="H168" s="22"/>
      <c r="I168" s="22"/>
      <c r="J168" s="22"/>
      <c r="K168" s="22"/>
      <c r="L168" s="22"/>
      <c r="M168" s="22"/>
      <c r="N168" s="22"/>
      <c r="O168" s="22"/>
      <c r="P168" s="22"/>
      <c r="Q168" s="22"/>
      <c r="R168" s="22"/>
      <c r="S168" s="22"/>
      <c r="T168" s="353" t="b" cm="1">
        <f t="array" aca="1" ref="T168" ca="1">T167</f>
        <v>1</v>
      </c>
      <c r="U168" s="22"/>
      <c r="V168" s="22"/>
      <c r="W168" s="22"/>
      <c r="X168" s="1022"/>
      <c r="Y168" s="22"/>
      <c r="Z168" s="1023"/>
      <c r="AA168" s="22"/>
      <c r="AB168" s="516" t="s">
        <v>561</v>
      </c>
      <c r="AC168" s="786" t="s">
        <v>2049</v>
      </c>
      <c r="AD168" s="400" t="s">
        <v>828</v>
      </c>
      <c r="AE168" s="406">
        <f>SUM(AE169:AE179)</f>
        <v>0</v>
      </c>
      <c r="AF168" s="315"/>
      <c r="AG168" s="315"/>
      <c r="AH168" s="696" t="s">
        <v>1253</v>
      </c>
      <c r="AI168" s="655"/>
      <c r="AJ168" s="655"/>
      <c r="AK168" s="480"/>
      <c r="AL168" s="480"/>
    </row>
    <row r="169" spans="1:38" s="4" customFormat="1" ht="14.25" customHeight="1" x14ac:dyDescent="0.15">
      <c r="A169" s="487"/>
      <c r="B169" s="22"/>
      <c r="C169" s="22"/>
      <c r="D169" s="22"/>
      <c r="E169" s="449">
        <v>15</v>
      </c>
      <c r="F169" s="267" t="str" cm="1">
        <f t="array" aca="1" ref="F169" ca="1">OFFSET(E169,-1,1)</f>
        <v>1</v>
      </c>
      <c r="G169" s="22"/>
      <c r="H169" s="22"/>
      <c r="I169" s="22"/>
      <c r="J169" s="22"/>
      <c r="K169" s="22"/>
      <c r="L169" s="22"/>
      <c r="M169" s="22"/>
      <c r="N169" s="22"/>
      <c r="O169" s="22"/>
      <c r="P169" s="22"/>
      <c r="Q169" s="22"/>
      <c r="R169" s="22"/>
      <c r="S169" s="22"/>
      <c r="T169" s="353" t="b" cm="1">
        <f t="array" aca="1" ref="T169" ca="1">T168</f>
        <v>1</v>
      </c>
      <c r="U169" s="22"/>
      <c r="V169" s="22"/>
      <c r="W169" s="22"/>
      <c r="X169" s="1022"/>
      <c r="Y169" s="22"/>
      <c r="Z169" s="1023"/>
      <c r="AA169" s="22"/>
      <c r="AB169" s="516" t="s">
        <v>508</v>
      </c>
      <c r="AC169" s="403" t="s">
        <v>2051</v>
      </c>
      <c r="AD169" s="402" t="s">
        <v>828</v>
      </c>
      <c r="AE169" s="142"/>
      <c r="AF169" s="315"/>
      <c r="AG169" s="315"/>
      <c r="AH169" s="696" t="s">
        <v>2458</v>
      </c>
      <c r="AI169" s="655"/>
      <c r="AJ169" s="655"/>
      <c r="AK169" s="480"/>
      <c r="AL169" s="480"/>
    </row>
    <row r="170" spans="1:38" s="4" customFormat="1" ht="14.25" customHeight="1" x14ac:dyDescent="0.15">
      <c r="A170" s="487"/>
      <c r="B170" s="22"/>
      <c r="C170" s="22"/>
      <c r="D170" s="22"/>
      <c r="E170" s="449">
        <v>15</v>
      </c>
      <c r="F170" s="267" t="str" cm="1">
        <f t="array" aca="1" ref="F170" ca="1">OFFSET(E170,-1,1)</f>
        <v>1</v>
      </c>
      <c r="G170" s="22"/>
      <c r="H170" s="22"/>
      <c r="I170" s="22"/>
      <c r="J170" s="22"/>
      <c r="K170" s="22"/>
      <c r="L170" s="22"/>
      <c r="M170" s="22"/>
      <c r="N170" s="22"/>
      <c r="O170" s="22"/>
      <c r="P170" s="22"/>
      <c r="Q170" s="22"/>
      <c r="R170" s="22"/>
      <c r="S170" s="22"/>
      <c r="T170" s="353" t="b" cm="1">
        <f t="array" aca="1" ref="T170" ca="1">T169</f>
        <v>1</v>
      </c>
      <c r="U170" s="22"/>
      <c r="V170" s="22"/>
      <c r="W170" s="22"/>
      <c r="X170" s="1022"/>
      <c r="Y170" s="22"/>
      <c r="Z170" s="1023"/>
      <c r="AA170" s="22"/>
      <c r="AB170" s="516" t="s">
        <v>2052</v>
      </c>
      <c r="AC170" s="403" t="s">
        <v>2053</v>
      </c>
      <c r="AD170" s="402" t="s">
        <v>828</v>
      </c>
      <c r="AE170" s="142"/>
      <c r="AF170" s="315"/>
      <c r="AG170" s="315"/>
      <c r="AH170" s="696" t="s">
        <v>2459</v>
      </c>
      <c r="AI170" s="655"/>
      <c r="AJ170" s="655"/>
      <c r="AK170" s="480"/>
      <c r="AL170" s="480"/>
    </row>
    <row r="171" spans="1:38" s="4" customFormat="1" ht="14.25" customHeight="1" x14ac:dyDescent="0.15">
      <c r="A171" s="487"/>
      <c r="B171" s="22"/>
      <c r="C171" s="22"/>
      <c r="D171" s="22"/>
      <c r="E171" s="449">
        <v>15</v>
      </c>
      <c r="F171" s="267" t="str" cm="1">
        <f t="array" aca="1" ref="F171" ca="1">OFFSET(E171,-1,1)</f>
        <v>1</v>
      </c>
      <c r="G171" s="22"/>
      <c r="H171" s="22"/>
      <c r="I171" s="22"/>
      <c r="J171" s="22"/>
      <c r="K171" s="22"/>
      <c r="L171" s="22"/>
      <c r="M171" s="22"/>
      <c r="N171" s="22"/>
      <c r="O171" s="22"/>
      <c r="P171" s="22"/>
      <c r="Q171" s="22"/>
      <c r="R171" s="22"/>
      <c r="S171" s="22"/>
      <c r="T171" s="353" t="b" cm="1">
        <f t="array" aca="1" ref="T171" ca="1">T170</f>
        <v>1</v>
      </c>
      <c r="U171" s="22"/>
      <c r="V171" s="22"/>
      <c r="W171" s="22"/>
      <c r="X171" s="1022"/>
      <c r="Y171" s="22"/>
      <c r="Z171" s="1023"/>
      <c r="AA171" s="22"/>
      <c r="AB171" s="516" t="s">
        <v>2054</v>
      </c>
      <c r="AC171" s="403" t="s">
        <v>2055</v>
      </c>
      <c r="AD171" s="402" t="s">
        <v>828</v>
      </c>
      <c r="AE171" s="142"/>
      <c r="AF171" s="315"/>
      <c r="AG171" s="315"/>
      <c r="AH171" s="696" t="s">
        <v>2460</v>
      </c>
      <c r="AI171" s="655"/>
      <c r="AJ171" s="655"/>
      <c r="AK171" s="480"/>
      <c r="AL171" s="480"/>
    </row>
    <row r="172" spans="1:38" s="4" customFormat="1" ht="14.25" customHeight="1" x14ac:dyDescent="0.15">
      <c r="A172" s="487"/>
      <c r="B172" s="22"/>
      <c r="C172" s="22"/>
      <c r="D172" s="22"/>
      <c r="E172" s="449">
        <v>15</v>
      </c>
      <c r="F172" s="267" t="str" cm="1">
        <f t="array" aca="1" ref="F172" ca="1">OFFSET(E172,-1,1)</f>
        <v>1</v>
      </c>
      <c r="G172" s="22"/>
      <c r="H172" s="22"/>
      <c r="I172" s="22"/>
      <c r="J172" s="22"/>
      <c r="K172" s="22"/>
      <c r="L172" s="22"/>
      <c r="M172" s="22"/>
      <c r="N172" s="22"/>
      <c r="O172" s="22"/>
      <c r="P172" s="22"/>
      <c r="Q172" s="22"/>
      <c r="R172" s="22"/>
      <c r="S172" s="22"/>
      <c r="T172" s="353" t="b" cm="1">
        <f t="array" aca="1" ref="T172" ca="1">T171</f>
        <v>1</v>
      </c>
      <c r="U172" s="22"/>
      <c r="V172" s="22"/>
      <c r="W172" s="22"/>
      <c r="X172" s="1022"/>
      <c r="Y172" s="22"/>
      <c r="Z172" s="1023"/>
      <c r="AA172" s="22"/>
      <c r="AB172" s="516" t="s">
        <v>2057</v>
      </c>
      <c r="AC172" s="403" t="s">
        <v>2058</v>
      </c>
      <c r="AD172" s="402" t="s">
        <v>828</v>
      </c>
      <c r="AE172" s="142"/>
      <c r="AF172" s="315"/>
      <c r="AG172" s="315"/>
      <c r="AH172" s="696" t="s">
        <v>2461</v>
      </c>
      <c r="AI172" s="655"/>
      <c r="AJ172" s="655"/>
      <c r="AK172" s="480"/>
      <c r="AL172" s="480"/>
    </row>
    <row r="173" spans="1:38" s="4" customFormat="1" ht="14.25" customHeight="1" x14ac:dyDescent="0.15">
      <c r="A173" s="487"/>
      <c r="B173" s="22"/>
      <c r="C173" s="22"/>
      <c r="D173" s="22"/>
      <c r="E173" s="449">
        <v>15</v>
      </c>
      <c r="F173" s="267" t="str" cm="1">
        <f t="array" aca="1" ref="F173" ca="1">OFFSET(E173,-1,1)</f>
        <v>1</v>
      </c>
      <c r="G173" s="22"/>
      <c r="H173" s="22"/>
      <c r="I173" s="22"/>
      <c r="J173" s="22"/>
      <c r="K173" s="22"/>
      <c r="L173" s="22"/>
      <c r="M173" s="22"/>
      <c r="N173" s="22"/>
      <c r="O173" s="22"/>
      <c r="P173" s="22"/>
      <c r="Q173" s="22"/>
      <c r="R173" s="22"/>
      <c r="S173" s="22"/>
      <c r="T173" s="353" t="b" cm="1">
        <f t="array" aca="1" ref="T173" ca="1">T172</f>
        <v>1</v>
      </c>
      <c r="U173" s="22"/>
      <c r="V173" s="22"/>
      <c r="W173" s="22"/>
      <c r="X173" s="1022"/>
      <c r="Y173" s="22"/>
      <c r="Z173" s="1023"/>
      <c r="AA173" s="22"/>
      <c r="AB173" s="516" t="s">
        <v>2060</v>
      </c>
      <c r="AC173" s="403" t="s">
        <v>2061</v>
      </c>
      <c r="AD173" s="402" t="s">
        <v>828</v>
      </c>
      <c r="AE173" s="142"/>
      <c r="AF173" s="315"/>
      <c r="AG173" s="315"/>
      <c r="AH173" s="696" t="s">
        <v>2462</v>
      </c>
      <c r="AI173" s="655"/>
      <c r="AJ173" s="655"/>
      <c r="AK173" s="480"/>
      <c r="AL173" s="480"/>
    </row>
    <row r="174" spans="1:38" s="4" customFormat="1" ht="26.25" customHeight="1" x14ac:dyDescent="0.15">
      <c r="A174" s="487"/>
      <c r="B174" s="22"/>
      <c r="C174" s="22"/>
      <c r="D174" s="22"/>
      <c r="E174" s="449">
        <v>27</v>
      </c>
      <c r="F174" s="267" t="str" cm="1">
        <f t="array" aca="1" ref="F174" ca="1">OFFSET(E174,-1,1)</f>
        <v>1</v>
      </c>
      <c r="G174" s="22"/>
      <c r="H174" s="22"/>
      <c r="I174" s="22"/>
      <c r="J174" s="22"/>
      <c r="K174" s="22"/>
      <c r="L174" s="22"/>
      <c r="M174" s="22"/>
      <c r="N174" s="22"/>
      <c r="O174" s="22"/>
      <c r="P174" s="22"/>
      <c r="Q174" s="22"/>
      <c r="R174" s="22"/>
      <c r="S174" s="22"/>
      <c r="T174" s="353" t="b" cm="1">
        <f t="array" aca="1" ref="T174" ca="1">T173</f>
        <v>1</v>
      </c>
      <c r="U174" s="22"/>
      <c r="V174" s="22"/>
      <c r="W174" s="22"/>
      <c r="X174" s="1022"/>
      <c r="Y174" s="22"/>
      <c r="Z174" s="1023"/>
      <c r="AA174" s="22"/>
      <c r="AB174" s="516" t="s">
        <v>2063</v>
      </c>
      <c r="AC174" s="403" t="s">
        <v>2064</v>
      </c>
      <c r="AD174" s="402" t="s">
        <v>828</v>
      </c>
      <c r="AE174" s="142"/>
      <c r="AF174" s="315"/>
      <c r="AG174" s="315"/>
      <c r="AH174" s="696" t="s">
        <v>2463</v>
      </c>
      <c r="AI174" s="655"/>
      <c r="AJ174" s="655"/>
      <c r="AK174" s="480"/>
      <c r="AL174" s="480"/>
    </row>
    <row r="175" spans="1:38" s="4" customFormat="1" ht="14.25" customHeight="1" x14ac:dyDescent="0.15">
      <c r="A175" s="487"/>
      <c r="B175" s="22"/>
      <c r="C175" s="22"/>
      <c r="D175" s="22"/>
      <c r="E175" s="449">
        <v>15</v>
      </c>
      <c r="F175" s="267" t="str" cm="1">
        <f t="array" aca="1" ref="F175" ca="1">OFFSET(E175,-1,1)</f>
        <v>1</v>
      </c>
      <c r="G175" s="22"/>
      <c r="H175" s="22"/>
      <c r="I175" s="22"/>
      <c r="J175" s="22"/>
      <c r="K175" s="22"/>
      <c r="L175" s="22"/>
      <c r="M175" s="22"/>
      <c r="N175" s="22"/>
      <c r="O175" s="22"/>
      <c r="P175" s="22"/>
      <c r="Q175" s="22"/>
      <c r="R175" s="22"/>
      <c r="S175" s="22"/>
      <c r="T175" s="353" t="b" cm="1">
        <f t="array" aca="1" ref="T175" ca="1">T174</f>
        <v>1</v>
      </c>
      <c r="U175" s="22"/>
      <c r="V175" s="22"/>
      <c r="W175" s="22"/>
      <c r="X175" s="1022"/>
      <c r="Y175" s="22"/>
      <c r="Z175" s="1023"/>
      <c r="AA175" s="22"/>
      <c r="AB175" s="516" t="s">
        <v>2067</v>
      </c>
      <c r="AC175" s="403" t="s">
        <v>2068</v>
      </c>
      <c r="AD175" s="402" t="s">
        <v>828</v>
      </c>
      <c r="AE175" s="142"/>
      <c r="AF175" s="315"/>
      <c r="AG175" s="315"/>
      <c r="AH175" s="696" t="s">
        <v>2464</v>
      </c>
      <c r="AI175" s="655"/>
      <c r="AJ175" s="655"/>
      <c r="AK175" s="480"/>
      <c r="AL175" s="480"/>
    </row>
    <row r="176" spans="1:38" s="4" customFormat="1" ht="14.25" customHeight="1" x14ac:dyDescent="0.15">
      <c r="A176" s="487"/>
      <c r="B176" s="22"/>
      <c r="C176" s="22"/>
      <c r="D176" s="22"/>
      <c r="E176" s="449">
        <v>15</v>
      </c>
      <c r="F176" s="267" t="str" cm="1">
        <f t="array" aca="1" ref="F176" ca="1">OFFSET(E176,-1,1)</f>
        <v>1</v>
      </c>
      <c r="G176" s="22"/>
      <c r="H176" s="22"/>
      <c r="I176" s="22"/>
      <c r="J176" s="22"/>
      <c r="K176" s="22"/>
      <c r="L176" s="22"/>
      <c r="M176" s="22"/>
      <c r="N176" s="22"/>
      <c r="O176" s="22"/>
      <c r="P176" s="22"/>
      <c r="Q176" s="22"/>
      <c r="R176" s="22"/>
      <c r="S176" s="22"/>
      <c r="T176" s="353" t="b" cm="1">
        <f t="array" aca="1" ref="T176" ca="1">T175</f>
        <v>1</v>
      </c>
      <c r="U176" s="22"/>
      <c r="V176" s="22"/>
      <c r="W176" s="22"/>
      <c r="X176" s="1022"/>
      <c r="Y176" s="22"/>
      <c r="Z176" s="1023"/>
      <c r="AA176" s="22"/>
      <c r="AB176" s="516" t="s">
        <v>2071</v>
      </c>
      <c r="AC176" s="403" t="s">
        <v>2072</v>
      </c>
      <c r="AD176" s="402" t="s">
        <v>828</v>
      </c>
      <c r="AE176" s="142"/>
      <c r="AF176" s="315"/>
      <c r="AG176" s="315"/>
      <c r="AH176" s="696" t="s">
        <v>2465</v>
      </c>
      <c r="AI176" s="655"/>
      <c r="AJ176" s="655"/>
      <c r="AK176" s="480"/>
      <c r="AL176" s="480"/>
    </row>
    <row r="177" spans="1:38" s="4" customFormat="1" ht="14.25" customHeight="1" x14ac:dyDescent="0.15">
      <c r="A177" s="487"/>
      <c r="B177" s="22"/>
      <c r="C177" s="22"/>
      <c r="D177" s="22"/>
      <c r="E177" s="449">
        <v>15</v>
      </c>
      <c r="F177" s="267" t="str" cm="1">
        <f t="array" aca="1" ref="F177" ca="1">OFFSET(E177,-1,1)</f>
        <v>1</v>
      </c>
      <c r="G177" s="22"/>
      <c r="H177" s="22"/>
      <c r="I177" s="22"/>
      <c r="J177" s="22"/>
      <c r="K177" s="22"/>
      <c r="L177" s="22"/>
      <c r="M177" s="22"/>
      <c r="N177" s="22"/>
      <c r="O177" s="22"/>
      <c r="P177" s="22"/>
      <c r="Q177" s="22"/>
      <c r="R177" s="22"/>
      <c r="S177" s="22"/>
      <c r="T177" s="353" t="b" cm="1">
        <f t="array" aca="1" ref="T177" ca="1">T176</f>
        <v>1</v>
      </c>
      <c r="U177" s="22"/>
      <c r="V177" s="22"/>
      <c r="W177" s="22"/>
      <c r="X177" s="1022"/>
      <c r="Y177" s="22"/>
      <c r="Z177" s="1023"/>
      <c r="AA177" s="22"/>
      <c r="AB177" s="516" t="s">
        <v>2074</v>
      </c>
      <c r="AC177" s="403" t="s">
        <v>2075</v>
      </c>
      <c r="AD177" s="402" t="s">
        <v>828</v>
      </c>
      <c r="AE177" s="142"/>
      <c r="AF177" s="315"/>
      <c r="AG177" s="315"/>
      <c r="AH177" s="696" t="s">
        <v>2466</v>
      </c>
      <c r="AI177" s="655"/>
      <c r="AJ177" s="655"/>
      <c r="AK177" s="480"/>
      <c r="AL177" s="480"/>
    </row>
    <row r="178" spans="1:38" s="4" customFormat="1" ht="14.25" customHeight="1" x14ac:dyDescent="0.15">
      <c r="A178" s="487"/>
      <c r="B178" s="22"/>
      <c r="C178" s="22"/>
      <c r="D178" s="22"/>
      <c r="E178" s="449">
        <v>15</v>
      </c>
      <c r="F178" s="267" t="str" cm="1">
        <f t="array" aca="1" ref="F178" ca="1">OFFSET(E178,-1,1)</f>
        <v>1</v>
      </c>
      <c r="G178" s="22"/>
      <c r="H178" s="22"/>
      <c r="I178" s="22"/>
      <c r="J178" s="22"/>
      <c r="K178" s="22"/>
      <c r="L178" s="22"/>
      <c r="M178" s="22"/>
      <c r="N178" s="22"/>
      <c r="O178" s="22"/>
      <c r="P178" s="22"/>
      <c r="Q178" s="22"/>
      <c r="R178" s="22"/>
      <c r="S178" s="22"/>
      <c r="T178" s="353" t="b" cm="1">
        <f t="array" aca="1" ref="T178" ca="1">T177</f>
        <v>1</v>
      </c>
      <c r="U178" s="22"/>
      <c r="V178" s="22"/>
      <c r="W178" s="22"/>
      <c r="X178" s="1022"/>
      <c r="Y178" s="22"/>
      <c r="Z178" s="1023"/>
      <c r="AA178" s="22"/>
      <c r="AB178" s="516" t="s">
        <v>2077</v>
      </c>
      <c r="AC178" s="403" t="s">
        <v>2078</v>
      </c>
      <c r="AD178" s="402" t="s">
        <v>828</v>
      </c>
      <c r="AE178" s="142"/>
      <c r="AF178" s="315"/>
      <c r="AG178" s="315"/>
      <c r="AH178" s="696" t="s">
        <v>2467</v>
      </c>
      <c r="AI178" s="655"/>
      <c r="AJ178" s="655"/>
      <c r="AK178" s="480"/>
      <c r="AL178" s="480"/>
    </row>
    <row r="179" spans="1:38" s="4" customFormat="1" ht="14.25" customHeight="1" x14ac:dyDescent="0.15">
      <c r="A179" s="487"/>
      <c r="B179" s="22"/>
      <c r="C179" s="22"/>
      <c r="D179" s="22"/>
      <c r="E179" s="449">
        <v>15</v>
      </c>
      <c r="F179" s="267" t="str" cm="1">
        <f t="array" aca="1" ref="F179" ca="1">OFFSET(E179,-1,1)</f>
        <v>1</v>
      </c>
      <c r="G179" s="22"/>
      <c r="H179" s="22"/>
      <c r="I179" s="22"/>
      <c r="J179" s="22"/>
      <c r="K179" s="22"/>
      <c r="L179" s="22"/>
      <c r="M179" s="22"/>
      <c r="N179" s="22"/>
      <c r="O179" s="22"/>
      <c r="P179" s="22"/>
      <c r="Q179" s="22"/>
      <c r="R179" s="22"/>
      <c r="S179" s="22"/>
      <c r="T179" s="353" t="b" cm="1">
        <f t="array" aca="1" ref="T179" ca="1">T178</f>
        <v>1</v>
      </c>
      <c r="U179" s="22"/>
      <c r="V179" s="22"/>
      <c r="W179" s="22"/>
      <c r="X179" s="1022"/>
      <c r="Y179" s="22"/>
      <c r="Z179" s="1023"/>
      <c r="AA179" s="22"/>
      <c r="AB179" s="516" t="s">
        <v>2079</v>
      </c>
      <c r="AC179" s="403" t="s">
        <v>2080</v>
      </c>
      <c r="AD179" s="402" t="s">
        <v>828</v>
      </c>
      <c r="AE179" s="142"/>
      <c r="AF179" s="315"/>
      <c r="AG179" s="315"/>
      <c r="AH179" s="696" t="s">
        <v>2468</v>
      </c>
      <c r="AI179" s="655"/>
      <c r="AJ179" s="655"/>
      <c r="AK179" s="480"/>
      <c r="AL179" s="480"/>
    </row>
    <row r="180" spans="1:38" s="4" customFormat="1" ht="14.25" customHeight="1" x14ac:dyDescent="0.15">
      <c r="A180" s="487"/>
      <c r="B180" s="22"/>
      <c r="C180" s="22"/>
      <c r="D180" s="22"/>
      <c r="E180" s="449">
        <v>15</v>
      </c>
      <c r="F180" s="267" t="str" cm="1">
        <f t="array" aca="1" ref="F180" ca="1">OFFSET(E180,-1,1)</f>
        <v>1</v>
      </c>
      <c r="G180" s="22"/>
      <c r="H180" s="22"/>
      <c r="I180" s="22"/>
      <c r="J180" s="22"/>
      <c r="K180" s="22"/>
      <c r="L180" s="22"/>
      <c r="M180" s="22"/>
      <c r="N180" s="22"/>
      <c r="O180" s="22"/>
      <c r="P180" s="22"/>
      <c r="Q180" s="22"/>
      <c r="R180" s="22"/>
      <c r="S180" s="22"/>
      <c r="T180" s="353" t="b" cm="1">
        <f t="array" aca="1" ref="T180" ca="1">T179</f>
        <v>1</v>
      </c>
      <c r="U180" s="22"/>
      <c r="V180" s="22"/>
      <c r="W180" s="22"/>
      <c r="X180" s="1022"/>
      <c r="Y180" s="22"/>
      <c r="Z180" s="1023"/>
      <c r="AA180" s="22"/>
      <c r="AB180" s="516" t="s">
        <v>565</v>
      </c>
      <c r="AC180" s="401" t="s">
        <v>2081</v>
      </c>
      <c r="AD180" s="402" t="s">
        <v>828</v>
      </c>
      <c r="AE180" s="142"/>
      <c r="AF180" s="315"/>
      <c r="AG180" s="315"/>
      <c r="AH180" s="696" t="s">
        <v>2469</v>
      </c>
      <c r="AI180" s="655"/>
      <c r="AJ180" s="655"/>
      <c r="AK180" s="480"/>
      <c r="AL180" s="480"/>
    </row>
    <row r="181" spans="1:38" ht="14.25" customHeight="1" x14ac:dyDescent="0.15">
      <c r="E181" s="449">
        <v>15</v>
      </c>
      <c r="F181" s="3" t="str" cm="1">
        <f t="array" aca="1" ref="F181" ca="1">OFFSET(E181,-1,1)</f>
        <v>1</v>
      </c>
      <c r="H181" s="22" t="s">
        <v>503</v>
      </c>
      <c r="T181" s="353" t="b" cm="1">
        <f t="array" aca="1" ref="T181" ca="1">T167</f>
        <v>1</v>
      </c>
      <c r="X181" s="1022"/>
      <c r="Z181" s="1023"/>
      <c r="AB181" s="516" t="s">
        <v>569</v>
      </c>
      <c r="AC181" s="401" t="s">
        <v>2470</v>
      </c>
      <c r="AD181" s="402" t="s">
        <v>828</v>
      </c>
      <c r="AE181" s="406">
        <f>SUM(AE182:AE190)</f>
        <v>0</v>
      </c>
      <c r="AH181" s="702" t="s">
        <v>1275</v>
      </c>
    </row>
    <row r="182" spans="1:38" ht="14.25" customHeight="1" x14ac:dyDescent="0.15">
      <c r="E182" s="449">
        <v>15</v>
      </c>
      <c r="F182" s="3" t="str" cm="1">
        <f t="array" aca="1" ref="F182" ca="1">OFFSET(E182,-1,1)</f>
        <v>1</v>
      </c>
      <c r="H182" s="22" t="s">
        <v>1812</v>
      </c>
      <c r="T182" s="353" t="b" cm="1">
        <f t="array" aca="1" ref="T182" ca="1">T181</f>
        <v>1</v>
      </c>
      <c r="X182" s="1022"/>
      <c r="Z182" s="1023"/>
      <c r="AB182" s="516" t="s">
        <v>519</v>
      </c>
      <c r="AC182" s="403" t="s">
        <v>1290</v>
      </c>
      <c r="AD182" s="402" t="s">
        <v>828</v>
      </c>
      <c r="AE182" s="142"/>
      <c r="AH182" s="696" t="s">
        <v>2084</v>
      </c>
    </row>
    <row r="183" spans="1:38" ht="14.25" customHeight="1" x14ac:dyDescent="0.15">
      <c r="E183" s="449">
        <v>15</v>
      </c>
      <c r="F183" s="3" t="str" cm="1">
        <f t="array" aca="1" ref="F183" ca="1">OFFSET(E183,-1,1)</f>
        <v>1</v>
      </c>
      <c r="H183" s="22" t="s">
        <v>1815</v>
      </c>
      <c r="T183" s="353" t="b" cm="1">
        <f t="array" aca="1" ref="T183" ca="1">T182</f>
        <v>1</v>
      </c>
      <c r="X183" s="1022"/>
      <c r="Z183" s="1023"/>
      <c r="AB183" s="516" t="s">
        <v>1500</v>
      </c>
      <c r="AC183" s="403" t="s">
        <v>2471</v>
      </c>
      <c r="AD183" s="402" t="s">
        <v>828</v>
      </c>
      <c r="AE183" s="142"/>
      <c r="AH183" s="696" t="s">
        <v>2087</v>
      </c>
    </row>
    <row r="184" spans="1:38" ht="14.25" customHeight="1" x14ac:dyDescent="0.15">
      <c r="E184" s="449">
        <v>15</v>
      </c>
      <c r="F184" s="3" t="str" cm="1">
        <f t="array" aca="1" ref="F184" ca="1">OFFSET(E184,-1,1)</f>
        <v>1</v>
      </c>
      <c r="H184" s="22" t="s">
        <v>2472</v>
      </c>
      <c r="T184" s="353" t="b" cm="1">
        <f t="array" aca="1" ref="T184" ca="1">T183</f>
        <v>1</v>
      </c>
      <c r="X184" s="1022"/>
      <c r="Z184" s="1023"/>
      <c r="AB184" s="516" t="s">
        <v>1505</v>
      </c>
      <c r="AC184" s="403" t="s">
        <v>2473</v>
      </c>
      <c r="AD184" s="402" t="s">
        <v>828</v>
      </c>
      <c r="AE184" s="142"/>
      <c r="AH184" s="696" t="s">
        <v>2090</v>
      </c>
    </row>
    <row r="185" spans="1:38" ht="14.25" customHeight="1" x14ac:dyDescent="0.15">
      <c r="E185" s="449">
        <v>15</v>
      </c>
      <c r="F185" s="3" t="str" cm="1">
        <f t="array" aca="1" ref="F185" ca="1">OFFSET(E185,-1,1)</f>
        <v>1</v>
      </c>
      <c r="H185" s="22" t="s">
        <v>2474</v>
      </c>
      <c r="T185" s="353" t="b" cm="1">
        <f t="array" aca="1" ref="T185" ca="1">T184</f>
        <v>1</v>
      </c>
      <c r="X185" s="1022"/>
      <c r="Z185" s="1023"/>
      <c r="AB185" s="516" t="s">
        <v>2092</v>
      </c>
      <c r="AC185" s="403" t="s">
        <v>1283</v>
      </c>
      <c r="AD185" s="402" t="s">
        <v>828</v>
      </c>
      <c r="AE185" s="142"/>
      <c r="AH185" s="696" t="s">
        <v>2094</v>
      </c>
    </row>
    <row r="186" spans="1:38" ht="14.25" customHeight="1" x14ac:dyDescent="0.15">
      <c r="E186" s="449">
        <v>15</v>
      </c>
      <c r="F186" s="3" t="str" cm="1">
        <f t="array" aca="1" ref="F186" ca="1">OFFSET(E186,-1,1)</f>
        <v>1</v>
      </c>
      <c r="H186" s="22" t="s">
        <v>2475</v>
      </c>
      <c r="T186" s="353" t="b" cm="1">
        <f t="array" aca="1" ref="T186" ca="1">T185</f>
        <v>1</v>
      </c>
      <c r="X186" s="1022"/>
      <c r="Z186" s="1023"/>
      <c r="AB186" s="516" t="s">
        <v>2096</v>
      </c>
      <c r="AC186" s="403" t="s">
        <v>1285</v>
      </c>
      <c r="AD186" s="402" t="s">
        <v>828</v>
      </c>
      <c r="AE186" s="142"/>
      <c r="AH186" s="696" t="s">
        <v>2098</v>
      </c>
    </row>
    <row r="187" spans="1:38" ht="14.25" customHeight="1" x14ac:dyDescent="0.15">
      <c r="E187" s="449">
        <v>15</v>
      </c>
      <c r="F187" s="3" t="str" cm="1">
        <f t="array" aca="1" ref="F187" ca="1">OFFSET(E187,-1,1)</f>
        <v>1</v>
      </c>
      <c r="H187" s="22" t="s">
        <v>2476</v>
      </c>
      <c r="T187" s="353" t="b" cm="1">
        <f t="array" aca="1" ref="T187" ca="1">T186</f>
        <v>1</v>
      </c>
      <c r="X187" s="1022"/>
      <c r="Z187" s="1023"/>
      <c r="AB187" s="516" t="s">
        <v>2100</v>
      </c>
      <c r="AC187" s="403" t="s">
        <v>1276</v>
      </c>
      <c r="AD187" s="402" t="s">
        <v>828</v>
      </c>
      <c r="AE187" s="142"/>
      <c r="AH187" s="696" t="s">
        <v>2102</v>
      </c>
    </row>
    <row r="188" spans="1:38" s="4" customFormat="1" ht="14.25" customHeight="1" x14ac:dyDescent="0.15">
      <c r="A188" s="487"/>
      <c r="B188" s="22"/>
      <c r="C188" s="22"/>
      <c r="D188" s="22"/>
      <c r="E188" s="449">
        <v>15</v>
      </c>
      <c r="F188" s="267" t="str" cm="1">
        <f t="array" aca="1" ref="F188" ca="1">OFFSET(E188,-1,1)</f>
        <v>1</v>
      </c>
      <c r="G188" s="22"/>
      <c r="H188" s="22"/>
      <c r="I188" s="22"/>
      <c r="J188" s="22"/>
      <c r="K188" s="22"/>
      <c r="L188" s="22"/>
      <c r="M188" s="22"/>
      <c r="N188" s="22"/>
      <c r="O188" s="22"/>
      <c r="P188" s="22"/>
      <c r="Q188" s="22"/>
      <c r="R188" s="22"/>
      <c r="S188" s="22"/>
      <c r="T188" s="353" t="b" cm="1">
        <f t="array" aca="1" ref="T188" ca="1">T187</f>
        <v>1</v>
      </c>
      <c r="U188" s="22"/>
      <c r="V188" s="22"/>
      <c r="W188" s="22"/>
      <c r="X188" s="1022"/>
      <c r="Y188" s="22"/>
      <c r="Z188" s="1023"/>
      <c r="AA188" s="22"/>
      <c r="AB188" s="516" t="s">
        <v>2104</v>
      </c>
      <c r="AC188" s="403" t="s">
        <v>2477</v>
      </c>
      <c r="AD188" s="402" t="s">
        <v>828</v>
      </c>
      <c r="AE188" s="142"/>
      <c r="AF188" s="315"/>
      <c r="AG188" s="315"/>
      <c r="AH188" s="696" t="s">
        <v>1293</v>
      </c>
      <c r="AI188" s="655"/>
      <c r="AJ188" s="655"/>
      <c r="AK188" s="480"/>
      <c r="AL188" s="480"/>
    </row>
    <row r="189" spans="1:38" s="4" customFormat="1" ht="14.25" customHeight="1" x14ac:dyDescent="0.15">
      <c r="A189" s="487"/>
      <c r="B189" s="22"/>
      <c r="C189" s="22"/>
      <c r="D189" s="22"/>
      <c r="E189" s="449">
        <v>15</v>
      </c>
      <c r="F189" s="267" t="str" cm="1">
        <f t="array" aca="1" ref="F189" ca="1">OFFSET(E189,-1,1)</f>
        <v>1</v>
      </c>
      <c r="G189" s="22"/>
      <c r="H189" s="22"/>
      <c r="I189" s="22"/>
      <c r="J189" s="22"/>
      <c r="K189" s="22"/>
      <c r="L189" s="22"/>
      <c r="M189" s="22"/>
      <c r="N189" s="22"/>
      <c r="O189" s="22"/>
      <c r="P189" s="22"/>
      <c r="Q189" s="22"/>
      <c r="R189" s="22"/>
      <c r="S189" s="22"/>
      <c r="T189" s="353" t="b" cm="1">
        <f t="array" aca="1" ref="T189" ca="1">T188</f>
        <v>1</v>
      </c>
      <c r="U189" s="22"/>
      <c r="V189" s="22"/>
      <c r="W189" s="22"/>
      <c r="X189" s="1022"/>
      <c r="Y189" s="22"/>
      <c r="Z189" s="1023"/>
      <c r="AA189" s="22"/>
      <c r="AB189" s="516" t="s">
        <v>2108</v>
      </c>
      <c r="AC189" s="403" t="s">
        <v>1294</v>
      </c>
      <c r="AD189" s="402" t="s">
        <v>828</v>
      </c>
      <c r="AE189" s="142"/>
      <c r="AF189" s="315"/>
      <c r="AG189" s="315"/>
      <c r="AH189" s="696" t="s">
        <v>2478</v>
      </c>
      <c r="AI189" s="655"/>
      <c r="AJ189" s="655"/>
      <c r="AK189" s="480"/>
      <c r="AL189" s="480"/>
    </row>
    <row r="190" spans="1:38" ht="14.25" customHeight="1" x14ac:dyDescent="0.15">
      <c r="E190" s="449">
        <v>15</v>
      </c>
      <c r="F190" s="3" t="str" cm="1">
        <f t="array" aca="1" ref="F190" ca="1">OFFSET(E190,-1,1)</f>
        <v>1</v>
      </c>
      <c r="H190" s="22" t="s">
        <v>2479</v>
      </c>
      <c r="T190" s="353" t="b" cm="1">
        <f t="array" aca="1" ref="T190" ca="1">T187</f>
        <v>1</v>
      </c>
      <c r="X190" s="1022"/>
      <c r="Z190" s="1023"/>
      <c r="AB190" s="516" t="s">
        <v>2110</v>
      </c>
      <c r="AC190" s="403" t="s">
        <v>1296</v>
      </c>
      <c r="AD190" s="402" t="s">
        <v>828</v>
      </c>
      <c r="AE190" s="142"/>
      <c r="AH190" s="696" t="s">
        <v>2116</v>
      </c>
    </row>
    <row r="191" spans="1:38" ht="14.25" customHeight="1" x14ac:dyDescent="0.15">
      <c r="E191" s="449">
        <v>15</v>
      </c>
      <c r="F191" s="3" t="str" cm="1">
        <f t="array" aca="1" ref="F191" ca="1">OFFSET(E191,-1,1)</f>
        <v>1</v>
      </c>
      <c r="H191" s="22" t="s">
        <v>959</v>
      </c>
      <c r="T191" s="353" t="b" cm="1">
        <f t="array" aca="1" ref="T191" ca="1">T190</f>
        <v>1</v>
      </c>
      <c r="X191" s="1022"/>
      <c r="Z191" s="1023"/>
      <c r="AB191" s="516" t="s">
        <v>962</v>
      </c>
      <c r="AC191" s="403" t="s">
        <v>1085</v>
      </c>
      <c r="AD191" s="402" t="s">
        <v>828</v>
      </c>
      <c r="AE191" s="142"/>
      <c r="AH191" s="696" t="s">
        <v>1233</v>
      </c>
    </row>
    <row r="192" spans="1:38" ht="14.25" customHeight="1" x14ac:dyDescent="0.15">
      <c r="E192" s="449">
        <v>15</v>
      </c>
      <c r="F192" s="3" t="str" cm="1">
        <f t="array" aca="1" ref="F192" ca="1">OFFSET(E192,-1,1)</f>
        <v>1</v>
      </c>
      <c r="H192" s="22" t="s">
        <v>2119</v>
      </c>
      <c r="T192" s="353" t="b" cm="1">
        <f t="array" aca="1" ref="T192" ca="1">T191</f>
        <v>1</v>
      </c>
      <c r="X192" s="1022"/>
      <c r="Z192" s="1023"/>
      <c r="AB192" s="516" t="s">
        <v>965</v>
      </c>
      <c r="AC192" s="401" t="s">
        <v>1472</v>
      </c>
      <c r="AD192" s="402" t="s">
        <v>828</v>
      </c>
      <c r="AE192" s="142"/>
      <c r="AH192" s="703" t="s">
        <v>1856</v>
      </c>
    </row>
    <row r="193" spans="1:38" ht="14.25" customHeight="1" x14ac:dyDescent="0.15">
      <c r="E193" s="449">
        <v>15</v>
      </c>
      <c r="F193" s="3" t="str" cm="1">
        <f t="array" aca="1" ref="F193" ca="1">OFFSET(E193,-1,1)</f>
        <v>1</v>
      </c>
      <c r="H193" s="22" t="s">
        <v>2127</v>
      </c>
      <c r="T193" s="353" t="b" cm="1">
        <f t="array" aca="1" ref="T193" ca="1">T192</f>
        <v>1</v>
      </c>
      <c r="X193" s="1022"/>
      <c r="Z193" s="1023"/>
      <c r="AB193" s="516" t="s">
        <v>1520</v>
      </c>
      <c r="AC193" s="401" t="s">
        <v>1482</v>
      </c>
      <c r="AD193" s="402" t="s">
        <v>828</v>
      </c>
      <c r="AE193" s="406">
        <f>AE194+AE195</f>
        <v>0</v>
      </c>
      <c r="AH193" s="696" t="s">
        <v>2132</v>
      </c>
    </row>
    <row r="194" spans="1:38" ht="14.25" customHeight="1" x14ac:dyDescent="0.15">
      <c r="E194" s="449">
        <v>15</v>
      </c>
      <c r="F194" s="3" t="str" cm="1">
        <f t="array" aca="1" ref="F194" ca="1">OFFSET(E194,-1,1)</f>
        <v>1</v>
      </c>
      <c r="H194" s="22" t="s">
        <v>2480</v>
      </c>
      <c r="T194" s="353" t="b" cm="1">
        <f t="array" aca="1" ref="T194" ca="1">T193</f>
        <v>1</v>
      </c>
      <c r="X194" s="1022"/>
      <c r="Z194" s="1023"/>
      <c r="AB194" s="516" t="s">
        <v>2123</v>
      </c>
      <c r="AC194" s="403" t="s">
        <v>2481</v>
      </c>
      <c r="AD194" s="402" t="s">
        <v>828</v>
      </c>
      <c r="AE194" s="142"/>
      <c r="AH194" s="696" t="s">
        <v>1268</v>
      </c>
    </row>
    <row r="195" spans="1:38" ht="21.75" customHeight="1" x14ac:dyDescent="0.15">
      <c r="E195" s="449">
        <v>22.5</v>
      </c>
      <c r="F195" s="3" t="str" cm="1">
        <f t="array" aca="1" ref="F195" ca="1">OFFSET(E195,-1,1)</f>
        <v>1</v>
      </c>
      <c r="H195" s="22" t="s">
        <v>2482</v>
      </c>
      <c r="T195" s="353" t="b" cm="1">
        <f t="array" aca="1" ref="T195" ca="1">T194</f>
        <v>1</v>
      </c>
      <c r="X195" s="1022"/>
      <c r="Z195" s="1023"/>
      <c r="AB195" s="516" t="s">
        <v>2483</v>
      </c>
      <c r="AC195" s="403" t="s">
        <v>2484</v>
      </c>
      <c r="AD195" s="402" t="s">
        <v>828</v>
      </c>
      <c r="AE195" s="142"/>
      <c r="AH195" s="696" t="s">
        <v>2139</v>
      </c>
    </row>
    <row r="196" spans="1:38" ht="76.5" customHeight="1" x14ac:dyDescent="0.15">
      <c r="E196" s="449">
        <v>78.75</v>
      </c>
      <c r="F196" s="3" t="str" cm="1">
        <f t="array" aca="1" ref="F196" ca="1">OFFSET(E196,-1,1)</f>
        <v>1</v>
      </c>
      <c r="H196" s="22" t="s">
        <v>2131</v>
      </c>
      <c r="T196" s="353" t="b" cm="1">
        <f t="array" aca="1" ref="T196" ca="1">T195</f>
        <v>1</v>
      </c>
      <c r="X196" s="1022"/>
      <c r="Z196" s="1023"/>
      <c r="AB196" s="516" t="s">
        <v>1525</v>
      </c>
      <c r="AC196" s="409" t="s">
        <v>1456</v>
      </c>
      <c r="AD196" s="402" t="s">
        <v>828</v>
      </c>
      <c r="AE196" s="142"/>
      <c r="AH196" s="696" t="s">
        <v>2117</v>
      </c>
    </row>
    <row r="197" spans="1:38" s="4" customFormat="1" ht="14.25" customHeight="1" x14ac:dyDescent="0.15">
      <c r="A197" s="487"/>
      <c r="B197" s="22"/>
      <c r="C197" s="22"/>
      <c r="D197" s="22"/>
      <c r="E197" s="449">
        <v>15</v>
      </c>
      <c r="F197" s="267" t="str" cm="1">
        <f t="array" aca="1" ref="F197" ca="1">OFFSET(E197,-1,1)</f>
        <v>1</v>
      </c>
      <c r="G197" s="22"/>
      <c r="H197" s="22"/>
      <c r="I197" s="22"/>
      <c r="J197" s="22"/>
      <c r="K197" s="22"/>
      <c r="L197" s="22"/>
      <c r="M197" s="22"/>
      <c r="N197" s="22"/>
      <c r="O197" s="22"/>
      <c r="P197" s="22"/>
      <c r="Q197" s="22"/>
      <c r="R197" s="22"/>
      <c r="S197" s="22"/>
      <c r="T197" s="353" t="b" cm="1">
        <f t="array" aca="1" ref="T197" ca="1">T196</f>
        <v>1</v>
      </c>
      <c r="U197" s="22"/>
      <c r="V197" s="22"/>
      <c r="W197" s="22"/>
      <c r="X197" s="1022"/>
      <c r="Y197" s="22"/>
      <c r="Z197" s="1023"/>
      <c r="AA197" s="22"/>
      <c r="AB197" s="516" t="s">
        <v>2128</v>
      </c>
      <c r="AC197" s="409" t="s">
        <v>1065</v>
      </c>
      <c r="AD197" s="402" t="s">
        <v>828</v>
      </c>
      <c r="AE197" s="142"/>
      <c r="AF197" s="315"/>
      <c r="AG197" s="315"/>
      <c r="AH197" s="696" t="s">
        <v>1067</v>
      </c>
      <c r="AI197" s="655"/>
      <c r="AJ197" s="655"/>
      <c r="AK197" s="480"/>
      <c r="AL197" s="480"/>
    </row>
    <row r="198" spans="1:38" s="4" customFormat="1" ht="14.25" customHeight="1" x14ac:dyDescent="0.15">
      <c r="A198" s="487"/>
      <c r="B198" s="22"/>
      <c r="C198" s="22"/>
      <c r="D198" s="22"/>
      <c r="E198" s="449">
        <v>15</v>
      </c>
      <c r="F198" s="267" t="str" cm="1">
        <f t="array" aca="1" ref="F198" ca="1">OFFSET(E198,-1,1)</f>
        <v>1</v>
      </c>
      <c r="G198" s="22"/>
      <c r="H198" s="22"/>
      <c r="I198" s="22"/>
      <c r="J198" s="22"/>
      <c r="K198" s="22"/>
      <c r="L198" s="22"/>
      <c r="M198" s="22"/>
      <c r="N198" s="22"/>
      <c r="O198" s="22"/>
      <c r="P198" s="22"/>
      <c r="Q198" s="22"/>
      <c r="R198" s="22"/>
      <c r="S198" s="22"/>
      <c r="T198" s="353" t="b" cm="1">
        <f t="array" aca="1" ref="T198" ca="1">T197</f>
        <v>1</v>
      </c>
      <c r="U198" s="22"/>
      <c r="V198" s="22"/>
      <c r="W198" s="22"/>
      <c r="X198" s="1022"/>
      <c r="Y198" s="22"/>
      <c r="Z198" s="1023"/>
      <c r="AA198" s="22"/>
      <c r="AB198" s="516" t="s">
        <v>1544</v>
      </c>
      <c r="AC198" s="409" t="s">
        <v>1467</v>
      </c>
      <c r="AD198" s="402" t="s">
        <v>828</v>
      </c>
      <c r="AE198" s="142"/>
      <c r="AF198" s="315"/>
      <c r="AG198" s="315"/>
      <c r="AH198" s="696" t="s">
        <v>2485</v>
      </c>
      <c r="AI198" s="655"/>
      <c r="AJ198" s="655"/>
      <c r="AK198" s="480"/>
      <c r="AL198" s="480"/>
    </row>
    <row r="199" spans="1:38" ht="14.25" customHeight="1" x14ac:dyDescent="0.15">
      <c r="E199" s="449">
        <v>15</v>
      </c>
      <c r="F199" s="3" t="str" cm="1">
        <f t="array" aca="1" ref="F199" ca="1">OFFSET(E199,-1,1)</f>
        <v>1</v>
      </c>
      <c r="H199" s="22" t="s">
        <v>2486</v>
      </c>
      <c r="T199" s="353" t="b" cm="1">
        <f t="array" aca="1" ref="T199" ca="1">T196</f>
        <v>1</v>
      </c>
      <c r="X199" s="1022"/>
      <c r="Z199" s="1023"/>
      <c r="AB199" s="516" t="s">
        <v>1548</v>
      </c>
      <c r="AC199" s="401" t="s">
        <v>2487</v>
      </c>
      <c r="AD199" s="402" t="s">
        <v>828</v>
      </c>
      <c r="AE199" s="142"/>
      <c r="AH199" s="655" t="s">
        <v>2488</v>
      </c>
    </row>
    <row r="200" spans="1:38" s="4" customFormat="1" ht="31.5" customHeight="1" x14ac:dyDescent="0.15">
      <c r="A200" s="487"/>
      <c r="B200" s="22"/>
      <c r="C200" s="22"/>
      <c r="D200" s="22"/>
      <c r="E200" s="449">
        <v>33</v>
      </c>
      <c r="F200" s="267" t="str" cm="1">
        <f t="array" aca="1" ref="F200" ca="1">OFFSET(E200,-1,1)</f>
        <v>1</v>
      </c>
      <c r="G200" s="22"/>
      <c r="H200" s="22"/>
      <c r="I200" s="22"/>
      <c r="J200" s="22"/>
      <c r="K200" s="22"/>
      <c r="L200" s="22"/>
      <c r="M200" s="22"/>
      <c r="N200" s="22"/>
      <c r="O200" s="22"/>
      <c r="P200" s="22"/>
      <c r="Q200" s="22"/>
      <c r="R200" s="22"/>
      <c r="S200" s="22"/>
      <c r="T200" s="353" t="b" cm="1">
        <f t="array" aca="1" ref="T200" ca="1">T199</f>
        <v>1</v>
      </c>
      <c r="U200" s="22"/>
      <c r="V200" s="22"/>
      <c r="W200" s="22"/>
      <c r="X200" s="1022"/>
      <c r="Y200" s="22"/>
      <c r="Z200" s="1023"/>
      <c r="AA200" s="22"/>
      <c r="AB200" s="516" t="s">
        <v>1551</v>
      </c>
      <c r="AC200" s="401" t="s">
        <v>2141</v>
      </c>
      <c r="AD200" s="402" t="s">
        <v>828</v>
      </c>
      <c r="AE200" s="142"/>
      <c r="AF200" s="315"/>
      <c r="AG200" s="315"/>
      <c r="AH200" s="655" t="s">
        <v>2489</v>
      </c>
      <c r="AI200" s="655"/>
      <c r="AJ200" s="655"/>
      <c r="AK200" s="480"/>
      <c r="AL200" s="480"/>
    </row>
    <row r="201" spans="1:38" ht="14.25" customHeight="1" x14ac:dyDescent="0.15">
      <c r="E201" s="449">
        <v>15</v>
      </c>
      <c r="F201" s="3" t="str" cm="1">
        <f t="array" aca="1" ref="F201" ca="1">OFFSET(E201,-1,1)</f>
        <v>1</v>
      </c>
      <c r="H201" s="22" t="s">
        <v>2490</v>
      </c>
      <c r="T201" s="353" t="b" cm="1">
        <f t="array" aca="1" ref="T201" ca="1">T199</f>
        <v>1</v>
      </c>
      <c r="X201" s="1022"/>
      <c r="Z201" s="1023"/>
      <c r="AB201" s="516" t="s">
        <v>2491</v>
      </c>
      <c r="AC201" s="401" t="s">
        <v>2492</v>
      </c>
      <c r="AD201" s="402" t="s">
        <v>828</v>
      </c>
      <c r="AE201" s="406">
        <f>SUM(AE202:AE203)</f>
        <v>0</v>
      </c>
      <c r="AH201" s="655" t="s">
        <v>2493</v>
      </c>
    </row>
    <row r="202" spans="1:38" ht="14.25" hidden="1" customHeight="1" x14ac:dyDescent="0.15">
      <c r="E202" s="449">
        <v>15</v>
      </c>
      <c r="F202" s="3" t="str" cm="1">
        <f t="array" aca="1" ref="F202" ca="1">OFFSET(E202,-1,1)</f>
        <v>1</v>
      </c>
      <c r="H202" s="22" t="s">
        <v>2490</v>
      </c>
      <c r="I202" s="410" cm="1">
        <f t="array" ref="I202">AC202</f>
        <v>0</v>
      </c>
      <c r="T202" s="353" t="b">
        <f ca="1">AND(F202&gt;0,Y202&gt;0)</f>
        <v>0</v>
      </c>
      <c r="W202" s="17" t="s">
        <v>172</v>
      </c>
      <c r="X202" s="1022"/>
      <c r="Y202" s="22">
        <v>0</v>
      </c>
      <c r="Z202" s="1023"/>
      <c r="AA202" s="482" t="s">
        <v>173</v>
      </c>
      <c r="AB202" s="516" t="str">
        <f>"2.12."&amp;Y202</f>
        <v>2.12.0</v>
      </c>
      <c r="AC202" s="888"/>
      <c r="AD202" s="402" t="s">
        <v>828</v>
      </c>
      <c r="AE202" s="854"/>
      <c r="AH202" s="655" t="s">
        <v>2493</v>
      </c>
      <c r="AI202" s="655" t="s">
        <v>2494</v>
      </c>
      <c r="AJ202" s="661" cm="1">
        <f t="array" ref="AJ202">AC202</f>
        <v>0</v>
      </c>
      <c r="AL202" s="480" t="b">
        <v>1</v>
      </c>
    </row>
    <row r="203" spans="1:38" ht="14.25" customHeight="1" x14ac:dyDescent="0.15">
      <c r="E203" s="449">
        <v>15</v>
      </c>
      <c r="F203" s="3" t="str" cm="1">
        <f t="array" aca="1" ref="F203" ca="1">OFFSET(E203,-1,1)</f>
        <v>1</v>
      </c>
      <c r="I203" s="72" t="str">
        <f>"!== 'не определено' &amp;&amp; row.l2_13 !== null"</f>
        <v>!== 'не определено' &amp;&amp; row.l2_13 !== null</v>
      </c>
      <c r="T203" s="353" t="b">
        <f ca="1">F203&gt;0</f>
        <v>1</v>
      </c>
      <c r="W203" s="506" t="s">
        <v>919</v>
      </c>
      <c r="X203" s="1022"/>
      <c r="Z203" s="1023"/>
      <c r="AB203" s="783"/>
      <c r="AC203" s="784" t="s">
        <v>176</v>
      </c>
      <c r="AD203" s="785"/>
      <c r="AE203" s="795"/>
      <c r="AK203" s="480" t="s">
        <v>2494</v>
      </c>
    </row>
    <row r="204" spans="1:38" ht="14.25" customHeight="1" x14ac:dyDescent="0.15">
      <c r="E204" s="449">
        <v>15</v>
      </c>
      <c r="F204" s="3" t="str" cm="1">
        <f t="array" aca="1" ref="F204" ca="1">OFFSET(E204,-1,1)</f>
        <v>1</v>
      </c>
      <c r="G204" s="22" t="s">
        <v>49</v>
      </c>
      <c r="H204" s="22" t="s">
        <v>333</v>
      </c>
      <c r="T204" s="353" t="b" cm="1">
        <f t="array" aca="1" ref="T204" ca="1">T203</f>
        <v>1</v>
      </c>
      <c r="X204" s="1022"/>
      <c r="Z204" s="1023"/>
      <c r="AB204" s="515" t="s">
        <v>291</v>
      </c>
      <c r="AC204" s="399" t="s">
        <v>2144</v>
      </c>
      <c r="AD204" s="400" t="s">
        <v>828</v>
      </c>
      <c r="AE204" s="796"/>
      <c r="AH204" s="655" t="s">
        <v>1750</v>
      </c>
    </row>
    <row r="205" spans="1:38" ht="14.25" customHeight="1" x14ac:dyDescent="0.15">
      <c r="E205" s="449">
        <v>15</v>
      </c>
      <c r="F205" s="267" t="str" cm="1">
        <f t="array" ref="F205">X205</f>
        <v>2</v>
      </c>
      <c r="G205" s="22" t="s">
        <v>821</v>
      </c>
      <c r="T205" s="353" t="b">
        <f>X205&gt;0</f>
        <v>1</v>
      </c>
      <c r="V205" s="22" t="str" cm="1">
        <f t="array" ref="V205">'ДПР (концессии)'!$AB$134</f>
        <v>Тариф 2 (Водоотведение) - тариф на водоотведение</v>
      </c>
      <c r="X205" s="1022" t="s">
        <v>285</v>
      </c>
      <c r="Z205" s="1023"/>
      <c r="AB205" s="135" t="str" cm="1">
        <f t="array" ref="AB205">'ДПР (концессии)'!$AB$134</f>
        <v>Тариф 2 (Водоотведение) - тариф на водоотведение</v>
      </c>
      <c r="AC205" s="94"/>
      <c r="AD205" s="88"/>
      <c r="AE205" s="782">
        <f>AE206+AE256+AE293</f>
        <v>0</v>
      </c>
    </row>
    <row r="206" spans="1:38" ht="14.25" customHeight="1" x14ac:dyDescent="0.15">
      <c r="E206" s="449">
        <v>15</v>
      </c>
      <c r="F206" s="3" t="str" cm="1">
        <f t="array" aca="1" ref="F206" ca="1">OFFSET(E206,-1,1)</f>
        <v>2</v>
      </c>
      <c r="H206" s="22" t="s">
        <v>331</v>
      </c>
      <c r="T206" s="353" t="b" cm="1">
        <f t="array" ref="T206">T205</f>
        <v>1</v>
      </c>
      <c r="X206" s="1022"/>
      <c r="Z206" s="1023"/>
      <c r="AB206" s="515" t="s">
        <v>275</v>
      </c>
      <c r="AC206" s="399" t="s">
        <v>1950</v>
      </c>
      <c r="AD206" s="400" t="s">
        <v>828</v>
      </c>
      <c r="AE206" s="406">
        <f>AE207+AE225+AE233+AE253</f>
        <v>0</v>
      </c>
      <c r="AH206" s="655" t="s">
        <v>550</v>
      </c>
    </row>
    <row r="207" spans="1:38" ht="14.25" customHeight="1" x14ac:dyDescent="0.15">
      <c r="E207" s="449">
        <v>15</v>
      </c>
      <c r="F207" s="3" t="str" cm="1">
        <f t="array" aca="1" ref="F207" ca="1">OFFSET(E207,-1,1)</f>
        <v>2</v>
      </c>
      <c r="H207" s="22" t="s">
        <v>482</v>
      </c>
      <c r="T207" s="353" t="b" cm="1">
        <f t="array" ref="T207">T206</f>
        <v>1</v>
      </c>
      <c r="X207" s="1022"/>
      <c r="Z207" s="1023"/>
      <c r="AB207" s="516" t="s">
        <v>939</v>
      </c>
      <c r="AC207" s="401" t="s">
        <v>1738</v>
      </c>
      <c r="AD207" s="402" t="s">
        <v>828</v>
      </c>
      <c r="AE207" s="406">
        <f>AE208+AE209+AE210+AE215+AE216+AE217</f>
        <v>0</v>
      </c>
      <c r="AH207" s="655" t="s">
        <v>1164</v>
      </c>
    </row>
    <row r="208" spans="1:38" ht="14.25" customHeight="1" x14ac:dyDescent="0.15">
      <c r="E208" s="449">
        <v>15</v>
      </c>
      <c r="F208" s="3" t="str" cm="1">
        <f t="array" aca="1" ref="F208" ca="1">OFFSET(E208,-1,1)</f>
        <v>2</v>
      </c>
      <c r="H208" s="22" t="s">
        <v>1070</v>
      </c>
      <c r="T208" s="353" t="b" cm="1">
        <f t="array" ref="T208">T207</f>
        <v>1</v>
      </c>
      <c r="X208" s="1022"/>
      <c r="Z208" s="1023"/>
      <c r="AB208" s="516" t="s">
        <v>1071</v>
      </c>
      <c r="AC208" s="403" t="s">
        <v>2361</v>
      </c>
      <c r="AD208" s="402" t="s">
        <v>828</v>
      </c>
      <c r="AE208" s="142"/>
      <c r="AH208" s="655" t="s">
        <v>1260</v>
      </c>
    </row>
    <row r="209" spans="5:34" ht="21.75" customHeight="1" x14ac:dyDescent="0.15">
      <c r="E209" s="449">
        <v>22.5</v>
      </c>
      <c r="F209" s="3" t="str" cm="1">
        <f t="array" aca="1" ref="F209" ca="1">OFFSET(E209,-1,1)</f>
        <v>2</v>
      </c>
      <c r="H209" s="22" t="s">
        <v>1074</v>
      </c>
      <c r="T209" s="353" t="b" cm="1">
        <f t="array" ref="T209">T208</f>
        <v>1</v>
      </c>
      <c r="X209" s="1022"/>
      <c r="Z209" s="1023"/>
      <c r="AB209" s="516" t="s">
        <v>1075</v>
      </c>
      <c r="AC209" s="403" t="s">
        <v>1958</v>
      </c>
      <c r="AD209" s="402" t="s">
        <v>828</v>
      </c>
      <c r="AE209" s="142"/>
      <c r="AH209" s="655" t="s">
        <v>1771</v>
      </c>
    </row>
    <row r="210" spans="5:34" ht="32.25" customHeight="1" x14ac:dyDescent="0.15">
      <c r="E210" s="449">
        <v>33.75</v>
      </c>
      <c r="F210" s="3" t="str" cm="1">
        <f t="array" aca="1" ref="F210" ca="1">OFFSET(E210,-1,1)</f>
        <v>2</v>
      </c>
      <c r="H210" s="22" t="s">
        <v>1319</v>
      </c>
      <c r="T210" s="353" t="b" cm="1">
        <f t="array" ref="T210">T209</f>
        <v>1</v>
      </c>
      <c r="X210" s="1022"/>
      <c r="Z210" s="1023"/>
      <c r="AB210" s="516" t="s">
        <v>1320</v>
      </c>
      <c r="AC210" s="403" t="s">
        <v>2362</v>
      </c>
      <c r="AD210" s="402" t="s">
        <v>828</v>
      </c>
      <c r="AE210" s="406">
        <f>AE211+AE214</f>
        <v>0</v>
      </c>
      <c r="AH210" s="655" t="s">
        <v>1773</v>
      </c>
    </row>
    <row r="211" spans="5:34" ht="21.75" customHeight="1" x14ac:dyDescent="0.15">
      <c r="E211" s="449">
        <v>22.5</v>
      </c>
      <c r="F211" s="3" t="str" cm="1">
        <f t="array" aca="1" ref="F211" ca="1">OFFSET(E211,-1,1)</f>
        <v>2</v>
      </c>
      <c r="H211" s="22" t="s">
        <v>2363</v>
      </c>
      <c r="T211" s="353" t="b" cm="1">
        <f t="array" ref="T211">T210</f>
        <v>1</v>
      </c>
      <c r="X211" s="1022"/>
      <c r="Z211" s="1023"/>
      <c r="AB211" s="516" t="s">
        <v>2364</v>
      </c>
      <c r="AC211" s="404" t="s">
        <v>2365</v>
      </c>
      <c r="AD211" s="402" t="s">
        <v>828</v>
      </c>
      <c r="AE211" s="142"/>
      <c r="AH211" s="655" t="s">
        <v>1775</v>
      </c>
    </row>
    <row r="212" spans="5:34" ht="21.75" customHeight="1" x14ac:dyDescent="0.15">
      <c r="E212" s="449">
        <v>22.5</v>
      </c>
      <c r="F212" s="3" t="str" cm="1">
        <f t="array" aca="1" ref="F212" ca="1">OFFSET(E212,-1,1)</f>
        <v>2</v>
      </c>
      <c r="H212" s="22" t="s">
        <v>2366</v>
      </c>
      <c r="T212" s="353" t="b" cm="1">
        <f t="array" ref="T212">T211</f>
        <v>1</v>
      </c>
      <c r="X212" s="1022"/>
      <c r="Z212" s="1023"/>
      <c r="AB212" s="516" t="s">
        <v>2367</v>
      </c>
      <c r="AC212" s="405" t="s">
        <v>2368</v>
      </c>
      <c r="AD212" s="402" t="s">
        <v>2369</v>
      </c>
      <c r="AE212" s="142"/>
      <c r="AH212" s="655" t="s">
        <v>2370</v>
      </c>
    </row>
    <row r="213" spans="5:34" ht="21.75" customHeight="1" x14ac:dyDescent="0.15">
      <c r="E213" s="449">
        <v>22.5</v>
      </c>
      <c r="F213" s="3" t="str" cm="1">
        <f t="array" aca="1" ref="F213" ca="1">OFFSET(E213,-1,1)</f>
        <v>2</v>
      </c>
      <c r="H213" s="22" t="s">
        <v>2371</v>
      </c>
      <c r="T213" s="353" t="b" cm="1">
        <f t="array" ref="T213">T212</f>
        <v>1</v>
      </c>
      <c r="X213" s="1022"/>
      <c r="Z213" s="1023"/>
      <c r="AB213" s="516" t="s">
        <v>2372</v>
      </c>
      <c r="AC213" s="405" t="s">
        <v>2373</v>
      </c>
      <c r="AD213" s="402" t="s">
        <v>2374</v>
      </c>
      <c r="AE213" s="142"/>
      <c r="AH213" s="655" t="s">
        <v>2375</v>
      </c>
    </row>
    <row r="214" spans="5:34" ht="21.75" customHeight="1" x14ac:dyDescent="0.15">
      <c r="E214" s="449">
        <v>22.5</v>
      </c>
      <c r="F214" s="3" t="str" cm="1">
        <f t="array" aca="1" ref="F214" ca="1">OFFSET(E214,-1,1)</f>
        <v>2</v>
      </c>
      <c r="H214" s="22" t="s">
        <v>2376</v>
      </c>
      <c r="T214" s="353" t="b" cm="1">
        <f t="array" ref="T214">T213</f>
        <v>1</v>
      </c>
      <c r="X214" s="1022"/>
      <c r="Z214" s="1023"/>
      <c r="AB214" s="516" t="s">
        <v>2377</v>
      </c>
      <c r="AC214" s="404" t="s">
        <v>2378</v>
      </c>
      <c r="AD214" s="402" t="s">
        <v>828</v>
      </c>
      <c r="AE214" s="142"/>
      <c r="AH214" s="655" t="s">
        <v>1777</v>
      </c>
    </row>
    <row r="215" spans="5:34" ht="14.25" customHeight="1" x14ac:dyDescent="0.15">
      <c r="E215" s="449">
        <v>15</v>
      </c>
      <c r="F215" s="3" t="str" cm="1">
        <f t="array" aca="1" ref="F215" ca="1">OFFSET(E215,-1,1)</f>
        <v>2</v>
      </c>
      <c r="H215" s="22" t="s">
        <v>1323</v>
      </c>
      <c r="T215" s="353" t="b" cm="1">
        <f t="array" ref="T215">T214</f>
        <v>1</v>
      </c>
      <c r="X215" s="1022"/>
      <c r="Z215" s="1023"/>
      <c r="AB215" s="516" t="s">
        <v>1324</v>
      </c>
      <c r="AC215" s="403" t="s">
        <v>2379</v>
      </c>
      <c r="AD215" s="402" t="s">
        <v>828</v>
      </c>
      <c r="AE215" s="142"/>
      <c r="AH215" s="655" t="s">
        <v>2139</v>
      </c>
    </row>
    <row r="216" spans="5:34" ht="14.25" customHeight="1" x14ac:dyDescent="0.15">
      <c r="E216" s="449">
        <v>15</v>
      </c>
      <c r="F216" s="3" t="str" cm="1">
        <f t="array" aca="1" ref="F216" ca="1">OFFSET(E216,-1,1)</f>
        <v>2</v>
      </c>
      <c r="H216" s="22" t="s">
        <v>2380</v>
      </c>
      <c r="T216" s="353" t="b" cm="1">
        <f t="array" ref="T216">T215</f>
        <v>1</v>
      </c>
      <c r="X216" s="1022"/>
      <c r="Z216" s="1023"/>
      <c r="AB216" s="516" t="s">
        <v>1327</v>
      </c>
      <c r="AC216" s="403" t="s">
        <v>1964</v>
      </c>
      <c r="AD216" s="402" t="s">
        <v>828</v>
      </c>
      <c r="AE216" s="142"/>
      <c r="AH216" s="655" t="s">
        <v>1782</v>
      </c>
    </row>
    <row r="217" spans="5:34" ht="14.25" customHeight="1" x14ac:dyDescent="0.15">
      <c r="E217" s="449">
        <v>15</v>
      </c>
      <c r="F217" s="3" t="str" cm="1">
        <f t="array" aca="1" ref="F217" ca="1">OFFSET(E217,-1,1)</f>
        <v>2</v>
      </c>
      <c r="H217" s="22" t="s">
        <v>2381</v>
      </c>
      <c r="T217" s="353" t="b" cm="1">
        <f t="array" ref="T217">T216</f>
        <v>1</v>
      </c>
      <c r="X217" s="1022"/>
      <c r="Z217" s="1023"/>
      <c r="AB217" s="516" t="s">
        <v>2382</v>
      </c>
      <c r="AC217" s="403" t="s">
        <v>2383</v>
      </c>
      <c r="AD217" s="402" t="s">
        <v>828</v>
      </c>
      <c r="AE217" s="406">
        <f>SUM(AE218:AE224)</f>
        <v>0</v>
      </c>
      <c r="AH217" s="655" t="s">
        <v>1786</v>
      </c>
    </row>
    <row r="218" spans="5:34" ht="14.25" customHeight="1" x14ac:dyDescent="0.15">
      <c r="E218" s="449">
        <v>15</v>
      </c>
      <c r="F218" s="3" t="str" cm="1">
        <f t="array" aca="1" ref="F218" ca="1">OFFSET(E218,-1,1)</f>
        <v>2</v>
      </c>
      <c r="H218" s="22" t="s">
        <v>2384</v>
      </c>
      <c r="T218" s="353" t="b" cm="1">
        <f t="array" ref="T218">T217</f>
        <v>1</v>
      </c>
      <c r="X218" s="1022"/>
      <c r="Z218" s="1023"/>
      <c r="AB218" s="516" t="s">
        <v>2385</v>
      </c>
      <c r="AC218" s="404" t="s">
        <v>1793</v>
      </c>
      <c r="AD218" s="402" t="s">
        <v>828</v>
      </c>
      <c r="AE218" s="142"/>
      <c r="AH218" s="655" t="s">
        <v>2386</v>
      </c>
    </row>
    <row r="219" spans="5:34" ht="21.75" customHeight="1" x14ac:dyDescent="0.15">
      <c r="E219" s="449">
        <v>22.5</v>
      </c>
      <c r="F219" s="3" t="str" cm="1">
        <f t="array" aca="1" ref="F219" ca="1">OFFSET(E219,-1,1)</f>
        <v>2</v>
      </c>
      <c r="H219" s="22" t="s">
        <v>2387</v>
      </c>
      <c r="T219" s="353" t="b" cm="1">
        <f t="array" ref="T219">T218</f>
        <v>1</v>
      </c>
      <c r="X219" s="1022"/>
      <c r="Z219" s="1023"/>
      <c r="AB219" s="516" t="s">
        <v>2388</v>
      </c>
      <c r="AC219" s="404" t="s">
        <v>1972</v>
      </c>
      <c r="AD219" s="402" t="s">
        <v>828</v>
      </c>
      <c r="AE219" s="142"/>
      <c r="AH219" s="696" t="s">
        <v>1973</v>
      </c>
    </row>
    <row r="220" spans="5:34" ht="21.75" customHeight="1" x14ac:dyDescent="0.15">
      <c r="E220" s="449">
        <v>22.5</v>
      </c>
      <c r="F220" s="3" t="str" cm="1">
        <f t="array" aca="1" ref="F220" ca="1">OFFSET(E220,-1,1)</f>
        <v>2</v>
      </c>
      <c r="H220" s="22" t="s">
        <v>2389</v>
      </c>
      <c r="T220" s="353" t="b" cm="1">
        <f t="array" ref="T220">T219</f>
        <v>1</v>
      </c>
      <c r="X220" s="1022"/>
      <c r="Z220" s="1023"/>
      <c r="AB220" s="516" t="s">
        <v>2390</v>
      </c>
      <c r="AC220" s="404" t="s">
        <v>1976</v>
      </c>
      <c r="AD220" s="402" t="s">
        <v>828</v>
      </c>
      <c r="AE220" s="142"/>
      <c r="AH220" s="696" t="s">
        <v>1977</v>
      </c>
    </row>
    <row r="221" spans="5:34" ht="21.75" customHeight="1" x14ac:dyDescent="0.15">
      <c r="E221" s="449">
        <v>22.5</v>
      </c>
      <c r="F221" s="3" t="str" cm="1">
        <f t="array" aca="1" ref="F221" ca="1">OFFSET(E221,-1,1)</f>
        <v>2</v>
      </c>
      <c r="H221" s="22" t="s">
        <v>2391</v>
      </c>
      <c r="T221" s="353" t="b" cm="1">
        <f t="array" ref="T221">T220</f>
        <v>1</v>
      </c>
      <c r="X221" s="1022"/>
      <c r="Z221" s="1023"/>
      <c r="AB221" s="516" t="s">
        <v>2392</v>
      </c>
      <c r="AC221" s="404" t="s">
        <v>2393</v>
      </c>
      <c r="AD221" s="402" t="s">
        <v>828</v>
      </c>
      <c r="AE221" s="142"/>
      <c r="AH221" s="696" t="s">
        <v>1981</v>
      </c>
    </row>
    <row r="222" spans="5:34" ht="54.75" customHeight="1" x14ac:dyDescent="0.15">
      <c r="E222" s="449">
        <v>56.25</v>
      </c>
      <c r="F222" s="3" t="str" cm="1">
        <f t="array" aca="1" ref="F222" ca="1">OFFSET(E222,-1,1)</f>
        <v>2</v>
      </c>
      <c r="H222" s="22" t="s">
        <v>2394</v>
      </c>
      <c r="T222" s="353" t="b" cm="1">
        <f t="array" ref="T222">T221</f>
        <v>1</v>
      </c>
      <c r="X222" s="1022"/>
      <c r="Z222" s="1023"/>
      <c r="AB222" s="516" t="s">
        <v>2395</v>
      </c>
      <c r="AC222" s="404" t="s">
        <v>1984</v>
      </c>
      <c r="AD222" s="402" t="s">
        <v>828</v>
      </c>
      <c r="AE222" s="142"/>
      <c r="AH222" s="696" t="s">
        <v>1798</v>
      </c>
    </row>
    <row r="223" spans="5:34" ht="14.25" customHeight="1" x14ac:dyDescent="0.15">
      <c r="E223" s="449">
        <v>15</v>
      </c>
      <c r="F223" s="3" t="str" cm="1">
        <f t="array" aca="1" ref="F223" ca="1">OFFSET(E223,-1,1)</f>
        <v>2</v>
      </c>
      <c r="H223" s="22" t="s">
        <v>2396</v>
      </c>
      <c r="T223" s="353" t="b" cm="1">
        <f t="array" ref="T223">T222</f>
        <v>1</v>
      </c>
      <c r="X223" s="1022"/>
      <c r="Z223" s="1023"/>
      <c r="AB223" s="516" t="s">
        <v>2397</v>
      </c>
      <c r="AC223" s="404" t="s">
        <v>1801</v>
      </c>
      <c r="AD223" s="402" t="s">
        <v>828</v>
      </c>
      <c r="AE223" s="142"/>
      <c r="AH223" s="696" t="s">
        <v>1802</v>
      </c>
    </row>
    <row r="224" spans="5:34" ht="14.25" customHeight="1" x14ac:dyDescent="0.15">
      <c r="E224" s="449">
        <v>15</v>
      </c>
      <c r="F224" s="3" t="str" cm="1">
        <f t="array" aca="1" ref="F224" ca="1">OFFSET(E224,-1,1)</f>
        <v>2</v>
      </c>
      <c r="H224" s="22" t="s">
        <v>2398</v>
      </c>
      <c r="T224" s="353" t="b" cm="1">
        <f t="array" ref="T224">T223</f>
        <v>1</v>
      </c>
      <c r="X224" s="1022"/>
      <c r="Z224" s="1023"/>
      <c r="AB224" s="516" t="s">
        <v>2399</v>
      </c>
      <c r="AC224" s="404" t="s">
        <v>1252</v>
      </c>
      <c r="AD224" s="402" t="s">
        <v>828</v>
      </c>
      <c r="AE224" s="142"/>
      <c r="AH224" s="696" t="s">
        <v>1786</v>
      </c>
    </row>
    <row r="225" spans="5:34" ht="14.25" customHeight="1" x14ac:dyDescent="0.25">
      <c r="E225" s="449">
        <v>15</v>
      </c>
      <c r="F225" s="3" t="str" cm="1">
        <f t="array" aca="1" ref="F225" ca="1">OFFSET(E225,-1,1)</f>
        <v>2</v>
      </c>
      <c r="H225" s="22" t="s">
        <v>486</v>
      </c>
      <c r="T225" s="353" t="b" cm="1">
        <f t="array" ref="T225">T224</f>
        <v>1</v>
      </c>
      <c r="X225" s="1022"/>
      <c r="Z225" s="1023"/>
      <c r="AB225" s="516" t="s">
        <v>942</v>
      </c>
      <c r="AC225" s="401" t="s">
        <v>2400</v>
      </c>
      <c r="AD225" s="402" t="s">
        <v>828</v>
      </c>
      <c r="AE225" s="406">
        <f>AE226+AE227+AE228</f>
        <v>0</v>
      </c>
      <c r="AH225" s="695" t="s">
        <v>1807</v>
      </c>
    </row>
    <row r="226" spans="5:34" ht="14.25" customHeight="1" x14ac:dyDescent="0.25">
      <c r="E226" s="449">
        <v>15</v>
      </c>
      <c r="F226" s="3" t="str" cm="1">
        <f t="array" aca="1" ref="F226" ca="1">OFFSET(E226,-1,1)</f>
        <v>2</v>
      </c>
      <c r="H226" s="22" t="s">
        <v>1344</v>
      </c>
      <c r="T226" s="353" t="b" cm="1">
        <f t="array" ref="T226">T225</f>
        <v>1</v>
      </c>
      <c r="X226" s="1022"/>
      <c r="Z226" s="1023"/>
      <c r="AB226" s="516" t="s">
        <v>1345</v>
      </c>
      <c r="AC226" s="403" t="s">
        <v>2401</v>
      </c>
      <c r="AD226" s="402" t="s">
        <v>828</v>
      </c>
      <c r="AE226" s="142"/>
      <c r="AH226" s="694" t="s">
        <v>1809</v>
      </c>
    </row>
    <row r="227" spans="5:34" ht="14.25" customHeight="1" x14ac:dyDescent="0.15">
      <c r="E227" s="449">
        <v>15</v>
      </c>
      <c r="F227" s="3" t="str" cm="1">
        <f t="array" aca="1" ref="F227" ca="1">OFFSET(E227,-1,1)</f>
        <v>2</v>
      </c>
      <c r="H227" s="22" t="s">
        <v>1347</v>
      </c>
      <c r="T227" s="353" t="b" cm="1">
        <f t="array" ref="T227">T226</f>
        <v>1</v>
      </c>
      <c r="X227" s="1022"/>
      <c r="Z227" s="1023"/>
      <c r="AB227" s="516" t="s">
        <v>1348</v>
      </c>
      <c r="AC227" s="403" t="s">
        <v>2402</v>
      </c>
      <c r="AD227" s="402" t="s">
        <v>828</v>
      </c>
      <c r="AE227" s="142"/>
      <c r="AH227" s="696" t="s">
        <v>1992</v>
      </c>
    </row>
    <row r="228" spans="5:34" ht="21.75" customHeight="1" x14ac:dyDescent="0.25">
      <c r="E228" s="449">
        <v>22.5</v>
      </c>
      <c r="F228" s="3" t="str" cm="1">
        <f t="array" aca="1" ref="F228" ca="1">OFFSET(E228,-1,1)</f>
        <v>2</v>
      </c>
      <c r="H228" s="22" t="s">
        <v>1351</v>
      </c>
      <c r="T228" s="353" t="b" cm="1">
        <f t="array" ref="T228">T227</f>
        <v>1</v>
      </c>
      <c r="X228" s="1022"/>
      <c r="Z228" s="1023"/>
      <c r="AB228" s="516" t="s">
        <v>1352</v>
      </c>
      <c r="AC228" s="403" t="s">
        <v>2403</v>
      </c>
      <c r="AD228" s="402" t="s">
        <v>828</v>
      </c>
      <c r="AE228" s="406">
        <f>AE229+AE232</f>
        <v>0</v>
      </c>
      <c r="AH228" s="694" t="s">
        <v>1811</v>
      </c>
    </row>
    <row r="229" spans="5:34" ht="14.25" customHeight="1" x14ac:dyDescent="0.25">
      <c r="E229" s="449">
        <v>15</v>
      </c>
      <c r="F229" s="3" t="str" cm="1">
        <f t="array" aca="1" ref="F229" ca="1">OFFSET(E229,-1,1)</f>
        <v>2</v>
      </c>
      <c r="H229" s="22" t="s">
        <v>1495</v>
      </c>
      <c r="T229" s="353" t="b" cm="1">
        <f t="array" ref="T229">T228</f>
        <v>1</v>
      </c>
      <c r="X229" s="1022"/>
      <c r="Z229" s="1023"/>
      <c r="AB229" s="516" t="s">
        <v>1961</v>
      </c>
      <c r="AC229" s="404" t="s">
        <v>1813</v>
      </c>
      <c r="AD229" s="402" t="s">
        <v>828</v>
      </c>
      <c r="AE229" s="142"/>
      <c r="AH229" s="694" t="s">
        <v>1814</v>
      </c>
    </row>
    <row r="230" spans="5:34" ht="14.25" customHeight="1" x14ac:dyDescent="0.15">
      <c r="E230" s="449">
        <v>15</v>
      </c>
      <c r="F230" s="3" t="str" cm="1">
        <f t="array" aca="1" ref="F230" ca="1">OFFSET(E230,-1,1)</f>
        <v>2</v>
      </c>
      <c r="H230" s="22" t="s">
        <v>2404</v>
      </c>
      <c r="T230" s="353" t="b" cm="1">
        <f t="array" ref="T230">T229</f>
        <v>1</v>
      </c>
      <c r="X230" s="1022"/>
      <c r="Z230" s="1023"/>
      <c r="AB230" s="516" t="s">
        <v>2405</v>
      </c>
      <c r="AC230" s="405" t="s">
        <v>2406</v>
      </c>
      <c r="AD230" s="402" t="s">
        <v>2369</v>
      </c>
      <c r="AE230" s="142"/>
      <c r="AH230" s="655" t="s">
        <v>2407</v>
      </c>
    </row>
    <row r="231" spans="5:34" ht="14.25" customHeight="1" x14ac:dyDescent="0.15">
      <c r="E231" s="449">
        <v>15</v>
      </c>
      <c r="F231" s="3" t="str" cm="1">
        <f t="array" aca="1" ref="F231" ca="1">OFFSET(E231,-1,1)</f>
        <v>2</v>
      </c>
      <c r="H231" s="22" t="s">
        <v>2408</v>
      </c>
      <c r="T231" s="353" t="b" cm="1">
        <f t="array" ref="T231">T230</f>
        <v>1</v>
      </c>
      <c r="X231" s="1022"/>
      <c r="Z231" s="1023"/>
      <c r="AB231" s="516" t="s">
        <v>2409</v>
      </c>
      <c r="AC231" s="405" t="s">
        <v>2410</v>
      </c>
      <c r="AD231" s="402" t="s">
        <v>2374</v>
      </c>
      <c r="AE231" s="142"/>
      <c r="AH231" s="655" t="s">
        <v>2411</v>
      </c>
    </row>
    <row r="232" spans="5:34" ht="21.75" customHeight="1" x14ac:dyDescent="0.25">
      <c r="E232" s="449">
        <v>22.5</v>
      </c>
      <c r="F232" s="3" t="str" cm="1">
        <f t="array" aca="1" ref="F232" ca="1">OFFSET(E232,-1,1)</f>
        <v>2</v>
      </c>
      <c r="H232" s="22" t="s">
        <v>1499</v>
      </c>
      <c r="T232" s="353" t="b" cm="1">
        <f t="array" ref="T232">T231</f>
        <v>1</v>
      </c>
      <c r="X232" s="1022"/>
      <c r="Z232" s="1023"/>
      <c r="AB232" s="516" t="s">
        <v>1962</v>
      </c>
      <c r="AC232" s="404" t="s">
        <v>1998</v>
      </c>
      <c r="AD232" s="402" t="s">
        <v>828</v>
      </c>
      <c r="AE232" s="142"/>
      <c r="AH232" s="694" t="s">
        <v>1817</v>
      </c>
    </row>
    <row r="233" spans="5:34" ht="14.25" customHeight="1" x14ac:dyDescent="0.25">
      <c r="E233" s="449">
        <v>15</v>
      </c>
      <c r="F233" s="3" t="str" cm="1">
        <f t="array" aca="1" ref="F233" ca="1">OFFSET(E233,-1,1)</f>
        <v>2</v>
      </c>
      <c r="H233" s="22" t="s">
        <v>489</v>
      </c>
      <c r="T233" s="353" t="b" cm="1">
        <f t="array" ref="T233">T232</f>
        <v>1</v>
      </c>
      <c r="X233" s="1022"/>
      <c r="Z233" s="1023"/>
      <c r="AB233" s="516" t="s">
        <v>945</v>
      </c>
      <c r="AC233" s="401" t="s">
        <v>1999</v>
      </c>
      <c r="AD233" s="402" t="s">
        <v>828</v>
      </c>
      <c r="AE233" s="406">
        <f>AE234+AE240+AE245+AE246+AE247+AE248+AE249</f>
        <v>0</v>
      </c>
      <c r="AH233" s="695" t="s">
        <v>1819</v>
      </c>
    </row>
    <row r="234" spans="5:34" ht="21.75" customHeight="1" x14ac:dyDescent="0.25">
      <c r="E234" s="449">
        <v>22.5</v>
      </c>
      <c r="F234" s="3" t="str" cm="1">
        <f t="array" aca="1" ref="F234" ca="1">OFFSET(E234,-1,1)</f>
        <v>2</v>
      </c>
      <c r="H234" s="22" t="s">
        <v>1357</v>
      </c>
      <c r="T234" s="353" t="b" cm="1">
        <f t="array" ref="T234">T233</f>
        <v>1</v>
      </c>
      <c r="X234" s="1022"/>
      <c r="Z234" s="1023"/>
      <c r="AB234" s="516" t="s">
        <v>1358</v>
      </c>
      <c r="AC234" s="403" t="s">
        <v>1820</v>
      </c>
      <c r="AD234" s="402" t="s">
        <v>828</v>
      </c>
      <c r="AE234" s="406">
        <f>SUM(AE235:AE239)</f>
        <v>0</v>
      </c>
      <c r="AH234" s="694" t="s">
        <v>1205</v>
      </c>
    </row>
    <row r="235" spans="5:34" ht="14.25" customHeight="1" x14ac:dyDescent="0.15">
      <c r="E235" s="449">
        <v>15</v>
      </c>
      <c r="F235" s="3" t="str" cm="1">
        <f t="array" aca="1" ref="F235" ca="1">OFFSET(E235,-1,1)</f>
        <v>2</v>
      </c>
      <c r="H235" s="22" t="s">
        <v>2412</v>
      </c>
      <c r="T235" s="353" t="b" cm="1">
        <f t="array" ref="T235">T234</f>
        <v>1</v>
      </c>
      <c r="X235" s="1022"/>
      <c r="Z235" s="1023"/>
      <c r="AB235" s="516" t="s">
        <v>2413</v>
      </c>
      <c r="AC235" s="404" t="s">
        <v>1207</v>
      </c>
      <c r="AD235" s="402" t="s">
        <v>828</v>
      </c>
      <c r="AE235" s="142"/>
      <c r="AH235" s="696" t="s">
        <v>1208</v>
      </c>
    </row>
    <row r="236" spans="5:34" ht="14.25" customHeight="1" x14ac:dyDescent="0.15">
      <c r="E236" s="449">
        <v>15</v>
      </c>
      <c r="F236" s="3" t="str" cm="1">
        <f t="array" aca="1" ref="F236" ca="1">OFFSET(E236,-1,1)</f>
        <v>2</v>
      </c>
      <c r="H236" s="22" t="s">
        <v>2414</v>
      </c>
      <c r="T236" s="353" t="b" cm="1">
        <f t="array" ref="T236">T235</f>
        <v>1</v>
      </c>
      <c r="X236" s="1022"/>
      <c r="Z236" s="1023"/>
      <c r="AB236" s="516" t="s">
        <v>2415</v>
      </c>
      <c r="AC236" s="404" t="s">
        <v>1210</v>
      </c>
      <c r="AD236" s="402" t="s">
        <v>828</v>
      </c>
      <c r="AE236" s="142"/>
      <c r="AH236" s="696" t="s">
        <v>1211</v>
      </c>
    </row>
    <row r="237" spans="5:34" ht="14.25" customHeight="1" x14ac:dyDescent="0.15">
      <c r="E237" s="449">
        <v>15</v>
      </c>
      <c r="F237" s="3" t="str" cm="1">
        <f t="array" aca="1" ref="F237" ca="1">OFFSET(E237,-1,1)</f>
        <v>2</v>
      </c>
      <c r="H237" s="22" t="s">
        <v>2416</v>
      </c>
      <c r="T237" s="353" t="b" cm="1">
        <f t="array" ref="T237">T236</f>
        <v>1</v>
      </c>
      <c r="X237" s="1022"/>
      <c r="Z237" s="1023"/>
      <c r="AB237" s="516" t="s">
        <v>2417</v>
      </c>
      <c r="AC237" s="404" t="s">
        <v>1213</v>
      </c>
      <c r="AD237" s="402" t="s">
        <v>828</v>
      </c>
      <c r="AE237" s="142"/>
      <c r="AH237" s="696" t="s">
        <v>1214</v>
      </c>
    </row>
    <row r="238" spans="5:34" ht="14.25" customHeight="1" x14ac:dyDescent="0.15">
      <c r="E238" s="449">
        <v>15</v>
      </c>
      <c r="F238" s="3" t="str" cm="1">
        <f t="array" aca="1" ref="F238" ca="1">OFFSET(E238,-1,1)</f>
        <v>2</v>
      </c>
      <c r="H238" s="22" t="s">
        <v>2418</v>
      </c>
      <c r="T238" s="353" t="b" cm="1">
        <f t="array" ref="T238">T237</f>
        <v>1</v>
      </c>
      <c r="X238" s="1022"/>
      <c r="Z238" s="1023"/>
      <c r="AB238" s="516" t="s">
        <v>2419</v>
      </c>
      <c r="AC238" s="404" t="s">
        <v>1216</v>
      </c>
      <c r="AD238" s="402" t="s">
        <v>828</v>
      </c>
      <c r="AE238" s="142"/>
      <c r="AH238" s="696" t="s">
        <v>1217</v>
      </c>
    </row>
    <row r="239" spans="5:34" ht="14.25" customHeight="1" x14ac:dyDescent="0.15">
      <c r="E239" s="449">
        <v>15</v>
      </c>
      <c r="F239" s="3" t="str" cm="1">
        <f t="array" aca="1" ref="F239" ca="1">OFFSET(E239,-1,1)</f>
        <v>2</v>
      </c>
      <c r="H239" s="22" t="s">
        <v>2420</v>
      </c>
      <c r="T239" s="353" t="b" cm="1">
        <f t="array" ref="T239">T238</f>
        <v>1</v>
      </c>
      <c r="X239" s="1022"/>
      <c r="Z239" s="1023"/>
      <c r="AB239" s="516" t="s">
        <v>2421</v>
      </c>
      <c r="AC239" s="404" t="s">
        <v>1224</v>
      </c>
      <c r="AD239" s="402" t="s">
        <v>828</v>
      </c>
      <c r="AE239" s="142"/>
      <c r="AH239" s="696" t="s">
        <v>1225</v>
      </c>
    </row>
    <row r="240" spans="5:34" ht="32.25" customHeight="1" x14ac:dyDescent="0.25">
      <c r="E240" s="449">
        <v>33.75</v>
      </c>
      <c r="F240" s="3" t="str" cm="1">
        <f t="array" aca="1" ref="F240" ca="1">OFFSET(E240,-1,1)</f>
        <v>2</v>
      </c>
      <c r="H240" s="22" t="s">
        <v>1361</v>
      </c>
      <c r="T240" s="353" t="b" cm="1">
        <f t="array" ref="T240">T239</f>
        <v>1</v>
      </c>
      <c r="X240" s="1022"/>
      <c r="Z240" s="1023"/>
      <c r="AB240" s="516" t="s">
        <v>1362</v>
      </c>
      <c r="AC240" s="403" t="s">
        <v>2422</v>
      </c>
      <c r="AD240" s="402" t="s">
        <v>828</v>
      </c>
      <c r="AE240" s="406">
        <f>AE241+AE244</f>
        <v>0</v>
      </c>
      <c r="AH240" s="694" t="s">
        <v>1822</v>
      </c>
    </row>
    <row r="241" spans="5:38" ht="21.75" customHeight="1" x14ac:dyDescent="0.25">
      <c r="E241" s="449">
        <v>22.5</v>
      </c>
      <c r="F241" s="3" t="str" cm="1">
        <f t="array" aca="1" ref="F241" ca="1">OFFSET(E241,-1,1)</f>
        <v>2</v>
      </c>
      <c r="H241" s="22" t="s">
        <v>2423</v>
      </c>
      <c r="T241" s="353" t="b" cm="1">
        <f t="array" ref="T241">T240</f>
        <v>1</v>
      </c>
      <c r="X241" s="1022"/>
      <c r="Z241" s="1023"/>
      <c r="AB241" s="516" t="s">
        <v>2424</v>
      </c>
      <c r="AC241" s="404" t="s">
        <v>1823</v>
      </c>
      <c r="AD241" s="402" t="s">
        <v>828</v>
      </c>
      <c r="AE241" s="142"/>
      <c r="AH241" s="694" t="s">
        <v>1202</v>
      </c>
    </row>
    <row r="242" spans="5:38" ht="14.25" customHeight="1" x14ac:dyDescent="0.15">
      <c r="E242" s="449">
        <v>15</v>
      </c>
      <c r="F242" s="3" t="str" cm="1">
        <f t="array" aca="1" ref="F242" ca="1">OFFSET(E242,-1,1)</f>
        <v>2</v>
      </c>
      <c r="H242" s="22" t="s">
        <v>2425</v>
      </c>
      <c r="T242" s="353" t="b" cm="1">
        <f t="array" ref="T242">T241</f>
        <v>1</v>
      </c>
      <c r="X242" s="1022"/>
      <c r="Z242" s="1023"/>
      <c r="AB242" s="516" t="s">
        <v>2426</v>
      </c>
      <c r="AC242" s="405" t="s">
        <v>2427</v>
      </c>
      <c r="AD242" s="402" t="s">
        <v>2369</v>
      </c>
      <c r="AE242" s="142"/>
      <c r="AH242" s="655" t="s">
        <v>2428</v>
      </c>
    </row>
    <row r="243" spans="5:38" ht="21.75" customHeight="1" x14ac:dyDescent="0.15">
      <c r="E243" s="449">
        <v>22.5</v>
      </c>
      <c r="F243" s="3" t="str" cm="1">
        <f t="array" aca="1" ref="F243" ca="1">OFFSET(E243,-1,1)</f>
        <v>2</v>
      </c>
      <c r="H243" s="22" t="s">
        <v>2429</v>
      </c>
      <c r="T243" s="353" t="b" cm="1">
        <f t="array" ref="T243">T242</f>
        <v>1</v>
      </c>
      <c r="X243" s="1022"/>
      <c r="Z243" s="1023"/>
      <c r="AB243" s="516" t="s">
        <v>2430</v>
      </c>
      <c r="AC243" s="405" t="s">
        <v>2431</v>
      </c>
      <c r="AD243" s="402" t="s">
        <v>2374</v>
      </c>
      <c r="AE243" s="142"/>
      <c r="AH243" s="655" t="s">
        <v>2432</v>
      </c>
    </row>
    <row r="244" spans="5:38" ht="21.75" customHeight="1" x14ac:dyDescent="0.25">
      <c r="E244" s="449">
        <v>22.5</v>
      </c>
      <c r="F244" s="3" t="str" cm="1">
        <f t="array" aca="1" ref="F244" ca="1">OFFSET(E244,-1,1)</f>
        <v>2</v>
      </c>
      <c r="H244" s="22" t="s">
        <v>2433</v>
      </c>
      <c r="T244" s="353" t="b" cm="1">
        <f t="array" ref="T244">T243</f>
        <v>1</v>
      </c>
      <c r="X244" s="1022"/>
      <c r="Z244" s="1023"/>
      <c r="AB244" s="516" t="s">
        <v>2434</v>
      </c>
      <c r="AC244" s="404" t="s">
        <v>2022</v>
      </c>
      <c r="AD244" s="402" t="s">
        <v>828</v>
      </c>
      <c r="AE244" s="142"/>
      <c r="AH244" s="694" t="s">
        <v>1825</v>
      </c>
    </row>
    <row r="245" spans="5:38" ht="21.75" customHeight="1" x14ac:dyDescent="0.25">
      <c r="E245" s="449">
        <v>22.5</v>
      </c>
      <c r="F245" s="3" t="str" cm="1">
        <f t="array" aca="1" ref="F245" ca="1">OFFSET(E245,-1,1)</f>
        <v>2</v>
      </c>
      <c r="H245" s="22" t="s">
        <v>1365</v>
      </c>
      <c r="T245" s="353" t="b" cm="1">
        <f t="array" ref="T245">T244</f>
        <v>1</v>
      </c>
      <c r="X245" s="1022"/>
      <c r="Z245" s="1023"/>
      <c r="AB245" s="516" t="s">
        <v>1366</v>
      </c>
      <c r="AC245" s="403" t="s">
        <v>2435</v>
      </c>
      <c r="AD245" s="402" t="s">
        <v>828</v>
      </c>
      <c r="AE245" s="142"/>
      <c r="AH245" s="694" t="s">
        <v>1233</v>
      </c>
    </row>
    <row r="246" spans="5:38" ht="14.25" customHeight="1" x14ac:dyDescent="0.25">
      <c r="E246" s="449">
        <v>15</v>
      </c>
      <c r="F246" s="3" t="str" cm="1">
        <f t="array" aca="1" ref="F246" ca="1">OFFSET(E246,-1,1)</f>
        <v>2</v>
      </c>
      <c r="H246" s="22" t="s">
        <v>2436</v>
      </c>
      <c r="T246" s="353" t="b" cm="1">
        <f t="array" ref="T246">T245</f>
        <v>1</v>
      </c>
      <c r="X246" s="1022"/>
      <c r="Z246" s="1023"/>
      <c r="AB246" s="516" t="s">
        <v>2437</v>
      </c>
      <c r="AC246" s="403" t="s">
        <v>1235</v>
      </c>
      <c r="AD246" s="402" t="s">
        <v>828</v>
      </c>
      <c r="AE246" s="142"/>
      <c r="AH246" s="694" t="s">
        <v>1236</v>
      </c>
    </row>
    <row r="247" spans="5:38" ht="14.25" customHeight="1" x14ac:dyDescent="0.25">
      <c r="E247" s="449">
        <v>15</v>
      </c>
      <c r="F247" s="3" t="str" cm="1">
        <f t="array" aca="1" ref="F247" ca="1">OFFSET(E247,-1,1)</f>
        <v>2</v>
      </c>
      <c r="H247" s="22" t="s">
        <v>2438</v>
      </c>
      <c r="T247" s="353" t="b" cm="1">
        <f t="array" ref="T247">T246</f>
        <v>1</v>
      </c>
      <c r="X247" s="1022"/>
      <c r="Z247" s="1023"/>
      <c r="AB247" s="516" t="s">
        <v>2439</v>
      </c>
      <c r="AC247" s="403" t="s">
        <v>1238</v>
      </c>
      <c r="AD247" s="402" t="s">
        <v>828</v>
      </c>
      <c r="AE247" s="142"/>
      <c r="AH247" s="694" t="s">
        <v>1239</v>
      </c>
    </row>
    <row r="248" spans="5:38" ht="21.75" customHeight="1" x14ac:dyDescent="0.25">
      <c r="E248" s="449">
        <v>22.5</v>
      </c>
      <c r="F248" s="3" t="str" cm="1">
        <f t="array" aca="1" ref="F248" ca="1">OFFSET(E248,-1,1)</f>
        <v>2</v>
      </c>
      <c r="H248" s="22" t="s">
        <v>2440</v>
      </c>
      <c r="T248" s="353" t="b" cm="1">
        <f t="array" ref="T248">T247</f>
        <v>1</v>
      </c>
      <c r="X248" s="1022"/>
      <c r="Z248" s="1023"/>
      <c r="AB248" s="516" t="s">
        <v>2441</v>
      </c>
      <c r="AC248" s="403" t="s">
        <v>2442</v>
      </c>
      <c r="AD248" s="402" t="s">
        <v>828</v>
      </c>
      <c r="AE248" s="142"/>
      <c r="AH248" s="694" t="s">
        <v>1827</v>
      </c>
    </row>
    <row r="249" spans="5:38" ht="14.25" customHeight="1" x14ac:dyDescent="0.25">
      <c r="E249" s="449">
        <v>15</v>
      </c>
      <c r="F249" s="3" t="str" cm="1">
        <f t="array" aca="1" ref="F249" ca="1">OFFSET(E249,-1,1)</f>
        <v>2</v>
      </c>
      <c r="H249" s="22" t="s">
        <v>2443</v>
      </c>
      <c r="T249" s="353" t="b" cm="1">
        <f t="array" ref="T249">T248</f>
        <v>1</v>
      </c>
      <c r="X249" s="1022"/>
      <c r="Z249" s="1023"/>
      <c r="AB249" s="516" t="s">
        <v>2444</v>
      </c>
      <c r="AC249" s="403" t="s">
        <v>2445</v>
      </c>
      <c r="AD249" s="402" t="s">
        <v>828</v>
      </c>
      <c r="AE249" s="406">
        <f>AE250+AE251+AE252</f>
        <v>0</v>
      </c>
      <c r="AH249" s="694" t="s">
        <v>1829</v>
      </c>
    </row>
    <row r="250" spans="5:38" ht="14.25" customHeight="1" x14ac:dyDescent="0.25">
      <c r="E250" s="449">
        <v>15</v>
      </c>
      <c r="F250" s="3" t="str" cm="1">
        <f t="array" aca="1" ref="F250" ca="1">OFFSET(E250,-1,1)</f>
        <v>2</v>
      </c>
      <c r="H250" s="22" t="s">
        <v>2446</v>
      </c>
      <c r="T250" s="353" t="b" cm="1">
        <f t="array" ref="T250">T249</f>
        <v>1</v>
      </c>
      <c r="X250" s="1022"/>
      <c r="Z250" s="1023"/>
      <c r="AB250" s="516" t="s">
        <v>2447</v>
      </c>
      <c r="AC250" s="404" t="s">
        <v>2448</v>
      </c>
      <c r="AD250" s="402" t="s">
        <v>828</v>
      </c>
      <c r="AE250" s="142"/>
      <c r="AH250" s="694" t="s">
        <v>1833</v>
      </c>
    </row>
    <row r="251" spans="5:38" ht="14.25" customHeight="1" x14ac:dyDescent="0.25">
      <c r="E251" s="449">
        <v>15</v>
      </c>
      <c r="F251" s="3" t="str" cm="1">
        <f t="array" aca="1" ref="F251" ca="1">OFFSET(E251,-1,1)</f>
        <v>2</v>
      </c>
      <c r="H251" s="22" t="s">
        <v>2449</v>
      </c>
      <c r="T251" s="353" t="b" cm="1">
        <f t="array" ref="T251">T250</f>
        <v>1</v>
      </c>
      <c r="X251" s="1022"/>
      <c r="Z251" s="1023"/>
      <c r="AB251" s="516" t="s">
        <v>2450</v>
      </c>
      <c r="AC251" s="404" t="s">
        <v>2451</v>
      </c>
      <c r="AD251" s="402" t="s">
        <v>828</v>
      </c>
      <c r="AE251" s="142"/>
      <c r="AH251" s="694" t="s">
        <v>1836</v>
      </c>
    </row>
    <row r="252" spans="5:38" ht="14.25" customHeight="1" x14ac:dyDescent="0.25">
      <c r="E252" s="449">
        <v>15</v>
      </c>
      <c r="F252" s="3" t="str" cm="1">
        <f t="array" aca="1" ref="F252" ca="1">OFFSET(E252,-1,1)</f>
        <v>2</v>
      </c>
      <c r="H252" s="22" t="s">
        <v>2452</v>
      </c>
      <c r="T252" s="353" t="b" cm="1">
        <f t="array" ref="T252">T251</f>
        <v>1</v>
      </c>
      <c r="X252" s="1022"/>
      <c r="Z252" s="1023"/>
      <c r="AB252" s="516" t="s">
        <v>2453</v>
      </c>
      <c r="AC252" s="404" t="s">
        <v>1252</v>
      </c>
      <c r="AD252" s="402" t="s">
        <v>828</v>
      </c>
      <c r="AE252" s="142"/>
      <c r="AH252" s="694" t="s">
        <v>1839</v>
      </c>
    </row>
    <row r="253" spans="5:38" ht="14.25" customHeight="1" x14ac:dyDescent="0.15">
      <c r="E253" s="449">
        <v>15</v>
      </c>
      <c r="F253" s="3" t="str" cm="1">
        <f t="array" aca="1" ref="F253" ca="1">OFFSET(E253,-1,1)</f>
        <v>2</v>
      </c>
      <c r="H253" s="22" t="s">
        <v>493</v>
      </c>
      <c r="T253" s="353" t="b" cm="1">
        <f t="array" ref="T253">T252</f>
        <v>1</v>
      </c>
      <c r="X253" s="1022"/>
      <c r="Z253" s="1023"/>
      <c r="AB253" s="516" t="s">
        <v>948</v>
      </c>
      <c r="AC253" s="401" t="s">
        <v>2454</v>
      </c>
      <c r="AD253" s="402" t="s">
        <v>828</v>
      </c>
      <c r="AE253" s="406">
        <f>SUM(AE254:AE255)</f>
        <v>0</v>
      </c>
      <c r="AH253" s="696" t="s">
        <v>2455</v>
      </c>
    </row>
    <row r="254" spans="5:38" ht="14.25" hidden="1" customHeight="1" x14ac:dyDescent="0.15">
      <c r="E254" s="449">
        <v>15</v>
      </c>
      <c r="F254" s="3" t="str" cm="1">
        <f t="array" aca="1" ref="F254" ca="1">OFFSET(E254,-1,1)</f>
        <v>2</v>
      </c>
      <c r="H254" s="22" t="s">
        <v>493</v>
      </c>
      <c r="I254" s="410" cm="1">
        <f t="array" ref="I254">AC254</f>
        <v>0</v>
      </c>
      <c r="T254" s="353" t="b">
        <f ca="1">AND(F254&gt;0,Y254&gt;0)</f>
        <v>0</v>
      </c>
      <c r="W254" s="17" t="s">
        <v>172</v>
      </c>
      <c r="X254" s="1022"/>
      <c r="Y254" s="22">
        <v>0</v>
      </c>
      <c r="Z254" s="1023"/>
      <c r="AA254" s="482" t="s">
        <v>173</v>
      </c>
      <c r="AB254" s="516" t="str">
        <f>"1.4."&amp;Y254</f>
        <v>1.4.0</v>
      </c>
      <c r="AC254" s="888"/>
      <c r="AD254" s="402" t="s">
        <v>828</v>
      </c>
      <c r="AE254" s="854"/>
      <c r="AH254" s="696" t="s">
        <v>2455</v>
      </c>
      <c r="AI254" s="655" t="s">
        <v>2456</v>
      </c>
      <c r="AJ254" s="655" cm="1">
        <f t="array" ref="AJ254">AC254</f>
        <v>0</v>
      </c>
      <c r="AL254" s="480" t="b">
        <v>1</v>
      </c>
    </row>
    <row r="255" spans="5:38" ht="14.25" customHeight="1" x14ac:dyDescent="0.15">
      <c r="E255" s="449">
        <v>15</v>
      </c>
      <c r="F255" s="3" t="str" cm="1">
        <f t="array" aca="1" ref="F255" ca="1">OFFSET(E255,-1,1)</f>
        <v>2</v>
      </c>
      <c r="I255" s="72" t="str">
        <f>"!== 'не определено' &amp;&amp; row.l1_4 !== null"</f>
        <v>!== 'не определено' &amp;&amp; row.l1_4 !== null</v>
      </c>
      <c r="T255" s="353" t="b">
        <f ca="1">F255&gt;0</f>
        <v>1</v>
      </c>
      <c r="W255" s="506" t="s">
        <v>397</v>
      </c>
      <c r="X255" s="1022"/>
      <c r="Z255" s="1023"/>
      <c r="AB255" s="783"/>
      <c r="AC255" s="784" t="s">
        <v>176</v>
      </c>
      <c r="AD255" s="785"/>
      <c r="AE255" s="795"/>
      <c r="AK255" s="480" t="s">
        <v>2456</v>
      </c>
    </row>
    <row r="256" spans="5:38" ht="14.25" customHeight="1" x14ac:dyDescent="0.15">
      <c r="E256" s="449">
        <v>15</v>
      </c>
      <c r="F256" s="3" t="str" cm="1">
        <f t="array" aca="1" ref="F256" ca="1">OFFSET(E256,-1,1)</f>
        <v>2</v>
      </c>
      <c r="H256" s="22" t="s">
        <v>332</v>
      </c>
      <c r="T256" s="353" t="b" cm="1">
        <f t="array" aca="1" ref="T256" ca="1">T255</f>
        <v>1</v>
      </c>
      <c r="X256" s="1022"/>
      <c r="Z256" s="1023"/>
      <c r="AB256" s="515" t="s">
        <v>285</v>
      </c>
      <c r="AC256" s="399" t="s">
        <v>2047</v>
      </c>
      <c r="AD256" s="400" t="s">
        <v>828</v>
      </c>
      <c r="AE256" s="406">
        <f>AE257+AE269+AE270+AE280+AE281+AE282+AE285+AE286+AE287+AE288+AE289+AE290</f>
        <v>0</v>
      </c>
      <c r="AH256" s="655" t="s">
        <v>2457</v>
      </c>
    </row>
    <row r="257" spans="1:38" s="4" customFormat="1" ht="26.25" customHeight="1" x14ac:dyDescent="0.15">
      <c r="A257" s="487"/>
      <c r="B257" s="22"/>
      <c r="C257" s="22"/>
      <c r="D257" s="22"/>
      <c r="E257" s="449">
        <v>27</v>
      </c>
      <c r="F257" s="267" t="str" cm="1">
        <f t="array" aca="1" ref="F257" ca="1">OFFSET(E257,-1,1)</f>
        <v>2</v>
      </c>
      <c r="G257" s="22"/>
      <c r="H257" s="22"/>
      <c r="I257" s="22"/>
      <c r="J257" s="22"/>
      <c r="K257" s="22"/>
      <c r="L257" s="22"/>
      <c r="M257" s="22"/>
      <c r="N257" s="22"/>
      <c r="O257" s="22"/>
      <c r="P257" s="22"/>
      <c r="Q257" s="22"/>
      <c r="R257" s="22"/>
      <c r="S257" s="22"/>
      <c r="T257" s="353" t="b" cm="1">
        <f t="array" aca="1" ref="T257" ca="1">T256</f>
        <v>1</v>
      </c>
      <c r="U257" s="22"/>
      <c r="V257" s="22"/>
      <c r="W257" s="22"/>
      <c r="X257" s="1022"/>
      <c r="Y257" s="22"/>
      <c r="Z257" s="1023"/>
      <c r="AA257" s="22"/>
      <c r="AB257" s="516" t="s">
        <v>561</v>
      </c>
      <c r="AC257" s="786" t="s">
        <v>2049</v>
      </c>
      <c r="AD257" s="400" t="s">
        <v>828</v>
      </c>
      <c r="AE257" s="406">
        <f>SUM(AE258:AE268)</f>
        <v>0</v>
      </c>
      <c r="AF257" s="315"/>
      <c r="AG257" s="315"/>
      <c r="AH257" s="696" t="s">
        <v>1253</v>
      </c>
      <c r="AI257" s="655"/>
      <c r="AJ257" s="655"/>
      <c r="AK257" s="480"/>
      <c r="AL257" s="480"/>
    </row>
    <row r="258" spans="1:38" s="4" customFormat="1" ht="14.25" customHeight="1" x14ac:dyDescent="0.15">
      <c r="A258" s="487"/>
      <c r="B258" s="22"/>
      <c r="C258" s="22"/>
      <c r="D258" s="22"/>
      <c r="E258" s="449">
        <v>15</v>
      </c>
      <c r="F258" s="267" t="str" cm="1">
        <f t="array" aca="1" ref="F258" ca="1">OFFSET(E258,-1,1)</f>
        <v>2</v>
      </c>
      <c r="G258" s="22"/>
      <c r="H258" s="22"/>
      <c r="I258" s="22"/>
      <c r="J258" s="22"/>
      <c r="K258" s="22"/>
      <c r="L258" s="22"/>
      <c r="M258" s="22"/>
      <c r="N258" s="22"/>
      <c r="O258" s="22"/>
      <c r="P258" s="22"/>
      <c r="Q258" s="22"/>
      <c r="R258" s="22"/>
      <c r="S258" s="22"/>
      <c r="T258" s="353" t="b" cm="1">
        <f t="array" aca="1" ref="T258" ca="1">T257</f>
        <v>1</v>
      </c>
      <c r="U258" s="22"/>
      <c r="V258" s="22"/>
      <c r="W258" s="22"/>
      <c r="X258" s="1022"/>
      <c r="Y258" s="22"/>
      <c r="Z258" s="1023"/>
      <c r="AA258" s="22"/>
      <c r="AB258" s="516" t="s">
        <v>508</v>
      </c>
      <c r="AC258" s="403" t="s">
        <v>2051</v>
      </c>
      <c r="AD258" s="402" t="s">
        <v>828</v>
      </c>
      <c r="AE258" s="142"/>
      <c r="AF258" s="315"/>
      <c r="AG258" s="315"/>
      <c r="AH258" s="696" t="s">
        <v>2458</v>
      </c>
      <c r="AI258" s="655"/>
      <c r="AJ258" s="655"/>
      <c r="AK258" s="480"/>
      <c r="AL258" s="480"/>
    </row>
    <row r="259" spans="1:38" s="4" customFormat="1" ht="14.25" customHeight="1" x14ac:dyDescent="0.15">
      <c r="A259" s="487"/>
      <c r="B259" s="22"/>
      <c r="C259" s="22"/>
      <c r="D259" s="22"/>
      <c r="E259" s="449">
        <v>15</v>
      </c>
      <c r="F259" s="267" t="str" cm="1">
        <f t="array" aca="1" ref="F259" ca="1">OFFSET(E259,-1,1)</f>
        <v>2</v>
      </c>
      <c r="G259" s="22"/>
      <c r="H259" s="22"/>
      <c r="I259" s="22"/>
      <c r="J259" s="22"/>
      <c r="K259" s="22"/>
      <c r="L259" s="22"/>
      <c r="M259" s="22"/>
      <c r="N259" s="22"/>
      <c r="O259" s="22"/>
      <c r="P259" s="22"/>
      <c r="Q259" s="22"/>
      <c r="R259" s="22"/>
      <c r="S259" s="22"/>
      <c r="T259" s="353" t="b" cm="1">
        <f t="array" aca="1" ref="T259" ca="1">T258</f>
        <v>1</v>
      </c>
      <c r="U259" s="22"/>
      <c r="V259" s="22"/>
      <c r="W259" s="22"/>
      <c r="X259" s="1022"/>
      <c r="Y259" s="22"/>
      <c r="Z259" s="1023"/>
      <c r="AA259" s="22"/>
      <c r="AB259" s="516" t="s">
        <v>2052</v>
      </c>
      <c r="AC259" s="403" t="s">
        <v>2053</v>
      </c>
      <c r="AD259" s="402" t="s">
        <v>828</v>
      </c>
      <c r="AE259" s="142"/>
      <c r="AF259" s="315"/>
      <c r="AG259" s="315"/>
      <c r="AH259" s="696" t="s">
        <v>2459</v>
      </c>
      <c r="AI259" s="655"/>
      <c r="AJ259" s="655"/>
      <c r="AK259" s="480"/>
      <c r="AL259" s="480"/>
    </row>
    <row r="260" spans="1:38" s="4" customFormat="1" ht="14.25" customHeight="1" x14ac:dyDescent="0.15">
      <c r="A260" s="487"/>
      <c r="B260" s="22"/>
      <c r="C260" s="22"/>
      <c r="D260" s="22"/>
      <c r="E260" s="449">
        <v>15</v>
      </c>
      <c r="F260" s="267" t="str" cm="1">
        <f t="array" aca="1" ref="F260" ca="1">OFFSET(E260,-1,1)</f>
        <v>2</v>
      </c>
      <c r="G260" s="22"/>
      <c r="H260" s="22"/>
      <c r="I260" s="22"/>
      <c r="J260" s="22"/>
      <c r="K260" s="22"/>
      <c r="L260" s="22"/>
      <c r="M260" s="22"/>
      <c r="N260" s="22"/>
      <c r="O260" s="22"/>
      <c r="P260" s="22"/>
      <c r="Q260" s="22"/>
      <c r="R260" s="22"/>
      <c r="S260" s="22"/>
      <c r="T260" s="353" t="b" cm="1">
        <f t="array" aca="1" ref="T260" ca="1">T259</f>
        <v>1</v>
      </c>
      <c r="U260" s="22"/>
      <c r="V260" s="22"/>
      <c r="W260" s="22"/>
      <c r="X260" s="1022"/>
      <c r="Y260" s="22"/>
      <c r="Z260" s="1023"/>
      <c r="AA260" s="22"/>
      <c r="AB260" s="516" t="s">
        <v>2054</v>
      </c>
      <c r="AC260" s="403" t="s">
        <v>2055</v>
      </c>
      <c r="AD260" s="402" t="s">
        <v>828</v>
      </c>
      <c r="AE260" s="142"/>
      <c r="AF260" s="315"/>
      <c r="AG260" s="315"/>
      <c r="AH260" s="696" t="s">
        <v>2460</v>
      </c>
      <c r="AI260" s="655"/>
      <c r="AJ260" s="655"/>
      <c r="AK260" s="480"/>
      <c r="AL260" s="480"/>
    </row>
    <row r="261" spans="1:38" s="4" customFormat="1" ht="14.25" customHeight="1" x14ac:dyDescent="0.15">
      <c r="A261" s="487"/>
      <c r="B261" s="22"/>
      <c r="C261" s="22"/>
      <c r="D261" s="22"/>
      <c r="E261" s="449">
        <v>15</v>
      </c>
      <c r="F261" s="267" t="str" cm="1">
        <f t="array" aca="1" ref="F261" ca="1">OFFSET(E261,-1,1)</f>
        <v>2</v>
      </c>
      <c r="G261" s="22"/>
      <c r="H261" s="22"/>
      <c r="I261" s="22"/>
      <c r="J261" s="22"/>
      <c r="K261" s="22"/>
      <c r="L261" s="22"/>
      <c r="M261" s="22"/>
      <c r="N261" s="22"/>
      <c r="O261" s="22"/>
      <c r="P261" s="22"/>
      <c r="Q261" s="22"/>
      <c r="R261" s="22"/>
      <c r="S261" s="22"/>
      <c r="T261" s="353" t="b" cm="1">
        <f t="array" aca="1" ref="T261" ca="1">T260</f>
        <v>1</v>
      </c>
      <c r="U261" s="22"/>
      <c r="V261" s="22"/>
      <c r="W261" s="22"/>
      <c r="X261" s="1022"/>
      <c r="Y261" s="22"/>
      <c r="Z261" s="1023"/>
      <c r="AA261" s="22"/>
      <c r="AB261" s="516" t="s">
        <v>2057</v>
      </c>
      <c r="AC261" s="403" t="s">
        <v>2058</v>
      </c>
      <c r="AD261" s="402" t="s">
        <v>828</v>
      </c>
      <c r="AE261" s="142"/>
      <c r="AF261" s="315"/>
      <c r="AG261" s="315"/>
      <c r="AH261" s="696" t="s">
        <v>2461</v>
      </c>
      <c r="AI261" s="655"/>
      <c r="AJ261" s="655"/>
      <c r="AK261" s="480"/>
      <c r="AL261" s="480"/>
    </row>
    <row r="262" spans="1:38" s="4" customFormat="1" ht="14.25" customHeight="1" x14ac:dyDescent="0.15">
      <c r="A262" s="487"/>
      <c r="B262" s="22"/>
      <c r="C262" s="22"/>
      <c r="D262" s="22"/>
      <c r="E262" s="449">
        <v>15</v>
      </c>
      <c r="F262" s="267" t="str" cm="1">
        <f t="array" aca="1" ref="F262" ca="1">OFFSET(E262,-1,1)</f>
        <v>2</v>
      </c>
      <c r="G262" s="22"/>
      <c r="H262" s="22"/>
      <c r="I262" s="22"/>
      <c r="J262" s="22"/>
      <c r="K262" s="22"/>
      <c r="L262" s="22"/>
      <c r="M262" s="22"/>
      <c r="N262" s="22"/>
      <c r="O262" s="22"/>
      <c r="P262" s="22"/>
      <c r="Q262" s="22"/>
      <c r="R262" s="22"/>
      <c r="S262" s="22"/>
      <c r="T262" s="353" t="b" cm="1">
        <f t="array" aca="1" ref="T262" ca="1">T261</f>
        <v>1</v>
      </c>
      <c r="U262" s="22"/>
      <c r="V262" s="22"/>
      <c r="W262" s="22"/>
      <c r="X262" s="1022"/>
      <c r="Y262" s="22"/>
      <c r="Z262" s="1023"/>
      <c r="AA262" s="22"/>
      <c r="AB262" s="516" t="s">
        <v>2060</v>
      </c>
      <c r="AC262" s="403" t="s">
        <v>2061</v>
      </c>
      <c r="AD262" s="402" t="s">
        <v>828</v>
      </c>
      <c r="AE262" s="142"/>
      <c r="AF262" s="315"/>
      <c r="AG262" s="315"/>
      <c r="AH262" s="696" t="s">
        <v>2462</v>
      </c>
      <c r="AI262" s="655"/>
      <c r="AJ262" s="655"/>
      <c r="AK262" s="480"/>
      <c r="AL262" s="480"/>
    </row>
    <row r="263" spans="1:38" s="4" customFormat="1" ht="26.25" customHeight="1" x14ac:dyDescent="0.15">
      <c r="A263" s="487"/>
      <c r="B263" s="22"/>
      <c r="C263" s="22"/>
      <c r="D263" s="22"/>
      <c r="E263" s="449">
        <v>27</v>
      </c>
      <c r="F263" s="267" t="str" cm="1">
        <f t="array" aca="1" ref="F263" ca="1">OFFSET(E263,-1,1)</f>
        <v>2</v>
      </c>
      <c r="G263" s="22"/>
      <c r="H263" s="22"/>
      <c r="I263" s="22"/>
      <c r="J263" s="22"/>
      <c r="K263" s="22"/>
      <c r="L263" s="22"/>
      <c r="M263" s="22"/>
      <c r="N263" s="22"/>
      <c r="O263" s="22"/>
      <c r="P263" s="22"/>
      <c r="Q263" s="22"/>
      <c r="R263" s="22"/>
      <c r="S263" s="22"/>
      <c r="T263" s="353" t="b" cm="1">
        <f t="array" aca="1" ref="T263" ca="1">T262</f>
        <v>1</v>
      </c>
      <c r="U263" s="22"/>
      <c r="V263" s="22"/>
      <c r="W263" s="22"/>
      <c r="X263" s="1022"/>
      <c r="Y263" s="22"/>
      <c r="Z263" s="1023"/>
      <c r="AA263" s="22"/>
      <c r="AB263" s="516" t="s">
        <v>2063</v>
      </c>
      <c r="AC263" s="403" t="s">
        <v>2064</v>
      </c>
      <c r="AD263" s="402" t="s">
        <v>828</v>
      </c>
      <c r="AE263" s="142"/>
      <c r="AF263" s="315"/>
      <c r="AG263" s="315"/>
      <c r="AH263" s="696" t="s">
        <v>2463</v>
      </c>
      <c r="AI263" s="655"/>
      <c r="AJ263" s="655"/>
      <c r="AK263" s="480"/>
      <c r="AL263" s="480"/>
    </row>
    <row r="264" spans="1:38" s="4" customFormat="1" ht="14.25" customHeight="1" x14ac:dyDescent="0.15">
      <c r="A264" s="487"/>
      <c r="B264" s="22"/>
      <c r="C264" s="22"/>
      <c r="D264" s="22"/>
      <c r="E264" s="449">
        <v>15</v>
      </c>
      <c r="F264" s="267" t="str" cm="1">
        <f t="array" aca="1" ref="F264" ca="1">OFFSET(E264,-1,1)</f>
        <v>2</v>
      </c>
      <c r="G264" s="22"/>
      <c r="H264" s="22"/>
      <c r="I264" s="22"/>
      <c r="J264" s="22"/>
      <c r="K264" s="22"/>
      <c r="L264" s="22"/>
      <c r="M264" s="22"/>
      <c r="N264" s="22"/>
      <c r="O264" s="22"/>
      <c r="P264" s="22"/>
      <c r="Q264" s="22"/>
      <c r="R264" s="22"/>
      <c r="S264" s="22"/>
      <c r="T264" s="353" t="b" cm="1">
        <f t="array" aca="1" ref="T264" ca="1">T263</f>
        <v>1</v>
      </c>
      <c r="U264" s="22"/>
      <c r="V264" s="22"/>
      <c r="W264" s="22"/>
      <c r="X264" s="1022"/>
      <c r="Y264" s="22"/>
      <c r="Z264" s="1023"/>
      <c r="AA264" s="22"/>
      <c r="AB264" s="516" t="s">
        <v>2067</v>
      </c>
      <c r="AC264" s="403" t="s">
        <v>2068</v>
      </c>
      <c r="AD264" s="402" t="s">
        <v>828</v>
      </c>
      <c r="AE264" s="142"/>
      <c r="AF264" s="315"/>
      <c r="AG264" s="315"/>
      <c r="AH264" s="696" t="s">
        <v>2464</v>
      </c>
      <c r="AI264" s="655"/>
      <c r="AJ264" s="655"/>
      <c r="AK264" s="480"/>
      <c r="AL264" s="480"/>
    </row>
    <row r="265" spans="1:38" s="4" customFormat="1" ht="14.25" customHeight="1" x14ac:dyDescent="0.15">
      <c r="A265" s="487"/>
      <c r="B265" s="22"/>
      <c r="C265" s="22"/>
      <c r="D265" s="22"/>
      <c r="E265" s="449">
        <v>15</v>
      </c>
      <c r="F265" s="267" t="str" cm="1">
        <f t="array" aca="1" ref="F265" ca="1">OFFSET(E265,-1,1)</f>
        <v>2</v>
      </c>
      <c r="G265" s="22"/>
      <c r="H265" s="22"/>
      <c r="I265" s="22"/>
      <c r="J265" s="22"/>
      <c r="K265" s="22"/>
      <c r="L265" s="22"/>
      <c r="M265" s="22"/>
      <c r="N265" s="22"/>
      <c r="O265" s="22"/>
      <c r="P265" s="22"/>
      <c r="Q265" s="22"/>
      <c r="R265" s="22"/>
      <c r="S265" s="22"/>
      <c r="T265" s="353" t="b" cm="1">
        <f t="array" aca="1" ref="T265" ca="1">T264</f>
        <v>1</v>
      </c>
      <c r="U265" s="22"/>
      <c r="V265" s="22"/>
      <c r="W265" s="22"/>
      <c r="X265" s="1022"/>
      <c r="Y265" s="22"/>
      <c r="Z265" s="1023"/>
      <c r="AA265" s="22"/>
      <c r="AB265" s="516" t="s">
        <v>2071</v>
      </c>
      <c r="AC265" s="403" t="s">
        <v>2072</v>
      </c>
      <c r="AD265" s="402" t="s">
        <v>828</v>
      </c>
      <c r="AE265" s="142"/>
      <c r="AF265" s="315"/>
      <c r="AG265" s="315"/>
      <c r="AH265" s="696" t="s">
        <v>2465</v>
      </c>
      <c r="AI265" s="655"/>
      <c r="AJ265" s="655"/>
      <c r="AK265" s="480"/>
      <c r="AL265" s="480"/>
    </row>
    <row r="266" spans="1:38" s="4" customFormat="1" ht="14.25" customHeight="1" x14ac:dyDescent="0.15">
      <c r="A266" s="487"/>
      <c r="B266" s="22"/>
      <c r="C266" s="22"/>
      <c r="D266" s="22"/>
      <c r="E266" s="449">
        <v>15</v>
      </c>
      <c r="F266" s="267" t="str" cm="1">
        <f t="array" aca="1" ref="F266" ca="1">OFFSET(E266,-1,1)</f>
        <v>2</v>
      </c>
      <c r="G266" s="22"/>
      <c r="H266" s="22"/>
      <c r="I266" s="22"/>
      <c r="J266" s="22"/>
      <c r="K266" s="22"/>
      <c r="L266" s="22"/>
      <c r="M266" s="22"/>
      <c r="N266" s="22"/>
      <c r="O266" s="22"/>
      <c r="P266" s="22"/>
      <c r="Q266" s="22"/>
      <c r="R266" s="22"/>
      <c r="S266" s="22"/>
      <c r="T266" s="353" t="b" cm="1">
        <f t="array" aca="1" ref="T266" ca="1">T265</f>
        <v>1</v>
      </c>
      <c r="U266" s="22"/>
      <c r="V266" s="22"/>
      <c r="W266" s="22"/>
      <c r="X266" s="1022"/>
      <c r="Y266" s="22"/>
      <c r="Z266" s="1023"/>
      <c r="AA266" s="22"/>
      <c r="AB266" s="516" t="s">
        <v>2074</v>
      </c>
      <c r="AC266" s="403" t="s">
        <v>2075</v>
      </c>
      <c r="AD266" s="402" t="s">
        <v>828</v>
      </c>
      <c r="AE266" s="142"/>
      <c r="AF266" s="315"/>
      <c r="AG266" s="315"/>
      <c r="AH266" s="696" t="s">
        <v>2466</v>
      </c>
      <c r="AI266" s="655"/>
      <c r="AJ266" s="655"/>
      <c r="AK266" s="480"/>
      <c r="AL266" s="480"/>
    </row>
    <row r="267" spans="1:38" s="4" customFormat="1" ht="14.25" customHeight="1" x14ac:dyDescent="0.15">
      <c r="A267" s="487"/>
      <c r="B267" s="22"/>
      <c r="C267" s="22"/>
      <c r="D267" s="22"/>
      <c r="E267" s="449">
        <v>15</v>
      </c>
      <c r="F267" s="267" t="str" cm="1">
        <f t="array" aca="1" ref="F267" ca="1">OFFSET(E267,-1,1)</f>
        <v>2</v>
      </c>
      <c r="G267" s="22"/>
      <c r="H267" s="22"/>
      <c r="I267" s="22"/>
      <c r="J267" s="22"/>
      <c r="K267" s="22"/>
      <c r="L267" s="22"/>
      <c r="M267" s="22"/>
      <c r="N267" s="22"/>
      <c r="O267" s="22"/>
      <c r="P267" s="22"/>
      <c r="Q267" s="22"/>
      <c r="R267" s="22"/>
      <c r="S267" s="22"/>
      <c r="T267" s="353" t="b" cm="1">
        <f t="array" aca="1" ref="T267" ca="1">T266</f>
        <v>1</v>
      </c>
      <c r="U267" s="22"/>
      <c r="V267" s="22"/>
      <c r="W267" s="22"/>
      <c r="X267" s="1022"/>
      <c r="Y267" s="22"/>
      <c r="Z267" s="1023"/>
      <c r="AA267" s="22"/>
      <c r="AB267" s="516" t="s">
        <v>2077</v>
      </c>
      <c r="AC267" s="403" t="s">
        <v>2078</v>
      </c>
      <c r="AD267" s="402" t="s">
        <v>828</v>
      </c>
      <c r="AE267" s="142"/>
      <c r="AF267" s="315"/>
      <c r="AG267" s="315"/>
      <c r="AH267" s="696" t="s">
        <v>2467</v>
      </c>
      <c r="AI267" s="655"/>
      <c r="AJ267" s="655"/>
      <c r="AK267" s="480"/>
      <c r="AL267" s="480"/>
    </row>
    <row r="268" spans="1:38" s="4" customFormat="1" ht="14.25" customHeight="1" x14ac:dyDescent="0.15">
      <c r="A268" s="487"/>
      <c r="B268" s="22"/>
      <c r="C268" s="22"/>
      <c r="D268" s="22"/>
      <c r="E268" s="449">
        <v>15</v>
      </c>
      <c r="F268" s="267" t="str" cm="1">
        <f t="array" aca="1" ref="F268" ca="1">OFFSET(E268,-1,1)</f>
        <v>2</v>
      </c>
      <c r="G268" s="22"/>
      <c r="H268" s="22"/>
      <c r="I268" s="22"/>
      <c r="J268" s="22"/>
      <c r="K268" s="22"/>
      <c r="L268" s="22"/>
      <c r="M268" s="22"/>
      <c r="N268" s="22"/>
      <c r="O268" s="22"/>
      <c r="P268" s="22"/>
      <c r="Q268" s="22"/>
      <c r="R268" s="22"/>
      <c r="S268" s="22"/>
      <c r="T268" s="353" t="b" cm="1">
        <f t="array" aca="1" ref="T268" ca="1">T267</f>
        <v>1</v>
      </c>
      <c r="U268" s="22"/>
      <c r="V268" s="22"/>
      <c r="W268" s="22"/>
      <c r="X268" s="1022"/>
      <c r="Y268" s="22"/>
      <c r="Z268" s="1023"/>
      <c r="AA268" s="22"/>
      <c r="AB268" s="516" t="s">
        <v>2079</v>
      </c>
      <c r="AC268" s="403" t="s">
        <v>2080</v>
      </c>
      <c r="AD268" s="402" t="s">
        <v>828</v>
      </c>
      <c r="AE268" s="142"/>
      <c r="AF268" s="315"/>
      <c r="AG268" s="315"/>
      <c r="AH268" s="696" t="s">
        <v>2468</v>
      </c>
      <c r="AI268" s="655"/>
      <c r="AJ268" s="655"/>
      <c r="AK268" s="480"/>
      <c r="AL268" s="480"/>
    </row>
    <row r="269" spans="1:38" s="4" customFormat="1" ht="14.25" customHeight="1" x14ac:dyDescent="0.15">
      <c r="A269" s="487"/>
      <c r="B269" s="22"/>
      <c r="C269" s="22"/>
      <c r="D269" s="22"/>
      <c r="E269" s="449">
        <v>15</v>
      </c>
      <c r="F269" s="267" t="str" cm="1">
        <f t="array" aca="1" ref="F269" ca="1">OFFSET(E269,-1,1)</f>
        <v>2</v>
      </c>
      <c r="G269" s="22"/>
      <c r="H269" s="22"/>
      <c r="I269" s="22"/>
      <c r="J269" s="22"/>
      <c r="K269" s="22"/>
      <c r="L269" s="22"/>
      <c r="M269" s="22"/>
      <c r="N269" s="22"/>
      <c r="O269" s="22"/>
      <c r="P269" s="22"/>
      <c r="Q269" s="22"/>
      <c r="R269" s="22"/>
      <c r="S269" s="22"/>
      <c r="T269" s="353" t="b" cm="1">
        <f t="array" aca="1" ref="T269" ca="1">T268</f>
        <v>1</v>
      </c>
      <c r="U269" s="22"/>
      <c r="V269" s="22"/>
      <c r="W269" s="22"/>
      <c r="X269" s="1022"/>
      <c r="Y269" s="22"/>
      <c r="Z269" s="1023"/>
      <c r="AA269" s="22"/>
      <c r="AB269" s="516" t="s">
        <v>565</v>
      </c>
      <c r="AC269" s="401" t="s">
        <v>2081</v>
      </c>
      <c r="AD269" s="402" t="s">
        <v>828</v>
      </c>
      <c r="AE269" s="142"/>
      <c r="AF269" s="315"/>
      <c r="AG269" s="315"/>
      <c r="AH269" s="696" t="s">
        <v>2469</v>
      </c>
      <c r="AI269" s="655"/>
      <c r="AJ269" s="655"/>
      <c r="AK269" s="480"/>
      <c r="AL269" s="480"/>
    </row>
    <row r="270" spans="1:38" ht="14.25" customHeight="1" x14ac:dyDescent="0.15">
      <c r="E270" s="449">
        <v>15</v>
      </c>
      <c r="F270" s="3" t="str" cm="1">
        <f t="array" aca="1" ref="F270" ca="1">OFFSET(E270,-1,1)</f>
        <v>2</v>
      </c>
      <c r="H270" s="22" t="s">
        <v>503</v>
      </c>
      <c r="T270" s="353" t="b" cm="1">
        <f t="array" aca="1" ref="T270" ca="1">T256</f>
        <v>1</v>
      </c>
      <c r="X270" s="1022"/>
      <c r="Z270" s="1023"/>
      <c r="AB270" s="516" t="s">
        <v>569</v>
      </c>
      <c r="AC270" s="401" t="s">
        <v>2470</v>
      </c>
      <c r="AD270" s="402" t="s">
        <v>828</v>
      </c>
      <c r="AE270" s="406">
        <f>SUM(AE271:AE279)</f>
        <v>0</v>
      </c>
      <c r="AH270" s="702" t="s">
        <v>1275</v>
      </c>
    </row>
    <row r="271" spans="1:38" ht="14.25" customHeight="1" x14ac:dyDescent="0.15">
      <c r="E271" s="449">
        <v>15</v>
      </c>
      <c r="F271" s="3" t="str" cm="1">
        <f t="array" aca="1" ref="F271" ca="1">OFFSET(E271,-1,1)</f>
        <v>2</v>
      </c>
      <c r="H271" s="22" t="s">
        <v>1812</v>
      </c>
      <c r="T271" s="353" t="b" cm="1">
        <f t="array" aca="1" ref="T271" ca="1">T270</f>
        <v>1</v>
      </c>
      <c r="X271" s="1022"/>
      <c r="Z271" s="1023"/>
      <c r="AB271" s="516" t="s">
        <v>519</v>
      </c>
      <c r="AC271" s="403" t="s">
        <v>1290</v>
      </c>
      <c r="AD271" s="402" t="s">
        <v>828</v>
      </c>
      <c r="AE271" s="142"/>
      <c r="AH271" s="696" t="s">
        <v>2084</v>
      </c>
    </row>
    <row r="272" spans="1:38" ht="14.25" customHeight="1" x14ac:dyDescent="0.15">
      <c r="E272" s="449">
        <v>15</v>
      </c>
      <c r="F272" s="3" t="str" cm="1">
        <f t="array" aca="1" ref="F272" ca="1">OFFSET(E272,-1,1)</f>
        <v>2</v>
      </c>
      <c r="H272" s="22" t="s">
        <v>1815</v>
      </c>
      <c r="T272" s="353" t="b" cm="1">
        <f t="array" aca="1" ref="T272" ca="1">T271</f>
        <v>1</v>
      </c>
      <c r="X272" s="1022"/>
      <c r="Z272" s="1023"/>
      <c r="AB272" s="516" t="s">
        <v>1500</v>
      </c>
      <c r="AC272" s="403" t="s">
        <v>2471</v>
      </c>
      <c r="AD272" s="402" t="s">
        <v>828</v>
      </c>
      <c r="AE272" s="142"/>
      <c r="AH272" s="696" t="s">
        <v>2087</v>
      </c>
    </row>
    <row r="273" spans="1:38" ht="14.25" customHeight="1" x14ac:dyDescent="0.15">
      <c r="E273" s="449">
        <v>15</v>
      </c>
      <c r="F273" s="3" t="str" cm="1">
        <f t="array" aca="1" ref="F273" ca="1">OFFSET(E273,-1,1)</f>
        <v>2</v>
      </c>
      <c r="H273" s="22" t="s">
        <v>2472</v>
      </c>
      <c r="T273" s="353" t="b" cm="1">
        <f t="array" aca="1" ref="T273" ca="1">T272</f>
        <v>1</v>
      </c>
      <c r="X273" s="1022"/>
      <c r="Z273" s="1023"/>
      <c r="AB273" s="516" t="s">
        <v>1505</v>
      </c>
      <c r="AC273" s="403" t="s">
        <v>2473</v>
      </c>
      <c r="AD273" s="402" t="s">
        <v>828</v>
      </c>
      <c r="AE273" s="142"/>
      <c r="AH273" s="696" t="s">
        <v>2090</v>
      </c>
    </row>
    <row r="274" spans="1:38" ht="14.25" customHeight="1" x14ac:dyDescent="0.15">
      <c r="E274" s="449">
        <v>15</v>
      </c>
      <c r="F274" s="3" t="str" cm="1">
        <f t="array" aca="1" ref="F274" ca="1">OFFSET(E274,-1,1)</f>
        <v>2</v>
      </c>
      <c r="H274" s="22" t="s">
        <v>2474</v>
      </c>
      <c r="T274" s="353" t="b" cm="1">
        <f t="array" aca="1" ref="T274" ca="1">T273</f>
        <v>1</v>
      </c>
      <c r="X274" s="1022"/>
      <c r="Z274" s="1023"/>
      <c r="AB274" s="516" t="s">
        <v>2092</v>
      </c>
      <c r="AC274" s="403" t="s">
        <v>1283</v>
      </c>
      <c r="AD274" s="402" t="s">
        <v>828</v>
      </c>
      <c r="AE274" s="142"/>
      <c r="AH274" s="696" t="s">
        <v>2094</v>
      </c>
    </row>
    <row r="275" spans="1:38" ht="14.25" customHeight="1" x14ac:dyDescent="0.15">
      <c r="E275" s="449">
        <v>15</v>
      </c>
      <c r="F275" s="3" t="str" cm="1">
        <f t="array" aca="1" ref="F275" ca="1">OFFSET(E275,-1,1)</f>
        <v>2</v>
      </c>
      <c r="H275" s="22" t="s">
        <v>2475</v>
      </c>
      <c r="T275" s="353" t="b" cm="1">
        <f t="array" aca="1" ref="T275" ca="1">T274</f>
        <v>1</v>
      </c>
      <c r="X275" s="1022"/>
      <c r="Z275" s="1023"/>
      <c r="AB275" s="516" t="s">
        <v>2096</v>
      </c>
      <c r="AC275" s="403" t="s">
        <v>1285</v>
      </c>
      <c r="AD275" s="402" t="s">
        <v>828</v>
      </c>
      <c r="AE275" s="142"/>
      <c r="AH275" s="696" t="s">
        <v>2098</v>
      </c>
    </row>
    <row r="276" spans="1:38" ht="14.25" customHeight="1" x14ac:dyDescent="0.15">
      <c r="E276" s="449">
        <v>15</v>
      </c>
      <c r="F276" s="3" t="str" cm="1">
        <f t="array" aca="1" ref="F276" ca="1">OFFSET(E276,-1,1)</f>
        <v>2</v>
      </c>
      <c r="H276" s="22" t="s">
        <v>2476</v>
      </c>
      <c r="T276" s="353" t="b" cm="1">
        <f t="array" aca="1" ref="T276" ca="1">T275</f>
        <v>1</v>
      </c>
      <c r="X276" s="1022"/>
      <c r="Z276" s="1023"/>
      <c r="AB276" s="516" t="s">
        <v>2100</v>
      </c>
      <c r="AC276" s="403" t="s">
        <v>1276</v>
      </c>
      <c r="AD276" s="402" t="s">
        <v>828</v>
      </c>
      <c r="AE276" s="142"/>
      <c r="AH276" s="696" t="s">
        <v>2102</v>
      </c>
    </row>
    <row r="277" spans="1:38" s="4" customFormat="1" ht="14.25" customHeight="1" x14ac:dyDescent="0.15">
      <c r="A277" s="487"/>
      <c r="B277" s="22"/>
      <c r="C277" s="22"/>
      <c r="D277" s="22"/>
      <c r="E277" s="449">
        <v>15</v>
      </c>
      <c r="F277" s="267" t="str" cm="1">
        <f t="array" aca="1" ref="F277" ca="1">OFFSET(E277,-1,1)</f>
        <v>2</v>
      </c>
      <c r="G277" s="22"/>
      <c r="H277" s="22"/>
      <c r="I277" s="22"/>
      <c r="J277" s="22"/>
      <c r="K277" s="22"/>
      <c r="L277" s="22"/>
      <c r="M277" s="22"/>
      <c r="N277" s="22"/>
      <c r="O277" s="22"/>
      <c r="P277" s="22"/>
      <c r="Q277" s="22"/>
      <c r="R277" s="22"/>
      <c r="S277" s="22"/>
      <c r="T277" s="353" t="b" cm="1">
        <f t="array" aca="1" ref="T277" ca="1">T276</f>
        <v>1</v>
      </c>
      <c r="U277" s="22"/>
      <c r="V277" s="22"/>
      <c r="W277" s="22"/>
      <c r="X277" s="1022"/>
      <c r="Y277" s="22"/>
      <c r="Z277" s="1023"/>
      <c r="AA277" s="22"/>
      <c r="AB277" s="516" t="s">
        <v>2104</v>
      </c>
      <c r="AC277" s="403" t="s">
        <v>2477</v>
      </c>
      <c r="AD277" s="402" t="s">
        <v>828</v>
      </c>
      <c r="AE277" s="142"/>
      <c r="AF277" s="315"/>
      <c r="AG277" s="315"/>
      <c r="AH277" s="696" t="s">
        <v>1293</v>
      </c>
      <c r="AI277" s="655"/>
      <c r="AJ277" s="655"/>
      <c r="AK277" s="480"/>
      <c r="AL277" s="480"/>
    </row>
    <row r="278" spans="1:38" s="4" customFormat="1" ht="14.25" customHeight="1" x14ac:dyDescent="0.15">
      <c r="A278" s="487"/>
      <c r="B278" s="22"/>
      <c r="C278" s="22"/>
      <c r="D278" s="22"/>
      <c r="E278" s="449">
        <v>15</v>
      </c>
      <c r="F278" s="267" t="str" cm="1">
        <f t="array" aca="1" ref="F278" ca="1">OFFSET(E278,-1,1)</f>
        <v>2</v>
      </c>
      <c r="G278" s="22"/>
      <c r="H278" s="22"/>
      <c r="I278" s="22"/>
      <c r="J278" s="22"/>
      <c r="K278" s="22"/>
      <c r="L278" s="22"/>
      <c r="M278" s="22"/>
      <c r="N278" s="22"/>
      <c r="O278" s="22"/>
      <c r="P278" s="22"/>
      <c r="Q278" s="22"/>
      <c r="R278" s="22"/>
      <c r="S278" s="22"/>
      <c r="T278" s="353" t="b" cm="1">
        <f t="array" aca="1" ref="T278" ca="1">T277</f>
        <v>1</v>
      </c>
      <c r="U278" s="22"/>
      <c r="V278" s="22"/>
      <c r="W278" s="22"/>
      <c r="X278" s="1022"/>
      <c r="Y278" s="22"/>
      <c r="Z278" s="1023"/>
      <c r="AA278" s="22"/>
      <c r="AB278" s="516" t="s">
        <v>2108</v>
      </c>
      <c r="AC278" s="403" t="s">
        <v>1294</v>
      </c>
      <c r="AD278" s="402" t="s">
        <v>828</v>
      </c>
      <c r="AE278" s="142"/>
      <c r="AF278" s="315"/>
      <c r="AG278" s="315"/>
      <c r="AH278" s="696" t="s">
        <v>2478</v>
      </c>
      <c r="AI278" s="655"/>
      <c r="AJ278" s="655"/>
      <c r="AK278" s="480"/>
      <c r="AL278" s="480"/>
    </row>
    <row r="279" spans="1:38" ht="14.25" customHeight="1" x14ac:dyDescent="0.15">
      <c r="E279" s="449">
        <v>15</v>
      </c>
      <c r="F279" s="3" t="str" cm="1">
        <f t="array" aca="1" ref="F279" ca="1">OFFSET(E279,-1,1)</f>
        <v>2</v>
      </c>
      <c r="H279" s="22" t="s">
        <v>2479</v>
      </c>
      <c r="T279" s="353" t="b" cm="1">
        <f t="array" aca="1" ref="T279" ca="1">T276</f>
        <v>1</v>
      </c>
      <c r="X279" s="1022"/>
      <c r="Z279" s="1023"/>
      <c r="AB279" s="516" t="s">
        <v>2110</v>
      </c>
      <c r="AC279" s="403" t="s">
        <v>1296</v>
      </c>
      <c r="AD279" s="402" t="s">
        <v>828</v>
      </c>
      <c r="AE279" s="142"/>
      <c r="AH279" s="696" t="s">
        <v>2116</v>
      </c>
    </row>
    <row r="280" spans="1:38" ht="14.25" customHeight="1" x14ac:dyDescent="0.15">
      <c r="E280" s="449">
        <v>15</v>
      </c>
      <c r="F280" s="3" t="str" cm="1">
        <f t="array" aca="1" ref="F280" ca="1">OFFSET(E280,-1,1)</f>
        <v>2</v>
      </c>
      <c r="H280" s="22" t="s">
        <v>959</v>
      </c>
      <c r="T280" s="353" t="b" cm="1">
        <f t="array" aca="1" ref="T280" ca="1">T279</f>
        <v>1</v>
      </c>
      <c r="X280" s="1022"/>
      <c r="Z280" s="1023"/>
      <c r="AB280" s="516" t="s">
        <v>962</v>
      </c>
      <c r="AC280" s="403" t="s">
        <v>1085</v>
      </c>
      <c r="AD280" s="402" t="s">
        <v>828</v>
      </c>
      <c r="AE280" s="142"/>
      <c r="AH280" s="696" t="s">
        <v>1233</v>
      </c>
    </row>
    <row r="281" spans="1:38" ht="14.25" customHeight="1" x14ac:dyDescent="0.15">
      <c r="E281" s="449">
        <v>15</v>
      </c>
      <c r="F281" s="3" t="str" cm="1">
        <f t="array" aca="1" ref="F281" ca="1">OFFSET(E281,-1,1)</f>
        <v>2</v>
      </c>
      <c r="H281" s="22" t="s">
        <v>2119</v>
      </c>
      <c r="T281" s="353" t="b" cm="1">
        <f t="array" aca="1" ref="T281" ca="1">T280</f>
        <v>1</v>
      </c>
      <c r="X281" s="1022"/>
      <c r="Z281" s="1023"/>
      <c r="AB281" s="516" t="s">
        <v>965</v>
      </c>
      <c r="AC281" s="401" t="s">
        <v>1472</v>
      </c>
      <c r="AD281" s="402" t="s">
        <v>828</v>
      </c>
      <c r="AE281" s="142"/>
      <c r="AH281" s="703" t="s">
        <v>1856</v>
      </c>
    </row>
    <row r="282" spans="1:38" ht="14.25" customHeight="1" x14ac:dyDescent="0.15">
      <c r="E282" s="449">
        <v>15</v>
      </c>
      <c r="F282" s="3" t="str" cm="1">
        <f t="array" aca="1" ref="F282" ca="1">OFFSET(E282,-1,1)</f>
        <v>2</v>
      </c>
      <c r="H282" s="22" t="s">
        <v>2127</v>
      </c>
      <c r="T282" s="353" t="b" cm="1">
        <f t="array" aca="1" ref="T282" ca="1">T281</f>
        <v>1</v>
      </c>
      <c r="X282" s="1022"/>
      <c r="Z282" s="1023"/>
      <c r="AB282" s="516" t="s">
        <v>1520</v>
      </c>
      <c r="AC282" s="401" t="s">
        <v>1482</v>
      </c>
      <c r="AD282" s="402" t="s">
        <v>828</v>
      </c>
      <c r="AE282" s="406">
        <f>AE283+AE284</f>
        <v>0</v>
      </c>
      <c r="AH282" s="696" t="s">
        <v>2132</v>
      </c>
    </row>
    <row r="283" spans="1:38" ht="14.25" customHeight="1" x14ac:dyDescent="0.15">
      <c r="E283" s="449">
        <v>15</v>
      </c>
      <c r="F283" s="3" t="str" cm="1">
        <f t="array" aca="1" ref="F283" ca="1">OFFSET(E283,-1,1)</f>
        <v>2</v>
      </c>
      <c r="H283" s="22" t="s">
        <v>2480</v>
      </c>
      <c r="T283" s="353" t="b" cm="1">
        <f t="array" aca="1" ref="T283" ca="1">T282</f>
        <v>1</v>
      </c>
      <c r="X283" s="1022"/>
      <c r="Z283" s="1023"/>
      <c r="AB283" s="516" t="s">
        <v>2123</v>
      </c>
      <c r="AC283" s="403" t="s">
        <v>2481</v>
      </c>
      <c r="AD283" s="402" t="s">
        <v>828</v>
      </c>
      <c r="AE283" s="142"/>
      <c r="AH283" s="696" t="s">
        <v>1268</v>
      </c>
    </row>
    <row r="284" spans="1:38" ht="21.75" customHeight="1" x14ac:dyDescent="0.15">
      <c r="E284" s="449">
        <v>22.5</v>
      </c>
      <c r="F284" s="3" t="str" cm="1">
        <f t="array" aca="1" ref="F284" ca="1">OFFSET(E284,-1,1)</f>
        <v>2</v>
      </c>
      <c r="H284" s="22" t="s">
        <v>2482</v>
      </c>
      <c r="T284" s="353" t="b" cm="1">
        <f t="array" aca="1" ref="T284" ca="1">T283</f>
        <v>1</v>
      </c>
      <c r="X284" s="1022"/>
      <c r="Z284" s="1023"/>
      <c r="AB284" s="516" t="s">
        <v>2483</v>
      </c>
      <c r="AC284" s="403" t="s">
        <v>2484</v>
      </c>
      <c r="AD284" s="402" t="s">
        <v>828</v>
      </c>
      <c r="AE284" s="142"/>
      <c r="AH284" s="696" t="s">
        <v>2139</v>
      </c>
    </row>
    <row r="285" spans="1:38" ht="76.5" customHeight="1" x14ac:dyDescent="0.15">
      <c r="E285" s="449">
        <v>78.75</v>
      </c>
      <c r="F285" s="3" t="str" cm="1">
        <f t="array" aca="1" ref="F285" ca="1">OFFSET(E285,-1,1)</f>
        <v>2</v>
      </c>
      <c r="H285" s="22" t="s">
        <v>2131</v>
      </c>
      <c r="T285" s="353" t="b" cm="1">
        <f t="array" aca="1" ref="T285" ca="1">T284</f>
        <v>1</v>
      </c>
      <c r="X285" s="1022"/>
      <c r="Z285" s="1023"/>
      <c r="AB285" s="516" t="s">
        <v>1525</v>
      </c>
      <c r="AC285" s="409" t="s">
        <v>1456</v>
      </c>
      <c r="AD285" s="402" t="s">
        <v>828</v>
      </c>
      <c r="AE285" s="142"/>
      <c r="AH285" s="696" t="s">
        <v>2117</v>
      </c>
    </row>
    <row r="286" spans="1:38" s="4" customFormat="1" ht="14.25" customHeight="1" x14ac:dyDescent="0.15">
      <c r="A286" s="487"/>
      <c r="B286" s="22"/>
      <c r="C286" s="22"/>
      <c r="D286" s="22"/>
      <c r="E286" s="449">
        <v>15</v>
      </c>
      <c r="F286" s="267" t="str" cm="1">
        <f t="array" aca="1" ref="F286" ca="1">OFFSET(E286,-1,1)</f>
        <v>2</v>
      </c>
      <c r="G286" s="22"/>
      <c r="H286" s="22"/>
      <c r="I286" s="22"/>
      <c r="J286" s="22"/>
      <c r="K286" s="22"/>
      <c r="L286" s="22"/>
      <c r="M286" s="22"/>
      <c r="N286" s="22"/>
      <c r="O286" s="22"/>
      <c r="P286" s="22"/>
      <c r="Q286" s="22"/>
      <c r="R286" s="22"/>
      <c r="S286" s="22"/>
      <c r="T286" s="353" t="b" cm="1">
        <f t="array" aca="1" ref="T286" ca="1">T285</f>
        <v>1</v>
      </c>
      <c r="U286" s="22"/>
      <c r="V286" s="22"/>
      <c r="W286" s="22"/>
      <c r="X286" s="1022"/>
      <c r="Y286" s="22"/>
      <c r="Z286" s="1023"/>
      <c r="AA286" s="22"/>
      <c r="AB286" s="516" t="s">
        <v>2128</v>
      </c>
      <c r="AC286" s="409" t="s">
        <v>1065</v>
      </c>
      <c r="AD286" s="402" t="s">
        <v>828</v>
      </c>
      <c r="AE286" s="142"/>
      <c r="AF286" s="315"/>
      <c r="AG286" s="315"/>
      <c r="AH286" s="696" t="s">
        <v>1067</v>
      </c>
      <c r="AI286" s="655"/>
      <c r="AJ286" s="655"/>
      <c r="AK286" s="480"/>
      <c r="AL286" s="480"/>
    </row>
    <row r="287" spans="1:38" s="4" customFormat="1" ht="14.25" customHeight="1" x14ac:dyDescent="0.15">
      <c r="A287" s="487"/>
      <c r="B287" s="22"/>
      <c r="C287" s="22"/>
      <c r="D287" s="22"/>
      <c r="E287" s="449">
        <v>15</v>
      </c>
      <c r="F287" s="267" t="str" cm="1">
        <f t="array" aca="1" ref="F287" ca="1">OFFSET(E287,-1,1)</f>
        <v>2</v>
      </c>
      <c r="G287" s="22"/>
      <c r="H287" s="22"/>
      <c r="I287" s="22"/>
      <c r="J287" s="22"/>
      <c r="K287" s="22"/>
      <c r="L287" s="22"/>
      <c r="M287" s="22"/>
      <c r="N287" s="22"/>
      <c r="O287" s="22"/>
      <c r="P287" s="22"/>
      <c r="Q287" s="22"/>
      <c r="R287" s="22"/>
      <c r="S287" s="22"/>
      <c r="T287" s="353" t="b" cm="1">
        <f t="array" aca="1" ref="T287" ca="1">T286</f>
        <v>1</v>
      </c>
      <c r="U287" s="22"/>
      <c r="V287" s="22"/>
      <c r="W287" s="22"/>
      <c r="X287" s="1022"/>
      <c r="Y287" s="22"/>
      <c r="Z287" s="1023"/>
      <c r="AA287" s="22"/>
      <c r="AB287" s="516" t="s">
        <v>1544</v>
      </c>
      <c r="AC287" s="409" t="s">
        <v>1467</v>
      </c>
      <c r="AD287" s="402" t="s">
        <v>828</v>
      </c>
      <c r="AE287" s="142"/>
      <c r="AF287" s="315"/>
      <c r="AG287" s="315"/>
      <c r="AH287" s="696" t="s">
        <v>2485</v>
      </c>
      <c r="AI287" s="655"/>
      <c r="AJ287" s="655"/>
      <c r="AK287" s="480"/>
      <c r="AL287" s="480"/>
    </row>
    <row r="288" spans="1:38" ht="14.25" customHeight="1" x14ac:dyDescent="0.15">
      <c r="E288" s="449">
        <v>15</v>
      </c>
      <c r="F288" s="3" t="str" cm="1">
        <f t="array" aca="1" ref="F288" ca="1">OFFSET(E288,-1,1)</f>
        <v>2</v>
      </c>
      <c r="H288" s="22" t="s">
        <v>2486</v>
      </c>
      <c r="T288" s="353" t="b" cm="1">
        <f t="array" aca="1" ref="T288" ca="1">T285</f>
        <v>1</v>
      </c>
      <c r="X288" s="1022"/>
      <c r="Z288" s="1023"/>
      <c r="AB288" s="516" t="s">
        <v>1548</v>
      </c>
      <c r="AC288" s="401" t="s">
        <v>2487</v>
      </c>
      <c r="AD288" s="402" t="s">
        <v>828</v>
      </c>
      <c r="AE288" s="142"/>
      <c r="AH288" s="655" t="s">
        <v>2488</v>
      </c>
    </row>
    <row r="289" spans="1:38" s="4" customFormat="1" ht="31.5" customHeight="1" x14ac:dyDescent="0.15">
      <c r="A289" s="487"/>
      <c r="B289" s="22"/>
      <c r="C289" s="22"/>
      <c r="D289" s="22"/>
      <c r="E289" s="449">
        <v>33</v>
      </c>
      <c r="F289" s="267" t="str" cm="1">
        <f t="array" aca="1" ref="F289" ca="1">OFFSET(E289,-1,1)</f>
        <v>2</v>
      </c>
      <c r="G289" s="22"/>
      <c r="H289" s="22"/>
      <c r="I289" s="22"/>
      <c r="J289" s="22"/>
      <c r="K289" s="22"/>
      <c r="L289" s="22"/>
      <c r="M289" s="22"/>
      <c r="N289" s="22"/>
      <c r="O289" s="22"/>
      <c r="P289" s="22"/>
      <c r="Q289" s="22"/>
      <c r="R289" s="22"/>
      <c r="S289" s="22"/>
      <c r="T289" s="353" t="b" cm="1">
        <f t="array" aca="1" ref="T289" ca="1">T288</f>
        <v>1</v>
      </c>
      <c r="U289" s="22"/>
      <c r="V289" s="22"/>
      <c r="W289" s="22"/>
      <c r="X289" s="1022"/>
      <c r="Y289" s="22"/>
      <c r="Z289" s="1023"/>
      <c r="AA289" s="22"/>
      <c r="AB289" s="516" t="s">
        <v>1551</v>
      </c>
      <c r="AC289" s="401" t="s">
        <v>2141</v>
      </c>
      <c r="AD289" s="402" t="s">
        <v>828</v>
      </c>
      <c r="AE289" s="142"/>
      <c r="AF289" s="315"/>
      <c r="AG289" s="315"/>
      <c r="AH289" s="655" t="s">
        <v>2489</v>
      </c>
      <c r="AI289" s="655"/>
      <c r="AJ289" s="655"/>
      <c r="AK289" s="480"/>
      <c r="AL289" s="480"/>
    </row>
    <row r="290" spans="1:38" ht="14.25" customHeight="1" x14ac:dyDescent="0.15">
      <c r="E290" s="449">
        <v>15</v>
      </c>
      <c r="F290" s="3" t="str" cm="1">
        <f t="array" aca="1" ref="F290" ca="1">OFFSET(E290,-1,1)</f>
        <v>2</v>
      </c>
      <c r="H290" s="22" t="s">
        <v>2490</v>
      </c>
      <c r="T290" s="353" t="b" cm="1">
        <f t="array" aca="1" ref="T290" ca="1">T288</f>
        <v>1</v>
      </c>
      <c r="X290" s="1022"/>
      <c r="Z290" s="1023"/>
      <c r="AB290" s="516" t="s">
        <v>2491</v>
      </c>
      <c r="AC290" s="401" t="s">
        <v>2492</v>
      </c>
      <c r="AD290" s="402" t="s">
        <v>828</v>
      </c>
      <c r="AE290" s="406">
        <f>SUM(AE291:AE292)</f>
        <v>0</v>
      </c>
      <c r="AH290" s="655" t="s">
        <v>2493</v>
      </c>
    </row>
    <row r="291" spans="1:38" ht="14.25" hidden="1" customHeight="1" x14ac:dyDescent="0.15">
      <c r="E291" s="449">
        <v>15</v>
      </c>
      <c r="F291" s="3" t="str" cm="1">
        <f t="array" aca="1" ref="F291" ca="1">OFFSET(E291,-1,1)</f>
        <v>2</v>
      </c>
      <c r="H291" s="22" t="s">
        <v>2490</v>
      </c>
      <c r="I291" s="410" cm="1">
        <f t="array" ref="I291">AC291</f>
        <v>0</v>
      </c>
      <c r="T291" s="353" t="b">
        <f ca="1">AND(F291&gt;0,Y291&gt;0)</f>
        <v>0</v>
      </c>
      <c r="W291" s="17" t="s">
        <v>172</v>
      </c>
      <c r="X291" s="1022"/>
      <c r="Y291" s="22">
        <v>0</v>
      </c>
      <c r="Z291" s="1023"/>
      <c r="AA291" s="482" t="s">
        <v>173</v>
      </c>
      <c r="AB291" s="516" t="str">
        <f>"2.12."&amp;Y291</f>
        <v>2.12.0</v>
      </c>
      <c r="AC291" s="888"/>
      <c r="AD291" s="402" t="s">
        <v>828</v>
      </c>
      <c r="AE291" s="854"/>
      <c r="AH291" s="655" t="s">
        <v>2493</v>
      </c>
      <c r="AI291" s="655" t="s">
        <v>2494</v>
      </c>
      <c r="AJ291" s="661" cm="1">
        <f t="array" ref="AJ291">AC291</f>
        <v>0</v>
      </c>
      <c r="AL291" s="480" t="b">
        <v>1</v>
      </c>
    </row>
    <row r="292" spans="1:38" ht="14.25" customHeight="1" x14ac:dyDescent="0.15">
      <c r="E292" s="449">
        <v>15</v>
      </c>
      <c r="F292" s="3" t="str" cm="1">
        <f t="array" aca="1" ref="F292" ca="1">OFFSET(E292,-1,1)</f>
        <v>2</v>
      </c>
      <c r="I292" s="72" t="str">
        <f>"!== 'не определено' &amp;&amp; row.l2_13 !== null"</f>
        <v>!== 'не определено' &amp;&amp; row.l2_13 !== null</v>
      </c>
      <c r="T292" s="353" t="b">
        <f ca="1">F292&gt;0</f>
        <v>1</v>
      </c>
      <c r="W292" s="506" t="s">
        <v>919</v>
      </c>
      <c r="X292" s="1022"/>
      <c r="Z292" s="1023"/>
      <c r="AB292" s="783"/>
      <c r="AC292" s="784" t="s">
        <v>176</v>
      </c>
      <c r="AD292" s="785"/>
      <c r="AE292" s="795"/>
      <c r="AK292" s="480" t="s">
        <v>2494</v>
      </c>
    </row>
    <row r="293" spans="1:38" ht="14.25" customHeight="1" x14ac:dyDescent="0.15">
      <c r="E293" s="449">
        <v>15</v>
      </c>
      <c r="F293" s="3" t="str" cm="1">
        <f t="array" aca="1" ref="F293" ca="1">OFFSET(E293,-1,1)</f>
        <v>2</v>
      </c>
      <c r="G293" s="22" t="s">
        <v>49</v>
      </c>
      <c r="H293" s="22" t="s">
        <v>333</v>
      </c>
      <c r="T293" s="353" t="b" cm="1">
        <f t="array" aca="1" ref="T293" ca="1">T292</f>
        <v>1</v>
      </c>
      <c r="X293" s="1022"/>
      <c r="Z293" s="1023"/>
      <c r="AB293" s="515" t="s">
        <v>291</v>
      </c>
      <c r="AC293" s="399" t="s">
        <v>2144</v>
      </c>
      <c r="AD293" s="400" t="s">
        <v>828</v>
      </c>
      <c r="AE293" s="796"/>
      <c r="AH293" s="655" t="s">
        <v>1750</v>
      </c>
    </row>
    <row r="294" spans="1:38" ht="14.25" customHeight="1" x14ac:dyDescent="0.15">
      <c r="E294" s="449">
        <v>15</v>
      </c>
      <c r="F294" s="267" t="str" cm="1">
        <f t="array" ref="F294">X294</f>
        <v>3</v>
      </c>
      <c r="G294" s="22" t="s">
        <v>821</v>
      </c>
      <c r="T294" s="353" t="b">
        <f>X294&gt;0</f>
        <v>1</v>
      </c>
      <c r="V294" s="22" t="str" cm="1">
        <f t="array" ref="V294">'ДПР (концессии)'!$AB$187</f>
        <v>Тариф 3 (Водоотведение) - тариф на транспортировку сточных вод</v>
      </c>
      <c r="X294" s="1022" t="s">
        <v>291</v>
      </c>
      <c r="Z294" s="1023"/>
      <c r="AB294" s="135" t="str" cm="1">
        <f t="array" ref="AB294">'ДПР (концессии)'!$AB$187</f>
        <v>Тариф 3 (Водоотведение) - тариф на транспортировку сточных вод</v>
      </c>
      <c r="AC294" s="94"/>
      <c r="AD294" s="88"/>
      <c r="AE294" s="782">
        <f>AE295+AE345+AE382</f>
        <v>0</v>
      </c>
    </row>
    <row r="295" spans="1:38" ht="14.25" customHeight="1" x14ac:dyDescent="0.15">
      <c r="E295" s="449">
        <v>15</v>
      </c>
      <c r="F295" s="3" t="str" cm="1">
        <f t="array" aca="1" ref="F295" ca="1">OFFSET(E295,-1,1)</f>
        <v>3</v>
      </c>
      <c r="H295" s="22" t="s">
        <v>331</v>
      </c>
      <c r="T295" s="353" t="b" cm="1">
        <f t="array" ref="T295">T294</f>
        <v>1</v>
      </c>
      <c r="X295" s="1022"/>
      <c r="Z295" s="1023"/>
      <c r="AB295" s="515" t="s">
        <v>275</v>
      </c>
      <c r="AC295" s="399" t="s">
        <v>1950</v>
      </c>
      <c r="AD295" s="400" t="s">
        <v>828</v>
      </c>
      <c r="AE295" s="406">
        <f>AE296+AE314+AE322+AE342</f>
        <v>0</v>
      </c>
      <c r="AH295" s="655" t="s">
        <v>550</v>
      </c>
    </row>
    <row r="296" spans="1:38" ht="14.25" customHeight="1" x14ac:dyDescent="0.15">
      <c r="E296" s="449">
        <v>15</v>
      </c>
      <c r="F296" s="3" t="str" cm="1">
        <f t="array" aca="1" ref="F296" ca="1">OFFSET(E296,-1,1)</f>
        <v>3</v>
      </c>
      <c r="H296" s="22" t="s">
        <v>482</v>
      </c>
      <c r="T296" s="353" t="b" cm="1">
        <f t="array" ref="T296">T295</f>
        <v>1</v>
      </c>
      <c r="X296" s="1022"/>
      <c r="Z296" s="1023"/>
      <c r="AB296" s="516" t="s">
        <v>939</v>
      </c>
      <c r="AC296" s="401" t="s">
        <v>1738</v>
      </c>
      <c r="AD296" s="402" t="s">
        <v>828</v>
      </c>
      <c r="AE296" s="406">
        <f>AE297+AE298+AE299+AE304+AE305+AE306</f>
        <v>0</v>
      </c>
      <c r="AH296" s="655" t="s">
        <v>1164</v>
      </c>
    </row>
    <row r="297" spans="1:38" ht="14.25" customHeight="1" x14ac:dyDescent="0.15">
      <c r="E297" s="449">
        <v>15</v>
      </c>
      <c r="F297" s="3" t="str" cm="1">
        <f t="array" aca="1" ref="F297" ca="1">OFFSET(E297,-1,1)</f>
        <v>3</v>
      </c>
      <c r="H297" s="22" t="s">
        <v>1070</v>
      </c>
      <c r="T297" s="353" t="b" cm="1">
        <f t="array" ref="T297">T296</f>
        <v>1</v>
      </c>
      <c r="X297" s="1022"/>
      <c r="Z297" s="1023"/>
      <c r="AB297" s="516" t="s">
        <v>1071</v>
      </c>
      <c r="AC297" s="403" t="s">
        <v>2361</v>
      </c>
      <c r="AD297" s="402" t="s">
        <v>828</v>
      </c>
      <c r="AE297" s="142"/>
      <c r="AH297" s="655" t="s">
        <v>1260</v>
      </c>
    </row>
    <row r="298" spans="1:38" ht="21.75" customHeight="1" x14ac:dyDescent="0.15">
      <c r="E298" s="449">
        <v>22.5</v>
      </c>
      <c r="F298" s="3" t="str" cm="1">
        <f t="array" aca="1" ref="F298" ca="1">OFFSET(E298,-1,1)</f>
        <v>3</v>
      </c>
      <c r="H298" s="22" t="s">
        <v>1074</v>
      </c>
      <c r="T298" s="353" t="b" cm="1">
        <f t="array" ref="T298">T297</f>
        <v>1</v>
      </c>
      <c r="X298" s="1022"/>
      <c r="Z298" s="1023"/>
      <c r="AB298" s="516" t="s">
        <v>1075</v>
      </c>
      <c r="AC298" s="403" t="s">
        <v>1958</v>
      </c>
      <c r="AD298" s="402" t="s">
        <v>828</v>
      </c>
      <c r="AE298" s="142"/>
      <c r="AH298" s="655" t="s">
        <v>1771</v>
      </c>
    </row>
    <row r="299" spans="1:38" ht="32.25" customHeight="1" x14ac:dyDescent="0.15">
      <c r="E299" s="449">
        <v>33.75</v>
      </c>
      <c r="F299" s="3" t="str" cm="1">
        <f t="array" aca="1" ref="F299" ca="1">OFFSET(E299,-1,1)</f>
        <v>3</v>
      </c>
      <c r="H299" s="22" t="s">
        <v>1319</v>
      </c>
      <c r="T299" s="353" t="b" cm="1">
        <f t="array" ref="T299">T298</f>
        <v>1</v>
      </c>
      <c r="X299" s="1022"/>
      <c r="Z299" s="1023"/>
      <c r="AB299" s="516" t="s">
        <v>1320</v>
      </c>
      <c r="AC299" s="403" t="s">
        <v>2362</v>
      </c>
      <c r="AD299" s="402" t="s">
        <v>828</v>
      </c>
      <c r="AE299" s="406">
        <f>AE300+AE303</f>
        <v>0</v>
      </c>
      <c r="AH299" s="655" t="s">
        <v>1773</v>
      </c>
    </row>
    <row r="300" spans="1:38" ht="21.75" customHeight="1" x14ac:dyDescent="0.15">
      <c r="E300" s="449">
        <v>22.5</v>
      </c>
      <c r="F300" s="3" t="str" cm="1">
        <f t="array" aca="1" ref="F300" ca="1">OFFSET(E300,-1,1)</f>
        <v>3</v>
      </c>
      <c r="H300" s="22" t="s">
        <v>2363</v>
      </c>
      <c r="T300" s="353" t="b" cm="1">
        <f t="array" ref="T300">T299</f>
        <v>1</v>
      </c>
      <c r="X300" s="1022"/>
      <c r="Z300" s="1023"/>
      <c r="AB300" s="516" t="s">
        <v>2364</v>
      </c>
      <c r="AC300" s="404" t="s">
        <v>2365</v>
      </c>
      <c r="AD300" s="402" t="s">
        <v>828</v>
      </c>
      <c r="AE300" s="142"/>
      <c r="AH300" s="655" t="s">
        <v>1775</v>
      </c>
    </row>
    <row r="301" spans="1:38" ht="21.75" customHeight="1" x14ac:dyDescent="0.15">
      <c r="E301" s="449">
        <v>22.5</v>
      </c>
      <c r="F301" s="3" t="str" cm="1">
        <f t="array" aca="1" ref="F301" ca="1">OFFSET(E301,-1,1)</f>
        <v>3</v>
      </c>
      <c r="H301" s="22" t="s">
        <v>2366</v>
      </c>
      <c r="T301" s="353" t="b" cm="1">
        <f t="array" ref="T301">T300</f>
        <v>1</v>
      </c>
      <c r="X301" s="1022"/>
      <c r="Z301" s="1023"/>
      <c r="AB301" s="516" t="s">
        <v>2367</v>
      </c>
      <c r="AC301" s="405" t="s">
        <v>2368</v>
      </c>
      <c r="AD301" s="402" t="s">
        <v>2369</v>
      </c>
      <c r="AE301" s="142"/>
      <c r="AH301" s="655" t="s">
        <v>2370</v>
      </c>
    </row>
    <row r="302" spans="1:38" ht="21.75" customHeight="1" x14ac:dyDescent="0.15">
      <c r="E302" s="449">
        <v>22.5</v>
      </c>
      <c r="F302" s="3" t="str" cm="1">
        <f t="array" aca="1" ref="F302" ca="1">OFFSET(E302,-1,1)</f>
        <v>3</v>
      </c>
      <c r="H302" s="22" t="s">
        <v>2371</v>
      </c>
      <c r="T302" s="353" t="b" cm="1">
        <f t="array" ref="T302">T301</f>
        <v>1</v>
      </c>
      <c r="X302" s="1022"/>
      <c r="Z302" s="1023"/>
      <c r="AB302" s="516" t="s">
        <v>2372</v>
      </c>
      <c r="AC302" s="405" t="s">
        <v>2373</v>
      </c>
      <c r="AD302" s="402" t="s">
        <v>2374</v>
      </c>
      <c r="AE302" s="142"/>
      <c r="AH302" s="655" t="s">
        <v>2375</v>
      </c>
    </row>
    <row r="303" spans="1:38" ht="21.75" customHeight="1" x14ac:dyDescent="0.15">
      <c r="E303" s="449">
        <v>22.5</v>
      </c>
      <c r="F303" s="3" t="str" cm="1">
        <f t="array" aca="1" ref="F303" ca="1">OFFSET(E303,-1,1)</f>
        <v>3</v>
      </c>
      <c r="H303" s="22" t="s">
        <v>2376</v>
      </c>
      <c r="T303" s="353" t="b" cm="1">
        <f t="array" ref="T303">T302</f>
        <v>1</v>
      </c>
      <c r="X303" s="1022"/>
      <c r="Z303" s="1023"/>
      <c r="AB303" s="516" t="s">
        <v>2377</v>
      </c>
      <c r="AC303" s="404" t="s">
        <v>2378</v>
      </c>
      <c r="AD303" s="402" t="s">
        <v>828</v>
      </c>
      <c r="AE303" s="142"/>
      <c r="AH303" s="655" t="s">
        <v>1777</v>
      </c>
    </row>
    <row r="304" spans="1:38" ht="14.25" customHeight="1" x14ac:dyDescent="0.15">
      <c r="E304" s="449">
        <v>15</v>
      </c>
      <c r="F304" s="3" t="str" cm="1">
        <f t="array" aca="1" ref="F304" ca="1">OFFSET(E304,-1,1)</f>
        <v>3</v>
      </c>
      <c r="H304" s="22" t="s">
        <v>1323</v>
      </c>
      <c r="T304" s="353" t="b" cm="1">
        <f t="array" ref="T304">T303</f>
        <v>1</v>
      </c>
      <c r="X304" s="1022"/>
      <c r="Z304" s="1023"/>
      <c r="AB304" s="516" t="s">
        <v>1324</v>
      </c>
      <c r="AC304" s="403" t="s">
        <v>2379</v>
      </c>
      <c r="AD304" s="402" t="s">
        <v>828</v>
      </c>
      <c r="AE304" s="142"/>
      <c r="AH304" s="655" t="s">
        <v>2139</v>
      </c>
    </row>
    <row r="305" spans="5:34" ht="14.25" customHeight="1" x14ac:dyDescent="0.15">
      <c r="E305" s="449">
        <v>15</v>
      </c>
      <c r="F305" s="3" t="str" cm="1">
        <f t="array" aca="1" ref="F305" ca="1">OFFSET(E305,-1,1)</f>
        <v>3</v>
      </c>
      <c r="H305" s="22" t="s">
        <v>2380</v>
      </c>
      <c r="T305" s="353" t="b" cm="1">
        <f t="array" ref="T305">T304</f>
        <v>1</v>
      </c>
      <c r="X305" s="1022"/>
      <c r="Z305" s="1023"/>
      <c r="AB305" s="516" t="s">
        <v>1327</v>
      </c>
      <c r="AC305" s="403" t="s">
        <v>1964</v>
      </c>
      <c r="AD305" s="402" t="s">
        <v>828</v>
      </c>
      <c r="AE305" s="142"/>
      <c r="AH305" s="655" t="s">
        <v>1782</v>
      </c>
    </row>
    <row r="306" spans="5:34" ht="14.25" customHeight="1" x14ac:dyDescent="0.15">
      <c r="E306" s="449">
        <v>15</v>
      </c>
      <c r="F306" s="3" t="str" cm="1">
        <f t="array" aca="1" ref="F306" ca="1">OFFSET(E306,-1,1)</f>
        <v>3</v>
      </c>
      <c r="H306" s="22" t="s">
        <v>2381</v>
      </c>
      <c r="T306" s="353" t="b" cm="1">
        <f t="array" ref="T306">T305</f>
        <v>1</v>
      </c>
      <c r="X306" s="1022"/>
      <c r="Z306" s="1023"/>
      <c r="AB306" s="516" t="s">
        <v>2382</v>
      </c>
      <c r="AC306" s="403" t="s">
        <v>2383</v>
      </c>
      <c r="AD306" s="402" t="s">
        <v>828</v>
      </c>
      <c r="AE306" s="406">
        <f>SUM(AE307:AE313)</f>
        <v>0</v>
      </c>
      <c r="AH306" s="655" t="s">
        <v>1786</v>
      </c>
    </row>
    <row r="307" spans="5:34" ht="14.25" customHeight="1" x14ac:dyDescent="0.15">
      <c r="E307" s="449">
        <v>15</v>
      </c>
      <c r="F307" s="3" t="str" cm="1">
        <f t="array" aca="1" ref="F307" ca="1">OFFSET(E307,-1,1)</f>
        <v>3</v>
      </c>
      <c r="H307" s="22" t="s">
        <v>2384</v>
      </c>
      <c r="T307" s="353" t="b" cm="1">
        <f t="array" ref="T307">T306</f>
        <v>1</v>
      </c>
      <c r="X307" s="1022"/>
      <c r="Z307" s="1023"/>
      <c r="AB307" s="516" t="s">
        <v>2385</v>
      </c>
      <c r="AC307" s="404" t="s">
        <v>1793</v>
      </c>
      <c r="AD307" s="402" t="s">
        <v>828</v>
      </c>
      <c r="AE307" s="142"/>
      <c r="AH307" s="655" t="s">
        <v>2386</v>
      </c>
    </row>
    <row r="308" spans="5:34" ht="21.75" customHeight="1" x14ac:dyDescent="0.15">
      <c r="E308" s="449">
        <v>22.5</v>
      </c>
      <c r="F308" s="3" t="str" cm="1">
        <f t="array" aca="1" ref="F308" ca="1">OFFSET(E308,-1,1)</f>
        <v>3</v>
      </c>
      <c r="H308" s="22" t="s">
        <v>2387</v>
      </c>
      <c r="T308" s="353" t="b" cm="1">
        <f t="array" ref="T308">T307</f>
        <v>1</v>
      </c>
      <c r="X308" s="1022"/>
      <c r="Z308" s="1023"/>
      <c r="AB308" s="516" t="s">
        <v>2388</v>
      </c>
      <c r="AC308" s="404" t="s">
        <v>1972</v>
      </c>
      <c r="AD308" s="402" t="s">
        <v>828</v>
      </c>
      <c r="AE308" s="142"/>
      <c r="AH308" s="696" t="s">
        <v>1973</v>
      </c>
    </row>
    <row r="309" spans="5:34" ht="21.75" customHeight="1" x14ac:dyDescent="0.15">
      <c r="E309" s="449">
        <v>22.5</v>
      </c>
      <c r="F309" s="3" t="str" cm="1">
        <f t="array" aca="1" ref="F309" ca="1">OFFSET(E309,-1,1)</f>
        <v>3</v>
      </c>
      <c r="H309" s="22" t="s">
        <v>2389</v>
      </c>
      <c r="T309" s="353" t="b" cm="1">
        <f t="array" ref="T309">T308</f>
        <v>1</v>
      </c>
      <c r="X309" s="1022"/>
      <c r="Z309" s="1023"/>
      <c r="AB309" s="516" t="s">
        <v>2390</v>
      </c>
      <c r="AC309" s="404" t="s">
        <v>1976</v>
      </c>
      <c r="AD309" s="402" t="s">
        <v>828</v>
      </c>
      <c r="AE309" s="142"/>
      <c r="AH309" s="696" t="s">
        <v>1977</v>
      </c>
    </row>
    <row r="310" spans="5:34" ht="21.75" customHeight="1" x14ac:dyDescent="0.15">
      <c r="E310" s="449">
        <v>22.5</v>
      </c>
      <c r="F310" s="3" t="str" cm="1">
        <f t="array" aca="1" ref="F310" ca="1">OFFSET(E310,-1,1)</f>
        <v>3</v>
      </c>
      <c r="H310" s="22" t="s">
        <v>2391</v>
      </c>
      <c r="T310" s="353" t="b" cm="1">
        <f t="array" ref="T310">T309</f>
        <v>1</v>
      </c>
      <c r="X310" s="1022"/>
      <c r="Z310" s="1023"/>
      <c r="AB310" s="516" t="s">
        <v>2392</v>
      </c>
      <c r="AC310" s="404" t="s">
        <v>2393</v>
      </c>
      <c r="AD310" s="402" t="s">
        <v>828</v>
      </c>
      <c r="AE310" s="142"/>
      <c r="AH310" s="696" t="s">
        <v>1981</v>
      </c>
    </row>
    <row r="311" spans="5:34" ht="54.75" customHeight="1" x14ac:dyDescent="0.15">
      <c r="E311" s="449">
        <v>56.25</v>
      </c>
      <c r="F311" s="3" t="str" cm="1">
        <f t="array" aca="1" ref="F311" ca="1">OFFSET(E311,-1,1)</f>
        <v>3</v>
      </c>
      <c r="H311" s="22" t="s">
        <v>2394</v>
      </c>
      <c r="T311" s="353" t="b" cm="1">
        <f t="array" ref="T311">T310</f>
        <v>1</v>
      </c>
      <c r="X311" s="1022"/>
      <c r="Z311" s="1023"/>
      <c r="AB311" s="516" t="s">
        <v>2395</v>
      </c>
      <c r="AC311" s="404" t="s">
        <v>1984</v>
      </c>
      <c r="AD311" s="402" t="s">
        <v>828</v>
      </c>
      <c r="AE311" s="142"/>
      <c r="AH311" s="696" t="s">
        <v>1798</v>
      </c>
    </row>
    <row r="312" spans="5:34" ht="14.25" customHeight="1" x14ac:dyDescent="0.15">
      <c r="E312" s="449">
        <v>15</v>
      </c>
      <c r="F312" s="3" t="str" cm="1">
        <f t="array" aca="1" ref="F312" ca="1">OFFSET(E312,-1,1)</f>
        <v>3</v>
      </c>
      <c r="H312" s="22" t="s">
        <v>2396</v>
      </c>
      <c r="T312" s="353" t="b" cm="1">
        <f t="array" ref="T312">T311</f>
        <v>1</v>
      </c>
      <c r="X312" s="1022"/>
      <c r="Z312" s="1023"/>
      <c r="AB312" s="516" t="s">
        <v>2397</v>
      </c>
      <c r="AC312" s="404" t="s">
        <v>1801</v>
      </c>
      <c r="AD312" s="402" t="s">
        <v>828</v>
      </c>
      <c r="AE312" s="142"/>
      <c r="AH312" s="696" t="s">
        <v>1802</v>
      </c>
    </row>
    <row r="313" spans="5:34" ht="14.25" customHeight="1" x14ac:dyDescent="0.15">
      <c r="E313" s="449">
        <v>15</v>
      </c>
      <c r="F313" s="3" t="str" cm="1">
        <f t="array" aca="1" ref="F313" ca="1">OFFSET(E313,-1,1)</f>
        <v>3</v>
      </c>
      <c r="H313" s="22" t="s">
        <v>2398</v>
      </c>
      <c r="T313" s="353" t="b" cm="1">
        <f t="array" ref="T313">T312</f>
        <v>1</v>
      </c>
      <c r="X313" s="1022"/>
      <c r="Z313" s="1023"/>
      <c r="AB313" s="516" t="s">
        <v>2399</v>
      </c>
      <c r="AC313" s="404" t="s">
        <v>1252</v>
      </c>
      <c r="AD313" s="402" t="s">
        <v>828</v>
      </c>
      <c r="AE313" s="142"/>
      <c r="AH313" s="696" t="s">
        <v>1786</v>
      </c>
    </row>
    <row r="314" spans="5:34" ht="14.25" customHeight="1" x14ac:dyDescent="0.25">
      <c r="E314" s="449">
        <v>15</v>
      </c>
      <c r="F314" s="3" t="str" cm="1">
        <f t="array" aca="1" ref="F314" ca="1">OFFSET(E314,-1,1)</f>
        <v>3</v>
      </c>
      <c r="H314" s="22" t="s">
        <v>486</v>
      </c>
      <c r="T314" s="353" t="b" cm="1">
        <f t="array" ref="T314">T313</f>
        <v>1</v>
      </c>
      <c r="X314" s="1022"/>
      <c r="Z314" s="1023"/>
      <c r="AB314" s="516" t="s">
        <v>942</v>
      </c>
      <c r="AC314" s="401" t="s">
        <v>2400</v>
      </c>
      <c r="AD314" s="402" t="s">
        <v>828</v>
      </c>
      <c r="AE314" s="406">
        <f>AE315+AE316+AE317</f>
        <v>0</v>
      </c>
      <c r="AH314" s="695" t="s">
        <v>1807</v>
      </c>
    </row>
    <row r="315" spans="5:34" ht="14.25" customHeight="1" x14ac:dyDescent="0.25">
      <c r="E315" s="449">
        <v>15</v>
      </c>
      <c r="F315" s="3" t="str" cm="1">
        <f t="array" aca="1" ref="F315" ca="1">OFFSET(E315,-1,1)</f>
        <v>3</v>
      </c>
      <c r="H315" s="22" t="s">
        <v>1344</v>
      </c>
      <c r="T315" s="353" t="b" cm="1">
        <f t="array" ref="T315">T314</f>
        <v>1</v>
      </c>
      <c r="X315" s="1022"/>
      <c r="Z315" s="1023"/>
      <c r="AB315" s="516" t="s">
        <v>1345</v>
      </c>
      <c r="AC315" s="403" t="s">
        <v>2401</v>
      </c>
      <c r="AD315" s="402" t="s">
        <v>828</v>
      </c>
      <c r="AE315" s="142"/>
      <c r="AH315" s="694" t="s">
        <v>1809</v>
      </c>
    </row>
    <row r="316" spans="5:34" ht="14.25" customHeight="1" x14ac:dyDescent="0.15">
      <c r="E316" s="449">
        <v>15</v>
      </c>
      <c r="F316" s="3" t="str" cm="1">
        <f t="array" aca="1" ref="F316" ca="1">OFFSET(E316,-1,1)</f>
        <v>3</v>
      </c>
      <c r="H316" s="22" t="s">
        <v>1347</v>
      </c>
      <c r="T316" s="353" t="b" cm="1">
        <f t="array" ref="T316">T315</f>
        <v>1</v>
      </c>
      <c r="X316" s="1022"/>
      <c r="Z316" s="1023"/>
      <c r="AB316" s="516" t="s">
        <v>1348</v>
      </c>
      <c r="AC316" s="403" t="s">
        <v>2402</v>
      </c>
      <c r="AD316" s="402" t="s">
        <v>828</v>
      </c>
      <c r="AE316" s="142"/>
      <c r="AH316" s="696" t="s">
        <v>1992</v>
      </c>
    </row>
    <row r="317" spans="5:34" ht="21.75" customHeight="1" x14ac:dyDescent="0.25">
      <c r="E317" s="449">
        <v>22.5</v>
      </c>
      <c r="F317" s="3" t="str" cm="1">
        <f t="array" aca="1" ref="F317" ca="1">OFFSET(E317,-1,1)</f>
        <v>3</v>
      </c>
      <c r="H317" s="22" t="s">
        <v>1351</v>
      </c>
      <c r="T317" s="353" t="b" cm="1">
        <f t="array" ref="T317">T316</f>
        <v>1</v>
      </c>
      <c r="X317" s="1022"/>
      <c r="Z317" s="1023"/>
      <c r="AB317" s="516" t="s">
        <v>1352</v>
      </c>
      <c r="AC317" s="403" t="s">
        <v>2403</v>
      </c>
      <c r="AD317" s="402" t="s">
        <v>828</v>
      </c>
      <c r="AE317" s="406">
        <f>AE318+AE321</f>
        <v>0</v>
      </c>
      <c r="AH317" s="694" t="s">
        <v>1811</v>
      </c>
    </row>
    <row r="318" spans="5:34" ht="14.25" customHeight="1" x14ac:dyDescent="0.25">
      <c r="E318" s="449">
        <v>15</v>
      </c>
      <c r="F318" s="3" t="str" cm="1">
        <f t="array" aca="1" ref="F318" ca="1">OFFSET(E318,-1,1)</f>
        <v>3</v>
      </c>
      <c r="H318" s="22" t="s">
        <v>1495</v>
      </c>
      <c r="T318" s="353" t="b" cm="1">
        <f t="array" ref="T318">T317</f>
        <v>1</v>
      </c>
      <c r="X318" s="1022"/>
      <c r="Z318" s="1023"/>
      <c r="AB318" s="516" t="s">
        <v>1961</v>
      </c>
      <c r="AC318" s="404" t="s">
        <v>1813</v>
      </c>
      <c r="AD318" s="402" t="s">
        <v>828</v>
      </c>
      <c r="AE318" s="142"/>
      <c r="AH318" s="694" t="s">
        <v>1814</v>
      </c>
    </row>
    <row r="319" spans="5:34" ht="14.25" customHeight="1" x14ac:dyDescent="0.15">
      <c r="E319" s="449">
        <v>15</v>
      </c>
      <c r="F319" s="3" t="str" cm="1">
        <f t="array" aca="1" ref="F319" ca="1">OFFSET(E319,-1,1)</f>
        <v>3</v>
      </c>
      <c r="H319" s="22" t="s">
        <v>2404</v>
      </c>
      <c r="T319" s="353" t="b" cm="1">
        <f t="array" ref="T319">T318</f>
        <v>1</v>
      </c>
      <c r="X319" s="1022"/>
      <c r="Z319" s="1023"/>
      <c r="AB319" s="516" t="s">
        <v>2405</v>
      </c>
      <c r="AC319" s="405" t="s">
        <v>2406</v>
      </c>
      <c r="AD319" s="402" t="s">
        <v>2369</v>
      </c>
      <c r="AE319" s="142"/>
      <c r="AH319" s="655" t="s">
        <v>2407</v>
      </c>
    </row>
    <row r="320" spans="5:34" ht="14.25" customHeight="1" x14ac:dyDescent="0.15">
      <c r="E320" s="449">
        <v>15</v>
      </c>
      <c r="F320" s="3" t="str" cm="1">
        <f t="array" aca="1" ref="F320" ca="1">OFFSET(E320,-1,1)</f>
        <v>3</v>
      </c>
      <c r="H320" s="22" t="s">
        <v>2408</v>
      </c>
      <c r="T320" s="353" t="b" cm="1">
        <f t="array" ref="T320">T319</f>
        <v>1</v>
      </c>
      <c r="X320" s="1022"/>
      <c r="Z320" s="1023"/>
      <c r="AB320" s="516" t="s">
        <v>2409</v>
      </c>
      <c r="AC320" s="405" t="s">
        <v>2410</v>
      </c>
      <c r="AD320" s="402" t="s">
        <v>2374</v>
      </c>
      <c r="AE320" s="142"/>
      <c r="AH320" s="655" t="s">
        <v>2411</v>
      </c>
    </row>
    <row r="321" spans="5:34" ht="21.75" customHeight="1" x14ac:dyDescent="0.25">
      <c r="E321" s="449">
        <v>22.5</v>
      </c>
      <c r="F321" s="3" t="str" cm="1">
        <f t="array" aca="1" ref="F321" ca="1">OFFSET(E321,-1,1)</f>
        <v>3</v>
      </c>
      <c r="H321" s="22" t="s">
        <v>1499</v>
      </c>
      <c r="T321" s="353" t="b" cm="1">
        <f t="array" ref="T321">T320</f>
        <v>1</v>
      </c>
      <c r="X321" s="1022"/>
      <c r="Z321" s="1023"/>
      <c r="AB321" s="516" t="s">
        <v>1962</v>
      </c>
      <c r="AC321" s="404" t="s">
        <v>1998</v>
      </c>
      <c r="AD321" s="402" t="s">
        <v>828</v>
      </c>
      <c r="AE321" s="142"/>
      <c r="AH321" s="694" t="s">
        <v>1817</v>
      </c>
    </row>
    <row r="322" spans="5:34" ht="14.25" customHeight="1" x14ac:dyDescent="0.25">
      <c r="E322" s="449">
        <v>15</v>
      </c>
      <c r="F322" s="3" t="str" cm="1">
        <f t="array" aca="1" ref="F322" ca="1">OFFSET(E322,-1,1)</f>
        <v>3</v>
      </c>
      <c r="H322" s="22" t="s">
        <v>489</v>
      </c>
      <c r="T322" s="353" t="b" cm="1">
        <f t="array" ref="T322">T321</f>
        <v>1</v>
      </c>
      <c r="X322" s="1022"/>
      <c r="Z322" s="1023"/>
      <c r="AB322" s="516" t="s">
        <v>945</v>
      </c>
      <c r="AC322" s="401" t="s">
        <v>1999</v>
      </c>
      <c r="AD322" s="402" t="s">
        <v>828</v>
      </c>
      <c r="AE322" s="406">
        <f>AE323+AE329+AE334+AE335+AE336+AE337+AE338</f>
        <v>0</v>
      </c>
      <c r="AH322" s="695" t="s">
        <v>1819</v>
      </c>
    </row>
    <row r="323" spans="5:34" ht="21.75" customHeight="1" x14ac:dyDescent="0.25">
      <c r="E323" s="449">
        <v>22.5</v>
      </c>
      <c r="F323" s="3" t="str" cm="1">
        <f t="array" aca="1" ref="F323" ca="1">OFFSET(E323,-1,1)</f>
        <v>3</v>
      </c>
      <c r="H323" s="22" t="s">
        <v>1357</v>
      </c>
      <c r="T323" s="353" t="b" cm="1">
        <f t="array" ref="T323">T322</f>
        <v>1</v>
      </c>
      <c r="X323" s="1022"/>
      <c r="Z323" s="1023"/>
      <c r="AB323" s="516" t="s">
        <v>1358</v>
      </c>
      <c r="AC323" s="403" t="s">
        <v>1820</v>
      </c>
      <c r="AD323" s="402" t="s">
        <v>828</v>
      </c>
      <c r="AE323" s="406">
        <f>SUM(AE324:AE328)</f>
        <v>0</v>
      </c>
      <c r="AH323" s="694" t="s">
        <v>1205</v>
      </c>
    </row>
    <row r="324" spans="5:34" ht="14.25" customHeight="1" x14ac:dyDescent="0.15">
      <c r="E324" s="449">
        <v>15</v>
      </c>
      <c r="F324" s="3" t="str" cm="1">
        <f t="array" aca="1" ref="F324" ca="1">OFFSET(E324,-1,1)</f>
        <v>3</v>
      </c>
      <c r="H324" s="22" t="s">
        <v>2412</v>
      </c>
      <c r="T324" s="353" t="b" cm="1">
        <f t="array" ref="T324">T323</f>
        <v>1</v>
      </c>
      <c r="X324" s="1022"/>
      <c r="Z324" s="1023"/>
      <c r="AB324" s="516" t="s">
        <v>2413</v>
      </c>
      <c r="AC324" s="404" t="s">
        <v>1207</v>
      </c>
      <c r="AD324" s="402" t="s">
        <v>828</v>
      </c>
      <c r="AE324" s="142"/>
      <c r="AH324" s="696" t="s">
        <v>1208</v>
      </c>
    </row>
    <row r="325" spans="5:34" ht="14.25" customHeight="1" x14ac:dyDescent="0.15">
      <c r="E325" s="449">
        <v>15</v>
      </c>
      <c r="F325" s="3" t="str" cm="1">
        <f t="array" aca="1" ref="F325" ca="1">OFFSET(E325,-1,1)</f>
        <v>3</v>
      </c>
      <c r="H325" s="22" t="s">
        <v>2414</v>
      </c>
      <c r="T325" s="353" t="b" cm="1">
        <f t="array" ref="T325">T324</f>
        <v>1</v>
      </c>
      <c r="X325" s="1022"/>
      <c r="Z325" s="1023"/>
      <c r="AB325" s="516" t="s">
        <v>2415</v>
      </c>
      <c r="AC325" s="404" t="s">
        <v>1210</v>
      </c>
      <c r="AD325" s="402" t="s">
        <v>828</v>
      </c>
      <c r="AE325" s="142"/>
      <c r="AH325" s="696" t="s">
        <v>1211</v>
      </c>
    </row>
    <row r="326" spans="5:34" ht="14.25" customHeight="1" x14ac:dyDescent="0.15">
      <c r="E326" s="449">
        <v>15</v>
      </c>
      <c r="F326" s="3" t="str" cm="1">
        <f t="array" aca="1" ref="F326" ca="1">OFFSET(E326,-1,1)</f>
        <v>3</v>
      </c>
      <c r="H326" s="22" t="s">
        <v>2416</v>
      </c>
      <c r="T326" s="353" t="b" cm="1">
        <f t="array" ref="T326">T325</f>
        <v>1</v>
      </c>
      <c r="X326" s="1022"/>
      <c r="Z326" s="1023"/>
      <c r="AB326" s="516" t="s">
        <v>2417</v>
      </c>
      <c r="AC326" s="404" t="s">
        <v>1213</v>
      </c>
      <c r="AD326" s="402" t="s">
        <v>828</v>
      </c>
      <c r="AE326" s="142"/>
      <c r="AH326" s="696" t="s">
        <v>1214</v>
      </c>
    </row>
    <row r="327" spans="5:34" ht="14.25" customHeight="1" x14ac:dyDescent="0.15">
      <c r="E327" s="449">
        <v>15</v>
      </c>
      <c r="F327" s="3" t="str" cm="1">
        <f t="array" aca="1" ref="F327" ca="1">OFFSET(E327,-1,1)</f>
        <v>3</v>
      </c>
      <c r="H327" s="22" t="s">
        <v>2418</v>
      </c>
      <c r="T327" s="353" t="b" cm="1">
        <f t="array" ref="T327">T326</f>
        <v>1</v>
      </c>
      <c r="X327" s="1022"/>
      <c r="Z327" s="1023"/>
      <c r="AB327" s="516" t="s">
        <v>2419</v>
      </c>
      <c r="AC327" s="404" t="s">
        <v>1216</v>
      </c>
      <c r="AD327" s="402" t="s">
        <v>828</v>
      </c>
      <c r="AE327" s="142"/>
      <c r="AH327" s="696" t="s">
        <v>1217</v>
      </c>
    </row>
    <row r="328" spans="5:34" ht="14.25" customHeight="1" x14ac:dyDescent="0.15">
      <c r="E328" s="449">
        <v>15</v>
      </c>
      <c r="F328" s="3" t="str" cm="1">
        <f t="array" aca="1" ref="F328" ca="1">OFFSET(E328,-1,1)</f>
        <v>3</v>
      </c>
      <c r="H328" s="22" t="s">
        <v>2420</v>
      </c>
      <c r="T328" s="353" t="b" cm="1">
        <f t="array" ref="T328">T327</f>
        <v>1</v>
      </c>
      <c r="X328" s="1022"/>
      <c r="Z328" s="1023"/>
      <c r="AB328" s="516" t="s">
        <v>2421</v>
      </c>
      <c r="AC328" s="404" t="s">
        <v>1224</v>
      </c>
      <c r="AD328" s="402" t="s">
        <v>828</v>
      </c>
      <c r="AE328" s="142"/>
      <c r="AH328" s="696" t="s">
        <v>1225</v>
      </c>
    </row>
    <row r="329" spans="5:34" ht="32.25" customHeight="1" x14ac:dyDescent="0.25">
      <c r="E329" s="449">
        <v>33.75</v>
      </c>
      <c r="F329" s="3" t="str" cm="1">
        <f t="array" aca="1" ref="F329" ca="1">OFFSET(E329,-1,1)</f>
        <v>3</v>
      </c>
      <c r="H329" s="22" t="s">
        <v>1361</v>
      </c>
      <c r="T329" s="353" t="b" cm="1">
        <f t="array" ref="T329">T328</f>
        <v>1</v>
      </c>
      <c r="X329" s="1022"/>
      <c r="Z329" s="1023"/>
      <c r="AB329" s="516" t="s">
        <v>1362</v>
      </c>
      <c r="AC329" s="403" t="s">
        <v>2422</v>
      </c>
      <c r="AD329" s="402" t="s">
        <v>828</v>
      </c>
      <c r="AE329" s="406">
        <f>AE330+AE333</f>
        <v>0</v>
      </c>
      <c r="AH329" s="694" t="s">
        <v>1822</v>
      </c>
    </row>
    <row r="330" spans="5:34" ht="21.75" customHeight="1" x14ac:dyDescent="0.25">
      <c r="E330" s="449">
        <v>22.5</v>
      </c>
      <c r="F330" s="3" t="str" cm="1">
        <f t="array" aca="1" ref="F330" ca="1">OFFSET(E330,-1,1)</f>
        <v>3</v>
      </c>
      <c r="H330" s="22" t="s">
        <v>2423</v>
      </c>
      <c r="T330" s="353" t="b" cm="1">
        <f t="array" ref="T330">T329</f>
        <v>1</v>
      </c>
      <c r="X330" s="1022"/>
      <c r="Z330" s="1023"/>
      <c r="AB330" s="516" t="s">
        <v>2424</v>
      </c>
      <c r="AC330" s="404" t="s">
        <v>1823</v>
      </c>
      <c r="AD330" s="402" t="s">
        <v>828</v>
      </c>
      <c r="AE330" s="142"/>
      <c r="AH330" s="694" t="s">
        <v>1202</v>
      </c>
    </row>
    <row r="331" spans="5:34" ht="14.25" customHeight="1" x14ac:dyDescent="0.15">
      <c r="E331" s="449">
        <v>15</v>
      </c>
      <c r="F331" s="3" t="str" cm="1">
        <f t="array" aca="1" ref="F331" ca="1">OFFSET(E331,-1,1)</f>
        <v>3</v>
      </c>
      <c r="H331" s="22" t="s">
        <v>2425</v>
      </c>
      <c r="T331" s="353" t="b" cm="1">
        <f t="array" ref="T331">T330</f>
        <v>1</v>
      </c>
      <c r="X331" s="1022"/>
      <c r="Z331" s="1023"/>
      <c r="AB331" s="516" t="s">
        <v>2426</v>
      </c>
      <c r="AC331" s="405" t="s">
        <v>2427</v>
      </c>
      <c r="AD331" s="402" t="s">
        <v>2369</v>
      </c>
      <c r="AE331" s="142"/>
      <c r="AH331" s="655" t="s">
        <v>2428</v>
      </c>
    </row>
    <row r="332" spans="5:34" ht="21.75" customHeight="1" x14ac:dyDescent="0.15">
      <c r="E332" s="449">
        <v>22.5</v>
      </c>
      <c r="F332" s="3" t="str" cm="1">
        <f t="array" aca="1" ref="F332" ca="1">OFFSET(E332,-1,1)</f>
        <v>3</v>
      </c>
      <c r="H332" s="22" t="s">
        <v>2429</v>
      </c>
      <c r="T332" s="353" t="b" cm="1">
        <f t="array" ref="T332">T331</f>
        <v>1</v>
      </c>
      <c r="X332" s="1022"/>
      <c r="Z332" s="1023"/>
      <c r="AB332" s="516" t="s">
        <v>2430</v>
      </c>
      <c r="AC332" s="405" t="s">
        <v>2431</v>
      </c>
      <c r="AD332" s="402" t="s">
        <v>2374</v>
      </c>
      <c r="AE332" s="142"/>
      <c r="AH332" s="655" t="s">
        <v>2432</v>
      </c>
    </row>
    <row r="333" spans="5:34" ht="21.75" customHeight="1" x14ac:dyDescent="0.25">
      <c r="E333" s="449">
        <v>22.5</v>
      </c>
      <c r="F333" s="3" t="str" cm="1">
        <f t="array" aca="1" ref="F333" ca="1">OFFSET(E333,-1,1)</f>
        <v>3</v>
      </c>
      <c r="H333" s="22" t="s">
        <v>2433</v>
      </c>
      <c r="T333" s="353" t="b" cm="1">
        <f t="array" ref="T333">T332</f>
        <v>1</v>
      </c>
      <c r="X333" s="1022"/>
      <c r="Z333" s="1023"/>
      <c r="AB333" s="516" t="s">
        <v>2434</v>
      </c>
      <c r="AC333" s="404" t="s">
        <v>2022</v>
      </c>
      <c r="AD333" s="402" t="s">
        <v>828</v>
      </c>
      <c r="AE333" s="142"/>
      <c r="AH333" s="694" t="s">
        <v>1825</v>
      </c>
    </row>
    <row r="334" spans="5:34" ht="21.75" customHeight="1" x14ac:dyDescent="0.25">
      <c r="E334" s="449">
        <v>22.5</v>
      </c>
      <c r="F334" s="3" t="str" cm="1">
        <f t="array" aca="1" ref="F334" ca="1">OFFSET(E334,-1,1)</f>
        <v>3</v>
      </c>
      <c r="H334" s="22" t="s">
        <v>1365</v>
      </c>
      <c r="T334" s="353" t="b" cm="1">
        <f t="array" ref="T334">T333</f>
        <v>1</v>
      </c>
      <c r="X334" s="1022"/>
      <c r="Z334" s="1023"/>
      <c r="AB334" s="516" t="s">
        <v>1366</v>
      </c>
      <c r="AC334" s="403" t="s">
        <v>2435</v>
      </c>
      <c r="AD334" s="402" t="s">
        <v>828</v>
      </c>
      <c r="AE334" s="142"/>
      <c r="AH334" s="694" t="s">
        <v>1233</v>
      </c>
    </row>
    <row r="335" spans="5:34" ht="14.25" customHeight="1" x14ac:dyDescent="0.25">
      <c r="E335" s="449">
        <v>15</v>
      </c>
      <c r="F335" s="3" t="str" cm="1">
        <f t="array" aca="1" ref="F335" ca="1">OFFSET(E335,-1,1)</f>
        <v>3</v>
      </c>
      <c r="H335" s="22" t="s">
        <v>2436</v>
      </c>
      <c r="T335" s="353" t="b" cm="1">
        <f t="array" ref="T335">T334</f>
        <v>1</v>
      </c>
      <c r="X335" s="1022"/>
      <c r="Z335" s="1023"/>
      <c r="AB335" s="516" t="s">
        <v>2437</v>
      </c>
      <c r="AC335" s="403" t="s">
        <v>1235</v>
      </c>
      <c r="AD335" s="402" t="s">
        <v>828</v>
      </c>
      <c r="AE335" s="142"/>
      <c r="AH335" s="694" t="s">
        <v>1236</v>
      </c>
    </row>
    <row r="336" spans="5:34" ht="14.25" customHeight="1" x14ac:dyDescent="0.25">
      <c r="E336" s="449">
        <v>15</v>
      </c>
      <c r="F336" s="3" t="str" cm="1">
        <f t="array" aca="1" ref="F336" ca="1">OFFSET(E336,-1,1)</f>
        <v>3</v>
      </c>
      <c r="H336" s="22" t="s">
        <v>2438</v>
      </c>
      <c r="T336" s="353" t="b" cm="1">
        <f t="array" ref="T336">T335</f>
        <v>1</v>
      </c>
      <c r="X336" s="1022"/>
      <c r="Z336" s="1023"/>
      <c r="AB336" s="516" t="s">
        <v>2439</v>
      </c>
      <c r="AC336" s="403" t="s">
        <v>1238</v>
      </c>
      <c r="AD336" s="402" t="s">
        <v>828</v>
      </c>
      <c r="AE336" s="142"/>
      <c r="AH336" s="694" t="s">
        <v>1239</v>
      </c>
    </row>
    <row r="337" spans="1:38" ht="21.75" customHeight="1" x14ac:dyDescent="0.25">
      <c r="E337" s="449">
        <v>22.5</v>
      </c>
      <c r="F337" s="3" t="str" cm="1">
        <f t="array" aca="1" ref="F337" ca="1">OFFSET(E337,-1,1)</f>
        <v>3</v>
      </c>
      <c r="H337" s="22" t="s">
        <v>2440</v>
      </c>
      <c r="T337" s="353" t="b" cm="1">
        <f t="array" ref="T337">T336</f>
        <v>1</v>
      </c>
      <c r="X337" s="1022"/>
      <c r="Z337" s="1023"/>
      <c r="AB337" s="516" t="s">
        <v>2441</v>
      </c>
      <c r="AC337" s="403" t="s">
        <v>2442</v>
      </c>
      <c r="AD337" s="402" t="s">
        <v>828</v>
      </c>
      <c r="AE337" s="142"/>
      <c r="AH337" s="694" t="s">
        <v>1827</v>
      </c>
    </row>
    <row r="338" spans="1:38" ht="14.25" customHeight="1" x14ac:dyDescent="0.25">
      <c r="E338" s="449">
        <v>15</v>
      </c>
      <c r="F338" s="3" t="str" cm="1">
        <f t="array" aca="1" ref="F338" ca="1">OFFSET(E338,-1,1)</f>
        <v>3</v>
      </c>
      <c r="H338" s="22" t="s">
        <v>2443</v>
      </c>
      <c r="T338" s="353" t="b" cm="1">
        <f t="array" ref="T338">T337</f>
        <v>1</v>
      </c>
      <c r="X338" s="1022"/>
      <c r="Z338" s="1023"/>
      <c r="AB338" s="516" t="s">
        <v>2444</v>
      </c>
      <c r="AC338" s="403" t="s">
        <v>2445</v>
      </c>
      <c r="AD338" s="402" t="s">
        <v>828</v>
      </c>
      <c r="AE338" s="406">
        <f>AE339+AE340+AE341</f>
        <v>0</v>
      </c>
      <c r="AH338" s="694" t="s">
        <v>1829</v>
      </c>
    </row>
    <row r="339" spans="1:38" ht="14.25" customHeight="1" x14ac:dyDescent="0.25">
      <c r="E339" s="449">
        <v>15</v>
      </c>
      <c r="F339" s="3" t="str" cm="1">
        <f t="array" aca="1" ref="F339" ca="1">OFFSET(E339,-1,1)</f>
        <v>3</v>
      </c>
      <c r="H339" s="22" t="s">
        <v>2446</v>
      </c>
      <c r="T339" s="353" t="b" cm="1">
        <f t="array" ref="T339">T338</f>
        <v>1</v>
      </c>
      <c r="X339" s="1022"/>
      <c r="Z339" s="1023"/>
      <c r="AB339" s="516" t="s">
        <v>2447</v>
      </c>
      <c r="AC339" s="404" t="s">
        <v>2448</v>
      </c>
      <c r="AD339" s="402" t="s">
        <v>828</v>
      </c>
      <c r="AE339" s="142"/>
      <c r="AH339" s="694" t="s">
        <v>1833</v>
      </c>
    </row>
    <row r="340" spans="1:38" ht="14.25" customHeight="1" x14ac:dyDescent="0.25">
      <c r="E340" s="449">
        <v>15</v>
      </c>
      <c r="F340" s="3" t="str" cm="1">
        <f t="array" aca="1" ref="F340" ca="1">OFFSET(E340,-1,1)</f>
        <v>3</v>
      </c>
      <c r="H340" s="22" t="s">
        <v>2449</v>
      </c>
      <c r="T340" s="353" t="b" cm="1">
        <f t="array" ref="T340">T339</f>
        <v>1</v>
      </c>
      <c r="X340" s="1022"/>
      <c r="Z340" s="1023"/>
      <c r="AB340" s="516" t="s">
        <v>2450</v>
      </c>
      <c r="AC340" s="404" t="s">
        <v>2451</v>
      </c>
      <c r="AD340" s="402" t="s">
        <v>828</v>
      </c>
      <c r="AE340" s="142"/>
      <c r="AH340" s="694" t="s">
        <v>1836</v>
      </c>
    </row>
    <row r="341" spans="1:38" ht="14.25" customHeight="1" x14ac:dyDescent="0.25">
      <c r="E341" s="449">
        <v>15</v>
      </c>
      <c r="F341" s="3" t="str" cm="1">
        <f t="array" aca="1" ref="F341" ca="1">OFFSET(E341,-1,1)</f>
        <v>3</v>
      </c>
      <c r="H341" s="22" t="s">
        <v>2452</v>
      </c>
      <c r="T341" s="353" t="b" cm="1">
        <f t="array" ref="T341">T340</f>
        <v>1</v>
      </c>
      <c r="X341" s="1022"/>
      <c r="Z341" s="1023"/>
      <c r="AB341" s="516" t="s">
        <v>2453</v>
      </c>
      <c r="AC341" s="404" t="s">
        <v>1252</v>
      </c>
      <c r="AD341" s="402" t="s">
        <v>828</v>
      </c>
      <c r="AE341" s="142"/>
      <c r="AH341" s="694" t="s">
        <v>1839</v>
      </c>
    </row>
    <row r="342" spans="1:38" ht="14.25" customHeight="1" x14ac:dyDescent="0.15">
      <c r="E342" s="449">
        <v>15</v>
      </c>
      <c r="F342" s="3" t="str" cm="1">
        <f t="array" aca="1" ref="F342" ca="1">OFFSET(E342,-1,1)</f>
        <v>3</v>
      </c>
      <c r="H342" s="22" t="s">
        <v>493</v>
      </c>
      <c r="T342" s="353" t="b" cm="1">
        <f t="array" ref="T342">T341</f>
        <v>1</v>
      </c>
      <c r="X342" s="1022"/>
      <c r="Z342" s="1023"/>
      <c r="AB342" s="516" t="s">
        <v>948</v>
      </c>
      <c r="AC342" s="401" t="s">
        <v>2454</v>
      </c>
      <c r="AD342" s="402" t="s">
        <v>828</v>
      </c>
      <c r="AE342" s="406">
        <f>SUM(AE343:AE344)</f>
        <v>0</v>
      </c>
      <c r="AH342" s="696" t="s">
        <v>2455</v>
      </c>
    </row>
    <row r="343" spans="1:38" ht="14.25" hidden="1" customHeight="1" x14ac:dyDescent="0.15">
      <c r="E343" s="449">
        <v>15</v>
      </c>
      <c r="F343" s="3" t="str" cm="1">
        <f t="array" aca="1" ref="F343" ca="1">OFFSET(E343,-1,1)</f>
        <v>3</v>
      </c>
      <c r="H343" s="22" t="s">
        <v>493</v>
      </c>
      <c r="I343" s="410" cm="1">
        <f t="array" ref="I343">AC343</f>
        <v>0</v>
      </c>
      <c r="T343" s="353" t="b">
        <f ca="1">AND(F343&gt;0,Y343&gt;0)</f>
        <v>0</v>
      </c>
      <c r="W343" s="17" t="s">
        <v>172</v>
      </c>
      <c r="X343" s="1022"/>
      <c r="Y343" s="22">
        <v>0</v>
      </c>
      <c r="Z343" s="1023"/>
      <c r="AA343" s="482" t="s">
        <v>173</v>
      </c>
      <c r="AB343" s="516" t="str">
        <f>"1.4."&amp;Y343</f>
        <v>1.4.0</v>
      </c>
      <c r="AC343" s="888"/>
      <c r="AD343" s="402" t="s">
        <v>828</v>
      </c>
      <c r="AE343" s="854"/>
      <c r="AH343" s="696" t="s">
        <v>2455</v>
      </c>
      <c r="AI343" s="655" t="s">
        <v>2456</v>
      </c>
      <c r="AJ343" s="655" cm="1">
        <f t="array" ref="AJ343">AC343</f>
        <v>0</v>
      </c>
      <c r="AL343" s="480" t="b">
        <v>1</v>
      </c>
    </row>
    <row r="344" spans="1:38" ht="14.25" customHeight="1" x14ac:dyDescent="0.15">
      <c r="E344" s="449">
        <v>15</v>
      </c>
      <c r="F344" s="3" t="str" cm="1">
        <f t="array" aca="1" ref="F344" ca="1">OFFSET(E344,-1,1)</f>
        <v>3</v>
      </c>
      <c r="I344" s="72" t="str">
        <f>"!== 'не определено' &amp;&amp; row.l1_4 !== null"</f>
        <v>!== 'не определено' &amp;&amp; row.l1_4 !== null</v>
      </c>
      <c r="T344" s="353" t="b">
        <f ca="1">F344&gt;0</f>
        <v>1</v>
      </c>
      <c r="W344" s="506" t="s">
        <v>397</v>
      </c>
      <c r="X344" s="1022"/>
      <c r="Z344" s="1023"/>
      <c r="AB344" s="783"/>
      <c r="AC344" s="784" t="s">
        <v>176</v>
      </c>
      <c r="AD344" s="785"/>
      <c r="AE344" s="795"/>
      <c r="AK344" s="480" t="s">
        <v>2456</v>
      </c>
    </row>
    <row r="345" spans="1:38" ht="14.25" customHeight="1" x14ac:dyDescent="0.15">
      <c r="E345" s="449">
        <v>15</v>
      </c>
      <c r="F345" s="3" t="str" cm="1">
        <f t="array" aca="1" ref="F345" ca="1">OFFSET(E345,-1,1)</f>
        <v>3</v>
      </c>
      <c r="H345" s="22" t="s">
        <v>332</v>
      </c>
      <c r="T345" s="353" t="b" cm="1">
        <f t="array" aca="1" ref="T345" ca="1">T344</f>
        <v>1</v>
      </c>
      <c r="X345" s="1022"/>
      <c r="Z345" s="1023"/>
      <c r="AB345" s="515" t="s">
        <v>285</v>
      </c>
      <c r="AC345" s="399" t="s">
        <v>2047</v>
      </c>
      <c r="AD345" s="400" t="s">
        <v>828</v>
      </c>
      <c r="AE345" s="406">
        <f>AE346+AE358+AE359+AE369+AE370+AE371+AE374+AE375+AE376+AE377+AE378+AE379</f>
        <v>0</v>
      </c>
      <c r="AH345" s="655" t="s">
        <v>2457</v>
      </c>
    </row>
    <row r="346" spans="1:38" s="4" customFormat="1" ht="26.25" customHeight="1" x14ac:dyDescent="0.15">
      <c r="A346" s="487"/>
      <c r="B346" s="22"/>
      <c r="C346" s="22"/>
      <c r="D346" s="22"/>
      <c r="E346" s="449">
        <v>27</v>
      </c>
      <c r="F346" s="267" t="str" cm="1">
        <f t="array" aca="1" ref="F346" ca="1">OFFSET(E346,-1,1)</f>
        <v>3</v>
      </c>
      <c r="G346" s="22"/>
      <c r="H346" s="22"/>
      <c r="I346" s="22"/>
      <c r="J346" s="22"/>
      <c r="K346" s="22"/>
      <c r="L346" s="22"/>
      <c r="M346" s="22"/>
      <c r="N346" s="22"/>
      <c r="O346" s="22"/>
      <c r="P346" s="22"/>
      <c r="Q346" s="22"/>
      <c r="R346" s="22"/>
      <c r="S346" s="22"/>
      <c r="T346" s="353" t="b" cm="1">
        <f t="array" aca="1" ref="T346" ca="1">T345</f>
        <v>1</v>
      </c>
      <c r="U346" s="22"/>
      <c r="V346" s="22"/>
      <c r="W346" s="22"/>
      <c r="X346" s="1022"/>
      <c r="Y346" s="22"/>
      <c r="Z346" s="1023"/>
      <c r="AA346" s="22"/>
      <c r="AB346" s="516" t="s">
        <v>561</v>
      </c>
      <c r="AC346" s="786" t="s">
        <v>2049</v>
      </c>
      <c r="AD346" s="400" t="s">
        <v>828</v>
      </c>
      <c r="AE346" s="406">
        <f>SUM(AE347:AE357)</f>
        <v>0</v>
      </c>
      <c r="AF346" s="315"/>
      <c r="AG346" s="315"/>
      <c r="AH346" s="696" t="s">
        <v>1253</v>
      </c>
      <c r="AI346" s="655"/>
      <c r="AJ346" s="655"/>
      <c r="AK346" s="480"/>
      <c r="AL346" s="480"/>
    </row>
    <row r="347" spans="1:38" s="4" customFormat="1" ht="14.25" customHeight="1" x14ac:dyDescent="0.15">
      <c r="A347" s="487"/>
      <c r="B347" s="22"/>
      <c r="C347" s="22"/>
      <c r="D347" s="22"/>
      <c r="E347" s="449">
        <v>15</v>
      </c>
      <c r="F347" s="267" t="str" cm="1">
        <f t="array" aca="1" ref="F347" ca="1">OFFSET(E347,-1,1)</f>
        <v>3</v>
      </c>
      <c r="G347" s="22"/>
      <c r="H347" s="22"/>
      <c r="I347" s="22"/>
      <c r="J347" s="22"/>
      <c r="K347" s="22"/>
      <c r="L347" s="22"/>
      <c r="M347" s="22"/>
      <c r="N347" s="22"/>
      <c r="O347" s="22"/>
      <c r="P347" s="22"/>
      <c r="Q347" s="22"/>
      <c r="R347" s="22"/>
      <c r="S347" s="22"/>
      <c r="T347" s="353" t="b" cm="1">
        <f t="array" aca="1" ref="T347" ca="1">T346</f>
        <v>1</v>
      </c>
      <c r="U347" s="22"/>
      <c r="V347" s="22"/>
      <c r="W347" s="22"/>
      <c r="X347" s="1022"/>
      <c r="Y347" s="22"/>
      <c r="Z347" s="1023"/>
      <c r="AA347" s="22"/>
      <c r="AB347" s="516" t="s">
        <v>508</v>
      </c>
      <c r="AC347" s="403" t="s">
        <v>2051</v>
      </c>
      <c r="AD347" s="402" t="s">
        <v>828</v>
      </c>
      <c r="AE347" s="142"/>
      <c r="AF347" s="315"/>
      <c r="AG347" s="315"/>
      <c r="AH347" s="696" t="s">
        <v>2458</v>
      </c>
      <c r="AI347" s="655"/>
      <c r="AJ347" s="655"/>
      <c r="AK347" s="480"/>
      <c r="AL347" s="480"/>
    </row>
    <row r="348" spans="1:38" s="4" customFormat="1" ht="14.25" customHeight="1" x14ac:dyDescent="0.15">
      <c r="A348" s="487"/>
      <c r="B348" s="22"/>
      <c r="C348" s="22"/>
      <c r="D348" s="22"/>
      <c r="E348" s="449">
        <v>15</v>
      </c>
      <c r="F348" s="267" t="str" cm="1">
        <f t="array" aca="1" ref="F348" ca="1">OFFSET(E348,-1,1)</f>
        <v>3</v>
      </c>
      <c r="G348" s="22"/>
      <c r="H348" s="22"/>
      <c r="I348" s="22"/>
      <c r="J348" s="22"/>
      <c r="K348" s="22"/>
      <c r="L348" s="22"/>
      <c r="M348" s="22"/>
      <c r="N348" s="22"/>
      <c r="O348" s="22"/>
      <c r="P348" s="22"/>
      <c r="Q348" s="22"/>
      <c r="R348" s="22"/>
      <c r="S348" s="22"/>
      <c r="T348" s="353" t="b" cm="1">
        <f t="array" aca="1" ref="T348" ca="1">T347</f>
        <v>1</v>
      </c>
      <c r="U348" s="22"/>
      <c r="V348" s="22"/>
      <c r="W348" s="22"/>
      <c r="X348" s="1022"/>
      <c r="Y348" s="22"/>
      <c r="Z348" s="1023"/>
      <c r="AA348" s="22"/>
      <c r="AB348" s="516" t="s">
        <v>2052</v>
      </c>
      <c r="AC348" s="403" t="s">
        <v>2053</v>
      </c>
      <c r="AD348" s="402" t="s">
        <v>828</v>
      </c>
      <c r="AE348" s="142"/>
      <c r="AF348" s="315"/>
      <c r="AG348" s="315"/>
      <c r="AH348" s="696" t="s">
        <v>2459</v>
      </c>
      <c r="AI348" s="655"/>
      <c r="AJ348" s="655"/>
      <c r="AK348" s="480"/>
      <c r="AL348" s="480"/>
    </row>
    <row r="349" spans="1:38" s="4" customFormat="1" ht="14.25" customHeight="1" x14ac:dyDescent="0.15">
      <c r="A349" s="487"/>
      <c r="B349" s="22"/>
      <c r="C349" s="22"/>
      <c r="D349" s="22"/>
      <c r="E349" s="449">
        <v>15</v>
      </c>
      <c r="F349" s="267" t="str" cm="1">
        <f t="array" aca="1" ref="F349" ca="1">OFFSET(E349,-1,1)</f>
        <v>3</v>
      </c>
      <c r="G349" s="22"/>
      <c r="H349" s="22"/>
      <c r="I349" s="22"/>
      <c r="J349" s="22"/>
      <c r="K349" s="22"/>
      <c r="L349" s="22"/>
      <c r="M349" s="22"/>
      <c r="N349" s="22"/>
      <c r="O349" s="22"/>
      <c r="P349" s="22"/>
      <c r="Q349" s="22"/>
      <c r="R349" s="22"/>
      <c r="S349" s="22"/>
      <c r="T349" s="353" t="b" cm="1">
        <f t="array" aca="1" ref="T349" ca="1">T348</f>
        <v>1</v>
      </c>
      <c r="U349" s="22"/>
      <c r="V349" s="22"/>
      <c r="W349" s="22"/>
      <c r="X349" s="1022"/>
      <c r="Y349" s="22"/>
      <c r="Z349" s="1023"/>
      <c r="AA349" s="22"/>
      <c r="AB349" s="516" t="s">
        <v>2054</v>
      </c>
      <c r="AC349" s="403" t="s">
        <v>2055</v>
      </c>
      <c r="AD349" s="402" t="s">
        <v>828</v>
      </c>
      <c r="AE349" s="142"/>
      <c r="AF349" s="315"/>
      <c r="AG349" s="315"/>
      <c r="AH349" s="696" t="s">
        <v>2460</v>
      </c>
      <c r="AI349" s="655"/>
      <c r="AJ349" s="655"/>
      <c r="AK349" s="480"/>
      <c r="AL349" s="480"/>
    </row>
    <row r="350" spans="1:38" s="4" customFormat="1" ht="14.25" customHeight="1" x14ac:dyDescent="0.15">
      <c r="A350" s="487"/>
      <c r="B350" s="22"/>
      <c r="C350" s="22"/>
      <c r="D350" s="22"/>
      <c r="E350" s="449">
        <v>15</v>
      </c>
      <c r="F350" s="267" t="str" cm="1">
        <f t="array" aca="1" ref="F350" ca="1">OFFSET(E350,-1,1)</f>
        <v>3</v>
      </c>
      <c r="G350" s="22"/>
      <c r="H350" s="22"/>
      <c r="I350" s="22"/>
      <c r="J350" s="22"/>
      <c r="K350" s="22"/>
      <c r="L350" s="22"/>
      <c r="M350" s="22"/>
      <c r="N350" s="22"/>
      <c r="O350" s="22"/>
      <c r="P350" s="22"/>
      <c r="Q350" s="22"/>
      <c r="R350" s="22"/>
      <c r="S350" s="22"/>
      <c r="T350" s="353" t="b" cm="1">
        <f t="array" aca="1" ref="T350" ca="1">T349</f>
        <v>1</v>
      </c>
      <c r="U350" s="22"/>
      <c r="V350" s="22"/>
      <c r="W350" s="22"/>
      <c r="X350" s="1022"/>
      <c r="Y350" s="22"/>
      <c r="Z350" s="1023"/>
      <c r="AA350" s="22"/>
      <c r="AB350" s="516" t="s">
        <v>2057</v>
      </c>
      <c r="AC350" s="403" t="s">
        <v>2058</v>
      </c>
      <c r="AD350" s="402" t="s">
        <v>828</v>
      </c>
      <c r="AE350" s="142"/>
      <c r="AF350" s="315"/>
      <c r="AG350" s="315"/>
      <c r="AH350" s="696" t="s">
        <v>2461</v>
      </c>
      <c r="AI350" s="655"/>
      <c r="AJ350" s="655"/>
      <c r="AK350" s="480"/>
      <c r="AL350" s="480"/>
    </row>
    <row r="351" spans="1:38" s="4" customFormat="1" ht="14.25" customHeight="1" x14ac:dyDescent="0.15">
      <c r="A351" s="487"/>
      <c r="B351" s="22"/>
      <c r="C351" s="22"/>
      <c r="D351" s="22"/>
      <c r="E351" s="449">
        <v>15</v>
      </c>
      <c r="F351" s="267" t="str" cm="1">
        <f t="array" aca="1" ref="F351" ca="1">OFFSET(E351,-1,1)</f>
        <v>3</v>
      </c>
      <c r="G351" s="22"/>
      <c r="H351" s="22"/>
      <c r="I351" s="22"/>
      <c r="J351" s="22"/>
      <c r="K351" s="22"/>
      <c r="L351" s="22"/>
      <c r="M351" s="22"/>
      <c r="N351" s="22"/>
      <c r="O351" s="22"/>
      <c r="P351" s="22"/>
      <c r="Q351" s="22"/>
      <c r="R351" s="22"/>
      <c r="S351" s="22"/>
      <c r="T351" s="353" t="b" cm="1">
        <f t="array" aca="1" ref="T351" ca="1">T350</f>
        <v>1</v>
      </c>
      <c r="U351" s="22"/>
      <c r="V351" s="22"/>
      <c r="W351" s="22"/>
      <c r="X351" s="1022"/>
      <c r="Y351" s="22"/>
      <c r="Z351" s="1023"/>
      <c r="AA351" s="22"/>
      <c r="AB351" s="516" t="s">
        <v>2060</v>
      </c>
      <c r="AC351" s="403" t="s">
        <v>2061</v>
      </c>
      <c r="AD351" s="402" t="s">
        <v>828</v>
      </c>
      <c r="AE351" s="142"/>
      <c r="AF351" s="315"/>
      <c r="AG351" s="315"/>
      <c r="AH351" s="696" t="s">
        <v>2462</v>
      </c>
      <c r="AI351" s="655"/>
      <c r="AJ351" s="655"/>
      <c r="AK351" s="480"/>
      <c r="AL351" s="480"/>
    </row>
    <row r="352" spans="1:38" s="4" customFormat="1" ht="26.25" customHeight="1" x14ac:dyDescent="0.15">
      <c r="A352" s="487"/>
      <c r="B352" s="22"/>
      <c r="C352" s="22"/>
      <c r="D352" s="22"/>
      <c r="E352" s="449">
        <v>27</v>
      </c>
      <c r="F352" s="267" t="str" cm="1">
        <f t="array" aca="1" ref="F352" ca="1">OFFSET(E352,-1,1)</f>
        <v>3</v>
      </c>
      <c r="G352" s="22"/>
      <c r="H352" s="22"/>
      <c r="I352" s="22"/>
      <c r="J352" s="22"/>
      <c r="K352" s="22"/>
      <c r="L352" s="22"/>
      <c r="M352" s="22"/>
      <c r="N352" s="22"/>
      <c r="O352" s="22"/>
      <c r="P352" s="22"/>
      <c r="Q352" s="22"/>
      <c r="R352" s="22"/>
      <c r="S352" s="22"/>
      <c r="T352" s="353" t="b" cm="1">
        <f t="array" aca="1" ref="T352" ca="1">T351</f>
        <v>1</v>
      </c>
      <c r="U352" s="22"/>
      <c r="V352" s="22"/>
      <c r="W352" s="22"/>
      <c r="X352" s="1022"/>
      <c r="Y352" s="22"/>
      <c r="Z352" s="1023"/>
      <c r="AA352" s="22"/>
      <c r="AB352" s="516" t="s">
        <v>2063</v>
      </c>
      <c r="AC352" s="403" t="s">
        <v>2064</v>
      </c>
      <c r="AD352" s="402" t="s">
        <v>828</v>
      </c>
      <c r="AE352" s="142"/>
      <c r="AF352" s="315"/>
      <c r="AG352" s="315"/>
      <c r="AH352" s="696" t="s">
        <v>2463</v>
      </c>
      <c r="AI352" s="655"/>
      <c r="AJ352" s="655"/>
      <c r="AK352" s="480"/>
      <c r="AL352" s="480"/>
    </row>
    <row r="353" spans="1:38" s="4" customFormat="1" ht="14.25" customHeight="1" x14ac:dyDescent="0.15">
      <c r="A353" s="487"/>
      <c r="B353" s="22"/>
      <c r="C353" s="22"/>
      <c r="D353" s="22"/>
      <c r="E353" s="449">
        <v>15</v>
      </c>
      <c r="F353" s="267" t="str" cm="1">
        <f t="array" aca="1" ref="F353" ca="1">OFFSET(E353,-1,1)</f>
        <v>3</v>
      </c>
      <c r="G353" s="22"/>
      <c r="H353" s="22"/>
      <c r="I353" s="22"/>
      <c r="J353" s="22"/>
      <c r="K353" s="22"/>
      <c r="L353" s="22"/>
      <c r="M353" s="22"/>
      <c r="N353" s="22"/>
      <c r="O353" s="22"/>
      <c r="P353" s="22"/>
      <c r="Q353" s="22"/>
      <c r="R353" s="22"/>
      <c r="S353" s="22"/>
      <c r="T353" s="353" t="b" cm="1">
        <f t="array" aca="1" ref="T353" ca="1">T352</f>
        <v>1</v>
      </c>
      <c r="U353" s="22"/>
      <c r="V353" s="22"/>
      <c r="W353" s="22"/>
      <c r="X353" s="1022"/>
      <c r="Y353" s="22"/>
      <c r="Z353" s="1023"/>
      <c r="AA353" s="22"/>
      <c r="AB353" s="516" t="s">
        <v>2067</v>
      </c>
      <c r="AC353" s="403" t="s">
        <v>2068</v>
      </c>
      <c r="AD353" s="402" t="s">
        <v>828</v>
      </c>
      <c r="AE353" s="142"/>
      <c r="AF353" s="315"/>
      <c r="AG353" s="315"/>
      <c r="AH353" s="696" t="s">
        <v>2464</v>
      </c>
      <c r="AI353" s="655"/>
      <c r="AJ353" s="655"/>
      <c r="AK353" s="480"/>
      <c r="AL353" s="480"/>
    </row>
    <row r="354" spans="1:38" s="4" customFormat="1" ht="14.25" customHeight="1" x14ac:dyDescent="0.15">
      <c r="A354" s="487"/>
      <c r="B354" s="22"/>
      <c r="C354" s="22"/>
      <c r="D354" s="22"/>
      <c r="E354" s="449">
        <v>15</v>
      </c>
      <c r="F354" s="267" t="str" cm="1">
        <f t="array" aca="1" ref="F354" ca="1">OFFSET(E354,-1,1)</f>
        <v>3</v>
      </c>
      <c r="G354" s="22"/>
      <c r="H354" s="22"/>
      <c r="I354" s="22"/>
      <c r="J354" s="22"/>
      <c r="K354" s="22"/>
      <c r="L354" s="22"/>
      <c r="M354" s="22"/>
      <c r="N354" s="22"/>
      <c r="O354" s="22"/>
      <c r="P354" s="22"/>
      <c r="Q354" s="22"/>
      <c r="R354" s="22"/>
      <c r="S354" s="22"/>
      <c r="T354" s="353" t="b" cm="1">
        <f t="array" aca="1" ref="T354" ca="1">T353</f>
        <v>1</v>
      </c>
      <c r="U354" s="22"/>
      <c r="V354" s="22"/>
      <c r="W354" s="22"/>
      <c r="X354" s="1022"/>
      <c r="Y354" s="22"/>
      <c r="Z354" s="1023"/>
      <c r="AA354" s="22"/>
      <c r="AB354" s="516" t="s">
        <v>2071</v>
      </c>
      <c r="AC354" s="403" t="s">
        <v>2072</v>
      </c>
      <c r="AD354" s="402" t="s">
        <v>828</v>
      </c>
      <c r="AE354" s="142"/>
      <c r="AF354" s="315"/>
      <c r="AG354" s="315"/>
      <c r="AH354" s="696" t="s">
        <v>2465</v>
      </c>
      <c r="AI354" s="655"/>
      <c r="AJ354" s="655"/>
      <c r="AK354" s="480"/>
      <c r="AL354" s="480"/>
    </row>
    <row r="355" spans="1:38" s="4" customFormat="1" ht="14.25" customHeight="1" x14ac:dyDescent="0.15">
      <c r="A355" s="487"/>
      <c r="B355" s="22"/>
      <c r="C355" s="22"/>
      <c r="D355" s="22"/>
      <c r="E355" s="449">
        <v>15</v>
      </c>
      <c r="F355" s="267" t="str" cm="1">
        <f t="array" aca="1" ref="F355" ca="1">OFFSET(E355,-1,1)</f>
        <v>3</v>
      </c>
      <c r="G355" s="22"/>
      <c r="H355" s="22"/>
      <c r="I355" s="22"/>
      <c r="J355" s="22"/>
      <c r="K355" s="22"/>
      <c r="L355" s="22"/>
      <c r="M355" s="22"/>
      <c r="N355" s="22"/>
      <c r="O355" s="22"/>
      <c r="P355" s="22"/>
      <c r="Q355" s="22"/>
      <c r="R355" s="22"/>
      <c r="S355" s="22"/>
      <c r="T355" s="353" t="b" cm="1">
        <f t="array" aca="1" ref="T355" ca="1">T354</f>
        <v>1</v>
      </c>
      <c r="U355" s="22"/>
      <c r="V355" s="22"/>
      <c r="W355" s="22"/>
      <c r="X355" s="1022"/>
      <c r="Y355" s="22"/>
      <c r="Z355" s="1023"/>
      <c r="AA355" s="22"/>
      <c r="AB355" s="516" t="s">
        <v>2074</v>
      </c>
      <c r="AC355" s="403" t="s">
        <v>2075</v>
      </c>
      <c r="AD355" s="402" t="s">
        <v>828</v>
      </c>
      <c r="AE355" s="142"/>
      <c r="AF355" s="315"/>
      <c r="AG355" s="315"/>
      <c r="AH355" s="696" t="s">
        <v>2466</v>
      </c>
      <c r="AI355" s="655"/>
      <c r="AJ355" s="655"/>
      <c r="AK355" s="480"/>
      <c r="AL355" s="480"/>
    </row>
    <row r="356" spans="1:38" s="4" customFormat="1" ht="14.25" customHeight="1" x14ac:dyDescent="0.15">
      <c r="A356" s="487"/>
      <c r="B356" s="22"/>
      <c r="C356" s="22"/>
      <c r="D356" s="22"/>
      <c r="E356" s="449">
        <v>15</v>
      </c>
      <c r="F356" s="267" t="str" cm="1">
        <f t="array" aca="1" ref="F356" ca="1">OFFSET(E356,-1,1)</f>
        <v>3</v>
      </c>
      <c r="G356" s="22"/>
      <c r="H356" s="22"/>
      <c r="I356" s="22"/>
      <c r="J356" s="22"/>
      <c r="K356" s="22"/>
      <c r="L356" s="22"/>
      <c r="M356" s="22"/>
      <c r="N356" s="22"/>
      <c r="O356" s="22"/>
      <c r="P356" s="22"/>
      <c r="Q356" s="22"/>
      <c r="R356" s="22"/>
      <c r="S356" s="22"/>
      <c r="T356" s="353" t="b" cm="1">
        <f t="array" aca="1" ref="T356" ca="1">T355</f>
        <v>1</v>
      </c>
      <c r="U356" s="22"/>
      <c r="V356" s="22"/>
      <c r="W356" s="22"/>
      <c r="X356" s="1022"/>
      <c r="Y356" s="22"/>
      <c r="Z356" s="1023"/>
      <c r="AA356" s="22"/>
      <c r="AB356" s="516" t="s">
        <v>2077</v>
      </c>
      <c r="AC356" s="403" t="s">
        <v>2078</v>
      </c>
      <c r="AD356" s="402" t="s">
        <v>828</v>
      </c>
      <c r="AE356" s="142"/>
      <c r="AF356" s="315"/>
      <c r="AG356" s="315"/>
      <c r="AH356" s="696" t="s">
        <v>2467</v>
      </c>
      <c r="AI356" s="655"/>
      <c r="AJ356" s="655"/>
      <c r="AK356" s="480"/>
      <c r="AL356" s="480"/>
    </row>
    <row r="357" spans="1:38" s="4" customFormat="1" ht="14.25" customHeight="1" x14ac:dyDescent="0.15">
      <c r="A357" s="487"/>
      <c r="B357" s="22"/>
      <c r="C357" s="22"/>
      <c r="D357" s="22"/>
      <c r="E357" s="449">
        <v>15</v>
      </c>
      <c r="F357" s="267" t="str" cm="1">
        <f t="array" aca="1" ref="F357" ca="1">OFFSET(E357,-1,1)</f>
        <v>3</v>
      </c>
      <c r="G357" s="22"/>
      <c r="H357" s="22"/>
      <c r="I357" s="22"/>
      <c r="J357" s="22"/>
      <c r="K357" s="22"/>
      <c r="L357" s="22"/>
      <c r="M357" s="22"/>
      <c r="N357" s="22"/>
      <c r="O357" s="22"/>
      <c r="P357" s="22"/>
      <c r="Q357" s="22"/>
      <c r="R357" s="22"/>
      <c r="S357" s="22"/>
      <c r="T357" s="353" t="b" cm="1">
        <f t="array" aca="1" ref="T357" ca="1">T356</f>
        <v>1</v>
      </c>
      <c r="U357" s="22"/>
      <c r="V357" s="22"/>
      <c r="W357" s="22"/>
      <c r="X357" s="1022"/>
      <c r="Y357" s="22"/>
      <c r="Z357" s="1023"/>
      <c r="AA357" s="22"/>
      <c r="AB357" s="516" t="s">
        <v>2079</v>
      </c>
      <c r="AC357" s="403" t="s">
        <v>2080</v>
      </c>
      <c r="AD357" s="402" t="s">
        <v>828</v>
      </c>
      <c r="AE357" s="142"/>
      <c r="AF357" s="315"/>
      <c r="AG357" s="315"/>
      <c r="AH357" s="696" t="s">
        <v>2468</v>
      </c>
      <c r="AI357" s="655"/>
      <c r="AJ357" s="655"/>
      <c r="AK357" s="480"/>
      <c r="AL357" s="480"/>
    </row>
    <row r="358" spans="1:38" s="4" customFormat="1" ht="14.25" customHeight="1" x14ac:dyDescent="0.15">
      <c r="A358" s="487"/>
      <c r="B358" s="22"/>
      <c r="C358" s="22"/>
      <c r="D358" s="22"/>
      <c r="E358" s="449">
        <v>15</v>
      </c>
      <c r="F358" s="267" t="str" cm="1">
        <f t="array" aca="1" ref="F358" ca="1">OFFSET(E358,-1,1)</f>
        <v>3</v>
      </c>
      <c r="G358" s="22"/>
      <c r="H358" s="22"/>
      <c r="I358" s="22"/>
      <c r="J358" s="22"/>
      <c r="K358" s="22"/>
      <c r="L358" s="22"/>
      <c r="M358" s="22"/>
      <c r="N358" s="22"/>
      <c r="O358" s="22"/>
      <c r="P358" s="22"/>
      <c r="Q358" s="22"/>
      <c r="R358" s="22"/>
      <c r="S358" s="22"/>
      <c r="T358" s="353" t="b" cm="1">
        <f t="array" aca="1" ref="T358" ca="1">T357</f>
        <v>1</v>
      </c>
      <c r="U358" s="22"/>
      <c r="V358" s="22"/>
      <c r="W358" s="22"/>
      <c r="X358" s="1022"/>
      <c r="Y358" s="22"/>
      <c r="Z358" s="1023"/>
      <c r="AA358" s="22"/>
      <c r="AB358" s="516" t="s">
        <v>565</v>
      </c>
      <c r="AC358" s="401" t="s">
        <v>2081</v>
      </c>
      <c r="AD358" s="402" t="s">
        <v>828</v>
      </c>
      <c r="AE358" s="142"/>
      <c r="AF358" s="315"/>
      <c r="AG358" s="315"/>
      <c r="AH358" s="696" t="s">
        <v>2469</v>
      </c>
      <c r="AI358" s="655"/>
      <c r="AJ358" s="655"/>
      <c r="AK358" s="480"/>
      <c r="AL358" s="480"/>
    </row>
    <row r="359" spans="1:38" ht="14.25" customHeight="1" x14ac:dyDescent="0.15">
      <c r="E359" s="449">
        <v>15</v>
      </c>
      <c r="F359" s="3" t="str" cm="1">
        <f t="array" aca="1" ref="F359" ca="1">OFFSET(E359,-1,1)</f>
        <v>3</v>
      </c>
      <c r="H359" s="22" t="s">
        <v>503</v>
      </c>
      <c r="T359" s="353" t="b" cm="1">
        <f t="array" aca="1" ref="T359" ca="1">T345</f>
        <v>1</v>
      </c>
      <c r="X359" s="1022"/>
      <c r="Z359" s="1023"/>
      <c r="AB359" s="516" t="s">
        <v>569</v>
      </c>
      <c r="AC359" s="401" t="s">
        <v>2470</v>
      </c>
      <c r="AD359" s="402" t="s">
        <v>828</v>
      </c>
      <c r="AE359" s="406">
        <f>SUM(AE360:AE368)</f>
        <v>0</v>
      </c>
      <c r="AH359" s="702" t="s">
        <v>1275</v>
      </c>
    </row>
    <row r="360" spans="1:38" ht="14.25" customHeight="1" x14ac:dyDescent="0.15">
      <c r="E360" s="449">
        <v>15</v>
      </c>
      <c r="F360" s="3" t="str" cm="1">
        <f t="array" aca="1" ref="F360" ca="1">OFFSET(E360,-1,1)</f>
        <v>3</v>
      </c>
      <c r="H360" s="22" t="s">
        <v>1812</v>
      </c>
      <c r="T360" s="353" t="b" cm="1">
        <f t="array" aca="1" ref="T360" ca="1">T359</f>
        <v>1</v>
      </c>
      <c r="X360" s="1022"/>
      <c r="Z360" s="1023"/>
      <c r="AB360" s="516" t="s">
        <v>519</v>
      </c>
      <c r="AC360" s="403" t="s">
        <v>1290</v>
      </c>
      <c r="AD360" s="402" t="s">
        <v>828</v>
      </c>
      <c r="AE360" s="142"/>
      <c r="AH360" s="696" t="s">
        <v>2084</v>
      </c>
    </row>
    <row r="361" spans="1:38" ht="14.25" customHeight="1" x14ac:dyDescent="0.15">
      <c r="E361" s="449">
        <v>15</v>
      </c>
      <c r="F361" s="3" t="str" cm="1">
        <f t="array" aca="1" ref="F361" ca="1">OFFSET(E361,-1,1)</f>
        <v>3</v>
      </c>
      <c r="H361" s="22" t="s">
        <v>1815</v>
      </c>
      <c r="T361" s="353" t="b" cm="1">
        <f t="array" aca="1" ref="T361" ca="1">T360</f>
        <v>1</v>
      </c>
      <c r="X361" s="1022"/>
      <c r="Z361" s="1023"/>
      <c r="AB361" s="516" t="s">
        <v>1500</v>
      </c>
      <c r="AC361" s="403" t="s">
        <v>2471</v>
      </c>
      <c r="AD361" s="402" t="s">
        <v>828</v>
      </c>
      <c r="AE361" s="142"/>
      <c r="AH361" s="696" t="s">
        <v>2087</v>
      </c>
    </row>
    <row r="362" spans="1:38" ht="14.25" customHeight="1" x14ac:dyDescent="0.15">
      <c r="E362" s="449">
        <v>15</v>
      </c>
      <c r="F362" s="3" t="str" cm="1">
        <f t="array" aca="1" ref="F362" ca="1">OFFSET(E362,-1,1)</f>
        <v>3</v>
      </c>
      <c r="H362" s="22" t="s">
        <v>2472</v>
      </c>
      <c r="T362" s="353" t="b" cm="1">
        <f t="array" aca="1" ref="T362" ca="1">T361</f>
        <v>1</v>
      </c>
      <c r="X362" s="1022"/>
      <c r="Z362" s="1023"/>
      <c r="AB362" s="516" t="s">
        <v>1505</v>
      </c>
      <c r="AC362" s="403" t="s">
        <v>2473</v>
      </c>
      <c r="AD362" s="402" t="s">
        <v>828</v>
      </c>
      <c r="AE362" s="142"/>
      <c r="AH362" s="696" t="s">
        <v>2090</v>
      </c>
    </row>
    <row r="363" spans="1:38" ht="14.25" customHeight="1" x14ac:dyDescent="0.15">
      <c r="E363" s="449">
        <v>15</v>
      </c>
      <c r="F363" s="3" t="str" cm="1">
        <f t="array" aca="1" ref="F363" ca="1">OFFSET(E363,-1,1)</f>
        <v>3</v>
      </c>
      <c r="H363" s="22" t="s">
        <v>2474</v>
      </c>
      <c r="T363" s="353" t="b" cm="1">
        <f t="array" aca="1" ref="T363" ca="1">T362</f>
        <v>1</v>
      </c>
      <c r="X363" s="1022"/>
      <c r="Z363" s="1023"/>
      <c r="AB363" s="516" t="s">
        <v>2092</v>
      </c>
      <c r="AC363" s="403" t="s">
        <v>1283</v>
      </c>
      <c r="AD363" s="402" t="s">
        <v>828</v>
      </c>
      <c r="AE363" s="142"/>
      <c r="AH363" s="696" t="s">
        <v>2094</v>
      </c>
    </row>
    <row r="364" spans="1:38" ht="14.25" customHeight="1" x14ac:dyDescent="0.15">
      <c r="E364" s="449">
        <v>15</v>
      </c>
      <c r="F364" s="3" t="str" cm="1">
        <f t="array" aca="1" ref="F364" ca="1">OFFSET(E364,-1,1)</f>
        <v>3</v>
      </c>
      <c r="H364" s="22" t="s">
        <v>2475</v>
      </c>
      <c r="T364" s="353" t="b" cm="1">
        <f t="array" aca="1" ref="T364" ca="1">T363</f>
        <v>1</v>
      </c>
      <c r="X364" s="1022"/>
      <c r="Z364" s="1023"/>
      <c r="AB364" s="516" t="s">
        <v>2096</v>
      </c>
      <c r="AC364" s="403" t="s">
        <v>1285</v>
      </c>
      <c r="AD364" s="402" t="s">
        <v>828</v>
      </c>
      <c r="AE364" s="142"/>
      <c r="AH364" s="696" t="s">
        <v>2098</v>
      </c>
    </row>
    <row r="365" spans="1:38" ht="14.25" customHeight="1" x14ac:dyDescent="0.15">
      <c r="E365" s="449">
        <v>15</v>
      </c>
      <c r="F365" s="3" t="str" cm="1">
        <f t="array" aca="1" ref="F365" ca="1">OFFSET(E365,-1,1)</f>
        <v>3</v>
      </c>
      <c r="H365" s="22" t="s">
        <v>2476</v>
      </c>
      <c r="T365" s="353" t="b" cm="1">
        <f t="array" aca="1" ref="T365" ca="1">T364</f>
        <v>1</v>
      </c>
      <c r="X365" s="1022"/>
      <c r="Z365" s="1023"/>
      <c r="AB365" s="516" t="s">
        <v>2100</v>
      </c>
      <c r="AC365" s="403" t="s">
        <v>1276</v>
      </c>
      <c r="AD365" s="402" t="s">
        <v>828</v>
      </c>
      <c r="AE365" s="142"/>
      <c r="AH365" s="696" t="s">
        <v>2102</v>
      </c>
    </row>
    <row r="366" spans="1:38" s="4" customFormat="1" ht="14.25" customHeight="1" x14ac:dyDescent="0.15">
      <c r="A366" s="487"/>
      <c r="B366" s="22"/>
      <c r="C366" s="22"/>
      <c r="D366" s="22"/>
      <c r="E366" s="449">
        <v>15</v>
      </c>
      <c r="F366" s="267" t="str" cm="1">
        <f t="array" aca="1" ref="F366" ca="1">OFFSET(E366,-1,1)</f>
        <v>3</v>
      </c>
      <c r="G366" s="22"/>
      <c r="H366" s="22"/>
      <c r="I366" s="22"/>
      <c r="J366" s="22"/>
      <c r="K366" s="22"/>
      <c r="L366" s="22"/>
      <c r="M366" s="22"/>
      <c r="N366" s="22"/>
      <c r="O366" s="22"/>
      <c r="P366" s="22"/>
      <c r="Q366" s="22"/>
      <c r="R366" s="22"/>
      <c r="S366" s="22"/>
      <c r="T366" s="353" t="b" cm="1">
        <f t="array" aca="1" ref="T366" ca="1">T365</f>
        <v>1</v>
      </c>
      <c r="U366" s="22"/>
      <c r="V366" s="22"/>
      <c r="W366" s="22"/>
      <c r="X366" s="1022"/>
      <c r="Y366" s="22"/>
      <c r="Z366" s="1023"/>
      <c r="AA366" s="22"/>
      <c r="AB366" s="516" t="s">
        <v>2104</v>
      </c>
      <c r="AC366" s="403" t="s">
        <v>2477</v>
      </c>
      <c r="AD366" s="402" t="s">
        <v>828</v>
      </c>
      <c r="AE366" s="142"/>
      <c r="AF366" s="315"/>
      <c r="AG366" s="315"/>
      <c r="AH366" s="696" t="s">
        <v>1293</v>
      </c>
      <c r="AI366" s="655"/>
      <c r="AJ366" s="655"/>
      <c r="AK366" s="480"/>
      <c r="AL366" s="480"/>
    </row>
    <row r="367" spans="1:38" s="4" customFormat="1" ht="14.25" customHeight="1" x14ac:dyDescent="0.15">
      <c r="A367" s="487"/>
      <c r="B367" s="22"/>
      <c r="C367" s="22"/>
      <c r="D367" s="22"/>
      <c r="E367" s="449">
        <v>15</v>
      </c>
      <c r="F367" s="267" t="str" cm="1">
        <f t="array" aca="1" ref="F367" ca="1">OFFSET(E367,-1,1)</f>
        <v>3</v>
      </c>
      <c r="G367" s="22"/>
      <c r="H367" s="22"/>
      <c r="I367" s="22"/>
      <c r="J367" s="22"/>
      <c r="K367" s="22"/>
      <c r="L367" s="22"/>
      <c r="M367" s="22"/>
      <c r="N367" s="22"/>
      <c r="O367" s="22"/>
      <c r="P367" s="22"/>
      <c r="Q367" s="22"/>
      <c r="R367" s="22"/>
      <c r="S367" s="22"/>
      <c r="T367" s="353" t="b" cm="1">
        <f t="array" aca="1" ref="T367" ca="1">T366</f>
        <v>1</v>
      </c>
      <c r="U367" s="22"/>
      <c r="V367" s="22"/>
      <c r="W367" s="22"/>
      <c r="X367" s="1022"/>
      <c r="Y367" s="22"/>
      <c r="Z367" s="1023"/>
      <c r="AA367" s="22"/>
      <c r="AB367" s="516" t="s">
        <v>2108</v>
      </c>
      <c r="AC367" s="403" t="s">
        <v>1294</v>
      </c>
      <c r="AD367" s="402" t="s">
        <v>828</v>
      </c>
      <c r="AE367" s="142"/>
      <c r="AF367" s="315"/>
      <c r="AG367" s="315"/>
      <c r="AH367" s="696" t="s">
        <v>2478</v>
      </c>
      <c r="AI367" s="655"/>
      <c r="AJ367" s="655"/>
      <c r="AK367" s="480"/>
      <c r="AL367" s="480"/>
    </row>
    <row r="368" spans="1:38" ht="14.25" customHeight="1" x14ac:dyDescent="0.15">
      <c r="E368" s="449">
        <v>15</v>
      </c>
      <c r="F368" s="3" t="str" cm="1">
        <f t="array" aca="1" ref="F368" ca="1">OFFSET(E368,-1,1)</f>
        <v>3</v>
      </c>
      <c r="H368" s="22" t="s">
        <v>2479</v>
      </c>
      <c r="T368" s="353" t="b" cm="1">
        <f t="array" aca="1" ref="T368" ca="1">T365</f>
        <v>1</v>
      </c>
      <c r="X368" s="1022"/>
      <c r="Z368" s="1023"/>
      <c r="AB368" s="516" t="s">
        <v>2110</v>
      </c>
      <c r="AC368" s="403" t="s">
        <v>1296</v>
      </c>
      <c r="AD368" s="402" t="s">
        <v>828</v>
      </c>
      <c r="AE368" s="142"/>
      <c r="AH368" s="696" t="s">
        <v>2116</v>
      </c>
    </row>
    <row r="369" spans="1:42" ht="14.25" customHeight="1" x14ac:dyDescent="0.15">
      <c r="E369" s="449">
        <v>15</v>
      </c>
      <c r="F369" s="3" t="str" cm="1">
        <f t="array" aca="1" ref="F369" ca="1">OFFSET(E369,-1,1)</f>
        <v>3</v>
      </c>
      <c r="H369" s="22" t="s">
        <v>959</v>
      </c>
      <c r="T369" s="353" t="b" cm="1">
        <f t="array" aca="1" ref="T369" ca="1">T368</f>
        <v>1</v>
      </c>
      <c r="X369" s="1022"/>
      <c r="Z369" s="1023"/>
      <c r="AB369" s="516" t="s">
        <v>962</v>
      </c>
      <c r="AC369" s="403" t="s">
        <v>1085</v>
      </c>
      <c r="AD369" s="402" t="s">
        <v>828</v>
      </c>
      <c r="AE369" s="142"/>
      <c r="AH369" s="696" t="s">
        <v>1233</v>
      </c>
    </row>
    <row r="370" spans="1:42" ht="14.25" customHeight="1" x14ac:dyDescent="0.15">
      <c r="E370" s="449">
        <v>15</v>
      </c>
      <c r="F370" s="3" t="str" cm="1">
        <f t="array" aca="1" ref="F370" ca="1">OFFSET(E370,-1,1)</f>
        <v>3</v>
      </c>
      <c r="H370" s="22" t="s">
        <v>2119</v>
      </c>
      <c r="T370" s="353" t="b" cm="1">
        <f t="array" aca="1" ref="T370" ca="1">T369</f>
        <v>1</v>
      </c>
      <c r="X370" s="1022"/>
      <c r="Z370" s="1023"/>
      <c r="AB370" s="516" t="s">
        <v>965</v>
      </c>
      <c r="AC370" s="401" t="s">
        <v>1472</v>
      </c>
      <c r="AD370" s="402" t="s">
        <v>828</v>
      </c>
      <c r="AE370" s="142"/>
      <c r="AH370" s="703" t="s">
        <v>1856</v>
      </c>
    </row>
    <row r="371" spans="1:42" ht="14.25" customHeight="1" x14ac:dyDescent="0.15">
      <c r="E371" s="449">
        <v>15</v>
      </c>
      <c r="F371" s="3" t="str" cm="1">
        <f t="array" aca="1" ref="F371" ca="1">OFFSET(E371,-1,1)</f>
        <v>3</v>
      </c>
      <c r="H371" s="22" t="s">
        <v>2127</v>
      </c>
      <c r="T371" s="353" t="b" cm="1">
        <f t="array" aca="1" ref="T371" ca="1">T370</f>
        <v>1</v>
      </c>
      <c r="X371" s="1022"/>
      <c r="Z371" s="1023"/>
      <c r="AB371" s="516" t="s">
        <v>1520</v>
      </c>
      <c r="AC371" s="401" t="s">
        <v>1482</v>
      </c>
      <c r="AD371" s="402" t="s">
        <v>828</v>
      </c>
      <c r="AE371" s="406">
        <f>AE372+AE373</f>
        <v>0</v>
      </c>
      <c r="AH371" s="696" t="s">
        <v>2132</v>
      </c>
    </row>
    <row r="372" spans="1:42" ht="14.25" customHeight="1" x14ac:dyDescent="0.15">
      <c r="E372" s="449">
        <v>15</v>
      </c>
      <c r="F372" s="3" t="str" cm="1">
        <f t="array" aca="1" ref="F372" ca="1">OFFSET(E372,-1,1)</f>
        <v>3</v>
      </c>
      <c r="H372" s="22" t="s">
        <v>2480</v>
      </c>
      <c r="T372" s="353" t="b" cm="1">
        <f t="array" aca="1" ref="T372" ca="1">T371</f>
        <v>1</v>
      </c>
      <c r="X372" s="1022"/>
      <c r="Z372" s="1023"/>
      <c r="AB372" s="516" t="s">
        <v>2123</v>
      </c>
      <c r="AC372" s="403" t="s">
        <v>2481</v>
      </c>
      <c r="AD372" s="402" t="s">
        <v>828</v>
      </c>
      <c r="AE372" s="142"/>
      <c r="AH372" s="696" t="s">
        <v>1268</v>
      </c>
    </row>
    <row r="373" spans="1:42" ht="21.75" customHeight="1" x14ac:dyDescent="0.15">
      <c r="E373" s="449">
        <v>22.5</v>
      </c>
      <c r="F373" s="3" t="str" cm="1">
        <f t="array" aca="1" ref="F373" ca="1">OFFSET(E373,-1,1)</f>
        <v>3</v>
      </c>
      <c r="H373" s="22" t="s">
        <v>2482</v>
      </c>
      <c r="T373" s="353" t="b" cm="1">
        <f t="array" aca="1" ref="T373" ca="1">T372</f>
        <v>1</v>
      </c>
      <c r="X373" s="1022"/>
      <c r="Z373" s="1023"/>
      <c r="AB373" s="516" t="s">
        <v>2483</v>
      </c>
      <c r="AC373" s="403" t="s">
        <v>2484</v>
      </c>
      <c r="AD373" s="402" t="s">
        <v>828</v>
      </c>
      <c r="AE373" s="142"/>
      <c r="AH373" s="696" t="s">
        <v>2139</v>
      </c>
    </row>
    <row r="374" spans="1:42" ht="76.5" customHeight="1" x14ac:dyDescent="0.15">
      <c r="E374" s="449">
        <v>78.75</v>
      </c>
      <c r="F374" s="3" t="str" cm="1">
        <f t="array" aca="1" ref="F374" ca="1">OFFSET(E374,-1,1)</f>
        <v>3</v>
      </c>
      <c r="H374" s="22" t="s">
        <v>2131</v>
      </c>
      <c r="T374" s="353" t="b" cm="1">
        <f t="array" aca="1" ref="T374" ca="1">T373</f>
        <v>1</v>
      </c>
      <c r="X374" s="1022"/>
      <c r="Z374" s="1023"/>
      <c r="AB374" s="516" t="s">
        <v>1525</v>
      </c>
      <c r="AC374" s="409" t="s">
        <v>1456</v>
      </c>
      <c r="AD374" s="402" t="s">
        <v>828</v>
      </c>
      <c r="AE374" s="142"/>
      <c r="AH374" s="696" t="s">
        <v>2117</v>
      </c>
    </row>
    <row r="375" spans="1:42" s="4" customFormat="1" ht="14.25" customHeight="1" x14ac:dyDescent="0.15">
      <c r="A375" s="487"/>
      <c r="B375" s="22"/>
      <c r="C375" s="22"/>
      <c r="D375" s="22"/>
      <c r="E375" s="449">
        <v>15</v>
      </c>
      <c r="F375" s="267" t="str" cm="1">
        <f t="array" aca="1" ref="F375" ca="1">OFFSET(E375,-1,1)</f>
        <v>3</v>
      </c>
      <c r="G375" s="22"/>
      <c r="H375" s="22"/>
      <c r="I375" s="22"/>
      <c r="J375" s="22"/>
      <c r="K375" s="22"/>
      <c r="L375" s="22"/>
      <c r="M375" s="22"/>
      <c r="N375" s="22"/>
      <c r="O375" s="22"/>
      <c r="P375" s="22"/>
      <c r="Q375" s="22"/>
      <c r="R375" s="22"/>
      <c r="S375" s="22"/>
      <c r="T375" s="353" t="b" cm="1">
        <f t="array" aca="1" ref="T375" ca="1">T374</f>
        <v>1</v>
      </c>
      <c r="U375" s="22"/>
      <c r="V375" s="22"/>
      <c r="W375" s="22"/>
      <c r="X375" s="1022"/>
      <c r="Y375" s="22"/>
      <c r="Z375" s="1023"/>
      <c r="AA375" s="22"/>
      <c r="AB375" s="516" t="s">
        <v>2128</v>
      </c>
      <c r="AC375" s="409" t="s">
        <v>1065</v>
      </c>
      <c r="AD375" s="402" t="s">
        <v>828</v>
      </c>
      <c r="AE375" s="142"/>
      <c r="AF375" s="315"/>
      <c r="AG375" s="315"/>
      <c r="AH375" s="696" t="s">
        <v>1067</v>
      </c>
      <c r="AI375" s="655"/>
      <c r="AJ375" s="655"/>
      <c r="AK375" s="480"/>
      <c r="AL375" s="480"/>
    </row>
    <row r="376" spans="1:42" s="4" customFormat="1" ht="14.25" customHeight="1" x14ac:dyDescent="0.15">
      <c r="A376" s="487"/>
      <c r="B376" s="22"/>
      <c r="C376" s="22"/>
      <c r="D376" s="22"/>
      <c r="E376" s="449">
        <v>15</v>
      </c>
      <c r="F376" s="267" t="str" cm="1">
        <f t="array" aca="1" ref="F376" ca="1">OFFSET(E376,-1,1)</f>
        <v>3</v>
      </c>
      <c r="G376" s="22"/>
      <c r="H376" s="22"/>
      <c r="I376" s="22"/>
      <c r="J376" s="22"/>
      <c r="K376" s="22"/>
      <c r="L376" s="22"/>
      <c r="M376" s="22"/>
      <c r="N376" s="22"/>
      <c r="O376" s="22"/>
      <c r="P376" s="22"/>
      <c r="Q376" s="22"/>
      <c r="R376" s="22"/>
      <c r="S376" s="22"/>
      <c r="T376" s="353" t="b" cm="1">
        <f t="array" aca="1" ref="T376" ca="1">T375</f>
        <v>1</v>
      </c>
      <c r="U376" s="22"/>
      <c r="V376" s="22"/>
      <c r="W376" s="22"/>
      <c r="X376" s="1022"/>
      <c r="Y376" s="22"/>
      <c r="Z376" s="1023"/>
      <c r="AA376" s="22"/>
      <c r="AB376" s="516" t="s">
        <v>1544</v>
      </c>
      <c r="AC376" s="409" t="s">
        <v>1467</v>
      </c>
      <c r="AD376" s="402" t="s">
        <v>828</v>
      </c>
      <c r="AE376" s="142"/>
      <c r="AF376" s="315"/>
      <c r="AG376" s="315"/>
      <c r="AH376" s="696" t="s">
        <v>2485</v>
      </c>
      <c r="AI376" s="655"/>
      <c r="AJ376" s="655"/>
      <c r="AK376" s="480"/>
      <c r="AL376" s="480"/>
    </row>
    <row r="377" spans="1:42" ht="14.25" customHeight="1" x14ac:dyDescent="0.15">
      <c r="E377" s="449">
        <v>15</v>
      </c>
      <c r="F377" s="3" t="str" cm="1">
        <f t="array" aca="1" ref="F377" ca="1">OFFSET(E377,-1,1)</f>
        <v>3</v>
      </c>
      <c r="H377" s="22" t="s">
        <v>2486</v>
      </c>
      <c r="T377" s="353" t="b" cm="1">
        <f t="array" aca="1" ref="T377" ca="1">T374</f>
        <v>1</v>
      </c>
      <c r="X377" s="1022"/>
      <c r="Z377" s="1023"/>
      <c r="AB377" s="516" t="s">
        <v>1548</v>
      </c>
      <c r="AC377" s="401" t="s">
        <v>2487</v>
      </c>
      <c r="AD377" s="402" t="s">
        <v>828</v>
      </c>
      <c r="AE377" s="142"/>
      <c r="AH377" s="655" t="s">
        <v>2488</v>
      </c>
    </row>
    <row r="378" spans="1:42" s="4" customFormat="1" ht="31.5" customHeight="1" x14ac:dyDescent="0.15">
      <c r="A378" s="487"/>
      <c r="B378" s="22"/>
      <c r="C378" s="22"/>
      <c r="D378" s="22"/>
      <c r="E378" s="449">
        <v>33</v>
      </c>
      <c r="F378" s="267" t="str" cm="1">
        <f t="array" aca="1" ref="F378" ca="1">OFFSET(E378,-1,1)</f>
        <v>3</v>
      </c>
      <c r="G378" s="22"/>
      <c r="H378" s="22"/>
      <c r="I378" s="22"/>
      <c r="J378" s="22"/>
      <c r="K378" s="22"/>
      <c r="L378" s="22"/>
      <c r="M378" s="22"/>
      <c r="N378" s="22"/>
      <c r="O378" s="22"/>
      <c r="P378" s="22"/>
      <c r="Q378" s="22"/>
      <c r="R378" s="22"/>
      <c r="S378" s="22"/>
      <c r="T378" s="353" t="b" cm="1">
        <f t="array" aca="1" ref="T378" ca="1">T377</f>
        <v>1</v>
      </c>
      <c r="U378" s="22"/>
      <c r="V378" s="22"/>
      <c r="W378" s="22"/>
      <c r="X378" s="1022"/>
      <c r="Y378" s="22"/>
      <c r="Z378" s="1023"/>
      <c r="AA378" s="22"/>
      <c r="AB378" s="516" t="s">
        <v>1551</v>
      </c>
      <c r="AC378" s="401" t="s">
        <v>2141</v>
      </c>
      <c r="AD378" s="402" t="s">
        <v>828</v>
      </c>
      <c r="AE378" s="142"/>
      <c r="AF378" s="315"/>
      <c r="AG378" s="315"/>
      <c r="AH378" s="655" t="s">
        <v>2489</v>
      </c>
      <c r="AI378" s="655"/>
      <c r="AJ378" s="655"/>
      <c r="AK378" s="480"/>
      <c r="AL378" s="480"/>
    </row>
    <row r="379" spans="1:42" ht="14.25" customHeight="1" x14ac:dyDescent="0.15">
      <c r="E379" s="449">
        <v>15</v>
      </c>
      <c r="F379" s="3" t="str" cm="1">
        <f t="array" aca="1" ref="F379" ca="1">OFFSET(E379,-1,1)</f>
        <v>3</v>
      </c>
      <c r="H379" s="22" t="s">
        <v>2490</v>
      </c>
      <c r="T379" s="353" t="b" cm="1">
        <f t="array" aca="1" ref="T379" ca="1">T377</f>
        <v>1</v>
      </c>
      <c r="X379" s="1022"/>
      <c r="Z379" s="1023"/>
      <c r="AB379" s="516" t="s">
        <v>2491</v>
      </c>
      <c r="AC379" s="401" t="s">
        <v>2492</v>
      </c>
      <c r="AD379" s="402" t="s">
        <v>828</v>
      </c>
      <c r="AE379" s="406">
        <f>SUM(AE380:AE381)</f>
        <v>0</v>
      </c>
      <c r="AH379" s="655" t="s">
        <v>2493</v>
      </c>
    </row>
    <row r="380" spans="1:42" ht="14.25" hidden="1" customHeight="1" x14ac:dyDescent="0.15">
      <c r="E380" s="449">
        <v>15</v>
      </c>
      <c r="F380" s="3" t="str" cm="1">
        <f t="array" aca="1" ref="F380" ca="1">OFFSET(E380,-1,1)</f>
        <v>3</v>
      </c>
      <c r="H380" s="22" t="s">
        <v>2490</v>
      </c>
      <c r="I380" s="410" cm="1">
        <f t="array" ref="I380">AC380</f>
        <v>0</v>
      </c>
      <c r="T380" s="353" t="b">
        <f ca="1">AND(F380&gt;0,Y380&gt;0)</f>
        <v>0</v>
      </c>
      <c r="W380" s="17" t="s">
        <v>172</v>
      </c>
      <c r="X380" s="1022"/>
      <c r="Y380" s="22">
        <v>0</v>
      </c>
      <c r="Z380" s="1023"/>
      <c r="AA380" s="482" t="s">
        <v>173</v>
      </c>
      <c r="AB380" s="516" t="str">
        <f>"2.12."&amp;Y380</f>
        <v>2.12.0</v>
      </c>
      <c r="AC380" s="888"/>
      <c r="AD380" s="402" t="s">
        <v>828</v>
      </c>
      <c r="AE380" s="854"/>
      <c r="AH380" s="655" t="s">
        <v>2493</v>
      </c>
      <c r="AI380" s="655" t="s">
        <v>2494</v>
      </c>
      <c r="AJ380" s="661" cm="1">
        <f t="array" ref="AJ380">AC380</f>
        <v>0</v>
      </c>
      <c r="AL380" s="480" t="b">
        <v>1</v>
      </c>
    </row>
    <row r="381" spans="1:42" ht="14.25" customHeight="1" x14ac:dyDescent="0.15">
      <c r="E381" s="449">
        <v>15</v>
      </c>
      <c r="F381" s="3" t="str" cm="1">
        <f t="array" aca="1" ref="F381" ca="1">OFFSET(E381,-1,1)</f>
        <v>3</v>
      </c>
      <c r="I381" s="72" t="str">
        <f>"!== 'не определено' &amp;&amp; row.l2_13 !== null"</f>
        <v>!== 'не определено' &amp;&amp; row.l2_13 !== null</v>
      </c>
      <c r="T381" s="353" t="b">
        <f ca="1">F381&gt;0</f>
        <v>1</v>
      </c>
      <c r="W381" s="506" t="s">
        <v>919</v>
      </c>
      <c r="X381" s="1022"/>
      <c r="Z381" s="1023"/>
      <c r="AB381" s="783"/>
      <c r="AC381" s="784" t="s">
        <v>176</v>
      </c>
      <c r="AD381" s="785"/>
      <c r="AE381" s="795"/>
      <c r="AK381" s="480" t="s">
        <v>2494</v>
      </c>
    </row>
    <row r="382" spans="1:42" ht="14.25" customHeight="1" x14ac:dyDescent="0.15">
      <c r="E382" s="449">
        <v>15</v>
      </c>
      <c r="F382" s="3" t="str" cm="1">
        <f t="array" aca="1" ref="F382" ca="1">OFFSET(E382,-1,1)</f>
        <v>3</v>
      </c>
      <c r="G382" s="22" t="s">
        <v>49</v>
      </c>
      <c r="H382" s="22" t="s">
        <v>333</v>
      </c>
      <c r="T382" s="353" t="b" cm="1">
        <f t="array" aca="1" ref="T382" ca="1">T381</f>
        <v>1</v>
      </c>
      <c r="X382" s="1022"/>
      <c r="Z382" s="1023"/>
      <c r="AB382" s="515" t="s">
        <v>291</v>
      </c>
      <c r="AC382" s="399" t="s">
        <v>2144</v>
      </c>
      <c r="AD382" s="400" t="s">
        <v>828</v>
      </c>
      <c r="AE382" s="796"/>
      <c r="AH382" s="655" t="s">
        <v>1750</v>
      </c>
    </row>
    <row r="383" spans="1:42" ht="10.9" customHeight="1" x14ac:dyDescent="0.15">
      <c r="E383" s="449">
        <v>11.25</v>
      </c>
      <c r="U383" s="22" t="s">
        <v>176</v>
      </c>
      <c r="V383" s="513" t="s">
        <v>2495</v>
      </c>
      <c r="AB383" s="787"/>
      <c r="AC383" s="788"/>
      <c r="AD383" s="14"/>
      <c r="AE383" s="797"/>
    </row>
    <row r="384" spans="1:42" s="17" customFormat="1" ht="14.65" customHeight="1" x14ac:dyDescent="0.15">
      <c r="A384" s="372"/>
      <c r="E384" s="462">
        <v>15</v>
      </c>
      <c r="F384" s="59"/>
      <c r="G384" s="59"/>
      <c r="AB384" s="993" t="s">
        <v>408</v>
      </c>
      <c r="AC384" s="993"/>
      <c r="AD384" s="993"/>
      <c r="AE384" s="1024"/>
      <c r="AF384" s="315"/>
      <c r="AG384" s="315"/>
      <c r="AH384" s="655"/>
      <c r="AI384" s="655"/>
      <c r="AJ384" s="655"/>
      <c r="AK384" s="480"/>
      <c r="AL384" s="480"/>
      <c r="AM384" s="4"/>
      <c r="AN384" s="4"/>
      <c r="AO384" s="4"/>
      <c r="AP384" s="4"/>
    </row>
    <row r="385" spans="1:42" s="17" customFormat="1" ht="14.65" customHeight="1" x14ac:dyDescent="0.15">
      <c r="A385" s="372"/>
      <c r="E385" s="462">
        <v>15</v>
      </c>
      <c r="F385" s="59"/>
      <c r="G385" s="59"/>
      <c r="AB385" s="1025"/>
      <c r="AC385" s="1025"/>
      <c r="AD385" s="1025"/>
      <c r="AE385" s="1026"/>
      <c r="AF385" s="315"/>
      <c r="AG385" s="315"/>
      <c r="AH385" s="655"/>
      <c r="AI385" s="655"/>
      <c r="AJ385" s="655"/>
      <c r="AK385" s="480"/>
      <c r="AL385" s="480"/>
      <c r="AM385" s="4"/>
      <c r="AN385" s="4"/>
      <c r="AO385" s="4"/>
      <c r="AP385" s="4"/>
    </row>
    <row r="386" spans="1:42" s="17" customFormat="1" ht="14.65" hidden="1" customHeight="1" x14ac:dyDescent="0.15">
      <c r="A386" s="372"/>
      <c r="E386" s="461">
        <v>15</v>
      </c>
      <c r="T386" s="353" t="b">
        <f>ROW(W386)&gt;ROW(W$386)</f>
        <v>0</v>
      </c>
      <c r="W386" s="17" t="s">
        <v>172</v>
      </c>
      <c r="AA386" s="482" t="s">
        <v>173</v>
      </c>
      <c r="AB386" s="1028"/>
      <c r="AC386" s="1029"/>
      <c r="AD386" s="1029"/>
      <c r="AE386" s="1031"/>
      <c r="AF386" s="315"/>
      <c r="AG386" s="315"/>
      <c r="AH386" s="655"/>
      <c r="AI386" s="655"/>
      <c r="AJ386" s="655"/>
      <c r="AK386" s="480"/>
      <c r="AL386" s="480"/>
      <c r="AM386" s="4"/>
      <c r="AN386" s="4"/>
      <c r="AO386" s="4"/>
      <c r="AP386" s="4"/>
    </row>
    <row r="387" spans="1:42" s="17" customFormat="1" ht="14.65" customHeight="1" x14ac:dyDescent="0.15">
      <c r="A387" s="372"/>
      <c r="E387" s="461">
        <v>15</v>
      </c>
      <c r="W387" s="506" t="s">
        <v>419</v>
      </c>
      <c r="AB387" s="474"/>
      <c r="AC387" s="382" t="s">
        <v>420</v>
      </c>
      <c r="AD387" s="218"/>
      <c r="AE387" s="220"/>
      <c r="AF387" s="315"/>
      <c r="AG387" s="315"/>
      <c r="AH387" s="655"/>
      <c r="AI387" s="655"/>
      <c r="AJ387" s="655"/>
      <c r="AK387" s="480"/>
      <c r="AL387" s="480"/>
      <c r="AM387" s="4"/>
      <c r="AN387" s="4"/>
      <c r="AO387" s="4"/>
      <c r="AP387" s="4"/>
    </row>
    <row r="388" spans="1:42" ht="10.9" customHeight="1" x14ac:dyDescent="0.15">
      <c r="E388" s="449">
        <v>11.25</v>
      </c>
      <c r="AC388" s="396"/>
    </row>
    <row r="389" spans="1:42" ht="11.25" hidden="1" customHeight="1" x14ac:dyDescent="0.15">
      <c r="A389" s="315"/>
      <c r="B389" s="315"/>
      <c r="C389" s="315"/>
      <c r="D389" s="315"/>
      <c r="E389" s="480"/>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row>
    <row r="390" spans="1:42" ht="11.25" hidden="1" customHeight="1" x14ac:dyDescent="0.15">
      <c r="A390" s="315"/>
      <c r="B390" s="315"/>
      <c r="C390" s="315"/>
      <c r="D390" s="315"/>
      <c r="E390" s="480"/>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row>
    <row r="391" spans="1:42" ht="11.25" hidden="1" customHeight="1" x14ac:dyDescent="0.15">
      <c r="A391" s="315"/>
      <c r="B391" s="315"/>
      <c r="C391" s="315"/>
      <c r="D391" s="315"/>
      <c r="E391" s="480"/>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row>
    <row r="392" spans="1:42" ht="11.25" hidden="1" customHeight="1" x14ac:dyDescent="0.15">
      <c r="A392" s="315"/>
      <c r="B392" s="315"/>
      <c r="C392" s="315"/>
      <c r="D392" s="315"/>
      <c r="E392" s="480"/>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row>
    <row r="393" spans="1:42" ht="11.25" hidden="1" customHeight="1" x14ac:dyDescent="0.15">
      <c r="A393" s="315"/>
      <c r="B393" s="315"/>
      <c r="C393" s="315"/>
      <c r="D393" s="315"/>
      <c r="E393" s="480"/>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row>
    <row r="394" spans="1:42" ht="11.25" hidden="1" customHeight="1" x14ac:dyDescent="0.15">
      <c r="A394" s="315"/>
      <c r="B394" s="315"/>
      <c r="C394" s="315"/>
      <c r="D394" s="315"/>
      <c r="E394" s="480"/>
      <c r="F394" s="315"/>
      <c r="G394" s="315"/>
      <c r="H394" s="315"/>
      <c r="I394" s="315"/>
      <c r="J394" s="315"/>
      <c r="K394" s="315"/>
      <c r="L394" s="315"/>
      <c r="M394" s="315"/>
      <c r="N394" s="315"/>
      <c r="O394" s="315"/>
      <c r="P394" s="315"/>
      <c r="Q394" s="315"/>
      <c r="R394" s="315"/>
      <c r="S394" s="315"/>
      <c r="T394" s="315"/>
      <c r="U394" s="315"/>
      <c r="V394" s="315"/>
      <c r="W394" s="315"/>
      <c r="X394" s="315"/>
      <c r="Y394" s="315"/>
      <c r="Z394" s="315"/>
      <c r="AA394" s="315"/>
      <c r="AB394" s="315"/>
    </row>
    <row r="395" spans="1:42" ht="11.25" hidden="1" customHeight="1" x14ac:dyDescent="0.15">
      <c r="A395" s="315"/>
      <c r="B395" s="315"/>
      <c r="C395" s="315"/>
      <c r="D395" s="315"/>
      <c r="E395" s="480"/>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row>
    <row r="396" spans="1:42" ht="11.25" hidden="1" customHeight="1" x14ac:dyDescent="0.15">
      <c r="A396" s="315"/>
      <c r="B396" s="315"/>
      <c r="C396" s="315"/>
      <c r="D396" s="315"/>
      <c r="E396" s="480"/>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row>
    <row r="397" spans="1:42" ht="11.25" hidden="1" customHeight="1" x14ac:dyDescent="0.15">
      <c r="A397" s="315"/>
      <c r="B397" s="315"/>
      <c r="C397" s="315"/>
      <c r="D397" s="315"/>
      <c r="E397" s="480"/>
      <c r="F397" s="315"/>
      <c r="G397" s="315"/>
      <c r="H397" s="315"/>
      <c r="I397" s="315"/>
      <c r="J397" s="315"/>
      <c r="K397" s="315"/>
      <c r="L397" s="315"/>
      <c r="M397" s="315"/>
      <c r="N397" s="315"/>
      <c r="O397" s="315"/>
      <c r="P397" s="315"/>
      <c r="Q397" s="315"/>
      <c r="R397" s="315"/>
      <c r="S397" s="315"/>
      <c r="T397" s="315"/>
      <c r="U397" s="315"/>
      <c r="V397" s="315"/>
      <c r="W397" s="315"/>
      <c r="X397" s="315"/>
      <c r="Y397" s="315"/>
      <c r="Z397" s="315"/>
      <c r="AA397" s="315"/>
      <c r="AB397" s="315"/>
    </row>
    <row r="398" spans="1:42" ht="11.25" hidden="1" customHeight="1" x14ac:dyDescent="0.15">
      <c r="A398" s="315"/>
      <c r="B398" s="315"/>
      <c r="C398" s="315"/>
      <c r="D398" s="315"/>
      <c r="E398" s="480"/>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row>
    <row r="399" spans="1:42" ht="11.25" hidden="1" customHeight="1" x14ac:dyDescent="0.15">
      <c r="A399" s="315"/>
      <c r="B399" s="315"/>
      <c r="C399" s="315"/>
      <c r="D399" s="315"/>
      <c r="E399" s="480"/>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row>
    <row r="400" spans="1:42" ht="11.25" hidden="1" customHeight="1" x14ac:dyDescent="0.15">
      <c r="A400" s="315"/>
      <c r="B400" s="315"/>
      <c r="C400" s="315"/>
      <c r="D400" s="315"/>
      <c r="E400" s="480"/>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row>
    <row r="401" spans="1:28" ht="11.25" hidden="1" customHeight="1" x14ac:dyDescent="0.15">
      <c r="A401" s="315"/>
      <c r="B401" s="315"/>
      <c r="C401" s="315"/>
      <c r="D401" s="315"/>
      <c r="E401" s="480"/>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row>
    <row r="402" spans="1:28" ht="11.25" hidden="1" customHeight="1" x14ac:dyDescent="0.15">
      <c r="A402" s="315"/>
      <c r="B402" s="315"/>
      <c r="C402" s="315"/>
      <c r="D402" s="315"/>
      <c r="E402" s="480"/>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row>
    <row r="403" spans="1:28" ht="11.25" hidden="1" customHeight="1" x14ac:dyDescent="0.15">
      <c r="A403" s="315"/>
      <c r="B403" s="315"/>
      <c r="C403" s="315"/>
      <c r="D403" s="315"/>
      <c r="E403" s="480"/>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row>
    <row r="404" spans="1:28" ht="11.25" hidden="1" customHeight="1" x14ac:dyDescent="0.15">
      <c r="A404" s="315"/>
      <c r="B404" s="315"/>
      <c r="C404" s="315"/>
      <c r="D404" s="315"/>
      <c r="E404" s="480"/>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row>
    <row r="405" spans="1:28" ht="11.25" hidden="1" customHeight="1" x14ac:dyDescent="0.15">
      <c r="A405" s="315"/>
      <c r="B405" s="315"/>
      <c r="C405" s="315"/>
      <c r="D405" s="315"/>
      <c r="E405" s="480"/>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row>
    <row r="406" spans="1:28" ht="11.25" hidden="1" customHeight="1" x14ac:dyDescent="0.15">
      <c r="A406" s="315"/>
      <c r="B406" s="315"/>
      <c r="C406" s="315"/>
      <c r="D406" s="315"/>
      <c r="E406" s="480"/>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row>
    <row r="407" spans="1:28" ht="11.25" hidden="1" customHeight="1" x14ac:dyDescent="0.15">
      <c r="A407" s="315"/>
      <c r="B407" s="315"/>
      <c r="C407" s="315"/>
      <c r="D407" s="315"/>
      <c r="E407" s="480"/>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row>
  </sheetData>
  <sheetProtection formatColumns="0" formatRows="0" insertRows="0" deleteColumns="0" deleteRows="0" sort="0" autoFilter="0"/>
  <mergeCells count="16">
    <mergeCell ref="AB22:AE22"/>
    <mergeCell ref="AB385:AE385"/>
    <mergeCell ref="AB386:AE386"/>
    <mergeCell ref="X27:X115"/>
    <mergeCell ref="Z27:Z115"/>
    <mergeCell ref="AB23:AE23"/>
    <mergeCell ref="AB24:AB25"/>
    <mergeCell ref="AC24:AC25"/>
    <mergeCell ref="AD24:AD25"/>
    <mergeCell ref="AB384:AE384"/>
    <mergeCell ref="X116:X204"/>
    <mergeCell ref="Z116:Z204"/>
    <mergeCell ref="X205:X293"/>
    <mergeCell ref="Z205:Z293"/>
    <mergeCell ref="X294:X382"/>
    <mergeCell ref="Z294:Z382"/>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69CB-9F88-ACA7-E968-BB852729960F}">
  <sheetPr>
    <tabColor rgb="FF92D050"/>
    <outlinePr summaryBelow="0" summaryRight="0"/>
    <pageSetUpPr fitToPage="1"/>
  </sheetPr>
  <dimension ref="A1:AI11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49"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8" hidden="1"/>
  </cols>
  <sheetData>
    <row r="1" spans="1:35" ht="11.25" hidden="1" customHeight="1" x14ac:dyDescent="0.15">
      <c r="E1" s="22"/>
      <c r="F1" s="22" t="s">
        <v>320</v>
      </c>
      <c r="H1" s="22" t="s">
        <v>330</v>
      </c>
      <c r="T1" s="353" t="s">
        <v>92</v>
      </c>
      <c r="U1" s="353" t="s">
        <v>97</v>
      </c>
      <c r="V1" s="353" t="s">
        <v>93</v>
      </c>
      <c r="W1" s="353" t="s">
        <v>94</v>
      </c>
      <c r="X1" s="353" t="s">
        <v>95</v>
      </c>
      <c r="Y1" s="355" t="s">
        <v>322</v>
      </c>
      <c r="Z1" s="353" t="s">
        <v>99</v>
      </c>
      <c r="AA1" s="355" t="s">
        <v>96</v>
      </c>
      <c r="AC1" s="355" t="s">
        <v>98</v>
      </c>
      <c r="AI1" s="658" t="s">
        <v>323</v>
      </c>
    </row>
    <row r="2" spans="1:35" ht="11.25" hidden="1" customHeight="1" x14ac:dyDescent="0.15">
      <c r="B2" s="341" t="s">
        <v>18</v>
      </c>
      <c r="E2" s="22"/>
    </row>
    <row r="3" spans="1:35" ht="11.25" hidden="1" customHeight="1" x14ac:dyDescent="0.15">
      <c r="E3" s="22"/>
    </row>
    <row r="4" spans="1:35" ht="11.25" hidden="1" customHeight="1" x14ac:dyDescent="0.15">
      <c r="E4" s="22"/>
    </row>
    <row r="5" spans="1:35" s="449" customFormat="1" ht="11.25" hidden="1" customHeight="1" x14ac:dyDescent="0.15">
      <c r="A5" s="22"/>
      <c r="B5" s="22"/>
      <c r="C5" s="22"/>
      <c r="D5" s="22"/>
      <c r="E5" s="449" t="s">
        <v>19</v>
      </c>
      <c r="AA5" s="449">
        <v>3</v>
      </c>
      <c r="AB5" s="449">
        <v>11</v>
      </c>
      <c r="AC5" s="449">
        <v>57</v>
      </c>
      <c r="AD5" s="475">
        <v>14.57</v>
      </c>
      <c r="AE5" s="475">
        <v>12.57</v>
      </c>
      <c r="AF5" s="475">
        <v>12.57</v>
      </c>
      <c r="AG5" s="449">
        <v>3</v>
      </c>
      <c r="AI5" s="658"/>
    </row>
    <row r="6" spans="1:35" ht="11.25" hidden="1" customHeight="1" x14ac:dyDescent="0.15">
      <c r="A6" s="22" t="s">
        <v>358</v>
      </c>
      <c r="AE6" s="17" cm="1">
        <f t="array" ref="AE6">god</f>
        <v>2026</v>
      </c>
      <c r="AF6" s="17" cm="1">
        <f t="array" ref="AF6">god</f>
        <v>2026</v>
      </c>
    </row>
    <row r="7" spans="1:35" ht="11.25" hidden="1" customHeight="1" x14ac:dyDescent="0.15">
      <c r="A7" s="22" t="s">
        <v>359</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58" customFormat="1" ht="11.25" hidden="1" customHeight="1" x14ac:dyDescent="0.15">
      <c r="A9" s="658" t="s">
        <v>364</v>
      </c>
      <c r="AD9" s="675"/>
      <c r="AE9" s="671" t="str" cm="1">
        <f t="array" ref="AE9">AE25</f>
        <v>Предложение организации</v>
      </c>
      <c r="AF9" s="671"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объектов'!AH$24:AH$75,'Перечень объектов'!$F$24:$F$75,$F29,'Перечень объектов'!$L$24:$L$75,"ЭЭ")</f>
        <v>0</v>
      </c>
    </row>
    <row r="19" spans="5:35" ht="11.25" hidden="1" customHeight="1" x14ac:dyDescent="0.15"/>
    <row r="20" spans="5:35" ht="11.25" hidden="1" customHeight="1" x14ac:dyDescent="0.15"/>
    <row r="21" spans="5:35" ht="14.65" customHeight="1" x14ac:dyDescent="0.15">
      <c r="E21" s="449">
        <v>15</v>
      </c>
      <c r="AC21" s="267" t="str" cm="1">
        <f t="array" ref="AC21">tpl_title</f>
        <v>Кемеровская область / 2026 / КАО "Азот" (ИНН:4205000908, КПП:997550001) / ДПР: 2024-2028</v>
      </c>
    </row>
    <row r="22" spans="5:35" ht="32.85" customHeight="1" x14ac:dyDescent="0.15">
      <c r="E22" s="449">
        <v>33.75</v>
      </c>
      <c r="AB22" s="1042" t="s">
        <v>90</v>
      </c>
      <c r="AC22" s="1043"/>
      <c r="AD22" s="1043"/>
      <c r="AE22" s="1043"/>
      <c r="AF22" s="1043"/>
    </row>
    <row r="23" spans="5:35" ht="10.9" customHeight="1" x14ac:dyDescent="0.15">
      <c r="E23" s="449">
        <v>11.25</v>
      </c>
      <c r="AB23" s="1007"/>
      <c r="AC23" s="1007"/>
      <c r="AD23" s="1007"/>
      <c r="AE23" s="1007"/>
      <c r="AF23" s="1007"/>
    </row>
    <row r="24" spans="5:35" ht="14.65" customHeight="1" x14ac:dyDescent="0.15">
      <c r="E24" s="449">
        <v>15</v>
      </c>
      <c r="AB24" s="993" t="s">
        <v>810</v>
      </c>
      <c r="AC24" s="1039" t="s">
        <v>193</v>
      </c>
      <c r="AD24" s="993" t="s">
        <v>368</v>
      </c>
      <c r="AE24" s="1098" t="str">
        <f>god&amp;" год"</f>
        <v>2026 год</v>
      </c>
      <c r="AF24" s="1099"/>
    </row>
    <row r="25" spans="5:35" ht="48.75" customHeight="1" x14ac:dyDescent="0.15">
      <c r="E25" s="449">
        <v>50</v>
      </c>
      <c r="AB25" s="993"/>
      <c r="AC25" s="1039"/>
      <c r="AD25" s="993"/>
      <c r="AE25" s="731" t="s">
        <v>361</v>
      </c>
      <c r="AF25" s="9" t="s">
        <v>360</v>
      </c>
    </row>
    <row r="26" spans="5:35" ht="11.25" hidden="1" customHeight="1" x14ac:dyDescent="0.15">
      <c r="E26" s="449">
        <v>0</v>
      </c>
      <c r="AB26" s="523"/>
      <c r="AC26" s="530"/>
      <c r="AD26" s="523"/>
      <c r="AE26" s="209"/>
      <c r="AF26" s="209"/>
    </row>
    <row r="27" spans="5:35" ht="14.65" hidden="1" customHeight="1" x14ac:dyDescent="0.15">
      <c r="E27" s="449">
        <v>15</v>
      </c>
      <c r="F27" s="22" cm="1">
        <f t="array" ref="F27">X27</f>
        <v>0</v>
      </c>
      <c r="T27" s="353" t="b">
        <f>X27&gt;0</f>
        <v>0</v>
      </c>
      <c r="V27" s="22" t="s">
        <v>264</v>
      </c>
      <c r="X27" s="1022">
        <v>0</v>
      </c>
      <c r="Z27" s="1023"/>
      <c r="AB27" s="135" t="str" cm="1">
        <f t="array" ref="AB27">INDEX('Общие сведения'!$AG$179:$AG$236,MATCH($X27,'Общие сведения'!$Z$179:$Z$236,0))</f>
        <v xml:space="preserve">Тариф 0 () - </v>
      </c>
      <c r="AC27" s="586"/>
      <c r="AD27" s="789"/>
      <c r="AE27" s="789"/>
      <c r="AF27" s="790"/>
    </row>
    <row r="28" spans="5:35" s="63" customFormat="1" ht="21.95" hidden="1" customHeight="1" x14ac:dyDescent="0.15">
      <c r="E28" s="488">
        <v>22.5</v>
      </c>
      <c r="F28" s="3" cm="1">
        <f t="array" aca="1" ref="F28" ca="1">OFFSET(E28,-1,1)</f>
        <v>0</v>
      </c>
      <c r="H28" s="22" t="s">
        <v>331</v>
      </c>
      <c r="I28" s="22"/>
      <c r="J28" s="22"/>
      <c r="K28" s="22"/>
      <c r="T28" s="353" t="b" cm="1">
        <f t="array" ref="T28">T27</f>
        <v>0</v>
      </c>
      <c r="X28" s="1022"/>
      <c r="Z28" s="1023"/>
      <c r="AB28" s="383" t="s">
        <v>275</v>
      </c>
      <c r="AC28" s="391" t="s">
        <v>2496</v>
      </c>
      <c r="AD28" s="383" t="s">
        <v>828</v>
      </c>
      <c r="AE28" s="387">
        <f ca="1">(AE29+AE37)*AE35</f>
        <v>0</v>
      </c>
      <c r="AF28" s="387">
        <f ca="1">(AF29+AF37)*AF35</f>
        <v>0</v>
      </c>
      <c r="AI28" s="681" t="s">
        <v>2497</v>
      </c>
    </row>
    <row r="29" spans="5:35" ht="21.95" hidden="1" customHeight="1" x14ac:dyDescent="0.15">
      <c r="E29" s="449">
        <v>22.5</v>
      </c>
      <c r="F29" s="3" cm="1">
        <f t="array" aca="1" ref="F29" ca="1">OFFSET(E29,-1,1)</f>
        <v>0</v>
      </c>
      <c r="G29" s="22" t="s">
        <v>2498</v>
      </c>
      <c r="H29" s="22" t="s">
        <v>332</v>
      </c>
      <c r="K29" s="22" t="str">
        <f ca="1">F29&amp;G29</f>
        <v>0УТР</v>
      </c>
      <c r="L29" s="711" cm="1">
        <f t="array" ref="L29">AE29</f>
        <v>0</v>
      </c>
      <c r="M29" s="711" cm="1">
        <f t="array" ref="M29">AF29</f>
        <v>0</v>
      </c>
      <c r="T29" s="353" t="b" cm="1">
        <f t="array" ref="T29">T28</f>
        <v>0</v>
      </c>
      <c r="X29" s="1022"/>
      <c r="Z29" s="1023"/>
      <c r="AB29" s="383" t="s">
        <v>285</v>
      </c>
      <c r="AC29" s="386" t="s">
        <v>1108</v>
      </c>
      <c r="AD29" s="383" t="s">
        <v>1100</v>
      </c>
      <c r="AE29" s="387">
        <f>IF(AE34=0,0,(AE30-IF(SUMIFS('Перечень объектов'!AH$24:AH$75,'Перечень объектов'!$F$24:$F$75,$F29,'Перечень объектов'!$G$24:$G$75,"ЭЭ")&gt;0,0,AE31))/AE34)</f>
        <v>0</v>
      </c>
      <c r="AF29" s="387">
        <f>IF(AF34=0,0,(AF30-IF(SUMIFS('Перечень объектов'!AI$24:AI$75,'Перечень объектов'!$F$24:$F$75,$F29,'Перечень объектов'!$G$24:$G$75,"ЭЭ")&gt;0,0,AF31))/AF34)</f>
        <v>0</v>
      </c>
      <c r="AI29" s="658" t="s">
        <v>2499</v>
      </c>
    </row>
    <row r="30" spans="5:35" ht="32.85" hidden="1" customHeight="1" x14ac:dyDescent="0.15">
      <c r="E30" s="449">
        <v>33.75</v>
      </c>
      <c r="F30" s="3" cm="1">
        <f t="array" aca="1" ref="F30" ca="1">OFFSET(E30,-1,1)</f>
        <v>0</v>
      </c>
      <c r="H30" s="22" t="s">
        <v>500</v>
      </c>
      <c r="T30" s="353" t="b" cm="1">
        <f t="array" ref="T30">T29</f>
        <v>0</v>
      </c>
      <c r="X30" s="1022"/>
      <c r="Z30" s="1023"/>
      <c r="AB30" s="383" t="s">
        <v>561</v>
      </c>
      <c r="AC30" s="409" t="s">
        <v>2500</v>
      </c>
      <c r="AD30" s="383" t="s">
        <v>828</v>
      </c>
      <c r="AE30" s="890"/>
      <c r="AF30" s="387">
        <f ca="1">SUMIFS(ГО!AE$25:AE$383,ГО!$F$25:$F$383,$F30,ГО!$G$25:$G$383,"Итог")*(1+AF32/100)*(1+AF33/100)</f>
        <v>0</v>
      </c>
      <c r="AI30" s="658" t="s">
        <v>2501</v>
      </c>
    </row>
    <row r="31" spans="5:35" s="63" customFormat="1" ht="14.65" hidden="1" customHeight="1" x14ac:dyDescent="0.15">
      <c r="E31" s="488">
        <v>15</v>
      </c>
      <c r="F31" s="3" cm="1">
        <f t="array" aca="1" ref="F31" ca="1">OFFSET(E31,-1,1)</f>
        <v>0</v>
      </c>
      <c r="H31" s="22" t="s">
        <v>1570</v>
      </c>
      <c r="I31" s="22"/>
      <c r="J31" s="22"/>
      <c r="K31" s="22"/>
      <c r="T31" s="353" t="b" cm="1">
        <f t="array" ref="T31">T30</f>
        <v>0</v>
      </c>
      <c r="X31" s="1022"/>
      <c r="Z31" s="1023"/>
      <c r="AB31" s="383" t="s">
        <v>508</v>
      </c>
      <c r="AC31" s="791" t="s">
        <v>2502</v>
      </c>
      <c r="AD31" s="383" t="s">
        <v>828</v>
      </c>
      <c r="AE31" s="890"/>
      <c r="AF31" s="387">
        <f ca="1">SUMIFS(ГО!AE$25:AE$383,ГО!$F$25:$F$383,$F31,ГО!$G$25:$G$383,"ЭЭ")*(1+AF32/100)*(1+AF33/100)</f>
        <v>0</v>
      </c>
      <c r="AI31" s="681" t="s">
        <v>1750</v>
      </c>
    </row>
    <row r="32" spans="5:35" s="63" customFormat="1" ht="14.65" hidden="1" customHeight="1" x14ac:dyDescent="0.15">
      <c r="E32" s="488">
        <v>15</v>
      </c>
      <c r="F32" s="3" cm="1">
        <f t="array" aca="1" ref="F32" ca="1">OFFSET(E32,-1,1)</f>
        <v>0</v>
      </c>
      <c r="H32" s="22" t="s">
        <v>503</v>
      </c>
      <c r="I32" s="22"/>
      <c r="J32" s="22"/>
      <c r="K32" s="22"/>
      <c r="T32" s="353" t="b" cm="1">
        <f t="array" ref="T32">T31</f>
        <v>0</v>
      </c>
      <c r="X32" s="1022"/>
      <c r="Z32" s="1023"/>
      <c r="AB32" s="383" t="s">
        <v>565</v>
      </c>
      <c r="AC32" s="409" t="str">
        <f>"индекс потребительских цен на "&amp;god-1&amp;" год"</f>
        <v>индекс потребительских цен на 2025 год</v>
      </c>
      <c r="AD32" s="383" t="s">
        <v>476</v>
      </c>
      <c r="AE32" s="890"/>
      <c r="AF32" s="890"/>
      <c r="AI32" s="681" t="s">
        <v>2503</v>
      </c>
    </row>
    <row r="33" spans="5:35" s="63" customFormat="1" ht="14.65" hidden="1" customHeight="1" x14ac:dyDescent="0.15">
      <c r="E33" s="488">
        <v>15</v>
      </c>
      <c r="F33" s="3" cm="1">
        <f t="array" aca="1" ref="F33" ca="1">OFFSET(E33,-1,1)</f>
        <v>0</v>
      </c>
      <c r="H33" s="22" t="s">
        <v>959</v>
      </c>
      <c r="I33" s="22"/>
      <c r="J33" s="22"/>
      <c r="K33" s="22"/>
      <c r="T33" s="353" t="b" cm="1">
        <f t="array" ref="T33">T32</f>
        <v>0</v>
      </c>
      <c r="X33" s="1022"/>
      <c r="Z33" s="1023"/>
      <c r="AB33" s="383" t="s">
        <v>569</v>
      </c>
      <c r="AC33" s="409" t="str">
        <f>"индекс потребительских цен на "&amp;god&amp;" год"</f>
        <v>индекс потребительских цен на 2026 год</v>
      </c>
      <c r="AD33" s="383" t="s">
        <v>476</v>
      </c>
      <c r="AE33" s="890"/>
      <c r="AF33" s="890"/>
      <c r="AI33" s="681" t="s">
        <v>2504</v>
      </c>
    </row>
    <row r="34" spans="5:35" s="63" customFormat="1" ht="21.95" hidden="1" customHeight="1" x14ac:dyDescent="0.15">
      <c r="E34" s="488">
        <v>22.5</v>
      </c>
      <c r="F34" s="3" cm="1">
        <f t="array" aca="1" ref="F34" ca="1">OFFSET(E34,-1,1)</f>
        <v>0</v>
      </c>
      <c r="H34" s="22" t="s">
        <v>961</v>
      </c>
      <c r="I34" s="22"/>
      <c r="J34" s="22"/>
      <c r="K34" s="22"/>
      <c r="T34" s="353" t="b" cm="1">
        <f t="array" ref="T34">T33</f>
        <v>0</v>
      </c>
      <c r="X34" s="1022"/>
      <c r="Z34" s="1023"/>
      <c r="AB34" s="383" t="s">
        <v>962</v>
      </c>
      <c r="AC34" s="409" t="s">
        <v>2505</v>
      </c>
      <c r="AD34" s="383" t="s">
        <v>820</v>
      </c>
      <c r="AE34" s="890"/>
      <c r="AF34" s="890"/>
      <c r="AI34" s="681" t="s">
        <v>2506</v>
      </c>
    </row>
    <row r="35" spans="5:35" s="63" customFormat="1" ht="14.65" hidden="1" customHeight="1" x14ac:dyDescent="0.15">
      <c r="E35" s="488">
        <v>15</v>
      </c>
      <c r="F35" s="3" cm="1">
        <f t="array" aca="1" ref="F35" ca="1">OFFSET(E35,-1,1)</f>
        <v>0</v>
      </c>
      <c r="H35" s="22" t="s">
        <v>333</v>
      </c>
      <c r="I35" s="22"/>
      <c r="J35" s="22"/>
      <c r="K35" s="22"/>
      <c r="T35" s="353" t="b" cm="1">
        <f t="array" ref="T35">T34</f>
        <v>0</v>
      </c>
      <c r="X35" s="1022"/>
      <c r="Z35" s="1023"/>
      <c r="AB35" s="383" t="s">
        <v>291</v>
      </c>
      <c r="AC35" s="408" t="s">
        <v>2507</v>
      </c>
      <c r="AD35" s="383" t="s">
        <v>820</v>
      </c>
      <c r="AE35" s="390">
        <f ca="1">SUMIFS('Условные метры'!AL$27:AL$41,'Условные метры'!$F$27:$F$41,$F35,'Условные метры'!$G$27:$G$41,"Итог")</f>
        <v>0</v>
      </c>
      <c r="AF35" s="390">
        <f ca="1">SUMIFS('Условные метры'!AN$27:AN$41,'Условные метры'!$F$27:$F$41,$F35,'Условные метры'!$G$27:$G$41,"Итог")</f>
        <v>0</v>
      </c>
      <c r="AI35" s="681" t="s">
        <v>2508</v>
      </c>
    </row>
    <row r="36" spans="5:35" s="63" customFormat="1" ht="14.65" hidden="1" customHeight="1" x14ac:dyDescent="0.15">
      <c r="E36" s="488">
        <v>15</v>
      </c>
      <c r="F36" s="3" cm="1">
        <f t="array" aca="1" ref="F36" ca="1">OFFSET(E36,-1,1)</f>
        <v>0</v>
      </c>
      <c r="H36" s="22" t="s">
        <v>969</v>
      </c>
      <c r="I36" s="22"/>
      <c r="J36" s="22"/>
      <c r="K36" s="22"/>
      <c r="T36" s="353" t="b" cm="1">
        <f t="array" ref="T36">T35</f>
        <v>0</v>
      </c>
      <c r="X36" s="1022"/>
      <c r="Z36" s="1023"/>
      <c r="AB36" s="383" t="s">
        <v>575</v>
      </c>
      <c r="AC36" s="409" t="s">
        <v>2509</v>
      </c>
      <c r="AD36" s="383" t="s">
        <v>386</v>
      </c>
      <c r="AE36" s="390">
        <f ca="1">SUMIFS('Условные метры'!AK$27:AK$41,'Условные метры'!$F$27:$F$41,$F36,'Условные метры'!$G$27:$G$41,"Итог")</f>
        <v>0</v>
      </c>
      <c r="AF36" s="390">
        <f ca="1">SUMIFS('Условные метры'!AM$27:AM$41,'Условные метры'!$F$27:$F$41,$F36,'Условные метры'!$G$27:$G$41,"Итог")</f>
        <v>0</v>
      </c>
      <c r="AI36" s="681" t="s">
        <v>2510</v>
      </c>
    </row>
    <row r="37" spans="5:35" s="63" customFormat="1" ht="14.65" hidden="1" customHeight="1" x14ac:dyDescent="0.15">
      <c r="E37" s="488">
        <v>15</v>
      </c>
      <c r="F37" s="3" cm="1">
        <f t="array" aca="1" ref="F37" ca="1">OFFSET(E37,-1,1)</f>
        <v>0</v>
      </c>
      <c r="H37" s="22" t="s">
        <v>335</v>
      </c>
      <c r="I37" s="22"/>
      <c r="J37" s="22"/>
      <c r="K37" s="22"/>
      <c r="T37" s="353" t="b" cm="1">
        <f t="array" ref="T37">T36</f>
        <v>0</v>
      </c>
      <c r="X37" s="1022"/>
      <c r="Z37" s="1023"/>
      <c r="AB37" s="383" t="s">
        <v>454</v>
      </c>
      <c r="AC37" s="408" t="s">
        <v>2511</v>
      </c>
      <c r="AD37" s="383" t="s">
        <v>1100</v>
      </c>
      <c r="AE37" s="390">
        <f ca="1">SUMIFS('Амортизация (аналог)'!AE$25:AE$55,'Амортизация (аналог)'!$F$25:$F$55,$F37,'Амортизация (аналог)'!$AB$25:$AB$55,"2")</f>
        <v>0</v>
      </c>
      <c r="AF37" s="390">
        <f ca="1">SUMIFS('Амортизация (аналог)'!AF$25:AF$55,'Амортизация (аналог)'!$F$25:$F$55,$F37,'Амортизация (аналог)'!$AB$25:$AB$55,"2")</f>
        <v>0</v>
      </c>
      <c r="AI37" s="681" t="s">
        <v>2512</v>
      </c>
    </row>
    <row r="38" spans="5:35" s="63" customFormat="1" ht="14.65" hidden="1" customHeight="1" x14ac:dyDescent="0.15">
      <c r="E38" s="488">
        <v>15</v>
      </c>
      <c r="F38" s="3" cm="1">
        <f t="array" aca="1" ref="F38" ca="1">OFFSET(E38,-1,1)</f>
        <v>0</v>
      </c>
      <c r="H38" s="22" t="s">
        <v>560</v>
      </c>
      <c r="I38" s="22"/>
      <c r="J38" s="22"/>
      <c r="K38" s="22"/>
      <c r="T38" s="353" t="b" cm="1">
        <f t="array" ref="T38">T37</f>
        <v>0</v>
      </c>
      <c r="X38" s="1022"/>
      <c r="Z38" s="1023"/>
      <c r="AB38" s="383" t="s">
        <v>697</v>
      </c>
      <c r="AC38" s="792" t="s">
        <v>2513</v>
      </c>
      <c r="AD38" s="383" t="s">
        <v>476</v>
      </c>
      <c r="AE38" s="387">
        <f>IF(AE29=0,0,AE37/AE29*100)</f>
        <v>0</v>
      </c>
      <c r="AF38" s="387">
        <f>IF(AF29=0,0,AF37/AF29*100)</f>
        <v>0</v>
      </c>
      <c r="AI38" s="681" t="s">
        <v>2514</v>
      </c>
    </row>
    <row r="39" spans="5:35" s="63" customFormat="1" ht="21.95" hidden="1" customHeight="1" x14ac:dyDescent="0.15">
      <c r="E39" s="488">
        <v>22.5</v>
      </c>
      <c r="F39" s="3" cm="1">
        <f t="array" aca="1" ref="F39" ca="1">OFFSET(E39,-1,1)</f>
        <v>0</v>
      </c>
      <c r="G39" s="72" t="s">
        <v>1653</v>
      </c>
      <c r="H39" s="22" t="s">
        <v>334</v>
      </c>
      <c r="I39" s="22"/>
      <c r="J39" s="22"/>
      <c r="K39" s="22"/>
      <c r="T39" s="353" t="b" cm="1">
        <f t="array" ref="T39">T38</f>
        <v>0</v>
      </c>
      <c r="X39" s="1022"/>
      <c r="Z39" s="1023"/>
      <c r="AB39" s="383" t="s">
        <v>460</v>
      </c>
      <c r="AC39" s="407" t="s">
        <v>2515</v>
      </c>
      <c r="AD39" s="383" t="s">
        <v>2516</v>
      </c>
      <c r="AE39" s="390">
        <f ca="1">SUMIFS(Баланс!$AI$25:$AI$391,Баланс!$F$25:$F$391,$F39,Баланс!$G$25:$G$391,"ПО")</f>
        <v>0</v>
      </c>
      <c r="AF39" s="390">
        <f ca="1">SUMIFS(Баланс!$AS$25:$AS$391,Баланс!$F$25:$F$391,$F39,Баланс!$G$25:$G$391,"ПО")</f>
        <v>0</v>
      </c>
      <c r="AI39" s="681" t="s">
        <v>1122</v>
      </c>
    </row>
    <row r="40" spans="5:35" s="63" customFormat="1" ht="14.65" hidden="1" customHeight="1" x14ac:dyDescent="0.15">
      <c r="E40" s="488">
        <v>15</v>
      </c>
      <c r="F40" s="3" cm="1">
        <f t="array" aca="1" ref="F40" ca="1">OFFSET(E40,-1,1)</f>
        <v>0</v>
      </c>
      <c r="G40" s="25" t="s">
        <v>1680</v>
      </c>
      <c r="H40" s="22" t="s">
        <v>574</v>
      </c>
      <c r="I40" s="22"/>
      <c r="J40" s="22"/>
      <c r="K40" s="22"/>
      <c r="T40" s="353" t="b" cm="1">
        <f t="array" ref="T40">T39</f>
        <v>0</v>
      </c>
      <c r="X40" s="1022"/>
      <c r="Z40" s="1023"/>
      <c r="AB40" s="383" t="s">
        <v>704</v>
      </c>
      <c r="AC40" s="732" t="s">
        <v>2517</v>
      </c>
      <c r="AD40" s="383" t="s">
        <v>2516</v>
      </c>
      <c r="AE40" s="891"/>
      <c r="AF40" s="891"/>
      <c r="AI40" s="681" t="s">
        <v>2518</v>
      </c>
    </row>
    <row r="41" spans="5:35" s="63" customFormat="1" ht="14.65" hidden="1" customHeight="1" x14ac:dyDescent="0.15">
      <c r="E41" s="488">
        <v>15</v>
      </c>
      <c r="F41" s="3" cm="1">
        <f t="array" aca="1" ref="F41" ca="1">OFFSET(E41,-1,1)</f>
        <v>0</v>
      </c>
      <c r="G41" s="25" t="s">
        <v>1693</v>
      </c>
      <c r="H41" s="22" t="s">
        <v>578</v>
      </c>
      <c r="I41" s="22"/>
      <c r="J41" s="22"/>
      <c r="K41" s="22"/>
      <c r="T41" s="353" t="b" cm="1">
        <f t="array" ref="T41">T40</f>
        <v>0</v>
      </c>
      <c r="X41" s="1022"/>
      <c r="Z41" s="1023"/>
      <c r="AB41" s="383" t="s">
        <v>707</v>
      </c>
      <c r="AC41" s="732" t="s">
        <v>2519</v>
      </c>
      <c r="AD41" s="383" t="s">
        <v>2516</v>
      </c>
      <c r="AE41" s="390">
        <f ca="1">AE39-AE40</f>
        <v>0</v>
      </c>
      <c r="AF41" s="390">
        <f ca="1">AF39-AF40</f>
        <v>0</v>
      </c>
      <c r="AI41" s="681" t="s">
        <v>2520</v>
      </c>
    </row>
    <row r="42" spans="5:35" s="63" customFormat="1" ht="14.65" hidden="1" customHeight="1" x14ac:dyDescent="0.15">
      <c r="E42" s="488">
        <v>15</v>
      </c>
      <c r="F42" s="3" cm="1">
        <f t="array" aca="1" ref="F42" ca="1">OFFSET(E42,-1,1)</f>
        <v>0</v>
      </c>
      <c r="H42" s="22" t="s">
        <v>532</v>
      </c>
      <c r="I42" s="22"/>
      <c r="J42" s="22"/>
      <c r="K42" s="22"/>
      <c r="T42" s="353" t="b" cm="1">
        <f t="array" ref="T42">T41</f>
        <v>0</v>
      </c>
      <c r="X42" s="1022"/>
      <c r="Z42" s="1023"/>
      <c r="AB42" s="383" t="s">
        <v>536</v>
      </c>
      <c r="AC42" s="407" t="s">
        <v>2521</v>
      </c>
      <c r="AD42" s="383" t="s">
        <v>1644</v>
      </c>
      <c r="AE42" s="387">
        <f ca="1">IF(AE39=0,0,AE28/AE39)</f>
        <v>0</v>
      </c>
      <c r="AF42" s="387">
        <f ca="1">IF(AF39=0,0,AF28/AF39)</f>
        <v>0</v>
      </c>
      <c r="AI42" s="681" t="s">
        <v>1173</v>
      </c>
    </row>
    <row r="43" spans="5:35" s="63" customFormat="1" ht="14.65" hidden="1" customHeight="1" x14ac:dyDescent="0.15">
      <c r="E43" s="488">
        <v>15</v>
      </c>
      <c r="F43" s="3" cm="1">
        <f t="array" aca="1" ref="F43" ca="1">OFFSET(E43,-1,1)</f>
        <v>0</v>
      </c>
      <c r="G43" s="25" t="s">
        <v>1641</v>
      </c>
      <c r="H43" s="22" t="s">
        <v>720</v>
      </c>
      <c r="I43" s="22"/>
      <c r="J43" s="22"/>
      <c r="K43" s="22"/>
      <c r="T43" s="353" t="b" cm="1">
        <f t="array" ref="T43">T42</f>
        <v>0</v>
      </c>
      <c r="X43" s="1022"/>
      <c r="Z43" s="1023"/>
      <c r="AB43" s="383" t="s">
        <v>2522</v>
      </c>
      <c r="AC43" s="733" t="s">
        <v>2523</v>
      </c>
      <c r="AD43" s="383" t="s">
        <v>1644</v>
      </c>
      <c r="AE43" s="890"/>
      <c r="AF43" s="890"/>
      <c r="AI43" s="681" t="s">
        <v>2524</v>
      </c>
    </row>
    <row r="44" spans="5:35" s="63" customFormat="1" ht="14.65" hidden="1" customHeight="1" x14ac:dyDescent="0.15">
      <c r="E44" s="488">
        <v>15</v>
      </c>
      <c r="F44" s="3" cm="1">
        <f t="array" aca="1" ref="F44" ca="1">OFFSET(E44,-1,1)</f>
        <v>0</v>
      </c>
      <c r="G44" s="25" t="s">
        <v>1646</v>
      </c>
      <c r="H44" s="22" t="s">
        <v>723</v>
      </c>
      <c r="I44" s="22"/>
      <c r="J44" s="22"/>
      <c r="K44" s="22"/>
      <c r="T44" s="353" t="b" cm="1">
        <f t="array" ref="T44">T43</f>
        <v>0</v>
      </c>
      <c r="X44" s="1022"/>
      <c r="Z44" s="1023"/>
      <c r="AB44" s="383" t="s">
        <v>2525</v>
      </c>
      <c r="AC44" s="733" t="s">
        <v>2526</v>
      </c>
      <c r="AD44" s="383" t="s">
        <v>1644</v>
      </c>
      <c r="AE44" s="890">
        <f ca="1">IF(AE41=0,0,(AE28-AE43*AE40)/AE41)</f>
        <v>0</v>
      </c>
      <c r="AF44" s="890">
        <f ca="1">IF(AF41=0,0,(AF28-AF43*AF40)/AF41)</f>
        <v>0</v>
      </c>
      <c r="AI44" s="681" t="s">
        <v>2527</v>
      </c>
    </row>
    <row r="45" spans="5:35" ht="14.65" hidden="1" customHeight="1" x14ac:dyDescent="0.15">
      <c r="E45" s="449">
        <v>15</v>
      </c>
      <c r="F45" s="3" cm="1">
        <f t="array" aca="1" ref="F45" ca="1">OFFSET(E45,-1,1)</f>
        <v>0</v>
      </c>
      <c r="H45" s="22" t="s">
        <v>699</v>
      </c>
      <c r="T45" s="353" t="b" cm="1">
        <f t="array" ref="T45">T44</f>
        <v>0</v>
      </c>
      <c r="X45" s="1022"/>
      <c r="Z45" s="1023"/>
      <c r="AB45" s="383" t="s">
        <v>594</v>
      </c>
      <c r="AC45" s="401" t="s">
        <v>2528</v>
      </c>
      <c r="AD45" s="383" t="s">
        <v>476</v>
      </c>
      <c r="AE45" s="387">
        <f>IF(AE43=0,0,AE44/AE43*100)</f>
        <v>0</v>
      </c>
      <c r="AF45" s="387">
        <f>IF(AF43=0,0,AF44/AF43*100)</f>
        <v>0</v>
      </c>
      <c r="AI45" s="658" t="s">
        <v>2529</v>
      </c>
    </row>
    <row r="46" spans="5:35" ht="14.25" customHeight="1" x14ac:dyDescent="0.15">
      <c r="E46" s="449">
        <v>15</v>
      </c>
      <c r="F46" s="22" t="str" cm="1">
        <f t="array" ref="F46">X46</f>
        <v>1</v>
      </c>
      <c r="T46" s="353" t="b">
        <f>X46&gt;0</f>
        <v>1</v>
      </c>
      <c r="V46" s="22" t="str" cm="1">
        <f t="array" ref="V46">ГО!$AB$116</f>
        <v>Тариф 1 (Водоснабжение) - тариф на техническую воду</v>
      </c>
      <c r="X46" s="1022" t="s">
        <v>275</v>
      </c>
      <c r="Z46" s="1023"/>
      <c r="AB46" s="135" t="str" cm="1">
        <f t="array" ref="AB46">ГО!$AB$116</f>
        <v>Тариф 1 (Водоснабжение) - тариф на техническую воду</v>
      </c>
      <c r="AC46" s="586"/>
      <c r="AD46" s="789"/>
      <c r="AE46" s="789"/>
      <c r="AF46" s="790"/>
    </row>
    <row r="47" spans="5:35" s="63" customFormat="1" ht="21.75" customHeight="1" x14ac:dyDescent="0.15">
      <c r="E47" s="488">
        <v>22.5</v>
      </c>
      <c r="F47" s="3" t="str" cm="1">
        <f t="array" aca="1" ref="F47" ca="1">OFFSET(E47,-1,1)</f>
        <v>1</v>
      </c>
      <c r="H47" s="22" t="s">
        <v>331</v>
      </c>
      <c r="I47" s="22"/>
      <c r="J47" s="22"/>
      <c r="K47" s="22"/>
      <c r="T47" s="353" t="b" cm="1">
        <f t="array" ref="T47">T46</f>
        <v>1</v>
      </c>
      <c r="X47" s="1022"/>
      <c r="Z47" s="1023"/>
      <c r="AB47" s="383" t="s">
        <v>275</v>
      </c>
      <c r="AC47" s="391" t="s">
        <v>2496</v>
      </c>
      <c r="AD47" s="383" t="s">
        <v>828</v>
      </c>
      <c r="AE47" s="387">
        <f ca="1">(AE48+AE56)*AE54</f>
        <v>0</v>
      </c>
      <c r="AF47" s="387">
        <f ca="1">(AF48+AF56)*AF54</f>
        <v>0</v>
      </c>
      <c r="AI47" s="681" t="s">
        <v>2497</v>
      </c>
    </row>
    <row r="48" spans="5:35" ht="21.75" customHeight="1" x14ac:dyDescent="0.15">
      <c r="E48" s="449">
        <v>22.5</v>
      </c>
      <c r="F48" s="3" t="str" cm="1">
        <f t="array" aca="1" ref="F48" ca="1">OFFSET(E48,-1,1)</f>
        <v>1</v>
      </c>
      <c r="G48" s="22" t="s">
        <v>2498</v>
      </c>
      <c r="H48" s="22" t="s">
        <v>332</v>
      </c>
      <c r="K48" s="22" t="str">
        <f ca="1">F48&amp;G48</f>
        <v>1УТР</v>
      </c>
      <c r="L48" s="711" cm="1">
        <f t="array" ref="L48">AE48</f>
        <v>0</v>
      </c>
      <c r="M48" s="711" cm="1">
        <f t="array" ref="M48">AF48</f>
        <v>0</v>
      </c>
      <c r="T48" s="353" t="b" cm="1">
        <f t="array" ref="T48">T47</f>
        <v>1</v>
      </c>
      <c r="X48" s="1022"/>
      <c r="Z48" s="1023"/>
      <c r="AB48" s="383" t="s">
        <v>285</v>
      </c>
      <c r="AC48" s="386" t="s">
        <v>1108</v>
      </c>
      <c r="AD48" s="383" t="s">
        <v>1100</v>
      </c>
      <c r="AE48" s="387">
        <f>IF(AE53=0,0,(AE49-IF(SUMIFS('Перечень объектов'!AH$24:AH$75,'Перечень объектов'!$F$24:$F$75,$F48,'Перечень объектов'!$G$24:$G$75,"ЭЭ")&gt;0,0,AE50))/AE53)</f>
        <v>0</v>
      </c>
      <c r="AF48" s="387">
        <f>IF(AF53=0,0,(AF49-IF(SUMIFS('Перечень объектов'!AI$24:AI$75,'Перечень объектов'!$F$24:$F$75,$F48,'Перечень объектов'!$G$24:$G$75,"ЭЭ")&gt;0,0,AF50))/AF53)</f>
        <v>0</v>
      </c>
      <c r="AI48" s="658" t="s">
        <v>2499</v>
      </c>
    </row>
    <row r="49" spans="5:35" ht="32.25" customHeight="1" x14ac:dyDescent="0.15">
      <c r="E49" s="449">
        <v>33.75</v>
      </c>
      <c r="F49" s="3" t="str" cm="1">
        <f t="array" aca="1" ref="F49" ca="1">OFFSET(E49,-1,1)</f>
        <v>1</v>
      </c>
      <c r="H49" s="22" t="s">
        <v>500</v>
      </c>
      <c r="T49" s="353" t="b" cm="1">
        <f t="array" ref="T49">T48</f>
        <v>1</v>
      </c>
      <c r="X49" s="1022"/>
      <c r="Z49" s="1023"/>
      <c r="AB49" s="383" t="s">
        <v>561</v>
      </c>
      <c r="AC49" s="409" t="s">
        <v>2500</v>
      </c>
      <c r="AD49" s="383" t="s">
        <v>828</v>
      </c>
      <c r="AE49" s="394"/>
      <c r="AF49" s="387">
        <f ca="1">SUMIFS(ГО!AE$25:AE$383,ГО!$F$25:$F$383,$F49,ГО!$G$25:$G$383,"Итог")*(1+AF51/100)*(1+AF52/100)</f>
        <v>0</v>
      </c>
      <c r="AI49" s="658" t="s">
        <v>2501</v>
      </c>
    </row>
    <row r="50" spans="5:35" s="63" customFormat="1" ht="14.25" customHeight="1" x14ac:dyDescent="0.15">
      <c r="E50" s="488">
        <v>15</v>
      </c>
      <c r="F50" s="3" t="str" cm="1">
        <f t="array" aca="1" ref="F50" ca="1">OFFSET(E50,-1,1)</f>
        <v>1</v>
      </c>
      <c r="H50" s="22" t="s">
        <v>1570</v>
      </c>
      <c r="I50" s="22"/>
      <c r="J50" s="22"/>
      <c r="K50" s="22"/>
      <c r="T50" s="353" t="b" cm="1">
        <f t="array" ref="T50">T49</f>
        <v>1</v>
      </c>
      <c r="X50" s="1022"/>
      <c r="Z50" s="1023"/>
      <c r="AB50" s="383" t="s">
        <v>508</v>
      </c>
      <c r="AC50" s="791" t="s">
        <v>2502</v>
      </c>
      <c r="AD50" s="383" t="s">
        <v>828</v>
      </c>
      <c r="AE50" s="394"/>
      <c r="AF50" s="387">
        <f ca="1">SUMIFS(ГО!AE$25:AE$383,ГО!$F$25:$F$383,$F50,ГО!$G$25:$G$383,"ЭЭ")*(1+AF51/100)*(1+AF52/100)</f>
        <v>0</v>
      </c>
      <c r="AI50" s="681" t="s">
        <v>1750</v>
      </c>
    </row>
    <row r="51" spans="5:35" s="63" customFormat="1" ht="14.25" customHeight="1" x14ac:dyDescent="0.15">
      <c r="E51" s="488">
        <v>15</v>
      </c>
      <c r="F51" s="3" t="str" cm="1">
        <f t="array" aca="1" ref="F51" ca="1">OFFSET(E51,-1,1)</f>
        <v>1</v>
      </c>
      <c r="H51" s="22" t="s">
        <v>503</v>
      </c>
      <c r="I51" s="22"/>
      <c r="J51" s="22"/>
      <c r="K51" s="22"/>
      <c r="T51" s="353" t="b" cm="1">
        <f t="array" ref="T51">T50</f>
        <v>1</v>
      </c>
      <c r="X51" s="1022"/>
      <c r="Z51" s="1023"/>
      <c r="AB51" s="383" t="s">
        <v>565</v>
      </c>
      <c r="AC51" s="409" t="str">
        <f>"индекс потребительских цен на "&amp;god-1&amp;" год"</f>
        <v>индекс потребительских цен на 2025 год</v>
      </c>
      <c r="AD51" s="383" t="s">
        <v>476</v>
      </c>
      <c r="AE51" s="394"/>
      <c r="AF51" s="394"/>
      <c r="AI51" s="681" t="s">
        <v>2503</v>
      </c>
    </row>
    <row r="52" spans="5:35" s="63" customFormat="1" ht="14.25" customHeight="1" x14ac:dyDescent="0.15">
      <c r="E52" s="488">
        <v>15</v>
      </c>
      <c r="F52" s="3" t="str" cm="1">
        <f t="array" aca="1" ref="F52" ca="1">OFFSET(E52,-1,1)</f>
        <v>1</v>
      </c>
      <c r="H52" s="22" t="s">
        <v>959</v>
      </c>
      <c r="I52" s="22"/>
      <c r="J52" s="22"/>
      <c r="K52" s="22"/>
      <c r="T52" s="353" t="b" cm="1">
        <f t="array" ref="T52">T51</f>
        <v>1</v>
      </c>
      <c r="X52" s="1022"/>
      <c r="Z52" s="1023"/>
      <c r="AB52" s="383" t="s">
        <v>569</v>
      </c>
      <c r="AC52" s="409" t="str">
        <f>"индекс потребительских цен на "&amp;god&amp;" год"</f>
        <v>индекс потребительских цен на 2026 год</v>
      </c>
      <c r="AD52" s="383" t="s">
        <v>476</v>
      </c>
      <c r="AE52" s="394"/>
      <c r="AF52" s="394"/>
      <c r="AI52" s="681" t="s">
        <v>2504</v>
      </c>
    </row>
    <row r="53" spans="5:35" s="63" customFormat="1" ht="21.75" customHeight="1" x14ac:dyDescent="0.15">
      <c r="E53" s="488">
        <v>22.5</v>
      </c>
      <c r="F53" s="3" t="str" cm="1">
        <f t="array" aca="1" ref="F53" ca="1">OFFSET(E53,-1,1)</f>
        <v>1</v>
      </c>
      <c r="H53" s="22" t="s">
        <v>961</v>
      </c>
      <c r="I53" s="22"/>
      <c r="J53" s="22"/>
      <c r="K53" s="22"/>
      <c r="T53" s="353" t="b" cm="1">
        <f t="array" ref="T53">T52</f>
        <v>1</v>
      </c>
      <c r="X53" s="1022"/>
      <c r="Z53" s="1023"/>
      <c r="AB53" s="383" t="s">
        <v>962</v>
      </c>
      <c r="AC53" s="409" t="s">
        <v>2505</v>
      </c>
      <c r="AD53" s="383" t="s">
        <v>820</v>
      </c>
      <c r="AE53" s="394"/>
      <c r="AF53" s="394"/>
      <c r="AI53" s="681" t="s">
        <v>2506</v>
      </c>
    </row>
    <row r="54" spans="5:35" s="63" customFormat="1" ht="14.25" customHeight="1" x14ac:dyDescent="0.15">
      <c r="E54" s="488">
        <v>15</v>
      </c>
      <c r="F54" s="3" t="str" cm="1">
        <f t="array" aca="1" ref="F54" ca="1">OFFSET(E54,-1,1)</f>
        <v>1</v>
      </c>
      <c r="H54" s="22" t="s">
        <v>333</v>
      </c>
      <c r="I54" s="22"/>
      <c r="J54" s="22"/>
      <c r="K54" s="22"/>
      <c r="T54" s="353" t="b" cm="1">
        <f t="array" ref="T54">T53</f>
        <v>1</v>
      </c>
      <c r="X54" s="1022"/>
      <c r="Z54" s="1023"/>
      <c r="AB54" s="383" t="s">
        <v>291</v>
      </c>
      <c r="AC54" s="408" t="s">
        <v>2507</v>
      </c>
      <c r="AD54" s="383" t="s">
        <v>820</v>
      </c>
      <c r="AE54" s="390">
        <f ca="1">SUMIFS('Условные метры'!AL$27:AL$41,'Условные метры'!$F$27:$F$41,$F54,'Условные метры'!$G$27:$G$41,"Итог")</f>
        <v>0</v>
      </c>
      <c r="AF54" s="390">
        <f ca="1">SUMIFS('Условные метры'!AN$27:AN$41,'Условные метры'!$F$27:$F$41,$F54,'Условные метры'!$G$27:$G$41,"Итог")</f>
        <v>0</v>
      </c>
      <c r="AI54" s="681" t="s">
        <v>2508</v>
      </c>
    </row>
    <row r="55" spans="5:35" s="63" customFormat="1" ht="14.25" customHeight="1" x14ac:dyDescent="0.15">
      <c r="E55" s="488">
        <v>15</v>
      </c>
      <c r="F55" s="3" t="str" cm="1">
        <f t="array" aca="1" ref="F55" ca="1">OFFSET(E55,-1,1)</f>
        <v>1</v>
      </c>
      <c r="H55" s="22" t="s">
        <v>969</v>
      </c>
      <c r="I55" s="22"/>
      <c r="J55" s="22"/>
      <c r="K55" s="22"/>
      <c r="T55" s="353" t="b" cm="1">
        <f t="array" ref="T55">T54</f>
        <v>1</v>
      </c>
      <c r="X55" s="1022"/>
      <c r="Z55" s="1023"/>
      <c r="AB55" s="383" t="s">
        <v>575</v>
      </c>
      <c r="AC55" s="409" t="s">
        <v>2509</v>
      </c>
      <c r="AD55" s="383" t="s">
        <v>386</v>
      </c>
      <c r="AE55" s="390">
        <f ca="1">SUMIFS('Условные метры'!AK$27:AK$41,'Условные метры'!$F$27:$F$41,$F55,'Условные метры'!$G$27:$G$41,"Итог")</f>
        <v>0</v>
      </c>
      <c r="AF55" s="390">
        <f ca="1">SUMIFS('Условные метры'!AM$27:AM$41,'Условные метры'!$F$27:$F$41,$F55,'Условные метры'!$G$27:$G$41,"Итог")</f>
        <v>0</v>
      </c>
      <c r="AI55" s="681" t="s">
        <v>2510</v>
      </c>
    </row>
    <row r="56" spans="5:35" s="63" customFormat="1" ht="14.25" customHeight="1" x14ac:dyDescent="0.15">
      <c r="E56" s="488">
        <v>15</v>
      </c>
      <c r="F56" s="3" t="str" cm="1">
        <f t="array" aca="1" ref="F56" ca="1">OFFSET(E56,-1,1)</f>
        <v>1</v>
      </c>
      <c r="H56" s="22" t="s">
        <v>335</v>
      </c>
      <c r="I56" s="22"/>
      <c r="J56" s="22"/>
      <c r="K56" s="22"/>
      <c r="T56" s="353" t="b" cm="1">
        <f t="array" ref="T56">T55</f>
        <v>1</v>
      </c>
      <c r="X56" s="1022"/>
      <c r="Z56" s="1023"/>
      <c r="AB56" s="383" t="s">
        <v>454</v>
      </c>
      <c r="AC56" s="408" t="s">
        <v>2511</v>
      </c>
      <c r="AD56" s="383" t="s">
        <v>1100</v>
      </c>
      <c r="AE56" s="390">
        <f ca="1">SUMIFS('Амортизация (аналог)'!AE$25:AE$55,'Амортизация (аналог)'!$F$25:$F$55,$F56,'Амортизация (аналог)'!$AB$25:$AB$55,"2")</f>
        <v>0</v>
      </c>
      <c r="AF56" s="390">
        <f ca="1">SUMIFS('Амортизация (аналог)'!AF$25:AF$55,'Амортизация (аналог)'!$F$25:$F$55,$F56,'Амортизация (аналог)'!$AB$25:$AB$55,"2")</f>
        <v>0</v>
      </c>
      <c r="AI56" s="681" t="s">
        <v>2512</v>
      </c>
    </row>
    <row r="57" spans="5:35" s="63" customFormat="1" ht="14.25" customHeight="1" x14ac:dyDescent="0.15">
      <c r="E57" s="488">
        <v>15</v>
      </c>
      <c r="F57" s="3" t="str" cm="1">
        <f t="array" aca="1" ref="F57" ca="1">OFFSET(E57,-1,1)</f>
        <v>1</v>
      </c>
      <c r="H57" s="22" t="s">
        <v>560</v>
      </c>
      <c r="I57" s="22"/>
      <c r="J57" s="22"/>
      <c r="K57" s="22"/>
      <c r="T57" s="353" t="b" cm="1">
        <f t="array" ref="T57">T56</f>
        <v>1</v>
      </c>
      <c r="X57" s="1022"/>
      <c r="Z57" s="1023"/>
      <c r="AB57" s="383" t="s">
        <v>697</v>
      </c>
      <c r="AC57" s="792" t="s">
        <v>2513</v>
      </c>
      <c r="AD57" s="383" t="s">
        <v>476</v>
      </c>
      <c r="AE57" s="387">
        <f>IF(AE48=0,0,AE56/AE48*100)</f>
        <v>0</v>
      </c>
      <c r="AF57" s="387">
        <f>IF(AF48=0,0,AF56/AF48*100)</f>
        <v>0</v>
      </c>
      <c r="AI57" s="681" t="s">
        <v>2514</v>
      </c>
    </row>
    <row r="58" spans="5:35" s="63" customFormat="1" ht="21.75" customHeight="1" x14ac:dyDescent="0.15">
      <c r="E58" s="488">
        <v>22.5</v>
      </c>
      <c r="F58" s="3" t="str" cm="1">
        <f t="array" aca="1" ref="F58" ca="1">OFFSET(E58,-1,1)</f>
        <v>1</v>
      </c>
      <c r="G58" s="72" t="s">
        <v>1653</v>
      </c>
      <c r="H58" s="22" t="s">
        <v>334</v>
      </c>
      <c r="I58" s="22"/>
      <c r="J58" s="22"/>
      <c r="K58" s="22"/>
      <c r="T58" s="353" t="b" cm="1">
        <f t="array" ref="T58">T57</f>
        <v>1</v>
      </c>
      <c r="X58" s="1022"/>
      <c r="Z58" s="1023"/>
      <c r="AB58" s="383" t="s">
        <v>460</v>
      </c>
      <c r="AC58" s="407" t="s">
        <v>2515</v>
      </c>
      <c r="AD58" s="383" t="s">
        <v>2516</v>
      </c>
      <c r="AE58" s="390">
        <f ca="1">SUMIFS(Баланс!$AI$25:$AI$391,Баланс!$F$25:$F$391,$F58,Баланс!$G$25:$G$391,"ПО")</f>
        <v>22004.04</v>
      </c>
      <c r="AF58" s="390">
        <f ca="1">SUMIFS(Баланс!$AS$25:$AS$391,Баланс!$F$25:$F$391,$F58,Баланс!$G$25:$G$391,"ПО")</f>
        <v>19250.848000000002</v>
      </c>
      <c r="AI58" s="681" t="s">
        <v>1122</v>
      </c>
    </row>
    <row r="59" spans="5:35" s="63" customFormat="1" ht="14.25" customHeight="1" x14ac:dyDescent="0.15">
      <c r="E59" s="488">
        <v>15</v>
      </c>
      <c r="F59" s="3" t="str" cm="1">
        <f t="array" aca="1" ref="F59" ca="1">OFFSET(E59,-1,1)</f>
        <v>1</v>
      </c>
      <c r="G59" s="25" t="s">
        <v>1680</v>
      </c>
      <c r="H59" s="22" t="s">
        <v>574</v>
      </c>
      <c r="I59" s="22"/>
      <c r="J59" s="22"/>
      <c r="K59" s="22"/>
      <c r="T59" s="353" t="b" cm="1">
        <f t="array" ref="T59">T58</f>
        <v>1</v>
      </c>
      <c r="X59" s="1022"/>
      <c r="Z59" s="1023"/>
      <c r="AB59" s="383" t="s">
        <v>704</v>
      </c>
      <c r="AC59" s="732" t="s">
        <v>2517</v>
      </c>
      <c r="AD59" s="383" t="s">
        <v>2516</v>
      </c>
      <c r="AE59" s="793"/>
      <c r="AF59" s="793"/>
      <c r="AI59" s="681" t="s">
        <v>2518</v>
      </c>
    </row>
    <row r="60" spans="5:35" s="63" customFormat="1" ht="14.25" customHeight="1" x14ac:dyDescent="0.15">
      <c r="E60" s="488">
        <v>15</v>
      </c>
      <c r="F60" s="3" t="str" cm="1">
        <f t="array" aca="1" ref="F60" ca="1">OFFSET(E60,-1,1)</f>
        <v>1</v>
      </c>
      <c r="G60" s="25" t="s">
        <v>1693</v>
      </c>
      <c r="H60" s="22" t="s">
        <v>578</v>
      </c>
      <c r="I60" s="22"/>
      <c r="J60" s="22"/>
      <c r="K60" s="22"/>
      <c r="T60" s="353" t="b" cm="1">
        <f t="array" ref="T60">T59</f>
        <v>1</v>
      </c>
      <c r="X60" s="1022"/>
      <c r="Z60" s="1023"/>
      <c r="AB60" s="383" t="s">
        <v>707</v>
      </c>
      <c r="AC60" s="732" t="s">
        <v>2519</v>
      </c>
      <c r="AD60" s="383" t="s">
        <v>2516</v>
      </c>
      <c r="AE60" s="390">
        <f ca="1">AE58-AE59</f>
        <v>22004.04</v>
      </c>
      <c r="AF60" s="390">
        <f ca="1">AF58-AF59</f>
        <v>19250.848000000002</v>
      </c>
      <c r="AI60" s="681" t="s">
        <v>2520</v>
      </c>
    </row>
    <row r="61" spans="5:35" s="63" customFormat="1" ht="14.25" customHeight="1" x14ac:dyDescent="0.15">
      <c r="E61" s="488">
        <v>15</v>
      </c>
      <c r="F61" s="3" t="str" cm="1">
        <f t="array" aca="1" ref="F61" ca="1">OFFSET(E61,-1,1)</f>
        <v>1</v>
      </c>
      <c r="H61" s="22" t="s">
        <v>532</v>
      </c>
      <c r="I61" s="22"/>
      <c r="J61" s="22"/>
      <c r="K61" s="22"/>
      <c r="T61" s="353" t="b" cm="1">
        <f t="array" ref="T61">T60</f>
        <v>1</v>
      </c>
      <c r="X61" s="1022"/>
      <c r="Z61" s="1023"/>
      <c r="AB61" s="383" t="s">
        <v>536</v>
      </c>
      <c r="AC61" s="407" t="s">
        <v>2521</v>
      </c>
      <c r="AD61" s="383" t="s">
        <v>1644</v>
      </c>
      <c r="AE61" s="387">
        <f ca="1">IF(AE58=0,0,AE47/AE58)</f>
        <v>0</v>
      </c>
      <c r="AF61" s="387">
        <f ca="1">IF(AF58=0,0,AF47/AF58)</f>
        <v>0</v>
      </c>
      <c r="AI61" s="681" t="s">
        <v>1173</v>
      </c>
    </row>
    <row r="62" spans="5:35" s="63" customFormat="1" ht="14.25" customHeight="1" x14ac:dyDescent="0.15">
      <c r="E62" s="488">
        <v>15</v>
      </c>
      <c r="F62" s="3" t="str" cm="1">
        <f t="array" aca="1" ref="F62" ca="1">OFFSET(E62,-1,1)</f>
        <v>1</v>
      </c>
      <c r="G62" s="25" t="s">
        <v>1641</v>
      </c>
      <c r="H62" s="22" t="s">
        <v>720</v>
      </c>
      <c r="I62" s="22"/>
      <c r="J62" s="22"/>
      <c r="K62" s="22"/>
      <c r="T62" s="353" t="b" cm="1">
        <f t="array" ref="T62">T61</f>
        <v>1</v>
      </c>
      <c r="X62" s="1022"/>
      <c r="Z62" s="1023"/>
      <c r="AB62" s="383" t="s">
        <v>2522</v>
      </c>
      <c r="AC62" s="733" t="s">
        <v>2523</v>
      </c>
      <c r="AD62" s="383" t="s">
        <v>1644</v>
      </c>
      <c r="AE62" s="394"/>
      <c r="AF62" s="394"/>
      <c r="AI62" s="681" t="s">
        <v>2524</v>
      </c>
    </row>
    <row r="63" spans="5:35" s="63" customFormat="1" ht="14.25" customHeight="1" x14ac:dyDescent="0.15">
      <c r="E63" s="488">
        <v>15</v>
      </c>
      <c r="F63" s="3" t="str" cm="1">
        <f t="array" aca="1" ref="F63" ca="1">OFFSET(E63,-1,1)</f>
        <v>1</v>
      </c>
      <c r="G63" s="25" t="s">
        <v>1646</v>
      </c>
      <c r="H63" s="22" t="s">
        <v>723</v>
      </c>
      <c r="I63" s="22"/>
      <c r="J63" s="22"/>
      <c r="K63" s="22"/>
      <c r="T63" s="353" t="b" cm="1">
        <f t="array" ref="T63">T62</f>
        <v>1</v>
      </c>
      <c r="X63" s="1022"/>
      <c r="Z63" s="1023"/>
      <c r="AB63" s="383" t="s">
        <v>2525</v>
      </c>
      <c r="AC63" s="733" t="s">
        <v>2526</v>
      </c>
      <c r="AD63" s="383" t="s">
        <v>1644</v>
      </c>
      <c r="AE63" s="394">
        <f ca="1">IF(AE60=0,0,(AE47-AE62*AE59)/AE60)</f>
        <v>0</v>
      </c>
      <c r="AF63" s="394">
        <f ca="1">IF(AF60=0,0,(AF47-AF62*AF59)/AF60)</f>
        <v>0</v>
      </c>
      <c r="AI63" s="681" t="s">
        <v>2527</v>
      </c>
    </row>
    <row r="64" spans="5:35" ht="14.25" customHeight="1" x14ac:dyDescent="0.15">
      <c r="E64" s="449">
        <v>15</v>
      </c>
      <c r="F64" s="3" t="str" cm="1">
        <f t="array" aca="1" ref="F64" ca="1">OFFSET(E64,-1,1)</f>
        <v>1</v>
      </c>
      <c r="H64" s="22" t="s">
        <v>699</v>
      </c>
      <c r="T64" s="353" t="b" cm="1">
        <f t="array" ref="T64">T63</f>
        <v>1</v>
      </c>
      <c r="X64" s="1022"/>
      <c r="Z64" s="1023"/>
      <c r="AB64" s="383" t="s">
        <v>594</v>
      </c>
      <c r="AC64" s="401" t="s">
        <v>2528</v>
      </c>
      <c r="AD64" s="383" t="s">
        <v>476</v>
      </c>
      <c r="AE64" s="387">
        <f>IF(AE62=0,0,AE63/AE62*100)</f>
        <v>0</v>
      </c>
      <c r="AF64" s="387">
        <f>IF(AF62=0,0,AF63/AF62*100)</f>
        <v>0</v>
      </c>
      <c r="AI64" s="658" t="s">
        <v>2529</v>
      </c>
    </row>
    <row r="65" spans="5:35" ht="14.25" customHeight="1" x14ac:dyDescent="0.15">
      <c r="E65" s="449">
        <v>15</v>
      </c>
      <c r="F65" s="22" t="str" cm="1">
        <f t="array" ref="F65">X65</f>
        <v>2</v>
      </c>
      <c r="T65" s="353" t="b">
        <f>X65&gt;0</f>
        <v>1</v>
      </c>
      <c r="V65" s="22" t="str" cm="1">
        <f t="array" ref="V65">ГО!$AB$205</f>
        <v>Тариф 2 (Водоотведение) - тариф на водоотведение</v>
      </c>
      <c r="X65" s="1022" t="s">
        <v>285</v>
      </c>
      <c r="Z65" s="1023"/>
      <c r="AB65" s="135" t="str" cm="1">
        <f t="array" ref="AB65">ГО!$AB$205</f>
        <v>Тариф 2 (Водоотведение) - тариф на водоотведение</v>
      </c>
      <c r="AC65" s="586"/>
      <c r="AD65" s="789"/>
      <c r="AE65" s="789"/>
      <c r="AF65" s="790"/>
    </row>
    <row r="66" spans="5:35" s="63" customFormat="1" ht="21.75" customHeight="1" x14ac:dyDescent="0.15">
      <c r="E66" s="488">
        <v>22.5</v>
      </c>
      <c r="F66" s="3" t="str" cm="1">
        <f t="array" aca="1" ref="F66" ca="1">OFFSET(E66,-1,1)</f>
        <v>2</v>
      </c>
      <c r="H66" s="22" t="s">
        <v>331</v>
      </c>
      <c r="I66" s="22"/>
      <c r="J66" s="22"/>
      <c r="K66" s="22"/>
      <c r="T66" s="353" t="b" cm="1">
        <f t="array" ref="T66">T65</f>
        <v>1</v>
      </c>
      <c r="X66" s="1022"/>
      <c r="Z66" s="1023"/>
      <c r="AB66" s="383" t="s">
        <v>275</v>
      </c>
      <c r="AC66" s="391" t="s">
        <v>2496</v>
      </c>
      <c r="AD66" s="383" t="s">
        <v>828</v>
      </c>
      <c r="AE66" s="387">
        <f ca="1">(AE67+AE75)*AE73</f>
        <v>0</v>
      </c>
      <c r="AF66" s="387">
        <f ca="1">(AF67+AF75)*AF73</f>
        <v>0</v>
      </c>
      <c r="AI66" s="681" t="s">
        <v>2497</v>
      </c>
    </row>
    <row r="67" spans="5:35" ht="21.75" customHeight="1" x14ac:dyDescent="0.15">
      <c r="E67" s="449">
        <v>22.5</v>
      </c>
      <c r="F67" s="3" t="str" cm="1">
        <f t="array" aca="1" ref="F67" ca="1">OFFSET(E67,-1,1)</f>
        <v>2</v>
      </c>
      <c r="G67" s="22" t="s">
        <v>2498</v>
      </c>
      <c r="H67" s="22" t="s">
        <v>332</v>
      </c>
      <c r="K67" s="22" t="str">
        <f ca="1">F67&amp;G67</f>
        <v>2УТР</v>
      </c>
      <c r="L67" s="711" cm="1">
        <f t="array" ref="L67">AE67</f>
        <v>0</v>
      </c>
      <c r="M67" s="711" cm="1">
        <f t="array" ref="M67">AF67</f>
        <v>0</v>
      </c>
      <c r="T67" s="353" t="b" cm="1">
        <f t="array" ref="T67">T66</f>
        <v>1</v>
      </c>
      <c r="X67" s="1022"/>
      <c r="Z67" s="1023"/>
      <c r="AB67" s="383" t="s">
        <v>285</v>
      </c>
      <c r="AC67" s="386" t="s">
        <v>1108</v>
      </c>
      <c r="AD67" s="383" t="s">
        <v>1100</v>
      </c>
      <c r="AE67" s="387">
        <f>IF(AE72=0,0,(AE68-IF(SUMIFS('Перечень объектов'!AH$24:AH$75,'Перечень объектов'!$F$24:$F$75,$F67,'Перечень объектов'!$G$24:$G$75,"ЭЭ")&gt;0,0,AE69))/AE72)</f>
        <v>0</v>
      </c>
      <c r="AF67" s="387">
        <f>IF(AF72=0,0,(AF68-IF(SUMIFS('Перечень объектов'!AI$24:AI$75,'Перечень объектов'!$F$24:$F$75,$F67,'Перечень объектов'!$G$24:$G$75,"ЭЭ")&gt;0,0,AF69))/AF72)</f>
        <v>0</v>
      </c>
      <c r="AI67" s="658" t="s">
        <v>2499</v>
      </c>
    </row>
    <row r="68" spans="5:35" ht="32.25" customHeight="1" x14ac:dyDescent="0.15">
      <c r="E68" s="449">
        <v>33.75</v>
      </c>
      <c r="F68" s="3" t="str" cm="1">
        <f t="array" aca="1" ref="F68" ca="1">OFFSET(E68,-1,1)</f>
        <v>2</v>
      </c>
      <c r="H68" s="22" t="s">
        <v>500</v>
      </c>
      <c r="T68" s="353" t="b" cm="1">
        <f t="array" ref="T68">T67</f>
        <v>1</v>
      </c>
      <c r="X68" s="1022"/>
      <c r="Z68" s="1023"/>
      <c r="AB68" s="383" t="s">
        <v>561</v>
      </c>
      <c r="AC68" s="409" t="s">
        <v>2500</v>
      </c>
      <c r="AD68" s="383" t="s">
        <v>828</v>
      </c>
      <c r="AE68" s="394"/>
      <c r="AF68" s="387">
        <f ca="1">SUMIFS(ГО!AE$25:AE$383,ГО!$F$25:$F$383,$F68,ГО!$G$25:$G$383,"Итог")*(1+AF70/100)*(1+AF71/100)</f>
        <v>0</v>
      </c>
      <c r="AI68" s="658" t="s">
        <v>2501</v>
      </c>
    </row>
    <row r="69" spans="5:35" s="63" customFormat="1" ht="14.25" customHeight="1" x14ac:dyDescent="0.15">
      <c r="E69" s="488">
        <v>15</v>
      </c>
      <c r="F69" s="3" t="str" cm="1">
        <f t="array" aca="1" ref="F69" ca="1">OFFSET(E69,-1,1)</f>
        <v>2</v>
      </c>
      <c r="H69" s="22" t="s">
        <v>1570</v>
      </c>
      <c r="I69" s="22"/>
      <c r="J69" s="22"/>
      <c r="K69" s="22"/>
      <c r="T69" s="353" t="b" cm="1">
        <f t="array" ref="T69">T68</f>
        <v>1</v>
      </c>
      <c r="X69" s="1022"/>
      <c r="Z69" s="1023"/>
      <c r="AB69" s="383" t="s">
        <v>508</v>
      </c>
      <c r="AC69" s="791" t="s">
        <v>2502</v>
      </c>
      <c r="AD69" s="383" t="s">
        <v>828</v>
      </c>
      <c r="AE69" s="394"/>
      <c r="AF69" s="387">
        <f ca="1">SUMIFS(ГО!AE$25:AE$383,ГО!$F$25:$F$383,$F69,ГО!$G$25:$G$383,"ЭЭ")*(1+AF70/100)*(1+AF71/100)</f>
        <v>0</v>
      </c>
      <c r="AI69" s="681" t="s">
        <v>1750</v>
      </c>
    </row>
    <row r="70" spans="5:35" s="63" customFormat="1" ht="14.25" customHeight="1" x14ac:dyDescent="0.15">
      <c r="E70" s="488">
        <v>15</v>
      </c>
      <c r="F70" s="3" t="str" cm="1">
        <f t="array" aca="1" ref="F70" ca="1">OFFSET(E70,-1,1)</f>
        <v>2</v>
      </c>
      <c r="H70" s="22" t="s">
        <v>503</v>
      </c>
      <c r="I70" s="22"/>
      <c r="J70" s="22"/>
      <c r="K70" s="22"/>
      <c r="T70" s="353" t="b" cm="1">
        <f t="array" ref="T70">T69</f>
        <v>1</v>
      </c>
      <c r="X70" s="1022"/>
      <c r="Z70" s="1023"/>
      <c r="AB70" s="383" t="s">
        <v>565</v>
      </c>
      <c r="AC70" s="409" t="str">
        <f>"индекс потребительских цен на "&amp;god-1&amp;" год"</f>
        <v>индекс потребительских цен на 2025 год</v>
      </c>
      <c r="AD70" s="383" t="s">
        <v>476</v>
      </c>
      <c r="AE70" s="394"/>
      <c r="AF70" s="394"/>
      <c r="AI70" s="681" t="s">
        <v>2503</v>
      </c>
    </row>
    <row r="71" spans="5:35" s="63" customFormat="1" ht="14.25" customHeight="1" x14ac:dyDescent="0.15">
      <c r="E71" s="488">
        <v>15</v>
      </c>
      <c r="F71" s="3" t="str" cm="1">
        <f t="array" aca="1" ref="F71" ca="1">OFFSET(E71,-1,1)</f>
        <v>2</v>
      </c>
      <c r="H71" s="22" t="s">
        <v>959</v>
      </c>
      <c r="I71" s="22"/>
      <c r="J71" s="22"/>
      <c r="K71" s="22"/>
      <c r="T71" s="353" t="b" cm="1">
        <f t="array" ref="T71">T70</f>
        <v>1</v>
      </c>
      <c r="X71" s="1022"/>
      <c r="Z71" s="1023"/>
      <c r="AB71" s="383" t="s">
        <v>569</v>
      </c>
      <c r="AC71" s="409" t="str">
        <f>"индекс потребительских цен на "&amp;god&amp;" год"</f>
        <v>индекс потребительских цен на 2026 год</v>
      </c>
      <c r="AD71" s="383" t="s">
        <v>476</v>
      </c>
      <c r="AE71" s="394"/>
      <c r="AF71" s="394"/>
      <c r="AI71" s="681" t="s">
        <v>2504</v>
      </c>
    </row>
    <row r="72" spans="5:35" s="63" customFormat="1" ht="21.75" customHeight="1" x14ac:dyDescent="0.15">
      <c r="E72" s="488">
        <v>22.5</v>
      </c>
      <c r="F72" s="3" t="str" cm="1">
        <f t="array" aca="1" ref="F72" ca="1">OFFSET(E72,-1,1)</f>
        <v>2</v>
      </c>
      <c r="H72" s="22" t="s">
        <v>961</v>
      </c>
      <c r="I72" s="22"/>
      <c r="J72" s="22"/>
      <c r="K72" s="22"/>
      <c r="T72" s="353" t="b" cm="1">
        <f t="array" ref="T72">T71</f>
        <v>1</v>
      </c>
      <c r="X72" s="1022"/>
      <c r="Z72" s="1023"/>
      <c r="AB72" s="383" t="s">
        <v>962</v>
      </c>
      <c r="AC72" s="409" t="s">
        <v>2505</v>
      </c>
      <c r="AD72" s="383" t="s">
        <v>820</v>
      </c>
      <c r="AE72" s="394"/>
      <c r="AF72" s="394"/>
      <c r="AI72" s="681" t="s">
        <v>2506</v>
      </c>
    </row>
    <row r="73" spans="5:35" s="63" customFormat="1" ht="14.25" customHeight="1" x14ac:dyDescent="0.15">
      <c r="E73" s="488">
        <v>15</v>
      </c>
      <c r="F73" s="3" t="str" cm="1">
        <f t="array" aca="1" ref="F73" ca="1">OFFSET(E73,-1,1)</f>
        <v>2</v>
      </c>
      <c r="H73" s="22" t="s">
        <v>333</v>
      </c>
      <c r="I73" s="22"/>
      <c r="J73" s="22"/>
      <c r="K73" s="22"/>
      <c r="T73" s="353" t="b" cm="1">
        <f t="array" ref="T73">T72</f>
        <v>1</v>
      </c>
      <c r="X73" s="1022"/>
      <c r="Z73" s="1023"/>
      <c r="AB73" s="383" t="s">
        <v>291</v>
      </c>
      <c r="AC73" s="408" t="s">
        <v>2507</v>
      </c>
      <c r="AD73" s="383" t="s">
        <v>820</v>
      </c>
      <c r="AE73" s="390">
        <f ca="1">SUMIFS('Условные метры'!AL$27:AL$41,'Условные метры'!$F$27:$F$41,$F73,'Условные метры'!$G$27:$G$41,"Итог")</f>
        <v>0</v>
      </c>
      <c r="AF73" s="390">
        <f ca="1">SUMIFS('Условные метры'!AN$27:AN$41,'Условные метры'!$F$27:$F$41,$F73,'Условные метры'!$G$27:$G$41,"Итог")</f>
        <v>0</v>
      </c>
      <c r="AI73" s="681" t="s">
        <v>2508</v>
      </c>
    </row>
    <row r="74" spans="5:35" s="63" customFormat="1" ht="14.25" customHeight="1" x14ac:dyDescent="0.15">
      <c r="E74" s="488">
        <v>15</v>
      </c>
      <c r="F74" s="3" t="str" cm="1">
        <f t="array" aca="1" ref="F74" ca="1">OFFSET(E74,-1,1)</f>
        <v>2</v>
      </c>
      <c r="H74" s="22" t="s">
        <v>969</v>
      </c>
      <c r="I74" s="22"/>
      <c r="J74" s="22"/>
      <c r="K74" s="22"/>
      <c r="T74" s="353" t="b" cm="1">
        <f t="array" ref="T74">T73</f>
        <v>1</v>
      </c>
      <c r="X74" s="1022"/>
      <c r="Z74" s="1023"/>
      <c r="AB74" s="383" t="s">
        <v>575</v>
      </c>
      <c r="AC74" s="409" t="s">
        <v>2509</v>
      </c>
      <c r="AD74" s="383" t="s">
        <v>386</v>
      </c>
      <c r="AE74" s="390">
        <f ca="1">SUMIFS('Условные метры'!AK$27:AK$41,'Условные метры'!$F$27:$F$41,$F74,'Условные метры'!$G$27:$G$41,"Итог")</f>
        <v>0</v>
      </c>
      <c r="AF74" s="390">
        <f ca="1">SUMIFS('Условные метры'!AM$27:AM$41,'Условные метры'!$F$27:$F$41,$F74,'Условные метры'!$G$27:$G$41,"Итог")</f>
        <v>0</v>
      </c>
      <c r="AI74" s="681" t="s">
        <v>2510</v>
      </c>
    </row>
    <row r="75" spans="5:35" s="63" customFormat="1" ht="14.25" customHeight="1" x14ac:dyDescent="0.15">
      <c r="E75" s="488">
        <v>15</v>
      </c>
      <c r="F75" s="3" t="str" cm="1">
        <f t="array" aca="1" ref="F75" ca="1">OFFSET(E75,-1,1)</f>
        <v>2</v>
      </c>
      <c r="H75" s="22" t="s">
        <v>335</v>
      </c>
      <c r="I75" s="22"/>
      <c r="J75" s="22"/>
      <c r="K75" s="22"/>
      <c r="T75" s="353" t="b" cm="1">
        <f t="array" ref="T75">T74</f>
        <v>1</v>
      </c>
      <c r="X75" s="1022"/>
      <c r="Z75" s="1023"/>
      <c r="AB75" s="383" t="s">
        <v>454</v>
      </c>
      <c r="AC75" s="408" t="s">
        <v>2511</v>
      </c>
      <c r="AD75" s="383" t="s">
        <v>1100</v>
      </c>
      <c r="AE75" s="390">
        <f ca="1">SUMIFS('Амортизация (аналог)'!AE$25:AE$55,'Амортизация (аналог)'!$F$25:$F$55,$F75,'Амортизация (аналог)'!$AB$25:$AB$55,"2")</f>
        <v>0</v>
      </c>
      <c r="AF75" s="390">
        <f ca="1">SUMIFS('Амортизация (аналог)'!AF$25:AF$55,'Амортизация (аналог)'!$F$25:$F$55,$F75,'Амортизация (аналог)'!$AB$25:$AB$55,"2")</f>
        <v>0</v>
      </c>
      <c r="AI75" s="681" t="s">
        <v>2512</v>
      </c>
    </row>
    <row r="76" spans="5:35" s="63" customFormat="1" ht="14.25" customHeight="1" x14ac:dyDescent="0.15">
      <c r="E76" s="488">
        <v>15</v>
      </c>
      <c r="F76" s="3" t="str" cm="1">
        <f t="array" aca="1" ref="F76" ca="1">OFFSET(E76,-1,1)</f>
        <v>2</v>
      </c>
      <c r="H76" s="22" t="s">
        <v>560</v>
      </c>
      <c r="I76" s="22"/>
      <c r="J76" s="22"/>
      <c r="K76" s="22"/>
      <c r="T76" s="353" t="b" cm="1">
        <f t="array" ref="T76">T75</f>
        <v>1</v>
      </c>
      <c r="X76" s="1022"/>
      <c r="Z76" s="1023"/>
      <c r="AB76" s="383" t="s">
        <v>697</v>
      </c>
      <c r="AC76" s="792" t="s">
        <v>2513</v>
      </c>
      <c r="AD76" s="383" t="s">
        <v>476</v>
      </c>
      <c r="AE76" s="387">
        <f>IF(AE67=0,0,AE75/AE67*100)</f>
        <v>0</v>
      </c>
      <c r="AF76" s="387">
        <f>IF(AF67=0,0,AF75/AF67*100)</f>
        <v>0</v>
      </c>
      <c r="AI76" s="681" t="s">
        <v>2514</v>
      </c>
    </row>
    <row r="77" spans="5:35" s="63" customFormat="1" ht="21.75" customHeight="1" x14ac:dyDescent="0.15">
      <c r="E77" s="488">
        <v>22.5</v>
      </c>
      <c r="F77" s="3" t="str" cm="1">
        <f t="array" aca="1" ref="F77" ca="1">OFFSET(E77,-1,1)</f>
        <v>2</v>
      </c>
      <c r="G77" s="72" t="s">
        <v>1653</v>
      </c>
      <c r="H77" s="22" t="s">
        <v>334</v>
      </c>
      <c r="I77" s="22"/>
      <c r="J77" s="22"/>
      <c r="K77" s="22"/>
      <c r="T77" s="353" t="b" cm="1">
        <f t="array" ref="T77">T76</f>
        <v>1</v>
      </c>
      <c r="X77" s="1022"/>
      <c r="Z77" s="1023"/>
      <c r="AB77" s="383" t="s">
        <v>460</v>
      </c>
      <c r="AC77" s="407" t="s">
        <v>2515</v>
      </c>
      <c r="AD77" s="383" t="s">
        <v>2516</v>
      </c>
      <c r="AE77" s="390">
        <f ca="1">SUMIFS(Баланс!$AI$25:$AI$391,Баланс!$F$25:$F$391,$F77,Баланс!$G$25:$G$391,"ПО")</f>
        <v>422.57499999999999</v>
      </c>
      <c r="AF77" s="390">
        <f ca="1">SUMIFS(Баланс!$AS$25:$AS$391,Баланс!$F$25:$F$391,$F77,Баланс!$G$25:$G$391,"ПО")</f>
        <v>348.84325000000001</v>
      </c>
      <c r="AI77" s="681" t="s">
        <v>1122</v>
      </c>
    </row>
    <row r="78" spans="5:35" s="63" customFormat="1" ht="14.25" customHeight="1" x14ac:dyDescent="0.15">
      <c r="E78" s="488">
        <v>15</v>
      </c>
      <c r="F78" s="3" t="str" cm="1">
        <f t="array" aca="1" ref="F78" ca="1">OFFSET(E78,-1,1)</f>
        <v>2</v>
      </c>
      <c r="G78" s="25" t="s">
        <v>1680</v>
      </c>
      <c r="H78" s="22" t="s">
        <v>574</v>
      </c>
      <c r="I78" s="22"/>
      <c r="J78" s="22"/>
      <c r="K78" s="22"/>
      <c r="T78" s="353" t="b" cm="1">
        <f t="array" ref="T78">T77</f>
        <v>1</v>
      </c>
      <c r="X78" s="1022"/>
      <c r="Z78" s="1023"/>
      <c r="AB78" s="383" t="s">
        <v>704</v>
      </c>
      <c r="AC78" s="732" t="s">
        <v>2517</v>
      </c>
      <c r="AD78" s="383" t="s">
        <v>2516</v>
      </c>
      <c r="AE78" s="793"/>
      <c r="AF78" s="793"/>
      <c r="AI78" s="681" t="s">
        <v>2518</v>
      </c>
    </row>
    <row r="79" spans="5:35" s="63" customFormat="1" ht="14.25" customHeight="1" x14ac:dyDescent="0.15">
      <c r="E79" s="488">
        <v>15</v>
      </c>
      <c r="F79" s="3" t="str" cm="1">
        <f t="array" aca="1" ref="F79" ca="1">OFFSET(E79,-1,1)</f>
        <v>2</v>
      </c>
      <c r="G79" s="25" t="s">
        <v>1693</v>
      </c>
      <c r="H79" s="22" t="s">
        <v>578</v>
      </c>
      <c r="I79" s="22"/>
      <c r="J79" s="22"/>
      <c r="K79" s="22"/>
      <c r="T79" s="353" t="b" cm="1">
        <f t="array" ref="T79">T78</f>
        <v>1</v>
      </c>
      <c r="X79" s="1022"/>
      <c r="Z79" s="1023"/>
      <c r="AB79" s="383" t="s">
        <v>707</v>
      </c>
      <c r="AC79" s="732" t="s">
        <v>2519</v>
      </c>
      <c r="AD79" s="383" t="s">
        <v>2516</v>
      </c>
      <c r="AE79" s="390">
        <f ca="1">AE77-AE78</f>
        <v>422.57499999999999</v>
      </c>
      <c r="AF79" s="390">
        <f ca="1">AF77-AF78</f>
        <v>348.84325000000001</v>
      </c>
      <c r="AI79" s="681" t="s">
        <v>2520</v>
      </c>
    </row>
    <row r="80" spans="5:35" s="63" customFormat="1" ht="14.25" customHeight="1" x14ac:dyDescent="0.15">
      <c r="E80" s="488">
        <v>15</v>
      </c>
      <c r="F80" s="3" t="str" cm="1">
        <f t="array" aca="1" ref="F80" ca="1">OFFSET(E80,-1,1)</f>
        <v>2</v>
      </c>
      <c r="H80" s="22" t="s">
        <v>532</v>
      </c>
      <c r="I80" s="22"/>
      <c r="J80" s="22"/>
      <c r="K80" s="22"/>
      <c r="T80" s="353" t="b" cm="1">
        <f t="array" ref="T80">T79</f>
        <v>1</v>
      </c>
      <c r="X80" s="1022"/>
      <c r="Z80" s="1023"/>
      <c r="AB80" s="383" t="s">
        <v>536</v>
      </c>
      <c r="AC80" s="407" t="s">
        <v>2521</v>
      </c>
      <c r="AD80" s="383" t="s">
        <v>1644</v>
      </c>
      <c r="AE80" s="387">
        <f ca="1">IF(AE77=0,0,AE66/AE77)</f>
        <v>0</v>
      </c>
      <c r="AF80" s="387">
        <f ca="1">IF(AF77=0,0,AF66/AF77)</f>
        <v>0</v>
      </c>
      <c r="AI80" s="681" t="s">
        <v>1173</v>
      </c>
    </row>
    <row r="81" spans="5:35" s="63" customFormat="1" ht="14.25" customHeight="1" x14ac:dyDescent="0.15">
      <c r="E81" s="488">
        <v>15</v>
      </c>
      <c r="F81" s="3" t="str" cm="1">
        <f t="array" aca="1" ref="F81" ca="1">OFFSET(E81,-1,1)</f>
        <v>2</v>
      </c>
      <c r="G81" s="25" t="s">
        <v>1641</v>
      </c>
      <c r="H81" s="22" t="s">
        <v>720</v>
      </c>
      <c r="I81" s="22"/>
      <c r="J81" s="22"/>
      <c r="K81" s="22"/>
      <c r="T81" s="353" t="b" cm="1">
        <f t="array" ref="T81">T80</f>
        <v>1</v>
      </c>
      <c r="X81" s="1022"/>
      <c r="Z81" s="1023"/>
      <c r="AB81" s="383" t="s">
        <v>2522</v>
      </c>
      <c r="AC81" s="733" t="s">
        <v>2523</v>
      </c>
      <c r="AD81" s="383" t="s">
        <v>1644</v>
      </c>
      <c r="AE81" s="394"/>
      <c r="AF81" s="394"/>
      <c r="AI81" s="681" t="s">
        <v>2524</v>
      </c>
    </row>
    <row r="82" spans="5:35" s="63" customFormat="1" ht="14.25" customHeight="1" x14ac:dyDescent="0.15">
      <c r="E82" s="488">
        <v>15</v>
      </c>
      <c r="F82" s="3" t="str" cm="1">
        <f t="array" aca="1" ref="F82" ca="1">OFFSET(E82,-1,1)</f>
        <v>2</v>
      </c>
      <c r="G82" s="25" t="s">
        <v>1646</v>
      </c>
      <c r="H82" s="22" t="s">
        <v>723</v>
      </c>
      <c r="I82" s="22"/>
      <c r="J82" s="22"/>
      <c r="K82" s="22"/>
      <c r="T82" s="353" t="b" cm="1">
        <f t="array" ref="T82">T81</f>
        <v>1</v>
      </c>
      <c r="X82" s="1022"/>
      <c r="Z82" s="1023"/>
      <c r="AB82" s="383" t="s">
        <v>2525</v>
      </c>
      <c r="AC82" s="733" t="s">
        <v>2526</v>
      </c>
      <c r="AD82" s="383" t="s">
        <v>1644</v>
      </c>
      <c r="AE82" s="394">
        <f ca="1">IF(AE79=0,0,(AE66-AE81*AE78)/AE79)</f>
        <v>0</v>
      </c>
      <c r="AF82" s="394">
        <f ca="1">IF(AF79=0,0,(AF66-AF81*AF78)/AF79)</f>
        <v>0</v>
      </c>
      <c r="AI82" s="681" t="s">
        <v>2527</v>
      </c>
    </row>
    <row r="83" spans="5:35" ht="14.25" customHeight="1" x14ac:dyDescent="0.15">
      <c r="E83" s="449">
        <v>15</v>
      </c>
      <c r="F83" s="3" t="str" cm="1">
        <f t="array" aca="1" ref="F83" ca="1">OFFSET(E83,-1,1)</f>
        <v>2</v>
      </c>
      <c r="H83" s="22" t="s">
        <v>699</v>
      </c>
      <c r="T83" s="353" t="b" cm="1">
        <f t="array" ref="T83">T82</f>
        <v>1</v>
      </c>
      <c r="X83" s="1022"/>
      <c r="Z83" s="1023"/>
      <c r="AB83" s="383" t="s">
        <v>594</v>
      </c>
      <c r="AC83" s="401" t="s">
        <v>2528</v>
      </c>
      <c r="AD83" s="383" t="s">
        <v>476</v>
      </c>
      <c r="AE83" s="387">
        <f>IF(AE81=0,0,AE82/AE81*100)</f>
        <v>0</v>
      </c>
      <c r="AF83" s="387">
        <f>IF(AF81=0,0,AF82/AF81*100)</f>
        <v>0</v>
      </c>
      <c r="AI83" s="658" t="s">
        <v>2529</v>
      </c>
    </row>
    <row r="84" spans="5:35" ht="14.25" customHeight="1" x14ac:dyDescent="0.15">
      <c r="E84" s="449">
        <v>15</v>
      </c>
      <c r="F84" s="22" t="str" cm="1">
        <f t="array" ref="F84">X84</f>
        <v>3</v>
      </c>
      <c r="T84" s="353" t="b">
        <f>X84&gt;0</f>
        <v>1</v>
      </c>
      <c r="V84" s="22" t="str" cm="1">
        <f t="array" ref="V84">ГО!$AB$294</f>
        <v>Тариф 3 (Водоотведение) - тариф на транспортировку сточных вод</v>
      </c>
      <c r="X84" s="1022" t="s">
        <v>291</v>
      </c>
      <c r="Z84" s="1023"/>
      <c r="AB84" s="135" t="str" cm="1">
        <f t="array" ref="AB84">ГО!$AB$294</f>
        <v>Тариф 3 (Водоотведение) - тариф на транспортировку сточных вод</v>
      </c>
      <c r="AC84" s="586"/>
      <c r="AD84" s="789"/>
      <c r="AE84" s="789"/>
      <c r="AF84" s="790"/>
    </row>
    <row r="85" spans="5:35" s="63" customFormat="1" ht="21.75" customHeight="1" x14ac:dyDescent="0.15">
      <c r="E85" s="488">
        <v>22.5</v>
      </c>
      <c r="F85" s="3" t="str" cm="1">
        <f t="array" aca="1" ref="F85" ca="1">OFFSET(E85,-1,1)</f>
        <v>3</v>
      </c>
      <c r="H85" s="22" t="s">
        <v>331</v>
      </c>
      <c r="I85" s="22"/>
      <c r="J85" s="22"/>
      <c r="K85" s="22"/>
      <c r="T85" s="353" t="b" cm="1">
        <f t="array" ref="T85">T84</f>
        <v>1</v>
      </c>
      <c r="X85" s="1022"/>
      <c r="Z85" s="1023"/>
      <c r="AB85" s="383" t="s">
        <v>275</v>
      </c>
      <c r="AC85" s="391" t="s">
        <v>2496</v>
      </c>
      <c r="AD85" s="383" t="s">
        <v>828</v>
      </c>
      <c r="AE85" s="387">
        <f ca="1">(AE86+AE94)*AE92</f>
        <v>0</v>
      </c>
      <c r="AF85" s="387">
        <f ca="1">(AF86+AF94)*AF92</f>
        <v>0</v>
      </c>
      <c r="AI85" s="681" t="s">
        <v>2497</v>
      </c>
    </row>
    <row r="86" spans="5:35" ht="21.75" customHeight="1" x14ac:dyDescent="0.15">
      <c r="E86" s="449">
        <v>22.5</v>
      </c>
      <c r="F86" s="3" t="str" cm="1">
        <f t="array" aca="1" ref="F86" ca="1">OFFSET(E86,-1,1)</f>
        <v>3</v>
      </c>
      <c r="G86" s="22" t="s">
        <v>2498</v>
      </c>
      <c r="H86" s="22" t="s">
        <v>332</v>
      </c>
      <c r="K86" s="22" t="str">
        <f ca="1">F86&amp;G86</f>
        <v>3УТР</v>
      </c>
      <c r="L86" s="711" cm="1">
        <f t="array" ref="L86">AE86</f>
        <v>0</v>
      </c>
      <c r="M86" s="711" cm="1">
        <f t="array" ref="M86">AF86</f>
        <v>0</v>
      </c>
      <c r="T86" s="353" t="b" cm="1">
        <f t="array" ref="T86">T85</f>
        <v>1</v>
      </c>
      <c r="X86" s="1022"/>
      <c r="Z86" s="1023"/>
      <c r="AB86" s="383" t="s">
        <v>285</v>
      </c>
      <c r="AC86" s="386" t="s">
        <v>1108</v>
      </c>
      <c r="AD86" s="383" t="s">
        <v>1100</v>
      </c>
      <c r="AE86" s="387">
        <f>IF(AE91=0,0,(AE87-IF(SUMIFS('Перечень объектов'!AH$24:AH$75,'Перечень объектов'!$F$24:$F$75,$F86,'Перечень объектов'!$G$24:$G$75,"ЭЭ")&gt;0,0,AE88))/AE91)</f>
        <v>0</v>
      </c>
      <c r="AF86" s="387">
        <f>IF(AF91=0,0,(AF87-IF(SUMIFS('Перечень объектов'!AI$24:AI$75,'Перечень объектов'!$F$24:$F$75,$F86,'Перечень объектов'!$G$24:$G$75,"ЭЭ")&gt;0,0,AF88))/AF91)</f>
        <v>0</v>
      </c>
      <c r="AI86" s="658" t="s">
        <v>2499</v>
      </c>
    </row>
    <row r="87" spans="5:35" ht="32.25" customHeight="1" x14ac:dyDescent="0.15">
      <c r="E87" s="449">
        <v>33.75</v>
      </c>
      <c r="F87" s="3" t="str" cm="1">
        <f t="array" aca="1" ref="F87" ca="1">OFFSET(E87,-1,1)</f>
        <v>3</v>
      </c>
      <c r="H87" s="22" t="s">
        <v>500</v>
      </c>
      <c r="T87" s="353" t="b" cm="1">
        <f t="array" ref="T87">T86</f>
        <v>1</v>
      </c>
      <c r="X87" s="1022"/>
      <c r="Z87" s="1023"/>
      <c r="AB87" s="383" t="s">
        <v>561</v>
      </c>
      <c r="AC87" s="409" t="s">
        <v>2500</v>
      </c>
      <c r="AD87" s="383" t="s">
        <v>828</v>
      </c>
      <c r="AE87" s="394"/>
      <c r="AF87" s="387">
        <f ca="1">SUMIFS(ГО!AE$25:AE$383,ГО!$F$25:$F$383,$F87,ГО!$G$25:$G$383,"Итог")*(1+AF89/100)*(1+AF90/100)</f>
        <v>0</v>
      </c>
      <c r="AI87" s="658" t="s">
        <v>2501</v>
      </c>
    </row>
    <row r="88" spans="5:35" s="63" customFormat="1" ht="14.25" customHeight="1" x14ac:dyDescent="0.15">
      <c r="E88" s="488">
        <v>15</v>
      </c>
      <c r="F88" s="3" t="str" cm="1">
        <f t="array" aca="1" ref="F88" ca="1">OFFSET(E88,-1,1)</f>
        <v>3</v>
      </c>
      <c r="H88" s="22" t="s">
        <v>1570</v>
      </c>
      <c r="I88" s="22"/>
      <c r="J88" s="22"/>
      <c r="K88" s="22"/>
      <c r="T88" s="353" t="b" cm="1">
        <f t="array" ref="T88">T87</f>
        <v>1</v>
      </c>
      <c r="X88" s="1022"/>
      <c r="Z88" s="1023"/>
      <c r="AB88" s="383" t="s">
        <v>508</v>
      </c>
      <c r="AC88" s="791" t="s">
        <v>2502</v>
      </c>
      <c r="AD88" s="383" t="s">
        <v>828</v>
      </c>
      <c r="AE88" s="394"/>
      <c r="AF88" s="387">
        <f ca="1">SUMIFS(ГО!AE$25:AE$383,ГО!$F$25:$F$383,$F88,ГО!$G$25:$G$383,"ЭЭ")*(1+AF89/100)*(1+AF90/100)</f>
        <v>0</v>
      </c>
      <c r="AI88" s="681" t="s">
        <v>1750</v>
      </c>
    </row>
    <row r="89" spans="5:35" s="63" customFormat="1" ht="14.25" customHeight="1" x14ac:dyDescent="0.15">
      <c r="E89" s="488">
        <v>15</v>
      </c>
      <c r="F89" s="3" t="str" cm="1">
        <f t="array" aca="1" ref="F89" ca="1">OFFSET(E89,-1,1)</f>
        <v>3</v>
      </c>
      <c r="H89" s="22" t="s">
        <v>503</v>
      </c>
      <c r="I89" s="22"/>
      <c r="J89" s="22"/>
      <c r="K89" s="22"/>
      <c r="T89" s="353" t="b" cm="1">
        <f t="array" ref="T89">T88</f>
        <v>1</v>
      </c>
      <c r="X89" s="1022"/>
      <c r="Z89" s="1023"/>
      <c r="AB89" s="383" t="s">
        <v>565</v>
      </c>
      <c r="AC89" s="409" t="str">
        <f>"индекс потребительских цен на "&amp;god-1&amp;" год"</f>
        <v>индекс потребительских цен на 2025 год</v>
      </c>
      <c r="AD89" s="383" t="s">
        <v>476</v>
      </c>
      <c r="AE89" s="394"/>
      <c r="AF89" s="394"/>
      <c r="AI89" s="681" t="s">
        <v>2503</v>
      </c>
    </row>
    <row r="90" spans="5:35" s="63" customFormat="1" ht="14.25" customHeight="1" x14ac:dyDescent="0.15">
      <c r="E90" s="488">
        <v>15</v>
      </c>
      <c r="F90" s="3" t="str" cm="1">
        <f t="array" aca="1" ref="F90" ca="1">OFFSET(E90,-1,1)</f>
        <v>3</v>
      </c>
      <c r="H90" s="22" t="s">
        <v>959</v>
      </c>
      <c r="I90" s="22"/>
      <c r="J90" s="22"/>
      <c r="K90" s="22"/>
      <c r="T90" s="353" t="b" cm="1">
        <f t="array" ref="T90">T89</f>
        <v>1</v>
      </c>
      <c r="X90" s="1022"/>
      <c r="Z90" s="1023"/>
      <c r="AB90" s="383" t="s">
        <v>569</v>
      </c>
      <c r="AC90" s="409" t="str">
        <f>"индекс потребительских цен на "&amp;god&amp;" год"</f>
        <v>индекс потребительских цен на 2026 год</v>
      </c>
      <c r="AD90" s="383" t="s">
        <v>476</v>
      </c>
      <c r="AE90" s="394"/>
      <c r="AF90" s="394"/>
      <c r="AI90" s="681" t="s">
        <v>2504</v>
      </c>
    </row>
    <row r="91" spans="5:35" s="63" customFormat="1" ht="21.75" customHeight="1" x14ac:dyDescent="0.15">
      <c r="E91" s="488">
        <v>22.5</v>
      </c>
      <c r="F91" s="3" t="str" cm="1">
        <f t="array" aca="1" ref="F91" ca="1">OFFSET(E91,-1,1)</f>
        <v>3</v>
      </c>
      <c r="H91" s="22" t="s">
        <v>961</v>
      </c>
      <c r="I91" s="22"/>
      <c r="J91" s="22"/>
      <c r="K91" s="22"/>
      <c r="T91" s="353" t="b" cm="1">
        <f t="array" ref="T91">T90</f>
        <v>1</v>
      </c>
      <c r="X91" s="1022"/>
      <c r="Z91" s="1023"/>
      <c r="AB91" s="383" t="s">
        <v>962</v>
      </c>
      <c r="AC91" s="409" t="s">
        <v>2505</v>
      </c>
      <c r="AD91" s="383" t="s">
        <v>820</v>
      </c>
      <c r="AE91" s="394"/>
      <c r="AF91" s="394"/>
      <c r="AI91" s="681" t="s">
        <v>2506</v>
      </c>
    </row>
    <row r="92" spans="5:35" s="63" customFormat="1" ht="14.25" customHeight="1" x14ac:dyDescent="0.15">
      <c r="E92" s="488">
        <v>15</v>
      </c>
      <c r="F92" s="3" t="str" cm="1">
        <f t="array" aca="1" ref="F92" ca="1">OFFSET(E92,-1,1)</f>
        <v>3</v>
      </c>
      <c r="H92" s="22" t="s">
        <v>333</v>
      </c>
      <c r="I92" s="22"/>
      <c r="J92" s="22"/>
      <c r="K92" s="22"/>
      <c r="T92" s="353" t="b" cm="1">
        <f t="array" ref="T92">T91</f>
        <v>1</v>
      </c>
      <c r="X92" s="1022"/>
      <c r="Z92" s="1023"/>
      <c r="AB92" s="383" t="s">
        <v>291</v>
      </c>
      <c r="AC92" s="408" t="s">
        <v>2507</v>
      </c>
      <c r="AD92" s="383" t="s">
        <v>820</v>
      </c>
      <c r="AE92" s="390">
        <f ca="1">SUMIFS('Условные метры'!AL$27:AL$41,'Условные метры'!$F$27:$F$41,$F92,'Условные метры'!$G$27:$G$41,"Итог")</f>
        <v>0</v>
      </c>
      <c r="AF92" s="390">
        <f ca="1">SUMIFS('Условные метры'!AN$27:AN$41,'Условные метры'!$F$27:$F$41,$F92,'Условные метры'!$G$27:$G$41,"Итог")</f>
        <v>0</v>
      </c>
      <c r="AI92" s="681" t="s">
        <v>2508</v>
      </c>
    </row>
    <row r="93" spans="5:35" s="63" customFormat="1" ht="14.25" customHeight="1" x14ac:dyDescent="0.15">
      <c r="E93" s="488">
        <v>15</v>
      </c>
      <c r="F93" s="3" t="str" cm="1">
        <f t="array" aca="1" ref="F93" ca="1">OFFSET(E93,-1,1)</f>
        <v>3</v>
      </c>
      <c r="H93" s="22" t="s">
        <v>969</v>
      </c>
      <c r="I93" s="22"/>
      <c r="J93" s="22"/>
      <c r="K93" s="22"/>
      <c r="T93" s="353" t="b" cm="1">
        <f t="array" ref="T93">T92</f>
        <v>1</v>
      </c>
      <c r="X93" s="1022"/>
      <c r="Z93" s="1023"/>
      <c r="AB93" s="383" t="s">
        <v>575</v>
      </c>
      <c r="AC93" s="409" t="s">
        <v>2509</v>
      </c>
      <c r="AD93" s="383" t="s">
        <v>386</v>
      </c>
      <c r="AE93" s="390">
        <f ca="1">SUMIFS('Условные метры'!AK$27:AK$41,'Условные метры'!$F$27:$F$41,$F93,'Условные метры'!$G$27:$G$41,"Итог")</f>
        <v>0</v>
      </c>
      <c r="AF93" s="390">
        <f ca="1">SUMIFS('Условные метры'!AM$27:AM$41,'Условные метры'!$F$27:$F$41,$F93,'Условные метры'!$G$27:$G$41,"Итог")</f>
        <v>0</v>
      </c>
      <c r="AI93" s="681" t="s">
        <v>2510</v>
      </c>
    </row>
    <row r="94" spans="5:35" s="63" customFormat="1" ht="14.25" customHeight="1" x14ac:dyDescent="0.15">
      <c r="E94" s="488">
        <v>15</v>
      </c>
      <c r="F94" s="3" t="str" cm="1">
        <f t="array" aca="1" ref="F94" ca="1">OFFSET(E94,-1,1)</f>
        <v>3</v>
      </c>
      <c r="H94" s="22" t="s">
        <v>335</v>
      </c>
      <c r="I94" s="22"/>
      <c r="J94" s="22"/>
      <c r="K94" s="22"/>
      <c r="T94" s="353" t="b" cm="1">
        <f t="array" ref="T94">T93</f>
        <v>1</v>
      </c>
      <c r="X94" s="1022"/>
      <c r="Z94" s="1023"/>
      <c r="AB94" s="383" t="s">
        <v>454</v>
      </c>
      <c r="AC94" s="408" t="s">
        <v>2511</v>
      </c>
      <c r="AD94" s="383" t="s">
        <v>1100</v>
      </c>
      <c r="AE94" s="390">
        <f ca="1">SUMIFS('Амортизация (аналог)'!AE$25:AE$55,'Амортизация (аналог)'!$F$25:$F$55,$F94,'Амортизация (аналог)'!$AB$25:$AB$55,"2")</f>
        <v>0</v>
      </c>
      <c r="AF94" s="390">
        <f ca="1">SUMIFS('Амортизация (аналог)'!AF$25:AF$55,'Амортизация (аналог)'!$F$25:$F$55,$F94,'Амортизация (аналог)'!$AB$25:$AB$55,"2")</f>
        <v>0</v>
      </c>
      <c r="AI94" s="681" t="s">
        <v>2512</v>
      </c>
    </row>
    <row r="95" spans="5:35" s="63" customFormat="1" ht="14.25" customHeight="1" x14ac:dyDescent="0.15">
      <c r="E95" s="488">
        <v>15</v>
      </c>
      <c r="F95" s="3" t="str" cm="1">
        <f t="array" aca="1" ref="F95" ca="1">OFFSET(E95,-1,1)</f>
        <v>3</v>
      </c>
      <c r="H95" s="22" t="s">
        <v>560</v>
      </c>
      <c r="I95" s="22"/>
      <c r="J95" s="22"/>
      <c r="K95" s="22"/>
      <c r="T95" s="353" t="b" cm="1">
        <f t="array" ref="T95">T94</f>
        <v>1</v>
      </c>
      <c r="X95" s="1022"/>
      <c r="Z95" s="1023"/>
      <c r="AB95" s="383" t="s">
        <v>697</v>
      </c>
      <c r="AC95" s="792" t="s">
        <v>2513</v>
      </c>
      <c r="AD95" s="383" t="s">
        <v>476</v>
      </c>
      <c r="AE95" s="387">
        <f>IF(AE86=0,0,AE94/AE86*100)</f>
        <v>0</v>
      </c>
      <c r="AF95" s="387">
        <f>IF(AF86=0,0,AF94/AF86*100)</f>
        <v>0</v>
      </c>
      <c r="AI95" s="681" t="s">
        <v>2514</v>
      </c>
    </row>
    <row r="96" spans="5:35" s="63" customFormat="1" ht="21.75" customHeight="1" x14ac:dyDescent="0.15">
      <c r="E96" s="488">
        <v>22.5</v>
      </c>
      <c r="F96" s="3" t="str" cm="1">
        <f t="array" aca="1" ref="F96" ca="1">OFFSET(E96,-1,1)</f>
        <v>3</v>
      </c>
      <c r="G96" s="72" t="s">
        <v>1653</v>
      </c>
      <c r="H96" s="22" t="s">
        <v>334</v>
      </c>
      <c r="I96" s="22"/>
      <c r="J96" s="22"/>
      <c r="K96" s="22"/>
      <c r="T96" s="353" t="b" cm="1">
        <f t="array" ref="T96">T95</f>
        <v>1</v>
      </c>
      <c r="X96" s="1022"/>
      <c r="Z96" s="1023"/>
      <c r="AB96" s="383" t="s">
        <v>460</v>
      </c>
      <c r="AC96" s="407" t="s">
        <v>2515</v>
      </c>
      <c r="AD96" s="383" t="s">
        <v>2516</v>
      </c>
      <c r="AE96" s="390">
        <f ca="1">SUMIFS(Баланс!$AI$25:$AI$391,Баланс!$F$25:$F$391,$F96,Баланс!$G$25:$G$391,"ПО")</f>
        <v>52692.608</v>
      </c>
      <c r="AF96" s="390">
        <f ca="1">SUMIFS(Баланс!$AS$25:$AS$391,Баланс!$F$25:$F$391,$F96,Баланс!$G$25:$G$391,"ПО")</f>
        <v>46750.756560000002</v>
      </c>
      <c r="AI96" s="681" t="s">
        <v>1122</v>
      </c>
    </row>
    <row r="97" spans="5:35" s="63" customFormat="1" ht="14.25" customHeight="1" x14ac:dyDescent="0.15">
      <c r="E97" s="488">
        <v>15</v>
      </c>
      <c r="F97" s="3" t="str" cm="1">
        <f t="array" aca="1" ref="F97" ca="1">OFFSET(E97,-1,1)</f>
        <v>3</v>
      </c>
      <c r="G97" s="25" t="s">
        <v>1680</v>
      </c>
      <c r="H97" s="22" t="s">
        <v>574</v>
      </c>
      <c r="I97" s="22"/>
      <c r="J97" s="22"/>
      <c r="K97" s="22"/>
      <c r="T97" s="353" t="b" cm="1">
        <f t="array" ref="T97">T96</f>
        <v>1</v>
      </c>
      <c r="X97" s="1022"/>
      <c r="Z97" s="1023"/>
      <c r="AB97" s="383" t="s">
        <v>704</v>
      </c>
      <c r="AC97" s="732" t="s">
        <v>2517</v>
      </c>
      <c r="AD97" s="383" t="s">
        <v>2516</v>
      </c>
      <c r="AE97" s="793"/>
      <c r="AF97" s="793"/>
      <c r="AI97" s="681" t="s">
        <v>2518</v>
      </c>
    </row>
    <row r="98" spans="5:35" s="63" customFormat="1" ht="14.25" customHeight="1" x14ac:dyDescent="0.15">
      <c r="E98" s="488">
        <v>15</v>
      </c>
      <c r="F98" s="3" t="str" cm="1">
        <f t="array" aca="1" ref="F98" ca="1">OFFSET(E98,-1,1)</f>
        <v>3</v>
      </c>
      <c r="G98" s="25" t="s">
        <v>1693</v>
      </c>
      <c r="H98" s="22" t="s">
        <v>578</v>
      </c>
      <c r="I98" s="22"/>
      <c r="J98" s="22"/>
      <c r="K98" s="22"/>
      <c r="T98" s="353" t="b" cm="1">
        <f t="array" ref="T98">T97</f>
        <v>1</v>
      </c>
      <c r="X98" s="1022"/>
      <c r="Z98" s="1023"/>
      <c r="AB98" s="383" t="s">
        <v>707</v>
      </c>
      <c r="AC98" s="732" t="s">
        <v>2519</v>
      </c>
      <c r="AD98" s="383" t="s">
        <v>2516</v>
      </c>
      <c r="AE98" s="390">
        <f ca="1">AE96-AE97</f>
        <v>52692.608</v>
      </c>
      <c r="AF98" s="390">
        <f ca="1">AF96-AF97</f>
        <v>46750.756560000002</v>
      </c>
      <c r="AI98" s="681" t="s">
        <v>2520</v>
      </c>
    </row>
    <row r="99" spans="5:35" s="63" customFormat="1" ht="14.25" customHeight="1" x14ac:dyDescent="0.15">
      <c r="E99" s="488">
        <v>15</v>
      </c>
      <c r="F99" s="3" t="str" cm="1">
        <f t="array" aca="1" ref="F99" ca="1">OFFSET(E99,-1,1)</f>
        <v>3</v>
      </c>
      <c r="H99" s="22" t="s">
        <v>532</v>
      </c>
      <c r="I99" s="22"/>
      <c r="J99" s="22"/>
      <c r="K99" s="22"/>
      <c r="T99" s="353" t="b" cm="1">
        <f t="array" ref="T99">T98</f>
        <v>1</v>
      </c>
      <c r="X99" s="1022"/>
      <c r="Z99" s="1023"/>
      <c r="AB99" s="383" t="s">
        <v>536</v>
      </c>
      <c r="AC99" s="407" t="s">
        <v>2521</v>
      </c>
      <c r="AD99" s="383" t="s">
        <v>1644</v>
      </c>
      <c r="AE99" s="387">
        <f ca="1">IF(AE96=0,0,AE85/AE96)</f>
        <v>0</v>
      </c>
      <c r="AF99" s="387">
        <f ca="1">IF(AF96=0,0,AF85/AF96)</f>
        <v>0</v>
      </c>
      <c r="AI99" s="681" t="s">
        <v>1173</v>
      </c>
    </row>
    <row r="100" spans="5:35" s="63" customFormat="1" ht="14.25" customHeight="1" x14ac:dyDescent="0.15">
      <c r="E100" s="488">
        <v>15</v>
      </c>
      <c r="F100" s="3" t="str" cm="1">
        <f t="array" aca="1" ref="F100" ca="1">OFFSET(E100,-1,1)</f>
        <v>3</v>
      </c>
      <c r="G100" s="25" t="s">
        <v>1641</v>
      </c>
      <c r="H100" s="22" t="s">
        <v>720</v>
      </c>
      <c r="I100" s="22"/>
      <c r="J100" s="22"/>
      <c r="K100" s="22"/>
      <c r="T100" s="353" t="b" cm="1">
        <f t="array" ref="T100">T99</f>
        <v>1</v>
      </c>
      <c r="X100" s="1022"/>
      <c r="Z100" s="1023"/>
      <c r="AB100" s="383" t="s">
        <v>2522</v>
      </c>
      <c r="AC100" s="733" t="s">
        <v>2523</v>
      </c>
      <c r="AD100" s="383" t="s">
        <v>1644</v>
      </c>
      <c r="AE100" s="394"/>
      <c r="AF100" s="394"/>
      <c r="AI100" s="681" t="s">
        <v>2524</v>
      </c>
    </row>
    <row r="101" spans="5:35" s="63" customFormat="1" ht="14.25" customHeight="1" x14ac:dyDescent="0.15">
      <c r="E101" s="488">
        <v>15</v>
      </c>
      <c r="F101" s="3" t="str" cm="1">
        <f t="array" aca="1" ref="F101" ca="1">OFFSET(E101,-1,1)</f>
        <v>3</v>
      </c>
      <c r="G101" s="25" t="s">
        <v>1646</v>
      </c>
      <c r="H101" s="22" t="s">
        <v>723</v>
      </c>
      <c r="I101" s="22"/>
      <c r="J101" s="22"/>
      <c r="K101" s="22"/>
      <c r="T101" s="353" t="b" cm="1">
        <f t="array" ref="T101">T100</f>
        <v>1</v>
      </c>
      <c r="X101" s="1022"/>
      <c r="Z101" s="1023"/>
      <c r="AB101" s="383" t="s">
        <v>2525</v>
      </c>
      <c r="AC101" s="733" t="s">
        <v>2526</v>
      </c>
      <c r="AD101" s="383" t="s">
        <v>1644</v>
      </c>
      <c r="AE101" s="394">
        <f ca="1">IF(AE98=0,0,(AE85-AE100*AE97)/AE98)</f>
        <v>0</v>
      </c>
      <c r="AF101" s="394">
        <f ca="1">IF(AF98=0,0,(AF85-AF100*AF97)/AF98)</f>
        <v>0</v>
      </c>
      <c r="AI101" s="681" t="s">
        <v>2527</v>
      </c>
    </row>
    <row r="102" spans="5:35" ht="14.25" customHeight="1" x14ac:dyDescent="0.15">
      <c r="E102" s="449">
        <v>15</v>
      </c>
      <c r="F102" s="3" t="str" cm="1">
        <f t="array" aca="1" ref="F102" ca="1">OFFSET(E102,-1,1)</f>
        <v>3</v>
      </c>
      <c r="H102" s="22" t="s">
        <v>699</v>
      </c>
      <c r="T102" s="353" t="b" cm="1">
        <f t="array" ref="T102">T101</f>
        <v>1</v>
      </c>
      <c r="X102" s="1022"/>
      <c r="Z102" s="1023"/>
      <c r="AB102" s="383" t="s">
        <v>594</v>
      </c>
      <c r="AC102" s="401" t="s">
        <v>2528</v>
      </c>
      <c r="AD102" s="383" t="s">
        <v>476</v>
      </c>
      <c r="AE102" s="387">
        <f>IF(AE100=0,0,AE101/AE100*100)</f>
        <v>0</v>
      </c>
      <c r="AF102" s="387">
        <f>IF(AF100=0,0,AF101/AF100*100)</f>
        <v>0</v>
      </c>
      <c r="AI102" s="658" t="s">
        <v>2529</v>
      </c>
    </row>
    <row r="103" spans="5:35" ht="10.9" customHeight="1" x14ac:dyDescent="0.15">
      <c r="E103" s="449">
        <v>11.25</v>
      </c>
      <c r="U103" s="22" t="s">
        <v>176</v>
      </c>
      <c r="V103" s="517" t="s">
        <v>2530</v>
      </c>
      <c r="AB103" s="384"/>
      <c r="AC103" s="64"/>
      <c r="AD103" s="384"/>
      <c r="AE103" s="395"/>
    </row>
    <row r="104" spans="5:35" ht="44.65" customHeight="1" x14ac:dyDescent="0.15">
      <c r="E104" s="449">
        <v>45.75</v>
      </c>
      <c r="AB104" s="1097" t="s">
        <v>2531</v>
      </c>
      <c r="AC104" s="1097"/>
      <c r="AD104" s="1097"/>
      <c r="AE104" s="1097"/>
      <c r="AF104" s="1097"/>
    </row>
    <row r="105" spans="5:35" ht="10.9" customHeight="1" x14ac:dyDescent="0.15">
      <c r="E105" s="449">
        <v>11.25</v>
      </c>
      <c r="AB105" s="384"/>
      <c r="AC105" s="64"/>
      <c r="AD105" s="384"/>
      <c r="AE105" s="395"/>
    </row>
    <row r="106" spans="5:35" s="17" customFormat="1" ht="14.65" customHeight="1" x14ac:dyDescent="0.15">
      <c r="E106" s="461">
        <v>15</v>
      </c>
      <c r="AB106" s="993" t="s">
        <v>408</v>
      </c>
      <c r="AC106" s="993"/>
      <c r="AD106" s="993"/>
      <c r="AE106" s="1024"/>
      <c r="AF106" s="1024"/>
      <c r="AI106" s="671"/>
    </row>
    <row r="107" spans="5:35" s="17" customFormat="1" ht="14.65" customHeight="1" x14ac:dyDescent="0.15">
      <c r="E107" s="461">
        <v>15</v>
      </c>
      <c r="AA107" s="481"/>
      <c r="AB107" s="1025"/>
      <c r="AC107" s="1025"/>
      <c r="AD107" s="1025"/>
      <c r="AE107" s="1026"/>
      <c r="AF107" s="1026"/>
      <c r="AI107" s="671"/>
    </row>
    <row r="108" spans="5:35" s="17" customFormat="1" ht="14.65" hidden="1" customHeight="1" x14ac:dyDescent="0.15">
      <c r="E108" s="461">
        <v>15</v>
      </c>
      <c r="T108" s="353" t="b">
        <f>ROW(W108)&gt;ROW(W$108)</f>
        <v>0</v>
      </c>
      <c r="W108" s="17" t="s">
        <v>172</v>
      </c>
      <c r="AA108" s="482" t="s">
        <v>173</v>
      </c>
      <c r="AB108" s="1028"/>
      <c r="AC108" s="1029"/>
      <c r="AD108" s="1029"/>
      <c r="AE108" s="1029"/>
      <c r="AF108" s="1031"/>
      <c r="AI108" s="671"/>
    </row>
    <row r="109" spans="5:35" s="17" customFormat="1" ht="14.65" customHeight="1" x14ac:dyDescent="0.15">
      <c r="E109" s="461">
        <v>15</v>
      </c>
      <c r="W109" s="506" t="s">
        <v>419</v>
      </c>
      <c r="AB109" s="474"/>
      <c r="AC109" s="382" t="s">
        <v>420</v>
      </c>
      <c r="AD109" s="218"/>
      <c r="AE109" s="219"/>
      <c r="AF109" s="220"/>
      <c r="AI109" s="671"/>
    </row>
    <row r="110" spans="5:35" ht="10.9" customHeight="1" x14ac:dyDescent="0.15">
      <c r="E110" s="449">
        <v>11.25</v>
      </c>
      <c r="AC110" s="396"/>
    </row>
  </sheetData>
  <sheetProtection formatColumns="0" formatRows="0" insertRows="0" deleteColumns="0" deleteRows="0" sort="0" autoFilter="0"/>
  <mergeCells count="18">
    <mergeCell ref="AB22:AF22"/>
    <mergeCell ref="AB23:AF23"/>
    <mergeCell ref="AB24:AB25"/>
    <mergeCell ref="AC24:AC25"/>
    <mergeCell ref="AD24:AD25"/>
    <mergeCell ref="AE24:AF24"/>
    <mergeCell ref="X27:X45"/>
    <mergeCell ref="Z27:Z45"/>
    <mergeCell ref="AB108:AF108"/>
    <mergeCell ref="AB106:AF106"/>
    <mergeCell ref="AB107:AF107"/>
    <mergeCell ref="AB104:AF104"/>
    <mergeCell ref="X46:X64"/>
    <mergeCell ref="Z46:Z64"/>
    <mergeCell ref="X65:X83"/>
    <mergeCell ref="Z65:Z83"/>
    <mergeCell ref="X84:X102"/>
    <mergeCell ref="Z84:Z102"/>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AE87 AF87 AE88 AF88 AE91 AF91 AE95 AF95"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AE100 AF100 AE101 AF101"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AE89 AF89 AE90 AF90"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8308-BD38-510C-6148-5FFDA9E088B8}">
  <sheetPr>
    <tabColor rgb="FFD3DBDB"/>
    <pageSetUpPr fitToPage="1"/>
  </sheetPr>
  <dimension ref="A1:AC34"/>
  <sheetViews>
    <sheetView showGridLines="0" topLeftCell="AA21" workbookViewId="0">
      <selection activeCell="AA21" sqref="AA21"/>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49"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x14ac:dyDescent="0.15">
      <c r="E1" s="22"/>
      <c r="W1" s="353" t="s">
        <v>92</v>
      </c>
      <c r="X1" s="353"/>
      <c r="Y1" s="353" t="s">
        <v>93</v>
      </c>
      <c r="Z1" s="353" t="s">
        <v>95</v>
      </c>
      <c r="AA1" s="353" t="s">
        <v>99</v>
      </c>
      <c r="AB1" s="353" t="s">
        <v>97</v>
      </c>
    </row>
    <row r="2" spans="1:28" s="43" customFormat="1" ht="11.25" hidden="1" customHeight="1" x14ac:dyDescent="0.15">
      <c r="B2" s="342" t="s">
        <v>18</v>
      </c>
    </row>
    <row r="3" spans="1:28" ht="11.25" hidden="1" customHeight="1" x14ac:dyDescent="0.15">
      <c r="E3" s="22"/>
    </row>
    <row r="4" spans="1:28" ht="11.25" hidden="1" customHeight="1" x14ac:dyDescent="0.15">
      <c r="E4" s="22"/>
    </row>
    <row r="5" spans="1:28" s="449" customFormat="1" ht="11.25" hidden="1" customHeight="1" x14ac:dyDescent="0.15">
      <c r="A5" s="22"/>
      <c r="B5" s="43"/>
      <c r="C5" s="22"/>
      <c r="D5" s="22"/>
      <c r="E5" s="507" t="s">
        <v>19</v>
      </c>
      <c r="AA5" s="449">
        <v>3</v>
      </c>
      <c r="AB5" s="449">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49">
        <v>15</v>
      </c>
      <c r="AA21" s="325"/>
      <c r="AB21" s="23"/>
    </row>
    <row r="22" spans="5:28" ht="18.95" customHeight="1" x14ac:dyDescent="0.15">
      <c r="E22" s="449">
        <v>19.5</v>
      </c>
      <c r="AA22" s="23"/>
      <c r="AB22" s="21" t="s">
        <v>369</v>
      </c>
    </row>
    <row r="23" spans="5:28" ht="10.9" customHeight="1" x14ac:dyDescent="0.15">
      <c r="E23" s="449">
        <v>11.25</v>
      </c>
      <c r="AA23" s="23"/>
      <c r="AB23" s="23"/>
    </row>
    <row r="24" spans="5:28" ht="19.5" customHeight="1" x14ac:dyDescent="0.15">
      <c r="E24" s="449">
        <v>20</v>
      </c>
      <c r="AA24" s="23"/>
      <c r="AB24" s="24"/>
    </row>
    <row r="25" spans="5:28" ht="19.5" customHeight="1" x14ac:dyDescent="0.15">
      <c r="E25" s="449">
        <v>20</v>
      </c>
      <c r="AA25" s="23"/>
      <c r="AB25" s="24"/>
    </row>
    <row r="26" spans="5:28" ht="19.5" customHeight="1" x14ac:dyDescent="0.15">
      <c r="E26" s="449">
        <v>20</v>
      </c>
      <c r="AA26" s="23"/>
      <c r="AB26" s="24"/>
    </row>
    <row r="27" spans="5:28" ht="19.5" customHeight="1" x14ac:dyDescent="0.15">
      <c r="E27" s="449">
        <v>20</v>
      </c>
      <c r="AA27" s="23"/>
      <c r="AB27" s="24"/>
    </row>
    <row r="28" spans="5:28" ht="19.5" customHeight="1" x14ac:dyDescent="0.15">
      <c r="E28" s="449">
        <v>20</v>
      </c>
      <c r="AA28" s="23"/>
      <c r="AB28" s="24"/>
    </row>
    <row r="29" spans="5:28" ht="19.5" customHeight="1" x14ac:dyDescent="0.15">
      <c r="E29" s="449">
        <v>20</v>
      </c>
      <c r="AA29" s="23"/>
      <c r="AB29" s="24"/>
    </row>
    <row r="30" spans="5:28" ht="19.5" customHeight="1" x14ac:dyDescent="0.15">
      <c r="E30" s="449">
        <v>20</v>
      </c>
      <c r="AA30" s="23"/>
      <c r="AB30" s="24"/>
    </row>
    <row r="31" spans="5:28" ht="19.5" customHeight="1" x14ac:dyDescent="0.15">
      <c r="E31" s="449">
        <v>20</v>
      </c>
      <c r="AA31" s="23"/>
      <c r="AB31" s="24"/>
    </row>
    <row r="32" spans="5:28" ht="19.5" hidden="1" customHeight="1" x14ac:dyDescent="0.15">
      <c r="E32" s="449">
        <v>20</v>
      </c>
      <c r="W32" s="17" t="b">
        <f>ROW(Z32)&gt;ROW(Z$32)</f>
        <v>0</v>
      </c>
      <c r="Y32" s="22" t="s">
        <v>264</v>
      </c>
      <c r="AA32" s="482" t="s">
        <v>173</v>
      </c>
      <c r="AB32" s="892"/>
    </row>
    <row r="33" spans="5:28" ht="19.5" customHeight="1" x14ac:dyDescent="0.15">
      <c r="E33" s="449">
        <v>20</v>
      </c>
      <c r="Y33" s="506" t="s">
        <v>419</v>
      </c>
      <c r="AA33" s="23"/>
      <c r="AB33" s="532" t="s">
        <v>420</v>
      </c>
    </row>
    <row r="34" spans="5:28" ht="11.25" customHeight="1" x14ac:dyDescent="0.15">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D5BD8-E93F-3FCE-4E18-80E51B4312C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2532</v>
      </c>
      <c r="B1" s="4" t="s">
        <v>2533</v>
      </c>
      <c r="C1" s="4" t="s">
        <v>2534</v>
      </c>
    </row>
    <row r="2" spans="1:3" ht="11.25" customHeight="1" x14ac:dyDescent="0.15">
      <c r="A2" s="4" t="s">
        <v>2535</v>
      </c>
      <c r="B2" s="4" t="s">
        <v>2535</v>
      </c>
      <c r="C2" s="4" t="s">
        <v>2536</v>
      </c>
    </row>
    <row r="3" spans="1:3" ht="11.25" customHeight="1" x14ac:dyDescent="0.15">
      <c r="A3" s="4" t="s">
        <v>2537</v>
      </c>
      <c r="B3" s="4" t="s">
        <v>2537</v>
      </c>
      <c r="C3" s="4" t="s">
        <v>2538</v>
      </c>
    </row>
    <row r="4" spans="1:3" ht="11.25" customHeight="1" x14ac:dyDescent="0.15">
      <c r="A4" s="4" t="s">
        <v>2539</v>
      </c>
      <c r="B4" s="4" t="s">
        <v>2539</v>
      </c>
      <c r="C4" s="4" t="s">
        <v>2540</v>
      </c>
    </row>
    <row r="5" spans="1:3" ht="11.25" customHeight="1" x14ac:dyDescent="0.15">
      <c r="A5" s="4" t="s">
        <v>2541</v>
      </c>
      <c r="B5" s="4" t="s">
        <v>2541</v>
      </c>
      <c r="C5" s="4" t="s">
        <v>2542</v>
      </c>
    </row>
    <row r="6" spans="1:3" ht="11.25" customHeight="1" x14ac:dyDescent="0.15">
      <c r="A6" s="4" t="s">
        <v>2543</v>
      </c>
      <c r="B6" s="4" t="s">
        <v>2543</v>
      </c>
      <c r="C6" s="4" t="s">
        <v>2544</v>
      </c>
    </row>
    <row r="7" spans="1:3" ht="11.25" customHeight="1" x14ac:dyDescent="0.15">
      <c r="A7" s="4" t="s">
        <v>2545</v>
      </c>
      <c r="B7" s="4" t="s">
        <v>2545</v>
      </c>
      <c r="C7" s="4" t="s">
        <v>2546</v>
      </c>
    </row>
    <row r="8" spans="1:3" ht="11.25" customHeight="1" x14ac:dyDescent="0.15">
      <c r="A8" s="4" t="s">
        <v>2545</v>
      </c>
      <c r="B8" s="4" t="s">
        <v>2545</v>
      </c>
      <c r="C8" s="4" t="s">
        <v>2547</v>
      </c>
    </row>
    <row r="9" spans="1:3" ht="11.25" customHeight="1" x14ac:dyDescent="0.15">
      <c r="A9" s="4" t="s">
        <v>2548</v>
      </c>
      <c r="B9" s="4" t="s">
        <v>2548</v>
      </c>
      <c r="C9" s="4" t="s">
        <v>2549</v>
      </c>
    </row>
    <row r="10" spans="1:3" ht="11.25" customHeight="1" x14ac:dyDescent="0.15">
      <c r="A10" s="4" t="s">
        <v>2550</v>
      </c>
      <c r="B10" s="4" t="s">
        <v>2550</v>
      </c>
      <c r="C10" s="4" t="s">
        <v>2551</v>
      </c>
    </row>
    <row r="11" spans="1:3" ht="11.25" customHeight="1" x14ac:dyDescent="0.15">
      <c r="A11" s="4" t="s">
        <v>2552</v>
      </c>
      <c r="B11" s="4" t="s">
        <v>2552</v>
      </c>
      <c r="C11" s="4" t="s">
        <v>2553</v>
      </c>
    </row>
    <row r="12" spans="1:3" ht="11.25" customHeight="1" x14ac:dyDescent="0.15">
      <c r="A12" s="4" t="s">
        <v>2554</v>
      </c>
      <c r="B12" s="4" t="s">
        <v>2554</v>
      </c>
      <c r="C12" s="4" t="s">
        <v>2555</v>
      </c>
    </row>
    <row r="13" spans="1:3" ht="11.25" customHeight="1" x14ac:dyDescent="0.15">
      <c r="A13" s="4" t="s">
        <v>2556</v>
      </c>
      <c r="B13" s="4" t="s">
        <v>2556</v>
      </c>
      <c r="C13" s="4" t="s">
        <v>2557</v>
      </c>
    </row>
    <row r="14" spans="1:3" ht="11.25" customHeight="1" x14ac:dyDescent="0.15">
      <c r="A14" s="4" t="s">
        <v>2558</v>
      </c>
      <c r="B14" s="4" t="s">
        <v>2558</v>
      </c>
      <c r="C14" s="4" t="s">
        <v>2559</v>
      </c>
    </row>
    <row r="15" spans="1:3" ht="11.25" customHeight="1" x14ac:dyDescent="0.15">
      <c r="A15" s="4" t="s">
        <v>2560</v>
      </c>
      <c r="B15" s="4" t="s">
        <v>2560</v>
      </c>
      <c r="C15" s="4" t="s">
        <v>2561</v>
      </c>
    </row>
    <row r="16" spans="1:3" ht="11.25" customHeight="1" x14ac:dyDescent="0.15">
      <c r="A16" s="4" t="s">
        <v>2562</v>
      </c>
      <c r="B16" s="4" t="s">
        <v>2562</v>
      </c>
      <c r="C16" s="4" t="s">
        <v>2563</v>
      </c>
    </row>
    <row r="17" spans="1:3" ht="11.25" customHeight="1" x14ac:dyDescent="0.15">
      <c r="A17" s="4" t="s">
        <v>2564</v>
      </c>
      <c r="B17" s="4" t="s">
        <v>2564</v>
      </c>
      <c r="C17" s="4" t="s">
        <v>2565</v>
      </c>
    </row>
    <row r="18" spans="1:3" ht="11.25" customHeight="1" x14ac:dyDescent="0.15">
      <c r="A18" s="4" t="s">
        <v>2566</v>
      </c>
      <c r="B18" s="4" t="s">
        <v>2566</v>
      </c>
      <c r="C18" s="4" t="s">
        <v>2567</v>
      </c>
    </row>
    <row r="19" spans="1:3" ht="11.25" customHeight="1" x14ac:dyDescent="0.15">
      <c r="A19" s="4" t="s">
        <v>2568</v>
      </c>
      <c r="B19" s="4" t="s">
        <v>2568</v>
      </c>
      <c r="C19" s="4" t="s">
        <v>2569</v>
      </c>
    </row>
    <row r="20" spans="1:3" ht="11.25" customHeight="1" x14ac:dyDescent="0.15">
      <c r="A20" s="4" t="s">
        <v>2570</v>
      </c>
      <c r="B20" s="4" t="s">
        <v>2570</v>
      </c>
      <c r="C20" s="4" t="s">
        <v>2571</v>
      </c>
    </row>
    <row r="21" spans="1:3" ht="11.25" customHeight="1" x14ac:dyDescent="0.15">
      <c r="A21" s="4" t="s">
        <v>2572</v>
      </c>
      <c r="B21" s="4" t="s">
        <v>2572</v>
      </c>
      <c r="C21" s="4" t="s">
        <v>2573</v>
      </c>
    </row>
    <row r="22" spans="1:3" ht="11.25" customHeight="1" x14ac:dyDescent="0.15">
      <c r="A22" s="4" t="s">
        <v>2574</v>
      </c>
      <c r="B22" s="4" t="s">
        <v>2575</v>
      </c>
      <c r="C22" s="4" t="s">
        <v>2576</v>
      </c>
    </row>
    <row r="23" spans="1:3" ht="11.25" customHeight="1" x14ac:dyDescent="0.15">
      <c r="A23" s="4" t="s">
        <v>2574</v>
      </c>
      <c r="B23" s="4" t="s">
        <v>2577</v>
      </c>
      <c r="C23" s="4" t="s">
        <v>2578</v>
      </c>
    </row>
    <row r="24" spans="1:3" ht="11.25" customHeight="1" x14ac:dyDescent="0.15">
      <c r="A24" s="4" t="s">
        <v>2574</v>
      </c>
      <c r="B24" s="4" t="s">
        <v>2579</v>
      </c>
      <c r="C24" s="4" t="s">
        <v>2580</v>
      </c>
    </row>
    <row r="25" spans="1:3" ht="11.25" customHeight="1" x14ac:dyDescent="0.15">
      <c r="A25" s="4" t="s">
        <v>2574</v>
      </c>
      <c r="B25" s="4" t="s">
        <v>2581</v>
      </c>
      <c r="C25" s="4" t="s">
        <v>2582</v>
      </c>
    </row>
    <row r="26" spans="1:3" ht="11.25" customHeight="1" x14ac:dyDescent="0.15">
      <c r="A26" s="4" t="s">
        <v>2574</v>
      </c>
      <c r="B26" s="4" t="s">
        <v>2583</v>
      </c>
      <c r="C26" s="4" t="s">
        <v>2584</v>
      </c>
    </row>
    <row r="27" spans="1:3" ht="11.25" customHeight="1" x14ac:dyDescent="0.15">
      <c r="A27" s="4" t="s">
        <v>2574</v>
      </c>
      <c r="B27" s="4" t="s">
        <v>2585</v>
      </c>
      <c r="C27" s="4" t="s">
        <v>2586</v>
      </c>
    </row>
    <row r="28" spans="1:3" ht="11.25" customHeight="1" x14ac:dyDescent="0.15">
      <c r="A28" s="4" t="s">
        <v>2574</v>
      </c>
      <c r="B28" s="4" t="s">
        <v>2587</v>
      </c>
      <c r="C28" s="4" t="s">
        <v>2588</v>
      </c>
    </row>
    <row r="29" spans="1:3" ht="11.25" customHeight="1" x14ac:dyDescent="0.15">
      <c r="A29" s="4" t="s">
        <v>2574</v>
      </c>
      <c r="B29" s="4" t="s">
        <v>2589</v>
      </c>
      <c r="C29" s="4" t="s">
        <v>2590</v>
      </c>
    </row>
    <row r="30" spans="1:3" ht="11.25" customHeight="1" x14ac:dyDescent="0.15">
      <c r="A30" s="4" t="s">
        <v>2591</v>
      </c>
      <c r="B30" s="4" t="s">
        <v>2592</v>
      </c>
      <c r="C30" s="4" t="s">
        <v>2593</v>
      </c>
    </row>
    <row r="31" spans="1:3" ht="11.25" customHeight="1" x14ac:dyDescent="0.15">
      <c r="A31" s="4" t="s">
        <v>2591</v>
      </c>
      <c r="B31" s="4" t="s">
        <v>2594</v>
      </c>
      <c r="C31" s="4" t="s">
        <v>2595</v>
      </c>
    </row>
    <row r="32" spans="1:3" ht="11.25" customHeight="1" x14ac:dyDescent="0.15">
      <c r="A32" s="4" t="s">
        <v>2591</v>
      </c>
      <c r="B32" s="4" t="s">
        <v>2596</v>
      </c>
      <c r="C32" s="4" t="s">
        <v>2597</v>
      </c>
    </row>
    <row r="33" spans="1:3" ht="11.25" customHeight="1" x14ac:dyDescent="0.15">
      <c r="A33" s="4" t="s">
        <v>2591</v>
      </c>
      <c r="B33" s="4" t="s">
        <v>2598</v>
      </c>
      <c r="C33" s="4" t="s">
        <v>2599</v>
      </c>
    </row>
    <row r="34" spans="1:3" ht="11.25" customHeight="1" x14ac:dyDescent="0.15">
      <c r="A34" s="4" t="s">
        <v>2591</v>
      </c>
      <c r="B34" s="4" t="s">
        <v>2600</v>
      </c>
      <c r="C34" s="4" t="s">
        <v>2601</v>
      </c>
    </row>
    <row r="35" spans="1:3" ht="11.25" customHeight="1" x14ac:dyDescent="0.15">
      <c r="A35" s="4" t="s">
        <v>2591</v>
      </c>
      <c r="B35" s="4" t="s">
        <v>2602</v>
      </c>
      <c r="C35" s="4" t="s">
        <v>2603</v>
      </c>
    </row>
    <row r="36" spans="1:3" ht="11.25" customHeight="1" x14ac:dyDescent="0.15">
      <c r="A36" s="4" t="s">
        <v>2591</v>
      </c>
      <c r="B36" s="4" t="s">
        <v>2604</v>
      </c>
      <c r="C36" s="4" t="s">
        <v>2605</v>
      </c>
    </row>
    <row r="37" spans="1:3" ht="11.25" customHeight="1" x14ac:dyDescent="0.15">
      <c r="A37" s="4" t="s">
        <v>2591</v>
      </c>
      <c r="B37" s="4" t="s">
        <v>2606</v>
      </c>
      <c r="C37" s="4" t="s">
        <v>2607</v>
      </c>
    </row>
    <row r="38" spans="1:3" ht="11.25" customHeight="1" x14ac:dyDescent="0.15">
      <c r="A38" s="4" t="s">
        <v>2591</v>
      </c>
      <c r="B38" s="4" t="s">
        <v>2608</v>
      </c>
      <c r="C38" s="4" t="s">
        <v>2609</v>
      </c>
    </row>
    <row r="39" spans="1:3" ht="11.25" customHeight="1" x14ac:dyDescent="0.15">
      <c r="A39" s="4" t="s">
        <v>2610</v>
      </c>
      <c r="B39" s="4" t="s">
        <v>2611</v>
      </c>
      <c r="C39" s="4" t="s">
        <v>2612</v>
      </c>
    </row>
    <row r="40" spans="1:3" ht="11.25" customHeight="1" x14ac:dyDescent="0.15">
      <c r="A40" s="4" t="s">
        <v>2610</v>
      </c>
      <c r="B40" s="4" t="s">
        <v>2613</v>
      </c>
      <c r="C40" s="4" t="s">
        <v>2614</v>
      </c>
    </row>
    <row r="41" spans="1:3" ht="11.25" customHeight="1" x14ac:dyDescent="0.15">
      <c r="A41" s="4" t="s">
        <v>2610</v>
      </c>
      <c r="B41" s="4" t="s">
        <v>2615</v>
      </c>
      <c r="C41" s="4" t="s">
        <v>2616</v>
      </c>
    </row>
    <row r="42" spans="1:3" ht="11.25" customHeight="1" x14ac:dyDescent="0.15">
      <c r="A42" s="4" t="s">
        <v>2610</v>
      </c>
      <c r="B42" s="4" t="s">
        <v>2617</v>
      </c>
      <c r="C42" s="4" t="s">
        <v>2618</v>
      </c>
    </row>
    <row r="43" spans="1:3" ht="11.25" customHeight="1" x14ac:dyDescent="0.15">
      <c r="A43" s="4" t="s">
        <v>2610</v>
      </c>
      <c r="B43" s="4" t="s">
        <v>2619</v>
      </c>
      <c r="C43" s="4" t="s">
        <v>2620</v>
      </c>
    </row>
    <row r="44" spans="1:3" ht="11.25" customHeight="1" x14ac:dyDescent="0.15">
      <c r="A44" s="4" t="s">
        <v>2610</v>
      </c>
      <c r="B44" s="4" t="s">
        <v>2621</v>
      </c>
      <c r="C44" s="4" t="s">
        <v>2622</v>
      </c>
    </row>
    <row r="45" spans="1:3" ht="11.25" customHeight="1" x14ac:dyDescent="0.15">
      <c r="A45" s="4" t="s">
        <v>2610</v>
      </c>
      <c r="B45" s="4" t="s">
        <v>2623</v>
      </c>
      <c r="C45" s="4" t="s">
        <v>2624</v>
      </c>
    </row>
    <row r="46" spans="1:3" ht="11.25" customHeight="1" x14ac:dyDescent="0.15">
      <c r="A46" s="4" t="s">
        <v>2625</v>
      </c>
      <c r="B46" s="4" t="s">
        <v>2626</v>
      </c>
      <c r="C46" s="4" t="s">
        <v>2627</v>
      </c>
    </row>
    <row r="47" spans="1:3" ht="11.25" customHeight="1" x14ac:dyDescent="0.15">
      <c r="A47" s="4" t="s">
        <v>2625</v>
      </c>
      <c r="B47" s="4" t="s">
        <v>2628</v>
      </c>
      <c r="C47" s="4" t="s">
        <v>2629</v>
      </c>
    </row>
    <row r="48" spans="1:3" ht="11.25" customHeight="1" x14ac:dyDescent="0.15">
      <c r="A48" s="4" t="s">
        <v>2625</v>
      </c>
      <c r="B48" s="4" t="s">
        <v>2630</v>
      </c>
      <c r="C48" s="4" t="s">
        <v>2631</v>
      </c>
    </row>
    <row r="49" spans="1:3" ht="11.25" customHeight="1" x14ac:dyDescent="0.15">
      <c r="A49" s="4" t="s">
        <v>2625</v>
      </c>
      <c r="B49" s="4" t="s">
        <v>2632</v>
      </c>
      <c r="C49" s="4" t="s">
        <v>2633</v>
      </c>
    </row>
    <row r="50" spans="1:3" ht="11.25" customHeight="1" x14ac:dyDescent="0.15">
      <c r="A50" s="4" t="s">
        <v>2625</v>
      </c>
      <c r="B50" s="4" t="s">
        <v>2634</v>
      </c>
      <c r="C50" s="4" t="s">
        <v>2635</v>
      </c>
    </row>
    <row r="51" spans="1:3" ht="11.25" customHeight="1" x14ac:dyDescent="0.15">
      <c r="A51" s="4" t="s">
        <v>2625</v>
      </c>
      <c r="B51" s="4" t="s">
        <v>2636</v>
      </c>
      <c r="C51" s="4" t="s">
        <v>2637</v>
      </c>
    </row>
    <row r="52" spans="1:3" ht="11.25" customHeight="1" x14ac:dyDescent="0.15">
      <c r="A52" s="4" t="s">
        <v>2625</v>
      </c>
      <c r="B52" s="4" t="s">
        <v>2638</v>
      </c>
      <c r="C52" s="4" t="s">
        <v>2639</v>
      </c>
    </row>
    <row r="53" spans="1:3" ht="11.25" customHeight="1" x14ac:dyDescent="0.15">
      <c r="A53" s="4" t="s">
        <v>2625</v>
      </c>
      <c r="B53" s="4" t="s">
        <v>2640</v>
      </c>
      <c r="C53" s="4" t="s">
        <v>2641</v>
      </c>
    </row>
    <row r="54" spans="1:3" ht="11.25" customHeight="1" x14ac:dyDescent="0.15">
      <c r="A54" s="4" t="s">
        <v>2625</v>
      </c>
      <c r="B54" s="4" t="s">
        <v>2642</v>
      </c>
      <c r="C54" s="4" t="s">
        <v>2643</v>
      </c>
    </row>
    <row r="55" spans="1:3" ht="11.25" customHeight="1" x14ac:dyDescent="0.15">
      <c r="A55" s="4" t="s">
        <v>2644</v>
      </c>
      <c r="B55" s="4" t="s">
        <v>2644</v>
      </c>
      <c r="C55" s="4" t="s">
        <v>2645</v>
      </c>
    </row>
    <row r="56" spans="1:3" ht="11.25" customHeight="1" x14ac:dyDescent="0.15">
      <c r="A56" s="4" t="s">
        <v>2644</v>
      </c>
      <c r="B56" s="4" t="s">
        <v>2646</v>
      </c>
      <c r="C56" s="4" t="s">
        <v>2647</v>
      </c>
    </row>
    <row r="57" spans="1:3" ht="11.25" customHeight="1" x14ac:dyDescent="0.15">
      <c r="A57" s="4" t="s">
        <v>2644</v>
      </c>
      <c r="B57" s="4" t="s">
        <v>2648</v>
      </c>
      <c r="C57" s="4" t="s">
        <v>2649</v>
      </c>
    </row>
    <row r="58" spans="1:3" ht="11.25" customHeight="1" x14ac:dyDescent="0.15">
      <c r="A58" s="4" t="s">
        <v>2644</v>
      </c>
      <c r="B58" s="4" t="s">
        <v>2650</v>
      </c>
      <c r="C58" s="4" t="s">
        <v>2651</v>
      </c>
    </row>
    <row r="59" spans="1:3" ht="11.25" customHeight="1" x14ac:dyDescent="0.15">
      <c r="A59" s="4" t="s">
        <v>2644</v>
      </c>
      <c r="B59" s="4" t="s">
        <v>2652</v>
      </c>
      <c r="C59" s="4" t="s">
        <v>2653</v>
      </c>
    </row>
    <row r="60" spans="1:3" ht="11.25" customHeight="1" x14ac:dyDescent="0.15">
      <c r="A60" s="4" t="s">
        <v>2644</v>
      </c>
      <c r="B60" s="4" t="s">
        <v>2654</v>
      </c>
      <c r="C60" s="4" t="s">
        <v>2655</v>
      </c>
    </row>
    <row r="61" spans="1:3" ht="11.25" customHeight="1" x14ac:dyDescent="0.15">
      <c r="A61" s="4" t="s">
        <v>2644</v>
      </c>
      <c r="B61" s="4" t="s">
        <v>2656</v>
      </c>
      <c r="C61" s="4" t="s">
        <v>2657</v>
      </c>
    </row>
    <row r="62" spans="1:3" ht="11.25" customHeight="1" x14ac:dyDescent="0.15">
      <c r="A62" s="4" t="s">
        <v>2644</v>
      </c>
      <c r="B62" s="4" t="s">
        <v>2658</v>
      </c>
      <c r="C62" s="4" t="s">
        <v>2659</v>
      </c>
    </row>
    <row r="63" spans="1:3" ht="11.25" customHeight="1" x14ac:dyDescent="0.15">
      <c r="A63" s="4" t="s">
        <v>2644</v>
      </c>
      <c r="B63" s="4" t="s">
        <v>2660</v>
      </c>
      <c r="C63" s="4" t="s">
        <v>2661</v>
      </c>
    </row>
    <row r="64" spans="1:3" ht="11.25" customHeight="1" x14ac:dyDescent="0.15">
      <c r="A64" s="4" t="s">
        <v>2644</v>
      </c>
      <c r="B64" s="4" t="s">
        <v>2662</v>
      </c>
      <c r="C64" s="4" t="s">
        <v>2663</v>
      </c>
    </row>
    <row r="65" spans="1:3" ht="11.25" customHeight="1" x14ac:dyDescent="0.15">
      <c r="A65" s="4" t="s">
        <v>2644</v>
      </c>
      <c r="B65" s="4" t="s">
        <v>2664</v>
      </c>
      <c r="C65" s="4" t="s">
        <v>2665</v>
      </c>
    </row>
    <row r="66" spans="1:3" ht="11.25" customHeight="1" x14ac:dyDescent="0.15">
      <c r="A66" s="4" t="s">
        <v>2644</v>
      </c>
      <c r="B66" s="4" t="s">
        <v>2666</v>
      </c>
      <c r="C66" s="4" t="s">
        <v>2667</v>
      </c>
    </row>
    <row r="67" spans="1:3" ht="11.25" customHeight="1" x14ac:dyDescent="0.15">
      <c r="A67" s="4" t="s">
        <v>2668</v>
      </c>
      <c r="B67" s="4" t="s">
        <v>2668</v>
      </c>
      <c r="C67" s="4" t="s">
        <v>2669</v>
      </c>
    </row>
    <row r="68" spans="1:3" ht="11.25" customHeight="1" x14ac:dyDescent="0.15">
      <c r="A68" s="4" t="s">
        <v>2668</v>
      </c>
      <c r="B68" s="4" t="s">
        <v>2670</v>
      </c>
      <c r="C68" s="4" t="s">
        <v>2671</v>
      </c>
    </row>
    <row r="69" spans="1:3" ht="11.25" customHeight="1" x14ac:dyDescent="0.15">
      <c r="A69" s="4" t="s">
        <v>2668</v>
      </c>
      <c r="B69" s="4" t="s">
        <v>2672</v>
      </c>
      <c r="C69" s="4" t="s">
        <v>2673</v>
      </c>
    </row>
    <row r="70" spans="1:3" ht="11.25" customHeight="1" x14ac:dyDescent="0.15">
      <c r="A70" s="4" t="s">
        <v>2668</v>
      </c>
      <c r="B70" s="4" t="s">
        <v>2674</v>
      </c>
      <c r="C70" s="4" t="s">
        <v>2675</v>
      </c>
    </row>
    <row r="71" spans="1:3" ht="11.25" customHeight="1" x14ac:dyDescent="0.15">
      <c r="A71" s="4" t="s">
        <v>2668</v>
      </c>
      <c r="B71" s="4" t="s">
        <v>2676</v>
      </c>
      <c r="C71" s="4" t="s">
        <v>2677</v>
      </c>
    </row>
    <row r="72" spans="1:3" ht="11.25" customHeight="1" x14ac:dyDescent="0.15">
      <c r="A72" s="4" t="s">
        <v>2668</v>
      </c>
      <c r="B72" s="4" t="s">
        <v>2678</v>
      </c>
      <c r="C72" s="4" t="s">
        <v>2679</v>
      </c>
    </row>
    <row r="73" spans="1:3" ht="11.25" customHeight="1" x14ac:dyDescent="0.15">
      <c r="A73" s="4" t="s">
        <v>2668</v>
      </c>
      <c r="B73" s="4" t="s">
        <v>2680</v>
      </c>
      <c r="C73" s="4" t="s">
        <v>2681</v>
      </c>
    </row>
    <row r="74" spans="1:3" ht="11.25" customHeight="1" x14ac:dyDescent="0.15">
      <c r="A74" s="4" t="s">
        <v>2668</v>
      </c>
      <c r="B74" s="4" t="s">
        <v>2682</v>
      </c>
      <c r="C74" s="4" t="s">
        <v>2683</v>
      </c>
    </row>
    <row r="75" spans="1:3" ht="11.25" customHeight="1" x14ac:dyDescent="0.15">
      <c r="A75" s="4" t="s">
        <v>2668</v>
      </c>
      <c r="B75" s="4" t="s">
        <v>2684</v>
      </c>
      <c r="C75" s="4" t="s">
        <v>2685</v>
      </c>
    </row>
    <row r="76" spans="1:3" ht="11.25" customHeight="1" x14ac:dyDescent="0.15">
      <c r="A76" s="4" t="s">
        <v>2686</v>
      </c>
      <c r="B76" s="4" t="s">
        <v>2687</v>
      </c>
      <c r="C76" s="4" t="s">
        <v>2688</v>
      </c>
    </row>
    <row r="77" spans="1:3" ht="11.25" customHeight="1" x14ac:dyDescent="0.15">
      <c r="A77" s="4" t="s">
        <v>2686</v>
      </c>
      <c r="B77" s="4" t="s">
        <v>2689</v>
      </c>
      <c r="C77" s="4" t="s">
        <v>2690</v>
      </c>
    </row>
    <row r="78" spans="1:3" ht="11.25" customHeight="1" x14ac:dyDescent="0.15">
      <c r="A78" s="4" t="s">
        <v>2686</v>
      </c>
      <c r="B78" s="4" t="s">
        <v>2691</v>
      </c>
      <c r="C78" s="4" t="s">
        <v>2692</v>
      </c>
    </row>
    <row r="79" spans="1:3" ht="11.25" customHeight="1" x14ac:dyDescent="0.15">
      <c r="A79" s="4" t="s">
        <v>2686</v>
      </c>
      <c r="B79" s="4" t="s">
        <v>2693</v>
      </c>
      <c r="C79" s="4" t="s">
        <v>2694</v>
      </c>
    </row>
    <row r="80" spans="1:3" ht="11.25" customHeight="1" x14ac:dyDescent="0.15">
      <c r="A80" s="4" t="s">
        <v>2686</v>
      </c>
      <c r="B80" s="4" t="s">
        <v>2695</v>
      </c>
      <c r="C80" s="4" t="s">
        <v>2696</v>
      </c>
    </row>
    <row r="81" spans="1:3" ht="11.25" customHeight="1" x14ac:dyDescent="0.15">
      <c r="A81" s="4" t="s">
        <v>2686</v>
      </c>
      <c r="B81" s="4" t="s">
        <v>2697</v>
      </c>
      <c r="C81" s="4" t="s">
        <v>2698</v>
      </c>
    </row>
    <row r="82" spans="1:3" ht="11.25" customHeight="1" x14ac:dyDescent="0.15">
      <c r="A82" s="4" t="s">
        <v>2686</v>
      </c>
      <c r="B82" s="4" t="s">
        <v>2699</v>
      </c>
      <c r="C82" s="4" t="s">
        <v>2700</v>
      </c>
    </row>
    <row r="83" spans="1:3" ht="11.25" customHeight="1" x14ac:dyDescent="0.15">
      <c r="A83" s="4" t="s">
        <v>2686</v>
      </c>
      <c r="B83" s="4" t="s">
        <v>2701</v>
      </c>
      <c r="C83" s="4" t="s">
        <v>2702</v>
      </c>
    </row>
    <row r="84" spans="1:3" ht="11.25" customHeight="1" x14ac:dyDescent="0.15">
      <c r="A84" s="4" t="s">
        <v>2686</v>
      </c>
      <c r="B84" s="4" t="s">
        <v>2703</v>
      </c>
      <c r="C84" s="4" t="s">
        <v>2704</v>
      </c>
    </row>
    <row r="85" spans="1:3" ht="11.25" customHeight="1" x14ac:dyDescent="0.15">
      <c r="A85" s="4" t="s">
        <v>2686</v>
      </c>
      <c r="B85" s="4" t="s">
        <v>2705</v>
      </c>
      <c r="C85" s="4" t="s">
        <v>2706</v>
      </c>
    </row>
    <row r="86" spans="1:3" ht="11.25" customHeight="1" x14ac:dyDescent="0.15">
      <c r="A86" s="4" t="s">
        <v>2686</v>
      </c>
      <c r="B86" s="4" t="s">
        <v>2707</v>
      </c>
      <c r="C86" s="4" t="s">
        <v>2708</v>
      </c>
    </row>
    <row r="87" spans="1:3" ht="11.25" customHeight="1" x14ac:dyDescent="0.15">
      <c r="A87" s="4" t="s">
        <v>2686</v>
      </c>
      <c r="B87" s="4" t="s">
        <v>2709</v>
      </c>
      <c r="C87" s="4" t="s">
        <v>2710</v>
      </c>
    </row>
    <row r="88" spans="1:3" ht="11.25" customHeight="1" x14ac:dyDescent="0.15">
      <c r="A88" s="4" t="s">
        <v>2686</v>
      </c>
      <c r="B88" s="4" t="s">
        <v>2711</v>
      </c>
      <c r="C88" s="4" t="s">
        <v>2712</v>
      </c>
    </row>
    <row r="89" spans="1:3" ht="11.25" customHeight="1" x14ac:dyDescent="0.15">
      <c r="A89" s="4" t="s">
        <v>2713</v>
      </c>
      <c r="B89" s="4" t="s">
        <v>2713</v>
      </c>
      <c r="C89" s="4" t="s">
        <v>2714</v>
      </c>
    </row>
    <row r="90" spans="1:3" ht="11.25" customHeight="1" x14ac:dyDescent="0.15">
      <c r="A90" s="4" t="s">
        <v>2713</v>
      </c>
      <c r="B90" s="4" t="s">
        <v>2715</v>
      </c>
      <c r="C90" s="4" t="s">
        <v>2716</v>
      </c>
    </row>
    <row r="91" spans="1:3" ht="11.25" customHeight="1" x14ac:dyDescent="0.15">
      <c r="A91" s="4" t="s">
        <v>2713</v>
      </c>
      <c r="B91" s="4" t="s">
        <v>2717</v>
      </c>
      <c r="C91" s="4" t="s">
        <v>2718</v>
      </c>
    </row>
    <row r="92" spans="1:3" ht="11.25" customHeight="1" x14ac:dyDescent="0.15">
      <c r="A92" s="4" t="s">
        <v>2713</v>
      </c>
      <c r="B92" s="4" t="s">
        <v>2719</v>
      </c>
      <c r="C92" s="4" t="s">
        <v>2720</v>
      </c>
    </row>
    <row r="93" spans="1:3" ht="11.25" customHeight="1" x14ac:dyDescent="0.15">
      <c r="A93" s="4" t="s">
        <v>2713</v>
      </c>
      <c r="B93" s="4" t="s">
        <v>2721</v>
      </c>
      <c r="C93" s="4" t="s">
        <v>2722</v>
      </c>
    </row>
    <row r="94" spans="1:3" ht="11.25" customHeight="1" x14ac:dyDescent="0.15">
      <c r="A94" s="4" t="s">
        <v>2713</v>
      </c>
      <c r="B94" s="4" t="s">
        <v>2723</v>
      </c>
      <c r="C94" s="4" t="s">
        <v>2724</v>
      </c>
    </row>
    <row r="95" spans="1:3" ht="11.25" customHeight="1" x14ac:dyDescent="0.15">
      <c r="A95" s="4" t="s">
        <v>2713</v>
      </c>
      <c r="B95" s="4" t="s">
        <v>2725</v>
      </c>
      <c r="C95" s="4" t="s">
        <v>2726</v>
      </c>
    </row>
    <row r="96" spans="1:3" ht="11.25" customHeight="1" x14ac:dyDescent="0.15">
      <c r="A96" s="4" t="s">
        <v>2713</v>
      </c>
      <c r="B96" s="4" t="s">
        <v>2723</v>
      </c>
      <c r="C96" s="4" t="s">
        <v>2727</v>
      </c>
    </row>
    <row r="97" spans="1:3" ht="11.25" customHeight="1" x14ac:dyDescent="0.15">
      <c r="A97" s="4" t="s">
        <v>2713</v>
      </c>
      <c r="B97" s="4" t="s">
        <v>2728</v>
      </c>
      <c r="C97" s="4" t="s">
        <v>2729</v>
      </c>
    </row>
    <row r="98" spans="1:3" ht="11.25" customHeight="1" x14ac:dyDescent="0.15">
      <c r="A98" s="4" t="s">
        <v>2713</v>
      </c>
      <c r="B98" s="4" t="s">
        <v>2730</v>
      </c>
      <c r="C98" s="4" t="s">
        <v>2731</v>
      </c>
    </row>
    <row r="99" spans="1:3" ht="11.25" customHeight="1" x14ac:dyDescent="0.15">
      <c r="A99" s="4" t="s">
        <v>2713</v>
      </c>
      <c r="B99" s="4" t="s">
        <v>2732</v>
      </c>
      <c r="C99" s="4" t="s">
        <v>2733</v>
      </c>
    </row>
    <row r="100" spans="1:3" ht="11.25" customHeight="1" x14ac:dyDescent="0.15">
      <c r="A100" s="4" t="s">
        <v>2713</v>
      </c>
      <c r="B100" s="4" t="s">
        <v>2734</v>
      </c>
      <c r="C100" s="4" t="s">
        <v>2735</v>
      </c>
    </row>
    <row r="101" spans="1:3" ht="11.25" customHeight="1" x14ac:dyDescent="0.15">
      <c r="A101" s="4" t="s">
        <v>2713</v>
      </c>
      <c r="B101" s="4" t="s">
        <v>2736</v>
      </c>
      <c r="C101" s="4" t="s">
        <v>2737</v>
      </c>
    </row>
    <row r="102" spans="1:3" ht="11.25" customHeight="1" x14ac:dyDescent="0.15">
      <c r="A102" s="4" t="s">
        <v>2713</v>
      </c>
      <c r="B102" s="4" t="s">
        <v>2738</v>
      </c>
      <c r="C102" s="4" t="s">
        <v>2739</v>
      </c>
    </row>
    <row r="103" spans="1:3" ht="11.25" customHeight="1" x14ac:dyDescent="0.15">
      <c r="A103" s="4" t="s">
        <v>2713</v>
      </c>
      <c r="B103" s="4" t="s">
        <v>2740</v>
      </c>
      <c r="C103" s="4" t="s">
        <v>2741</v>
      </c>
    </row>
    <row r="104" spans="1:3" ht="11.25" customHeight="1" x14ac:dyDescent="0.15">
      <c r="A104" s="4" t="s">
        <v>2713</v>
      </c>
      <c r="B104" s="4" t="s">
        <v>2742</v>
      </c>
      <c r="C104" s="4" t="s">
        <v>2743</v>
      </c>
    </row>
    <row r="105" spans="1:3" ht="11.25" customHeight="1" x14ac:dyDescent="0.15">
      <c r="A105" s="4" t="s">
        <v>2713</v>
      </c>
      <c r="B105" s="4" t="s">
        <v>2744</v>
      </c>
      <c r="C105" s="4" t="s">
        <v>2745</v>
      </c>
    </row>
    <row r="106" spans="1:3" ht="11.25" customHeight="1" x14ac:dyDescent="0.15">
      <c r="A106" s="4" t="s">
        <v>2713</v>
      </c>
      <c r="B106" s="4" t="s">
        <v>2744</v>
      </c>
      <c r="C106" s="4" t="s">
        <v>2746</v>
      </c>
    </row>
    <row r="107" spans="1:3" ht="11.25" customHeight="1" x14ac:dyDescent="0.15">
      <c r="A107" s="4" t="s">
        <v>2713</v>
      </c>
      <c r="B107" s="4" t="s">
        <v>2715</v>
      </c>
      <c r="C107" s="4" t="s">
        <v>2747</v>
      </c>
    </row>
    <row r="108" spans="1:3" ht="11.25" customHeight="1" x14ac:dyDescent="0.15">
      <c r="A108" s="4" t="s">
        <v>2748</v>
      </c>
      <c r="B108" s="4" t="s">
        <v>2749</v>
      </c>
      <c r="C108" s="4" t="s">
        <v>2750</v>
      </c>
    </row>
    <row r="109" spans="1:3" ht="11.25" customHeight="1" x14ac:dyDescent="0.15">
      <c r="A109" s="4" t="s">
        <v>2748</v>
      </c>
      <c r="B109" s="4" t="s">
        <v>2751</v>
      </c>
      <c r="C109" s="4" t="s">
        <v>2752</v>
      </c>
    </row>
    <row r="110" spans="1:3" ht="11.25" customHeight="1" x14ac:dyDescent="0.15">
      <c r="A110" s="4" t="s">
        <v>2748</v>
      </c>
      <c r="B110" s="4" t="s">
        <v>2753</v>
      </c>
      <c r="C110" s="4" t="s">
        <v>2754</v>
      </c>
    </row>
    <row r="111" spans="1:3" ht="11.25" customHeight="1" x14ac:dyDescent="0.15">
      <c r="A111" s="4" t="s">
        <v>2748</v>
      </c>
      <c r="B111" s="4" t="s">
        <v>2755</v>
      </c>
      <c r="C111" s="4" t="s">
        <v>2756</v>
      </c>
    </row>
    <row r="112" spans="1:3" ht="11.25" customHeight="1" x14ac:dyDescent="0.15">
      <c r="A112" s="4" t="s">
        <v>2748</v>
      </c>
      <c r="B112" s="4" t="s">
        <v>2757</v>
      </c>
      <c r="C112" s="4" t="s">
        <v>2758</v>
      </c>
    </row>
    <row r="113" spans="1:3" ht="11.25" customHeight="1" x14ac:dyDescent="0.15">
      <c r="A113" s="4" t="s">
        <v>2748</v>
      </c>
      <c r="B113" s="4" t="s">
        <v>2759</v>
      </c>
      <c r="C113" s="4" t="s">
        <v>2760</v>
      </c>
    </row>
    <row r="114" spans="1:3" ht="11.25" customHeight="1" x14ac:dyDescent="0.15">
      <c r="A114" s="4" t="s">
        <v>2748</v>
      </c>
      <c r="B114" s="4" t="s">
        <v>2761</v>
      </c>
      <c r="C114" s="4" t="s">
        <v>2762</v>
      </c>
    </row>
    <row r="115" spans="1:3" ht="11.25" customHeight="1" x14ac:dyDescent="0.15">
      <c r="A115" s="4" t="s">
        <v>2748</v>
      </c>
      <c r="B115" s="4" t="s">
        <v>2763</v>
      </c>
      <c r="C115" s="4" t="s">
        <v>2764</v>
      </c>
    </row>
    <row r="116" spans="1:3" ht="11.25" customHeight="1" x14ac:dyDescent="0.15">
      <c r="A116" s="4" t="s">
        <v>2748</v>
      </c>
      <c r="B116" s="4" t="s">
        <v>2765</v>
      </c>
      <c r="C116" s="4" t="s">
        <v>2766</v>
      </c>
    </row>
    <row r="117" spans="1:3" ht="11.25" customHeight="1" x14ac:dyDescent="0.15">
      <c r="A117" s="4" t="s">
        <v>2748</v>
      </c>
      <c r="B117" s="4" t="s">
        <v>2767</v>
      </c>
      <c r="C117" s="4" t="s">
        <v>2768</v>
      </c>
    </row>
    <row r="118" spans="1:3" ht="11.25" customHeight="1" x14ac:dyDescent="0.15">
      <c r="A118" s="4" t="s">
        <v>2769</v>
      </c>
      <c r="B118" s="4" t="s">
        <v>2769</v>
      </c>
      <c r="C118" s="4" t="s">
        <v>2770</v>
      </c>
    </row>
    <row r="119" spans="1:3" ht="11.25" customHeight="1" x14ac:dyDescent="0.15">
      <c r="A119" s="4" t="s">
        <v>2769</v>
      </c>
      <c r="B119" s="4" t="s">
        <v>2771</v>
      </c>
      <c r="C119" s="4" t="s">
        <v>2772</v>
      </c>
    </row>
    <row r="120" spans="1:3" ht="11.25" customHeight="1" x14ac:dyDescent="0.15">
      <c r="A120" s="4" t="s">
        <v>2769</v>
      </c>
      <c r="B120" s="4" t="s">
        <v>2773</v>
      </c>
      <c r="C120" s="4" t="s">
        <v>2774</v>
      </c>
    </row>
    <row r="121" spans="1:3" ht="11.25" customHeight="1" x14ac:dyDescent="0.15">
      <c r="A121" s="4" t="s">
        <v>2769</v>
      </c>
      <c r="B121" s="4" t="s">
        <v>2775</v>
      </c>
      <c r="C121" s="4" t="s">
        <v>2776</v>
      </c>
    </row>
    <row r="122" spans="1:3" ht="11.25" customHeight="1" x14ac:dyDescent="0.15">
      <c r="A122" s="4" t="s">
        <v>2769</v>
      </c>
      <c r="B122" s="4" t="s">
        <v>2777</v>
      </c>
      <c r="C122" s="4" t="s">
        <v>2778</v>
      </c>
    </row>
    <row r="123" spans="1:3" ht="11.25" customHeight="1" x14ac:dyDescent="0.15">
      <c r="A123" s="4" t="s">
        <v>2769</v>
      </c>
      <c r="B123" s="4" t="s">
        <v>2779</v>
      </c>
      <c r="C123" s="4" t="s">
        <v>2780</v>
      </c>
    </row>
    <row r="124" spans="1:3" ht="11.25" customHeight="1" x14ac:dyDescent="0.15">
      <c r="A124" s="4" t="s">
        <v>2769</v>
      </c>
      <c r="B124" s="4" t="s">
        <v>2781</v>
      </c>
      <c r="C124" s="4" t="s">
        <v>2782</v>
      </c>
    </row>
    <row r="125" spans="1:3" ht="11.25" customHeight="1" x14ac:dyDescent="0.15">
      <c r="A125" s="4" t="s">
        <v>2769</v>
      </c>
      <c r="B125" s="4" t="s">
        <v>2783</v>
      </c>
      <c r="C125" s="4" t="s">
        <v>2784</v>
      </c>
    </row>
    <row r="126" spans="1:3" ht="11.25" customHeight="1" x14ac:dyDescent="0.15">
      <c r="A126" s="4" t="s">
        <v>2769</v>
      </c>
      <c r="B126" s="4" t="s">
        <v>2785</v>
      </c>
      <c r="C126" s="4" t="s">
        <v>2786</v>
      </c>
    </row>
    <row r="127" spans="1:3" ht="11.25" customHeight="1" x14ac:dyDescent="0.15">
      <c r="A127" s="4" t="s">
        <v>2769</v>
      </c>
      <c r="B127" s="4" t="s">
        <v>2787</v>
      </c>
      <c r="C127" s="4" t="s">
        <v>2788</v>
      </c>
    </row>
    <row r="128" spans="1:3" ht="11.25" customHeight="1" x14ac:dyDescent="0.15">
      <c r="A128" s="4" t="s">
        <v>2769</v>
      </c>
      <c r="B128" s="4" t="s">
        <v>2789</v>
      </c>
      <c r="C128" s="4" t="s">
        <v>2790</v>
      </c>
    </row>
    <row r="129" spans="1:3" ht="11.25" customHeight="1" x14ac:dyDescent="0.15">
      <c r="A129" s="4" t="s">
        <v>2769</v>
      </c>
      <c r="B129" s="4" t="s">
        <v>2791</v>
      </c>
      <c r="C129" s="4" t="s">
        <v>2792</v>
      </c>
    </row>
    <row r="130" spans="1:3" ht="11.25" customHeight="1" x14ac:dyDescent="0.15">
      <c r="A130" s="4" t="s">
        <v>2793</v>
      </c>
      <c r="B130" s="4" t="s">
        <v>2794</v>
      </c>
      <c r="C130" s="4" t="s">
        <v>2795</v>
      </c>
    </row>
    <row r="131" spans="1:3" ht="11.25" customHeight="1" x14ac:dyDescent="0.15">
      <c r="A131" s="4" t="s">
        <v>2793</v>
      </c>
      <c r="B131" s="4" t="s">
        <v>2796</v>
      </c>
      <c r="C131" s="4" t="s">
        <v>2797</v>
      </c>
    </row>
    <row r="132" spans="1:3" ht="11.25" customHeight="1" x14ac:dyDescent="0.15">
      <c r="A132" s="4" t="s">
        <v>2793</v>
      </c>
      <c r="B132" s="4" t="s">
        <v>2798</v>
      </c>
      <c r="C132" s="4" t="s">
        <v>2799</v>
      </c>
    </row>
    <row r="133" spans="1:3" ht="11.25" customHeight="1" x14ac:dyDescent="0.15">
      <c r="A133" s="4" t="s">
        <v>2793</v>
      </c>
      <c r="B133" s="4" t="s">
        <v>2800</v>
      </c>
      <c r="C133" s="4" t="s">
        <v>2801</v>
      </c>
    </row>
    <row r="134" spans="1:3" ht="11.25" customHeight="1" x14ac:dyDescent="0.15">
      <c r="A134" s="4" t="s">
        <v>2793</v>
      </c>
      <c r="B134" s="4" t="s">
        <v>2802</v>
      </c>
      <c r="C134" s="4" t="s">
        <v>2803</v>
      </c>
    </row>
    <row r="135" spans="1:3" ht="11.25" customHeight="1" x14ac:dyDescent="0.15">
      <c r="A135" s="4" t="s">
        <v>2793</v>
      </c>
      <c r="B135" s="4" t="s">
        <v>2804</v>
      </c>
      <c r="C135" s="4" t="s">
        <v>2805</v>
      </c>
    </row>
    <row r="136" spans="1:3" ht="11.25" customHeight="1" x14ac:dyDescent="0.15">
      <c r="A136" s="4" t="s">
        <v>2793</v>
      </c>
      <c r="B136" s="4" t="s">
        <v>2806</v>
      </c>
      <c r="C136" s="4" t="s">
        <v>2807</v>
      </c>
    </row>
    <row r="137" spans="1:3" ht="11.25" customHeight="1" x14ac:dyDescent="0.15">
      <c r="A137" s="4" t="s">
        <v>2793</v>
      </c>
      <c r="B137" s="4" t="s">
        <v>2808</v>
      </c>
      <c r="C137" s="4" t="s">
        <v>2809</v>
      </c>
    </row>
    <row r="138" spans="1:3" ht="11.25" customHeight="1" x14ac:dyDescent="0.15">
      <c r="A138" s="4" t="s">
        <v>2793</v>
      </c>
      <c r="B138" s="4" t="s">
        <v>2810</v>
      </c>
      <c r="C138" s="4" t="s">
        <v>2811</v>
      </c>
    </row>
    <row r="139" spans="1:3" ht="11.25" customHeight="1" x14ac:dyDescent="0.15">
      <c r="A139" s="4" t="s">
        <v>2793</v>
      </c>
      <c r="B139" s="4" t="s">
        <v>2812</v>
      </c>
      <c r="C139" s="4" t="s">
        <v>2813</v>
      </c>
    </row>
    <row r="140" spans="1:3" ht="11.25" customHeight="1" x14ac:dyDescent="0.15">
      <c r="A140" s="4" t="s">
        <v>2814</v>
      </c>
      <c r="B140" s="4" t="s">
        <v>2814</v>
      </c>
      <c r="C140" s="4" t="s">
        <v>2815</v>
      </c>
    </row>
    <row r="141" spans="1:3" ht="11.25" customHeight="1" x14ac:dyDescent="0.15">
      <c r="A141" s="4" t="s">
        <v>2814</v>
      </c>
      <c r="B141" s="4" t="s">
        <v>2816</v>
      </c>
      <c r="C141" s="4" t="s">
        <v>2817</v>
      </c>
    </row>
    <row r="142" spans="1:3" ht="11.25" customHeight="1" x14ac:dyDescent="0.15">
      <c r="A142" s="4" t="s">
        <v>2814</v>
      </c>
      <c r="B142" s="4" t="s">
        <v>2818</v>
      </c>
      <c r="C142" s="4" t="s">
        <v>2819</v>
      </c>
    </row>
    <row r="143" spans="1:3" ht="11.25" customHeight="1" x14ac:dyDescent="0.15">
      <c r="A143" s="4" t="s">
        <v>2814</v>
      </c>
      <c r="B143" s="4" t="s">
        <v>2820</v>
      </c>
      <c r="C143" s="4" t="s">
        <v>2821</v>
      </c>
    </row>
    <row r="144" spans="1:3" ht="11.25" customHeight="1" x14ac:dyDescent="0.15">
      <c r="A144" s="4" t="s">
        <v>2814</v>
      </c>
      <c r="B144" s="4" t="s">
        <v>2822</v>
      </c>
      <c r="C144" s="4" t="s">
        <v>2823</v>
      </c>
    </row>
    <row r="145" spans="1:3" ht="11.25" customHeight="1" x14ac:dyDescent="0.15">
      <c r="A145" s="4" t="s">
        <v>2814</v>
      </c>
      <c r="B145" s="4" t="s">
        <v>2824</v>
      </c>
      <c r="C145" s="4" t="s">
        <v>2825</v>
      </c>
    </row>
    <row r="146" spans="1:3" ht="11.25" customHeight="1" x14ac:dyDescent="0.15">
      <c r="A146" s="4" t="s">
        <v>2814</v>
      </c>
      <c r="B146" s="4" t="s">
        <v>2826</v>
      </c>
      <c r="C146" s="4" t="s">
        <v>2827</v>
      </c>
    </row>
    <row r="147" spans="1:3" ht="11.25" customHeight="1" x14ac:dyDescent="0.15">
      <c r="A147" s="4" t="s">
        <v>2814</v>
      </c>
      <c r="B147" s="4" t="s">
        <v>2828</v>
      </c>
      <c r="C147" s="4" t="s">
        <v>2829</v>
      </c>
    </row>
    <row r="148" spans="1:3" ht="11.25" customHeight="1" x14ac:dyDescent="0.15">
      <c r="A148" s="4" t="s">
        <v>2814</v>
      </c>
      <c r="B148" s="4" t="s">
        <v>2830</v>
      </c>
      <c r="C148" s="4" t="s">
        <v>2831</v>
      </c>
    </row>
    <row r="149" spans="1:3" ht="11.25" customHeight="1" x14ac:dyDescent="0.15">
      <c r="A149" s="4" t="s">
        <v>2814</v>
      </c>
      <c r="B149" s="4" t="s">
        <v>2832</v>
      </c>
      <c r="C149" s="4" t="s">
        <v>2833</v>
      </c>
    </row>
    <row r="150" spans="1:3" ht="11.25" customHeight="1" x14ac:dyDescent="0.15">
      <c r="A150" s="4" t="s">
        <v>2814</v>
      </c>
      <c r="B150" s="4" t="s">
        <v>2834</v>
      </c>
      <c r="C150" s="4" t="s">
        <v>2835</v>
      </c>
    </row>
    <row r="151" spans="1:3" ht="11.25" customHeight="1" x14ac:dyDescent="0.15">
      <c r="A151" s="4" t="s">
        <v>2814</v>
      </c>
      <c r="B151" s="4" t="s">
        <v>2836</v>
      </c>
      <c r="C151" s="4" t="s">
        <v>2837</v>
      </c>
    </row>
    <row r="152" spans="1:3" ht="11.25" customHeight="1" x14ac:dyDescent="0.15">
      <c r="A152" s="4" t="s">
        <v>2814</v>
      </c>
      <c r="B152" s="4" t="s">
        <v>2838</v>
      </c>
      <c r="C152" s="4" t="s">
        <v>2839</v>
      </c>
    </row>
    <row r="153" spans="1:3" ht="11.25" customHeight="1" x14ac:dyDescent="0.15">
      <c r="A153" s="4" t="s">
        <v>2814</v>
      </c>
      <c r="B153" s="4" t="s">
        <v>2840</v>
      </c>
      <c r="C153" s="4" t="s">
        <v>2841</v>
      </c>
    </row>
    <row r="154" spans="1:3" ht="11.25" customHeight="1" x14ac:dyDescent="0.15">
      <c r="A154" s="4" t="s">
        <v>2842</v>
      </c>
      <c r="B154" s="4" t="s">
        <v>2843</v>
      </c>
      <c r="C154" s="4" t="s">
        <v>2844</v>
      </c>
    </row>
    <row r="155" spans="1:3" ht="11.25" customHeight="1" x14ac:dyDescent="0.15">
      <c r="A155" s="4" t="s">
        <v>2842</v>
      </c>
      <c r="B155" s="4" t="s">
        <v>2845</v>
      </c>
      <c r="C155" s="4" t="s">
        <v>2846</v>
      </c>
    </row>
    <row r="156" spans="1:3" ht="11.25" customHeight="1" x14ac:dyDescent="0.15">
      <c r="A156" s="4" t="s">
        <v>2842</v>
      </c>
      <c r="B156" s="4" t="s">
        <v>2847</v>
      </c>
      <c r="C156" s="4" t="s">
        <v>2848</v>
      </c>
    </row>
    <row r="157" spans="1:3" ht="11.25" customHeight="1" x14ac:dyDescent="0.15">
      <c r="A157" s="4" t="s">
        <v>2842</v>
      </c>
      <c r="B157" s="4" t="s">
        <v>2849</v>
      </c>
      <c r="C157" s="4" t="s">
        <v>2850</v>
      </c>
    </row>
    <row r="158" spans="1:3" ht="11.25" customHeight="1" x14ac:dyDescent="0.15">
      <c r="A158" s="4" t="s">
        <v>2842</v>
      </c>
      <c r="B158" s="4" t="s">
        <v>2851</v>
      </c>
      <c r="C158" s="4" t="s">
        <v>2852</v>
      </c>
    </row>
    <row r="159" spans="1:3" ht="11.25" customHeight="1" x14ac:dyDescent="0.15">
      <c r="A159" s="4" t="s">
        <v>2842</v>
      </c>
      <c r="B159" s="4" t="s">
        <v>2853</v>
      </c>
      <c r="C159" s="4" t="s">
        <v>2854</v>
      </c>
    </row>
    <row r="160" spans="1:3" ht="11.25" customHeight="1" x14ac:dyDescent="0.15">
      <c r="A160" s="4" t="s">
        <v>2842</v>
      </c>
      <c r="B160" s="4" t="s">
        <v>2855</v>
      </c>
      <c r="C160" s="4" t="s">
        <v>2856</v>
      </c>
    </row>
    <row r="161" spans="1:3" ht="11.25" customHeight="1" x14ac:dyDescent="0.15">
      <c r="A161" s="4" t="s">
        <v>2842</v>
      </c>
      <c r="B161" s="4" t="s">
        <v>2857</v>
      </c>
      <c r="C161" s="4" t="s">
        <v>2858</v>
      </c>
    </row>
    <row r="162" spans="1:3" ht="11.25" customHeight="1" x14ac:dyDescent="0.15">
      <c r="A162" s="4" t="s">
        <v>2842</v>
      </c>
      <c r="B162" s="4" t="s">
        <v>2859</v>
      </c>
      <c r="C162" s="4" t="s">
        <v>2860</v>
      </c>
    </row>
    <row r="163" spans="1:3" ht="11.25" customHeight="1" x14ac:dyDescent="0.15">
      <c r="A163" s="4" t="s">
        <v>2842</v>
      </c>
      <c r="B163" s="4" t="s">
        <v>2861</v>
      </c>
      <c r="C163" s="4" t="s">
        <v>2862</v>
      </c>
    </row>
    <row r="164" spans="1:3" ht="11.25" customHeight="1" x14ac:dyDescent="0.15">
      <c r="A164" s="4" t="s">
        <v>2842</v>
      </c>
      <c r="B164" s="4" t="s">
        <v>2863</v>
      </c>
      <c r="C164" s="4" t="s">
        <v>2864</v>
      </c>
    </row>
    <row r="165" spans="1:3" ht="11.25" customHeight="1" x14ac:dyDescent="0.15">
      <c r="A165" s="4" t="s">
        <v>2842</v>
      </c>
      <c r="B165" s="4" t="s">
        <v>2865</v>
      </c>
      <c r="C165" s="4" t="s">
        <v>2866</v>
      </c>
    </row>
    <row r="166" spans="1:3" ht="11.25" customHeight="1" x14ac:dyDescent="0.15">
      <c r="A166" s="4" t="s">
        <v>2867</v>
      </c>
      <c r="B166" s="4" t="s">
        <v>2868</v>
      </c>
      <c r="C166" s="4" t="s">
        <v>2869</v>
      </c>
    </row>
    <row r="167" spans="1:3" ht="11.25" customHeight="1" x14ac:dyDescent="0.15">
      <c r="A167" s="4" t="s">
        <v>2867</v>
      </c>
      <c r="B167" s="4" t="s">
        <v>2870</v>
      </c>
      <c r="C167" s="4" t="s">
        <v>2871</v>
      </c>
    </row>
    <row r="168" spans="1:3" ht="11.25" customHeight="1" x14ac:dyDescent="0.15">
      <c r="A168" s="4" t="s">
        <v>2867</v>
      </c>
      <c r="B168" s="4" t="s">
        <v>2872</v>
      </c>
      <c r="C168" s="4" t="s">
        <v>2873</v>
      </c>
    </row>
    <row r="169" spans="1:3" ht="11.25" customHeight="1" x14ac:dyDescent="0.15">
      <c r="A169" s="4" t="s">
        <v>2867</v>
      </c>
      <c r="B169" s="4" t="s">
        <v>2874</v>
      </c>
      <c r="C169" s="4" t="s">
        <v>2875</v>
      </c>
    </row>
    <row r="170" spans="1:3" ht="11.25" customHeight="1" x14ac:dyDescent="0.15">
      <c r="A170" s="4" t="s">
        <v>2867</v>
      </c>
      <c r="B170" s="4" t="s">
        <v>2876</v>
      </c>
      <c r="C170" s="4" t="s">
        <v>2877</v>
      </c>
    </row>
    <row r="171" spans="1:3" ht="11.25" customHeight="1" x14ac:dyDescent="0.15">
      <c r="A171" s="4" t="s">
        <v>2867</v>
      </c>
      <c r="B171" s="4" t="s">
        <v>2878</v>
      </c>
      <c r="C171" s="4" t="s">
        <v>2879</v>
      </c>
    </row>
    <row r="172" spans="1:3" ht="11.25" customHeight="1" x14ac:dyDescent="0.15">
      <c r="A172" s="4" t="s">
        <v>2867</v>
      </c>
      <c r="B172" s="4" t="s">
        <v>2880</v>
      </c>
      <c r="C172" s="4" t="s">
        <v>2881</v>
      </c>
    </row>
    <row r="173" spans="1:3" ht="11.25" customHeight="1" x14ac:dyDescent="0.15">
      <c r="A173" s="4" t="s">
        <v>2867</v>
      </c>
      <c r="B173" s="4" t="s">
        <v>2882</v>
      </c>
      <c r="C173" s="4" t="s">
        <v>2883</v>
      </c>
    </row>
    <row r="174" spans="1:3" ht="11.25" customHeight="1" x14ac:dyDescent="0.15">
      <c r="A174" s="4" t="s">
        <v>2867</v>
      </c>
      <c r="B174" s="4" t="s">
        <v>2884</v>
      </c>
      <c r="C174" s="4" t="s">
        <v>2885</v>
      </c>
    </row>
    <row r="175" spans="1:3" ht="11.25" customHeight="1" x14ac:dyDescent="0.15">
      <c r="A175" s="4" t="s">
        <v>2867</v>
      </c>
      <c r="B175" s="4" t="s">
        <v>2886</v>
      </c>
      <c r="C175" s="4" t="s">
        <v>2887</v>
      </c>
    </row>
    <row r="176" spans="1:3" ht="11.25" customHeight="1" x14ac:dyDescent="0.15">
      <c r="A176" s="4" t="s">
        <v>2867</v>
      </c>
      <c r="B176" s="4" t="s">
        <v>2888</v>
      </c>
      <c r="C176" s="4" t="s">
        <v>2889</v>
      </c>
    </row>
    <row r="177" spans="1:3" ht="11.25" customHeight="1" x14ac:dyDescent="0.15">
      <c r="A177" s="4" t="s">
        <v>2867</v>
      </c>
      <c r="B177" s="4" t="s">
        <v>2890</v>
      </c>
      <c r="C177" s="4" t="s">
        <v>2891</v>
      </c>
    </row>
    <row r="178" spans="1:3" ht="11.25" customHeight="1" x14ac:dyDescent="0.15">
      <c r="A178" s="4" t="s">
        <v>2892</v>
      </c>
      <c r="B178" s="4" t="s">
        <v>2893</v>
      </c>
      <c r="C178" s="4" t="s">
        <v>2894</v>
      </c>
    </row>
    <row r="179" spans="1:3" ht="11.25" customHeight="1" x14ac:dyDescent="0.15">
      <c r="A179" s="4" t="s">
        <v>2892</v>
      </c>
      <c r="B179" s="4" t="s">
        <v>2895</v>
      </c>
      <c r="C179" s="4" t="s">
        <v>2896</v>
      </c>
    </row>
    <row r="180" spans="1:3" ht="11.25" customHeight="1" x14ac:dyDescent="0.15">
      <c r="A180" s="4" t="s">
        <v>2892</v>
      </c>
      <c r="B180" s="4" t="s">
        <v>2897</v>
      </c>
      <c r="C180" s="4" t="s">
        <v>2898</v>
      </c>
    </row>
    <row r="181" spans="1:3" ht="11.25" customHeight="1" x14ac:dyDescent="0.15">
      <c r="A181" s="4" t="s">
        <v>2892</v>
      </c>
      <c r="B181" s="4" t="s">
        <v>2899</v>
      </c>
      <c r="C181" s="4" t="s">
        <v>2900</v>
      </c>
    </row>
    <row r="182" spans="1:3" ht="11.25" customHeight="1" x14ac:dyDescent="0.15">
      <c r="A182" s="4" t="s">
        <v>2892</v>
      </c>
      <c r="B182" s="4" t="s">
        <v>2901</v>
      </c>
      <c r="C182" s="4" t="s">
        <v>2902</v>
      </c>
    </row>
    <row r="183" spans="1:3" ht="11.25" customHeight="1" x14ac:dyDescent="0.15">
      <c r="A183" s="4" t="s">
        <v>2892</v>
      </c>
      <c r="B183" s="4" t="s">
        <v>2903</v>
      </c>
      <c r="C183" s="4" t="s">
        <v>2904</v>
      </c>
    </row>
    <row r="184" spans="1:3" ht="11.25" customHeight="1" x14ac:dyDescent="0.15">
      <c r="A184" s="4" t="s">
        <v>2892</v>
      </c>
      <c r="B184" s="4" t="s">
        <v>2905</v>
      </c>
      <c r="C184" s="4" t="s">
        <v>2906</v>
      </c>
    </row>
    <row r="185" spans="1:3" ht="11.25" customHeight="1" x14ac:dyDescent="0.15">
      <c r="A185" s="4" t="s">
        <v>2907</v>
      </c>
      <c r="B185" s="4" t="s">
        <v>2908</v>
      </c>
      <c r="C185" s="4" t="s">
        <v>2909</v>
      </c>
    </row>
    <row r="186" spans="1:3" ht="11.25" customHeight="1" x14ac:dyDescent="0.15">
      <c r="A186" s="4" t="s">
        <v>2907</v>
      </c>
      <c r="B186" s="4" t="s">
        <v>2910</v>
      </c>
      <c r="C186" s="4" t="s">
        <v>2911</v>
      </c>
    </row>
    <row r="187" spans="1:3" ht="11.25" customHeight="1" x14ac:dyDescent="0.15">
      <c r="A187" s="4" t="s">
        <v>2907</v>
      </c>
      <c r="B187" s="4" t="s">
        <v>2912</v>
      </c>
      <c r="C187" s="4" t="s">
        <v>2913</v>
      </c>
    </row>
    <row r="188" spans="1:3" ht="11.25" customHeight="1" x14ac:dyDescent="0.15">
      <c r="A188" s="4" t="s">
        <v>2907</v>
      </c>
      <c r="B188" s="4" t="s">
        <v>2914</v>
      </c>
      <c r="C188" s="4" t="s">
        <v>2915</v>
      </c>
    </row>
    <row r="189" spans="1:3" ht="11.25" customHeight="1" x14ac:dyDescent="0.15">
      <c r="A189" s="4" t="s">
        <v>2907</v>
      </c>
      <c r="B189" s="4" t="s">
        <v>2916</v>
      </c>
      <c r="C189" s="4" t="s">
        <v>2917</v>
      </c>
    </row>
    <row r="190" spans="1:3" ht="11.25" customHeight="1" x14ac:dyDescent="0.15">
      <c r="A190" s="4" t="s">
        <v>2907</v>
      </c>
      <c r="B190" s="4" t="s">
        <v>2918</v>
      </c>
      <c r="C190" s="4" t="s">
        <v>2919</v>
      </c>
    </row>
    <row r="191" spans="1:3" ht="11.25" customHeight="1" x14ac:dyDescent="0.15">
      <c r="A191" s="4" t="s">
        <v>2907</v>
      </c>
      <c r="B191" s="4" t="s">
        <v>2920</v>
      </c>
      <c r="C191" s="4" t="s">
        <v>2921</v>
      </c>
    </row>
    <row r="192" spans="1:3" ht="11.25" customHeight="1" x14ac:dyDescent="0.15">
      <c r="A192" s="4" t="s">
        <v>2907</v>
      </c>
      <c r="B192" s="4" t="s">
        <v>2922</v>
      </c>
      <c r="C192" s="4" t="s">
        <v>2923</v>
      </c>
    </row>
    <row r="193" spans="1:3" ht="11.25" customHeight="1" x14ac:dyDescent="0.15">
      <c r="A193" s="4" t="s">
        <v>2907</v>
      </c>
      <c r="B193" s="4" t="s">
        <v>2924</v>
      </c>
      <c r="C193" s="4" t="s">
        <v>2925</v>
      </c>
    </row>
    <row r="194" spans="1:3" ht="11.25" customHeight="1" x14ac:dyDescent="0.15">
      <c r="A194" s="4" t="s">
        <v>2926</v>
      </c>
      <c r="B194" s="4" t="s">
        <v>2927</v>
      </c>
      <c r="C194" s="4" t="s">
        <v>2928</v>
      </c>
    </row>
    <row r="195" spans="1:3" ht="11.25" customHeight="1" x14ac:dyDescent="0.15">
      <c r="A195" s="4" t="s">
        <v>2926</v>
      </c>
      <c r="B195" s="4" t="s">
        <v>2929</v>
      </c>
      <c r="C195" s="4" t="s">
        <v>2930</v>
      </c>
    </row>
    <row r="196" spans="1:3" ht="11.25" customHeight="1" x14ac:dyDescent="0.15">
      <c r="A196" s="4" t="s">
        <v>2926</v>
      </c>
      <c r="B196" s="4" t="s">
        <v>2931</v>
      </c>
      <c r="C196" s="4" t="s">
        <v>2932</v>
      </c>
    </row>
    <row r="197" spans="1:3" ht="11.25" customHeight="1" x14ac:dyDescent="0.15">
      <c r="A197" s="4" t="s">
        <v>2926</v>
      </c>
      <c r="B197" s="4" t="s">
        <v>2933</v>
      </c>
      <c r="C197" s="4" t="s">
        <v>2934</v>
      </c>
    </row>
    <row r="198" spans="1:3" ht="11.25" customHeight="1" x14ac:dyDescent="0.15">
      <c r="A198" s="4" t="s">
        <v>2926</v>
      </c>
      <c r="B198" s="4" t="s">
        <v>2935</v>
      </c>
      <c r="C198" s="4" t="s">
        <v>2936</v>
      </c>
    </row>
    <row r="199" spans="1:3" ht="11.25" customHeight="1" x14ac:dyDescent="0.15">
      <c r="A199" s="4" t="s">
        <v>2926</v>
      </c>
      <c r="B199" s="4" t="s">
        <v>2937</v>
      </c>
      <c r="C199" s="4" t="s">
        <v>2938</v>
      </c>
    </row>
    <row r="200" spans="1:3" ht="11.25" customHeight="1" x14ac:dyDescent="0.15">
      <c r="A200" s="4" t="s">
        <v>2926</v>
      </c>
      <c r="B200" s="4" t="s">
        <v>2939</v>
      </c>
      <c r="C200" s="4" t="s">
        <v>2940</v>
      </c>
    </row>
    <row r="201" spans="1:3" ht="11.25" customHeight="1" x14ac:dyDescent="0.15">
      <c r="A201" s="4" t="s">
        <v>2926</v>
      </c>
      <c r="B201" s="4" t="s">
        <v>2941</v>
      </c>
      <c r="C201" s="4" t="s">
        <v>2942</v>
      </c>
    </row>
    <row r="202" spans="1:3" ht="11.25" customHeight="1" x14ac:dyDescent="0.15">
      <c r="A202" s="4" t="s">
        <v>2926</v>
      </c>
      <c r="B202" s="4" t="s">
        <v>2943</v>
      </c>
      <c r="C202" s="4" t="s">
        <v>2944</v>
      </c>
    </row>
    <row r="203" spans="1:3" ht="11.25" customHeight="1" x14ac:dyDescent="0.15">
      <c r="A203" s="4" t="s">
        <v>2926</v>
      </c>
      <c r="B203" s="4" t="s">
        <v>2945</v>
      </c>
      <c r="C203" s="4" t="s">
        <v>2946</v>
      </c>
    </row>
    <row r="204" spans="1:3" ht="11.25" customHeight="1" x14ac:dyDescent="0.15">
      <c r="A204" s="4" t="s">
        <v>2947</v>
      </c>
      <c r="B204" s="4" t="s">
        <v>2948</v>
      </c>
      <c r="C204" s="4" t="s">
        <v>2949</v>
      </c>
    </row>
    <row r="205" spans="1:3" ht="11.25" customHeight="1" x14ac:dyDescent="0.15">
      <c r="A205" s="4" t="s">
        <v>2947</v>
      </c>
      <c r="B205" s="4" t="s">
        <v>2950</v>
      </c>
      <c r="C205" s="4" t="s">
        <v>2951</v>
      </c>
    </row>
    <row r="206" spans="1:3" ht="11.25" customHeight="1" x14ac:dyDescent="0.15">
      <c r="A206" s="4" t="s">
        <v>2947</v>
      </c>
      <c r="B206" s="4" t="s">
        <v>2952</v>
      </c>
      <c r="C206" s="4" t="s">
        <v>2953</v>
      </c>
    </row>
    <row r="207" spans="1:3" ht="11.25" customHeight="1" x14ac:dyDescent="0.15">
      <c r="A207" s="4" t="s">
        <v>2947</v>
      </c>
      <c r="B207" s="4" t="s">
        <v>2954</v>
      </c>
      <c r="C207" s="4" t="s">
        <v>2955</v>
      </c>
    </row>
    <row r="208" spans="1:3" ht="11.25" customHeight="1" x14ac:dyDescent="0.15">
      <c r="A208" s="4" t="s">
        <v>2947</v>
      </c>
      <c r="B208" s="4" t="s">
        <v>2956</v>
      </c>
      <c r="C208" s="4" t="s">
        <v>2957</v>
      </c>
    </row>
    <row r="209" spans="1:3" ht="11.25" customHeight="1" x14ac:dyDescent="0.15">
      <c r="A209" s="4" t="s">
        <v>2947</v>
      </c>
      <c r="B209" s="4" t="s">
        <v>2958</v>
      </c>
      <c r="C209" s="4" t="s">
        <v>2959</v>
      </c>
    </row>
    <row r="210" spans="1:3" ht="11.25" customHeight="1" x14ac:dyDescent="0.15">
      <c r="A210" s="4" t="s">
        <v>2947</v>
      </c>
      <c r="B210" s="4" t="s">
        <v>2960</v>
      </c>
      <c r="C210" s="4" t="s">
        <v>2961</v>
      </c>
    </row>
    <row r="211" spans="1:3" ht="11.25" customHeight="1" x14ac:dyDescent="0.15">
      <c r="A211" s="4" t="s">
        <v>2947</v>
      </c>
      <c r="B211" s="4" t="s">
        <v>2962</v>
      </c>
      <c r="C211" s="4" t="s">
        <v>2963</v>
      </c>
    </row>
    <row r="212" spans="1:3" ht="11.25" customHeight="1" x14ac:dyDescent="0.15">
      <c r="A212" s="4" t="s">
        <v>2947</v>
      </c>
      <c r="B212" s="4" t="s">
        <v>2964</v>
      </c>
      <c r="C212" s="4" t="s">
        <v>2965</v>
      </c>
    </row>
    <row r="213" spans="1:3" ht="11.25" customHeight="1" x14ac:dyDescent="0.15">
      <c r="A213" s="4" t="s">
        <v>2947</v>
      </c>
      <c r="B213" s="4" t="s">
        <v>2966</v>
      </c>
      <c r="C213" s="4" t="s">
        <v>2967</v>
      </c>
    </row>
    <row r="214" spans="1:3" ht="11.25" customHeight="1" x14ac:dyDescent="0.15">
      <c r="A214" s="4" t="s">
        <v>2947</v>
      </c>
      <c r="B214" s="4" t="s">
        <v>2968</v>
      </c>
      <c r="C214" s="4" t="s">
        <v>2969</v>
      </c>
    </row>
    <row r="215" spans="1:3" ht="11.25" customHeight="1" x14ac:dyDescent="0.15">
      <c r="A215" s="4" t="s">
        <v>351</v>
      </c>
      <c r="B215" s="4" t="s">
        <v>351</v>
      </c>
      <c r="C215" s="4" t="s">
        <v>352</v>
      </c>
    </row>
    <row r="216" spans="1:3" ht="11.25" customHeight="1" x14ac:dyDescent="0.15">
      <c r="A216" s="4" t="s">
        <v>2970</v>
      </c>
      <c r="B216" s="4" t="s">
        <v>2970</v>
      </c>
      <c r="C216" s="4" t="s">
        <v>2971</v>
      </c>
    </row>
    <row r="217" spans="1:3" ht="11.25" customHeight="1" x14ac:dyDescent="0.15">
      <c r="A217" s="4" t="s">
        <v>2972</v>
      </c>
      <c r="B217" s="4" t="s">
        <v>2972</v>
      </c>
      <c r="C217" s="4" t="s">
        <v>2973</v>
      </c>
    </row>
    <row r="218" spans="1:3" ht="11.25" customHeight="1" x14ac:dyDescent="0.15">
      <c r="A218" s="4" t="s">
        <v>2974</v>
      </c>
      <c r="B218" s="4" t="s">
        <v>2974</v>
      </c>
      <c r="C218" s="4" t="s">
        <v>2975</v>
      </c>
    </row>
    <row r="219" spans="1:3" ht="11.25" customHeight="1" x14ac:dyDescent="0.15">
      <c r="A219" s="4" t="s">
        <v>2976</v>
      </c>
      <c r="B219" s="4" t="s">
        <v>2976</v>
      </c>
      <c r="C219" s="4" t="s">
        <v>2977</v>
      </c>
    </row>
    <row r="220" spans="1:3" ht="11.25" customHeight="1" x14ac:dyDescent="0.15">
      <c r="A220" s="4" t="s">
        <v>2978</v>
      </c>
      <c r="B220" s="4" t="s">
        <v>2978</v>
      </c>
      <c r="C220" s="4" t="s">
        <v>2979</v>
      </c>
    </row>
    <row r="221" spans="1:3" ht="11.25" customHeight="1" x14ac:dyDescent="0.15">
      <c r="A221" s="4" t="s">
        <v>2980</v>
      </c>
      <c r="B221" s="4" t="s">
        <v>2980</v>
      </c>
      <c r="C221" s="4" t="s">
        <v>2981</v>
      </c>
    </row>
    <row r="222" spans="1:3" ht="11.25" customHeight="1" x14ac:dyDescent="0.15">
      <c r="A222" s="4" t="s">
        <v>2982</v>
      </c>
      <c r="B222" s="4" t="s">
        <v>2982</v>
      </c>
      <c r="C222" s="4" t="s">
        <v>2983</v>
      </c>
    </row>
    <row r="223" spans="1:3" ht="11.25" customHeight="1" x14ac:dyDescent="0.15">
      <c r="A223" s="4" t="s">
        <v>2984</v>
      </c>
      <c r="B223" s="4" t="s">
        <v>2984</v>
      </c>
      <c r="C223" s="4" t="s">
        <v>2985</v>
      </c>
    </row>
    <row r="224" spans="1:3" ht="11.25" customHeight="1" x14ac:dyDescent="0.15">
      <c r="A224" s="4" t="s">
        <v>2986</v>
      </c>
      <c r="B224" s="4" t="s">
        <v>2986</v>
      </c>
      <c r="C224" s="4" t="s">
        <v>2987</v>
      </c>
    </row>
    <row r="225" spans="1:3" ht="11.25" customHeight="1" x14ac:dyDescent="0.15">
      <c r="A225" s="4" t="s">
        <v>2988</v>
      </c>
      <c r="B225" s="4" t="s">
        <v>2988</v>
      </c>
      <c r="C225" s="4" t="s">
        <v>2989</v>
      </c>
    </row>
    <row r="226" spans="1:3" ht="11.25" customHeight="1" x14ac:dyDescent="0.15">
      <c r="A226" s="4" t="s">
        <v>2990</v>
      </c>
      <c r="B226" s="4" t="s">
        <v>2990</v>
      </c>
      <c r="C226" s="4" t="s">
        <v>2991</v>
      </c>
    </row>
    <row r="227" spans="1:3" ht="11.25" customHeight="1" x14ac:dyDescent="0.15">
      <c r="A227" s="4" t="s">
        <v>2992</v>
      </c>
      <c r="B227" s="4" t="s">
        <v>2992</v>
      </c>
      <c r="C227" s="4" t="s">
        <v>2993</v>
      </c>
    </row>
    <row r="228" spans="1:3" ht="11.25" customHeight="1" x14ac:dyDescent="0.15">
      <c r="A228" s="4" t="s">
        <v>2994</v>
      </c>
      <c r="B228" s="4" t="s">
        <v>2994</v>
      </c>
      <c r="C228" s="4" t="s">
        <v>2995</v>
      </c>
    </row>
    <row r="229" spans="1:3" ht="11.25" customHeight="1" x14ac:dyDescent="0.15">
      <c r="A229" s="4" t="s">
        <v>2996</v>
      </c>
      <c r="B229" s="4" t="s">
        <v>2996</v>
      </c>
      <c r="C229" s="4" t="s">
        <v>2997</v>
      </c>
    </row>
    <row r="230" spans="1:3" ht="11.25" customHeight="1" x14ac:dyDescent="0.15">
      <c r="A230" s="4" t="s">
        <v>2998</v>
      </c>
      <c r="B230" s="4" t="s">
        <v>2998</v>
      </c>
      <c r="C230" s="4" t="s">
        <v>2999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94F78-EB19-2B28-DD8A-C913CFB87948}">
  <sheetPr>
    <tabColor rgb="FFFFCC99"/>
  </sheetPr>
  <dimension ref="A1:S108"/>
  <sheetViews>
    <sheetView showGridLines="0" workbookViewId="0"/>
  </sheetViews>
  <sheetFormatPr defaultColWidth="9.140625" defaultRowHeight="11.25" customHeight="1" x14ac:dyDescent="0.15"/>
  <sheetData>
    <row r="1" spans="1:19" ht="11.25" customHeight="1" x14ac:dyDescent="0.15">
      <c r="A1" t="s">
        <v>3000</v>
      </c>
      <c r="B1" t="s">
        <v>3001</v>
      </c>
      <c r="C1" t="s">
        <v>3002</v>
      </c>
      <c r="D1" t="s">
        <v>3003</v>
      </c>
      <c r="E1" t="s">
        <v>3004</v>
      </c>
      <c r="F1" t="s">
        <v>3005</v>
      </c>
      <c r="G1" t="s">
        <v>3006</v>
      </c>
      <c r="H1" t="s">
        <v>3007</v>
      </c>
      <c r="I1" t="s">
        <v>3008</v>
      </c>
      <c r="J1" t="s">
        <v>3009</v>
      </c>
      <c r="K1" t="s">
        <v>3010</v>
      </c>
      <c r="L1" t="s">
        <v>3011</v>
      </c>
      <c r="M1" t="s">
        <v>3012</v>
      </c>
      <c r="N1" t="s">
        <v>3013</v>
      </c>
      <c r="O1" t="s">
        <v>3014</v>
      </c>
      <c r="P1" t="s">
        <v>3015</v>
      </c>
      <c r="Q1" t="s">
        <v>3016</v>
      </c>
      <c r="R1" t="s">
        <v>3017</v>
      </c>
      <c r="S1" t="s">
        <v>3018</v>
      </c>
    </row>
    <row r="2" spans="1:19" ht="11.25" customHeight="1" x14ac:dyDescent="0.15">
      <c r="A2">
        <v>2655</v>
      </c>
      <c r="B2" t="s">
        <v>101</v>
      </c>
      <c r="C2">
        <v>28976938</v>
      </c>
      <c r="D2" t="s">
        <v>3019</v>
      </c>
      <c r="E2" t="s">
        <v>3020</v>
      </c>
      <c r="F2" t="s">
        <v>3021</v>
      </c>
      <c r="G2" t="s">
        <v>3022</v>
      </c>
      <c r="H2" t="s">
        <v>3023</v>
      </c>
      <c r="I2" t="s">
        <v>3024</v>
      </c>
      <c r="J2" t="s">
        <v>127</v>
      </c>
      <c r="K2" t="s">
        <v>3025</v>
      </c>
      <c r="L2" t="s">
        <v>3026</v>
      </c>
      <c r="M2" t="s">
        <v>3027</v>
      </c>
      <c r="N2" t="s">
        <v>3028</v>
      </c>
      <c r="O2" t="s">
        <v>3029</v>
      </c>
      <c r="P2" t="s">
        <v>3030</v>
      </c>
      <c r="Q2" t="s">
        <v>3031</v>
      </c>
      <c r="R2" t="b">
        <v>0</v>
      </c>
      <c r="S2" t="s">
        <v>3032</v>
      </c>
    </row>
    <row r="3" spans="1:19" ht="11.25" customHeight="1" x14ac:dyDescent="0.15">
      <c r="A3">
        <v>2655</v>
      </c>
      <c r="B3" t="s">
        <v>101</v>
      </c>
      <c r="C3">
        <v>27804990</v>
      </c>
      <c r="D3" t="s">
        <v>3033</v>
      </c>
      <c r="E3" t="s">
        <v>3034</v>
      </c>
      <c r="F3" t="s">
        <v>3035</v>
      </c>
      <c r="G3" t="s">
        <v>3036</v>
      </c>
      <c r="H3" t="s">
        <v>3037</v>
      </c>
      <c r="I3" t="s">
        <v>3038</v>
      </c>
      <c r="J3" t="s">
        <v>127</v>
      </c>
      <c r="K3" t="s">
        <v>3039</v>
      </c>
      <c r="L3" t="s">
        <v>3040</v>
      </c>
      <c r="M3" t="s">
        <v>3041</v>
      </c>
      <c r="N3" t="s">
        <v>3042</v>
      </c>
      <c r="O3" t="s">
        <v>3043</v>
      </c>
      <c r="P3" t="s">
        <v>3044</v>
      </c>
      <c r="Q3" t="s">
        <v>3045</v>
      </c>
      <c r="R3" t="b">
        <v>0</v>
      </c>
      <c r="S3" t="s">
        <v>3032</v>
      </c>
    </row>
    <row r="4" spans="1:19" ht="11.25" customHeight="1" x14ac:dyDescent="0.15">
      <c r="A4">
        <v>2655</v>
      </c>
      <c r="B4" t="s">
        <v>101</v>
      </c>
      <c r="C4">
        <v>27804826</v>
      </c>
      <c r="D4" t="s">
        <v>3046</v>
      </c>
      <c r="E4" t="s">
        <v>3047</v>
      </c>
      <c r="F4" t="s">
        <v>3048</v>
      </c>
      <c r="G4" t="s">
        <v>3049</v>
      </c>
      <c r="H4" t="s">
        <v>3050</v>
      </c>
      <c r="I4" t="s">
        <v>3051</v>
      </c>
      <c r="J4" t="s">
        <v>127</v>
      </c>
      <c r="K4" t="s">
        <v>3052</v>
      </c>
      <c r="L4" t="s">
        <v>3040</v>
      </c>
      <c r="M4" t="s">
        <v>225</v>
      </c>
      <c r="N4" t="s">
        <v>3053</v>
      </c>
      <c r="O4" t="s">
        <v>3054</v>
      </c>
      <c r="P4" t="s">
        <v>3044</v>
      </c>
      <c r="Q4" t="s">
        <v>3055</v>
      </c>
      <c r="R4" t="b">
        <v>0</v>
      </c>
      <c r="S4" t="s">
        <v>3032</v>
      </c>
    </row>
    <row r="5" spans="1:19" ht="11.25" customHeight="1" x14ac:dyDescent="0.15">
      <c r="A5">
        <v>2655</v>
      </c>
      <c r="B5" t="s">
        <v>101</v>
      </c>
      <c r="C5">
        <v>26356963</v>
      </c>
      <c r="D5" t="s">
        <v>3056</v>
      </c>
      <c r="E5" t="s">
        <v>3057</v>
      </c>
      <c r="F5" t="s">
        <v>3058</v>
      </c>
      <c r="G5" t="s">
        <v>3059</v>
      </c>
      <c r="H5" t="s">
        <v>3060</v>
      </c>
      <c r="I5" t="s">
        <v>225</v>
      </c>
      <c r="J5" t="s">
        <v>127</v>
      </c>
      <c r="K5" t="s">
        <v>3061</v>
      </c>
      <c r="L5" t="s">
        <v>3061</v>
      </c>
      <c r="M5" t="s">
        <v>3062</v>
      </c>
      <c r="N5" t="s">
        <v>3063</v>
      </c>
      <c r="O5" t="s">
        <v>3064</v>
      </c>
      <c r="P5" t="s">
        <v>3065</v>
      </c>
      <c r="Q5" t="s">
        <v>225</v>
      </c>
      <c r="R5" t="b">
        <v>0</v>
      </c>
      <c r="S5" t="s">
        <v>3032</v>
      </c>
    </row>
    <row r="6" spans="1:19" ht="11.25" customHeight="1" x14ac:dyDescent="0.15">
      <c r="A6">
        <v>2655</v>
      </c>
      <c r="B6" t="s">
        <v>101</v>
      </c>
      <c r="C6">
        <v>26322889</v>
      </c>
      <c r="D6" t="s">
        <v>3066</v>
      </c>
      <c r="E6" t="s">
        <v>3067</v>
      </c>
      <c r="F6" t="s">
        <v>3068</v>
      </c>
      <c r="G6" t="s">
        <v>122</v>
      </c>
      <c r="H6" t="s">
        <v>3069</v>
      </c>
      <c r="I6" t="s">
        <v>3070</v>
      </c>
      <c r="J6" t="s">
        <v>127</v>
      </c>
      <c r="K6" t="s">
        <v>3071</v>
      </c>
      <c r="L6" t="s">
        <v>3072</v>
      </c>
      <c r="M6" t="s">
        <v>3073</v>
      </c>
      <c r="N6" t="s">
        <v>3074</v>
      </c>
      <c r="O6" t="s">
        <v>3075</v>
      </c>
      <c r="P6" t="s">
        <v>3076</v>
      </c>
      <c r="Q6" t="s">
        <v>3077</v>
      </c>
      <c r="R6" t="b">
        <v>0</v>
      </c>
      <c r="S6" t="s">
        <v>3032</v>
      </c>
    </row>
    <row r="7" spans="1:19" ht="11.25" customHeight="1" x14ac:dyDescent="0.15">
      <c r="A7">
        <v>2655</v>
      </c>
      <c r="B7" t="s">
        <v>101</v>
      </c>
      <c r="C7">
        <v>26356905</v>
      </c>
      <c r="D7" t="s">
        <v>3078</v>
      </c>
      <c r="E7" t="s">
        <v>3079</v>
      </c>
      <c r="F7" t="s">
        <v>3080</v>
      </c>
      <c r="G7" t="s">
        <v>3036</v>
      </c>
      <c r="H7" t="s">
        <v>3081</v>
      </c>
      <c r="I7" t="s">
        <v>3082</v>
      </c>
      <c r="J7" t="s">
        <v>127</v>
      </c>
      <c r="K7" t="s">
        <v>3083</v>
      </c>
      <c r="L7" t="s">
        <v>3083</v>
      </c>
      <c r="M7" t="s">
        <v>3084</v>
      </c>
      <c r="N7" t="s">
        <v>3085</v>
      </c>
      <c r="O7" t="s">
        <v>3086</v>
      </c>
      <c r="P7" t="s">
        <v>3087</v>
      </c>
      <c r="Q7" t="s">
        <v>3088</v>
      </c>
      <c r="R7" t="b">
        <v>0</v>
      </c>
      <c r="S7" t="s">
        <v>3032</v>
      </c>
    </row>
    <row r="8" spans="1:19" ht="11.25" customHeight="1" x14ac:dyDescent="0.15">
      <c r="A8">
        <v>2655</v>
      </c>
      <c r="B8" t="s">
        <v>101</v>
      </c>
      <c r="C8">
        <v>26427149</v>
      </c>
      <c r="D8" t="s">
        <v>3089</v>
      </c>
      <c r="E8" t="s">
        <v>3090</v>
      </c>
      <c r="F8" t="s">
        <v>3021</v>
      </c>
      <c r="G8" t="s">
        <v>3091</v>
      </c>
      <c r="H8" t="s">
        <v>3023</v>
      </c>
      <c r="I8" t="s">
        <v>3024</v>
      </c>
      <c r="J8" t="s">
        <v>127</v>
      </c>
      <c r="K8" t="s">
        <v>3092</v>
      </c>
      <c r="L8" t="s">
        <v>3093</v>
      </c>
      <c r="M8" t="s">
        <v>3094</v>
      </c>
      <c r="N8" t="s">
        <v>3095</v>
      </c>
      <c r="O8" t="s">
        <v>3096</v>
      </c>
      <c r="P8" t="s">
        <v>3097</v>
      </c>
      <c r="Q8" t="s">
        <v>3098</v>
      </c>
      <c r="R8" t="b">
        <v>0</v>
      </c>
      <c r="S8" t="s">
        <v>3032</v>
      </c>
    </row>
    <row r="9" spans="1:19" ht="11.25" customHeight="1" x14ac:dyDescent="0.15">
      <c r="A9">
        <v>2655</v>
      </c>
      <c r="B9" t="s">
        <v>101</v>
      </c>
      <c r="C9">
        <v>27295125</v>
      </c>
      <c r="D9" t="s">
        <v>3099</v>
      </c>
      <c r="E9" t="s">
        <v>3100</v>
      </c>
      <c r="F9" t="s">
        <v>3101</v>
      </c>
      <c r="G9" t="s">
        <v>3102</v>
      </c>
      <c r="H9" t="s">
        <v>3103</v>
      </c>
      <c r="I9" t="s">
        <v>3104</v>
      </c>
      <c r="J9" t="s">
        <v>3105</v>
      </c>
      <c r="K9" t="s">
        <v>3106</v>
      </c>
      <c r="L9" t="s">
        <v>3106</v>
      </c>
      <c r="M9" t="s">
        <v>3107</v>
      </c>
      <c r="N9" t="s">
        <v>3108</v>
      </c>
      <c r="O9" t="s">
        <v>3109</v>
      </c>
      <c r="P9" t="s">
        <v>144</v>
      </c>
      <c r="Q9" t="s">
        <v>225</v>
      </c>
      <c r="R9" t="b">
        <v>0</v>
      </c>
      <c r="S9" t="s">
        <v>3032</v>
      </c>
    </row>
    <row r="10" spans="1:19" ht="11.25" customHeight="1" x14ac:dyDescent="0.15">
      <c r="A10">
        <v>2655</v>
      </c>
      <c r="B10" t="s">
        <v>101</v>
      </c>
      <c r="C10">
        <v>26824672</v>
      </c>
      <c r="D10" t="s">
        <v>3110</v>
      </c>
      <c r="E10" t="s">
        <v>3111</v>
      </c>
      <c r="F10" t="s">
        <v>3112</v>
      </c>
      <c r="G10" t="s">
        <v>3113</v>
      </c>
      <c r="H10" t="s">
        <v>3114</v>
      </c>
      <c r="I10" t="s">
        <v>225</v>
      </c>
      <c r="J10" t="s">
        <v>3105</v>
      </c>
      <c r="K10" t="s">
        <v>3115</v>
      </c>
      <c r="L10" t="s">
        <v>3116</v>
      </c>
      <c r="M10" t="s">
        <v>3117</v>
      </c>
      <c r="N10" t="s">
        <v>3118</v>
      </c>
      <c r="O10" t="s">
        <v>225</v>
      </c>
      <c r="P10" t="s">
        <v>3119</v>
      </c>
      <c r="Q10" t="s">
        <v>225</v>
      </c>
      <c r="R10" t="b">
        <v>0</v>
      </c>
      <c r="S10" t="s">
        <v>3032</v>
      </c>
    </row>
    <row r="11" spans="1:19" ht="11.25" customHeight="1" x14ac:dyDescent="0.15">
      <c r="A11">
        <v>2655</v>
      </c>
      <c r="B11" t="s">
        <v>101</v>
      </c>
      <c r="C11">
        <v>31826293</v>
      </c>
      <c r="D11" t="s">
        <v>3120</v>
      </c>
      <c r="E11" t="s">
        <v>3121</v>
      </c>
      <c r="F11" t="s">
        <v>3122</v>
      </c>
      <c r="G11" t="s">
        <v>3123</v>
      </c>
      <c r="H11" t="s">
        <v>3124</v>
      </c>
      <c r="I11" t="s">
        <v>3125</v>
      </c>
      <c r="K11" t="s">
        <v>3126</v>
      </c>
      <c r="L11" t="s">
        <v>3127</v>
      </c>
      <c r="M11" t="s">
        <v>225</v>
      </c>
      <c r="N11" t="s">
        <v>3128</v>
      </c>
      <c r="O11" t="s">
        <v>3129</v>
      </c>
      <c r="P11" t="s">
        <v>3130</v>
      </c>
      <c r="Q11" t="s">
        <v>225</v>
      </c>
      <c r="R11" t="b">
        <v>0</v>
      </c>
      <c r="S11" t="s">
        <v>3032</v>
      </c>
    </row>
    <row r="12" spans="1:19" ht="11.25" customHeight="1" x14ac:dyDescent="0.15">
      <c r="A12">
        <v>2655</v>
      </c>
      <c r="B12" t="s">
        <v>101</v>
      </c>
      <c r="C12">
        <v>26322867</v>
      </c>
      <c r="D12" t="s">
        <v>111</v>
      </c>
      <c r="E12" t="s">
        <v>114</v>
      </c>
      <c r="F12" t="s">
        <v>120</v>
      </c>
      <c r="G12" t="s">
        <v>122</v>
      </c>
      <c r="H12" t="s">
        <v>118</v>
      </c>
      <c r="I12" t="s">
        <v>124</v>
      </c>
      <c r="J12" t="s">
        <v>127</v>
      </c>
      <c r="K12" t="s">
        <v>130</v>
      </c>
      <c r="L12" t="s">
        <v>130</v>
      </c>
      <c r="M12" t="s">
        <v>3131</v>
      </c>
      <c r="N12" t="s">
        <v>138</v>
      </c>
      <c r="O12" t="s">
        <v>3132</v>
      </c>
      <c r="P12" t="s">
        <v>144</v>
      </c>
      <c r="Q12" t="s">
        <v>147</v>
      </c>
      <c r="R12" t="b">
        <v>0</v>
      </c>
      <c r="S12" t="s">
        <v>3032</v>
      </c>
    </row>
    <row r="13" spans="1:19" ht="11.25" customHeight="1" x14ac:dyDescent="0.15">
      <c r="A13">
        <v>2655</v>
      </c>
      <c r="B13" t="s">
        <v>101</v>
      </c>
      <c r="C13">
        <v>26824651</v>
      </c>
      <c r="D13" t="s">
        <v>3133</v>
      </c>
      <c r="E13" t="s">
        <v>3134</v>
      </c>
      <c r="F13" t="s">
        <v>3112</v>
      </c>
      <c r="G13" t="s">
        <v>3135</v>
      </c>
      <c r="H13" t="s">
        <v>3114</v>
      </c>
      <c r="I13" t="s">
        <v>225</v>
      </c>
      <c r="J13" t="s">
        <v>127</v>
      </c>
      <c r="K13" t="s">
        <v>3136</v>
      </c>
      <c r="L13" t="s">
        <v>3137</v>
      </c>
      <c r="M13" t="s">
        <v>3138</v>
      </c>
      <c r="N13" t="s">
        <v>3139</v>
      </c>
      <c r="O13" t="s">
        <v>3140</v>
      </c>
      <c r="P13" t="s">
        <v>3141</v>
      </c>
      <c r="Q13" t="s">
        <v>225</v>
      </c>
      <c r="R13" t="b">
        <v>0</v>
      </c>
      <c r="S13" t="s">
        <v>3032</v>
      </c>
    </row>
    <row r="14" spans="1:19" ht="11.25" customHeight="1" x14ac:dyDescent="0.15">
      <c r="A14">
        <v>2655</v>
      </c>
      <c r="B14" t="s">
        <v>101</v>
      </c>
      <c r="C14">
        <v>26824396</v>
      </c>
      <c r="D14" t="s">
        <v>3142</v>
      </c>
      <c r="E14" t="s">
        <v>3143</v>
      </c>
      <c r="F14" t="s">
        <v>3112</v>
      </c>
      <c r="G14" t="s">
        <v>3144</v>
      </c>
      <c r="H14" t="s">
        <v>3114</v>
      </c>
      <c r="I14" t="s">
        <v>225</v>
      </c>
      <c r="J14" t="s">
        <v>3105</v>
      </c>
      <c r="K14" t="s">
        <v>3145</v>
      </c>
      <c r="L14" t="s">
        <v>3145</v>
      </c>
      <c r="M14" t="s">
        <v>3146</v>
      </c>
      <c r="N14" t="s">
        <v>225</v>
      </c>
      <c r="O14" t="s">
        <v>3147</v>
      </c>
      <c r="P14" t="s">
        <v>3141</v>
      </c>
      <c r="Q14" t="s">
        <v>225</v>
      </c>
      <c r="R14" t="b">
        <v>0</v>
      </c>
      <c r="S14" t="s">
        <v>3032</v>
      </c>
    </row>
    <row r="15" spans="1:19" ht="11.25" customHeight="1" x14ac:dyDescent="0.15">
      <c r="A15">
        <v>2655</v>
      </c>
      <c r="B15" t="s">
        <v>101</v>
      </c>
      <c r="C15">
        <v>31232672</v>
      </c>
      <c r="D15" t="s">
        <v>3148</v>
      </c>
      <c r="E15" t="s">
        <v>3149</v>
      </c>
      <c r="F15" t="s">
        <v>3150</v>
      </c>
      <c r="G15" t="s">
        <v>3151</v>
      </c>
      <c r="H15" t="s">
        <v>3152</v>
      </c>
      <c r="I15" t="s">
        <v>3153</v>
      </c>
      <c r="J15" t="s">
        <v>3154</v>
      </c>
      <c r="K15" t="s">
        <v>3155</v>
      </c>
      <c r="L15" t="s">
        <v>3155</v>
      </c>
      <c r="M15" t="s">
        <v>3156</v>
      </c>
      <c r="N15" t="s">
        <v>3157</v>
      </c>
      <c r="O15" t="s">
        <v>3158</v>
      </c>
      <c r="P15" t="s">
        <v>3159</v>
      </c>
      <c r="Q15" t="s">
        <v>225</v>
      </c>
      <c r="R15" t="b">
        <v>0</v>
      </c>
      <c r="S15" t="s">
        <v>3032</v>
      </c>
    </row>
    <row r="16" spans="1:19" ht="11.25" customHeight="1" x14ac:dyDescent="0.15">
      <c r="A16">
        <v>2655</v>
      </c>
      <c r="B16" t="s">
        <v>101</v>
      </c>
      <c r="C16">
        <v>31387447</v>
      </c>
      <c r="D16" t="s">
        <v>3160</v>
      </c>
      <c r="E16" t="s">
        <v>3161</v>
      </c>
      <c r="F16" t="s">
        <v>3162</v>
      </c>
      <c r="G16" t="s">
        <v>3163</v>
      </c>
      <c r="H16" t="s">
        <v>3164</v>
      </c>
      <c r="I16" t="s">
        <v>3165</v>
      </c>
      <c r="J16" t="s">
        <v>3166</v>
      </c>
      <c r="K16" t="s">
        <v>3167</v>
      </c>
      <c r="L16" t="s">
        <v>3167</v>
      </c>
      <c r="M16" t="s">
        <v>3168</v>
      </c>
      <c r="N16" t="s">
        <v>3169</v>
      </c>
      <c r="O16" t="s">
        <v>3170</v>
      </c>
      <c r="P16" t="s">
        <v>3159</v>
      </c>
      <c r="Q16" t="s">
        <v>225</v>
      </c>
      <c r="R16" t="b">
        <v>0</v>
      </c>
      <c r="S16" t="s">
        <v>3032</v>
      </c>
    </row>
    <row r="17" spans="1:19" ht="11.25" customHeight="1" x14ac:dyDescent="0.15">
      <c r="A17">
        <v>2655</v>
      </c>
      <c r="B17" t="s">
        <v>101</v>
      </c>
      <c r="C17">
        <v>30808700</v>
      </c>
      <c r="D17" t="s">
        <v>3171</v>
      </c>
      <c r="E17" t="s">
        <v>3172</v>
      </c>
      <c r="F17" t="s">
        <v>3173</v>
      </c>
      <c r="G17" t="s">
        <v>3113</v>
      </c>
      <c r="H17" t="s">
        <v>3174</v>
      </c>
      <c r="I17" t="s">
        <v>3175</v>
      </c>
      <c r="J17" t="s">
        <v>3166</v>
      </c>
      <c r="K17" t="s">
        <v>3176</v>
      </c>
      <c r="L17" t="s">
        <v>3177</v>
      </c>
      <c r="M17" t="s">
        <v>3178</v>
      </c>
      <c r="N17" t="s">
        <v>3179</v>
      </c>
      <c r="O17" t="s">
        <v>3180</v>
      </c>
      <c r="P17" t="s">
        <v>3130</v>
      </c>
      <c r="Q17" t="s">
        <v>225</v>
      </c>
      <c r="R17" t="b">
        <v>1</v>
      </c>
      <c r="S17" t="s">
        <v>3032</v>
      </c>
    </row>
    <row r="18" spans="1:19" ht="11.25" customHeight="1" x14ac:dyDescent="0.15">
      <c r="A18">
        <v>2655</v>
      </c>
      <c r="B18" t="s">
        <v>101</v>
      </c>
      <c r="C18">
        <v>31319221</v>
      </c>
      <c r="D18" t="s">
        <v>3181</v>
      </c>
      <c r="E18" t="s">
        <v>3182</v>
      </c>
      <c r="F18" t="s">
        <v>3183</v>
      </c>
      <c r="G18" t="s">
        <v>3163</v>
      </c>
      <c r="H18" t="s">
        <v>3184</v>
      </c>
      <c r="I18" t="s">
        <v>3185</v>
      </c>
      <c r="J18" t="s">
        <v>3154</v>
      </c>
      <c r="K18" t="s">
        <v>3186</v>
      </c>
      <c r="L18" t="s">
        <v>3187</v>
      </c>
      <c r="M18" t="s">
        <v>3188</v>
      </c>
      <c r="N18" t="s">
        <v>3189</v>
      </c>
      <c r="O18" t="s">
        <v>3190</v>
      </c>
      <c r="P18" t="s">
        <v>3159</v>
      </c>
      <c r="Q18" t="s">
        <v>225</v>
      </c>
      <c r="R18" t="b">
        <v>0</v>
      </c>
      <c r="S18" t="s">
        <v>3032</v>
      </c>
    </row>
    <row r="19" spans="1:19" ht="11.25" customHeight="1" x14ac:dyDescent="0.15">
      <c r="A19">
        <v>2655</v>
      </c>
      <c r="B19" t="s">
        <v>101</v>
      </c>
      <c r="C19">
        <v>31419990</v>
      </c>
      <c r="D19" t="s">
        <v>3191</v>
      </c>
      <c r="E19" t="s">
        <v>3192</v>
      </c>
      <c r="F19" t="s">
        <v>3193</v>
      </c>
      <c r="G19" t="s">
        <v>3194</v>
      </c>
      <c r="H19" t="s">
        <v>3195</v>
      </c>
      <c r="I19" t="s">
        <v>3196</v>
      </c>
      <c r="J19" t="s">
        <v>3154</v>
      </c>
      <c r="K19" t="s">
        <v>3197</v>
      </c>
      <c r="L19" t="s">
        <v>3197</v>
      </c>
      <c r="M19" t="s">
        <v>3198</v>
      </c>
      <c r="N19" t="s">
        <v>3199</v>
      </c>
      <c r="O19" t="s">
        <v>3200</v>
      </c>
      <c r="P19" t="s">
        <v>3159</v>
      </c>
      <c r="Q19" t="s">
        <v>3201</v>
      </c>
      <c r="R19" t="b">
        <v>0</v>
      </c>
      <c r="S19" t="s">
        <v>3032</v>
      </c>
    </row>
    <row r="20" spans="1:19" ht="11.25" customHeight="1" x14ac:dyDescent="0.15">
      <c r="A20">
        <v>2655</v>
      </c>
      <c r="B20" t="s">
        <v>101</v>
      </c>
      <c r="C20">
        <v>31343443</v>
      </c>
      <c r="D20" t="s">
        <v>3202</v>
      </c>
      <c r="E20" t="s">
        <v>3203</v>
      </c>
      <c r="F20" t="s">
        <v>3204</v>
      </c>
      <c r="G20" t="s">
        <v>3113</v>
      </c>
      <c r="H20" t="s">
        <v>3205</v>
      </c>
      <c r="I20" t="s">
        <v>3206</v>
      </c>
      <c r="J20" t="s">
        <v>3154</v>
      </c>
      <c r="K20" t="s">
        <v>3207</v>
      </c>
      <c r="L20" t="s">
        <v>3207</v>
      </c>
      <c r="N20" t="s">
        <v>3208</v>
      </c>
      <c r="O20" t="s">
        <v>3209</v>
      </c>
      <c r="P20" t="s">
        <v>3130</v>
      </c>
      <c r="R20" t="b">
        <v>0</v>
      </c>
      <c r="S20" t="s">
        <v>3032</v>
      </c>
    </row>
    <row r="21" spans="1:19" ht="11.25" customHeight="1" x14ac:dyDescent="0.15">
      <c r="A21">
        <v>2655</v>
      </c>
      <c r="B21" t="s">
        <v>101</v>
      </c>
      <c r="C21">
        <v>31367841</v>
      </c>
      <c r="D21" t="s">
        <v>3210</v>
      </c>
      <c r="E21" t="s">
        <v>3211</v>
      </c>
      <c r="F21" t="s">
        <v>3212</v>
      </c>
      <c r="G21" t="s">
        <v>3213</v>
      </c>
      <c r="H21" t="s">
        <v>3214</v>
      </c>
      <c r="I21" t="s">
        <v>3215</v>
      </c>
      <c r="J21" t="s">
        <v>3166</v>
      </c>
      <c r="K21" t="s">
        <v>3216</v>
      </c>
      <c r="L21" t="s">
        <v>3216</v>
      </c>
      <c r="M21" t="s">
        <v>225</v>
      </c>
      <c r="N21" t="s">
        <v>3217</v>
      </c>
      <c r="O21" t="s">
        <v>3218</v>
      </c>
      <c r="P21" t="s">
        <v>3159</v>
      </c>
      <c r="Q21" t="s">
        <v>225</v>
      </c>
      <c r="R21" t="b">
        <v>0</v>
      </c>
      <c r="S21" t="s">
        <v>3032</v>
      </c>
    </row>
    <row r="22" spans="1:19" ht="11.25" customHeight="1" x14ac:dyDescent="0.15">
      <c r="A22">
        <v>2655</v>
      </c>
      <c r="B22" t="s">
        <v>101</v>
      </c>
      <c r="C22">
        <v>31087651</v>
      </c>
      <c r="D22" t="s">
        <v>3219</v>
      </c>
      <c r="E22" t="s">
        <v>3220</v>
      </c>
      <c r="F22" t="s">
        <v>3221</v>
      </c>
      <c r="G22" t="s">
        <v>3222</v>
      </c>
      <c r="H22" t="s">
        <v>3223</v>
      </c>
      <c r="I22" t="s">
        <v>3224</v>
      </c>
      <c r="J22" t="s">
        <v>3154</v>
      </c>
      <c r="K22" t="s">
        <v>3225</v>
      </c>
      <c r="L22" t="s">
        <v>3225</v>
      </c>
      <c r="M22" t="s">
        <v>3226</v>
      </c>
      <c r="N22" t="s">
        <v>3227</v>
      </c>
      <c r="O22" t="s">
        <v>3228</v>
      </c>
      <c r="R22" t="b">
        <v>0</v>
      </c>
      <c r="S22" t="s">
        <v>3032</v>
      </c>
    </row>
    <row r="23" spans="1:19" ht="11.25" customHeight="1" x14ac:dyDescent="0.15">
      <c r="A23">
        <v>2655</v>
      </c>
      <c r="B23" t="s">
        <v>101</v>
      </c>
      <c r="C23">
        <v>31367862</v>
      </c>
      <c r="D23" t="s">
        <v>3229</v>
      </c>
      <c r="E23" t="s">
        <v>3230</v>
      </c>
      <c r="F23" t="s">
        <v>3231</v>
      </c>
      <c r="G23" t="s">
        <v>3213</v>
      </c>
      <c r="H23" t="s">
        <v>3232</v>
      </c>
      <c r="I23" t="s">
        <v>3233</v>
      </c>
      <c r="J23" t="s">
        <v>3154</v>
      </c>
      <c r="K23" t="s">
        <v>3234</v>
      </c>
      <c r="L23" t="s">
        <v>3234</v>
      </c>
      <c r="M23" t="s">
        <v>225</v>
      </c>
      <c r="N23" t="s">
        <v>3235</v>
      </c>
      <c r="O23" t="s">
        <v>3236</v>
      </c>
      <c r="P23" t="s">
        <v>3159</v>
      </c>
      <c r="Q23" t="s">
        <v>225</v>
      </c>
      <c r="R23" t="b">
        <v>0</v>
      </c>
      <c r="S23" t="s">
        <v>3032</v>
      </c>
    </row>
    <row r="24" spans="1:19" ht="11.25" customHeight="1" x14ac:dyDescent="0.15">
      <c r="A24">
        <v>2655</v>
      </c>
      <c r="B24" t="s">
        <v>101</v>
      </c>
      <c r="C24">
        <v>26486390</v>
      </c>
      <c r="D24" t="s">
        <v>3237</v>
      </c>
      <c r="E24" t="s">
        <v>3238</v>
      </c>
      <c r="F24" t="s">
        <v>3239</v>
      </c>
      <c r="G24" t="s">
        <v>3240</v>
      </c>
      <c r="H24" t="s">
        <v>3241</v>
      </c>
      <c r="I24" t="s">
        <v>3242</v>
      </c>
      <c r="J24" t="s">
        <v>3166</v>
      </c>
      <c r="K24" t="s">
        <v>3243</v>
      </c>
      <c r="L24" t="s">
        <v>3243</v>
      </c>
      <c r="M24" t="s">
        <v>3244</v>
      </c>
      <c r="N24" t="s">
        <v>3245</v>
      </c>
      <c r="O24" t="s">
        <v>3246</v>
      </c>
      <c r="P24" t="s">
        <v>3247</v>
      </c>
      <c r="Q24" t="s">
        <v>225</v>
      </c>
      <c r="R24" t="b">
        <v>0</v>
      </c>
      <c r="S24" t="s">
        <v>3032</v>
      </c>
    </row>
    <row r="25" spans="1:19" ht="11.25" customHeight="1" x14ac:dyDescent="0.15">
      <c r="A25">
        <v>2655</v>
      </c>
      <c r="B25" t="s">
        <v>101</v>
      </c>
      <c r="C25">
        <v>27977465</v>
      </c>
      <c r="D25" t="s">
        <v>3248</v>
      </c>
      <c r="E25" t="s">
        <v>3249</v>
      </c>
      <c r="F25" t="s">
        <v>3250</v>
      </c>
      <c r="G25" t="s">
        <v>3251</v>
      </c>
      <c r="H25" t="s">
        <v>3252</v>
      </c>
      <c r="I25" t="s">
        <v>225</v>
      </c>
      <c r="K25" t="s">
        <v>3253</v>
      </c>
      <c r="L25" t="s">
        <v>3253</v>
      </c>
      <c r="M25" t="s">
        <v>3254</v>
      </c>
      <c r="N25" t="s">
        <v>3255</v>
      </c>
      <c r="O25" t="s">
        <v>3256</v>
      </c>
      <c r="P25" t="s">
        <v>3130</v>
      </c>
      <c r="Q25" t="s">
        <v>225</v>
      </c>
      <c r="R25" t="b">
        <v>0</v>
      </c>
      <c r="S25" t="s">
        <v>3032</v>
      </c>
    </row>
    <row r="26" spans="1:19" ht="11.25" customHeight="1" x14ac:dyDescent="0.15">
      <c r="A26">
        <v>2655</v>
      </c>
      <c r="B26" t="s">
        <v>101</v>
      </c>
      <c r="C26">
        <v>31003143</v>
      </c>
      <c r="D26" t="s">
        <v>3257</v>
      </c>
      <c r="E26" t="s">
        <v>3258</v>
      </c>
      <c r="F26" t="s">
        <v>3259</v>
      </c>
      <c r="G26" t="s">
        <v>3251</v>
      </c>
      <c r="H26" t="s">
        <v>3260</v>
      </c>
      <c r="I26" t="s">
        <v>3261</v>
      </c>
      <c r="J26" t="s">
        <v>3166</v>
      </c>
      <c r="K26" t="s">
        <v>3262</v>
      </c>
      <c r="L26" t="s">
        <v>3263</v>
      </c>
      <c r="M26" t="s">
        <v>3264</v>
      </c>
      <c r="N26" t="s">
        <v>3265</v>
      </c>
      <c r="O26" t="s">
        <v>3266</v>
      </c>
      <c r="P26" t="s">
        <v>3159</v>
      </c>
      <c r="Q26" t="s">
        <v>225</v>
      </c>
      <c r="R26" t="b">
        <v>1</v>
      </c>
      <c r="S26" t="s">
        <v>3032</v>
      </c>
    </row>
    <row r="27" spans="1:19" ht="11.25" customHeight="1" x14ac:dyDescent="0.15">
      <c r="A27">
        <v>2655</v>
      </c>
      <c r="B27" t="s">
        <v>101</v>
      </c>
      <c r="C27">
        <v>31308226</v>
      </c>
      <c r="D27" t="s">
        <v>3267</v>
      </c>
      <c r="E27" t="s">
        <v>3268</v>
      </c>
      <c r="F27" t="s">
        <v>3269</v>
      </c>
      <c r="G27" t="s">
        <v>3270</v>
      </c>
      <c r="H27" t="s">
        <v>3271</v>
      </c>
      <c r="I27" t="s">
        <v>3272</v>
      </c>
      <c r="J27" t="s">
        <v>3166</v>
      </c>
      <c r="K27" t="s">
        <v>3273</v>
      </c>
      <c r="L27" t="s">
        <v>3273</v>
      </c>
      <c r="M27" t="s">
        <v>3274</v>
      </c>
      <c r="N27" t="s">
        <v>3275</v>
      </c>
      <c r="O27" t="s">
        <v>3276</v>
      </c>
      <c r="P27" t="s">
        <v>3130</v>
      </c>
      <c r="Q27" t="s">
        <v>225</v>
      </c>
      <c r="R27" t="b">
        <v>1</v>
      </c>
      <c r="S27" t="s">
        <v>3032</v>
      </c>
    </row>
    <row r="28" spans="1:19" ht="11.25" customHeight="1" x14ac:dyDescent="0.15">
      <c r="A28">
        <v>2655</v>
      </c>
      <c r="B28" t="s">
        <v>101</v>
      </c>
      <c r="C28">
        <v>31284269</v>
      </c>
      <c r="D28" t="s">
        <v>3277</v>
      </c>
      <c r="E28" t="s">
        <v>3278</v>
      </c>
      <c r="F28" t="s">
        <v>3279</v>
      </c>
      <c r="G28" t="s">
        <v>3222</v>
      </c>
      <c r="H28" t="s">
        <v>3280</v>
      </c>
      <c r="I28" t="s">
        <v>3281</v>
      </c>
      <c r="J28" t="s">
        <v>3166</v>
      </c>
      <c r="K28" t="s">
        <v>3282</v>
      </c>
      <c r="L28" t="s">
        <v>3283</v>
      </c>
      <c r="M28" t="s">
        <v>3284</v>
      </c>
      <c r="N28" t="s">
        <v>3285</v>
      </c>
      <c r="O28" t="s">
        <v>3286</v>
      </c>
      <c r="P28" t="s">
        <v>225</v>
      </c>
      <c r="Q28" t="s">
        <v>225</v>
      </c>
      <c r="R28" t="b">
        <v>0</v>
      </c>
      <c r="S28" t="s">
        <v>3032</v>
      </c>
    </row>
    <row r="29" spans="1:19" ht="11.25" customHeight="1" x14ac:dyDescent="0.15">
      <c r="A29">
        <v>2655</v>
      </c>
      <c r="B29" t="s">
        <v>101</v>
      </c>
      <c r="C29">
        <v>31241680</v>
      </c>
      <c r="D29" t="s">
        <v>3287</v>
      </c>
      <c r="E29" t="s">
        <v>3288</v>
      </c>
      <c r="F29" t="s">
        <v>3289</v>
      </c>
      <c r="G29" t="s">
        <v>3194</v>
      </c>
      <c r="H29" t="s">
        <v>3290</v>
      </c>
      <c r="I29" t="s">
        <v>3291</v>
      </c>
      <c r="J29" t="s">
        <v>3166</v>
      </c>
      <c r="K29" t="s">
        <v>3292</v>
      </c>
      <c r="L29" t="s">
        <v>3292</v>
      </c>
      <c r="M29" t="s">
        <v>3293</v>
      </c>
      <c r="N29" t="s">
        <v>3294</v>
      </c>
      <c r="O29" t="s">
        <v>3295</v>
      </c>
      <c r="P29" t="s">
        <v>3130</v>
      </c>
      <c r="Q29" t="s">
        <v>3296</v>
      </c>
      <c r="R29" t="b">
        <v>0</v>
      </c>
      <c r="S29" t="s">
        <v>3032</v>
      </c>
    </row>
    <row r="30" spans="1:19" ht="11.25" customHeight="1" x14ac:dyDescent="0.15">
      <c r="A30">
        <v>2655</v>
      </c>
      <c r="B30" t="s">
        <v>101</v>
      </c>
      <c r="C30">
        <v>31579664</v>
      </c>
      <c r="D30" t="s">
        <v>3297</v>
      </c>
      <c r="E30" t="s">
        <v>3298</v>
      </c>
      <c r="F30" t="s">
        <v>3299</v>
      </c>
      <c r="G30" t="s">
        <v>3113</v>
      </c>
      <c r="H30" t="s">
        <v>3300</v>
      </c>
      <c r="I30" t="s">
        <v>3301</v>
      </c>
      <c r="K30" t="s">
        <v>3302</v>
      </c>
      <c r="L30" t="s">
        <v>3303</v>
      </c>
      <c r="M30" t="s">
        <v>3304</v>
      </c>
      <c r="N30" t="s">
        <v>225</v>
      </c>
      <c r="O30" t="s">
        <v>3305</v>
      </c>
      <c r="P30" t="s">
        <v>3159</v>
      </c>
      <c r="Q30" t="s">
        <v>3306</v>
      </c>
      <c r="R30" t="b">
        <v>1</v>
      </c>
      <c r="S30" t="s">
        <v>3032</v>
      </c>
    </row>
    <row r="31" spans="1:19" ht="11.25" customHeight="1" x14ac:dyDescent="0.15">
      <c r="A31">
        <v>2655</v>
      </c>
      <c r="B31" t="s">
        <v>101</v>
      </c>
      <c r="C31">
        <v>26322895</v>
      </c>
      <c r="D31" t="s">
        <v>3307</v>
      </c>
      <c r="E31" t="s">
        <v>3308</v>
      </c>
      <c r="F31" t="s">
        <v>3309</v>
      </c>
      <c r="G31" t="s">
        <v>3036</v>
      </c>
      <c r="H31" t="s">
        <v>3310</v>
      </c>
      <c r="I31" t="s">
        <v>3311</v>
      </c>
      <c r="J31" t="s">
        <v>3105</v>
      </c>
      <c r="K31" t="s">
        <v>3312</v>
      </c>
      <c r="L31" t="s">
        <v>3312</v>
      </c>
      <c r="M31" t="s">
        <v>3313</v>
      </c>
      <c r="N31" t="s">
        <v>3314</v>
      </c>
      <c r="O31" t="s">
        <v>3315</v>
      </c>
      <c r="P31" t="s">
        <v>144</v>
      </c>
      <c r="Q31" t="s">
        <v>3316</v>
      </c>
      <c r="R31" t="b">
        <v>0</v>
      </c>
      <c r="S31" t="s">
        <v>3032</v>
      </c>
    </row>
    <row r="32" spans="1:19" ht="11.25" customHeight="1" x14ac:dyDescent="0.15">
      <c r="A32">
        <v>2655</v>
      </c>
      <c r="B32" t="s">
        <v>101</v>
      </c>
      <c r="C32">
        <v>28119331</v>
      </c>
      <c r="D32" t="s">
        <v>3317</v>
      </c>
      <c r="E32" t="s">
        <v>3318</v>
      </c>
      <c r="F32" t="s">
        <v>3319</v>
      </c>
      <c r="G32" t="s">
        <v>3036</v>
      </c>
      <c r="H32" t="s">
        <v>3320</v>
      </c>
      <c r="I32" t="s">
        <v>225</v>
      </c>
      <c r="J32" t="s">
        <v>3321</v>
      </c>
      <c r="K32" t="s">
        <v>3322</v>
      </c>
      <c r="L32" t="s">
        <v>3322</v>
      </c>
      <c r="M32" t="s">
        <v>3323</v>
      </c>
      <c r="N32" t="s">
        <v>225</v>
      </c>
      <c r="O32" t="s">
        <v>3324</v>
      </c>
      <c r="P32" t="s">
        <v>3130</v>
      </c>
      <c r="Q32" t="s">
        <v>225</v>
      </c>
      <c r="R32" t="b">
        <v>1</v>
      </c>
      <c r="S32" t="s">
        <v>3032</v>
      </c>
    </row>
    <row r="33" spans="1:19" ht="11.25" customHeight="1" x14ac:dyDescent="0.15">
      <c r="A33">
        <v>2655</v>
      </c>
      <c r="B33" t="s">
        <v>101</v>
      </c>
      <c r="C33">
        <v>31775146</v>
      </c>
      <c r="D33" t="s">
        <v>3325</v>
      </c>
      <c r="E33" t="s">
        <v>3326</v>
      </c>
      <c r="F33" t="s">
        <v>3327</v>
      </c>
      <c r="G33" t="s">
        <v>3328</v>
      </c>
      <c r="H33" t="s">
        <v>3329</v>
      </c>
      <c r="I33" t="s">
        <v>3330</v>
      </c>
      <c r="K33" t="s">
        <v>3331</v>
      </c>
      <c r="L33" t="s">
        <v>3331</v>
      </c>
      <c r="M33" t="s">
        <v>3332</v>
      </c>
      <c r="N33" t="s">
        <v>3333</v>
      </c>
      <c r="O33" t="s">
        <v>3334</v>
      </c>
      <c r="P33" t="s">
        <v>3130</v>
      </c>
      <c r="Q33" t="s">
        <v>225</v>
      </c>
      <c r="R33" t="b">
        <v>1</v>
      </c>
      <c r="S33" t="s">
        <v>3032</v>
      </c>
    </row>
    <row r="34" spans="1:19" ht="11.25" customHeight="1" x14ac:dyDescent="0.15">
      <c r="A34">
        <v>2655</v>
      </c>
      <c r="B34" t="s">
        <v>101</v>
      </c>
      <c r="C34">
        <v>28869965</v>
      </c>
      <c r="D34" t="s">
        <v>3335</v>
      </c>
      <c r="E34" t="s">
        <v>3336</v>
      </c>
      <c r="F34" t="s">
        <v>3337</v>
      </c>
      <c r="G34" t="s">
        <v>3151</v>
      </c>
      <c r="H34" t="s">
        <v>3338</v>
      </c>
      <c r="I34" t="s">
        <v>225</v>
      </c>
      <c r="J34" t="s">
        <v>3321</v>
      </c>
      <c r="K34" t="s">
        <v>3339</v>
      </c>
      <c r="L34" t="s">
        <v>3339</v>
      </c>
      <c r="M34" t="s">
        <v>3340</v>
      </c>
      <c r="N34" t="s">
        <v>3341</v>
      </c>
      <c r="O34" t="s">
        <v>3342</v>
      </c>
      <c r="P34" t="s">
        <v>144</v>
      </c>
      <c r="Q34" t="s">
        <v>3343</v>
      </c>
      <c r="R34" t="b">
        <v>0</v>
      </c>
      <c r="S34" t="s">
        <v>3032</v>
      </c>
    </row>
    <row r="35" spans="1:19" ht="11.25" customHeight="1" x14ac:dyDescent="0.15">
      <c r="A35">
        <v>2655</v>
      </c>
      <c r="B35" t="s">
        <v>101</v>
      </c>
      <c r="C35">
        <v>31356597</v>
      </c>
      <c r="D35" t="s">
        <v>3344</v>
      </c>
      <c r="E35" t="s">
        <v>3345</v>
      </c>
      <c r="F35" t="s">
        <v>3346</v>
      </c>
      <c r="G35" t="s">
        <v>3222</v>
      </c>
      <c r="H35" t="s">
        <v>3347</v>
      </c>
      <c r="I35" t="s">
        <v>3348</v>
      </c>
      <c r="J35" t="s">
        <v>3321</v>
      </c>
      <c r="K35" t="s">
        <v>3349</v>
      </c>
      <c r="L35" t="s">
        <v>3349</v>
      </c>
      <c r="M35" t="s">
        <v>3350</v>
      </c>
      <c r="N35" t="s">
        <v>3351</v>
      </c>
      <c r="O35" t="s">
        <v>3352</v>
      </c>
      <c r="P35" t="s">
        <v>144</v>
      </c>
      <c r="Q35" t="s">
        <v>225</v>
      </c>
      <c r="R35" t="b">
        <v>0</v>
      </c>
      <c r="S35" t="s">
        <v>3032</v>
      </c>
    </row>
    <row r="36" spans="1:19" ht="11.25" customHeight="1" x14ac:dyDescent="0.15">
      <c r="A36">
        <v>2655</v>
      </c>
      <c r="B36" t="s">
        <v>101</v>
      </c>
      <c r="C36">
        <v>28136671</v>
      </c>
      <c r="D36" t="s">
        <v>3353</v>
      </c>
      <c r="E36" t="s">
        <v>3354</v>
      </c>
      <c r="F36" t="s">
        <v>3355</v>
      </c>
      <c r="G36" t="s">
        <v>3356</v>
      </c>
      <c r="H36" t="s">
        <v>3357</v>
      </c>
      <c r="I36" t="s">
        <v>3358</v>
      </c>
      <c r="J36" t="s">
        <v>3321</v>
      </c>
      <c r="K36" t="s">
        <v>3359</v>
      </c>
      <c r="L36" t="s">
        <v>3360</v>
      </c>
      <c r="M36" t="s">
        <v>3361</v>
      </c>
      <c r="N36" t="s">
        <v>3362</v>
      </c>
      <c r="O36" t="s">
        <v>3363</v>
      </c>
      <c r="P36" t="s">
        <v>3044</v>
      </c>
      <c r="Q36" t="s">
        <v>225</v>
      </c>
      <c r="R36" t="b">
        <v>1</v>
      </c>
      <c r="S36" t="s">
        <v>3032</v>
      </c>
    </row>
    <row r="37" spans="1:19" ht="11.25" customHeight="1" x14ac:dyDescent="0.15">
      <c r="A37">
        <v>2655</v>
      </c>
      <c r="B37" t="s">
        <v>101</v>
      </c>
      <c r="C37">
        <v>30854705</v>
      </c>
      <c r="D37" t="s">
        <v>3364</v>
      </c>
      <c r="E37" t="s">
        <v>3365</v>
      </c>
      <c r="F37" t="s">
        <v>3366</v>
      </c>
      <c r="G37" t="s">
        <v>3059</v>
      </c>
      <c r="H37" t="s">
        <v>3367</v>
      </c>
      <c r="I37" t="s">
        <v>3368</v>
      </c>
      <c r="J37" t="s">
        <v>3321</v>
      </c>
      <c r="K37" t="s">
        <v>3369</v>
      </c>
      <c r="L37" t="s">
        <v>3369</v>
      </c>
      <c r="M37" t="s">
        <v>3370</v>
      </c>
      <c r="N37" t="s">
        <v>3371</v>
      </c>
      <c r="O37" t="s">
        <v>3372</v>
      </c>
      <c r="P37" t="s">
        <v>144</v>
      </c>
      <c r="Q37" t="s">
        <v>151</v>
      </c>
      <c r="R37" t="b">
        <v>0</v>
      </c>
      <c r="S37" t="s">
        <v>3032</v>
      </c>
    </row>
    <row r="38" spans="1:19" ht="11.25" customHeight="1" x14ac:dyDescent="0.15">
      <c r="A38">
        <v>2655</v>
      </c>
      <c r="B38" t="s">
        <v>101</v>
      </c>
      <c r="C38">
        <v>31656254</v>
      </c>
      <c r="D38" t="s">
        <v>3373</v>
      </c>
      <c r="E38" t="s">
        <v>3374</v>
      </c>
      <c r="F38" t="s">
        <v>3375</v>
      </c>
      <c r="G38" t="s">
        <v>3376</v>
      </c>
      <c r="H38" t="s">
        <v>3377</v>
      </c>
      <c r="I38" t="s">
        <v>3378</v>
      </c>
      <c r="K38" t="s">
        <v>3379</v>
      </c>
      <c r="L38" t="s">
        <v>3380</v>
      </c>
      <c r="M38" t="s">
        <v>3381</v>
      </c>
      <c r="N38" t="s">
        <v>3382</v>
      </c>
      <c r="O38" t="s">
        <v>3383</v>
      </c>
      <c r="P38" t="s">
        <v>3159</v>
      </c>
      <c r="Q38" t="s">
        <v>3384</v>
      </c>
      <c r="R38" t="b">
        <v>0</v>
      </c>
      <c r="S38" t="s">
        <v>3032</v>
      </c>
    </row>
    <row r="39" spans="1:19" ht="11.25" customHeight="1" x14ac:dyDescent="0.15">
      <c r="A39">
        <v>2655</v>
      </c>
      <c r="B39" t="s">
        <v>101</v>
      </c>
      <c r="C39">
        <v>31424033</v>
      </c>
      <c r="D39" t="s">
        <v>3385</v>
      </c>
      <c r="E39" t="s">
        <v>3386</v>
      </c>
      <c r="F39" t="s">
        <v>3387</v>
      </c>
      <c r="G39" t="s">
        <v>3388</v>
      </c>
      <c r="H39" t="s">
        <v>3389</v>
      </c>
      <c r="I39" t="s">
        <v>225</v>
      </c>
      <c r="J39" t="s">
        <v>3321</v>
      </c>
      <c r="K39" t="s">
        <v>225</v>
      </c>
      <c r="L39" t="s">
        <v>225</v>
      </c>
      <c r="M39" t="s">
        <v>225</v>
      </c>
      <c r="N39" t="s">
        <v>225</v>
      </c>
      <c r="O39" t="s">
        <v>225</v>
      </c>
      <c r="P39" t="s">
        <v>225</v>
      </c>
      <c r="Q39" t="s">
        <v>225</v>
      </c>
      <c r="R39" t="b">
        <v>0</v>
      </c>
      <c r="S39" t="s">
        <v>3032</v>
      </c>
    </row>
    <row r="40" spans="1:19" ht="11.25" customHeight="1" x14ac:dyDescent="0.15">
      <c r="A40">
        <v>2655</v>
      </c>
      <c r="B40" t="s">
        <v>101</v>
      </c>
      <c r="C40">
        <v>26428026</v>
      </c>
      <c r="D40" t="s">
        <v>3390</v>
      </c>
      <c r="E40" t="s">
        <v>3391</v>
      </c>
      <c r="F40" t="s">
        <v>3392</v>
      </c>
      <c r="G40" t="s">
        <v>3393</v>
      </c>
      <c r="H40" t="s">
        <v>3394</v>
      </c>
      <c r="I40" t="s">
        <v>225</v>
      </c>
      <c r="K40" t="s">
        <v>3395</v>
      </c>
      <c r="L40" t="s">
        <v>3395</v>
      </c>
      <c r="M40" t="s">
        <v>3396</v>
      </c>
      <c r="N40" t="s">
        <v>3397</v>
      </c>
      <c r="O40" t="s">
        <v>3398</v>
      </c>
      <c r="P40" t="s">
        <v>3159</v>
      </c>
      <c r="Q40" t="s">
        <v>225</v>
      </c>
      <c r="R40" t="b">
        <v>1</v>
      </c>
      <c r="S40" t="s">
        <v>3032</v>
      </c>
    </row>
    <row r="41" spans="1:19" ht="11.25" customHeight="1" x14ac:dyDescent="0.15">
      <c r="A41">
        <v>2655</v>
      </c>
      <c r="B41" t="s">
        <v>101</v>
      </c>
      <c r="C41">
        <v>28151808</v>
      </c>
      <c r="D41" t="s">
        <v>3399</v>
      </c>
      <c r="E41" t="s">
        <v>3400</v>
      </c>
      <c r="F41" t="s">
        <v>3401</v>
      </c>
      <c r="G41" t="s">
        <v>3113</v>
      </c>
      <c r="H41" t="s">
        <v>3402</v>
      </c>
      <c r="I41" t="s">
        <v>3403</v>
      </c>
      <c r="J41" t="s">
        <v>3321</v>
      </c>
      <c r="K41" t="s">
        <v>3404</v>
      </c>
      <c r="L41" t="s">
        <v>3405</v>
      </c>
      <c r="M41" t="s">
        <v>3406</v>
      </c>
      <c r="N41" t="s">
        <v>3407</v>
      </c>
      <c r="O41" t="s">
        <v>3408</v>
      </c>
      <c r="P41" t="s">
        <v>144</v>
      </c>
      <c r="Q41" t="s">
        <v>225</v>
      </c>
      <c r="R41" t="b">
        <v>1</v>
      </c>
      <c r="S41" t="s">
        <v>3032</v>
      </c>
    </row>
    <row r="42" spans="1:19" ht="11.25" customHeight="1" x14ac:dyDescent="0.15">
      <c r="A42">
        <v>2655</v>
      </c>
      <c r="B42" t="s">
        <v>101</v>
      </c>
      <c r="C42">
        <v>31739633</v>
      </c>
      <c r="D42" t="s">
        <v>3409</v>
      </c>
      <c r="E42" t="s">
        <v>3410</v>
      </c>
      <c r="F42" t="s">
        <v>3411</v>
      </c>
      <c r="G42" t="s">
        <v>3412</v>
      </c>
      <c r="H42" t="s">
        <v>3413</v>
      </c>
      <c r="I42" t="s">
        <v>3414</v>
      </c>
      <c r="K42" t="s">
        <v>3415</v>
      </c>
      <c r="L42" t="s">
        <v>3415</v>
      </c>
      <c r="M42" t="s">
        <v>3416</v>
      </c>
      <c r="N42" t="s">
        <v>3417</v>
      </c>
      <c r="O42" t="s">
        <v>3418</v>
      </c>
      <c r="P42" t="s">
        <v>3130</v>
      </c>
      <c r="Q42" t="s">
        <v>225</v>
      </c>
      <c r="R42" t="b">
        <v>0</v>
      </c>
      <c r="S42" t="s">
        <v>3032</v>
      </c>
    </row>
    <row r="43" spans="1:19" ht="11.25" customHeight="1" x14ac:dyDescent="0.15">
      <c r="A43">
        <v>2655</v>
      </c>
      <c r="B43" t="s">
        <v>101</v>
      </c>
      <c r="C43">
        <v>31541617</v>
      </c>
      <c r="D43" t="s">
        <v>3419</v>
      </c>
      <c r="E43" t="s">
        <v>3420</v>
      </c>
      <c r="F43" t="s">
        <v>3421</v>
      </c>
      <c r="G43" t="s">
        <v>3422</v>
      </c>
      <c r="H43" t="s">
        <v>3423</v>
      </c>
      <c r="I43" t="s">
        <v>3424</v>
      </c>
      <c r="K43" t="s">
        <v>3425</v>
      </c>
      <c r="L43" t="s">
        <v>3425</v>
      </c>
      <c r="M43" t="s">
        <v>3426</v>
      </c>
      <c r="N43" t="s">
        <v>3427</v>
      </c>
      <c r="O43" t="s">
        <v>3428</v>
      </c>
      <c r="P43" t="s">
        <v>3130</v>
      </c>
      <c r="Q43" t="s">
        <v>225</v>
      </c>
      <c r="R43" t="b">
        <v>1</v>
      </c>
      <c r="S43" t="s">
        <v>3032</v>
      </c>
    </row>
    <row r="44" spans="1:19" ht="11.25" customHeight="1" x14ac:dyDescent="0.15">
      <c r="A44">
        <v>2655</v>
      </c>
      <c r="B44" t="s">
        <v>101</v>
      </c>
      <c r="C44">
        <v>26356987</v>
      </c>
      <c r="D44" t="s">
        <v>3429</v>
      </c>
      <c r="E44" t="s">
        <v>3430</v>
      </c>
      <c r="F44" t="s">
        <v>3431</v>
      </c>
      <c r="G44" t="s">
        <v>3432</v>
      </c>
      <c r="H44" t="s">
        <v>3433</v>
      </c>
      <c r="I44" t="s">
        <v>3434</v>
      </c>
      <c r="J44" t="s">
        <v>3321</v>
      </c>
      <c r="K44" t="s">
        <v>3435</v>
      </c>
      <c r="L44" t="s">
        <v>3435</v>
      </c>
      <c r="M44" t="s">
        <v>3436</v>
      </c>
      <c r="N44" t="s">
        <v>3437</v>
      </c>
      <c r="O44" t="s">
        <v>3438</v>
      </c>
      <c r="P44" t="s">
        <v>3130</v>
      </c>
      <c r="Q44" t="s">
        <v>3439</v>
      </c>
      <c r="R44" t="b">
        <v>0</v>
      </c>
      <c r="S44" t="s">
        <v>3032</v>
      </c>
    </row>
    <row r="45" spans="1:19" ht="11.25" customHeight="1" x14ac:dyDescent="0.15">
      <c r="A45">
        <v>2655</v>
      </c>
      <c r="B45" t="s">
        <v>101</v>
      </c>
      <c r="C45">
        <v>26356891</v>
      </c>
      <c r="D45" t="s">
        <v>3440</v>
      </c>
      <c r="E45" t="s">
        <v>3441</v>
      </c>
      <c r="F45" t="s">
        <v>3442</v>
      </c>
      <c r="G45" t="s">
        <v>3251</v>
      </c>
      <c r="H45" t="s">
        <v>3443</v>
      </c>
      <c r="I45" t="s">
        <v>3444</v>
      </c>
      <c r="J45" t="s">
        <v>3321</v>
      </c>
      <c r="K45" t="s">
        <v>3445</v>
      </c>
      <c r="L45" t="s">
        <v>3445</v>
      </c>
      <c r="M45" t="s">
        <v>3446</v>
      </c>
      <c r="N45" t="s">
        <v>3447</v>
      </c>
      <c r="O45" t="s">
        <v>3448</v>
      </c>
      <c r="P45" t="s">
        <v>3159</v>
      </c>
      <c r="Q45" t="s">
        <v>225</v>
      </c>
      <c r="R45" t="b">
        <v>0</v>
      </c>
      <c r="S45" t="s">
        <v>3032</v>
      </c>
    </row>
    <row r="46" spans="1:19" ht="11.25" customHeight="1" x14ac:dyDescent="0.15">
      <c r="A46">
        <v>2655</v>
      </c>
      <c r="B46" t="s">
        <v>101</v>
      </c>
      <c r="C46">
        <v>31241637</v>
      </c>
      <c r="D46" t="s">
        <v>3449</v>
      </c>
      <c r="E46" t="s">
        <v>3450</v>
      </c>
      <c r="F46" t="s">
        <v>3451</v>
      </c>
      <c r="G46" t="s">
        <v>3270</v>
      </c>
      <c r="H46" t="s">
        <v>3452</v>
      </c>
      <c r="I46" t="s">
        <v>3453</v>
      </c>
      <c r="J46" t="s">
        <v>3321</v>
      </c>
      <c r="K46" t="s">
        <v>3454</v>
      </c>
      <c r="L46" t="s">
        <v>3454</v>
      </c>
      <c r="M46" t="s">
        <v>3455</v>
      </c>
      <c r="N46" t="s">
        <v>225</v>
      </c>
      <c r="O46" t="s">
        <v>3456</v>
      </c>
      <c r="P46" t="s">
        <v>3130</v>
      </c>
      <c r="Q46" t="s">
        <v>225</v>
      </c>
      <c r="R46" t="b">
        <v>0</v>
      </c>
      <c r="S46" t="s">
        <v>3032</v>
      </c>
    </row>
    <row r="47" spans="1:19" ht="11.25" customHeight="1" x14ac:dyDescent="0.15">
      <c r="A47">
        <v>2655</v>
      </c>
      <c r="B47" t="s">
        <v>101</v>
      </c>
      <c r="C47">
        <v>26356937</v>
      </c>
      <c r="D47" t="s">
        <v>3457</v>
      </c>
      <c r="E47" t="s">
        <v>3458</v>
      </c>
      <c r="F47" t="s">
        <v>3459</v>
      </c>
      <c r="G47" t="s">
        <v>3328</v>
      </c>
      <c r="H47" t="s">
        <v>3460</v>
      </c>
      <c r="I47" t="s">
        <v>3461</v>
      </c>
      <c r="J47" t="s">
        <v>3321</v>
      </c>
      <c r="K47" t="s">
        <v>3462</v>
      </c>
      <c r="L47" t="s">
        <v>3462</v>
      </c>
      <c r="M47" t="s">
        <v>3463</v>
      </c>
      <c r="N47" t="s">
        <v>3464</v>
      </c>
      <c r="O47" t="s">
        <v>3465</v>
      </c>
      <c r="P47" t="s">
        <v>3130</v>
      </c>
      <c r="Q47" t="s">
        <v>3466</v>
      </c>
      <c r="R47" t="b">
        <v>0</v>
      </c>
      <c r="S47" t="s">
        <v>3032</v>
      </c>
    </row>
    <row r="48" spans="1:19" ht="11.25" customHeight="1" x14ac:dyDescent="0.15">
      <c r="A48">
        <v>2655</v>
      </c>
      <c r="B48" t="s">
        <v>101</v>
      </c>
      <c r="C48">
        <v>31770754</v>
      </c>
      <c r="D48" t="s">
        <v>3467</v>
      </c>
      <c r="E48" t="s">
        <v>3468</v>
      </c>
      <c r="F48" t="s">
        <v>3469</v>
      </c>
      <c r="G48" t="s">
        <v>3412</v>
      </c>
      <c r="H48" t="s">
        <v>3470</v>
      </c>
      <c r="I48" t="s">
        <v>3471</v>
      </c>
      <c r="K48" t="s">
        <v>3472</v>
      </c>
      <c r="L48" t="s">
        <v>3473</v>
      </c>
      <c r="M48" t="s">
        <v>3474</v>
      </c>
      <c r="N48" t="s">
        <v>3475</v>
      </c>
      <c r="O48" t="s">
        <v>3476</v>
      </c>
      <c r="P48" t="s">
        <v>3159</v>
      </c>
      <c r="Q48" t="s">
        <v>225</v>
      </c>
      <c r="R48" t="b">
        <v>1</v>
      </c>
      <c r="S48" t="s">
        <v>3032</v>
      </c>
    </row>
    <row r="49" spans="1:19" ht="11.25" customHeight="1" x14ac:dyDescent="0.15">
      <c r="A49">
        <v>2655</v>
      </c>
      <c r="B49" t="s">
        <v>101</v>
      </c>
      <c r="C49">
        <v>31528492</v>
      </c>
      <c r="D49" t="s">
        <v>3477</v>
      </c>
      <c r="E49" t="s">
        <v>3478</v>
      </c>
      <c r="F49" t="s">
        <v>3479</v>
      </c>
      <c r="G49" t="s">
        <v>3270</v>
      </c>
      <c r="H49" t="s">
        <v>3480</v>
      </c>
      <c r="I49" t="s">
        <v>3481</v>
      </c>
      <c r="K49" t="s">
        <v>3482</v>
      </c>
      <c r="L49" t="s">
        <v>3482</v>
      </c>
      <c r="M49" t="s">
        <v>3483</v>
      </c>
      <c r="N49" t="s">
        <v>3484</v>
      </c>
      <c r="O49" t="s">
        <v>3485</v>
      </c>
      <c r="P49" t="s">
        <v>3044</v>
      </c>
      <c r="Q49" t="s">
        <v>225</v>
      </c>
      <c r="R49" t="b">
        <v>0</v>
      </c>
      <c r="S49" t="s">
        <v>3032</v>
      </c>
    </row>
    <row r="50" spans="1:19" ht="11.25" customHeight="1" x14ac:dyDescent="0.15">
      <c r="A50">
        <v>2655</v>
      </c>
      <c r="B50" t="s">
        <v>101</v>
      </c>
      <c r="C50">
        <v>28270293</v>
      </c>
      <c r="D50" t="s">
        <v>3486</v>
      </c>
      <c r="E50" t="s">
        <v>3487</v>
      </c>
      <c r="F50" t="s">
        <v>3488</v>
      </c>
      <c r="G50" t="s">
        <v>3251</v>
      </c>
      <c r="H50" t="s">
        <v>3489</v>
      </c>
      <c r="I50" t="s">
        <v>3490</v>
      </c>
      <c r="J50" t="s">
        <v>3321</v>
      </c>
      <c r="K50" t="s">
        <v>3491</v>
      </c>
      <c r="L50" t="s">
        <v>3491</v>
      </c>
      <c r="M50" t="s">
        <v>3492</v>
      </c>
      <c r="N50" t="s">
        <v>3493</v>
      </c>
      <c r="O50" t="s">
        <v>3494</v>
      </c>
      <c r="P50" t="s">
        <v>144</v>
      </c>
      <c r="Q50" t="s">
        <v>225</v>
      </c>
      <c r="R50" t="b">
        <v>0</v>
      </c>
      <c r="S50" t="s">
        <v>3032</v>
      </c>
    </row>
    <row r="51" spans="1:19" ht="11.25" customHeight="1" x14ac:dyDescent="0.15">
      <c r="A51">
        <v>2655</v>
      </c>
      <c r="B51" t="s">
        <v>101</v>
      </c>
      <c r="C51">
        <v>28873362</v>
      </c>
      <c r="D51" t="s">
        <v>3495</v>
      </c>
      <c r="E51" t="s">
        <v>3496</v>
      </c>
      <c r="F51" t="s">
        <v>3497</v>
      </c>
      <c r="G51" t="s">
        <v>3036</v>
      </c>
      <c r="H51" t="s">
        <v>3498</v>
      </c>
      <c r="I51" t="s">
        <v>3499</v>
      </c>
      <c r="J51" t="s">
        <v>3321</v>
      </c>
      <c r="K51" t="s">
        <v>3500</v>
      </c>
      <c r="L51" t="s">
        <v>3500</v>
      </c>
      <c r="M51" t="s">
        <v>3501</v>
      </c>
      <c r="N51" t="s">
        <v>3502</v>
      </c>
      <c r="O51" t="s">
        <v>3503</v>
      </c>
      <c r="P51" t="s">
        <v>3159</v>
      </c>
      <c r="Q51" t="s">
        <v>3504</v>
      </c>
      <c r="R51" t="b">
        <v>0</v>
      </c>
      <c r="S51" t="s">
        <v>3032</v>
      </c>
    </row>
    <row r="52" spans="1:19" ht="11.25" customHeight="1" x14ac:dyDescent="0.15">
      <c r="A52">
        <v>2655</v>
      </c>
      <c r="B52" t="s">
        <v>101</v>
      </c>
      <c r="C52">
        <v>28976681</v>
      </c>
      <c r="D52" t="s">
        <v>3505</v>
      </c>
      <c r="E52" t="s">
        <v>3506</v>
      </c>
      <c r="F52" t="s">
        <v>3507</v>
      </c>
      <c r="G52" t="s">
        <v>3251</v>
      </c>
      <c r="H52" t="s">
        <v>3508</v>
      </c>
      <c r="I52" t="s">
        <v>3509</v>
      </c>
      <c r="J52" t="s">
        <v>3321</v>
      </c>
      <c r="K52" t="s">
        <v>3510</v>
      </c>
      <c r="L52" t="s">
        <v>3510</v>
      </c>
      <c r="M52" t="s">
        <v>3511</v>
      </c>
      <c r="N52" t="s">
        <v>225</v>
      </c>
      <c r="O52" t="s">
        <v>3512</v>
      </c>
      <c r="P52" t="s">
        <v>3159</v>
      </c>
      <c r="Q52" t="s">
        <v>225</v>
      </c>
      <c r="R52" t="b">
        <v>1</v>
      </c>
      <c r="S52" t="s">
        <v>3032</v>
      </c>
    </row>
    <row r="53" spans="1:19" ht="11.25" customHeight="1" x14ac:dyDescent="0.15">
      <c r="A53">
        <v>2655</v>
      </c>
      <c r="B53" t="s">
        <v>101</v>
      </c>
      <c r="C53">
        <v>30992391</v>
      </c>
      <c r="D53" t="s">
        <v>3513</v>
      </c>
      <c r="E53" t="s">
        <v>3514</v>
      </c>
      <c r="F53" t="s">
        <v>3515</v>
      </c>
      <c r="G53" t="s">
        <v>3151</v>
      </c>
      <c r="H53" t="s">
        <v>3516</v>
      </c>
      <c r="I53" t="s">
        <v>3517</v>
      </c>
      <c r="J53" t="s">
        <v>3321</v>
      </c>
      <c r="K53" t="s">
        <v>3518</v>
      </c>
      <c r="L53" t="s">
        <v>3519</v>
      </c>
      <c r="M53" t="s">
        <v>3520</v>
      </c>
      <c r="N53" t="s">
        <v>3521</v>
      </c>
      <c r="O53" t="s">
        <v>3522</v>
      </c>
      <c r="P53" t="s">
        <v>3159</v>
      </c>
      <c r="Q53" t="s">
        <v>3523</v>
      </c>
      <c r="R53" t="b">
        <v>0</v>
      </c>
      <c r="S53" t="s">
        <v>3032</v>
      </c>
    </row>
    <row r="54" spans="1:19" ht="11.25" customHeight="1" x14ac:dyDescent="0.15">
      <c r="A54">
        <v>2655</v>
      </c>
      <c r="B54" t="s">
        <v>101</v>
      </c>
      <c r="C54">
        <v>30808511</v>
      </c>
      <c r="D54" t="s">
        <v>3524</v>
      </c>
      <c r="E54" t="s">
        <v>3524</v>
      </c>
      <c r="F54" t="s">
        <v>3525</v>
      </c>
      <c r="G54" t="s">
        <v>3526</v>
      </c>
      <c r="H54" t="s">
        <v>3527</v>
      </c>
      <c r="I54" t="s">
        <v>3528</v>
      </c>
      <c r="J54" t="s">
        <v>3529</v>
      </c>
      <c r="K54" t="s">
        <v>3530</v>
      </c>
      <c r="L54" t="s">
        <v>3531</v>
      </c>
      <c r="M54" t="s">
        <v>3532</v>
      </c>
      <c r="N54" t="s">
        <v>225</v>
      </c>
      <c r="O54" t="s">
        <v>3533</v>
      </c>
      <c r="P54" t="s">
        <v>3159</v>
      </c>
      <c r="Q54" t="s">
        <v>3534</v>
      </c>
      <c r="R54" t="b">
        <v>0</v>
      </c>
      <c r="S54" t="s">
        <v>3032</v>
      </c>
    </row>
    <row r="55" spans="1:19" ht="11.25" customHeight="1" x14ac:dyDescent="0.15">
      <c r="A55">
        <v>2655</v>
      </c>
      <c r="B55" t="s">
        <v>101</v>
      </c>
      <c r="C55">
        <v>26987067</v>
      </c>
      <c r="D55" t="s">
        <v>3535</v>
      </c>
      <c r="E55" t="s">
        <v>225</v>
      </c>
      <c r="F55" t="s">
        <v>3525</v>
      </c>
      <c r="G55" t="s">
        <v>3536</v>
      </c>
      <c r="H55" t="s">
        <v>3527</v>
      </c>
      <c r="I55" t="s">
        <v>225</v>
      </c>
      <c r="J55" t="s">
        <v>3105</v>
      </c>
      <c r="K55" t="s">
        <v>3537</v>
      </c>
      <c r="L55" t="s">
        <v>3538</v>
      </c>
      <c r="M55" t="s">
        <v>225</v>
      </c>
      <c r="N55" t="s">
        <v>225</v>
      </c>
      <c r="O55" t="s">
        <v>225</v>
      </c>
      <c r="P55" t="s">
        <v>225</v>
      </c>
      <c r="Q55" t="s">
        <v>225</v>
      </c>
      <c r="R55" t="b">
        <v>0</v>
      </c>
      <c r="S55" t="s">
        <v>3032</v>
      </c>
    </row>
    <row r="56" spans="1:19" ht="11.25" customHeight="1" x14ac:dyDescent="0.15">
      <c r="A56">
        <v>2655</v>
      </c>
      <c r="B56" t="s">
        <v>101</v>
      </c>
      <c r="C56">
        <v>26520873</v>
      </c>
      <c r="D56" t="s">
        <v>3539</v>
      </c>
      <c r="E56" t="s">
        <v>3540</v>
      </c>
      <c r="F56" t="s">
        <v>3525</v>
      </c>
      <c r="G56" t="s">
        <v>3541</v>
      </c>
      <c r="H56" t="s">
        <v>3527</v>
      </c>
      <c r="I56" t="s">
        <v>3542</v>
      </c>
      <c r="J56" t="s">
        <v>3529</v>
      </c>
      <c r="K56" t="s">
        <v>3543</v>
      </c>
      <c r="L56" t="s">
        <v>3544</v>
      </c>
      <c r="M56" t="s">
        <v>3545</v>
      </c>
      <c r="N56" t="s">
        <v>3546</v>
      </c>
      <c r="O56" t="s">
        <v>3547</v>
      </c>
      <c r="P56" t="s">
        <v>3159</v>
      </c>
      <c r="Q56" t="s">
        <v>3548</v>
      </c>
      <c r="R56" t="b">
        <v>0</v>
      </c>
      <c r="S56" t="s">
        <v>3032</v>
      </c>
    </row>
    <row r="57" spans="1:19" ht="11.25" customHeight="1" x14ac:dyDescent="0.15">
      <c r="A57">
        <v>2655</v>
      </c>
      <c r="B57" t="s">
        <v>101</v>
      </c>
      <c r="C57">
        <v>30984255</v>
      </c>
      <c r="D57" t="s">
        <v>3549</v>
      </c>
      <c r="E57" t="s">
        <v>3550</v>
      </c>
      <c r="F57" t="s">
        <v>3551</v>
      </c>
      <c r="G57" t="s">
        <v>3113</v>
      </c>
      <c r="H57" t="s">
        <v>3552</v>
      </c>
      <c r="I57" t="s">
        <v>3553</v>
      </c>
      <c r="J57" t="s">
        <v>3554</v>
      </c>
      <c r="K57" t="s">
        <v>3555</v>
      </c>
      <c r="L57" t="s">
        <v>3555</v>
      </c>
      <c r="M57" t="s">
        <v>3556</v>
      </c>
      <c r="N57" t="s">
        <v>3557</v>
      </c>
      <c r="O57" t="s">
        <v>3558</v>
      </c>
      <c r="P57" t="s">
        <v>3559</v>
      </c>
      <c r="Q57" t="s">
        <v>225</v>
      </c>
      <c r="R57" t="b">
        <v>0</v>
      </c>
      <c r="S57" t="s">
        <v>3032</v>
      </c>
    </row>
    <row r="58" spans="1:19" ht="11.25" customHeight="1" x14ac:dyDescent="0.15">
      <c r="A58">
        <v>2655</v>
      </c>
      <c r="B58" t="s">
        <v>101</v>
      </c>
      <c r="C58">
        <v>28976938</v>
      </c>
      <c r="D58" t="s">
        <v>3019</v>
      </c>
      <c r="E58" t="s">
        <v>3020</v>
      </c>
      <c r="F58" t="s">
        <v>3021</v>
      </c>
      <c r="G58" t="s">
        <v>3022</v>
      </c>
      <c r="H58" t="s">
        <v>3023</v>
      </c>
      <c r="I58" t="s">
        <v>3024</v>
      </c>
      <c r="J58" t="s">
        <v>127</v>
      </c>
      <c r="K58" t="s">
        <v>3025</v>
      </c>
      <c r="L58" t="s">
        <v>3026</v>
      </c>
      <c r="M58" t="s">
        <v>3027</v>
      </c>
      <c r="N58" t="s">
        <v>3028</v>
      </c>
      <c r="O58" t="s">
        <v>3029</v>
      </c>
      <c r="P58" t="s">
        <v>3030</v>
      </c>
      <c r="Q58" t="s">
        <v>3031</v>
      </c>
      <c r="R58" t="b">
        <v>0</v>
      </c>
      <c r="S58" t="s">
        <v>3560</v>
      </c>
    </row>
    <row r="59" spans="1:19" ht="11.25" customHeight="1" x14ac:dyDescent="0.15">
      <c r="A59">
        <v>2655</v>
      </c>
      <c r="B59" t="s">
        <v>101</v>
      </c>
      <c r="C59">
        <v>26356915</v>
      </c>
      <c r="D59" t="s">
        <v>3561</v>
      </c>
      <c r="E59" t="s">
        <v>3562</v>
      </c>
      <c r="F59" t="s">
        <v>3563</v>
      </c>
      <c r="G59" t="s">
        <v>3240</v>
      </c>
      <c r="H59" t="s">
        <v>3564</v>
      </c>
      <c r="I59" t="s">
        <v>3565</v>
      </c>
      <c r="J59" t="s">
        <v>127</v>
      </c>
      <c r="K59" t="s">
        <v>3566</v>
      </c>
      <c r="L59" t="s">
        <v>3566</v>
      </c>
      <c r="M59" t="s">
        <v>3567</v>
      </c>
      <c r="N59" t="s">
        <v>3568</v>
      </c>
      <c r="O59" t="s">
        <v>3569</v>
      </c>
      <c r="P59" t="s">
        <v>144</v>
      </c>
      <c r="Q59" t="s">
        <v>151</v>
      </c>
      <c r="R59" t="b">
        <v>0</v>
      </c>
      <c r="S59" t="s">
        <v>3560</v>
      </c>
    </row>
    <row r="60" spans="1:19" ht="11.25" customHeight="1" x14ac:dyDescent="0.15">
      <c r="A60">
        <v>2655</v>
      </c>
      <c r="B60" t="s">
        <v>101</v>
      </c>
      <c r="C60">
        <v>27857950</v>
      </c>
      <c r="D60" t="s">
        <v>3570</v>
      </c>
      <c r="E60" t="s">
        <v>3571</v>
      </c>
      <c r="F60" t="s">
        <v>3572</v>
      </c>
      <c r="G60" t="s">
        <v>3432</v>
      </c>
      <c r="H60" t="s">
        <v>3573</v>
      </c>
      <c r="I60" t="s">
        <v>225</v>
      </c>
      <c r="J60" t="s">
        <v>127</v>
      </c>
      <c r="K60" t="s">
        <v>3574</v>
      </c>
      <c r="L60" t="s">
        <v>3574</v>
      </c>
      <c r="M60" t="s">
        <v>3575</v>
      </c>
      <c r="N60" t="s">
        <v>3576</v>
      </c>
      <c r="O60" t="s">
        <v>3577</v>
      </c>
      <c r="P60" t="s">
        <v>3130</v>
      </c>
      <c r="Q60" t="s">
        <v>225</v>
      </c>
      <c r="R60" t="b">
        <v>1</v>
      </c>
      <c r="S60" t="s">
        <v>3560</v>
      </c>
    </row>
    <row r="61" spans="1:19" ht="11.25" customHeight="1" x14ac:dyDescent="0.15">
      <c r="A61">
        <v>2655</v>
      </c>
      <c r="B61" t="s">
        <v>101</v>
      </c>
      <c r="C61">
        <v>26356963</v>
      </c>
      <c r="D61" t="s">
        <v>3056</v>
      </c>
      <c r="E61" t="s">
        <v>3057</v>
      </c>
      <c r="F61" t="s">
        <v>3058</v>
      </c>
      <c r="G61" t="s">
        <v>3059</v>
      </c>
      <c r="H61" t="s">
        <v>3060</v>
      </c>
      <c r="I61" t="s">
        <v>225</v>
      </c>
      <c r="J61" t="s">
        <v>127</v>
      </c>
      <c r="K61" t="s">
        <v>3061</v>
      </c>
      <c r="L61" t="s">
        <v>3061</v>
      </c>
      <c r="M61" t="s">
        <v>3062</v>
      </c>
      <c r="N61" t="s">
        <v>3063</v>
      </c>
      <c r="O61" t="s">
        <v>3064</v>
      </c>
      <c r="P61" t="s">
        <v>3065</v>
      </c>
      <c r="Q61" t="s">
        <v>225</v>
      </c>
      <c r="R61" t="b">
        <v>0</v>
      </c>
      <c r="S61" t="s">
        <v>3560</v>
      </c>
    </row>
    <row r="62" spans="1:19" ht="11.25" customHeight="1" x14ac:dyDescent="0.15">
      <c r="A62">
        <v>2655</v>
      </c>
      <c r="B62" t="s">
        <v>101</v>
      </c>
      <c r="C62">
        <v>26322889</v>
      </c>
      <c r="D62" t="s">
        <v>3066</v>
      </c>
      <c r="E62" t="s">
        <v>3067</v>
      </c>
      <c r="F62" t="s">
        <v>3068</v>
      </c>
      <c r="G62" t="s">
        <v>122</v>
      </c>
      <c r="H62" t="s">
        <v>3069</v>
      </c>
      <c r="I62" t="s">
        <v>3070</v>
      </c>
      <c r="J62" t="s">
        <v>127</v>
      </c>
      <c r="K62" t="s">
        <v>3071</v>
      </c>
      <c r="L62" t="s">
        <v>3072</v>
      </c>
      <c r="M62" t="s">
        <v>3073</v>
      </c>
      <c r="N62" t="s">
        <v>3074</v>
      </c>
      <c r="O62" t="s">
        <v>3075</v>
      </c>
      <c r="P62" t="s">
        <v>3076</v>
      </c>
      <c r="Q62" t="s">
        <v>3077</v>
      </c>
      <c r="R62" t="b">
        <v>0</v>
      </c>
      <c r="S62" t="s">
        <v>3560</v>
      </c>
    </row>
    <row r="63" spans="1:19" ht="11.25" customHeight="1" x14ac:dyDescent="0.15">
      <c r="A63">
        <v>2655</v>
      </c>
      <c r="B63" t="s">
        <v>101</v>
      </c>
      <c r="C63">
        <v>31833446</v>
      </c>
      <c r="D63" t="s">
        <v>3578</v>
      </c>
      <c r="E63" t="s">
        <v>3579</v>
      </c>
      <c r="F63" t="s">
        <v>3580</v>
      </c>
      <c r="G63" t="s">
        <v>3036</v>
      </c>
      <c r="H63" t="s">
        <v>3581</v>
      </c>
      <c r="I63" t="s">
        <v>225</v>
      </c>
      <c r="K63" t="s">
        <v>225</v>
      </c>
      <c r="L63" t="s">
        <v>3582</v>
      </c>
      <c r="M63" t="s">
        <v>225</v>
      </c>
      <c r="N63" t="s">
        <v>225</v>
      </c>
      <c r="O63" t="s">
        <v>3583</v>
      </c>
      <c r="P63" t="s">
        <v>3044</v>
      </c>
      <c r="Q63" t="s">
        <v>225</v>
      </c>
      <c r="R63" t="b">
        <v>0</v>
      </c>
      <c r="S63" t="s">
        <v>3560</v>
      </c>
    </row>
    <row r="64" spans="1:19" ht="11.25" customHeight="1" x14ac:dyDescent="0.15">
      <c r="A64">
        <v>2655</v>
      </c>
      <c r="B64" t="s">
        <v>101</v>
      </c>
      <c r="C64">
        <v>27820148</v>
      </c>
      <c r="D64" t="s">
        <v>3584</v>
      </c>
      <c r="E64" t="s">
        <v>3585</v>
      </c>
      <c r="F64" t="s">
        <v>3586</v>
      </c>
      <c r="G64" t="s">
        <v>3328</v>
      </c>
      <c r="H64" t="s">
        <v>3587</v>
      </c>
      <c r="I64" t="s">
        <v>3588</v>
      </c>
      <c r="J64" t="s">
        <v>127</v>
      </c>
      <c r="K64" t="s">
        <v>3589</v>
      </c>
      <c r="L64" t="s">
        <v>3589</v>
      </c>
      <c r="M64" t="s">
        <v>3590</v>
      </c>
      <c r="N64" t="s">
        <v>3591</v>
      </c>
      <c r="O64" t="s">
        <v>3592</v>
      </c>
      <c r="P64" t="s">
        <v>3593</v>
      </c>
      <c r="Q64" t="s">
        <v>3594</v>
      </c>
      <c r="R64" t="b">
        <v>0</v>
      </c>
      <c r="S64" t="s">
        <v>3560</v>
      </c>
    </row>
    <row r="65" spans="1:19" ht="11.25" customHeight="1" x14ac:dyDescent="0.15">
      <c r="A65">
        <v>2655</v>
      </c>
      <c r="B65" t="s">
        <v>101</v>
      </c>
      <c r="C65">
        <v>26322867</v>
      </c>
      <c r="D65" t="s">
        <v>111</v>
      </c>
      <c r="E65" t="s">
        <v>114</v>
      </c>
      <c r="F65" t="s">
        <v>120</v>
      </c>
      <c r="G65" t="s">
        <v>122</v>
      </c>
      <c r="H65" t="s">
        <v>118</v>
      </c>
      <c r="I65" t="s">
        <v>124</v>
      </c>
      <c r="J65" t="s">
        <v>127</v>
      </c>
      <c r="K65" t="s">
        <v>130</v>
      </c>
      <c r="L65" t="s">
        <v>130</v>
      </c>
      <c r="M65" t="s">
        <v>3131</v>
      </c>
      <c r="N65" t="s">
        <v>138</v>
      </c>
      <c r="O65" t="s">
        <v>3132</v>
      </c>
      <c r="P65" t="s">
        <v>144</v>
      </c>
      <c r="Q65" t="s">
        <v>147</v>
      </c>
      <c r="R65" t="b">
        <v>0</v>
      </c>
      <c r="S65" t="s">
        <v>3560</v>
      </c>
    </row>
    <row r="66" spans="1:19" ht="11.25" customHeight="1" x14ac:dyDescent="0.15">
      <c r="A66">
        <v>2655</v>
      </c>
      <c r="B66" t="s">
        <v>101</v>
      </c>
      <c r="C66">
        <v>26824396</v>
      </c>
      <c r="D66" t="s">
        <v>3142</v>
      </c>
      <c r="E66" t="s">
        <v>3143</v>
      </c>
      <c r="F66" t="s">
        <v>3112</v>
      </c>
      <c r="G66" t="s">
        <v>3144</v>
      </c>
      <c r="H66" t="s">
        <v>3114</v>
      </c>
      <c r="I66" t="s">
        <v>225</v>
      </c>
      <c r="J66" t="s">
        <v>3105</v>
      </c>
      <c r="K66" t="s">
        <v>3145</v>
      </c>
      <c r="L66" t="s">
        <v>3145</v>
      </c>
      <c r="M66" t="s">
        <v>3146</v>
      </c>
      <c r="N66" t="s">
        <v>225</v>
      </c>
      <c r="O66" t="s">
        <v>3147</v>
      </c>
      <c r="P66" t="s">
        <v>3141</v>
      </c>
      <c r="Q66" t="s">
        <v>225</v>
      </c>
      <c r="R66" t="b">
        <v>0</v>
      </c>
      <c r="S66" t="s">
        <v>3560</v>
      </c>
    </row>
    <row r="67" spans="1:19" ht="11.25" customHeight="1" x14ac:dyDescent="0.15">
      <c r="A67">
        <v>2655</v>
      </c>
      <c r="B67" t="s">
        <v>101</v>
      </c>
      <c r="C67">
        <v>30365193</v>
      </c>
      <c r="D67" t="s">
        <v>3595</v>
      </c>
      <c r="E67" t="s">
        <v>3596</v>
      </c>
      <c r="F67" t="s">
        <v>3597</v>
      </c>
      <c r="G67" t="s">
        <v>3036</v>
      </c>
      <c r="H67" t="s">
        <v>3598</v>
      </c>
      <c r="I67" t="s">
        <v>225</v>
      </c>
      <c r="J67" t="s">
        <v>3599</v>
      </c>
      <c r="K67" t="s">
        <v>3600</v>
      </c>
      <c r="L67" t="s">
        <v>3600</v>
      </c>
      <c r="M67" t="s">
        <v>225</v>
      </c>
      <c r="N67" t="s">
        <v>225</v>
      </c>
      <c r="O67" t="s">
        <v>3601</v>
      </c>
      <c r="P67" t="s">
        <v>3602</v>
      </c>
      <c r="Q67" t="s">
        <v>225</v>
      </c>
      <c r="R67" t="b">
        <v>0</v>
      </c>
      <c r="S67" t="s">
        <v>3560</v>
      </c>
    </row>
    <row r="68" spans="1:19" ht="11.25" customHeight="1" x14ac:dyDescent="0.15">
      <c r="A68">
        <v>2655</v>
      </c>
      <c r="B68" t="s">
        <v>101</v>
      </c>
      <c r="C68">
        <v>31232672</v>
      </c>
      <c r="D68" t="s">
        <v>3148</v>
      </c>
      <c r="E68" t="s">
        <v>3149</v>
      </c>
      <c r="F68" t="s">
        <v>3150</v>
      </c>
      <c r="G68" t="s">
        <v>3151</v>
      </c>
      <c r="H68" t="s">
        <v>3152</v>
      </c>
      <c r="I68" t="s">
        <v>3153</v>
      </c>
      <c r="J68" t="s">
        <v>3154</v>
      </c>
      <c r="K68" t="s">
        <v>3155</v>
      </c>
      <c r="L68" t="s">
        <v>3155</v>
      </c>
      <c r="M68" t="s">
        <v>3156</v>
      </c>
      <c r="N68" t="s">
        <v>3157</v>
      </c>
      <c r="O68" t="s">
        <v>3158</v>
      </c>
      <c r="P68" t="s">
        <v>3159</v>
      </c>
      <c r="Q68" t="s">
        <v>225</v>
      </c>
      <c r="R68" t="b">
        <v>0</v>
      </c>
      <c r="S68" t="s">
        <v>3560</v>
      </c>
    </row>
    <row r="69" spans="1:19" ht="11.25" customHeight="1" x14ac:dyDescent="0.15">
      <c r="A69">
        <v>2655</v>
      </c>
      <c r="B69" t="s">
        <v>101</v>
      </c>
      <c r="C69">
        <v>27978231</v>
      </c>
      <c r="D69" t="s">
        <v>3603</v>
      </c>
      <c r="E69" t="s">
        <v>3604</v>
      </c>
      <c r="F69" t="s">
        <v>3605</v>
      </c>
      <c r="G69" t="s">
        <v>3222</v>
      </c>
      <c r="H69" t="s">
        <v>3606</v>
      </c>
      <c r="I69" t="s">
        <v>3607</v>
      </c>
      <c r="J69" t="s">
        <v>3154</v>
      </c>
      <c r="K69" t="s">
        <v>3608</v>
      </c>
      <c r="L69" t="s">
        <v>3609</v>
      </c>
      <c r="M69" t="s">
        <v>3610</v>
      </c>
      <c r="N69" t="s">
        <v>225</v>
      </c>
      <c r="O69" t="s">
        <v>3611</v>
      </c>
      <c r="P69" t="s">
        <v>3159</v>
      </c>
      <c r="Q69" t="s">
        <v>225</v>
      </c>
      <c r="R69" t="b">
        <v>0</v>
      </c>
      <c r="S69" t="s">
        <v>3560</v>
      </c>
    </row>
    <row r="70" spans="1:19" ht="11.25" customHeight="1" x14ac:dyDescent="0.15">
      <c r="A70">
        <v>2655</v>
      </c>
      <c r="B70" t="s">
        <v>101</v>
      </c>
      <c r="C70">
        <v>30808700</v>
      </c>
      <c r="D70" t="s">
        <v>3171</v>
      </c>
      <c r="E70" t="s">
        <v>3172</v>
      </c>
      <c r="F70" t="s">
        <v>3173</v>
      </c>
      <c r="G70" t="s">
        <v>3113</v>
      </c>
      <c r="H70" t="s">
        <v>3174</v>
      </c>
      <c r="I70" t="s">
        <v>3175</v>
      </c>
      <c r="J70" t="s">
        <v>3166</v>
      </c>
      <c r="K70" t="s">
        <v>3176</v>
      </c>
      <c r="L70" t="s">
        <v>3177</v>
      </c>
      <c r="M70" t="s">
        <v>3178</v>
      </c>
      <c r="N70" t="s">
        <v>3179</v>
      </c>
      <c r="O70" t="s">
        <v>3180</v>
      </c>
      <c r="P70" t="s">
        <v>3130</v>
      </c>
      <c r="Q70" t="s">
        <v>225</v>
      </c>
      <c r="R70" t="b">
        <v>1</v>
      </c>
      <c r="S70" t="s">
        <v>3560</v>
      </c>
    </row>
    <row r="71" spans="1:19" ht="11.25" customHeight="1" x14ac:dyDescent="0.15">
      <c r="A71">
        <v>2655</v>
      </c>
      <c r="B71" t="s">
        <v>101</v>
      </c>
      <c r="C71">
        <v>31319221</v>
      </c>
      <c r="D71" t="s">
        <v>3181</v>
      </c>
      <c r="E71" t="s">
        <v>3182</v>
      </c>
      <c r="F71" t="s">
        <v>3183</v>
      </c>
      <c r="G71" t="s">
        <v>3163</v>
      </c>
      <c r="H71" t="s">
        <v>3184</v>
      </c>
      <c r="I71" t="s">
        <v>3185</v>
      </c>
      <c r="J71" t="s">
        <v>3154</v>
      </c>
      <c r="K71" t="s">
        <v>3186</v>
      </c>
      <c r="L71" t="s">
        <v>3187</v>
      </c>
      <c r="M71" t="s">
        <v>3188</v>
      </c>
      <c r="N71" t="s">
        <v>3189</v>
      </c>
      <c r="O71" t="s">
        <v>3190</v>
      </c>
      <c r="P71" t="s">
        <v>3159</v>
      </c>
      <c r="Q71" t="s">
        <v>225</v>
      </c>
      <c r="R71" t="b">
        <v>0</v>
      </c>
      <c r="S71" t="s">
        <v>3560</v>
      </c>
    </row>
    <row r="72" spans="1:19" ht="11.25" customHeight="1" x14ac:dyDescent="0.15">
      <c r="A72">
        <v>2655</v>
      </c>
      <c r="B72" t="s">
        <v>101</v>
      </c>
      <c r="C72">
        <v>31419990</v>
      </c>
      <c r="D72" t="s">
        <v>3191</v>
      </c>
      <c r="E72" t="s">
        <v>3192</v>
      </c>
      <c r="F72" t="s">
        <v>3193</v>
      </c>
      <c r="G72" t="s">
        <v>3194</v>
      </c>
      <c r="H72" t="s">
        <v>3195</v>
      </c>
      <c r="I72" t="s">
        <v>3196</v>
      </c>
      <c r="J72" t="s">
        <v>3154</v>
      </c>
      <c r="K72" t="s">
        <v>3197</v>
      </c>
      <c r="L72" t="s">
        <v>3197</v>
      </c>
      <c r="M72" t="s">
        <v>3198</v>
      </c>
      <c r="N72" t="s">
        <v>3199</v>
      </c>
      <c r="O72" t="s">
        <v>3200</v>
      </c>
      <c r="P72" t="s">
        <v>3159</v>
      </c>
      <c r="Q72" t="s">
        <v>3201</v>
      </c>
      <c r="R72" t="b">
        <v>0</v>
      </c>
      <c r="S72" t="s">
        <v>3560</v>
      </c>
    </row>
    <row r="73" spans="1:19" ht="11.25" customHeight="1" x14ac:dyDescent="0.15">
      <c r="A73">
        <v>2655</v>
      </c>
      <c r="B73" t="s">
        <v>101</v>
      </c>
      <c r="C73">
        <v>31343443</v>
      </c>
      <c r="D73" t="s">
        <v>3202</v>
      </c>
      <c r="E73" t="s">
        <v>3203</v>
      </c>
      <c r="F73" t="s">
        <v>3204</v>
      </c>
      <c r="G73" t="s">
        <v>3113</v>
      </c>
      <c r="H73" t="s">
        <v>3205</v>
      </c>
      <c r="I73" t="s">
        <v>3206</v>
      </c>
      <c r="J73" t="s">
        <v>3154</v>
      </c>
      <c r="K73" t="s">
        <v>3207</v>
      </c>
      <c r="L73" t="s">
        <v>3207</v>
      </c>
      <c r="N73" t="s">
        <v>3208</v>
      </c>
      <c r="O73" t="s">
        <v>3209</v>
      </c>
      <c r="P73" t="s">
        <v>3130</v>
      </c>
      <c r="R73" t="b">
        <v>0</v>
      </c>
      <c r="S73" t="s">
        <v>3560</v>
      </c>
    </row>
    <row r="74" spans="1:19" ht="11.25" customHeight="1" x14ac:dyDescent="0.15">
      <c r="A74">
        <v>2655</v>
      </c>
      <c r="B74" t="s">
        <v>101</v>
      </c>
      <c r="C74">
        <v>31367841</v>
      </c>
      <c r="D74" t="s">
        <v>3210</v>
      </c>
      <c r="E74" t="s">
        <v>3211</v>
      </c>
      <c r="F74" t="s">
        <v>3212</v>
      </c>
      <c r="G74" t="s">
        <v>3213</v>
      </c>
      <c r="H74" t="s">
        <v>3214</v>
      </c>
      <c r="I74" t="s">
        <v>3215</v>
      </c>
      <c r="J74" t="s">
        <v>3166</v>
      </c>
      <c r="K74" t="s">
        <v>3216</v>
      </c>
      <c r="L74" t="s">
        <v>3216</v>
      </c>
      <c r="M74" t="s">
        <v>225</v>
      </c>
      <c r="N74" t="s">
        <v>3217</v>
      </c>
      <c r="O74" t="s">
        <v>3218</v>
      </c>
      <c r="P74" t="s">
        <v>3159</v>
      </c>
      <c r="Q74" t="s">
        <v>225</v>
      </c>
      <c r="R74" t="b">
        <v>0</v>
      </c>
      <c r="S74" t="s">
        <v>3560</v>
      </c>
    </row>
    <row r="75" spans="1:19" ht="11.25" customHeight="1" x14ac:dyDescent="0.15">
      <c r="A75">
        <v>2655</v>
      </c>
      <c r="B75" t="s">
        <v>101</v>
      </c>
      <c r="C75">
        <v>31087651</v>
      </c>
      <c r="D75" t="s">
        <v>3219</v>
      </c>
      <c r="E75" t="s">
        <v>3220</v>
      </c>
      <c r="F75" t="s">
        <v>3221</v>
      </c>
      <c r="G75" t="s">
        <v>3222</v>
      </c>
      <c r="H75" t="s">
        <v>3223</v>
      </c>
      <c r="I75" t="s">
        <v>3224</v>
      </c>
      <c r="J75" t="s">
        <v>3154</v>
      </c>
      <c r="K75" t="s">
        <v>3225</v>
      </c>
      <c r="L75" t="s">
        <v>3225</v>
      </c>
      <c r="M75" t="s">
        <v>3226</v>
      </c>
      <c r="N75" t="s">
        <v>3227</v>
      </c>
      <c r="O75" t="s">
        <v>3228</v>
      </c>
      <c r="R75" t="b">
        <v>0</v>
      </c>
      <c r="S75" t="s">
        <v>3560</v>
      </c>
    </row>
    <row r="76" spans="1:19" ht="11.25" customHeight="1" x14ac:dyDescent="0.15">
      <c r="A76">
        <v>2655</v>
      </c>
      <c r="B76" t="s">
        <v>101</v>
      </c>
      <c r="C76">
        <v>31367862</v>
      </c>
      <c r="D76" t="s">
        <v>3229</v>
      </c>
      <c r="E76" t="s">
        <v>3230</v>
      </c>
      <c r="F76" t="s">
        <v>3231</v>
      </c>
      <c r="G76" t="s">
        <v>3213</v>
      </c>
      <c r="H76" t="s">
        <v>3232</v>
      </c>
      <c r="I76" t="s">
        <v>3233</v>
      </c>
      <c r="J76" t="s">
        <v>3154</v>
      </c>
      <c r="K76" t="s">
        <v>3234</v>
      </c>
      <c r="L76" t="s">
        <v>3234</v>
      </c>
      <c r="M76" t="s">
        <v>225</v>
      </c>
      <c r="N76" t="s">
        <v>3235</v>
      </c>
      <c r="O76" t="s">
        <v>3236</v>
      </c>
      <c r="P76" t="s">
        <v>3159</v>
      </c>
      <c r="Q76" t="s">
        <v>225</v>
      </c>
      <c r="R76" t="b">
        <v>0</v>
      </c>
      <c r="S76" t="s">
        <v>3560</v>
      </c>
    </row>
    <row r="77" spans="1:19" ht="11.25" customHeight="1" x14ac:dyDescent="0.15">
      <c r="A77">
        <v>2655</v>
      </c>
      <c r="B77" t="s">
        <v>101</v>
      </c>
      <c r="C77">
        <v>31329806</v>
      </c>
      <c r="D77" t="s">
        <v>3612</v>
      </c>
      <c r="E77" t="s">
        <v>3613</v>
      </c>
      <c r="F77" t="s">
        <v>3614</v>
      </c>
      <c r="G77" t="s">
        <v>3059</v>
      </c>
      <c r="H77" t="s">
        <v>3615</v>
      </c>
      <c r="I77" t="s">
        <v>3616</v>
      </c>
      <c r="J77" t="s">
        <v>3166</v>
      </c>
      <c r="K77" t="s">
        <v>3617</v>
      </c>
      <c r="L77" t="s">
        <v>3617</v>
      </c>
      <c r="M77" t="s">
        <v>3618</v>
      </c>
      <c r="N77" t="s">
        <v>3619</v>
      </c>
      <c r="O77" t="s">
        <v>3620</v>
      </c>
      <c r="P77" t="s">
        <v>3159</v>
      </c>
      <c r="Q77" t="s">
        <v>225</v>
      </c>
      <c r="R77" t="b">
        <v>0</v>
      </c>
      <c r="S77" t="s">
        <v>3560</v>
      </c>
    </row>
    <row r="78" spans="1:19" ht="11.25" customHeight="1" x14ac:dyDescent="0.15">
      <c r="A78">
        <v>2655</v>
      </c>
      <c r="B78" t="s">
        <v>101</v>
      </c>
      <c r="C78">
        <v>31003143</v>
      </c>
      <c r="D78" t="s">
        <v>3257</v>
      </c>
      <c r="E78" t="s">
        <v>3258</v>
      </c>
      <c r="F78" t="s">
        <v>3259</v>
      </c>
      <c r="G78" t="s">
        <v>3251</v>
      </c>
      <c r="H78" t="s">
        <v>3260</v>
      </c>
      <c r="I78" t="s">
        <v>3261</v>
      </c>
      <c r="J78" t="s">
        <v>3166</v>
      </c>
      <c r="K78" t="s">
        <v>3262</v>
      </c>
      <c r="L78" t="s">
        <v>3263</v>
      </c>
      <c r="M78" t="s">
        <v>3264</v>
      </c>
      <c r="N78" t="s">
        <v>3265</v>
      </c>
      <c r="O78" t="s">
        <v>3266</v>
      </c>
      <c r="P78" t="s">
        <v>3159</v>
      </c>
      <c r="Q78" t="s">
        <v>225</v>
      </c>
      <c r="R78" t="b">
        <v>1</v>
      </c>
      <c r="S78" t="s">
        <v>3560</v>
      </c>
    </row>
    <row r="79" spans="1:19" ht="11.25" customHeight="1" x14ac:dyDescent="0.15">
      <c r="A79">
        <v>2655</v>
      </c>
      <c r="B79" t="s">
        <v>101</v>
      </c>
      <c r="C79">
        <v>31308226</v>
      </c>
      <c r="D79" t="s">
        <v>3267</v>
      </c>
      <c r="E79" t="s">
        <v>3268</v>
      </c>
      <c r="F79" t="s">
        <v>3269</v>
      </c>
      <c r="G79" t="s">
        <v>3270</v>
      </c>
      <c r="H79" t="s">
        <v>3271</v>
      </c>
      <c r="I79" t="s">
        <v>3272</v>
      </c>
      <c r="J79" t="s">
        <v>3166</v>
      </c>
      <c r="K79" t="s">
        <v>3273</v>
      </c>
      <c r="L79" t="s">
        <v>3273</v>
      </c>
      <c r="M79" t="s">
        <v>3274</v>
      </c>
      <c r="N79" t="s">
        <v>3275</v>
      </c>
      <c r="O79" t="s">
        <v>3276</v>
      </c>
      <c r="P79" t="s">
        <v>3130</v>
      </c>
      <c r="Q79" t="s">
        <v>225</v>
      </c>
      <c r="R79" t="b">
        <v>1</v>
      </c>
      <c r="S79" t="s">
        <v>3560</v>
      </c>
    </row>
    <row r="80" spans="1:19" ht="11.25" customHeight="1" x14ac:dyDescent="0.15">
      <c r="A80">
        <v>2655</v>
      </c>
      <c r="B80" t="s">
        <v>101</v>
      </c>
      <c r="C80">
        <v>31284269</v>
      </c>
      <c r="D80" t="s">
        <v>3277</v>
      </c>
      <c r="E80" t="s">
        <v>3278</v>
      </c>
      <c r="F80" t="s">
        <v>3279</v>
      </c>
      <c r="G80" t="s">
        <v>3222</v>
      </c>
      <c r="H80" t="s">
        <v>3280</v>
      </c>
      <c r="I80" t="s">
        <v>3281</v>
      </c>
      <c r="J80" t="s">
        <v>3166</v>
      </c>
      <c r="K80" t="s">
        <v>3282</v>
      </c>
      <c r="L80" t="s">
        <v>3283</v>
      </c>
      <c r="M80" t="s">
        <v>3284</v>
      </c>
      <c r="N80" t="s">
        <v>3285</v>
      </c>
      <c r="O80" t="s">
        <v>3286</v>
      </c>
      <c r="P80" t="s">
        <v>225</v>
      </c>
      <c r="Q80" t="s">
        <v>225</v>
      </c>
      <c r="R80" t="b">
        <v>0</v>
      </c>
      <c r="S80" t="s">
        <v>3560</v>
      </c>
    </row>
    <row r="81" spans="1:19" ht="11.25" customHeight="1" x14ac:dyDescent="0.15">
      <c r="A81">
        <v>2655</v>
      </c>
      <c r="B81" t="s">
        <v>101</v>
      </c>
      <c r="C81">
        <v>31241680</v>
      </c>
      <c r="D81" t="s">
        <v>3287</v>
      </c>
      <c r="E81" t="s">
        <v>3288</v>
      </c>
      <c r="F81" t="s">
        <v>3289</v>
      </c>
      <c r="G81" t="s">
        <v>3194</v>
      </c>
      <c r="H81" t="s">
        <v>3290</v>
      </c>
      <c r="I81" t="s">
        <v>3291</v>
      </c>
      <c r="J81" t="s">
        <v>3166</v>
      </c>
      <c r="K81" t="s">
        <v>3292</v>
      </c>
      <c r="L81" t="s">
        <v>3292</v>
      </c>
      <c r="M81" t="s">
        <v>3293</v>
      </c>
      <c r="N81" t="s">
        <v>3294</v>
      </c>
      <c r="O81" t="s">
        <v>3295</v>
      </c>
      <c r="P81" t="s">
        <v>3130</v>
      </c>
      <c r="Q81" t="s">
        <v>3296</v>
      </c>
      <c r="R81" t="b">
        <v>0</v>
      </c>
      <c r="S81" t="s">
        <v>3560</v>
      </c>
    </row>
    <row r="82" spans="1:19" ht="11.25" customHeight="1" x14ac:dyDescent="0.15">
      <c r="A82">
        <v>2655</v>
      </c>
      <c r="B82" t="s">
        <v>101</v>
      </c>
      <c r="C82">
        <v>31579664</v>
      </c>
      <c r="D82" t="s">
        <v>3297</v>
      </c>
      <c r="E82" t="s">
        <v>3298</v>
      </c>
      <c r="F82" t="s">
        <v>3299</v>
      </c>
      <c r="G82" t="s">
        <v>3113</v>
      </c>
      <c r="H82" t="s">
        <v>3300</v>
      </c>
      <c r="I82" t="s">
        <v>3301</v>
      </c>
      <c r="K82" t="s">
        <v>3302</v>
      </c>
      <c r="L82" t="s">
        <v>3303</v>
      </c>
      <c r="M82" t="s">
        <v>3304</v>
      </c>
      <c r="N82" t="s">
        <v>225</v>
      </c>
      <c r="O82" t="s">
        <v>3305</v>
      </c>
      <c r="P82" t="s">
        <v>3159</v>
      </c>
      <c r="Q82" t="s">
        <v>3306</v>
      </c>
      <c r="R82" t="b">
        <v>1</v>
      </c>
      <c r="S82" t="s">
        <v>3560</v>
      </c>
    </row>
    <row r="83" spans="1:19" ht="11.25" customHeight="1" x14ac:dyDescent="0.15">
      <c r="A83">
        <v>2655</v>
      </c>
      <c r="B83" t="s">
        <v>101</v>
      </c>
      <c r="C83">
        <v>26322895</v>
      </c>
      <c r="D83" t="s">
        <v>3307</v>
      </c>
      <c r="E83" t="s">
        <v>3308</v>
      </c>
      <c r="F83" t="s">
        <v>3309</v>
      </c>
      <c r="G83" t="s">
        <v>3036</v>
      </c>
      <c r="H83" t="s">
        <v>3310</v>
      </c>
      <c r="I83" t="s">
        <v>3311</v>
      </c>
      <c r="J83" t="s">
        <v>3105</v>
      </c>
      <c r="K83" t="s">
        <v>3312</v>
      </c>
      <c r="L83" t="s">
        <v>3312</v>
      </c>
      <c r="M83" t="s">
        <v>3313</v>
      </c>
      <c r="N83" t="s">
        <v>3314</v>
      </c>
      <c r="O83" t="s">
        <v>3315</v>
      </c>
      <c r="P83" t="s">
        <v>144</v>
      </c>
      <c r="Q83" t="s">
        <v>3316</v>
      </c>
      <c r="R83" t="b">
        <v>0</v>
      </c>
      <c r="S83" t="s">
        <v>3560</v>
      </c>
    </row>
    <row r="84" spans="1:19" ht="11.25" customHeight="1" x14ac:dyDescent="0.15">
      <c r="A84">
        <v>2655</v>
      </c>
      <c r="B84" t="s">
        <v>101</v>
      </c>
      <c r="C84">
        <v>27784286</v>
      </c>
      <c r="D84" t="s">
        <v>3621</v>
      </c>
      <c r="E84" t="s">
        <v>3622</v>
      </c>
      <c r="F84" t="s">
        <v>3623</v>
      </c>
      <c r="G84" t="s">
        <v>3270</v>
      </c>
      <c r="H84" t="s">
        <v>3624</v>
      </c>
      <c r="I84" t="s">
        <v>3625</v>
      </c>
      <c r="K84" t="s">
        <v>3626</v>
      </c>
      <c r="L84" t="s">
        <v>3626</v>
      </c>
      <c r="M84" t="s">
        <v>3627</v>
      </c>
      <c r="N84" t="s">
        <v>3628</v>
      </c>
      <c r="O84" t="s">
        <v>3629</v>
      </c>
      <c r="P84" t="s">
        <v>144</v>
      </c>
      <c r="Q84" t="s">
        <v>3630</v>
      </c>
      <c r="R84" t="b">
        <v>0</v>
      </c>
      <c r="S84" t="s">
        <v>3560</v>
      </c>
    </row>
    <row r="85" spans="1:19" ht="11.25" customHeight="1" x14ac:dyDescent="0.15">
      <c r="A85">
        <v>2655</v>
      </c>
      <c r="B85" t="s">
        <v>101</v>
      </c>
      <c r="C85">
        <v>26428076</v>
      </c>
      <c r="D85" t="s">
        <v>3631</v>
      </c>
      <c r="E85" t="s">
        <v>3632</v>
      </c>
      <c r="F85" t="s">
        <v>3633</v>
      </c>
      <c r="G85" t="s">
        <v>3251</v>
      </c>
      <c r="H85" t="s">
        <v>3634</v>
      </c>
      <c r="I85" t="s">
        <v>225</v>
      </c>
      <c r="K85" t="s">
        <v>3635</v>
      </c>
      <c r="L85" t="s">
        <v>3635</v>
      </c>
      <c r="M85" t="s">
        <v>3636</v>
      </c>
      <c r="N85" t="s">
        <v>3637</v>
      </c>
      <c r="O85" t="s">
        <v>225</v>
      </c>
      <c r="P85" t="s">
        <v>225</v>
      </c>
      <c r="Q85" t="s">
        <v>225</v>
      </c>
      <c r="R85" t="b">
        <v>0</v>
      </c>
      <c r="S85" t="s">
        <v>3560</v>
      </c>
    </row>
    <row r="86" spans="1:19" ht="11.25" customHeight="1" x14ac:dyDescent="0.15">
      <c r="A86">
        <v>2655</v>
      </c>
      <c r="B86" t="s">
        <v>101</v>
      </c>
      <c r="C86">
        <v>28954370</v>
      </c>
      <c r="D86" t="s">
        <v>3638</v>
      </c>
      <c r="E86" t="s">
        <v>3639</v>
      </c>
      <c r="F86" t="s">
        <v>3640</v>
      </c>
      <c r="G86" t="s">
        <v>3251</v>
      </c>
      <c r="H86" t="s">
        <v>3641</v>
      </c>
      <c r="I86" t="s">
        <v>3642</v>
      </c>
      <c r="J86" t="s">
        <v>3321</v>
      </c>
      <c r="K86" t="s">
        <v>3643</v>
      </c>
      <c r="L86" t="s">
        <v>3643</v>
      </c>
      <c r="M86" t="s">
        <v>3644</v>
      </c>
      <c r="N86" t="s">
        <v>3645</v>
      </c>
      <c r="O86" t="s">
        <v>3646</v>
      </c>
      <c r="P86" t="s">
        <v>3159</v>
      </c>
      <c r="Q86" t="s">
        <v>225</v>
      </c>
      <c r="R86" t="b">
        <v>1</v>
      </c>
      <c r="S86" t="s">
        <v>3560</v>
      </c>
    </row>
    <row r="87" spans="1:19" ht="11.25" customHeight="1" x14ac:dyDescent="0.15">
      <c r="A87">
        <v>2655</v>
      </c>
      <c r="B87" t="s">
        <v>101</v>
      </c>
      <c r="C87">
        <v>31774016</v>
      </c>
      <c r="D87" t="s">
        <v>3647</v>
      </c>
      <c r="E87" t="s">
        <v>3648</v>
      </c>
      <c r="F87" t="s">
        <v>3649</v>
      </c>
      <c r="G87" t="s">
        <v>3270</v>
      </c>
      <c r="H87" t="s">
        <v>3650</v>
      </c>
      <c r="I87" t="s">
        <v>3651</v>
      </c>
      <c r="K87" t="s">
        <v>3652</v>
      </c>
      <c r="L87" t="s">
        <v>3653</v>
      </c>
      <c r="M87" t="s">
        <v>3654</v>
      </c>
      <c r="N87" t="s">
        <v>3655</v>
      </c>
      <c r="O87" t="s">
        <v>3656</v>
      </c>
      <c r="P87" t="s">
        <v>3044</v>
      </c>
      <c r="Q87" t="s">
        <v>225</v>
      </c>
      <c r="R87" t="b">
        <v>1</v>
      </c>
      <c r="S87" t="s">
        <v>3560</v>
      </c>
    </row>
    <row r="88" spans="1:19" ht="11.25" customHeight="1" x14ac:dyDescent="0.15">
      <c r="A88">
        <v>2655</v>
      </c>
      <c r="B88" t="s">
        <v>101</v>
      </c>
      <c r="C88">
        <v>28869965</v>
      </c>
      <c r="D88" t="s">
        <v>3335</v>
      </c>
      <c r="E88" t="s">
        <v>3336</v>
      </c>
      <c r="F88" t="s">
        <v>3337</v>
      </c>
      <c r="G88" t="s">
        <v>3151</v>
      </c>
      <c r="H88" t="s">
        <v>3338</v>
      </c>
      <c r="I88" t="s">
        <v>225</v>
      </c>
      <c r="J88" t="s">
        <v>3321</v>
      </c>
      <c r="K88" t="s">
        <v>3339</v>
      </c>
      <c r="L88" t="s">
        <v>3339</v>
      </c>
      <c r="M88" t="s">
        <v>3340</v>
      </c>
      <c r="N88" t="s">
        <v>3341</v>
      </c>
      <c r="O88" t="s">
        <v>3342</v>
      </c>
      <c r="P88" t="s">
        <v>144</v>
      </c>
      <c r="Q88" t="s">
        <v>3343</v>
      </c>
      <c r="R88" t="b">
        <v>0</v>
      </c>
      <c r="S88" t="s">
        <v>3560</v>
      </c>
    </row>
    <row r="89" spans="1:19" ht="11.25" customHeight="1" x14ac:dyDescent="0.15">
      <c r="A89">
        <v>2655</v>
      </c>
      <c r="B89" t="s">
        <v>101</v>
      </c>
      <c r="C89">
        <v>28113313</v>
      </c>
      <c r="D89" t="s">
        <v>3657</v>
      </c>
      <c r="E89" t="s">
        <v>3658</v>
      </c>
      <c r="F89" t="s">
        <v>3659</v>
      </c>
      <c r="G89" t="s">
        <v>3356</v>
      </c>
      <c r="H89" t="s">
        <v>3660</v>
      </c>
      <c r="I89" t="s">
        <v>225</v>
      </c>
      <c r="J89" t="s">
        <v>3321</v>
      </c>
      <c r="K89" t="s">
        <v>3661</v>
      </c>
      <c r="L89" t="s">
        <v>3662</v>
      </c>
      <c r="M89" t="s">
        <v>225</v>
      </c>
      <c r="N89" t="s">
        <v>225</v>
      </c>
      <c r="O89" t="s">
        <v>3363</v>
      </c>
      <c r="P89" t="s">
        <v>3044</v>
      </c>
      <c r="Q89" t="s">
        <v>225</v>
      </c>
      <c r="R89" t="b">
        <v>1</v>
      </c>
      <c r="S89" t="s">
        <v>3560</v>
      </c>
    </row>
    <row r="90" spans="1:19" ht="11.25" customHeight="1" x14ac:dyDescent="0.15">
      <c r="A90">
        <v>2655</v>
      </c>
      <c r="B90" t="s">
        <v>101</v>
      </c>
      <c r="C90">
        <v>26428030</v>
      </c>
      <c r="D90" t="s">
        <v>3663</v>
      </c>
      <c r="E90" t="s">
        <v>3664</v>
      </c>
      <c r="F90" t="s">
        <v>3665</v>
      </c>
      <c r="G90" t="s">
        <v>3251</v>
      </c>
      <c r="H90" t="s">
        <v>3666</v>
      </c>
      <c r="I90" t="s">
        <v>225</v>
      </c>
      <c r="K90" t="s">
        <v>3667</v>
      </c>
      <c r="L90" t="s">
        <v>3667</v>
      </c>
      <c r="M90" t="s">
        <v>3668</v>
      </c>
      <c r="N90" t="s">
        <v>3669</v>
      </c>
      <c r="O90" t="s">
        <v>225</v>
      </c>
      <c r="P90" t="s">
        <v>225</v>
      </c>
      <c r="Q90" t="s">
        <v>225</v>
      </c>
      <c r="R90" t="b">
        <v>0</v>
      </c>
      <c r="S90" t="s">
        <v>3560</v>
      </c>
    </row>
    <row r="91" spans="1:19" ht="11.25" customHeight="1" x14ac:dyDescent="0.15">
      <c r="A91">
        <v>2655</v>
      </c>
      <c r="B91" t="s">
        <v>101</v>
      </c>
      <c r="C91">
        <v>31356597</v>
      </c>
      <c r="D91" t="s">
        <v>3344</v>
      </c>
      <c r="E91" t="s">
        <v>3345</v>
      </c>
      <c r="F91" t="s">
        <v>3346</v>
      </c>
      <c r="G91" t="s">
        <v>3222</v>
      </c>
      <c r="H91" t="s">
        <v>3347</v>
      </c>
      <c r="I91" t="s">
        <v>3348</v>
      </c>
      <c r="J91" t="s">
        <v>3321</v>
      </c>
      <c r="K91" t="s">
        <v>3349</v>
      </c>
      <c r="L91" t="s">
        <v>3349</v>
      </c>
      <c r="M91" t="s">
        <v>3350</v>
      </c>
      <c r="N91" t="s">
        <v>3351</v>
      </c>
      <c r="O91" t="s">
        <v>3352</v>
      </c>
      <c r="P91" t="s">
        <v>144</v>
      </c>
      <c r="Q91" t="s">
        <v>225</v>
      </c>
      <c r="R91" t="b">
        <v>0</v>
      </c>
      <c r="S91" t="s">
        <v>3560</v>
      </c>
    </row>
    <row r="92" spans="1:19" ht="11.25" customHeight="1" x14ac:dyDescent="0.15">
      <c r="A92">
        <v>2655</v>
      </c>
      <c r="B92" t="s">
        <v>101</v>
      </c>
      <c r="C92">
        <v>28136671</v>
      </c>
      <c r="D92" t="s">
        <v>3353</v>
      </c>
      <c r="E92" t="s">
        <v>3354</v>
      </c>
      <c r="F92" t="s">
        <v>3355</v>
      </c>
      <c r="G92" t="s">
        <v>3356</v>
      </c>
      <c r="H92" t="s">
        <v>3357</v>
      </c>
      <c r="I92" t="s">
        <v>3358</v>
      </c>
      <c r="J92" t="s">
        <v>3321</v>
      </c>
      <c r="K92" t="s">
        <v>3359</v>
      </c>
      <c r="L92" t="s">
        <v>3360</v>
      </c>
      <c r="M92" t="s">
        <v>3361</v>
      </c>
      <c r="N92" t="s">
        <v>3362</v>
      </c>
      <c r="O92" t="s">
        <v>3363</v>
      </c>
      <c r="P92" t="s">
        <v>3044</v>
      </c>
      <c r="Q92" t="s">
        <v>225</v>
      </c>
      <c r="R92" t="b">
        <v>1</v>
      </c>
      <c r="S92" t="s">
        <v>3560</v>
      </c>
    </row>
    <row r="93" spans="1:19" ht="11.25" customHeight="1" x14ac:dyDescent="0.15">
      <c r="A93">
        <v>2655</v>
      </c>
      <c r="B93" t="s">
        <v>101</v>
      </c>
      <c r="C93">
        <v>27838991</v>
      </c>
      <c r="D93" t="s">
        <v>3670</v>
      </c>
      <c r="E93" t="s">
        <v>3671</v>
      </c>
      <c r="F93" t="s">
        <v>3672</v>
      </c>
      <c r="G93" t="s">
        <v>3059</v>
      </c>
      <c r="H93" t="s">
        <v>3673</v>
      </c>
      <c r="I93" t="s">
        <v>3674</v>
      </c>
      <c r="J93" t="s">
        <v>3321</v>
      </c>
      <c r="K93" t="s">
        <v>3675</v>
      </c>
      <c r="L93" t="s">
        <v>3676</v>
      </c>
      <c r="M93" t="s">
        <v>3677</v>
      </c>
      <c r="N93" t="s">
        <v>3678</v>
      </c>
      <c r="O93" t="s">
        <v>3679</v>
      </c>
      <c r="P93" t="s">
        <v>144</v>
      </c>
      <c r="Q93" t="s">
        <v>225</v>
      </c>
      <c r="R93" t="b">
        <v>0</v>
      </c>
      <c r="S93" t="s">
        <v>3560</v>
      </c>
    </row>
    <row r="94" spans="1:19" ht="11.25" customHeight="1" x14ac:dyDescent="0.15">
      <c r="A94">
        <v>2655</v>
      </c>
      <c r="B94" t="s">
        <v>101</v>
      </c>
      <c r="C94">
        <v>26428026</v>
      </c>
      <c r="D94" t="s">
        <v>3390</v>
      </c>
      <c r="E94" t="s">
        <v>3391</v>
      </c>
      <c r="F94" t="s">
        <v>3392</v>
      </c>
      <c r="G94" t="s">
        <v>3393</v>
      </c>
      <c r="H94" t="s">
        <v>3394</v>
      </c>
      <c r="I94" t="s">
        <v>225</v>
      </c>
      <c r="K94" t="s">
        <v>3395</v>
      </c>
      <c r="L94" t="s">
        <v>3395</v>
      </c>
      <c r="M94" t="s">
        <v>3396</v>
      </c>
      <c r="N94" t="s">
        <v>3397</v>
      </c>
      <c r="O94" t="s">
        <v>3398</v>
      </c>
      <c r="P94" t="s">
        <v>3159</v>
      </c>
      <c r="Q94" t="s">
        <v>225</v>
      </c>
      <c r="R94" t="b">
        <v>1</v>
      </c>
      <c r="S94" t="s">
        <v>3560</v>
      </c>
    </row>
    <row r="95" spans="1:19" ht="11.25" customHeight="1" x14ac:dyDescent="0.15">
      <c r="A95">
        <v>2655</v>
      </c>
      <c r="B95" t="s">
        <v>101</v>
      </c>
      <c r="C95">
        <v>31739633</v>
      </c>
      <c r="D95" t="s">
        <v>3409</v>
      </c>
      <c r="E95" t="s">
        <v>3410</v>
      </c>
      <c r="F95" t="s">
        <v>3411</v>
      </c>
      <c r="G95" t="s">
        <v>3412</v>
      </c>
      <c r="H95" t="s">
        <v>3413</v>
      </c>
      <c r="I95" t="s">
        <v>3414</v>
      </c>
      <c r="K95" t="s">
        <v>3415</v>
      </c>
      <c r="L95" t="s">
        <v>3415</v>
      </c>
      <c r="M95" t="s">
        <v>3416</v>
      </c>
      <c r="N95" t="s">
        <v>3417</v>
      </c>
      <c r="O95" t="s">
        <v>3418</v>
      </c>
      <c r="P95" t="s">
        <v>3130</v>
      </c>
      <c r="Q95" t="s">
        <v>225</v>
      </c>
      <c r="R95" t="b">
        <v>0</v>
      </c>
      <c r="S95" t="s">
        <v>3560</v>
      </c>
    </row>
    <row r="96" spans="1:19" ht="11.25" customHeight="1" x14ac:dyDescent="0.15">
      <c r="A96">
        <v>2655</v>
      </c>
      <c r="B96" t="s">
        <v>101</v>
      </c>
      <c r="C96">
        <v>31541617</v>
      </c>
      <c r="D96" t="s">
        <v>3419</v>
      </c>
      <c r="E96" t="s">
        <v>3420</v>
      </c>
      <c r="F96" t="s">
        <v>3421</v>
      </c>
      <c r="G96" t="s">
        <v>3422</v>
      </c>
      <c r="H96" t="s">
        <v>3423</v>
      </c>
      <c r="I96" t="s">
        <v>3424</v>
      </c>
      <c r="K96" t="s">
        <v>3425</v>
      </c>
      <c r="L96" t="s">
        <v>3425</v>
      </c>
      <c r="M96" t="s">
        <v>3426</v>
      </c>
      <c r="N96" t="s">
        <v>3427</v>
      </c>
      <c r="O96" t="s">
        <v>3428</v>
      </c>
      <c r="P96" t="s">
        <v>3130</v>
      </c>
      <c r="Q96" t="s">
        <v>225</v>
      </c>
      <c r="R96" t="b">
        <v>1</v>
      </c>
      <c r="S96" t="s">
        <v>3560</v>
      </c>
    </row>
    <row r="97" spans="1:19" ht="11.25" customHeight="1" x14ac:dyDescent="0.15">
      <c r="A97">
        <v>2655</v>
      </c>
      <c r="B97" t="s">
        <v>101</v>
      </c>
      <c r="C97">
        <v>31834877</v>
      </c>
      <c r="D97" t="s">
        <v>3680</v>
      </c>
      <c r="E97" t="s">
        <v>3680</v>
      </c>
      <c r="F97" t="s">
        <v>3681</v>
      </c>
      <c r="G97" t="s">
        <v>3049</v>
      </c>
      <c r="H97" t="s">
        <v>3682</v>
      </c>
      <c r="I97" t="s">
        <v>3683</v>
      </c>
      <c r="K97" t="s">
        <v>3684</v>
      </c>
      <c r="L97" t="s">
        <v>3685</v>
      </c>
      <c r="M97" t="s">
        <v>225</v>
      </c>
      <c r="N97" t="s">
        <v>3686</v>
      </c>
      <c r="O97" t="s">
        <v>3687</v>
      </c>
      <c r="P97" t="s">
        <v>3044</v>
      </c>
      <c r="Q97" t="s">
        <v>3688</v>
      </c>
      <c r="R97" t="b">
        <v>0</v>
      </c>
      <c r="S97" t="s">
        <v>3560</v>
      </c>
    </row>
    <row r="98" spans="1:19" ht="11.25" customHeight="1" x14ac:dyDescent="0.15">
      <c r="A98">
        <v>2655</v>
      </c>
      <c r="B98" t="s">
        <v>101</v>
      </c>
      <c r="C98">
        <v>26356891</v>
      </c>
      <c r="D98" t="s">
        <v>3440</v>
      </c>
      <c r="E98" t="s">
        <v>3441</v>
      </c>
      <c r="F98" t="s">
        <v>3442</v>
      </c>
      <c r="G98" t="s">
        <v>3251</v>
      </c>
      <c r="H98" t="s">
        <v>3443</v>
      </c>
      <c r="I98" t="s">
        <v>3444</v>
      </c>
      <c r="J98" t="s">
        <v>3321</v>
      </c>
      <c r="K98" t="s">
        <v>3445</v>
      </c>
      <c r="L98" t="s">
        <v>3445</v>
      </c>
      <c r="M98" t="s">
        <v>3446</v>
      </c>
      <c r="N98" t="s">
        <v>3447</v>
      </c>
      <c r="O98" t="s">
        <v>3448</v>
      </c>
      <c r="P98" t="s">
        <v>3159</v>
      </c>
      <c r="Q98" t="s">
        <v>225</v>
      </c>
      <c r="R98" t="b">
        <v>0</v>
      </c>
      <c r="S98" t="s">
        <v>3560</v>
      </c>
    </row>
    <row r="99" spans="1:19" ht="11.25" customHeight="1" x14ac:dyDescent="0.15">
      <c r="A99">
        <v>2655</v>
      </c>
      <c r="B99" t="s">
        <v>101</v>
      </c>
      <c r="C99">
        <v>31241637</v>
      </c>
      <c r="D99" t="s">
        <v>3449</v>
      </c>
      <c r="E99" t="s">
        <v>3450</v>
      </c>
      <c r="F99" t="s">
        <v>3451</v>
      </c>
      <c r="G99" t="s">
        <v>3270</v>
      </c>
      <c r="H99" t="s">
        <v>3452</v>
      </c>
      <c r="I99" t="s">
        <v>3453</v>
      </c>
      <c r="J99" t="s">
        <v>3321</v>
      </c>
      <c r="K99" t="s">
        <v>3454</v>
      </c>
      <c r="L99" t="s">
        <v>3454</v>
      </c>
      <c r="M99" t="s">
        <v>3455</v>
      </c>
      <c r="N99" t="s">
        <v>225</v>
      </c>
      <c r="O99" t="s">
        <v>3456</v>
      </c>
      <c r="P99" t="s">
        <v>3130</v>
      </c>
      <c r="Q99" t="s">
        <v>225</v>
      </c>
      <c r="R99" t="b">
        <v>0</v>
      </c>
      <c r="S99" t="s">
        <v>3560</v>
      </c>
    </row>
    <row r="100" spans="1:19" ht="11.25" customHeight="1" x14ac:dyDescent="0.15">
      <c r="A100">
        <v>2655</v>
      </c>
      <c r="B100" t="s">
        <v>101</v>
      </c>
      <c r="C100">
        <v>28819708</v>
      </c>
      <c r="D100" t="s">
        <v>3689</v>
      </c>
      <c r="E100" t="s">
        <v>3690</v>
      </c>
      <c r="F100" t="s">
        <v>3691</v>
      </c>
      <c r="G100" t="s">
        <v>3163</v>
      </c>
      <c r="H100" t="s">
        <v>3692</v>
      </c>
      <c r="I100" t="s">
        <v>3693</v>
      </c>
      <c r="J100" t="s">
        <v>3321</v>
      </c>
      <c r="K100" t="s">
        <v>3694</v>
      </c>
      <c r="L100" t="s">
        <v>3694</v>
      </c>
      <c r="M100" t="s">
        <v>225</v>
      </c>
      <c r="N100" t="s">
        <v>3695</v>
      </c>
      <c r="O100" t="s">
        <v>3696</v>
      </c>
      <c r="P100" t="s">
        <v>3159</v>
      </c>
      <c r="Q100" t="s">
        <v>225</v>
      </c>
      <c r="R100" t="b">
        <v>0</v>
      </c>
      <c r="S100" t="s">
        <v>3560</v>
      </c>
    </row>
    <row r="101" spans="1:19" ht="11.25" customHeight="1" x14ac:dyDescent="0.15">
      <c r="A101">
        <v>2655</v>
      </c>
      <c r="B101" t="s">
        <v>101</v>
      </c>
      <c r="C101">
        <v>26356937</v>
      </c>
      <c r="D101" t="s">
        <v>3457</v>
      </c>
      <c r="E101" t="s">
        <v>3458</v>
      </c>
      <c r="F101" t="s">
        <v>3459</v>
      </c>
      <c r="G101" t="s">
        <v>3328</v>
      </c>
      <c r="H101" t="s">
        <v>3460</v>
      </c>
      <c r="I101" t="s">
        <v>3461</v>
      </c>
      <c r="J101" t="s">
        <v>3321</v>
      </c>
      <c r="K101" t="s">
        <v>3462</v>
      </c>
      <c r="L101" t="s">
        <v>3462</v>
      </c>
      <c r="M101" t="s">
        <v>3463</v>
      </c>
      <c r="N101" t="s">
        <v>3464</v>
      </c>
      <c r="O101" t="s">
        <v>3465</v>
      </c>
      <c r="P101" t="s">
        <v>3130</v>
      </c>
      <c r="Q101" t="s">
        <v>3466</v>
      </c>
      <c r="R101" t="b">
        <v>0</v>
      </c>
      <c r="S101" t="s">
        <v>3560</v>
      </c>
    </row>
    <row r="102" spans="1:19" ht="11.25" customHeight="1" x14ac:dyDescent="0.15">
      <c r="A102">
        <v>2655</v>
      </c>
      <c r="B102" t="s">
        <v>101</v>
      </c>
      <c r="C102">
        <v>31770754</v>
      </c>
      <c r="D102" t="s">
        <v>3467</v>
      </c>
      <c r="E102" t="s">
        <v>3468</v>
      </c>
      <c r="F102" t="s">
        <v>3469</v>
      </c>
      <c r="G102" t="s">
        <v>3412</v>
      </c>
      <c r="H102" t="s">
        <v>3470</v>
      </c>
      <c r="I102" t="s">
        <v>3471</v>
      </c>
      <c r="K102" t="s">
        <v>3472</v>
      </c>
      <c r="L102" t="s">
        <v>3473</v>
      </c>
      <c r="M102" t="s">
        <v>3474</v>
      </c>
      <c r="N102" t="s">
        <v>3475</v>
      </c>
      <c r="O102" t="s">
        <v>3476</v>
      </c>
      <c r="P102" t="s">
        <v>3159</v>
      </c>
      <c r="Q102" t="s">
        <v>225</v>
      </c>
      <c r="R102" t="b">
        <v>1</v>
      </c>
      <c r="S102" t="s">
        <v>3560</v>
      </c>
    </row>
    <row r="103" spans="1:19" ht="11.25" customHeight="1" x14ac:dyDescent="0.15">
      <c r="A103">
        <v>2655</v>
      </c>
      <c r="B103" t="s">
        <v>101</v>
      </c>
      <c r="C103">
        <v>31528492</v>
      </c>
      <c r="D103" t="s">
        <v>3477</v>
      </c>
      <c r="E103" t="s">
        <v>3478</v>
      </c>
      <c r="F103" t="s">
        <v>3479</v>
      </c>
      <c r="G103" t="s">
        <v>3270</v>
      </c>
      <c r="H103" t="s">
        <v>3480</v>
      </c>
      <c r="I103" t="s">
        <v>3481</v>
      </c>
      <c r="K103" t="s">
        <v>3482</v>
      </c>
      <c r="L103" t="s">
        <v>3482</v>
      </c>
      <c r="M103" t="s">
        <v>3483</v>
      </c>
      <c r="N103" t="s">
        <v>3484</v>
      </c>
      <c r="O103" t="s">
        <v>3485</v>
      </c>
      <c r="P103" t="s">
        <v>3044</v>
      </c>
      <c r="Q103" t="s">
        <v>225</v>
      </c>
      <c r="R103" t="b">
        <v>0</v>
      </c>
      <c r="S103" t="s">
        <v>3560</v>
      </c>
    </row>
    <row r="104" spans="1:19" ht="11.25" customHeight="1" x14ac:dyDescent="0.15">
      <c r="A104">
        <v>2655</v>
      </c>
      <c r="B104" t="s">
        <v>101</v>
      </c>
      <c r="C104">
        <v>28270293</v>
      </c>
      <c r="D104" t="s">
        <v>3486</v>
      </c>
      <c r="E104" t="s">
        <v>3487</v>
      </c>
      <c r="F104" t="s">
        <v>3488</v>
      </c>
      <c r="G104" t="s">
        <v>3251</v>
      </c>
      <c r="H104" t="s">
        <v>3489</v>
      </c>
      <c r="I104" t="s">
        <v>3490</v>
      </c>
      <c r="J104" t="s">
        <v>3321</v>
      </c>
      <c r="K104" t="s">
        <v>3491</v>
      </c>
      <c r="L104" t="s">
        <v>3491</v>
      </c>
      <c r="M104" t="s">
        <v>3492</v>
      </c>
      <c r="N104" t="s">
        <v>3493</v>
      </c>
      <c r="O104" t="s">
        <v>3494</v>
      </c>
      <c r="P104" t="s">
        <v>144</v>
      </c>
      <c r="Q104" t="s">
        <v>225</v>
      </c>
      <c r="R104" t="b">
        <v>0</v>
      </c>
      <c r="S104" t="s">
        <v>3560</v>
      </c>
    </row>
    <row r="105" spans="1:19" ht="11.25" customHeight="1" x14ac:dyDescent="0.15">
      <c r="A105">
        <v>2655</v>
      </c>
      <c r="B105" t="s">
        <v>101</v>
      </c>
      <c r="C105">
        <v>28873362</v>
      </c>
      <c r="D105" t="s">
        <v>3495</v>
      </c>
      <c r="E105" t="s">
        <v>3496</v>
      </c>
      <c r="F105" t="s">
        <v>3497</v>
      </c>
      <c r="G105" t="s">
        <v>3036</v>
      </c>
      <c r="H105" t="s">
        <v>3498</v>
      </c>
      <c r="I105" t="s">
        <v>3499</v>
      </c>
      <c r="J105" t="s">
        <v>3321</v>
      </c>
      <c r="K105" t="s">
        <v>3500</v>
      </c>
      <c r="L105" t="s">
        <v>3500</v>
      </c>
      <c r="M105" t="s">
        <v>3501</v>
      </c>
      <c r="N105" t="s">
        <v>3502</v>
      </c>
      <c r="O105" t="s">
        <v>3503</v>
      </c>
      <c r="P105" t="s">
        <v>3159</v>
      </c>
      <c r="Q105" t="s">
        <v>3504</v>
      </c>
      <c r="R105" t="b">
        <v>0</v>
      </c>
      <c r="S105" t="s">
        <v>3560</v>
      </c>
    </row>
    <row r="106" spans="1:19" ht="11.25" customHeight="1" x14ac:dyDescent="0.15">
      <c r="A106">
        <v>2655</v>
      </c>
      <c r="B106" t="s">
        <v>101</v>
      </c>
      <c r="C106">
        <v>28976681</v>
      </c>
      <c r="D106" t="s">
        <v>3505</v>
      </c>
      <c r="E106" t="s">
        <v>3506</v>
      </c>
      <c r="F106" t="s">
        <v>3507</v>
      </c>
      <c r="G106" t="s">
        <v>3251</v>
      </c>
      <c r="H106" t="s">
        <v>3508</v>
      </c>
      <c r="I106" t="s">
        <v>3509</v>
      </c>
      <c r="J106" t="s">
        <v>3321</v>
      </c>
      <c r="K106" t="s">
        <v>3510</v>
      </c>
      <c r="L106" t="s">
        <v>3510</v>
      </c>
      <c r="M106" t="s">
        <v>3511</v>
      </c>
      <c r="N106" t="s">
        <v>225</v>
      </c>
      <c r="O106" t="s">
        <v>3512</v>
      </c>
      <c r="P106" t="s">
        <v>3159</v>
      </c>
      <c r="Q106" t="s">
        <v>225</v>
      </c>
      <c r="R106" t="b">
        <v>1</v>
      </c>
      <c r="S106" t="s">
        <v>3560</v>
      </c>
    </row>
    <row r="107" spans="1:19" ht="11.25" customHeight="1" x14ac:dyDescent="0.15">
      <c r="A107">
        <v>2655</v>
      </c>
      <c r="B107" t="s">
        <v>101</v>
      </c>
      <c r="C107">
        <v>30808511</v>
      </c>
      <c r="D107" t="s">
        <v>3524</v>
      </c>
      <c r="E107" t="s">
        <v>3524</v>
      </c>
      <c r="F107" t="s">
        <v>3525</v>
      </c>
      <c r="G107" t="s">
        <v>3526</v>
      </c>
      <c r="H107" t="s">
        <v>3527</v>
      </c>
      <c r="I107" t="s">
        <v>3528</v>
      </c>
      <c r="J107" t="s">
        <v>3529</v>
      </c>
      <c r="K107" t="s">
        <v>3530</v>
      </c>
      <c r="L107" t="s">
        <v>3531</v>
      </c>
      <c r="M107" t="s">
        <v>3532</v>
      </c>
      <c r="N107" t="s">
        <v>225</v>
      </c>
      <c r="O107" t="s">
        <v>3533</v>
      </c>
      <c r="P107" t="s">
        <v>3159</v>
      </c>
      <c r="Q107" t="s">
        <v>3534</v>
      </c>
      <c r="R107" t="b">
        <v>0</v>
      </c>
      <c r="S107" t="s">
        <v>3560</v>
      </c>
    </row>
    <row r="108" spans="1:19" ht="11.25" customHeight="1" x14ac:dyDescent="0.15">
      <c r="A108">
        <v>2655</v>
      </c>
      <c r="B108" t="s">
        <v>101</v>
      </c>
      <c r="C108">
        <v>26520873</v>
      </c>
      <c r="D108" t="s">
        <v>3539</v>
      </c>
      <c r="E108" t="s">
        <v>3540</v>
      </c>
      <c r="F108" t="s">
        <v>3525</v>
      </c>
      <c r="G108" t="s">
        <v>3541</v>
      </c>
      <c r="H108" t="s">
        <v>3527</v>
      </c>
      <c r="I108" t="s">
        <v>3542</v>
      </c>
      <c r="J108" t="s">
        <v>3529</v>
      </c>
      <c r="K108" t="s">
        <v>3543</v>
      </c>
      <c r="L108" t="s">
        <v>3544</v>
      </c>
      <c r="M108" t="s">
        <v>3545</v>
      </c>
      <c r="N108" t="s">
        <v>3546</v>
      </c>
      <c r="O108" t="s">
        <v>3547</v>
      </c>
      <c r="P108" t="s">
        <v>3159</v>
      </c>
      <c r="Q108" t="s">
        <v>3548</v>
      </c>
      <c r="R108" t="b">
        <v>0</v>
      </c>
      <c r="S108" t="s">
        <v>3560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2CBA8-7208-2898-40F8-67793B468F48}">
  <sheetPr>
    <tabColor rgb="FFFFCC99"/>
  </sheetPr>
  <dimension ref="A1:DE12"/>
  <sheetViews>
    <sheetView showGridLines="0" workbookViewId="0"/>
  </sheetViews>
  <sheetFormatPr defaultRowHeight="11.25" customHeight="1" x14ac:dyDescent="0.15"/>
  <cols>
    <col min="1" max="1" width="23.140625" style="4" customWidth="1"/>
  </cols>
  <sheetData>
    <row r="1" spans="1:109" ht="11.25" customHeight="1" x14ac:dyDescent="0.15">
      <c r="A1" s="4" t="s">
        <v>3697</v>
      </c>
      <c r="B1" t="s">
        <v>3698</v>
      </c>
      <c r="C1" t="s">
        <v>3699</v>
      </c>
      <c r="D1" t="s">
        <v>3700</v>
      </c>
      <c r="E1" t="s">
        <v>3701</v>
      </c>
      <c r="F1" t="s">
        <v>3702</v>
      </c>
      <c r="G1" t="s">
        <v>3703</v>
      </c>
      <c r="H1" t="s">
        <v>3704</v>
      </c>
      <c r="I1" t="s">
        <v>3705</v>
      </c>
      <c r="J1" t="s">
        <v>3706</v>
      </c>
      <c r="K1" t="s">
        <v>3707</v>
      </c>
      <c r="L1" t="s">
        <v>3708</v>
      </c>
      <c r="M1" t="s">
        <v>3709</v>
      </c>
      <c r="N1" t="s">
        <v>3710</v>
      </c>
      <c r="O1" t="s">
        <v>3711</v>
      </c>
      <c r="P1" t="s">
        <v>3712</v>
      </c>
      <c r="Q1" t="s">
        <v>3713</v>
      </c>
      <c r="R1" t="s">
        <v>3714</v>
      </c>
      <c r="S1" t="s">
        <v>3715</v>
      </c>
      <c r="T1" t="s">
        <v>3716</v>
      </c>
      <c r="U1" t="s">
        <v>3717</v>
      </c>
      <c r="V1" t="s">
        <v>3718</v>
      </c>
      <c r="W1" t="s">
        <v>3719</v>
      </c>
      <c r="X1" t="s">
        <v>355</v>
      </c>
      <c r="Y1" t="s">
        <v>3720</v>
      </c>
      <c r="Z1" t="s">
        <v>3721</v>
      </c>
      <c r="AA1" t="s">
        <v>3722</v>
      </c>
      <c r="AB1" t="s">
        <v>3723</v>
      </c>
      <c r="AC1" t="s">
        <v>3724</v>
      </c>
      <c r="AD1" t="s">
        <v>3725</v>
      </c>
      <c r="AE1" t="s">
        <v>3726</v>
      </c>
      <c r="AF1" t="s">
        <v>3727</v>
      </c>
      <c r="AG1" t="s">
        <v>3728</v>
      </c>
      <c r="AH1" t="s">
        <v>3729</v>
      </c>
      <c r="AI1" t="s">
        <v>3730</v>
      </c>
      <c r="AJ1" t="s">
        <v>3731</v>
      </c>
      <c r="AK1" t="s">
        <v>3732</v>
      </c>
      <c r="AL1" t="s">
        <v>3733</v>
      </c>
      <c r="AM1" t="s">
        <v>3734</v>
      </c>
      <c r="AN1" t="s">
        <v>3735</v>
      </c>
      <c r="AO1" t="s">
        <v>3736</v>
      </c>
      <c r="AP1" t="s">
        <v>3737</v>
      </c>
      <c r="AQ1" t="s">
        <v>3738</v>
      </c>
      <c r="AR1" t="s">
        <v>3739</v>
      </c>
      <c r="AS1" t="s">
        <v>3740</v>
      </c>
      <c r="AT1" t="s">
        <v>3741</v>
      </c>
      <c r="AU1" t="s">
        <v>3742</v>
      </c>
      <c r="AV1" t="s">
        <v>3743</v>
      </c>
      <c r="AW1" t="s">
        <v>3744</v>
      </c>
      <c r="AX1" t="s">
        <v>3745</v>
      </c>
      <c r="AY1" t="s">
        <v>3746</v>
      </c>
      <c r="AZ1" t="s">
        <v>3747</v>
      </c>
      <c r="BA1" t="s">
        <v>3748</v>
      </c>
      <c r="BB1" t="s">
        <v>3749</v>
      </c>
      <c r="BC1" t="s">
        <v>3750</v>
      </c>
      <c r="BD1" t="s">
        <v>3751</v>
      </c>
      <c r="BE1" t="s">
        <v>3752</v>
      </c>
      <c r="BF1" t="s">
        <v>3753</v>
      </c>
      <c r="BG1" t="s">
        <v>3754</v>
      </c>
      <c r="BH1" t="s">
        <v>3755</v>
      </c>
      <c r="BI1" t="s">
        <v>3756</v>
      </c>
      <c r="BJ1" t="s">
        <v>3757</v>
      </c>
      <c r="BK1" t="s">
        <v>3758</v>
      </c>
      <c r="BL1" t="s">
        <v>3759</v>
      </c>
      <c r="BM1" t="s">
        <v>3760</v>
      </c>
      <c r="BN1" t="s">
        <v>3761</v>
      </c>
      <c r="BO1" t="s">
        <v>3762</v>
      </c>
      <c r="BP1" t="s">
        <v>3763</v>
      </c>
      <c r="BQ1" t="s">
        <v>3764</v>
      </c>
      <c r="BR1" t="s">
        <v>3765</v>
      </c>
      <c r="BS1" t="s">
        <v>3766</v>
      </c>
      <c r="BT1" t="s">
        <v>3767</v>
      </c>
      <c r="BU1" t="s">
        <v>3768</v>
      </c>
      <c r="BV1" t="s">
        <v>3769</v>
      </c>
      <c r="BW1" t="s">
        <v>3770</v>
      </c>
      <c r="BX1" t="s">
        <v>3771</v>
      </c>
      <c r="BY1" t="s">
        <v>3772</v>
      </c>
      <c r="BZ1" t="s">
        <v>3773</v>
      </c>
      <c r="CA1" t="s">
        <v>3774</v>
      </c>
      <c r="CB1" t="s">
        <v>3775</v>
      </c>
      <c r="CC1" t="s">
        <v>3776</v>
      </c>
      <c r="CD1" t="s">
        <v>3777</v>
      </c>
      <c r="CE1" t="s">
        <v>3778</v>
      </c>
      <c r="CF1" t="s">
        <v>3779</v>
      </c>
      <c r="CG1" t="s">
        <v>3780</v>
      </c>
      <c r="CH1" t="s">
        <v>3781</v>
      </c>
      <c r="CI1" t="s">
        <v>3782</v>
      </c>
      <c r="CJ1" t="s">
        <v>3783</v>
      </c>
      <c r="CK1" t="s">
        <v>3784</v>
      </c>
      <c r="CL1" t="s">
        <v>3785</v>
      </c>
      <c r="CM1" t="s">
        <v>3786</v>
      </c>
      <c r="CN1" t="s">
        <v>3787</v>
      </c>
      <c r="CO1" t="s">
        <v>3788</v>
      </c>
      <c r="CP1" t="s">
        <v>3789</v>
      </c>
      <c r="CQ1" t="s">
        <v>3790</v>
      </c>
      <c r="CR1" t="s">
        <v>3791</v>
      </c>
      <c r="CS1" t="s">
        <v>3792</v>
      </c>
      <c r="CT1" t="s">
        <v>3793</v>
      </c>
      <c r="CU1" t="s">
        <v>3794</v>
      </c>
      <c r="CV1" t="s">
        <v>3795</v>
      </c>
      <c r="CW1" t="s">
        <v>3796</v>
      </c>
      <c r="CX1" t="s">
        <v>3797</v>
      </c>
      <c r="CY1" t="s">
        <v>3798</v>
      </c>
      <c r="CZ1" t="s">
        <v>3799</v>
      </c>
      <c r="DA1" t="s">
        <v>3800</v>
      </c>
      <c r="DB1" t="s">
        <v>3801</v>
      </c>
      <c r="DC1" t="s">
        <v>3802</v>
      </c>
      <c r="DD1" t="s">
        <v>1636</v>
      </c>
      <c r="DE1" t="s">
        <v>3803</v>
      </c>
    </row>
    <row r="2" spans="1:109" ht="11.25" customHeight="1" x14ac:dyDescent="0.15">
      <c r="A2" s="4" t="s">
        <v>225</v>
      </c>
      <c r="B2" t="s">
        <v>225</v>
      </c>
      <c r="C2" t="s">
        <v>225</v>
      </c>
      <c r="D2" t="s">
        <v>225</v>
      </c>
      <c r="E2" t="s">
        <v>225</v>
      </c>
      <c r="F2" t="s">
        <v>225</v>
      </c>
      <c r="G2" t="s">
        <v>225</v>
      </c>
      <c r="H2" t="s">
        <v>225</v>
      </c>
      <c r="I2" t="s">
        <v>3804</v>
      </c>
      <c r="J2" t="s">
        <v>225</v>
      </c>
      <c r="K2" t="s">
        <v>225</v>
      </c>
      <c r="L2" t="s">
        <v>225</v>
      </c>
      <c r="M2" t="s">
        <v>225</v>
      </c>
      <c r="N2" t="s">
        <v>225</v>
      </c>
      <c r="O2" t="s">
        <v>225</v>
      </c>
      <c r="P2" t="s">
        <v>225</v>
      </c>
      <c r="Q2" t="s">
        <v>225</v>
      </c>
      <c r="R2" t="s">
        <v>3805</v>
      </c>
      <c r="S2" t="s">
        <v>225</v>
      </c>
      <c r="T2" t="s">
        <v>225</v>
      </c>
      <c r="U2" t="s">
        <v>101</v>
      </c>
      <c r="V2" t="s">
        <v>225</v>
      </c>
      <c r="W2" t="s">
        <v>225</v>
      </c>
      <c r="X2" t="s">
        <v>3806</v>
      </c>
      <c r="Y2" t="s">
        <v>225</v>
      </c>
      <c r="Z2" t="s">
        <v>160</v>
      </c>
      <c r="AA2" t="s">
        <v>151</v>
      </c>
      <c r="AB2" t="s">
        <v>151</v>
      </c>
      <c r="AC2" t="s">
        <v>2541</v>
      </c>
      <c r="AD2" t="s">
        <v>2541</v>
      </c>
      <c r="AE2" t="s">
        <v>2542</v>
      </c>
      <c r="AF2" t="s">
        <v>3807</v>
      </c>
      <c r="AG2" t="s">
        <v>3808</v>
      </c>
      <c r="AH2" t="s">
        <v>3809</v>
      </c>
      <c r="AI2" t="s">
        <v>371</v>
      </c>
      <c r="AJ2" t="s">
        <v>3810</v>
      </c>
      <c r="AK2" t="s">
        <v>3811</v>
      </c>
      <c r="AL2" t="s">
        <v>3812</v>
      </c>
      <c r="AM2" t="s">
        <v>3813</v>
      </c>
      <c r="AN2" t="s">
        <v>3814</v>
      </c>
      <c r="AO2" t="s">
        <v>3815</v>
      </c>
      <c r="AP2" t="s">
        <v>225</v>
      </c>
      <c r="AQ2" t="s">
        <v>225</v>
      </c>
      <c r="AR2" t="s">
        <v>225</v>
      </c>
      <c r="AS2" t="s">
        <v>225</v>
      </c>
      <c r="AT2" t="s">
        <v>225</v>
      </c>
      <c r="AU2" t="s">
        <v>225</v>
      </c>
      <c r="AV2" t="s">
        <v>225</v>
      </c>
      <c r="AW2" t="s">
        <v>225</v>
      </c>
      <c r="AX2" t="s">
        <v>225</v>
      </c>
      <c r="AY2" t="s">
        <v>225</v>
      </c>
      <c r="AZ2" t="s">
        <v>225</v>
      </c>
      <c r="BA2" t="s">
        <v>225</v>
      </c>
      <c r="BB2" t="s">
        <v>225</v>
      </c>
      <c r="BC2" t="s">
        <v>225</v>
      </c>
      <c r="BD2" t="s">
        <v>225</v>
      </c>
      <c r="BE2" t="s">
        <v>225</v>
      </c>
      <c r="BF2" t="s">
        <v>225</v>
      </c>
      <c r="BG2" t="s">
        <v>225</v>
      </c>
      <c r="BH2" t="s">
        <v>225</v>
      </c>
      <c r="BI2" t="s">
        <v>225</v>
      </c>
      <c r="BJ2" t="s">
        <v>225</v>
      </c>
      <c r="BK2" t="s">
        <v>225</v>
      </c>
      <c r="BL2" t="s">
        <v>225</v>
      </c>
      <c r="BM2" t="s">
        <v>225</v>
      </c>
      <c r="BN2" t="s">
        <v>225</v>
      </c>
      <c r="BO2" t="s">
        <v>225</v>
      </c>
      <c r="BP2" t="s">
        <v>225</v>
      </c>
      <c r="BQ2" t="s">
        <v>225</v>
      </c>
      <c r="BR2" t="s">
        <v>225</v>
      </c>
      <c r="BS2" t="s">
        <v>225</v>
      </c>
      <c r="BT2" t="s">
        <v>225</v>
      </c>
      <c r="BU2" t="s">
        <v>225</v>
      </c>
      <c r="BV2" t="s">
        <v>225</v>
      </c>
      <c r="BW2" t="s">
        <v>225</v>
      </c>
      <c r="BX2" t="s">
        <v>225</v>
      </c>
      <c r="BY2" t="s">
        <v>225</v>
      </c>
      <c r="BZ2" t="s">
        <v>225</v>
      </c>
      <c r="CA2" t="s">
        <v>225</v>
      </c>
      <c r="CB2" t="s">
        <v>225</v>
      </c>
      <c r="CC2" t="s">
        <v>225</v>
      </c>
      <c r="CD2" t="s">
        <v>225</v>
      </c>
      <c r="CE2" t="s">
        <v>225</v>
      </c>
      <c r="CF2" t="s">
        <v>225</v>
      </c>
      <c r="CG2" t="s">
        <v>225</v>
      </c>
      <c r="CH2" t="s">
        <v>225</v>
      </c>
      <c r="CI2" t="s">
        <v>225</v>
      </c>
      <c r="CJ2" t="s">
        <v>225</v>
      </c>
      <c r="CK2" t="s">
        <v>225</v>
      </c>
      <c r="CL2" t="s">
        <v>225</v>
      </c>
      <c r="CM2" t="s">
        <v>225</v>
      </c>
      <c r="CN2" t="s">
        <v>225</v>
      </c>
      <c r="CO2" t="s">
        <v>225</v>
      </c>
      <c r="CP2" t="s">
        <v>225</v>
      </c>
      <c r="CQ2" t="s">
        <v>225</v>
      </c>
      <c r="CR2" t="s">
        <v>225</v>
      </c>
      <c r="CS2" t="s">
        <v>225</v>
      </c>
      <c r="CT2" t="s">
        <v>3816</v>
      </c>
      <c r="CU2" t="s">
        <v>3817</v>
      </c>
      <c r="CV2" t="s">
        <v>3818</v>
      </c>
      <c r="CW2" t="s">
        <v>3819</v>
      </c>
      <c r="CX2" t="s">
        <v>455</v>
      </c>
      <c r="CY2" t="s">
        <v>441</v>
      </c>
      <c r="CZ2" t="s">
        <v>456</v>
      </c>
      <c r="DA2" t="s">
        <v>457</v>
      </c>
      <c r="DB2" t="s">
        <v>3819</v>
      </c>
      <c r="DC2" t="s">
        <v>371</v>
      </c>
      <c r="DD2" t="s">
        <v>276</v>
      </c>
      <c r="DE2" t="s">
        <v>3820</v>
      </c>
    </row>
    <row r="3" spans="1:109" ht="11.25" customHeight="1" x14ac:dyDescent="0.15">
      <c r="A3" s="4" t="s">
        <v>225</v>
      </c>
      <c r="B3" t="s">
        <v>225</v>
      </c>
      <c r="C3" t="s">
        <v>225</v>
      </c>
      <c r="D3" t="s">
        <v>225</v>
      </c>
      <c r="E3" t="s">
        <v>225</v>
      </c>
      <c r="F3" t="s">
        <v>225</v>
      </c>
      <c r="G3" t="s">
        <v>225</v>
      </c>
      <c r="H3" t="s">
        <v>225</v>
      </c>
      <c r="I3" t="s">
        <v>3804</v>
      </c>
      <c r="J3" t="s">
        <v>225</v>
      </c>
      <c r="K3" t="s">
        <v>225</v>
      </c>
      <c r="L3" t="s">
        <v>225</v>
      </c>
      <c r="M3" t="s">
        <v>225</v>
      </c>
      <c r="N3" t="s">
        <v>225</v>
      </c>
      <c r="O3" t="s">
        <v>225</v>
      </c>
      <c r="P3" t="s">
        <v>225</v>
      </c>
      <c r="Q3" t="s">
        <v>225</v>
      </c>
      <c r="R3" t="s">
        <v>3821</v>
      </c>
      <c r="S3" t="s">
        <v>225</v>
      </c>
      <c r="T3" t="s">
        <v>225</v>
      </c>
      <c r="U3" t="s">
        <v>101</v>
      </c>
      <c r="V3" t="s">
        <v>225</v>
      </c>
      <c r="W3" t="s">
        <v>225</v>
      </c>
      <c r="X3" t="s">
        <v>3822</v>
      </c>
      <c r="Y3" t="s">
        <v>225</v>
      </c>
      <c r="Z3" t="s">
        <v>151</v>
      </c>
      <c r="AA3" t="s">
        <v>151</v>
      </c>
      <c r="AB3" t="s">
        <v>160</v>
      </c>
      <c r="AC3" t="s">
        <v>351</v>
      </c>
      <c r="AD3" t="s">
        <v>351</v>
      </c>
      <c r="AE3" t="s">
        <v>352</v>
      </c>
      <c r="AF3" t="s">
        <v>3823</v>
      </c>
      <c r="AG3" t="s">
        <v>3824</v>
      </c>
      <c r="AH3" t="s">
        <v>3825</v>
      </c>
      <c r="AI3" t="s">
        <v>3826</v>
      </c>
      <c r="AJ3" t="s">
        <v>225</v>
      </c>
      <c r="AK3" t="s">
        <v>225</v>
      </c>
      <c r="AL3" t="s">
        <v>225</v>
      </c>
      <c r="AM3" t="s">
        <v>225</v>
      </c>
      <c r="AN3" t="s">
        <v>225</v>
      </c>
      <c r="AO3" t="s">
        <v>225</v>
      </c>
      <c r="AP3" t="s">
        <v>225</v>
      </c>
      <c r="AQ3" t="s">
        <v>225</v>
      </c>
      <c r="AR3" t="s">
        <v>225</v>
      </c>
      <c r="AS3" t="s">
        <v>225</v>
      </c>
      <c r="AT3" t="s">
        <v>225</v>
      </c>
      <c r="AU3" t="s">
        <v>225</v>
      </c>
      <c r="AV3" t="s">
        <v>225</v>
      </c>
      <c r="AW3" t="s">
        <v>225</v>
      </c>
      <c r="AX3" t="s">
        <v>225</v>
      </c>
      <c r="AY3" t="s">
        <v>225</v>
      </c>
      <c r="AZ3" t="s">
        <v>225</v>
      </c>
      <c r="BA3" t="s">
        <v>225</v>
      </c>
      <c r="BB3" t="s">
        <v>225</v>
      </c>
      <c r="BC3" t="s">
        <v>225</v>
      </c>
      <c r="BD3" t="s">
        <v>225</v>
      </c>
      <c r="BE3" t="s">
        <v>3827</v>
      </c>
      <c r="BF3" t="s">
        <v>3828</v>
      </c>
      <c r="BG3" t="s">
        <v>111</v>
      </c>
      <c r="BH3" t="s">
        <v>3829</v>
      </c>
      <c r="BI3" t="s">
        <v>122</v>
      </c>
      <c r="BJ3" t="s">
        <v>225</v>
      </c>
      <c r="BK3" t="s">
        <v>3830</v>
      </c>
      <c r="BL3" t="s">
        <v>351</v>
      </c>
      <c r="BM3" t="s">
        <v>351</v>
      </c>
      <c r="BN3" t="s">
        <v>3831</v>
      </c>
      <c r="BO3" t="s">
        <v>3823</v>
      </c>
      <c r="BP3" t="s">
        <v>3832</v>
      </c>
      <c r="BQ3" t="s">
        <v>3825</v>
      </c>
      <c r="BR3" t="s">
        <v>3826</v>
      </c>
      <c r="BS3" t="s">
        <v>225</v>
      </c>
      <c r="BT3" t="s">
        <v>3833</v>
      </c>
      <c r="BU3" t="s">
        <v>3834</v>
      </c>
      <c r="BV3" t="s">
        <v>3835</v>
      </c>
      <c r="BW3" t="s">
        <v>3836</v>
      </c>
      <c r="BX3" t="s">
        <v>3837</v>
      </c>
      <c r="BY3" t="s">
        <v>3838</v>
      </c>
      <c r="BZ3" t="s">
        <v>3839</v>
      </c>
      <c r="CA3" t="s">
        <v>3839</v>
      </c>
      <c r="CB3" t="s">
        <v>225</v>
      </c>
      <c r="CC3" t="s">
        <v>225</v>
      </c>
      <c r="CD3" t="s">
        <v>225</v>
      </c>
      <c r="CE3" t="s">
        <v>225</v>
      </c>
      <c r="CF3" t="s">
        <v>225</v>
      </c>
      <c r="CG3" t="s">
        <v>3839</v>
      </c>
      <c r="CH3" t="s">
        <v>225</v>
      </c>
      <c r="CI3" t="s">
        <v>225</v>
      </c>
      <c r="CJ3" t="s">
        <v>225</v>
      </c>
      <c r="CK3" t="s">
        <v>225</v>
      </c>
      <c r="CL3" t="s">
        <v>225</v>
      </c>
      <c r="CM3" t="s">
        <v>3834</v>
      </c>
      <c r="CN3" t="s">
        <v>3835</v>
      </c>
      <c r="CO3" t="s">
        <v>3836</v>
      </c>
      <c r="CP3" t="s">
        <v>3837</v>
      </c>
      <c r="CQ3" t="s">
        <v>3838</v>
      </c>
      <c r="CR3" t="s">
        <v>225</v>
      </c>
      <c r="CS3" t="s">
        <v>3840</v>
      </c>
      <c r="CT3" t="s">
        <v>3816</v>
      </c>
      <c r="CU3" t="s">
        <v>3817</v>
      </c>
      <c r="CV3" t="s">
        <v>3818</v>
      </c>
      <c r="CW3" t="s">
        <v>3819</v>
      </c>
      <c r="CX3" t="s">
        <v>455</v>
      </c>
      <c r="CY3" t="s">
        <v>441</v>
      </c>
      <c r="CZ3" t="s">
        <v>456</v>
      </c>
      <c r="DA3" t="s">
        <v>457</v>
      </c>
      <c r="DB3" t="s">
        <v>3819</v>
      </c>
      <c r="DC3" t="s">
        <v>371</v>
      </c>
      <c r="DD3" t="s">
        <v>276</v>
      </c>
      <c r="DE3" t="s">
        <v>453</v>
      </c>
    </row>
    <row r="4" spans="1:109" ht="11.25" customHeight="1" x14ac:dyDescent="0.15">
      <c r="A4" s="4" t="s">
        <v>225</v>
      </c>
      <c r="B4" t="s">
        <v>225</v>
      </c>
      <c r="C4" t="s">
        <v>225</v>
      </c>
      <c r="D4" t="s">
        <v>225</v>
      </c>
      <c r="E4" t="s">
        <v>225</v>
      </c>
      <c r="F4" t="s">
        <v>225</v>
      </c>
      <c r="G4" t="s">
        <v>225</v>
      </c>
      <c r="H4" t="s">
        <v>225</v>
      </c>
      <c r="I4" t="s">
        <v>3804</v>
      </c>
      <c r="J4" t="s">
        <v>225</v>
      </c>
      <c r="K4" t="s">
        <v>225</v>
      </c>
      <c r="L4" t="s">
        <v>225</v>
      </c>
      <c r="M4" t="s">
        <v>225</v>
      </c>
      <c r="N4" t="s">
        <v>225</v>
      </c>
      <c r="O4" t="s">
        <v>225</v>
      </c>
      <c r="P4" t="s">
        <v>225</v>
      </c>
      <c r="Q4" t="s">
        <v>225</v>
      </c>
      <c r="R4" t="s">
        <v>439</v>
      </c>
      <c r="S4" t="s">
        <v>225</v>
      </c>
      <c r="T4" t="s">
        <v>225</v>
      </c>
      <c r="U4" t="s">
        <v>101</v>
      </c>
      <c r="V4" t="s">
        <v>225</v>
      </c>
      <c r="W4" t="s">
        <v>225</v>
      </c>
      <c r="X4" t="s">
        <v>3806</v>
      </c>
      <c r="Y4" t="s">
        <v>225</v>
      </c>
      <c r="Z4" t="s">
        <v>160</v>
      </c>
      <c r="AA4" t="s">
        <v>151</v>
      </c>
      <c r="AB4" t="s">
        <v>151</v>
      </c>
      <c r="AC4" t="s">
        <v>351</v>
      </c>
      <c r="AD4" t="s">
        <v>351</v>
      </c>
      <c r="AE4" t="s">
        <v>352</v>
      </c>
      <c r="AF4" t="s">
        <v>3823</v>
      </c>
      <c r="AG4" t="s">
        <v>3824</v>
      </c>
      <c r="AH4" t="s">
        <v>3841</v>
      </c>
      <c r="AI4" t="s">
        <v>3842</v>
      </c>
      <c r="AJ4" t="s">
        <v>3843</v>
      </c>
      <c r="AK4" t="s">
        <v>3844</v>
      </c>
      <c r="AL4" t="s">
        <v>3845</v>
      </c>
      <c r="AM4" t="s">
        <v>3846</v>
      </c>
      <c r="AN4" t="s">
        <v>3847</v>
      </c>
      <c r="AO4" t="s">
        <v>3848</v>
      </c>
      <c r="AP4" t="s">
        <v>225</v>
      </c>
      <c r="AQ4" t="s">
        <v>225</v>
      </c>
      <c r="AR4" t="s">
        <v>225</v>
      </c>
      <c r="AS4" t="s">
        <v>225</v>
      </c>
      <c r="AT4" t="s">
        <v>225</v>
      </c>
      <c r="AU4" t="s">
        <v>225</v>
      </c>
      <c r="AV4" t="s">
        <v>225</v>
      </c>
      <c r="AW4" t="s">
        <v>225</v>
      </c>
      <c r="AX4" t="s">
        <v>225</v>
      </c>
      <c r="AY4" t="s">
        <v>225</v>
      </c>
      <c r="AZ4" t="s">
        <v>225</v>
      </c>
      <c r="BA4" t="s">
        <v>225</v>
      </c>
      <c r="BB4" t="s">
        <v>225</v>
      </c>
      <c r="BC4" t="s">
        <v>225</v>
      </c>
      <c r="BD4" t="s">
        <v>225</v>
      </c>
      <c r="BE4" t="s">
        <v>225</v>
      </c>
      <c r="BF4" t="s">
        <v>225</v>
      </c>
      <c r="BG4" t="s">
        <v>225</v>
      </c>
      <c r="BH4" t="s">
        <v>225</v>
      </c>
      <c r="BI4" t="s">
        <v>225</v>
      </c>
      <c r="BJ4" t="s">
        <v>225</v>
      </c>
      <c r="BK4" t="s">
        <v>225</v>
      </c>
      <c r="BL4" t="s">
        <v>225</v>
      </c>
      <c r="BM4" t="s">
        <v>225</v>
      </c>
      <c r="BN4" t="s">
        <v>225</v>
      </c>
      <c r="BO4" t="s">
        <v>225</v>
      </c>
      <c r="BP4" t="s">
        <v>225</v>
      </c>
      <c r="BQ4" t="s">
        <v>225</v>
      </c>
      <c r="BR4" t="s">
        <v>225</v>
      </c>
      <c r="BS4" t="s">
        <v>225</v>
      </c>
      <c r="BT4" t="s">
        <v>225</v>
      </c>
      <c r="BU4" t="s">
        <v>225</v>
      </c>
      <c r="BV4" t="s">
        <v>225</v>
      </c>
      <c r="BW4" t="s">
        <v>225</v>
      </c>
      <c r="BX4" t="s">
        <v>225</v>
      </c>
      <c r="BY4" t="s">
        <v>225</v>
      </c>
      <c r="BZ4" t="s">
        <v>225</v>
      </c>
      <c r="CA4" t="s">
        <v>225</v>
      </c>
      <c r="CB4" t="s">
        <v>225</v>
      </c>
      <c r="CC4" t="s">
        <v>225</v>
      </c>
      <c r="CD4" t="s">
        <v>225</v>
      </c>
      <c r="CE4" t="s">
        <v>225</v>
      </c>
      <c r="CF4" t="s">
        <v>225</v>
      </c>
      <c r="CG4" t="s">
        <v>225</v>
      </c>
      <c r="CH4" t="s">
        <v>225</v>
      </c>
      <c r="CI4" t="s">
        <v>225</v>
      </c>
      <c r="CJ4" t="s">
        <v>225</v>
      </c>
      <c r="CK4" t="s">
        <v>225</v>
      </c>
      <c r="CL4" t="s">
        <v>225</v>
      </c>
      <c r="CM4" t="s">
        <v>225</v>
      </c>
      <c r="CN4" t="s">
        <v>225</v>
      </c>
      <c r="CO4" t="s">
        <v>225</v>
      </c>
      <c r="CP4" t="s">
        <v>225</v>
      </c>
      <c r="CQ4" t="s">
        <v>225</v>
      </c>
      <c r="CR4" t="s">
        <v>225</v>
      </c>
      <c r="CS4" t="s">
        <v>225</v>
      </c>
      <c r="CT4" t="s">
        <v>3816</v>
      </c>
      <c r="CU4" t="s">
        <v>3817</v>
      </c>
      <c r="CV4" t="s">
        <v>3818</v>
      </c>
      <c r="CW4" t="s">
        <v>3849</v>
      </c>
      <c r="CX4" t="s">
        <v>442</v>
      </c>
      <c r="CY4" t="s">
        <v>441</v>
      </c>
      <c r="CZ4" t="s">
        <v>443</v>
      </c>
      <c r="DA4" t="s">
        <v>444</v>
      </c>
      <c r="DB4" t="s">
        <v>3849</v>
      </c>
      <c r="DC4" t="s">
        <v>371</v>
      </c>
      <c r="DD4" t="s">
        <v>276</v>
      </c>
      <c r="DE4" t="s">
        <v>440</v>
      </c>
    </row>
    <row r="5" spans="1:109" ht="11.25" customHeight="1" x14ac:dyDescent="0.15">
      <c r="A5" s="4" t="s">
        <v>225</v>
      </c>
      <c r="B5" t="s">
        <v>225</v>
      </c>
      <c r="C5" t="s">
        <v>225</v>
      </c>
      <c r="D5" t="s">
        <v>225</v>
      </c>
      <c r="E5" t="s">
        <v>225</v>
      </c>
      <c r="F5" t="s">
        <v>225</v>
      </c>
      <c r="G5" t="s">
        <v>225</v>
      </c>
      <c r="H5" t="s">
        <v>225</v>
      </c>
      <c r="I5" t="s">
        <v>3804</v>
      </c>
      <c r="J5" t="s">
        <v>225</v>
      </c>
      <c r="K5" t="s">
        <v>225</v>
      </c>
      <c r="L5" t="s">
        <v>225</v>
      </c>
      <c r="M5" t="s">
        <v>225</v>
      </c>
      <c r="N5" t="s">
        <v>225</v>
      </c>
      <c r="O5" t="s">
        <v>225</v>
      </c>
      <c r="P5" t="s">
        <v>225</v>
      </c>
      <c r="Q5" t="s">
        <v>225</v>
      </c>
      <c r="R5" t="s">
        <v>446</v>
      </c>
      <c r="S5" t="s">
        <v>225</v>
      </c>
      <c r="T5" t="s">
        <v>225</v>
      </c>
      <c r="U5" t="s">
        <v>101</v>
      </c>
      <c r="V5" t="s">
        <v>225</v>
      </c>
      <c r="W5" t="s">
        <v>225</v>
      </c>
      <c r="X5" t="s">
        <v>3806</v>
      </c>
      <c r="Y5" t="s">
        <v>225</v>
      </c>
      <c r="Z5" t="s">
        <v>160</v>
      </c>
      <c r="AA5" t="s">
        <v>151</v>
      </c>
      <c r="AB5" t="s">
        <v>151</v>
      </c>
      <c r="AC5" t="s">
        <v>351</v>
      </c>
      <c r="AD5" t="s">
        <v>351</v>
      </c>
      <c r="AE5" t="s">
        <v>352</v>
      </c>
      <c r="AF5" t="s">
        <v>3823</v>
      </c>
      <c r="AG5" t="s">
        <v>3824</v>
      </c>
      <c r="AH5" t="s">
        <v>3825</v>
      </c>
      <c r="AI5" t="s">
        <v>3850</v>
      </c>
      <c r="AJ5" t="s">
        <v>3851</v>
      </c>
      <c r="AK5" t="s">
        <v>3844</v>
      </c>
      <c r="AL5" t="s">
        <v>3852</v>
      </c>
      <c r="AM5" t="s">
        <v>3846</v>
      </c>
      <c r="AN5" t="s">
        <v>3853</v>
      </c>
      <c r="AO5" t="s">
        <v>3854</v>
      </c>
      <c r="AP5" t="s">
        <v>225</v>
      </c>
      <c r="AQ5" t="s">
        <v>225</v>
      </c>
      <c r="AR5" t="s">
        <v>225</v>
      </c>
      <c r="AS5" t="s">
        <v>225</v>
      </c>
      <c r="AT5" t="s">
        <v>225</v>
      </c>
      <c r="AU5" t="s">
        <v>225</v>
      </c>
      <c r="AV5" t="s">
        <v>225</v>
      </c>
      <c r="AW5" t="s">
        <v>225</v>
      </c>
      <c r="AX5" t="s">
        <v>225</v>
      </c>
      <c r="AY5" t="s">
        <v>225</v>
      </c>
      <c r="AZ5" t="s">
        <v>225</v>
      </c>
      <c r="BA5" t="s">
        <v>225</v>
      </c>
      <c r="BB5" t="s">
        <v>225</v>
      </c>
      <c r="BC5" t="s">
        <v>225</v>
      </c>
      <c r="BD5" t="s">
        <v>225</v>
      </c>
      <c r="BE5" t="s">
        <v>225</v>
      </c>
      <c r="BF5" t="s">
        <v>225</v>
      </c>
      <c r="BG5" t="s">
        <v>225</v>
      </c>
      <c r="BH5" t="s">
        <v>225</v>
      </c>
      <c r="BI5" t="s">
        <v>225</v>
      </c>
      <c r="BJ5" t="s">
        <v>225</v>
      </c>
      <c r="BK5" t="s">
        <v>225</v>
      </c>
      <c r="BL5" t="s">
        <v>225</v>
      </c>
      <c r="BM5" t="s">
        <v>225</v>
      </c>
      <c r="BN5" t="s">
        <v>225</v>
      </c>
      <c r="BO5" t="s">
        <v>225</v>
      </c>
      <c r="BP5" t="s">
        <v>225</v>
      </c>
      <c r="BQ5" t="s">
        <v>225</v>
      </c>
      <c r="BR5" t="s">
        <v>225</v>
      </c>
      <c r="BS5" t="s">
        <v>225</v>
      </c>
      <c r="BT5" t="s">
        <v>225</v>
      </c>
      <c r="BU5" t="s">
        <v>225</v>
      </c>
      <c r="BV5" t="s">
        <v>225</v>
      </c>
      <c r="BW5" t="s">
        <v>225</v>
      </c>
      <c r="BX5" t="s">
        <v>225</v>
      </c>
      <c r="BY5" t="s">
        <v>225</v>
      </c>
      <c r="BZ5" t="s">
        <v>225</v>
      </c>
      <c r="CA5" t="s">
        <v>225</v>
      </c>
      <c r="CB5" t="s">
        <v>225</v>
      </c>
      <c r="CC5" t="s">
        <v>225</v>
      </c>
      <c r="CD5" t="s">
        <v>225</v>
      </c>
      <c r="CE5" t="s">
        <v>225</v>
      </c>
      <c r="CF5" t="s">
        <v>225</v>
      </c>
      <c r="CG5" t="s">
        <v>225</v>
      </c>
      <c r="CH5" t="s">
        <v>225</v>
      </c>
      <c r="CI5" t="s">
        <v>225</v>
      </c>
      <c r="CJ5" t="s">
        <v>225</v>
      </c>
      <c r="CK5" t="s">
        <v>225</v>
      </c>
      <c r="CL5" t="s">
        <v>225</v>
      </c>
      <c r="CM5" t="s">
        <v>225</v>
      </c>
      <c r="CN5" t="s">
        <v>225</v>
      </c>
      <c r="CO5" t="s">
        <v>225</v>
      </c>
      <c r="CP5" t="s">
        <v>225</v>
      </c>
      <c r="CQ5" t="s">
        <v>225</v>
      </c>
      <c r="CR5" t="s">
        <v>225</v>
      </c>
      <c r="CS5" t="s">
        <v>225</v>
      </c>
      <c r="CT5" t="s">
        <v>3816</v>
      </c>
      <c r="CU5" t="s">
        <v>3817</v>
      </c>
      <c r="CV5" t="s">
        <v>3818</v>
      </c>
      <c r="CW5" t="s">
        <v>3855</v>
      </c>
      <c r="CX5" t="s">
        <v>442</v>
      </c>
      <c r="CY5" t="s">
        <v>441</v>
      </c>
      <c r="CZ5" t="s">
        <v>448</v>
      </c>
      <c r="DA5" t="s">
        <v>449</v>
      </c>
      <c r="DB5" t="s">
        <v>3855</v>
      </c>
      <c r="DC5" t="s">
        <v>371</v>
      </c>
      <c r="DD5" t="s">
        <v>276</v>
      </c>
      <c r="DE5" t="s">
        <v>447</v>
      </c>
    </row>
    <row r="6" spans="1:109" ht="11.25" customHeight="1" x14ac:dyDescent="0.15">
      <c r="A6" s="4" t="s">
        <v>225</v>
      </c>
      <c r="B6" t="s">
        <v>225</v>
      </c>
      <c r="C6" t="s">
        <v>225</v>
      </c>
      <c r="D6" t="s">
        <v>225</v>
      </c>
      <c r="E6" t="s">
        <v>225</v>
      </c>
      <c r="F6" t="s">
        <v>225</v>
      </c>
      <c r="G6" t="s">
        <v>225</v>
      </c>
      <c r="H6" t="s">
        <v>225</v>
      </c>
      <c r="I6" t="s">
        <v>3804</v>
      </c>
      <c r="J6" t="s">
        <v>225</v>
      </c>
      <c r="K6" t="s">
        <v>225</v>
      </c>
      <c r="L6" t="s">
        <v>225</v>
      </c>
      <c r="M6" t="s">
        <v>225</v>
      </c>
      <c r="N6" t="s">
        <v>225</v>
      </c>
      <c r="O6" t="s">
        <v>225</v>
      </c>
      <c r="P6" t="s">
        <v>225</v>
      </c>
      <c r="Q6" t="s">
        <v>225</v>
      </c>
      <c r="R6" t="s">
        <v>450</v>
      </c>
      <c r="S6" t="s">
        <v>225</v>
      </c>
      <c r="T6" t="s">
        <v>225</v>
      </c>
      <c r="U6" t="s">
        <v>101</v>
      </c>
      <c r="V6" t="s">
        <v>225</v>
      </c>
      <c r="W6" t="s">
        <v>225</v>
      </c>
      <c r="X6" t="s">
        <v>3856</v>
      </c>
      <c r="Y6" t="s">
        <v>225</v>
      </c>
      <c r="Z6" t="s">
        <v>151</v>
      </c>
      <c r="AA6" t="s">
        <v>160</v>
      </c>
      <c r="AB6" t="s">
        <v>151</v>
      </c>
      <c r="AC6" t="s">
        <v>351</v>
      </c>
      <c r="AD6" t="s">
        <v>351</v>
      </c>
      <c r="AE6" t="s">
        <v>352</v>
      </c>
      <c r="AF6" t="s">
        <v>3823</v>
      </c>
      <c r="AG6" t="s">
        <v>3824</v>
      </c>
      <c r="AH6" t="s">
        <v>3825</v>
      </c>
      <c r="AI6" t="s">
        <v>3850</v>
      </c>
      <c r="AJ6" t="s">
        <v>225</v>
      </c>
      <c r="AK6" t="s">
        <v>225</v>
      </c>
      <c r="AL6" t="s">
        <v>225</v>
      </c>
      <c r="AM6" t="s">
        <v>225</v>
      </c>
      <c r="AN6" t="s">
        <v>225</v>
      </c>
      <c r="AO6" t="s">
        <v>225</v>
      </c>
      <c r="AP6" t="s">
        <v>3851</v>
      </c>
      <c r="AQ6" t="s">
        <v>3844</v>
      </c>
      <c r="AR6" t="s">
        <v>111</v>
      </c>
      <c r="AS6" t="s">
        <v>3829</v>
      </c>
      <c r="AT6" t="s">
        <v>122</v>
      </c>
      <c r="AU6" t="s">
        <v>225</v>
      </c>
      <c r="AV6" t="s">
        <v>439</v>
      </c>
      <c r="AW6" t="s">
        <v>351</v>
      </c>
      <c r="AX6" t="s">
        <v>351</v>
      </c>
      <c r="AY6" t="s">
        <v>3831</v>
      </c>
      <c r="AZ6" t="s">
        <v>3823</v>
      </c>
      <c r="BA6" t="s">
        <v>3832</v>
      </c>
      <c r="BB6" t="s">
        <v>3841</v>
      </c>
      <c r="BC6" t="s">
        <v>3842</v>
      </c>
      <c r="BD6" t="s">
        <v>3857</v>
      </c>
      <c r="BE6" t="s">
        <v>225</v>
      </c>
      <c r="BF6" t="s">
        <v>225</v>
      </c>
      <c r="BG6" t="s">
        <v>225</v>
      </c>
      <c r="BH6" t="s">
        <v>225</v>
      </c>
      <c r="BI6" t="s">
        <v>225</v>
      </c>
      <c r="BJ6" t="s">
        <v>225</v>
      </c>
      <c r="BK6" t="s">
        <v>225</v>
      </c>
      <c r="BL6" t="s">
        <v>225</v>
      </c>
      <c r="BM6" t="s">
        <v>225</v>
      </c>
      <c r="BN6" t="s">
        <v>225</v>
      </c>
      <c r="BO6" t="s">
        <v>225</v>
      </c>
      <c r="BP6" t="s">
        <v>225</v>
      </c>
      <c r="BQ6" t="s">
        <v>225</v>
      </c>
      <c r="BR6" t="s">
        <v>225</v>
      </c>
      <c r="BS6" t="s">
        <v>225</v>
      </c>
      <c r="BT6" t="s">
        <v>225</v>
      </c>
      <c r="BU6" t="s">
        <v>225</v>
      </c>
      <c r="BV6" t="s">
        <v>225</v>
      </c>
      <c r="BW6" t="s">
        <v>225</v>
      </c>
      <c r="BX6" t="s">
        <v>225</v>
      </c>
      <c r="BY6" t="s">
        <v>225</v>
      </c>
      <c r="BZ6" t="s">
        <v>225</v>
      </c>
      <c r="CA6" t="s">
        <v>225</v>
      </c>
      <c r="CB6" t="s">
        <v>225</v>
      </c>
      <c r="CC6" t="s">
        <v>225</v>
      </c>
      <c r="CD6" t="s">
        <v>225</v>
      </c>
      <c r="CE6" t="s">
        <v>225</v>
      </c>
      <c r="CF6" t="s">
        <v>225</v>
      </c>
      <c r="CG6" t="s">
        <v>225</v>
      </c>
      <c r="CH6" t="s">
        <v>225</v>
      </c>
      <c r="CI6" t="s">
        <v>225</v>
      </c>
      <c r="CJ6" t="s">
        <v>225</v>
      </c>
      <c r="CK6" t="s">
        <v>225</v>
      </c>
      <c r="CL6" t="s">
        <v>225</v>
      </c>
      <c r="CM6" t="s">
        <v>225</v>
      </c>
      <c r="CN6" t="s">
        <v>225</v>
      </c>
      <c r="CO6" t="s">
        <v>225</v>
      </c>
      <c r="CP6" t="s">
        <v>225</v>
      </c>
      <c r="CQ6" t="s">
        <v>225</v>
      </c>
      <c r="CR6" t="s">
        <v>225</v>
      </c>
      <c r="CS6" t="s">
        <v>225</v>
      </c>
      <c r="CT6" t="s">
        <v>3816</v>
      </c>
      <c r="CU6" t="s">
        <v>3817</v>
      </c>
      <c r="CV6" t="s">
        <v>3818</v>
      </c>
      <c r="CW6" t="s">
        <v>3858</v>
      </c>
      <c r="CX6" t="s">
        <v>442</v>
      </c>
      <c r="CY6" t="s">
        <v>441</v>
      </c>
      <c r="CZ6" t="s">
        <v>451</v>
      </c>
      <c r="DA6" t="s">
        <v>449</v>
      </c>
      <c r="DB6" t="s">
        <v>3858</v>
      </c>
      <c r="DC6" t="s">
        <v>371</v>
      </c>
      <c r="DD6" t="s">
        <v>276</v>
      </c>
      <c r="DE6" t="s">
        <v>447</v>
      </c>
    </row>
    <row r="7" spans="1:109" ht="11.25" customHeight="1" x14ac:dyDescent="0.15">
      <c r="A7" s="4" t="s">
        <v>225</v>
      </c>
      <c r="B7" t="s">
        <v>225</v>
      </c>
      <c r="C7" t="s">
        <v>225</v>
      </c>
      <c r="D7" t="s">
        <v>225</v>
      </c>
      <c r="E7" t="s">
        <v>225</v>
      </c>
      <c r="F7" t="s">
        <v>225</v>
      </c>
      <c r="G7" t="s">
        <v>225</v>
      </c>
      <c r="H7" t="s">
        <v>225</v>
      </c>
      <c r="I7" t="s">
        <v>3804</v>
      </c>
      <c r="J7" t="s">
        <v>225</v>
      </c>
      <c r="K7" t="s">
        <v>225</v>
      </c>
      <c r="L7" t="s">
        <v>225</v>
      </c>
      <c r="M7" t="s">
        <v>225</v>
      </c>
      <c r="N7" t="s">
        <v>225</v>
      </c>
      <c r="O7" t="s">
        <v>225</v>
      </c>
      <c r="P7" t="s">
        <v>225</v>
      </c>
      <c r="Q7" t="s">
        <v>225</v>
      </c>
      <c r="R7" t="s">
        <v>452</v>
      </c>
      <c r="S7" t="s">
        <v>225</v>
      </c>
      <c r="T7" t="s">
        <v>225</v>
      </c>
      <c r="U7" t="s">
        <v>101</v>
      </c>
      <c r="V7" t="s">
        <v>225</v>
      </c>
      <c r="W7" t="s">
        <v>225</v>
      </c>
      <c r="X7" t="s">
        <v>3822</v>
      </c>
      <c r="Y7" t="s">
        <v>225</v>
      </c>
      <c r="Z7" t="s">
        <v>151</v>
      </c>
      <c r="AA7" t="s">
        <v>151</v>
      </c>
      <c r="AB7" t="s">
        <v>160</v>
      </c>
      <c r="AC7" t="s">
        <v>351</v>
      </c>
      <c r="AD7" t="s">
        <v>351</v>
      </c>
      <c r="AE7" t="s">
        <v>352</v>
      </c>
      <c r="AF7" t="s">
        <v>3823</v>
      </c>
      <c r="AG7" t="s">
        <v>3824</v>
      </c>
      <c r="AH7" t="s">
        <v>3825</v>
      </c>
      <c r="AI7" t="s">
        <v>3826</v>
      </c>
      <c r="AJ7" t="s">
        <v>225</v>
      </c>
      <c r="AK7" t="s">
        <v>225</v>
      </c>
      <c r="AL7" t="s">
        <v>225</v>
      </c>
      <c r="AM7" t="s">
        <v>225</v>
      </c>
      <c r="AN7" t="s">
        <v>225</v>
      </c>
      <c r="AO7" t="s">
        <v>225</v>
      </c>
      <c r="AP7" t="s">
        <v>225</v>
      </c>
      <c r="AQ7" t="s">
        <v>225</v>
      </c>
      <c r="AR7" t="s">
        <v>225</v>
      </c>
      <c r="AS7" t="s">
        <v>225</v>
      </c>
      <c r="AT7" t="s">
        <v>225</v>
      </c>
      <c r="AU7" t="s">
        <v>225</v>
      </c>
      <c r="AV7" t="s">
        <v>225</v>
      </c>
      <c r="AW7" t="s">
        <v>225</v>
      </c>
      <c r="AX7" t="s">
        <v>225</v>
      </c>
      <c r="AY7" t="s">
        <v>225</v>
      </c>
      <c r="AZ7" t="s">
        <v>225</v>
      </c>
      <c r="BA7" t="s">
        <v>225</v>
      </c>
      <c r="BB7" t="s">
        <v>225</v>
      </c>
      <c r="BC7" t="s">
        <v>225</v>
      </c>
      <c r="BD7" t="s">
        <v>225</v>
      </c>
      <c r="BE7" t="s">
        <v>3843</v>
      </c>
      <c r="BF7" t="s">
        <v>3844</v>
      </c>
      <c r="BG7" t="s">
        <v>111</v>
      </c>
      <c r="BH7" t="s">
        <v>3829</v>
      </c>
      <c r="BI7" t="s">
        <v>122</v>
      </c>
      <c r="BJ7" t="s">
        <v>225</v>
      </c>
      <c r="BK7" t="s">
        <v>3859</v>
      </c>
      <c r="BL7" t="s">
        <v>351</v>
      </c>
      <c r="BM7" t="s">
        <v>351</v>
      </c>
      <c r="BN7" t="s">
        <v>3831</v>
      </c>
      <c r="BO7" t="s">
        <v>3823</v>
      </c>
      <c r="BP7" t="s">
        <v>3832</v>
      </c>
      <c r="BQ7" t="s">
        <v>3841</v>
      </c>
      <c r="BR7" t="s">
        <v>3842</v>
      </c>
      <c r="BS7" t="s">
        <v>225</v>
      </c>
      <c r="BT7" t="s">
        <v>3833</v>
      </c>
      <c r="BU7" t="s">
        <v>3860</v>
      </c>
      <c r="BV7" t="s">
        <v>3861</v>
      </c>
      <c r="BW7" t="s">
        <v>3862</v>
      </c>
      <c r="BX7" t="s">
        <v>3863</v>
      </c>
      <c r="BY7" t="s">
        <v>3864</v>
      </c>
      <c r="BZ7" t="s">
        <v>3865</v>
      </c>
      <c r="CA7" t="s">
        <v>3839</v>
      </c>
      <c r="CB7" t="s">
        <v>225</v>
      </c>
      <c r="CC7" t="s">
        <v>225</v>
      </c>
      <c r="CD7" t="s">
        <v>225</v>
      </c>
      <c r="CE7" t="s">
        <v>225</v>
      </c>
      <c r="CF7" t="s">
        <v>225</v>
      </c>
      <c r="CG7" t="s">
        <v>3839</v>
      </c>
      <c r="CH7" t="s">
        <v>225</v>
      </c>
      <c r="CI7" t="s">
        <v>225</v>
      </c>
      <c r="CJ7" t="s">
        <v>225</v>
      </c>
      <c r="CK7" t="s">
        <v>225</v>
      </c>
      <c r="CL7" t="s">
        <v>225</v>
      </c>
      <c r="CM7" t="s">
        <v>3860</v>
      </c>
      <c r="CN7" t="s">
        <v>3861</v>
      </c>
      <c r="CO7" t="s">
        <v>3862</v>
      </c>
      <c r="CP7" t="s">
        <v>3863</v>
      </c>
      <c r="CQ7" t="s">
        <v>3864</v>
      </c>
      <c r="CR7" t="s">
        <v>3865</v>
      </c>
      <c r="CS7" t="s">
        <v>3866</v>
      </c>
      <c r="CT7" t="s">
        <v>3816</v>
      </c>
      <c r="CU7" t="s">
        <v>3817</v>
      </c>
      <c r="CV7" t="s">
        <v>3818</v>
      </c>
      <c r="CW7" t="s">
        <v>3819</v>
      </c>
      <c r="CX7" t="s">
        <v>455</v>
      </c>
      <c r="CY7" t="s">
        <v>441</v>
      </c>
      <c r="CZ7" t="s">
        <v>456</v>
      </c>
      <c r="DA7" t="s">
        <v>457</v>
      </c>
      <c r="DB7" t="s">
        <v>3819</v>
      </c>
      <c r="DC7" t="s">
        <v>371</v>
      </c>
      <c r="DD7" t="s">
        <v>276</v>
      </c>
      <c r="DE7" t="s">
        <v>453</v>
      </c>
    </row>
    <row r="8" spans="1:109" ht="11.25" customHeight="1" x14ac:dyDescent="0.15">
      <c r="A8" s="4" t="s">
        <v>225</v>
      </c>
      <c r="B8" t="s">
        <v>225</v>
      </c>
      <c r="C8" t="s">
        <v>225</v>
      </c>
      <c r="D8" t="s">
        <v>225</v>
      </c>
      <c r="E8" t="s">
        <v>225</v>
      </c>
      <c r="F8" t="s">
        <v>225</v>
      </c>
      <c r="G8" t="s">
        <v>225</v>
      </c>
      <c r="H8" t="s">
        <v>225</v>
      </c>
      <c r="I8" t="s">
        <v>3804</v>
      </c>
      <c r="J8" t="s">
        <v>225</v>
      </c>
      <c r="K8" t="s">
        <v>225</v>
      </c>
      <c r="L8" t="s">
        <v>225</v>
      </c>
      <c r="M8" t="s">
        <v>225</v>
      </c>
      <c r="N8" t="s">
        <v>225</v>
      </c>
      <c r="O8" t="s">
        <v>225</v>
      </c>
      <c r="P8" t="s">
        <v>225</v>
      </c>
      <c r="Q8" t="s">
        <v>225</v>
      </c>
      <c r="R8" t="s">
        <v>3821</v>
      </c>
      <c r="S8" t="s">
        <v>225</v>
      </c>
      <c r="T8" t="s">
        <v>225</v>
      </c>
      <c r="U8" t="s">
        <v>101</v>
      </c>
      <c r="V8" t="s">
        <v>225</v>
      </c>
      <c r="W8" t="s">
        <v>225</v>
      </c>
      <c r="X8" t="s">
        <v>3822</v>
      </c>
      <c r="Y8" t="s">
        <v>225</v>
      </c>
      <c r="Z8" t="s">
        <v>151</v>
      </c>
      <c r="AA8" t="s">
        <v>151</v>
      </c>
      <c r="AB8" t="s">
        <v>160</v>
      </c>
      <c r="AC8" t="s">
        <v>2541</v>
      </c>
      <c r="AD8" t="s">
        <v>2541</v>
      </c>
      <c r="AE8" t="s">
        <v>2542</v>
      </c>
      <c r="AF8" t="s">
        <v>3807</v>
      </c>
      <c r="AG8" t="s">
        <v>3808</v>
      </c>
      <c r="AH8" t="s">
        <v>3809</v>
      </c>
      <c r="AI8" t="s">
        <v>371</v>
      </c>
      <c r="AJ8" t="s">
        <v>225</v>
      </c>
      <c r="AK8" t="s">
        <v>225</v>
      </c>
      <c r="AL8" t="s">
        <v>225</v>
      </c>
      <c r="AM8" t="s">
        <v>225</v>
      </c>
      <c r="AN8" t="s">
        <v>225</v>
      </c>
      <c r="AO8" t="s">
        <v>225</v>
      </c>
      <c r="AP8" t="s">
        <v>225</v>
      </c>
      <c r="AQ8" t="s">
        <v>225</v>
      </c>
      <c r="AR8" t="s">
        <v>225</v>
      </c>
      <c r="AS8" t="s">
        <v>225</v>
      </c>
      <c r="AT8" t="s">
        <v>225</v>
      </c>
      <c r="AU8" t="s">
        <v>225</v>
      </c>
      <c r="AV8" t="s">
        <v>225</v>
      </c>
      <c r="AW8" t="s">
        <v>225</v>
      </c>
      <c r="AX8" t="s">
        <v>225</v>
      </c>
      <c r="AY8" t="s">
        <v>225</v>
      </c>
      <c r="AZ8" t="s">
        <v>225</v>
      </c>
      <c r="BA8" t="s">
        <v>225</v>
      </c>
      <c r="BB8" t="s">
        <v>225</v>
      </c>
      <c r="BC8" t="s">
        <v>225</v>
      </c>
      <c r="BD8" t="s">
        <v>225</v>
      </c>
      <c r="BE8" t="s">
        <v>3810</v>
      </c>
      <c r="BF8" t="s">
        <v>3811</v>
      </c>
      <c r="BG8" t="s">
        <v>111</v>
      </c>
      <c r="BH8" t="s">
        <v>3829</v>
      </c>
      <c r="BI8" t="s">
        <v>122</v>
      </c>
      <c r="BJ8" t="s">
        <v>225</v>
      </c>
      <c r="BK8" t="s">
        <v>3867</v>
      </c>
      <c r="BL8" t="s">
        <v>351</v>
      </c>
      <c r="BM8" t="s">
        <v>351</v>
      </c>
      <c r="BN8" t="s">
        <v>3831</v>
      </c>
      <c r="BO8" t="s">
        <v>3823</v>
      </c>
      <c r="BP8" t="s">
        <v>3832</v>
      </c>
      <c r="BQ8" t="s">
        <v>3825</v>
      </c>
      <c r="BR8" t="s">
        <v>3826</v>
      </c>
      <c r="BS8" t="s">
        <v>225</v>
      </c>
      <c r="BT8" t="s">
        <v>3833</v>
      </c>
      <c r="BU8" t="s">
        <v>3868</v>
      </c>
      <c r="BV8" t="s">
        <v>3868</v>
      </c>
      <c r="BW8" t="s">
        <v>3839</v>
      </c>
      <c r="BX8" t="s">
        <v>3839</v>
      </c>
      <c r="BY8" t="s">
        <v>3839</v>
      </c>
      <c r="BZ8" t="s">
        <v>3839</v>
      </c>
      <c r="CA8" t="s">
        <v>3839</v>
      </c>
      <c r="CB8" t="s">
        <v>225</v>
      </c>
      <c r="CC8" t="s">
        <v>225</v>
      </c>
      <c r="CD8" t="s">
        <v>225</v>
      </c>
      <c r="CE8" t="s">
        <v>225</v>
      </c>
      <c r="CF8" t="s">
        <v>225</v>
      </c>
      <c r="CG8" t="s">
        <v>3839</v>
      </c>
      <c r="CH8" t="s">
        <v>225</v>
      </c>
      <c r="CI8" t="s">
        <v>225</v>
      </c>
      <c r="CJ8" t="s">
        <v>225</v>
      </c>
      <c r="CK8" t="s">
        <v>225</v>
      </c>
      <c r="CL8" t="s">
        <v>225</v>
      </c>
      <c r="CM8" t="s">
        <v>3868</v>
      </c>
      <c r="CN8" t="s">
        <v>3868</v>
      </c>
      <c r="CO8" t="s">
        <v>3839</v>
      </c>
      <c r="CP8" t="s">
        <v>3839</v>
      </c>
      <c r="CQ8" t="s">
        <v>3839</v>
      </c>
      <c r="CR8" t="s">
        <v>3839</v>
      </c>
      <c r="CS8" t="s">
        <v>3869</v>
      </c>
      <c r="CT8" t="s">
        <v>3816</v>
      </c>
      <c r="CU8" t="s">
        <v>3817</v>
      </c>
      <c r="CV8" t="s">
        <v>3818</v>
      </c>
      <c r="CW8" t="s">
        <v>3819</v>
      </c>
      <c r="CX8" t="s">
        <v>455</v>
      </c>
      <c r="CY8" t="s">
        <v>441</v>
      </c>
      <c r="CZ8" t="s">
        <v>456</v>
      </c>
      <c r="DA8" t="s">
        <v>457</v>
      </c>
      <c r="DB8" t="s">
        <v>3819</v>
      </c>
      <c r="DC8" t="s">
        <v>371</v>
      </c>
      <c r="DD8" t="s">
        <v>276</v>
      </c>
      <c r="DE8" t="s">
        <v>3820</v>
      </c>
    </row>
    <row r="9" spans="1:109" ht="11.25" customHeight="1" x14ac:dyDescent="0.15">
      <c r="A9" s="4" t="s">
        <v>225</v>
      </c>
      <c r="B9" t="s">
        <v>225</v>
      </c>
      <c r="C9" t="s">
        <v>225</v>
      </c>
      <c r="D9" t="s">
        <v>225</v>
      </c>
      <c r="E9" t="s">
        <v>225</v>
      </c>
      <c r="F9" t="s">
        <v>225</v>
      </c>
      <c r="G9" t="s">
        <v>225</v>
      </c>
      <c r="H9" t="s">
        <v>225</v>
      </c>
      <c r="I9" t="s">
        <v>3804</v>
      </c>
      <c r="J9" t="s">
        <v>225</v>
      </c>
      <c r="K9" t="s">
        <v>225</v>
      </c>
      <c r="L9" t="s">
        <v>225</v>
      </c>
      <c r="M9" t="s">
        <v>225</v>
      </c>
      <c r="N9" t="s">
        <v>225</v>
      </c>
      <c r="O9" t="s">
        <v>225</v>
      </c>
      <c r="P9" t="s">
        <v>225</v>
      </c>
      <c r="Q9" t="s">
        <v>225</v>
      </c>
      <c r="R9" t="s">
        <v>446</v>
      </c>
      <c r="S9" t="s">
        <v>225</v>
      </c>
      <c r="T9" t="s">
        <v>225</v>
      </c>
      <c r="U9" t="s">
        <v>101</v>
      </c>
      <c r="V9" t="s">
        <v>225</v>
      </c>
      <c r="W9" t="s">
        <v>225</v>
      </c>
      <c r="X9" t="s">
        <v>3806</v>
      </c>
      <c r="Y9" t="s">
        <v>225</v>
      </c>
      <c r="Z9" t="s">
        <v>160</v>
      </c>
      <c r="AA9" t="s">
        <v>151</v>
      </c>
      <c r="AB9" t="s">
        <v>151</v>
      </c>
      <c r="AC9" t="s">
        <v>2562</v>
      </c>
      <c r="AD9" t="s">
        <v>2562</v>
      </c>
      <c r="AE9" t="s">
        <v>2563</v>
      </c>
      <c r="AF9" t="s">
        <v>3870</v>
      </c>
      <c r="AG9" t="s">
        <v>3871</v>
      </c>
      <c r="AH9" t="s">
        <v>3872</v>
      </c>
      <c r="AI9" t="s">
        <v>371</v>
      </c>
      <c r="AJ9" t="s">
        <v>3851</v>
      </c>
      <c r="AK9" t="s">
        <v>3844</v>
      </c>
      <c r="AL9" t="s">
        <v>3852</v>
      </c>
      <c r="AM9" t="s">
        <v>3846</v>
      </c>
      <c r="AN9" t="s">
        <v>3853</v>
      </c>
      <c r="AO9" t="s">
        <v>3854</v>
      </c>
      <c r="AP9" t="s">
        <v>225</v>
      </c>
      <c r="AQ9" t="s">
        <v>225</v>
      </c>
      <c r="AR9" t="s">
        <v>225</v>
      </c>
      <c r="AS9" t="s">
        <v>225</v>
      </c>
      <c r="AT9" t="s">
        <v>225</v>
      </c>
      <c r="AU9" t="s">
        <v>225</v>
      </c>
      <c r="AV9" t="s">
        <v>225</v>
      </c>
      <c r="AW9" t="s">
        <v>225</v>
      </c>
      <c r="AX9" t="s">
        <v>225</v>
      </c>
      <c r="AY9" t="s">
        <v>225</v>
      </c>
      <c r="AZ9" t="s">
        <v>225</v>
      </c>
      <c r="BA9" t="s">
        <v>225</v>
      </c>
      <c r="BB9" t="s">
        <v>225</v>
      </c>
      <c r="BC9" t="s">
        <v>225</v>
      </c>
      <c r="BD9" t="s">
        <v>225</v>
      </c>
      <c r="BE9" t="s">
        <v>225</v>
      </c>
      <c r="BF9" t="s">
        <v>225</v>
      </c>
      <c r="BG9" t="s">
        <v>225</v>
      </c>
      <c r="BH9" t="s">
        <v>225</v>
      </c>
      <c r="BI9" t="s">
        <v>225</v>
      </c>
      <c r="BJ9" t="s">
        <v>225</v>
      </c>
      <c r="BK9" t="s">
        <v>225</v>
      </c>
      <c r="BL9" t="s">
        <v>225</v>
      </c>
      <c r="BM9" t="s">
        <v>225</v>
      </c>
      <c r="BN9" t="s">
        <v>225</v>
      </c>
      <c r="BO9" t="s">
        <v>225</v>
      </c>
      <c r="BP9" t="s">
        <v>225</v>
      </c>
      <c r="BQ9" t="s">
        <v>225</v>
      </c>
      <c r="BR9" t="s">
        <v>225</v>
      </c>
      <c r="BS9" t="s">
        <v>225</v>
      </c>
      <c r="BT9" t="s">
        <v>225</v>
      </c>
      <c r="BU9" t="s">
        <v>225</v>
      </c>
      <c r="BV9" t="s">
        <v>225</v>
      </c>
      <c r="BW9" t="s">
        <v>225</v>
      </c>
      <c r="BX9" t="s">
        <v>225</v>
      </c>
      <c r="BY9" t="s">
        <v>225</v>
      </c>
      <c r="BZ9" t="s">
        <v>225</v>
      </c>
      <c r="CA9" t="s">
        <v>225</v>
      </c>
      <c r="CB9" t="s">
        <v>225</v>
      </c>
      <c r="CC9" t="s">
        <v>225</v>
      </c>
      <c r="CD9" t="s">
        <v>225</v>
      </c>
      <c r="CE9" t="s">
        <v>225</v>
      </c>
      <c r="CF9" t="s">
        <v>225</v>
      </c>
      <c r="CG9" t="s">
        <v>225</v>
      </c>
      <c r="CH9" t="s">
        <v>225</v>
      </c>
      <c r="CI9" t="s">
        <v>225</v>
      </c>
      <c r="CJ9" t="s">
        <v>225</v>
      </c>
      <c r="CK9" t="s">
        <v>225</v>
      </c>
      <c r="CL9" t="s">
        <v>225</v>
      </c>
      <c r="CM9" t="s">
        <v>225</v>
      </c>
      <c r="CN9" t="s">
        <v>225</v>
      </c>
      <c r="CO9" t="s">
        <v>225</v>
      </c>
      <c r="CP9" t="s">
        <v>225</v>
      </c>
      <c r="CQ9" t="s">
        <v>225</v>
      </c>
      <c r="CR9" t="s">
        <v>225</v>
      </c>
      <c r="CS9" t="s">
        <v>225</v>
      </c>
      <c r="CT9" t="s">
        <v>3816</v>
      </c>
      <c r="CU9" t="s">
        <v>3817</v>
      </c>
      <c r="CV9" t="s">
        <v>3818</v>
      </c>
      <c r="CW9" t="s">
        <v>3855</v>
      </c>
      <c r="CX9" t="s">
        <v>442</v>
      </c>
      <c r="CY9" t="s">
        <v>441</v>
      </c>
      <c r="CZ9" t="s">
        <v>448</v>
      </c>
      <c r="DA9" t="s">
        <v>449</v>
      </c>
      <c r="DB9" t="s">
        <v>3855</v>
      </c>
      <c r="DC9" t="s">
        <v>371</v>
      </c>
      <c r="DD9" t="s">
        <v>276</v>
      </c>
      <c r="DE9" t="s">
        <v>459</v>
      </c>
    </row>
    <row r="10" spans="1:109" ht="11.25" customHeight="1" x14ac:dyDescent="0.15">
      <c r="A10" s="4" t="s">
        <v>225</v>
      </c>
      <c r="B10" t="s">
        <v>225</v>
      </c>
      <c r="C10" t="s">
        <v>225</v>
      </c>
      <c r="D10" t="s">
        <v>225</v>
      </c>
      <c r="E10" t="s">
        <v>225</v>
      </c>
      <c r="F10" t="s">
        <v>225</v>
      </c>
      <c r="G10" t="s">
        <v>225</v>
      </c>
      <c r="H10" t="s">
        <v>225</v>
      </c>
      <c r="I10" t="s">
        <v>3873</v>
      </c>
      <c r="J10" t="s">
        <v>225</v>
      </c>
      <c r="K10" t="s">
        <v>225</v>
      </c>
      <c r="L10" t="s">
        <v>225</v>
      </c>
      <c r="M10" t="s">
        <v>225</v>
      </c>
      <c r="N10" t="s">
        <v>225</v>
      </c>
      <c r="O10" t="s">
        <v>225</v>
      </c>
      <c r="P10" t="s">
        <v>225</v>
      </c>
      <c r="Q10" t="s">
        <v>225</v>
      </c>
      <c r="R10" t="s">
        <v>461</v>
      </c>
      <c r="S10" t="s">
        <v>225</v>
      </c>
      <c r="T10" t="s">
        <v>225</v>
      </c>
      <c r="U10" t="s">
        <v>101</v>
      </c>
      <c r="V10" t="s">
        <v>225</v>
      </c>
      <c r="W10" t="s">
        <v>225</v>
      </c>
      <c r="X10" t="s">
        <v>3856</v>
      </c>
      <c r="Y10" t="s">
        <v>225</v>
      </c>
      <c r="Z10" t="s">
        <v>151</v>
      </c>
      <c r="AA10" t="s">
        <v>160</v>
      </c>
      <c r="AB10" t="s">
        <v>151</v>
      </c>
      <c r="AC10" t="s">
        <v>351</v>
      </c>
      <c r="AD10" t="s">
        <v>351</v>
      </c>
      <c r="AE10" t="s">
        <v>352</v>
      </c>
      <c r="AF10" t="s">
        <v>3823</v>
      </c>
      <c r="AG10" t="s">
        <v>3824</v>
      </c>
      <c r="AH10" t="s">
        <v>3874</v>
      </c>
      <c r="AI10" t="s">
        <v>3875</v>
      </c>
      <c r="AJ10" t="s">
        <v>225</v>
      </c>
      <c r="AK10" t="s">
        <v>225</v>
      </c>
      <c r="AL10" t="s">
        <v>225</v>
      </c>
      <c r="AN10" t="s">
        <v>225</v>
      </c>
      <c r="AO10" t="s">
        <v>225</v>
      </c>
      <c r="AP10" t="s">
        <v>3876</v>
      </c>
      <c r="AQ10" t="s">
        <v>3876</v>
      </c>
      <c r="AR10" t="s">
        <v>111</v>
      </c>
      <c r="AS10" t="s">
        <v>3829</v>
      </c>
      <c r="AT10" t="s">
        <v>122</v>
      </c>
      <c r="AU10" t="s">
        <v>225</v>
      </c>
      <c r="AV10" t="s">
        <v>225</v>
      </c>
      <c r="AW10" t="s">
        <v>351</v>
      </c>
      <c r="AX10" t="s">
        <v>351</v>
      </c>
      <c r="AY10" t="s">
        <v>3831</v>
      </c>
      <c r="AZ10" t="s">
        <v>3823</v>
      </c>
      <c r="BA10" t="s">
        <v>3832</v>
      </c>
      <c r="BB10" t="s">
        <v>225</v>
      </c>
      <c r="BC10" t="s">
        <v>225</v>
      </c>
      <c r="BD10" t="s">
        <v>3877</v>
      </c>
      <c r="BE10" t="s">
        <v>225</v>
      </c>
      <c r="BF10" t="s">
        <v>225</v>
      </c>
      <c r="BG10" t="s">
        <v>225</v>
      </c>
      <c r="BH10" t="s">
        <v>225</v>
      </c>
      <c r="BI10" t="s">
        <v>225</v>
      </c>
      <c r="BJ10" t="s">
        <v>225</v>
      </c>
      <c r="BK10" t="s">
        <v>225</v>
      </c>
      <c r="BL10" t="s">
        <v>225</v>
      </c>
      <c r="BM10" t="s">
        <v>225</v>
      </c>
      <c r="BN10" t="s">
        <v>225</v>
      </c>
      <c r="BO10" t="s">
        <v>225</v>
      </c>
      <c r="BP10" t="s">
        <v>225</v>
      </c>
      <c r="BQ10" t="s">
        <v>225</v>
      </c>
      <c r="BR10" t="s">
        <v>225</v>
      </c>
      <c r="BS10" t="s">
        <v>225</v>
      </c>
      <c r="BT10" t="s">
        <v>225</v>
      </c>
      <c r="CS10" t="s">
        <v>225</v>
      </c>
      <c r="CT10" t="s">
        <v>3816</v>
      </c>
      <c r="CU10" t="s">
        <v>3817</v>
      </c>
      <c r="CV10" t="s">
        <v>3818</v>
      </c>
      <c r="CW10" t="s">
        <v>3878</v>
      </c>
      <c r="CX10" t="s">
        <v>442</v>
      </c>
      <c r="CY10" t="s">
        <v>441</v>
      </c>
      <c r="CZ10" t="s">
        <v>463</v>
      </c>
      <c r="DA10" t="s">
        <v>464</v>
      </c>
      <c r="DB10" t="s">
        <v>3878</v>
      </c>
      <c r="DC10" t="s">
        <v>371</v>
      </c>
      <c r="DD10" t="s">
        <v>286</v>
      </c>
      <c r="DE10" t="s">
        <v>462</v>
      </c>
    </row>
    <row r="11" spans="1:109" ht="11.25" customHeight="1" x14ac:dyDescent="0.15">
      <c r="A11" s="4" t="s">
        <v>225</v>
      </c>
      <c r="B11" t="s">
        <v>225</v>
      </c>
      <c r="C11" t="s">
        <v>225</v>
      </c>
      <c r="D11" t="s">
        <v>225</v>
      </c>
      <c r="E11" t="s">
        <v>225</v>
      </c>
      <c r="F11" t="s">
        <v>225</v>
      </c>
      <c r="G11" t="s">
        <v>225</v>
      </c>
      <c r="H11" t="s">
        <v>225</v>
      </c>
      <c r="I11" t="s">
        <v>3873</v>
      </c>
      <c r="J11" t="s">
        <v>225</v>
      </c>
      <c r="K11" t="s">
        <v>225</v>
      </c>
      <c r="L11" t="s">
        <v>225</v>
      </c>
      <c r="M11" t="s">
        <v>225</v>
      </c>
      <c r="N11" t="s">
        <v>225</v>
      </c>
      <c r="O11" t="s">
        <v>225</v>
      </c>
      <c r="P11" t="s">
        <v>225</v>
      </c>
      <c r="Q11" t="s">
        <v>225</v>
      </c>
      <c r="R11" t="s">
        <v>405</v>
      </c>
      <c r="S11" t="s">
        <v>225</v>
      </c>
      <c r="T11" t="s">
        <v>225</v>
      </c>
      <c r="U11" t="s">
        <v>101</v>
      </c>
      <c r="V11" t="s">
        <v>225</v>
      </c>
      <c r="W11" t="s">
        <v>225</v>
      </c>
      <c r="X11" t="s">
        <v>3856</v>
      </c>
      <c r="Y11" t="s">
        <v>225</v>
      </c>
      <c r="Z11" t="s">
        <v>151</v>
      </c>
      <c r="AA11" t="s">
        <v>160</v>
      </c>
      <c r="AB11" t="s">
        <v>151</v>
      </c>
      <c r="AC11" t="s">
        <v>351</v>
      </c>
      <c r="AD11" t="s">
        <v>351</v>
      </c>
      <c r="AE11" t="s">
        <v>352</v>
      </c>
      <c r="AF11" t="s">
        <v>3823</v>
      </c>
      <c r="AG11" t="s">
        <v>3824</v>
      </c>
      <c r="AH11" t="s">
        <v>3874</v>
      </c>
      <c r="AI11" t="s">
        <v>3875</v>
      </c>
      <c r="AJ11" t="s">
        <v>225</v>
      </c>
      <c r="AK11" t="s">
        <v>225</v>
      </c>
      <c r="AL11" t="s">
        <v>225</v>
      </c>
      <c r="AN11" t="s">
        <v>225</v>
      </c>
      <c r="AO11" t="s">
        <v>225</v>
      </c>
      <c r="AP11" t="s">
        <v>3879</v>
      </c>
      <c r="AQ11" t="s">
        <v>3879</v>
      </c>
      <c r="AR11" t="s">
        <v>111</v>
      </c>
      <c r="AS11" t="s">
        <v>3829</v>
      </c>
      <c r="AT11" t="s">
        <v>122</v>
      </c>
      <c r="AU11" t="s">
        <v>225</v>
      </c>
      <c r="AV11" t="s">
        <v>225</v>
      </c>
      <c r="AW11" t="s">
        <v>351</v>
      </c>
      <c r="AX11" t="s">
        <v>351</v>
      </c>
      <c r="AY11" t="s">
        <v>3831</v>
      </c>
      <c r="AZ11" t="s">
        <v>3823</v>
      </c>
      <c r="BA11" t="s">
        <v>3832</v>
      </c>
      <c r="BB11" t="s">
        <v>225</v>
      </c>
      <c r="BC11" t="s">
        <v>225</v>
      </c>
      <c r="BD11" t="s">
        <v>3880</v>
      </c>
      <c r="BE11" t="s">
        <v>225</v>
      </c>
      <c r="BF11" t="s">
        <v>225</v>
      </c>
      <c r="BG11" t="s">
        <v>225</v>
      </c>
      <c r="BH11" t="s">
        <v>225</v>
      </c>
      <c r="BI11" t="s">
        <v>225</v>
      </c>
      <c r="BJ11" t="s">
        <v>225</v>
      </c>
      <c r="BK11" t="s">
        <v>225</v>
      </c>
      <c r="BL11" t="s">
        <v>225</v>
      </c>
      <c r="BM11" t="s">
        <v>225</v>
      </c>
      <c r="BN11" t="s">
        <v>225</v>
      </c>
      <c r="BO11" t="s">
        <v>225</v>
      </c>
      <c r="BP11" t="s">
        <v>225</v>
      </c>
      <c r="BQ11" t="s">
        <v>225</v>
      </c>
      <c r="BR11" t="s">
        <v>225</v>
      </c>
      <c r="BS11" t="s">
        <v>225</v>
      </c>
      <c r="BT11" t="s">
        <v>225</v>
      </c>
      <c r="CS11" t="s">
        <v>225</v>
      </c>
      <c r="CT11" t="s">
        <v>3816</v>
      </c>
      <c r="CU11" t="s">
        <v>3817</v>
      </c>
      <c r="CV11" t="s">
        <v>3818</v>
      </c>
      <c r="CW11" t="s">
        <v>3881</v>
      </c>
      <c r="CX11" t="s">
        <v>442</v>
      </c>
      <c r="CY11" t="s">
        <v>441</v>
      </c>
      <c r="CZ11" t="s">
        <v>466</v>
      </c>
      <c r="DA11" t="s">
        <v>467</v>
      </c>
      <c r="DB11" t="s">
        <v>3881</v>
      </c>
      <c r="DC11" t="s">
        <v>371</v>
      </c>
      <c r="DD11" t="s">
        <v>286</v>
      </c>
      <c r="DE11" t="s">
        <v>462</v>
      </c>
    </row>
    <row r="12" spans="1:109" ht="11.25" customHeight="1" x14ac:dyDescent="0.15">
      <c r="A12" s="4" t="s">
        <v>225</v>
      </c>
      <c r="B12" t="s">
        <v>225</v>
      </c>
      <c r="C12" t="s">
        <v>225</v>
      </c>
      <c r="D12" t="s">
        <v>225</v>
      </c>
      <c r="E12" t="s">
        <v>225</v>
      </c>
      <c r="F12" t="s">
        <v>225</v>
      </c>
      <c r="G12" t="s">
        <v>225</v>
      </c>
      <c r="H12" t="s">
        <v>225</v>
      </c>
      <c r="I12" t="s">
        <v>3873</v>
      </c>
      <c r="J12" t="s">
        <v>225</v>
      </c>
      <c r="K12" t="s">
        <v>225</v>
      </c>
      <c r="L12" t="s">
        <v>225</v>
      </c>
      <c r="M12" t="s">
        <v>225</v>
      </c>
      <c r="N12" t="s">
        <v>225</v>
      </c>
      <c r="O12" t="s">
        <v>225</v>
      </c>
      <c r="P12" t="s">
        <v>225</v>
      </c>
      <c r="Q12" t="s">
        <v>225</v>
      </c>
      <c r="R12" t="s">
        <v>465</v>
      </c>
      <c r="S12" t="s">
        <v>225</v>
      </c>
      <c r="T12" t="s">
        <v>225</v>
      </c>
      <c r="U12" t="s">
        <v>101</v>
      </c>
      <c r="V12" t="s">
        <v>225</v>
      </c>
      <c r="W12" t="s">
        <v>225</v>
      </c>
      <c r="X12" t="s">
        <v>3822</v>
      </c>
      <c r="Y12" t="s">
        <v>225</v>
      </c>
      <c r="Z12" t="s">
        <v>151</v>
      </c>
      <c r="AA12" t="s">
        <v>151</v>
      </c>
      <c r="AB12" t="s">
        <v>160</v>
      </c>
      <c r="AC12" t="s">
        <v>351</v>
      </c>
      <c r="AD12" t="s">
        <v>351</v>
      </c>
      <c r="AE12" t="s">
        <v>352</v>
      </c>
      <c r="AF12" t="s">
        <v>3823</v>
      </c>
      <c r="AG12" t="s">
        <v>3824</v>
      </c>
      <c r="AH12" t="s">
        <v>3825</v>
      </c>
      <c r="AI12" t="s">
        <v>3826</v>
      </c>
      <c r="AJ12" t="s">
        <v>225</v>
      </c>
      <c r="AK12" t="s">
        <v>225</v>
      </c>
      <c r="AL12" t="s">
        <v>225</v>
      </c>
      <c r="AN12" t="s">
        <v>225</v>
      </c>
      <c r="AO12" t="s">
        <v>225</v>
      </c>
      <c r="AP12" t="s">
        <v>225</v>
      </c>
      <c r="AQ12" t="s">
        <v>225</v>
      </c>
      <c r="AR12" t="s">
        <v>225</v>
      </c>
      <c r="AS12" t="s">
        <v>225</v>
      </c>
      <c r="AT12" t="s">
        <v>225</v>
      </c>
      <c r="AU12" t="s">
        <v>225</v>
      </c>
      <c r="AV12" t="s">
        <v>225</v>
      </c>
      <c r="AW12" t="s">
        <v>225</v>
      </c>
      <c r="AX12" t="s">
        <v>225</v>
      </c>
      <c r="AY12" t="s">
        <v>225</v>
      </c>
      <c r="AZ12" t="s">
        <v>225</v>
      </c>
      <c r="BA12" t="s">
        <v>225</v>
      </c>
      <c r="BB12" t="s">
        <v>225</v>
      </c>
      <c r="BC12" t="s">
        <v>225</v>
      </c>
      <c r="BD12" t="s">
        <v>225</v>
      </c>
      <c r="BE12" t="s">
        <v>3879</v>
      </c>
      <c r="BF12" t="s">
        <v>3879</v>
      </c>
      <c r="BG12" t="s">
        <v>111</v>
      </c>
      <c r="BH12" t="s">
        <v>3829</v>
      </c>
      <c r="BI12" t="s">
        <v>122</v>
      </c>
      <c r="BJ12" t="s">
        <v>225</v>
      </c>
      <c r="BK12" t="s">
        <v>225</v>
      </c>
      <c r="BL12" t="s">
        <v>351</v>
      </c>
      <c r="BM12" t="s">
        <v>351</v>
      </c>
      <c r="BN12" t="s">
        <v>3831</v>
      </c>
      <c r="BO12" t="s">
        <v>3823</v>
      </c>
      <c r="BP12" t="s">
        <v>3832</v>
      </c>
      <c r="BQ12" t="s">
        <v>225</v>
      </c>
      <c r="BR12" t="s">
        <v>225</v>
      </c>
      <c r="BS12" t="s">
        <v>225</v>
      </c>
      <c r="BT12" t="s">
        <v>3833</v>
      </c>
      <c r="CS12" t="s">
        <v>3882</v>
      </c>
      <c r="CT12" t="s">
        <v>3816</v>
      </c>
      <c r="CU12" t="s">
        <v>3817</v>
      </c>
      <c r="CV12" t="s">
        <v>3818</v>
      </c>
      <c r="CW12" t="s">
        <v>3819</v>
      </c>
      <c r="CX12" t="s">
        <v>442</v>
      </c>
      <c r="CY12" t="s">
        <v>441</v>
      </c>
      <c r="CZ12" t="s">
        <v>456</v>
      </c>
      <c r="DA12" t="s">
        <v>457</v>
      </c>
      <c r="DB12" t="s">
        <v>3819</v>
      </c>
      <c r="DC12" t="s">
        <v>371</v>
      </c>
      <c r="DD12" t="s">
        <v>286</v>
      </c>
      <c r="DE12" t="s">
        <v>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512D1-629D-C0B8-7BE8-A4E5F35051B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5C98-75B8-DF78-9048-23B7BB4F311A}">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7" hidden="1" customWidth="1"/>
    <col min="2" max="2" width="14.28515625" style="340" hidden="1" customWidth="1"/>
    <col min="3" max="4" width="3.5703125" style="227" hidden="1" customWidth="1"/>
    <col min="5" max="5" width="4.7109375" style="450"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x14ac:dyDescent="0.2">
      <c r="E1" s="227"/>
    </row>
    <row r="2" spans="1:5" s="340" customFormat="1" ht="11.25" hidden="1" customHeight="1" x14ac:dyDescent="0.2">
      <c r="B2" s="342" t="s">
        <v>18</v>
      </c>
    </row>
    <row r="3" spans="1:5" ht="11.25" hidden="1" customHeight="1" x14ac:dyDescent="0.2">
      <c r="E3" s="227"/>
    </row>
    <row r="4" spans="1:5" ht="11.25" hidden="1" customHeight="1" x14ac:dyDescent="0.2">
      <c r="E4" s="227"/>
    </row>
    <row r="5" spans="1:5" s="450" customFormat="1" ht="11.25" hidden="1" customHeight="1" x14ac:dyDescent="0.2">
      <c r="A5" s="227"/>
      <c r="B5" s="340"/>
      <c r="C5" s="227"/>
      <c r="D5" s="227"/>
      <c r="E5" s="449"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5"/>
    </row>
    <row r="22" spans="1:31" ht="24.75" customHeight="1" x14ac:dyDescent="0.2">
      <c r="AB22" s="228" t="s">
        <v>28</v>
      </c>
      <c r="AC22" s="229"/>
      <c r="AD22" s="229"/>
    </row>
    <row r="23" spans="1:31" ht="16.5" customHeight="1" x14ac:dyDescent="0.2">
      <c r="AB23" s="233" t="s">
        <v>29</v>
      </c>
    </row>
    <row r="24" spans="1:31" ht="27" customHeight="1" x14ac:dyDescent="0.2">
      <c r="B24" s="342" t="b">
        <v>1</v>
      </c>
      <c r="E24" s="450">
        <v>27.75</v>
      </c>
      <c r="AB24" s="230" t="s">
        <v>30</v>
      </c>
      <c r="AC24" s="231" t="s">
        <v>31</v>
      </c>
      <c r="AD24" s="232" t="s">
        <v>32</v>
      </c>
    </row>
    <row r="25" spans="1:31" ht="27" customHeight="1" x14ac:dyDescent="0.2">
      <c r="B25" s="342" t="b">
        <v>1</v>
      </c>
      <c r="E25" s="450">
        <v>27.75</v>
      </c>
      <c r="AB25" s="230" t="s">
        <v>30</v>
      </c>
      <c r="AC25" s="231" t="s">
        <v>33</v>
      </c>
      <c r="AD25" s="232" t="s">
        <v>34</v>
      </c>
    </row>
    <row r="26" spans="1:31" ht="27" customHeight="1" x14ac:dyDescent="0.2">
      <c r="B26" s="342" t="b">
        <v>1</v>
      </c>
      <c r="E26" s="450">
        <v>27.75</v>
      </c>
      <c r="AB26" s="230" t="s">
        <v>30</v>
      </c>
      <c r="AC26" s="231" t="s">
        <v>35</v>
      </c>
      <c r="AD26" s="232" t="s">
        <v>36</v>
      </c>
    </row>
    <row r="27" spans="1:31" ht="27" customHeight="1" x14ac:dyDescent="0.2">
      <c r="B27" s="342" t="b">
        <v>1</v>
      </c>
      <c r="E27" s="450">
        <v>27.75</v>
      </c>
      <c r="AB27" s="230" t="s">
        <v>30</v>
      </c>
      <c r="AC27" s="231" t="s">
        <v>37</v>
      </c>
      <c r="AD27" s="232" t="s">
        <v>38</v>
      </c>
    </row>
    <row r="28" spans="1:31" ht="27" customHeight="1" x14ac:dyDescent="0.2">
      <c r="B28" s="342" t="b">
        <f>NOT(method_reg="Метод сравнения аналогов")</f>
        <v>1</v>
      </c>
      <c r="E28" s="450">
        <v>27.75</v>
      </c>
      <c r="AB28" s="230" t="s">
        <v>30</v>
      </c>
      <c r="AC28" s="231" t="s">
        <v>39</v>
      </c>
      <c r="AD28" s="232" t="s">
        <v>40</v>
      </c>
    </row>
    <row r="29" spans="1:31" s="4" customFormat="1" ht="27" customHeight="1" x14ac:dyDescent="0.2">
      <c r="A29" s="227"/>
      <c r="B29" s="342" t="b">
        <f>method_reg="Метод индексации"</f>
        <v>1</v>
      </c>
      <c r="C29" s="227"/>
      <c r="D29" s="227"/>
      <c r="E29" s="450">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x14ac:dyDescent="0.2">
      <c r="B30" s="342" t="b">
        <v>1</v>
      </c>
      <c r="E30" s="450">
        <v>27.75</v>
      </c>
      <c r="AB30" s="230" t="s">
        <v>30</v>
      </c>
      <c r="AC30" s="231" t="s">
        <v>43</v>
      </c>
      <c r="AD30" s="232" t="s">
        <v>44</v>
      </c>
    </row>
    <row r="31" spans="1:31" ht="27" customHeight="1" x14ac:dyDescent="0.2">
      <c r="B31" s="342" t="b">
        <f>OR(method_reg="Метод индексации",method_reg="Метод сравнения аналогов")</f>
        <v>1</v>
      </c>
      <c r="E31" s="450">
        <v>27.75</v>
      </c>
      <c r="AB31" s="230" t="s">
        <v>30</v>
      </c>
      <c r="AC31" s="231" t="s">
        <v>45</v>
      </c>
      <c r="AD31" s="232" t="s">
        <v>46</v>
      </c>
      <c r="AE31" s="22"/>
    </row>
    <row r="32" spans="1:31" ht="27" customHeight="1" x14ac:dyDescent="0.2">
      <c r="B32" s="342" t="b">
        <f>NOT(method_reg="Метод сравнения аналогов")</f>
        <v>1</v>
      </c>
      <c r="E32" s="450">
        <v>27.75</v>
      </c>
      <c r="AB32" s="230" t="s">
        <v>30</v>
      </c>
      <c r="AC32" s="231" t="s">
        <v>47</v>
      </c>
      <c r="AD32" s="232" t="s">
        <v>48</v>
      </c>
    </row>
    <row r="33" spans="2:30" ht="27" customHeight="1" x14ac:dyDescent="0.2">
      <c r="B33" s="342" t="b">
        <f>NOT(method_reg="Метод сравнения аналогов")</f>
        <v>1</v>
      </c>
      <c r="E33" s="450">
        <v>27.75</v>
      </c>
      <c r="AB33" s="230" t="s">
        <v>30</v>
      </c>
      <c r="AC33" s="231" t="s">
        <v>49</v>
      </c>
      <c r="AD33" s="232" t="s">
        <v>50</v>
      </c>
    </row>
    <row r="34" spans="2:30" ht="27" customHeight="1" x14ac:dyDescent="0.2">
      <c r="B34" s="342" t="b">
        <f>NOT(method_reg="Метод сравнения аналогов")</f>
        <v>1</v>
      </c>
      <c r="E34" s="450">
        <v>27.75</v>
      </c>
      <c r="AB34" s="230" t="s">
        <v>30</v>
      </c>
      <c r="AC34" s="231" t="s">
        <v>51</v>
      </c>
      <c r="AD34" s="232" t="s">
        <v>52</v>
      </c>
    </row>
    <row r="35" spans="2:30" ht="27" hidden="1" customHeight="1" x14ac:dyDescent="0.2">
      <c r="B35" s="342" t="b">
        <f>method_reg="Метод сравнения аналогов"</f>
        <v>0</v>
      </c>
      <c r="E35" s="450">
        <v>27.75</v>
      </c>
      <c r="AB35" s="230" t="s">
        <v>53</v>
      </c>
      <c r="AC35" s="231" t="s">
        <v>54</v>
      </c>
      <c r="AD35" s="232" t="s">
        <v>55</v>
      </c>
    </row>
    <row r="36" spans="2:30" ht="27" customHeight="1" x14ac:dyDescent="0.2">
      <c r="B36" s="342" t="b">
        <f>NOT(method_reg="Метод сравнения аналогов")</f>
        <v>1</v>
      </c>
      <c r="E36" s="450">
        <v>27.75</v>
      </c>
      <c r="AB36" s="230" t="s">
        <v>30</v>
      </c>
      <c r="AC36" s="231" t="s">
        <v>56</v>
      </c>
      <c r="AD36" s="232" t="s">
        <v>57</v>
      </c>
    </row>
    <row r="37" spans="2:30" ht="27" customHeight="1" x14ac:dyDescent="0.2">
      <c r="B37" s="342" t="b">
        <f>NOT(method_reg="Метод сравнения аналогов")</f>
        <v>1</v>
      </c>
      <c r="E37" s="450">
        <v>27.75</v>
      </c>
      <c r="AB37" s="230" t="s">
        <v>30</v>
      </c>
      <c r="AC37" s="231" t="s">
        <v>58</v>
      </c>
      <c r="AD37" s="232" t="s">
        <v>59</v>
      </c>
    </row>
    <row r="38" spans="2:30" ht="27" hidden="1" customHeight="1" x14ac:dyDescent="0.2">
      <c r="B38" s="342" t="b">
        <f>AND(OR(god=first_year,method_reg="Метод обеспечения доходности инвестированного капитала"),NOT(method_reg="Метод сравнения аналогов"))</f>
        <v>0</v>
      </c>
      <c r="E38" s="450">
        <v>27.75</v>
      </c>
      <c r="AB38" s="230" t="s">
        <v>53</v>
      </c>
      <c r="AC38" s="231" t="s">
        <v>60</v>
      </c>
      <c r="AD38" s="259" t="s">
        <v>61</v>
      </c>
    </row>
    <row r="39" spans="2:30" ht="27" hidden="1" customHeight="1" x14ac:dyDescent="0.2">
      <c r="B39" s="342" t="b">
        <f>AND(OR(god=first_year,method_reg="Метод обеспечения доходности инвестированного капитала"),NOT(method_reg="Метод сравнения аналогов"))</f>
        <v>0</v>
      </c>
      <c r="E39" s="450">
        <v>27.75</v>
      </c>
      <c r="AB39" s="230" t="s">
        <v>53</v>
      </c>
      <c r="AC39" s="231" t="s">
        <v>62</v>
      </c>
      <c r="AD39" s="259" t="s">
        <v>63</v>
      </c>
    </row>
    <row r="40" spans="2:30" ht="27" hidden="1" customHeight="1" x14ac:dyDescent="0.2">
      <c r="B40" s="342" t="b">
        <f>AND(OR(god=first_year,method_reg="Метод обеспечения доходности инвестированного капитала"),NOT(method_reg="Метод сравнения аналогов"),STATUS_GO="да")</f>
        <v>0</v>
      </c>
      <c r="E40" s="450">
        <v>27.75</v>
      </c>
      <c r="AB40" s="230" t="s">
        <v>53</v>
      </c>
      <c r="AC40" s="231" t="s">
        <v>64</v>
      </c>
      <c r="AD40" s="259" t="s">
        <v>65</v>
      </c>
    </row>
    <row r="41" spans="2:30" ht="27" customHeight="1" x14ac:dyDescent="0.2">
      <c r="B41" s="342" t="b">
        <f>NOT(method_reg="Метод сравнения аналогов")</f>
        <v>1</v>
      </c>
      <c r="E41" s="450">
        <v>27.75</v>
      </c>
      <c r="AB41" s="230" t="s">
        <v>30</v>
      </c>
      <c r="AC41" s="231" t="s">
        <v>66</v>
      </c>
      <c r="AD41" s="232" t="s">
        <v>67</v>
      </c>
    </row>
    <row r="42" spans="2:30" ht="27" hidden="1" customHeight="1" x14ac:dyDescent="0.2">
      <c r="B42" s="342" t="b">
        <f>AND(method_reg&lt;&gt;"Метод сравнения аналогов",OR(HAS_DOC5="да",HAS_DOC6="да"))</f>
        <v>0</v>
      </c>
      <c r="E42" s="450">
        <v>27.75</v>
      </c>
      <c r="AB42" s="230" t="s">
        <v>53</v>
      </c>
      <c r="AC42" s="231" t="s">
        <v>68</v>
      </c>
      <c r="AD42" s="232" t="s">
        <v>69</v>
      </c>
    </row>
    <row r="43" spans="2:30" ht="27" customHeight="1" x14ac:dyDescent="0.2">
      <c r="B43" s="342" t="b">
        <f>AND(NOT(method_reg="Метод экономически обоснованных расходов"),NOT(method_reg="Метод сравнения аналогов"))</f>
        <v>1</v>
      </c>
      <c r="E43" s="450">
        <v>27.75</v>
      </c>
      <c r="AB43" s="230" t="s">
        <v>30</v>
      </c>
      <c r="AC43" s="231" t="s">
        <v>70</v>
      </c>
      <c r="AD43" s="232" t="s">
        <v>71</v>
      </c>
    </row>
    <row r="44" spans="2:30" ht="27" customHeight="1" x14ac:dyDescent="0.2">
      <c r="B44" s="342" t="b">
        <f>AND(NOT(method_reg="Метод сравнения аналогов"),hasVO)</f>
        <v>1</v>
      </c>
      <c r="E44" s="450">
        <v>27.75</v>
      </c>
      <c r="AB44" s="230" t="s">
        <v>30</v>
      </c>
      <c r="AC44" s="231" t="s">
        <v>72</v>
      </c>
      <c r="AD44" s="232" t="s">
        <v>73</v>
      </c>
    </row>
    <row r="45" spans="2:30" ht="27" customHeight="1" x14ac:dyDescent="0.2">
      <c r="B45" s="342" t="b">
        <f>AND(NOT(method_reg="Метод экономически обоснованных расходов"),NOT(method_reg="Метод сравнения аналогов"))</f>
        <v>1</v>
      </c>
      <c r="E45" s="450">
        <v>27.75</v>
      </c>
      <c r="AB45" s="230" t="s">
        <v>30</v>
      </c>
      <c r="AC45" s="231" t="s">
        <v>74</v>
      </c>
      <c r="AD45" s="232" t="s">
        <v>75</v>
      </c>
    </row>
    <row r="46" spans="2:30" ht="27" hidden="1" customHeight="1" x14ac:dyDescent="0.2">
      <c r="B46" s="342" t="b">
        <f>method_reg="Метод экономически обоснованных расходов"</f>
        <v>0</v>
      </c>
      <c r="E46" s="450">
        <v>27.75</v>
      </c>
      <c r="AB46" s="230" t="s">
        <v>53</v>
      </c>
      <c r="AC46" s="231" t="s">
        <v>76</v>
      </c>
      <c r="AD46" s="232" t="s">
        <v>77</v>
      </c>
    </row>
    <row r="47" spans="2:30" ht="27" hidden="1" customHeight="1" x14ac:dyDescent="0.2">
      <c r="B47" s="342" t="b">
        <f>AND(first_year=god,OR(method_reg="Метод обеспечения доходности инвестированного капитала",method_reg="Метод индексации"))</f>
        <v>0</v>
      </c>
      <c r="E47" s="450">
        <v>27.75</v>
      </c>
      <c r="AB47" s="230" t="s">
        <v>53</v>
      </c>
      <c r="AC47" s="231" t="s">
        <v>78</v>
      </c>
      <c r="AD47" s="232" t="s">
        <v>79</v>
      </c>
    </row>
    <row r="48" spans="2:30" ht="27.2" customHeight="1" x14ac:dyDescent="0.2">
      <c r="B48" s="377" t="b">
        <f>AND(OR(method_reg="Метод индексации",method_reg="Метод обеспечения доходности инвестированного капитала"),first_year&lt;&gt;god)</f>
        <v>1</v>
      </c>
      <c r="E48" s="450">
        <v>27.8</v>
      </c>
      <c r="AB48" s="230" t="s">
        <v>30</v>
      </c>
      <c r="AC48" s="231" t="s">
        <v>80</v>
      </c>
      <c r="AD48" s="232" t="s">
        <v>79</v>
      </c>
    </row>
    <row r="49" spans="2:31" ht="27" customHeight="1" x14ac:dyDescent="0.2">
      <c r="B49" s="342" t="b">
        <f>NOT(method_reg="Метод сравнения аналогов")</f>
        <v>1</v>
      </c>
      <c r="E49" s="450">
        <v>27.75</v>
      </c>
      <c r="AB49" s="230" t="s">
        <v>30</v>
      </c>
      <c r="AC49" s="231" t="s">
        <v>81</v>
      </c>
      <c r="AD49" s="232" t="s">
        <v>82</v>
      </c>
    </row>
    <row r="50" spans="2:31" ht="27" customHeight="1" x14ac:dyDescent="0.2">
      <c r="B50" s="342" t="b">
        <f>OR(method_reg="Метод индексации",method_reg="Метод обеспечения доходности инвестированного капитала")</f>
        <v>1</v>
      </c>
      <c r="E50" s="450">
        <v>27.75</v>
      </c>
      <c r="AB50" s="230" t="s">
        <v>30</v>
      </c>
      <c r="AC50" s="231" t="s">
        <v>83</v>
      </c>
      <c r="AD50" s="232" t="s">
        <v>84</v>
      </c>
    </row>
    <row r="51" spans="2:31" ht="27" customHeight="1" x14ac:dyDescent="0.2">
      <c r="B51" s="342" t="b">
        <f>OR(method_reg="Метод индексации",method_reg="Метод обеспечения доходности инвестированного капитала")</f>
        <v>1</v>
      </c>
      <c r="E51" s="450">
        <v>27.75</v>
      </c>
      <c r="AB51" s="230" t="s">
        <v>30</v>
      </c>
      <c r="AC51" s="231" t="s">
        <v>85</v>
      </c>
      <c r="AD51" s="232" t="s">
        <v>86</v>
      </c>
    </row>
    <row r="52" spans="2:31" ht="27" hidden="1" customHeight="1" x14ac:dyDescent="0.2">
      <c r="B52" s="342" t="b">
        <f>OR(method_reg="Метод сравнения аналогов",AND(method_reg="Метод индексации",STATUS_GO="да"))</f>
        <v>0</v>
      </c>
      <c r="E52" s="450">
        <v>27.75</v>
      </c>
      <c r="AB52" s="230" t="s">
        <v>53</v>
      </c>
      <c r="AC52" s="231" t="s">
        <v>87</v>
      </c>
      <c r="AD52" s="232" t="s">
        <v>88</v>
      </c>
    </row>
    <row r="53" spans="2:31" ht="27" hidden="1" customHeight="1" x14ac:dyDescent="0.2">
      <c r="B53" s="342" t="b">
        <f>method_reg="Метод сравнения аналогов"</f>
        <v>0</v>
      </c>
      <c r="E53" s="450">
        <v>27.75</v>
      </c>
      <c r="AB53" s="230" t="s">
        <v>53</v>
      </c>
      <c r="AC53" s="231" t="s">
        <v>89</v>
      </c>
      <c r="AD53" s="259"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ED208-3158-A336-AEF7-0D40EC4FA258}">
  <sheetPr>
    <tabColor rgb="FFFFCC99"/>
  </sheetPr>
  <dimension ref="A1:W5"/>
  <sheetViews>
    <sheetView showGridLines="0" workbookViewId="0"/>
  </sheetViews>
  <sheetFormatPr defaultRowHeight="11.25" customHeight="1" x14ac:dyDescent="0.15"/>
  <sheetData>
    <row r="1" spans="1:23" ht="11.25" customHeight="1" x14ac:dyDescent="0.15">
      <c r="A1" t="s">
        <v>3883</v>
      </c>
      <c r="B1" t="s">
        <v>3720</v>
      </c>
      <c r="C1" t="s">
        <v>3884</v>
      </c>
      <c r="D1" t="s">
        <v>3885</v>
      </c>
      <c r="E1" t="s">
        <v>3886</v>
      </c>
      <c r="F1" t="s">
        <v>3887</v>
      </c>
      <c r="G1" t="s">
        <v>3888</v>
      </c>
      <c r="H1" t="s">
        <v>3889</v>
      </c>
      <c r="I1" t="s">
        <v>3890</v>
      </c>
      <c r="J1" t="s">
        <v>3891</v>
      </c>
      <c r="K1" t="s">
        <v>3892</v>
      </c>
      <c r="L1" t="s">
        <v>3893</v>
      </c>
      <c r="M1" t="s">
        <v>3894</v>
      </c>
      <c r="N1" t="s">
        <v>3895</v>
      </c>
      <c r="O1" t="s">
        <v>3896</v>
      </c>
      <c r="P1" t="s">
        <v>3897</v>
      </c>
      <c r="Q1" t="s">
        <v>3898</v>
      </c>
      <c r="R1" t="s">
        <v>3899</v>
      </c>
      <c r="S1" t="s">
        <v>3900</v>
      </c>
      <c r="T1" t="s">
        <v>3901</v>
      </c>
      <c r="U1" t="s">
        <v>3902</v>
      </c>
      <c r="V1" t="s">
        <v>3903</v>
      </c>
      <c r="W1" t="s">
        <v>3904</v>
      </c>
    </row>
    <row r="2" spans="1:23" ht="11.25" customHeight="1" x14ac:dyDescent="0.15">
      <c r="A2" t="s">
        <v>3905</v>
      </c>
      <c r="B2">
        <v>8741406002</v>
      </c>
      <c r="C2" t="s">
        <v>3906</v>
      </c>
      <c r="D2" t="s">
        <v>3907</v>
      </c>
      <c r="E2" t="s">
        <v>279</v>
      </c>
      <c r="F2" t="s">
        <v>3908</v>
      </c>
      <c r="G2" t="s">
        <v>3909</v>
      </c>
      <c r="I2" t="s">
        <v>3910</v>
      </c>
      <c r="J2" t="s">
        <v>283</v>
      </c>
      <c r="L2" t="s">
        <v>3911</v>
      </c>
      <c r="U2" t="s">
        <v>3912</v>
      </c>
    </row>
    <row r="3" spans="1:23" ht="11.25" customHeight="1" x14ac:dyDescent="0.15">
      <c r="A3" t="s">
        <v>277</v>
      </c>
      <c r="B3">
        <v>8742570295</v>
      </c>
      <c r="C3" t="s">
        <v>3906</v>
      </c>
      <c r="D3" t="s">
        <v>278</v>
      </c>
      <c r="E3" t="s">
        <v>279</v>
      </c>
      <c r="F3" t="s">
        <v>280</v>
      </c>
      <c r="G3" t="s">
        <v>281</v>
      </c>
      <c r="I3" t="s">
        <v>282</v>
      </c>
      <c r="J3" t="s">
        <v>283</v>
      </c>
      <c r="L3" t="s">
        <v>103</v>
      </c>
      <c r="O3">
        <v>3.77</v>
      </c>
      <c r="P3">
        <v>4.0679982258000003</v>
      </c>
      <c r="U3" t="s">
        <v>3912</v>
      </c>
      <c r="V3" t="s">
        <v>3913</v>
      </c>
      <c r="W3" t="s">
        <v>3914</v>
      </c>
    </row>
    <row r="4" spans="1:23" ht="11.25" customHeight="1" x14ac:dyDescent="0.15">
      <c r="A4" t="s">
        <v>292</v>
      </c>
      <c r="B4">
        <v>8742570295</v>
      </c>
      <c r="C4" t="s">
        <v>3906</v>
      </c>
      <c r="D4" t="s">
        <v>293</v>
      </c>
      <c r="E4" t="s">
        <v>279</v>
      </c>
      <c r="F4" t="s">
        <v>294</v>
      </c>
      <c r="G4" t="s">
        <v>295</v>
      </c>
      <c r="I4" t="s">
        <v>282</v>
      </c>
      <c r="J4" t="s">
        <v>283</v>
      </c>
      <c r="L4" t="s">
        <v>103</v>
      </c>
      <c r="S4">
        <v>0.52200009970000005</v>
      </c>
      <c r="T4">
        <v>0.52200009970000005</v>
      </c>
      <c r="U4" t="s">
        <v>3912</v>
      </c>
      <c r="V4" t="s">
        <v>3915</v>
      </c>
      <c r="W4" t="s">
        <v>3915</v>
      </c>
    </row>
    <row r="5" spans="1:23" ht="11.25" customHeight="1" x14ac:dyDescent="0.15">
      <c r="A5" t="s">
        <v>287</v>
      </c>
      <c r="B5">
        <v>8742570295</v>
      </c>
      <c r="C5" t="s">
        <v>3906</v>
      </c>
      <c r="D5" t="s">
        <v>288</v>
      </c>
      <c r="E5" t="s">
        <v>279</v>
      </c>
      <c r="F5" t="s">
        <v>289</v>
      </c>
      <c r="G5" t="s">
        <v>290</v>
      </c>
      <c r="I5" t="s">
        <v>282</v>
      </c>
      <c r="J5" t="s">
        <v>283</v>
      </c>
      <c r="L5" t="s">
        <v>103</v>
      </c>
      <c r="O5">
        <v>49.66</v>
      </c>
      <c r="P5">
        <v>54.650010290499999</v>
      </c>
      <c r="U5" t="s">
        <v>3912</v>
      </c>
      <c r="V5" t="s">
        <v>3916</v>
      </c>
      <c r="W5" t="s">
        <v>3917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649ED-E878-2198-FD98-2C93FD55B0B1}">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3918</v>
      </c>
      <c r="C1" s="4" t="s">
        <v>3919</v>
      </c>
    </row>
    <row r="2" spans="1:3" ht="11.25" customHeight="1" x14ac:dyDescent="0.15">
      <c r="A2" s="4" t="s">
        <v>3920</v>
      </c>
    </row>
    <row r="3" spans="1:3" ht="11.25" customHeight="1" x14ac:dyDescent="0.15">
      <c r="A3" s="4" t="s">
        <v>3921</v>
      </c>
      <c r="C3" t="s">
        <v>3922</v>
      </c>
    </row>
    <row r="4" spans="1:3" ht="11.25" customHeight="1" x14ac:dyDescent="0.15">
      <c r="A4" s="4" t="s">
        <v>3105</v>
      </c>
      <c r="C4" t="s">
        <v>3923</v>
      </c>
    </row>
    <row r="5" spans="1:3" ht="11.25" customHeight="1" x14ac:dyDescent="0.15">
      <c r="A5" s="4" t="s">
        <v>127</v>
      </c>
      <c r="C5" t="s">
        <v>3924</v>
      </c>
    </row>
    <row r="6" spans="1:3" ht="11.25" customHeight="1" x14ac:dyDescent="0.15">
      <c r="A6" s="4" t="s">
        <v>3321</v>
      </c>
      <c r="C6" t="s">
        <v>3925</v>
      </c>
    </row>
    <row r="7" spans="1:3" ht="11.25" customHeight="1" x14ac:dyDescent="0.15">
      <c r="A7" s="4" t="s">
        <v>3926</v>
      </c>
      <c r="C7" t="s">
        <v>3927</v>
      </c>
    </row>
    <row r="8" spans="1:3" ht="11.25" customHeight="1" x14ac:dyDescent="0.15">
      <c r="A8" s="4" t="s">
        <v>3928</v>
      </c>
      <c r="C8" t="s">
        <v>3929</v>
      </c>
    </row>
    <row r="9" spans="1:3" ht="11.25" customHeight="1" x14ac:dyDescent="0.15">
      <c r="A9" s="4" t="s">
        <v>3930</v>
      </c>
      <c r="C9" t="s">
        <v>3931</v>
      </c>
    </row>
    <row r="10" spans="1:3" ht="11.25" customHeight="1" x14ac:dyDescent="0.15">
      <c r="A10" s="4" t="s">
        <v>3932</v>
      </c>
      <c r="C10" t="s">
        <v>3933</v>
      </c>
    </row>
    <row r="11" spans="1:3" ht="11.25" customHeight="1" x14ac:dyDescent="0.15">
      <c r="A11" s="4" t="s">
        <v>3934</v>
      </c>
      <c r="C11" t="s">
        <v>3935</v>
      </c>
    </row>
    <row r="12" spans="1:3" ht="11.25" customHeight="1" x14ac:dyDescent="0.15">
      <c r="A12" s="4" t="s">
        <v>3936</v>
      </c>
      <c r="C12" t="s">
        <v>3937</v>
      </c>
    </row>
    <row r="13" spans="1:3" ht="11.25" customHeight="1" x14ac:dyDescent="0.15">
      <c r="A13" s="4" t="s">
        <v>3938</v>
      </c>
      <c r="C13" t="s">
        <v>3939</v>
      </c>
    </row>
    <row r="14" spans="1:3" ht="11.25" customHeight="1" x14ac:dyDescent="0.15">
      <c r="A14" s="4" t="s">
        <v>3940</v>
      </c>
      <c r="C14" t="s">
        <v>3941</v>
      </c>
    </row>
    <row r="15" spans="1:3" ht="11.25" customHeight="1" x14ac:dyDescent="0.15">
      <c r="A15" s="4" t="s">
        <v>3942</v>
      </c>
      <c r="C15" t="s">
        <v>3943</v>
      </c>
    </row>
    <row r="16" spans="1:3" ht="11.25" customHeight="1" x14ac:dyDescent="0.15">
      <c r="A16" s="4" t="s">
        <v>3944</v>
      </c>
      <c r="C16" t="s">
        <v>3945</v>
      </c>
    </row>
    <row r="17" spans="1:3" ht="11.25" customHeight="1" x14ac:dyDescent="0.15">
      <c r="A17" s="4" t="s">
        <v>3946</v>
      </c>
      <c r="C17" t="s">
        <v>3947</v>
      </c>
    </row>
    <row r="18" spans="1:3" ht="11.25" customHeight="1" x14ac:dyDescent="0.15">
      <c r="A18" s="4" t="s">
        <v>3948</v>
      </c>
      <c r="C18" t="s">
        <v>3949</v>
      </c>
    </row>
    <row r="19" spans="1:3" ht="11.25" customHeight="1" x14ac:dyDescent="0.15">
      <c r="A19" s="4" t="s">
        <v>3950</v>
      </c>
      <c r="C19" t="s">
        <v>3951</v>
      </c>
    </row>
    <row r="20" spans="1:3" ht="11.25" customHeight="1" x14ac:dyDescent="0.15">
      <c r="A20" s="4" t="s">
        <v>3952</v>
      </c>
      <c r="C20" t="s">
        <v>3953</v>
      </c>
    </row>
    <row r="21" spans="1:3" ht="11.25" customHeight="1" x14ac:dyDescent="0.15">
      <c r="A21" s="4" t="s">
        <v>3954</v>
      </c>
      <c r="C21" t="s">
        <v>3955</v>
      </c>
    </row>
    <row r="22" spans="1:3" ht="11.25" customHeight="1" x14ac:dyDescent="0.15">
      <c r="A22" s="4" t="s">
        <v>3956</v>
      </c>
      <c r="C22" t="s">
        <v>3957</v>
      </c>
    </row>
    <row r="23" spans="1:3" ht="11.25" customHeight="1" x14ac:dyDescent="0.15">
      <c r="A23" s="4" t="s">
        <v>3958</v>
      </c>
      <c r="C23" t="s">
        <v>3959</v>
      </c>
    </row>
    <row r="24" spans="1:3" ht="11.25" customHeight="1" x14ac:dyDescent="0.15">
      <c r="A24" s="4" t="s">
        <v>3960</v>
      </c>
      <c r="C24" t="s">
        <v>3961</v>
      </c>
    </row>
    <row r="25" spans="1:3" ht="11.25" customHeight="1" x14ac:dyDescent="0.15">
      <c r="A25" s="4" t="s">
        <v>3962</v>
      </c>
      <c r="C25" t="s">
        <v>3963</v>
      </c>
    </row>
    <row r="26" spans="1:3" ht="11.25" customHeight="1" x14ac:dyDescent="0.15">
      <c r="A26" s="4" t="s">
        <v>3964</v>
      </c>
      <c r="C26" t="s">
        <v>3965</v>
      </c>
    </row>
    <row r="27" spans="1:3" ht="11.25" customHeight="1" x14ac:dyDescent="0.15">
      <c r="A27" s="4" t="s">
        <v>3966</v>
      </c>
      <c r="C27" t="s">
        <v>3967</v>
      </c>
    </row>
    <row r="28" spans="1:3" ht="11.25" customHeight="1" x14ac:dyDescent="0.15">
      <c r="A28" s="4" t="s">
        <v>3968</v>
      </c>
      <c r="C28" t="s">
        <v>3969</v>
      </c>
    </row>
    <row r="29" spans="1:3" ht="11.25" customHeight="1" x14ac:dyDescent="0.15">
      <c r="A29" s="4" t="s">
        <v>3970</v>
      </c>
      <c r="C29" t="s">
        <v>3971</v>
      </c>
    </row>
    <row r="30" spans="1:3" ht="11.25" customHeight="1" x14ac:dyDescent="0.15">
      <c r="A30" s="4" t="s">
        <v>3972</v>
      </c>
      <c r="C30" t="s">
        <v>3973</v>
      </c>
    </row>
    <row r="31" spans="1:3" ht="11.25" customHeight="1" x14ac:dyDescent="0.15">
      <c r="A31" s="4" t="s">
        <v>3974</v>
      </c>
      <c r="C31" t="s">
        <v>3975</v>
      </c>
    </row>
    <row r="32" spans="1:3" ht="11.25" customHeight="1" x14ac:dyDescent="0.15">
      <c r="A32" s="4" t="s">
        <v>3976</v>
      </c>
      <c r="C32" t="s">
        <v>3977</v>
      </c>
    </row>
    <row r="33" spans="1:3" ht="11.25" customHeight="1" x14ac:dyDescent="0.15">
      <c r="A33" s="4" t="s">
        <v>3978</v>
      </c>
      <c r="C33" t="s">
        <v>3979</v>
      </c>
    </row>
    <row r="34" spans="1:3" ht="11.25" customHeight="1" x14ac:dyDescent="0.15">
      <c r="A34" s="4" t="s">
        <v>3980</v>
      </c>
      <c r="C34" t="s">
        <v>3981</v>
      </c>
    </row>
    <row r="35" spans="1:3" ht="11.25" customHeight="1" x14ac:dyDescent="0.15">
      <c r="A35" s="4" t="s">
        <v>3982</v>
      </c>
      <c r="C35" t="s">
        <v>3983</v>
      </c>
    </row>
    <row r="36" spans="1:3" ht="11.25" customHeight="1" x14ac:dyDescent="0.15">
      <c r="A36" s="4" t="s">
        <v>3984</v>
      </c>
      <c r="C36" t="s">
        <v>3985</v>
      </c>
    </row>
    <row r="37" spans="1:3" ht="11.25" customHeight="1" x14ac:dyDescent="0.15">
      <c r="A37" s="4" t="s">
        <v>3986</v>
      </c>
      <c r="C37" t="s">
        <v>3987</v>
      </c>
    </row>
    <row r="38" spans="1:3" ht="11.25" customHeight="1" x14ac:dyDescent="0.15">
      <c r="A38" s="4" t="s">
        <v>3988</v>
      </c>
      <c r="C38" t="s">
        <v>3989</v>
      </c>
    </row>
    <row r="39" spans="1:3" ht="11.25" customHeight="1" x14ac:dyDescent="0.15">
      <c r="A39" s="4" t="s">
        <v>3990</v>
      </c>
      <c r="C39" t="s">
        <v>3991</v>
      </c>
    </row>
    <row r="40" spans="1:3" ht="11.25" customHeight="1" x14ac:dyDescent="0.15">
      <c r="A40" s="4" t="s">
        <v>3992</v>
      </c>
      <c r="C40" t="s">
        <v>3993</v>
      </c>
    </row>
    <row r="41" spans="1:3" ht="11.25" customHeight="1" x14ac:dyDescent="0.15">
      <c r="A41" s="4" t="s">
        <v>3994</v>
      </c>
      <c r="C41" t="s">
        <v>3995</v>
      </c>
    </row>
    <row r="42" spans="1:3" ht="11.25" customHeight="1" x14ac:dyDescent="0.15">
      <c r="A42" s="4" t="s">
        <v>3996</v>
      </c>
      <c r="C42" t="s">
        <v>3997</v>
      </c>
    </row>
    <row r="43" spans="1:3" ht="11.25" customHeight="1" x14ac:dyDescent="0.15">
      <c r="A43" s="4" t="s">
        <v>3998</v>
      </c>
      <c r="C43" t="s">
        <v>3999</v>
      </c>
    </row>
    <row r="44" spans="1:3" ht="11.25" customHeight="1" x14ac:dyDescent="0.15">
      <c r="A44" s="4" t="s">
        <v>4000</v>
      </c>
    </row>
    <row r="45" spans="1:3" ht="11.25" customHeight="1" x14ac:dyDescent="0.15">
      <c r="A45" s="4" t="s">
        <v>4001</v>
      </c>
    </row>
    <row r="46" spans="1:3" ht="11.25" customHeight="1" x14ac:dyDescent="0.15">
      <c r="A46" s="4" t="s">
        <v>4002</v>
      </c>
    </row>
    <row r="47" spans="1:3" ht="11.25" customHeight="1" x14ac:dyDescent="0.15">
      <c r="A47" s="4" t="s">
        <v>4003</v>
      </c>
    </row>
    <row r="48" spans="1:3" ht="11.25" customHeight="1" x14ac:dyDescent="0.15">
      <c r="A48" s="4" t="s">
        <v>4004</v>
      </c>
    </row>
    <row r="49" spans="1:1" ht="11.25" customHeight="1" x14ac:dyDescent="0.15">
      <c r="A49" s="4" t="s">
        <v>4005</v>
      </c>
    </row>
    <row r="50" spans="1:1" ht="11.25" customHeight="1" x14ac:dyDescent="0.15">
      <c r="A50" s="4" t="s">
        <v>4006</v>
      </c>
    </row>
    <row r="51" spans="1:1" ht="11.25" customHeight="1" x14ac:dyDescent="0.15">
      <c r="A51" s="4" t="s">
        <v>4007</v>
      </c>
    </row>
    <row r="52" spans="1:1" ht="11.25" customHeight="1" x14ac:dyDescent="0.15">
      <c r="A52" s="4" t="s">
        <v>4008</v>
      </c>
    </row>
    <row r="53" spans="1:1" ht="11.25" customHeight="1" x14ac:dyDescent="0.15">
      <c r="A53" s="4" t="s">
        <v>4009</v>
      </c>
    </row>
    <row r="54" spans="1:1" ht="11.25" customHeight="1" x14ac:dyDescent="0.15">
      <c r="A54" s="4" t="s">
        <v>4010</v>
      </c>
    </row>
    <row r="55" spans="1:1" ht="11.25" customHeight="1" x14ac:dyDescent="0.15">
      <c r="A55" s="4" t="s">
        <v>4011</v>
      </c>
    </row>
    <row r="56" spans="1:1" ht="11.25" customHeight="1" x14ac:dyDescent="0.15">
      <c r="A56" s="4" t="s">
        <v>4012</v>
      </c>
    </row>
    <row r="57" spans="1:1" ht="11.25" customHeight="1" x14ac:dyDescent="0.15">
      <c r="A57" s="4" t="s">
        <v>3529</v>
      </c>
    </row>
    <row r="58" spans="1:1" ht="11.25" customHeight="1" x14ac:dyDescent="0.15">
      <c r="A58" s="4" t="s">
        <v>4013</v>
      </c>
    </row>
    <row r="59" spans="1:1" ht="11.25" customHeight="1" x14ac:dyDescent="0.15">
      <c r="A59" s="4" t="s">
        <v>4014</v>
      </c>
    </row>
    <row r="60" spans="1:1" ht="11.25" customHeight="1" x14ac:dyDescent="0.15">
      <c r="A60" s="4" t="s">
        <v>4015</v>
      </c>
    </row>
    <row r="61" spans="1:1" ht="11.25" customHeight="1" x14ac:dyDescent="0.15">
      <c r="A61" s="4" t="s">
        <v>4016</v>
      </c>
    </row>
    <row r="62" spans="1:1" ht="11.25" customHeight="1" x14ac:dyDescent="0.15">
      <c r="A62" s="4" t="s">
        <v>4017</v>
      </c>
    </row>
    <row r="63" spans="1:1" ht="11.25" customHeight="1" x14ac:dyDescent="0.15">
      <c r="A63" s="4" t="s">
        <v>4018</v>
      </c>
    </row>
    <row r="64" spans="1:1" ht="11.25" customHeight="1" x14ac:dyDescent="0.15">
      <c r="A64" s="4" t="s">
        <v>4019</v>
      </c>
    </row>
    <row r="65" spans="1:1" ht="11.25" customHeight="1" x14ac:dyDescent="0.15">
      <c r="A65" s="4" t="s">
        <v>4020</v>
      </c>
    </row>
    <row r="66" spans="1:1" ht="11.25" customHeight="1" x14ac:dyDescent="0.15">
      <c r="A66" s="4" t="s">
        <v>4021</v>
      </c>
    </row>
    <row r="67" spans="1:1" ht="11.25" customHeight="1" x14ac:dyDescent="0.15">
      <c r="A67" s="4" t="s">
        <v>4022</v>
      </c>
    </row>
    <row r="68" spans="1:1" ht="11.25" customHeight="1" x14ac:dyDescent="0.15">
      <c r="A68" s="4" t="s">
        <v>4023</v>
      </c>
    </row>
    <row r="69" spans="1:1" ht="11.25" customHeight="1" x14ac:dyDescent="0.15">
      <c r="A69" s="4" t="s">
        <v>4024</v>
      </c>
    </row>
    <row r="70" spans="1:1" ht="11.25" customHeight="1" x14ac:dyDescent="0.15">
      <c r="A70" s="4" t="s">
        <v>4025</v>
      </c>
    </row>
    <row r="71" spans="1:1" ht="11.25" customHeight="1" x14ac:dyDescent="0.15">
      <c r="A71" s="4" t="s">
        <v>3154</v>
      </c>
    </row>
    <row r="72" spans="1:1" ht="11.25" customHeight="1" x14ac:dyDescent="0.15">
      <c r="A72" s="4" t="s">
        <v>4026</v>
      </c>
    </row>
    <row r="73" spans="1:1" ht="11.25" customHeight="1" x14ac:dyDescent="0.15">
      <c r="A73" s="4" t="s">
        <v>4027</v>
      </c>
    </row>
    <row r="74" spans="1:1" ht="11.25" customHeight="1" x14ac:dyDescent="0.15">
      <c r="A74" s="4" t="s">
        <v>3166</v>
      </c>
    </row>
    <row r="75" spans="1:1" ht="11.25" customHeight="1" x14ac:dyDescent="0.15">
      <c r="A75" s="4" t="s">
        <v>4028</v>
      </c>
    </row>
    <row r="76" spans="1:1" ht="11.25" customHeight="1" x14ac:dyDescent="0.15">
      <c r="A76" s="4" t="s">
        <v>4029</v>
      </c>
    </row>
    <row r="77" spans="1:1" ht="11.25" customHeight="1" x14ac:dyDescent="0.15">
      <c r="A77" s="4" t="s">
        <v>4030</v>
      </c>
    </row>
    <row r="78" spans="1:1" ht="11.25" customHeight="1" x14ac:dyDescent="0.15">
      <c r="A78" s="4" t="s">
        <v>4031</v>
      </c>
    </row>
    <row r="79" spans="1:1" ht="11.25" customHeight="1" x14ac:dyDescent="0.15">
      <c r="A79" s="4" t="s">
        <v>4032</v>
      </c>
    </row>
    <row r="80" spans="1:1" ht="11.25" customHeight="1" x14ac:dyDescent="0.15">
      <c r="A80" s="4" t="s">
        <v>4033</v>
      </c>
    </row>
    <row r="81" spans="1:1" ht="11.25" customHeight="1" x14ac:dyDescent="0.15">
      <c r="A81" s="4" t="s">
        <v>4034</v>
      </c>
    </row>
    <row r="82" spans="1:1" ht="11.25" customHeight="1" x14ac:dyDescent="0.15">
      <c r="A82" s="4" t="s">
        <v>4035</v>
      </c>
    </row>
    <row r="83" spans="1:1" ht="11.25" customHeight="1" x14ac:dyDescent="0.15">
      <c r="A83" s="4" t="s">
        <v>4036</v>
      </c>
    </row>
    <row r="84" spans="1:1" ht="11.25" customHeight="1" x14ac:dyDescent="0.15">
      <c r="A84" s="4" t="s">
        <v>4037</v>
      </c>
    </row>
    <row r="85" spans="1:1" ht="11.25" customHeight="1" x14ac:dyDescent="0.15">
      <c r="A85" s="4" t="s">
        <v>4038</v>
      </c>
    </row>
    <row r="86" spans="1:1" ht="11.25" customHeight="1" x14ac:dyDescent="0.15">
      <c r="A86" s="4" t="s">
        <v>3554</v>
      </c>
    </row>
    <row r="87" spans="1:1" ht="11.25" customHeight="1" x14ac:dyDescent="0.15">
      <c r="A87" s="4" t="s">
        <v>4039</v>
      </c>
    </row>
    <row r="88" spans="1:1" ht="11.25" customHeight="1" x14ac:dyDescent="0.15">
      <c r="A88" s="4" t="s">
        <v>4040</v>
      </c>
    </row>
    <row r="89" spans="1:1" ht="11.25" customHeight="1" x14ac:dyDescent="0.15">
      <c r="A89" s="4" t="s">
        <v>4041</v>
      </c>
    </row>
    <row r="90" spans="1:1" ht="11.25" customHeight="1" x14ac:dyDescent="0.15">
      <c r="A90" s="4" t="s">
        <v>4042</v>
      </c>
    </row>
    <row r="91" spans="1:1" ht="11.25" customHeight="1" x14ac:dyDescent="0.15">
      <c r="A91" s="4" t="s">
        <v>4043</v>
      </c>
    </row>
    <row r="92" spans="1:1" ht="11.25" customHeight="1" x14ac:dyDescent="0.15">
      <c r="A92" s="4" t="s">
        <v>4044</v>
      </c>
    </row>
    <row r="93" spans="1:1" ht="11.25" customHeight="1" x14ac:dyDescent="0.15">
      <c r="A93" s="4" t="s">
        <v>3599</v>
      </c>
    </row>
    <row r="94" spans="1:1" ht="11.25" customHeight="1" x14ac:dyDescent="0.15">
      <c r="A94" s="4" t="s">
        <v>4045</v>
      </c>
    </row>
    <row r="95" spans="1:1" ht="11.25" customHeight="1" x14ac:dyDescent="0.15">
      <c r="A95" s="4" t="s">
        <v>4046</v>
      </c>
    </row>
    <row r="96" spans="1:1" ht="11.25" customHeight="1" x14ac:dyDescent="0.15">
      <c r="A96" s="4" t="s">
        <v>4047</v>
      </c>
    </row>
    <row r="97" spans="1:1" ht="11.25" customHeight="1" x14ac:dyDescent="0.15">
      <c r="A97" s="4" t="s">
        <v>4048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A1468-028A-47FC-4FA8-6C95612CC677}">
  <sheetPr>
    <tabColor rgb="FFFFCC99"/>
  </sheetPr>
  <dimension ref="A1:AG183"/>
  <sheetViews>
    <sheetView showGridLines="0" workbookViewId="0"/>
  </sheetViews>
  <sheetFormatPr defaultColWidth="9.140625" defaultRowHeight="12" customHeight="1" x14ac:dyDescent="0.15"/>
  <cols>
    <col min="1" max="1" width="42.7109375" style="525" customWidth="1"/>
    <col min="2" max="2" width="6.7109375" style="525" customWidth="1"/>
    <col min="3" max="3" width="40.7109375" style="525" customWidth="1"/>
    <col min="4" max="4" width="15.5703125" style="525" customWidth="1"/>
    <col min="5" max="6" width="3.7109375" style="525" customWidth="1"/>
    <col min="7" max="7" width="32.7109375" style="525" customWidth="1"/>
    <col min="8" max="9" width="3.7109375" style="525" customWidth="1"/>
    <col min="10" max="10" width="4.7109375" style="525" customWidth="1"/>
    <col min="11" max="11" width="40.7109375" style="525" customWidth="1"/>
    <col min="12" max="12" width="4.7109375" style="525" customWidth="1"/>
    <col min="13" max="13" width="18.5703125" style="525" customWidth="1"/>
    <col min="14" max="15" width="4.7109375" style="525" customWidth="1"/>
    <col min="16" max="16" width="5.7109375" style="525" customWidth="1"/>
    <col min="17" max="18" width="12.5703125" style="525" customWidth="1"/>
    <col min="19" max="19" width="14.5703125" style="525" customWidth="1"/>
    <col min="20" max="20" width="18.85546875" style="525" customWidth="1"/>
    <col min="21" max="21" width="19.28515625" style="525" customWidth="1"/>
    <col min="22" max="22" width="39.140625" style="525" customWidth="1"/>
    <col min="23" max="23" width="41.7109375" style="525" customWidth="1"/>
    <col min="24" max="24" width="54.85546875" style="525" customWidth="1"/>
    <col min="25" max="26" width="22.85546875" style="525" customWidth="1"/>
    <col min="27" max="31" width="9.140625" style="525"/>
  </cols>
  <sheetData>
    <row r="1" spans="1:33" ht="12" customHeight="1" x14ac:dyDescent="0.15">
      <c r="A1" s="26" t="s">
        <v>4049</v>
      </c>
      <c r="B1" s="25" t="s">
        <v>4050</v>
      </c>
      <c r="C1" s="26" t="s">
        <v>4049</v>
      </c>
      <c r="D1" s="324" t="s">
        <v>4051</v>
      </c>
      <c r="E1" s="77"/>
      <c r="F1" s="77"/>
      <c r="G1" s="78" t="s">
        <v>4052</v>
      </c>
      <c r="H1" s="77"/>
      <c r="I1" s="77"/>
      <c r="J1" s="77"/>
      <c r="K1" s="313" t="s">
        <v>4053</v>
      </c>
      <c r="L1" s="26"/>
      <c r="M1" s="78" t="s">
        <v>4054</v>
      </c>
      <c r="N1" s="77"/>
      <c r="O1" s="26"/>
      <c r="P1" s="77"/>
      <c r="Q1" s="78" t="s">
        <v>4055</v>
      </c>
      <c r="R1" s="78" t="s">
        <v>4056</v>
      </c>
      <c r="S1" s="78" t="s">
        <v>4057</v>
      </c>
      <c r="T1" s="78" t="s">
        <v>4058</v>
      </c>
      <c r="U1" s="78" t="s">
        <v>4059</v>
      </c>
      <c r="V1" s="85" t="s">
        <v>4060</v>
      </c>
      <c r="W1" s="85" t="s">
        <v>4061</v>
      </c>
      <c r="X1" s="85" t="s">
        <v>4062</v>
      </c>
      <c r="Y1" s="85" t="s">
        <v>4063</v>
      </c>
      <c r="Z1" s="85" t="s">
        <v>4064</v>
      </c>
      <c r="AA1" s="78" t="s">
        <v>4065</v>
      </c>
      <c r="AB1" s="78" t="s">
        <v>4066</v>
      </c>
      <c r="AC1" s="78" t="s">
        <v>4067</v>
      </c>
      <c r="AD1" s="78" t="s">
        <v>4068</v>
      </c>
      <c r="AE1" s="78" t="s">
        <v>4069</v>
      </c>
      <c r="AF1" s="1" t="s">
        <v>4070</v>
      </c>
      <c r="AG1" s="1" t="s">
        <v>4071</v>
      </c>
    </row>
    <row r="2" spans="1:33" ht="12" customHeight="1" x14ac:dyDescent="0.15">
      <c r="A2" s="26" t="s">
        <v>4072</v>
      </c>
      <c r="B2" s="25" t="s">
        <v>4073</v>
      </c>
      <c r="C2" s="26" t="s">
        <v>4072</v>
      </c>
      <c r="D2" s="323" t="s">
        <v>4074</v>
      </c>
      <c r="E2" s="77"/>
      <c r="F2" s="77"/>
      <c r="G2" s="79" t="s">
        <v>160</v>
      </c>
      <c r="H2" s="77"/>
      <c r="I2" s="77"/>
      <c r="J2" s="77"/>
      <c r="K2" s="314" t="s">
        <v>4075</v>
      </c>
      <c r="L2" s="77"/>
      <c r="M2" s="80" t="s">
        <v>4076</v>
      </c>
      <c r="N2" s="77"/>
      <c r="O2" s="77"/>
      <c r="P2" s="77"/>
      <c r="Q2" s="79">
        <v>2012</v>
      </c>
      <c r="R2" s="79" t="s">
        <v>4077</v>
      </c>
      <c r="S2" s="79">
        <v>3</v>
      </c>
      <c r="T2" s="84" t="s">
        <v>276</v>
      </c>
      <c r="U2" s="84" t="s">
        <v>279</v>
      </c>
      <c r="V2" s="95" t="s">
        <v>3909</v>
      </c>
      <c r="W2" s="95" t="s">
        <v>4078</v>
      </c>
      <c r="X2" s="95" t="s">
        <v>4079</v>
      </c>
      <c r="Y2" s="95" t="s">
        <v>4080</v>
      </c>
      <c r="Z2" s="95" t="s">
        <v>4080</v>
      </c>
      <c r="AA2" s="84" t="s">
        <v>4081</v>
      </c>
      <c r="AB2" s="84" t="s">
        <v>4082</v>
      </c>
      <c r="AC2" s="84" t="s">
        <v>4083</v>
      </c>
      <c r="AD2" s="84" t="s">
        <v>4084</v>
      </c>
      <c r="AE2" s="84" t="s">
        <v>275</v>
      </c>
      <c r="AF2" s="1" t="s">
        <v>4085</v>
      </c>
      <c r="AG2" s="1" t="s">
        <v>4086</v>
      </c>
    </row>
    <row r="3" spans="1:33" ht="12" customHeight="1" x14ac:dyDescent="0.15">
      <c r="A3" s="26" t="s">
        <v>4087</v>
      </c>
      <c r="B3" s="25" t="s">
        <v>4088</v>
      </c>
      <c r="C3" s="26" t="s">
        <v>4087</v>
      </c>
      <c r="D3" s="77"/>
      <c r="E3" s="77"/>
      <c r="F3" s="77"/>
      <c r="G3" s="79" t="s">
        <v>151</v>
      </c>
      <c r="H3" s="77"/>
      <c r="I3" s="77"/>
      <c r="J3" s="77"/>
      <c r="L3" s="77"/>
      <c r="M3" s="77"/>
      <c r="N3" s="77"/>
      <c r="O3" s="77"/>
      <c r="P3" s="77"/>
      <c r="Q3" s="79">
        <v>2013</v>
      </c>
      <c r="R3" s="79" t="s">
        <v>4089</v>
      </c>
      <c r="S3" s="79">
        <v>4</v>
      </c>
      <c r="T3" s="84" t="s">
        <v>286</v>
      </c>
      <c r="U3" s="84" t="s">
        <v>4090</v>
      </c>
      <c r="V3" s="95" t="s">
        <v>281</v>
      </c>
      <c r="W3" s="95" t="s">
        <v>278</v>
      </c>
      <c r="X3" s="95" t="s">
        <v>4091</v>
      </c>
      <c r="Y3" s="95" t="s">
        <v>4092</v>
      </c>
      <c r="Z3" s="95" t="s">
        <v>4092</v>
      </c>
      <c r="AA3" s="84" t="s">
        <v>4093</v>
      </c>
      <c r="AB3" s="84" t="s">
        <v>4094</v>
      </c>
      <c r="AC3" s="84" t="s">
        <v>4095</v>
      </c>
      <c r="AD3" s="84" t="s">
        <v>4096</v>
      </c>
      <c r="AE3" s="84" t="s">
        <v>285</v>
      </c>
      <c r="AF3" s="1" t="s">
        <v>4097</v>
      </c>
      <c r="AG3" s="1" t="s">
        <v>4098</v>
      </c>
    </row>
    <row r="4" spans="1:33" ht="12" customHeight="1" x14ac:dyDescent="0.15">
      <c r="A4" s="26" t="s">
        <v>4099</v>
      </c>
      <c r="B4" s="25" t="s">
        <v>4100</v>
      </c>
      <c r="C4" s="26" t="s">
        <v>4099</v>
      </c>
      <c r="D4" s="77"/>
      <c r="E4" s="77"/>
      <c r="F4" s="77"/>
      <c r="G4" s="77"/>
      <c r="H4" s="77"/>
      <c r="I4" s="77"/>
      <c r="J4" s="77"/>
      <c r="K4" s="313" t="s">
        <v>4101</v>
      </c>
      <c r="L4" s="77"/>
      <c r="M4" s="78" t="s">
        <v>4102</v>
      </c>
      <c r="N4" s="77"/>
      <c r="O4" s="77"/>
      <c r="P4" s="77"/>
      <c r="Q4" s="79">
        <v>2014</v>
      </c>
      <c r="R4" s="79" t="s">
        <v>4103</v>
      </c>
      <c r="S4" s="79">
        <v>5</v>
      </c>
      <c r="V4" s="95" t="s">
        <v>4104</v>
      </c>
      <c r="X4" s="95" t="s">
        <v>4105</v>
      </c>
      <c r="Y4" s="95" t="s">
        <v>4106</v>
      </c>
      <c r="Z4" s="95" t="s">
        <v>4106</v>
      </c>
      <c r="AB4" s="84" t="s">
        <v>4107</v>
      </c>
      <c r="AC4" s="84" t="s">
        <v>4108</v>
      </c>
      <c r="AD4" s="83"/>
      <c r="AE4" s="84" t="s">
        <v>291</v>
      </c>
      <c r="AF4" s="1" t="s">
        <v>4109</v>
      </c>
      <c r="AG4" s="1" t="s">
        <v>4110</v>
      </c>
    </row>
    <row r="5" spans="1:33" ht="12" customHeight="1" x14ac:dyDescent="0.15">
      <c r="A5" s="26" t="s">
        <v>4111</v>
      </c>
      <c r="B5" s="25" t="s">
        <v>4112</v>
      </c>
      <c r="C5" s="26" t="s">
        <v>4111</v>
      </c>
      <c r="D5" s="77"/>
      <c r="E5" s="77"/>
      <c r="F5" s="77"/>
      <c r="G5" s="78" t="s">
        <v>4113</v>
      </c>
      <c r="H5" s="77"/>
      <c r="I5" s="77"/>
      <c r="J5" s="77"/>
      <c r="K5" s="79" t="s">
        <v>4114</v>
      </c>
      <c r="L5" s="77"/>
      <c r="M5" s="80">
        <v>1.2</v>
      </c>
      <c r="N5" s="77"/>
      <c r="O5" s="77"/>
      <c r="P5" s="77"/>
      <c r="Q5" s="79">
        <v>2015</v>
      </c>
      <c r="R5" s="79" t="s">
        <v>4115</v>
      </c>
      <c r="S5" s="79">
        <v>6</v>
      </c>
      <c r="V5" s="85" t="s">
        <v>4116</v>
      </c>
      <c r="W5" s="85" t="s">
        <v>4117</v>
      </c>
      <c r="X5" s="95" t="s">
        <v>4118</v>
      </c>
      <c r="Y5" s="95" t="s">
        <v>4119</v>
      </c>
      <c r="Z5" s="95" t="s">
        <v>4119</v>
      </c>
      <c r="AB5" s="84" t="s">
        <v>4120</v>
      </c>
      <c r="AC5" s="84" t="s">
        <v>4121</v>
      </c>
      <c r="AD5" s="83"/>
      <c r="AE5" s="84" t="s">
        <v>454</v>
      </c>
      <c r="AF5" s="1" t="s">
        <v>4122</v>
      </c>
      <c r="AG5" s="1" t="s">
        <v>4123</v>
      </c>
    </row>
    <row r="6" spans="1:33" ht="12" customHeight="1" x14ac:dyDescent="0.15">
      <c r="A6" s="26" t="s">
        <v>4124</v>
      </c>
      <c r="B6" s="25" t="s">
        <v>4125</v>
      </c>
      <c r="C6" s="26" t="s">
        <v>4124</v>
      </c>
      <c r="D6" s="77"/>
      <c r="E6" s="77"/>
      <c r="F6" s="77"/>
      <c r="G6" s="78" t="s">
        <v>4126</v>
      </c>
      <c r="H6" s="77"/>
      <c r="I6" s="77"/>
      <c r="J6" s="77"/>
      <c r="K6" s="79" t="s">
        <v>4127</v>
      </c>
      <c r="L6" s="77"/>
      <c r="M6" s="77"/>
      <c r="N6" s="77"/>
      <c r="O6" s="77"/>
      <c r="P6" s="77"/>
      <c r="Q6" s="79">
        <v>2016</v>
      </c>
      <c r="R6" s="79" t="s">
        <v>4128</v>
      </c>
      <c r="S6" s="79">
        <v>7</v>
      </c>
      <c r="V6" s="95" t="s">
        <v>295</v>
      </c>
      <c r="W6" s="173" t="s">
        <v>288</v>
      </c>
      <c r="X6" s="95" t="s">
        <v>441</v>
      </c>
      <c r="Y6" s="95" t="s">
        <v>923</v>
      </c>
      <c r="Z6" s="95" t="s">
        <v>923</v>
      </c>
      <c r="AB6" s="84" t="s">
        <v>4129</v>
      </c>
      <c r="AC6" s="83"/>
      <c r="AD6" s="83"/>
      <c r="AE6" s="84" t="s">
        <v>460</v>
      </c>
      <c r="AF6" s="1" t="s">
        <v>4130</v>
      </c>
      <c r="AG6" s="1" t="s">
        <v>4131</v>
      </c>
    </row>
    <row r="7" spans="1:33" ht="12" customHeight="1" x14ac:dyDescent="0.15">
      <c r="A7" s="26" t="s">
        <v>4132</v>
      </c>
      <c r="B7" s="25" t="s">
        <v>4133</v>
      </c>
      <c r="C7" s="26" t="s">
        <v>4132</v>
      </c>
      <c r="D7" s="77"/>
      <c r="E7" s="77"/>
      <c r="F7" s="77"/>
      <c r="G7" s="81" t="s">
        <v>4134</v>
      </c>
      <c r="H7" s="77"/>
      <c r="I7" s="77"/>
      <c r="J7" s="77"/>
      <c r="K7" s="79" t="s">
        <v>4135</v>
      </c>
      <c r="L7" s="77"/>
      <c r="M7" s="78" t="s">
        <v>4136</v>
      </c>
      <c r="N7" s="77"/>
      <c r="O7" s="77"/>
      <c r="P7" s="77"/>
      <c r="Q7" s="79">
        <v>2017</v>
      </c>
      <c r="R7" s="79" t="s">
        <v>4137</v>
      </c>
      <c r="S7" s="79">
        <v>8</v>
      </c>
      <c r="V7" s="95" t="s">
        <v>4138</v>
      </c>
      <c r="X7" s="95" t="s">
        <v>4139</v>
      </c>
      <c r="Y7" s="95" t="s">
        <v>4140</v>
      </c>
      <c r="Z7" s="95" t="s">
        <v>4140</v>
      </c>
      <c r="AB7" s="84" t="s">
        <v>4141</v>
      </c>
      <c r="AC7" s="83"/>
      <c r="AD7" s="83"/>
      <c r="AE7" s="83"/>
      <c r="AF7" s="1" t="s">
        <v>4098</v>
      </c>
      <c r="AG7" s="1" t="s">
        <v>4142</v>
      </c>
    </row>
    <row r="8" spans="1:33" ht="12" customHeight="1" x14ac:dyDescent="0.15">
      <c r="A8" s="26" t="s">
        <v>4143</v>
      </c>
      <c r="B8" s="25" t="s">
        <v>4144</v>
      </c>
      <c r="C8" s="26" t="s">
        <v>4143</v>
      </c>
      <c r="D8" s="77"/>
      <c r="E8" s="77"/>
      <c r="F8" s="77"/>
      <c r="G8" s="81" t="s">
        <v>4145</v>
      </c>
      <c r="H8" s="77"/>
      <c r="I8" s="77"/>
      <c r="J8" s="77"/>
      <c r="K8" s="79" t="s">
        <v>4146</v>
      </c>
      <c r="L8" s="77"/>
      <c r="M8" s="80" cm="1">
        <f t="array" aca="1" ref="M8" ca="1">IF(god="",YEAR(TODAY()),god)</f>
        <v>2026</v>
      </c>
      <c r="N8" s="77"/>
      <c r="O8" s="77"/>
      <c r="P8" s="77"/>
      <c r="Q8" s="79">
        <v>2018</v>
      </c>
      <c r="R8" s="79" t="s">
        <v>4147</v>
      </c>
      <c r="S8" s="79">
        <v>9</v>
      </c>
      <c r="V8" s="95" t="s">
        <v>4148</v>
      </c>
      <c r="X8" s="95" t="s">
        <v>4149</v>
      </c>
      <c r="Z8" s="95" t="s">
        <v>4150</v>
      </c>
      <c r="AB8" s="84" t="s">
        <v>4151</v>
      </c>
      <c r="AC8" s="83"/>
      <c r="AD8" s="83"/>
      <c r="AE8" s="83"/>
      <c r="AF8" s="1" t="s">
        <v>4110</v>
      </c>
      <c r="AG8" s="1" t="s">
        <v>4152</v>
      </c>
    </row>
    <row r="9" spans="1:33" ht="12" customHeight="1" x14ac:dyDescent="0.15">
      <c r="A9" s="26" t="s">
        <v>4153</v>
      </c>
      <c r="B9" s="25" t="s">
        <v>4154</v>
      </c>
      <c r="C9" s="26" t="s">
        <v>4153</v>
      </c>
      <c r="D9" s="77"/>
      <c r="E9" s="77"/>
      <c r="F9" s="77"/>
      <c r="G9" s="81" t="s">
        <v>4155</v>
      </c>
      <c r="H9" s="77"/>
      <c r="I9" s="77"/>
      <c r="J9" s="77"/>
      <c r="K9" s="79" t="s">
        <v>4156</v>
      </c>
      <c r="L9" s="77"/>
      <c r="M9" s="77"/>
      <c r="N9" s="77"/>
      <c r="O9" s="77"/>
      <c r="P9" s="77"/>
      <c r="Q9" s="79">
        <v>2019</v>
      </c>
      <c r="R9" s="79" t="s">
        <v>4157</v>
      </c>
      <c r="S9" s="79">
        <v>10</v>
      </c>
      <c r="V9" s="95" t="s">
        <v>290</v>
      </c>
      <c r="X9" s="95" t="s">
        <v>4158</v>
      </c>
      <c r="AB9" s="84" t="s">
        <v>4159</v>
      </c>
      <c r="AC9" s="83"/>
      <c r="AD9" s="83"/>
      <c r="AE9" s="83"/>
      <c r="AF9" s="1" t="s">
        <v>4123</v>
      </c>
      <c r="AG9" s="1" t="s">
        <v>4160</v>
      </c>
    </row>
    <row r="10" spans="1:33" ht="12" customHeight="1" x14ac:dyDescent="0.15">
      <c r="A10" s="26" t="s">
        <v>4161</v>
      </c>
      <c r="B10" s="25" t="s">
        <v>4162</v>
      </c>
      <c r="C10" s="26" t="s">
        <v>4161</v>
      </c>
      <c r="D10" s="77"/>
      <c r="E10" s="77"/>
      <c r="F10" s="77"/>
      <c r="G10" s="82"/>
      <c r="H10" s="77"/>
      <c r="I10" s="77"/>
      <c r="J10" s="77"/>
      <c r="K10" s="79" t="s">
        <v>4163</v>
      </c>
      <c r="L10" s="77"/>
      <c r="M10" s="78" t="s">
        <v>4164</v>
      </c>
      <c r="N10" s="77"/>
      <c r="O10" s="77"/>
      <c r="P10" s="77"/>
      <c r="Q10" s="79">
        <v>2020</v>
      </c>
      <c r="R10" s="79" t="s">
        <v>4165</v>
      </c>
      <c r="S10" s="79">
        <v>11</v>
      </c>
      <c r="V10" s="95" t="s">
        <v>4166</v>
      </c>
      <c r="X10" s="95" t="s">
        <v>4167</v>
      </c>
      <c r="AB10" s="84" t="s">
        <v>4168</v>
      </c>
      <c r="AC10" s="83"/>
      <c r="AD10" s="83"/>
      <c r="AE10" s="83"/>
      <c r="AF10" s="1" t="s">
        <v>4131</v>
      </c>
      <c r="AG10" s="1" t="s">
        <v>4169</v>
      </c>
    </row>
    <row r="11" spans="1:33" ht="12" customHeight="1" x14ac:dyDescent="0.15">
      <c r="A11" s="309" t="s">
        <v>4170</v>
      </c>
      <c r="B11" s="25" t="s">
        <v>4171</v>
      </c>
      <c r="C11" s="26" t="s">
        <v>4172</v>
      </c>
      <c r="D11" s="77"/>
      <c r="E11" s="77"/>
      <c r="F11" s="77"/>
      <c r="G11" s="78" t="s">
        <v>4173</v>
      </c>
      <c r="H11" s="77"/>
      <c r="I11" s="77"/>
      <c r="J11" s="77"/>
      <c r="K11" s="79" t="s">
        <v>4174</v>
      </c>
      <c r="L11" s="77"/>
      <c r="M11" s="80" t="str">
        <f ca="1">"01.01."&amp;PERIOD</f>
        <v>01.01.2026</v>
      </c>
      <c r="N11" s="77"/>
      <c r="O11" s="77"/>
      <c r="P11" s="77"/>
      <c r="Q11" s="79">
        <v>2021</v>
      </c>
      <c r="R11" s="79" t="s">
        <v>4175</v>
      </c>
      <c r="S11" s="79">
        <v>12</v>
      </c>
      <c r="V11" s="95" t="s">
        <v>4176</v>
      </c>
      <c r="X11" s="95" t="s">
        <v>4177</v>
      </c>
      <c r="AB11" s="84" t="s">
        <v>4178</v>
      </c>
      <c r="AC11" s="83"/>
      <c r="AD11" s="83"/>
      <c r="AE11" s="83"/>
      <c r="AF11" s="1" t="s">
        <v>4142</v>
      </c>
      <c r="AG11" s="1" t="s">
        <v>4179</v>
      </c>
    </row>
    <row r="12" spans="1:33" ht="12" customHeight="1" x14ac:dyDescent="0.15">
      <c r="A12" s="309" t="s">
        <v>4180</v>
      </c>
      <c r="B12" s="25" t="s">
        <v>4181</v>
      </c>
      <c r="C12" s="26"/>
      <c r="D12" s="77"/>
      <c r="E12" s="77"/>
      <c r="F12" s="77"/>
      <c r="G12" s="78" t="s">
        <v>4182</v>
      </c>
      <c r="H12" s="77"/>
      <c r="I12" s="77"/>
      <c r="J12" s="77"/>
      <c r="K12" s="77"/>
      <c r="L12" s="77"/>
      <c r="M12" s="80" t="str">
        <f ca="1">"31.12."&amp;PERIOD</f>
        <v>31.12.2026</v>
      </c>
      <c r="N12" s="77"/>
      <c r="O12" s="77"/>
      <c r="P12" s="77"/>
      <c r="Q12" s="79">
        <v>2022</v>
      </c>
      <c r="R12" s="79" t="s">
        <v>4183</v>
      </c>
      <c r="S12" s="79">
        <v>13</v>
      </c>
      <c r="X12" s="95" t="s">
        <v>4184</v>
      </c>
      <c r="AB12" s="84" t="s">
        <v>4185</v>
      </c>
      <c r="AC12" s="83"/>
      <c r="AD12" s="83"/>
      <c r="AE12" s="83"/>
      <c r="AF12" s="1" t="s">
        <v>4152</v>
      </c>
      <c r="AG12" s="1" t="s">
        <v>4186</v>
      </c>
    </row>
    <row r="13" spans="1:33" ht="12" customHeight="1" x14ac:dyDescent="0.15">
      <c r="A13" s="309" t="s">
        <v>4187</v>
      </c>
      <c r="B13" s="25" t="s">
        <v>4188</v>
      </c>
      <c r="C13" s="26" t="s">
        <v>4189</v>
      </c>
      <c r="D13" s="77"/>
      <c r="E13" s="77"/>
      <c r="F13" s="77"/>
      <c r="G13" s="81" t="s">
        <v>4190</v>
      </c>
      <c r="H13" s="77"/>
      <c r="I13" s="77"/>
      <c r="J13" s="77"/>
      <c r="K13" s="78" t="s">
        <v>4191</v>
      </c>
      <c r="L13" s="77"/>
      <c r="M13" s="77"/>
      <c r="N13" s="77"/>
      <c r="O13" s="77"/>
      <c r="P13" s="77"/>
      <c r="Q13" s="79">
        <v>2023</v>
      </c>
      <c r="R13" s="79" t="s">
        <v>4192</v>
      </c>
      <c r="S13" s="79">
        <v>14</v>
      </c>
      <c r="X13" s="95" t="s">
        <v>4193</v>
      </c>
      <c r="AB13" s="84" t="s">
        <v>4194</v>
      </c>
      <c r="AC13" s="83"/>
      <c r="AD13" s="83"/>
      <c r="AE13" s="83"/>
      <c r="AF13" s="1" t="s">
        <v>4160</v>
      </c>
      <c r="AG13" s="1" t="s">
        <v>4195</v>
      </c>
    </row>
    <row r="14" spans="1:33" ht="12" customHeight="1" x14ac:dyDescent="0.15">
      <c r="A14" s="309" t="s">
        <v>4196</v>
      </c>
      <c r="B14" s="25" t="s">
        <v>4197</v>
      </c>
      <c r="C14" s="26" t="s">
        <v>4198</v>
      </c>
      <c r="D14" s="77"/>
      <c r="E14" s="77"/>
      <c r="F14" s="77"/>
      <c r="G14" s="81" t="s">
        <v>4199</v>
      </c>
      <c r="H14" s="77"/>
      <c r="I14" s="77"/>
      <c r="J14" s="77"/>
      <c r="K14" s="351" t="s">
        <v>103</v>
      </c>
      <c r="L14" s="77"/>
      <c r="M14" s="78" t="s">
        <v>4200</v>
      </c>
      <c r="N14" s="77"/>
      <c r="O14" s="77"/>
      <c r="P14" s="77"/>
      <c r="Q14" s="79">
        <v>2024</v>
      </c>
      <c r="R14" s="77"/>
      <c r="S14" s="79">
        <v>15</v>
      </c>
      <c r="X14" s="95" t="s">
        <v>4201</v>
      </c>
      <c r="AB14" s="84" t="s">
        <v>4202</v>
      </c>
      <c r="AC14" s="83"/>
      <c r="AD14" s="83"/>
      <c r="AE14" s="83"/>
      <c r="AF14" s="1" t="s">
        <v>4169</v>
      </c>
      <c r="AG14" s="1" t="s">
        <v>4203</v>
      </c>
    </row>
    <row r="15" spans="1:33" ht="12" customHeight="1" x14ac:dyDescent="0.15">
      <c r="A15" s="310" t="s">
        <v>4204</v>
      </c>
      <c r="B15" s="311"/>
      <c r="C15" s="310"/>
      <c r="D15" s="77"/>
      <c r="E15" s="77"/>
      <c r="F15" s="77"/>
      <c r="G15" s="81" t="s">
        <v>4205</v>
      </c>
      <c r="H15" s="77"/>
      <c r="I15" s="77"/>
      <c r="J15" s="77"/>
      <c r="K15" s="351" t="s">
        <v>4206</v>
      </c>
      <c r="L15" s="77"/>
      <c r="M15" s="80" t="str">
        <f ca="1">"01.01."&amp;PERIOD</f>
        <v>01.01.2026</v>
      </c>
      <c r="N15" s="77"/>
      <c r="O15" s="77"/>
      <c r="P15" s="77"/>
      <c r="Q15" s="79">
        <v>2025</v>
      </c>
      <c r="R15" s="77"/>
      <c r="S15" s="79">
        <v>16</v>
      </c>
      <c r="AB15" s="84" t="s">
        <v>4207</v>
      </c>
      <c r="AC15" s="83"/>
      <c r="AD15" s="83"/>
      <c r="AE15" s="83"/>
      <c r="AF15" s="1" t="s">
        <v>4179</v>
      </c>
      <c r="AG15" s="1" t="s">
        <v>4208</v>
      </c>
    </row>
    <row r="16" spans="1:33" ht="12" customHeight="1" x14ac:dyDescent="0.15">
      <c r="A16" s="26" t="s">
        <v>4209</v>
      </c>
      <c r="B16" s="25" t="s">
        <v>4210</v>
      </c>
      <c r="C16" s="26" t="s">
        <v>4209</v>
      </c>
      <c r="D16" s="77"/>
      <c r="E16" s="77"/>
      <c r="F16" s="77"/>
      <c r="G16" s="81" t="s">
        <v>157</v>
      </c>
      <c r="H16" s="77"/>
      <c r="I16" s="77"/>
      <c r="J16" s="77"/>
      <c r="K16" s="351" t="s">
        <v>3911</v>
      </c>
      <c r="L16" s="77"/>
      <c r="M16" s="80" t="str">
        <f ca="1">"31.12."&amp;PERIOD</f>
        <v>31.12.2026</v>
      </c>
      <c r="N16" s="77"/>
      <c r="O16" s="77"/>
      <c r="P16" s="77"/>
      <c r="Q16" s="79">
        <v>2026</v>
      </c>
      <c r="R16" s="77"/>
      <c r="S16" s="79">
        <v>17</v>
      </c>
      <c r="X16" s="85" t="s">
        <v>4211</v>
      </c>
      <c r="AB16" s="84" t="s">
        <v>4212</v>
      </c>
      <c r="AC16" s="83"/>
      <c r="AD16" s="83"/>
      <c r="AE16" s="83"/>
      <c r="AF16" s="1" t="s">
        <v>4186</v>
      </c>
      <c r="AG16" s="1" t="s">
        <v>4213</v>
      </c>
    </row>
    <row r="17" spans="1:33" ht="23.25" customHeight="1" x14ac:dyDescent="0.15">
      <c r="A17" s="26" t="s">
        <v>4214</v>
      </c>
      <c r="B17" s="25" t="s">
        <v>4215</v>
      </c>
      <c r="C17" s="26" t="s">
        <v>4214</v>
      </c>
      <c r="D17" s="77"/>
      <c r="E17" s="77"/>
      <c r="F17" s="77"/>
      <c r="G17" s="77"/>
      <c r="H17" s="77"/>
      <c r="I17" s="77"/>
      <c r="J17" s="77"/>
      <c r="K17" s="351" t="s">
        <v>4216</v>
      </c>
      <c r="L17" s="77"/>
      <c r="M17" s="66"/>
      <c r="N17" s="77"/>
      <c r="O17" s="77"/>
      <c r="P17" s="77"/>
      <c r="Q17" s="79">
        <v>2027</v>
      </c>
      <c r="R17" s="77"/>
      <c r="S17" s="79">
        <v>18</v>
      </c>
      <c r="X17" s="95" t="s">
        <v>4217</v>
      </c>
      <c r="AB17" s="84" t="s">
        <v>4218</v>
      </c>
      <c r="AC17" s="83"/>
      <c r="AD17" s="83"/>
      <c r="AE17" s="83"/>
      <c r="AF17" s="1" t="s">
        <v>4195</v>
      </c>
      <c r="AG17" s="1" t="s">
        <v>4219</v>
      </c>
    </row>
    <row r="18" spans="1:33" ht="12" customHeight="1" x14ac:dyDescent="0.15">
      <c r="A18" s="310" t="s">
        <v>4220</v>
      </c>
      <c r="B18" s="311"/>
      <c r="C18" s="310"/>
      <c r="D18" s="77"/>
      <c r="E18" s="77"/>
      <c r="F18" s="418"/>
      <c r="G18" s="78" t="s">
        <v>4221</v>
      </c>
      <c r="H18" s="77"/>
      <c r="I18" s="77"/>
      <c r="J18" s="77"/>
      <c r="K18" s="77"/>
      <c r="L18" s="77"/>
      <c r="M18" s="78" t="s">
        <v>4222</v>
      </c>
      <c r="N18" s="77"/>
      <c r="O18" s="77"/>
      <c r="P18" s="77"/>
      <c r="Q18" s="79">
        <v>2028</v>
      </c>
      <c r="R18" s="77"/>
      <c r="S18" s="79">
        <v>19</v>
      </c>
      <c r="X18" s="95" t="s">
        <v>442</v>
      </c>
      <c r="AB18" s="84" t="s">
        <v>4223</v>
      </c>
      <c r="AC18" s="83"/>
      <c r="AD18" s="83"/>
      <c r="AE18" s="83"/>
      <c r="AF18" s="1" t="s">
        <v>4203</v>
      </c>
      <c r="AG18" s="1" t="s">
        <v>4224</v>
      </c>
    </row>
    <row r="19" spans="1:33" ht="12" customHeight="1" x14ac:dyDescent="0.15">
      <c r="A19" s="26" t="s">
        <v>4225</v>
      </c>
      <c r="B19" s="25" t="s">
        <v>4226</v>
      </c>
      <c r="C19" s="26" t="s">
        <v>4225</v>
      </c>
      <c r="D19" s="77"/>
      <c r="E19" s="77"/>
      <c r="F19" s="418"/>
      <c r="G19" s="417" t="s">
        <v>163</v>
      </c>
      <c r="H19" s="77"/>
      <c r="I19" s="77"/>
      <c r="J19" s="77"/>
      <c r="K19" s="78" t="s">
        <v>4227</v>
      </c>
      <c r="L19" s="77"/>
      <c r="M19" s="80" t="str">
        <f ca="1">"01.01."&amp;PERIOD</f>
        <v>01.01.2026</v>
      </c>
      <c r="N19" s="77"/>
      <c r="O19" s="77"/>
      <c r="P19" s="77"/>
      <c r="Q19" s="79">
        <v>2029</v>
      </c>
      <c r="R19" s="77"/>
      <c r="S19" s="79">
        <v>20</v>
      </c>
      <c r="X19" s="95" t="s">
        <v>4228</v>
      </c>
      <c r="AB19" s="84" t="s">
        <v>4229</v>
      </c>
      <c r="AC19" s="83"/>
      <c r="AD19" s="83"/>
      <c r="AE19" s="83"/>
      <c r="AF19" s="1" t="s">
        <v>4208</v>
      </c>
      <c r="AG19" s="1" t="s">
        <v>4230</v>
      </c>
    </row>
    <row r="20" spans="1:33" ht="12" customHeight="1" x14ac:dyDescent="0.15">
      <c r="A20" s="26" t="s">
        <v>4231</v>
      </c>
      <c r="B20" s="25" t="s">
        <v>4232</v>
      </c>
      <c r="C20" s="26" t="s">
        <v>4231</v>
      </c>
      <c r="D20" s="77"/>
      <c r="E20" s="77"/>
      <c r="F20" s="418"/>
      <c r="G20" s="417" t="s">
        <v>4233</v>
      </c>
      <c r="H20" s="77"/>
      <c r="I20" s="77"/>
      <c r="J20" s="77"/>
      <c r="K20" s="351" t="s">
        <v>4234</v>
      </c>
      <c r="L20" s="77"/>
      <c r="M20" s="80" t="str">
        <f ca="1">"31.12."&amp;PERIOD</f>
        <v>31.12.2026</v>
      </c>
      <c r="N20" s="77"/>
      <c r="O20" s="77"/>
      <c r="P20" s="77"/>
      <c r="Q20" s="79">
        <v>2030</v>
      </c>
      <c r="R20" s="77"/>
      <c r="S20" s="79">
        <v>21</v>
      </c>
      <c r="X20" s="95" t="s">
        <v>202</v>
      </c>
      <c r="AB20" s="84" t="s">
        <v>4235</v>
      </c>
      <c r="AC20" s="83"/>
      <c r="AD20" s="83"/>
      <c r="AE20" s="83"/>
      <c r="AF20" s="1" t="s">
        <v>4213</v>
      </c>
      <c r="AG20" s="1" t="s">
        <v>4236</v>
      </c>
    </row>
    <row r="21" spans="1:33" ht="12" customHeight="1" x14ac:dyDescent="0.15">
      <c r="A21" s="26" t="s">
        <v>4237</v>
      </c>
      <c r="B21" s="25" t="s">
        <v>4238</v>
      </c>
      <c r="C21" s="26" t="s">
        <v>4239</v>
      </c>
      <c r="D21" s="77"/>
      <c r="E21" s="77"/>
      <c r="F21" s="77"/>
      <c r="G21" s="77"/>
      <c r="H21" s="77"/>
      <c r="I21" s="77"/>
      <c r="J21" s="77"/>
      <c r="K21" s="351" t="s">
        <v>4240</v>
      </c>
      <c r="L21" s="77"/>
      <c r="M21" s="77"/>
      <c r="N21" s="77"/>
      <c r="O21" s="77"/>
      <c r="P21" s="77"/>
      <c r="Q21" s="77"/>
      <c r="R21" s="77"/>
      <c r="S21" s="79">
        <v>22</v>
      </c>
      <c r="X21" s="95" t="s">
        <v>4241</v>
      </c>
      <c r="AB21" s="84" t="s">
        <v>4242</v>
      </c>
      <c r="AC21" s="83"/>
      <c r="AD21" s="83"/>
      <c r="AE21" s="83"/>
      <c r="AF21" s="1" t="s">
        <v>4219</v>
      </c>
      <c r="AG21" s="1" t="s">
        <v>4243</v>
      </c>
    </row>
    <row r="22" spans="1:33" ht="12" customHeight="1" x14ac:dyDescent="0.15">
      <c r="A22" s="26" t="s">
        <v>4244</v>
      </c>
      <c r="B22" s="25" t="s">
        <v>4245</v>
      </c>
      <c r="C22" s="26" t="s">
        <v>4244</v>
      </c>
      <c r="D22" s="77"/>
      <c r="E22" s="77"/>
      <c r="F22" s="77"/>
      <c r="G22" s="77"/>
      <c r="H22" s="77"/>
      <c r="I22" s="77"/>
      <c r="J22" s="77"/>
      <c r="K22" s="351" t="s">
        <v>3908</v>
      </c>
      <c r="L22" s="77"/>
      <c r="M22" s="77"/>
      <c r="N22" s="77"/>
      <c r="O22" s="77"/>
      <c r="P22" s="77"/>
      <c r="Q22" s="77"/>
      <c r="R22" s="77"/>
      <c r="S22" s="79">
        <v>23</v>
      </c>
      <c r="X22" s="95" t="s">
        <v>455</v>
      </c>
      <c r="AB22" s="84" t="s">
        <v>4246</v>
      </c>
      <c r="AC22" s="83"/>
      <c r="AD22" s="83"/>
      <c r="AE22" s="83"/>
      <c r="AF22" s="1" t="s">
        <v>4224</v>
      </c>
      <c r="AG22" s="1" t="s">
        <v>4247</v>
      </c>
    </row>
    <row r="23" spans="1:33" ht="12" customHeight="1" x14ac:dyDescent="0.15">
      <c r="A23" s="26" t="s">
        <v>4248</v>
      </c>
      <c r="B23" s="25" t="s">
        <v>4249</v>
      </c>
      <c r="C23" s="26" t="s">
        <v>4248</v>
      </c>
      <c r="D23" s="77"/>
      <c r="E23" s="77"/>
      <c r="F23" s="77"/>
      <c r="G23" s="77"/>
      <c r="H23" s="77"/>
      <c r="I23" s="77"/>
      <c r="J23" s="77"/>
      <c r="K23" s="351" t="s">
        <v>4250</v>
      </c>
      <c r="L23" s="77"/>
      <c r="M23" s="77"/>
      <c r="N23" s="77"/>
      <c r="O23" s="77"/>
      <c r="P23" s="77"/>
      <c r="Q23" s="77"/>
      <c r="R23" s="77"/>
      <c r="S23" s="79">
        <v>24</v>
      </c>
      <c r="X23" s="95" t="s">
        <v>4251</v>
      </c>
      <c r="AF23" s="1" t="s">
        <v>4230</v>
      </c>
      <c r="AG23" s="1" t="s">
        <v>4252</v>
      </c>
    </row>
    <row r="24" spans="1:33" ht="12" customHeight="1" x14ac:dyDescent="0.15">
      <c r="A24" s="26" t="s">
        <v>4253</v>
      </c>
      <c r="B24" s="25" t="s">
        <v>4254</v>
      </c>
      <c r="C24" s="26" t="s">
        <v>4253</v>
      </c>
      <c r="D24" s="77"/>
      <c r="E24" s="77"/>
      <c r="F24" s="77"/>
      <c r="G24" s="77"/>
      <c r="H24" s="77"/>
      <c r="I24" s="77"/>
      <c r="J24" s="77"/>
      <c r="K24" s="351" t="s">
        <v>4255</v>
      </c>
      <c r="L24" s="77"/>
      <c r="M24" s="77"/>
      <c r="N24" s="77"/>
      <c r="O24" s="77"/>
      <c r="P24" s="77"/>
      <c r="Q24" s="77"/>
      <c r="R24" s="77"/>
      <c r="S24" s="79">
        <v>25</v>
      </c>
      <c r="X24" s="95" t="s">
        <v>4256</v>
      </c>
      <c r="AF24" s="1" t="s">
        <v>4236</v>
      </c>
      <c r="AG24" s="1" t="s">
        <v>4257</v>
      </c>
    </row>
    <row r="25" spans="1:33" ht="12" customHeight="1" x14ac:dyDescent="0.15">
      <c r="A25" s="26" t="s">
        <v>4258</v>
      </c>
      <c r="B25" s="25" t="s">
        <v>4259</v>
      </c>
      <c r="C25" s="26" t="s">
        <v>4260</v>
      </c>
      <c r="D25" s="77"/>
      <c r="E25" s="77"/>
      <c r="F25" s="77"/>
      <c r="G25" s="77"/>
      <c r="H25" s="77"/>
      <c r="I25" s="77"/>
      <c r="J25" s="77"/>
      <c r="K25" s="77"/>
      <c r="L25" s="77"/>
      <c r="M25" s="77"/>
      <c r="N25" s="77"/>
      <c r="O25" s="77"/>
      <c r="P25" s="77"/>
      <c r="Q25" s="77"/>
      <c r="R25" s="77"/>
      <c r="S25" s="79">
        <v>26</v>
      </c>
      <c r="X25" s="95" t="s">
        <v>4261</v>
      </c>
      <c r="AF25" s="1" t="s">
        <v>4243</v>
      </c>
      <c r="AG25" s="1" t="s">
        <v>4262</v>
      </c>
    </row>
    <row r="26" spans="1:33" ht="12" customHeight="1" x14ac:dyDescent="0.15">
      <c r="A26" s="26" t="s">
        <v>101</v>
      </c>
      <c r="B26" s="25" t="s">
        <v>4263</v>
      </c>
      <c r="C26" s="26" t="s">
        <v>101</v>
      </c>
      <c r="D26" s="77"/>
      <c r="E26" s="77"/>
      <c r="F26" s="77"/>
      <c r="G26" s="77"/>
      <c r="H26" s="77"/>
      <c r="I26" s="77"/>
      <c r="J26" s="77"/>
      <c r="K26" s="78" t="s">
        <v>4264</v>
      </c>
      <c r="L26" s="77"/>
      <c r="M26" s="77"/>
      <c r="N26" s="77"/>
      <c r="O26" s="77"/>
      <c r="P26" s="77"/>
      <c r="Q26" s="77"/>
      <c r="R26" s="77"/>
      <c r="S26" s="79">
        <v>27</v>
      </c>
      <c r="X26" s="95" t="s">
        <v>4265</v>
      </c>
      <c r="AF26" s="1" t="s">
        <v>4247</v>
      </c>
      <c r="AG26" s="1" t="s">
        <v>4266</v>
      </c>
    </row>
    <row r="27" spans="1:33" ht="12" customHeight="1" x14ac:dyDescent="0.15">
      <c r="A27" s="26" t="s">
        <v>4267</v>
      </c>
      <c r="B27" s="25" t="s">
        <v>4268</v>
      </c>
      <c r="C27" s="26" t="s">
        <v>4267</v>
      </c>
      <c r="D27" s="77"/>
      <c r="E27" s="77"/>
      <c r="F27" s="77"/>
      <c r="G27" s="77"/>
      <c r="H27" s="77"/>
      <c r="I27" s="77"/>
      <c r="J27" s="77"/>
      <c r="K27" s="351" t="s">
        <v>4269</v>
      </c>
      <c r="L27" s="77"/>
      <c r="M27" s="77"/>
      <c r="N27" s="77"/>
      <c r="O27" s="77"/>
      <c r="P27" s="77"/>
      <c r="Q27" s="77"/>
      <c r="R27" s="77"/>
      <c r="S27" s="79">
        <v>28</v>
      </c>
      <c r="X27" s="95" t="s">
        <v>4270</v>
      </c>
      <c r="AF27" s="1" t="s">
        <v>4252</v>
      </c>
      <c r="AG27" s="1" t="s">
        <v>4271</v>
      </c>
    </row>
    <row r="28" spans="1:33" ht="12" customHeight="1" x14ac:dyDescent="0.15">
      <c r="A28" s="26" t="s">
        <v>4272</v>
      </c>
      <c r="B28" s="25" t="s">
        <v>4273</v>
      </c>
      <c r="C28" s="26" t="s">
        <v>4272</v>
      </c>
      <c r="D28" s="77"/>
      <c r="E28" s="77"/>
      <c r="F28" s="77"/>
      <c r="G28" s="77"/>
      <c r="H28" s="77"/>
      <c r="I28" s="77"/>
      <c r="J28" s="77"/>
      <c r="K28" s="351" t="s">
        <v>4274</v>
      </c>
      <c r="L28" s="77"/>
      <c r="M28" s="77"/>
      <c r="N28" s="77"/>
      <c r="O28" s="77"/>
      <c r="P28" s="77"/>
      <c r="Q28" s="77"/>
      <c r="R28" s="77"/>
      <c r="S28" s="79">
        <v>29</v>
      </c>
      <c r="X28" s="95" t="s">
        <v>4275</v>
      </c>
      <c r="AF28" s="1" t="s">
        <v>4257</v>
      </c>
      <c r="AG28" s="1" t="s">
        <v>4276</v>
      </c>
    </row>
    <row r="29" spans="1:33" ht="12" customHeight="1" x14ac:dyDescent="0.15">
      <c r="A29" s="26" t="s">
        <v>4277</v>
      </c>
      <c r="B29" s="25" t="s">
        <v>4278</v>
      </c>
      <c r="C29" s="26" t="s">
        <v>4277</v>
      </c>
      <c r="D29" s="77"/>
      <c r="E29" s="77"/>
      <c r="F29" s="77"/>
      <c r="G29" s="77"/>
      <c r="H29" s="77"/>
      <c r="I29" s="77"/>
      <c r="J29" s="77"/>
      <c r="K29" s="351" t="s">
        <v>294</v>
      </c>
      <c r="L29" s="77"/>
      <c r="M29" s="77"/>
      <c r="N29" s="77"/>
      <c r="O29" s="77"/>
      <c r="P29" s="77"/>
      <c r="Q29" s="77"/>
      <c r="R29" s="77"/>
      <c r="S29" s="79">
        <v>30</v>
      </c>
      <c r="X29" s="95" t="s">
        <v>4279</v>
      </c>
      <c r="AF29" s="1" t="s">
        <v>4262</v>
      </c>
      <c r="AG29" s="1" t="s">
        <v>4280</v>
      </c>
    </row>
    <row r="30" spans="1:33" ht="12" customHeight="1" x14ac:dyDescent="0.15">
      <c r="A30" s="26" t="s">
        <v>4281</v>
      </c>
      <c r="B30" s="25" t="s">
        <v>4282</v>
      </c>
      <c r="C30" s="26" t="s">
        <v>4281</v>
      </c>
      <c r="D30" s="77"/>
      <c r="E30" s="77"/>
      <c r="F30" s="77"/>
      <c r="G30" s="77"/>
      <c r="H30" s="77"/>
      <c r="I30" s="77"/>
      <c r="J30" s="77"/>
      <c r="K30" s="77"/>
      <c r="L30" s="77"/>
      <c r="M30" s="77"/>
      <c r="N30" s="77"/>
      <c r="O30" s="77"/>
      <c r="P30" s="77"/>
      <c r="Q30" s="77"/>
      <c r="R30" s="77"/>
      <c r="S30" s="79">
        <v>31</v>
      </c>
      <c r="X30" s="95" t="s">
        <v>4283</v>
      </c>
      <c r="AF30" s="1" t="s">
        <v>4266</v>
      </c>
      <c r="AG30" s="1" t="s">
        <v>4284</v>
      </c>
    </row>
    <row r="31" spans="1:33" ht="12" customHeight="1" x14ac:dyDescent="0.15">
      <c r="A31" s="26" t="s">
        <v>4285</v>
      </c>
      <c r="B31" s="25" t="s">
        <v>4286</v>
      </c>
      <c r="C31" s="26" t="s">
        <v>4285</v>
      </c>
      <c r="D31" s="77"/>
      <c r="E31" s="77"/>
      <c r="F31" s="77"/>
      <c r="G31" s="77"/>
      <c r="H31" s="77"/>
      <c r="I31" s="77"/>
      <c r="J31" s="77"/>
      <c r="K31" s="77"/>
      <c r="L31" s="77"/>
      <c r="M31" s="77"/>
      <c r="N31" s="77"/>
      <c r="O31" s="77"/>
      <c r="P31" s="77"/>
      <c r="Q31" s="77"/>
      <c r="R31" s="77"/>
      <c r="S31" s="79">
        <v>32</v>
      </c>
      <c r="X31" s="95" t="s">
        <v>4287</v>
      </c>
      <c r="AF31" s="1" t="s">
        <v>4288</v>
      </c>
      <c r="AG31" s="1" t="s">
        <v>4289</v>
      </c>
    </row>
    <row r="32" spans="1:33" ht="12" customHeight="1" x14ac:dyDescent="0.15">
      <c r="A32" s="26" t="s">
        <v>4290</v>
      </c>
      <c r="B32" s="25" t="s">
        <v>4291</v>
      </c>
      <c r="C32" s="26" t="s">
        <v>4290</v>
      </c>
      <c r="D32" s="77"/>
      <c r="E32" s="77"/>
      <c r="F32" s="77"/>
      <c r="G32" s="77"/>
      <c r="H32" s="77"/>
      <c r="I32" s="77"/>
      <c r="J32" s="77"/>
      <c r="K32" s="77"/>
      <c r="L32" s="77"/>
      <c r="M32" s="77"/>
      <c r="N32" s="77"/>
      <c r="O32" s="77"/>
      <c r="P32" s="77"/>
      <c r="Q32" s="77"/>
      <c r="R32" s="77"/>
      <c r="S32" s="79">
        <v>33</v>
      </c>
      <c r="X32" s="95" t="s">
        <v>4292</v>
      </c>
      <c r="AF32" t="s">
        <v>4293</v>
      </c>
      <c r="AG32" t="s">
        <v>4294</v>
      </c>
    </row>
    <row r="33" spans="1:33" ht="12" customHeight="1" x14ac:dyDescent="0.15">
      <c r="A33" s="26" t="s">
        <v>4295</v>
      </c>
      <c r="B33" s="25" t="s">
        <v>4296</v>
      </c>
      <c r="C33" s="26" t="s">
        <v>4295</v>
      </c>
      <c r="D33" s="77"/>
      <c r="E33" s="77"/>
      <c r="F33" s="77"/>
      <c r="G33" s="77"/>
      <c r="H33" s="77"/>
      <c r="I33" s="77"/>
      <c r="J33" s="77"/>
      <c r="K33" s="77"/>
      <c r="L33" s="77"/>
      <c r="M33" s="77"/>
      <c r="N33" s="77"/>
      <c r="O33" s="77"/>
      <c r="P33" s="77"/>
      <c r="Q33" s="77"/>
      <c r="R33" s="77"/>
      <c r="S33" s="79">
        <v>34</v>
      </c>
      <c r="X33" s="95" t="s">
        <v>4297</v>
      </c>
      <c r="AF33" t="s">
        <v>4298</v>
      </c>
      <c r="AG33" t="s">
        <v>4299</v>
      </c>
    </row>
    <row r="34" spans="1:33" ht="12" customHeight="1" x14ac:dyDescent="0.15">
      <c r="A34" s="26" t="s">
        <v>4300</v>
      </c>
      <c r="B34" s="25" t="s">
        <v>4301</v>
      </c>
      <c r="C34" s="26" t="s">
        <v>4300</v>
      </c>
      <c r="D34" s="77"/>
      <c r="E34" s="77"/>
      <c r="F34" s="77"/>
      <c r="G34" s="77"/>
      <c r="H34" s="77"/>
      <c r="I34" s="77"/>
      <c r="J34" s="77"/>
      <c r="K34" s="77"/>
      <c r="L34" s="77"/>
      <c r="M34" s="77"/>
      <c r="N34" s="77"/>
      <c r="O34" s="77"/>
      <c r="P34" s="77"/>
      <c r="Q34" s="77"/>
      <c r="R34" s="77"/>
      <c r="S34" s="79">
        <v>35</v>
      </c>
      <c r="X34" s="95" t="s">
        <v>4302</v>
      </c>
      <c r="AF34" t="s">
        <v>4303</v>
      </c>
      <c r="AG34" t="s">
        <v>4304</v>
      </c>
    </row>
    <row r="35" spans="1:33" ht="12" customHeight="1" x14ac:dyDescent="0.15">
      <c r="A35" s="310" t="s">
        <v>4305</v>
      </c>
      <c r="B35" s="311"/>
      <c r="C35" s="310"/>
      <c r="D35" s="77"/>
      <c r="E35" s="77"/>
      <c r="F35" s="77"/>
      <c r="G35" s="77"/>
      <c r="H35" s="77"/>
      <c r="I35" s="77"/>
      <c r="J35" s="77"/>
      <c r="K35" s="77"/>
      <c r="L35" s="77"/>
      <c r="M35" s="77"/>
      <c r="N35" s="77"/>
      <c r="O35" s="77"/>
      <c r="P35" s="77"/>
      <c r="Q35" s="77"/>
      <c r="R35" s="77"/>
      <c r="S35" s="79">
        <v>36</v>
      </c>
      <c r="X35" s="95" t="s">
        <v>4306</v>
      </c>
      <c r="AF35" t="s">
        <v>4307</v>
      </c>
      <c r="AG35" t="s">
        <v>4308</v>
      </c>
    </row>
    <row r="36" spans="1:33" ht="12" customHeight="1" x14ac:dyDescent="0.15">
      <c r="A36" s="26" t="s">
        <v>4309</v>
      </c>
      <c r="B36" s="25" t="s">
        <v>4310</v>
      </c>
      <c r="C36" s="26" t="s">
        <v>4309</v>
      </c>
      <c r="D36" s="77"/>
      <c r="E36" s="77"/>
      <c r="F36" s="77"/>
      <c r="G36" s="77"/>
      <c r="H36" s="77"/>
      <c r="I36" s="77"/>
      <c r="J36" s="77"/>
      <c r="K36" s="77"/>
      <c r="L36" s="77"/>
      <c r="M36" s="77"/>
      <c r="N36" s="77"/>
      <c r="O36" s="77"/>
      <c r="P36" s="77"/>
      <c r="Q36" s="77"/>
      <c r="R36" s="77"/>
      <c r="S36" s="79">
        <v>37</v>
      </c>
      <c r="X36" s="95" t="s">
        <v>4311</v>
      </c>
      <c r="AF36" t="s">
        <v>4312</v>
      </c>
      <c r="AG36" t="s">
        <v>4313</v>
      </c>
    </row>
    <row r="37" spans="1:33" ht="12" customHeight="1" x14ac:dyDescent="0.15">
      <c r="A37" s="26" t="s">
        <v>4314</v>
      </c>
      <c r="B37" s="25" t="s">
        <v>4315</v>
      </c>
      <c r="C37" s="26" t="s">
        <v>4314</v>
      </c>
      <c r="D37" s="77"/>
      <c r="E37" s="77"/>
      <c r="F37" s="77"/>
      <c r="G37" s="77"/>
      <c r="H37" s="77"/>
      <c r="I37" s="77"/>
      <c r="J37" s="77"/>
      <c r="K37" s="77"/>
      <c r="L37" s="77"/>
      <c r="M37" s="77"/>
      <c r="N37" s="77"/>
      <c r="O37" s="77"/>
      <c r="P37" s="77"/>
      <c r="Q37" s="77"/>
      <c r="R37" s="77"/>
      <c r="S37" s="79">
        <v>38</v>
      </c>
      <c r="AF37" t="s">
        <v>4316</v>
      </c>
      <c r="AG37" t="s">
        <v>4317</v>
      </c>
    </row>
    <row r="38" spans="1:33" ht="12" customHeight="1" x14ac:dyDescent="0.15">
      <c r="A38" s="26" t="s">
        <v>4318</v>
      </c>
      <c r="B38" s="25" t="s">
        <v>4319</v>
      </c>
      <c r="C38" s="26" t="s">
        <v>4318</v>
      </c>
      <c r="D38" s="77"/>
      <c r="E38" s="77"/>
      <c r="F38" s="77"/>
      <c r="G38" s="77"/>
      <c r="H38" s="77"/>
      <c r="I38" s="77"/>
      <c r="J38" s="77"/>
      <c r="K38" s="78" t="s">
        <v>4320</v>
      </c>
      <c r="L38" s="77"/>
      <c r="M38" s="77"/>
      <c r="N38" s="77"/>
      <c r="O38" s="77"/>
      <c r="P38" s="77"/>
      <c r="Q38" s="77"/>
      <c r="R38" s="77"/>
      <c r="S38" s="79">
        <v>39</v>
      </c>
      <c r="AF38" t="s">
        <v>4321</v>
      </c>
      <c r="AG38" t="s">
        <v>4322</v>
      </c>
    </row>
    <row r="39" spans="1:33" ht="12" customHeight="1" x14ac:dyDescent="0.15">
      <c r="A39" s="26" t="s">
        <v>4323</v>
      </c>
      <c r="B39" s="25" t="s">
        <v>4324</v>
      </c>
      <c r="C39" s="26" t="s">
        <v>4323</v>
      </c>
      <c r="D39" s="77"/>
      <c r="E39" s="77"/>
      <c r="F39" s="77"/>
      <c r="G39" s="77"/>
      <c r="H39" s="77"/>
      <c r="I39" s="77"/>
      <c r="J39" s="77"/>
      <c r="K39" s="351" t="s">
        <v>103</v>
      </c>
      <c r="L39" s="77"/>
      <c r="M39" s="77"/>
      <c r="N39" s="77"/>
      <c r="O39" s="77"/>
      <c r="P39" s="77"/>
      <c r="Q39" s="77"/>
      <c r="R39" s="77"/>
      <c r="S39" s="79">
        <v>40</v>
      </c>
      <c r="AF39" t="s">
        <v>4325</v>
      </c>
      <c r="AG39" t="s">
        <v>4326</v>
      </c>
    </row>
    <row r="40" spans="1:33" ht="12" customHeight="1" x14ac:dyDescent="0.15">
      <c r="A40" s="26" t="s">
        <v>4327</v>
      </c>
      <c r="B40" s="25" t="s">
        <v>4328</v>
      </c>
      <c r="C40" s="26" t="s">
        <v>4327</v>
      </c>
      <c r="D40" s="77"/>
      <c r="E40" s="77"/>
      <c r="F40" s="77"/>
      <c r="G40" s="77"/>
      <c r="H40" s="77"/>
      <c r="I40" s="77"/>
      <c r="J40" s="77"/>
      <c r="K40" s="351" t="s">
        <v>4206</v>
      </c>
      <c r="L40" s="77"/>
      <c r="M40" s="77"/>
      <c r="N40" s="77"/>
      <c r="O40" s="77"/>
      <c r="P40" s="77"/>
      <c r="Q40" s="77"/>
      <c r="R40" s="77"/>
      <c r="S40" s="79">
        <v>41</v>
      </c>
      <c r="AF40" t="s">
        <v>4329</v>
      </c>
      <c r="AG40" t="s">
        <v>4330</v>
      </c>
    </row>
    <row r="41" spans="1:33" ht="12" customHeight="1" x14ac:dyDescent="0.15">
      <c r="A41" s="26" t="s">
        <v>4331</v>
      </c>
      <c r="B41" s="25" t="s">
        <v>4332</v>
      </c>
      <c r="C41" s="26" t="s">
        <v>4331</v>
      </c>
      <c r="D41" s="77"/>
      <c r="E41" s="77"/>
      <c r="F41" s="77"/>
      <c r="G41" s="77"/>
      <c r="H41" s="77"/>
      <c r="I41" s="77"/>
      <c r="J41" s="77"/>
      <c r="K41" s="351" t="s">
        <v>3911</v>
      </c>
      <c r="L41" s="77"/>
      <c r="M41" s="77"/>
      <c r="N41" s="77"/>
      <c r="O41" s="77"/>
      <c r="P41" s="77"/>
      <c r="Q41" s="77"/>
      <c r="R41" s="77"/>
      <c r="S41" s="79">
        <v>42</v>
      </c>
      <c r="AF41" t="s">
        <v>4333</v>
      </c>
      <c r="AG41" t="s">
        <v>4334</v>
      </c>
    </row>
    <row r="42" spans="1:33" ht="27.75" customHeight="1" x14ac:dyDescent="0.15">
      <c r="A42" s="26" t="s">
        <v>4335</v>
      </c>
      <c r="B42" s="25" t="s">
        <v>4336</v>
      </c>
      <c r="C42" s="26" t="s">
        <v>4335</v>
      </c>
      <c r="D42" s="77"/>
      <c r="E42" s="77"/>
      <c r="F42" s="77"/>
      <c r="G42" s="77"/>
      <c r="H42" s="77"/>
      <c r="I42" s="77"/>
      <c r="J42" s="77"/>
      <c r="K42" s="351" t="s">
        <v>4216</v>
      </c>
      <c r="L42" s="77"/>
      <c r="M42" s="77"/>
      <c r="N42" s="77"/>
      <c r="O42" s="77"/>
      <c r="P42" s="77"/>
      <c r="Q42" s="77"/>
      <c r="R42" s="77"/>
      <c r="S42" s="79">
        <v>43</v>
      </c>
      <c r="AF42" t="s">
        <v>4337</v>
      </c>
      <c r="AG42" t="s">
        <v>4338</v>
      </c>
    </row>
    <row r="43" spans="1:33" ht="12" customHeight="1" x14ac:dyDescent="0.15">
      <c r="A43" s="26" t="s">
        <v>4339</v>
      </c>
      <c r="B43" s="25" t="s">
        <v>4340</v>
      </c>
      <c r="C43" s="26" t="s">
        <v>4339</v>
      </c>
      <c r="D43" s="77"/>
      <c r="E43" s="77"/>
      <c r="F43" s="77"/>
      <c r="G43" s="77"/>
      <c r="H43" s="77"/>
      <c r="I43" s="77"/>
      <c r="J43" s="77"/>
      <c r="K43" s="77"/>
      <c r="L43" s="77"/>
      <c r="M43" s="77"/>
      <c r="N43" s="77"/>
      <c r="O43" s="77"/>
      <c r="P43" s="77"/>
      <c r="Q43" s="77"/>
      <c r="R43" s="77"/>
      <c r="S43" s="79">
        <v>44</v>
      </c>
      <c r="AF43" t="s">
        <v>4341</v>
      </c>
      <c r="AG43" t="s">
        <v>4342</v>
      </c>
    </row>
    <row r="44" spans="1:33" ht="12" customHeight="1" x14ac:dyDescent="0.15">
      <c r="A44" s="26" t="s">
        <v>4343</v>
      </c>
      <c r="B44" s="25" t="s">
        <v>4344</v>
      </c>
      <c r="C44" s="26" t="s">
        <v>4343</v>
      </c>
      <c r="D44" s="77"/>
      <c r="E44" s="77"/>
      <c r="F44" s="77"/>
      <c r="G44" s="77"/>
      <c r="H44" s="77"/>
      <c r="I44" s="77"/>
      <c r="J44" s="77"/>
      <c r="K44" s="77"/>
      <c r="L44" s="77"/>
      <c r="M44" s="77"/>
      <c r="N44" s="77"/>
      <c r="O44" s="77"/>
      <c r="P44" s="77"/>
      <c r="Q44" s="77"/>
      <c r="R44" s="77"/>
      <c r="S44" s="79">
        <v>45</v>
      </c>
      <c r="AF44" t="s">
        <v>4345</v>
      </c>
      <c r="AG44" t="s">
        <v>4346</v>
      </c>
    </row>
    <row r="45" spans="1:33" ht="12" customHeight="1" x14ac:dyDescent="0.15">
      <c r="A45" s="26" t="s">
        <v>4347</v>
      </c>
      <c r="B45" s="25" t="s">
        <v>4348</v>
      </c>
      <c r="C45" s="26" t="s">
        <v>4347</v>
      </c>
      <c r="D45" s="77"/>
      <c r="E45" s="77"/>
      <c r="F45" s="77"/>
      <c r="G45" s="77"/>
      <c r="H45" s="77"/>
      <c r="I45" s="77"/>
      <c r="J45" s="77"/>
      <c r="K45" s="78" t="s">
        <v>4349</v>
      </c>
      <c r="L45" s="77"/>
      <c r="M45" s="77"/>
      <c r="N45" s="77"/>
      <c r="O45" s="77"/>
      <c r="P45" s="77"/>
      <c r="Q45" s="77"/>
      <c r="R45" s="77"/>
      <c r="S45" s="79">
        <v>46</v>
      </c>
      <c r="AF45" t="s">
        <v>4350</v>
      </c>
      <c r="AG45" t="s">
        <v>4351</v>
      </c>
    </row>
    <row r="46" spans="1:33" ht="12" customHeight="1" x14ac:dyDescent="0.15">
      <c r="A46" s="26" t="s">
        <v>4352</v>
      </c>
      <c r="B46" s="25" t="s">
        <v>4353</v>
      </c>
      <c r="C46" s="26" t="s">
        <v>4352</v>
      </c>
      <c r="D46" s="77"/>
      <c r="E46" s="77"/>
      <c r="F46" s="77"/>
      <c r="G46" s="77"/>
      <c r="H46" s="77"/>
      <c r="I46" s="77"/>
      <c r="J46" s="77"/>
      <c r="K46" s="81" t="s">
        <v>202</v>
      </c>
      <c r="L46" s="77"/>
      <c r="M46" s="77"/>
      <c r="N46" s="77"/>
      <c r="O46" s="77"/>
      <c r="P46" s="77"/>
      <c r="Q46" s="77"/>
      <c r="R46" s="77"/>
      <c r="S46" s="79">
        <v>47</v>
      </c>
      <c r="AF46" t="s">
        <v>4354</v>
      </c>
      <c r="AG46" t="s">
        <v>4355</v>
      </c>
    </row>
    <row r="47" spans="1:33" ht="12" customHeight="1" x14ac:dyDescent="0.15">
      <c r="A47" s="26" t="s">
        <v>4356</v>
      </c>
      <c r="B47" s="25" t="s">
        <v>4357</v>
      </c>
      <c r="C47" s="26" t="s">
        <v>4356</v>
      </c>
      <c r="D47" s="77"/>
      <c r="E47" s="77"/>
      <c r="F47" s="77"/>
      <c r="G47" s="77"/>
      <c r="H47" s="77"/>
      <c r="I47" s="77"/>
      <c r="J47" s="77"/>
      <c r="K47" s="81" t="s">
        <v>4241</v>
      </c>
      <c r="L47" s="77"/>
      <c r="M47" s="77"/>
      <c r="N47" s="77"/>
      <c r="O47" s="77"/>
      <c r="P47" s="77"/>
      <c r="Q47" s="77"/>
      <c r="R47" s="77"/>
      <c r="S47" s="79">
        <v>48</v>
      </c>
      <c r="AF47" t="s">
        <v>4358</v>
      </c>
      <c r="AG47" t="s">
        <v>4359</v>
      </c>
    </row>
    <row r="48" spans="1:33" ht="12" customHeight="1" x14ac:dyDescent="0.15">
      <c r="A48" s="26" t="s">
        <v>4360</v>
      </c>
      <c r="B48" s="25" t="s">
        <v>4361</v>
      </c>
      <c r="C48" s="26" t="s">
        <v>4360</v>
      </c>
      <c r="D48" s="77"/>
      <c r="E48" s="77"/>
      <c r="F48" s="77"/>
      <c r="G48" s="77"/>
      <c r="H48" s="77"/>
      <c r="I48" s="77"/>
      <c r="J48" s="77"/>
      <c r="K48" s="81" t="s">
        <v>455</v>
      </c>
      <c r="L48" s="77"/>
      <c r="M48" s="77"/>
      <c r="N48" s="77"/>
      <c r="O48" s="77"/>
      <c r="P48" s="77"/>
      <c r="Q48" s="77"/>
      <c r="R48" s="77"/>
      <c r="S48" s="79">
        <v>49</v>
      </c>
      <c r="AF48" t="s">
        <v>4362</v>
      </c>
      <c r="AG48" t="s">
        <v>4363</v>
      </c>
    </row>
    <row r="49" spans="1:33" ht="12" customHeight="1" x14ac:dyDescent="0.15">
      <c r="A49" s="26" t="s">
        <v>4364</v>
      </c>
      <c r="B49" s="25" t="s">
        <v>4365</v>
      </c>
      <c r="C49" s="26" t="s">
        <v>4364</v>
      </c>
      <c r="D49" s="77"/>
      <c r="E49" s="77"/>
      <c r="F49" s="77"/>
      <c r="G49" s="77"/>
      <c r="H49" s="77"/>
      <c r="I49" s="77"/>
      <c r="J49" s="77"/>
      <c r="K49" s="81" t="s">
        <v>4251</v>
      </c>
      <c r="L49" s="77"/>
      <c r="M49" s="77"/>
      <c r="N49" s="77"/>
      <c r="O49" s="77"/>
      <c r="P49" s="77"/>
      <c r="Q49" s="77"/>
      <c r="R49" s="77"/>
      <c r="S49" s="79">
        <v>50</v>
      </c>
      <c r="AF49" t="s">
        <v>4366</v>
      </c>
      <c r="AG49" t="s">
        <v>4367</v>
      </c>
    </row>
    <row r="50" spans="1:33" ht="12" customHeight="1" x14ac:dyDescent="0.15">
      <c r="A50" s="26" t="s">
        <v>4368</v>
      </c>
      <c r="B50" s="25" t="s">
        <v>4369</v>
      </c>
      <c r="C50" s="26" t="s">
        <v>4368</v>
      </c>
      <c r="D50" s="77"/>
      <c r="E50" s="77"/>
      <c r="F50" s="77"/>
      <c r="G50" s="77"/>
      <c r="H50" s="77"/>
      <c r="I50" s="77"/>
      <c r="J50" s="77"/>
      <c r="K50" s="81" t="s">
        <v>208</v>
      </c>
      <c r="L50" s="77"/>
      <c r="M50" s="77"/>
      <c r="N50" s="77"/>
      <c r="O50" s="77"/>
      <c r="P50" s="77"/>
      <c r="Q50" s="77"/>
      <c r="R50" s="77"/>
      <c r="AF50" t="s">
        <v>4370</v>
      </c>
      <c r="AG50" t="s">
        <v>4371</v>
      </c>
    </row>
    <row r="51" spans="1:33" ht="12" customHeight="1" x14ac:dyDescent="0.15">
      <c r="A51" s="26" t="s">
        <v>4372</v>
      </c>
      <c r="B51" s="25" t="s">
        <v>4373</v>
      </c>
      <c r="C51" s="26" t="s">
        <v>4372</v>
      </c>
      <c r="D51" s="77"/>
      <c r="E51" s="77"/>
      <c r="F51" s="77"/>
      <c r="G51" s="77"/>
      <c r="H51" s="77"/>
      <c r="I51" s="77"/>
      <c r="J51" s="77"/>
      <c r="K51" s="81" t="s">
        <v>4228</v>
      </c>
      <c r="L51" s="77"/>
      <c r="M51" s="77"/>
      <c r="N51" s="77"/>
      <c r="O51" s="77"/>
      <c r="P51" s="77"/>
      <c r="Q51" s="77"/>
      <c r="R51" s="77"/>
      <c r="AF51" t="s">
        <v>4374</v>
      </c>
      <c r="AG51" t="s">
        <v>4375</v>
      </c>
    </row>
    <row r="52" spans="1:33" ht="12" customHeight="1" x14ac:dyDescent="0.15">
      <c r="A52" s="26" t="s">
        <v>4376</v>
      </c>
      <c r="B52" s="25" t="s">
        <v>4377</v>
      </c>
      <c r="C52" s="26" t="s">
        <v>4376</v>
      </c>
      <c r="D52" s="77"/>
      <c r="E52" s="77"/>
      <c r="F52" s="77"/>
      <c r="G52" s="77"/>
      <c r="H52" s="77"/>
      <c r="I52" s="77"/>
      <c r="J52" s="77"/>
      <c r="K52" s="81" t="s">
        <v>4378</v>
      </c>
      <c r="L52" s="77"/>
      <c r="M52" s="77"/>
      <c r="N52" s="77"/>
      <c r="O52" s="77"/>
      <c r="P52" s="77"/>
      <c r="Q52" s="77"/>
      <c r="R52" s="77"/>
      <c r="AF52" t="s">
        <v>4379</v>
      </c>
      <c r="AG52" t="s">
        <v>4380</v>
      </c>
    </row>
    <row r="53" spans="1:33" ht="12" customHeight="1" x14ac:dyDescent="0.15">
      <c r="A53" s="26" t="s">
        <v>4381</v>
      </c>
      <c r="B53" s="25" t="s">
        <v>4382</v>
      </c>
      <c r="C53" s="26" t="s">
        <v>4381</v>
      </c>
      <c r="D53" s="77"/>
      <c r="E53" s="77"/>
      <c r="F53" s="77"/>
      <c r="G53" s="77"/>
      <c r="H53" s="77"/>
      <c r="I53" s="77"/>
      <c r="J53" s="77"/>
      <c r="K53" s="77"/>
      <c r="L53" s="77"/>
      <c r="M53" s="77"/>
      <c r="N53" s="77"/>
      <c r="O53" s="77"/>
      <c r="P53" s="77"/>
      <c r="Q53" s="77"/>
      <c r="R53" s="77"/>
      <c r="AF53" t="s">
        <v>4383</v>
      </c>
      <c r="AG53" t="s">
        <v>4384</v>
      </c>
    </row>
    <row r="54" spans="1:33" ht="12" customHeight="1" x14ac:dyDescent="0.15">
      <c r="A54" s="26" t="s">
        <v>4385</v>
      </c>
      <c r="B54" s="25" t="s">
        <v>4386</v>
      </c>
      <c r="C54" s="26" t="s">
        <v>4385</v>
      </c>
      <c r="D54" s="77"/>
      <c r="E54" s="77"/>
      <c r="F54" s="77"/>
      <c r="G54" s="77"/>
      <c r="H54" s="77"/>
      <c r="I54" s="77"/>
      <c r="J54" s="77"/>
      <c r="K54" s="77"/>
      <c r="L54" s="77"/>
      <c r="M54" s="77"/>
      <c r="N54" s="77"/>
      <c r="O54" s="77"/>
      <c r="P54" s="77"/>
      <c r="Q54" s="77"/>
      <c r="R54" s="77"/>
      <c r="AF54" t="s">
        <v>4387</v>
      </c>
      <c r="AG54" t="s">
        <v>4388</v>
      </c>
    </row>
    <row r="55" spans="1:33" ht="10.5" customHeight="1" x14ac:dyDescent="0.15">
      <c r="A55" s="26" t="s">
        <v>4389</v>
      </c>
      <c r="B55" s="25" t="s">
        <v>4390</v>
      </c>
      <c r="C55" s="26" t="s">
        <v>4389</v>
      </c>
      <c r="D55" s="77"/>
      <c r="E55" s="77"/>
      <c r="F55" s="77"/>
      <c r="G55" s="77"/>
      <c r="H55" s="77"/>
      <c r="I55" s="77"/>
      <c r="J55" s="77"/>
      <c r="K55" s="77"/>
      <c r="L55" s="77"/>
      <c r="M55" s="77"/>
      <c r="N55" s="77"/>
      <c r="O55" s="77"/>
      <c r="P55" s="77"/>
      <c r="Q55" s="77"/>
      <c r="R55" s="77"/>
      <c r="AF55" t="s">
        <v>4391</v>
      </c>
      <c r="AG55" t="s">
        <v>4392</v>
      </c>
    </row>
    <row r="56" spans="1:33" ht="12" customHeight="1" x14ac:dyDescent="0.15">
      <c r="A56" s="26" t="s">
        <v>4393</v>
      </c>
      <c r="B56" s="25" t="s">
        <v>4394</v>
      </c>
      <c r="C56" s="26" t="s">
        <v>4393</v>
      </c>
      <c r="D56" s="77"/>
      <c r="E56" s="77"/>
      <c r="F56" s="77"/>
      <c r="G56" s="77"/>
      <c r="H56" s="77"/>
      <c r="I56" s="77"/>
      <c r="J56" s="77"/>
      <c r="K56" s="77"/>
      <c r="L56" s="77"/>
      <c r="M56" s="77"/>
      <c r="N56" s="77"/>
      <c r="O56" s="77"/>
      <c r="P56" s="77"/>
      <c r="Q56" s="77"/>
      <c r="R56" s="77"/>
      <c r="AG56" t="s">
        <v>4395</v>
      </c>
    </row>
    <row r="57" spans="1:33" ht="12" customHeight="1" x14ac:dyDescent="0.15">
      <c r="A57" s="26" t="s">
        <v>4396</v>
      </c>
      <c r="B57" s="25" t="s">
        <v>4397</v>
      </c>
      <c r="C57" s="26" t="s">
        <v>4396</v>
      </c>
      <c r="D57" s="77"/>
      <c r="E57" s="77"/>
      <c r="F57" s="77"/>
      <c r="G57" s="77"/>
      <c r="H57" s="77"/>
      <c r="I57" s="77"/>
      <c r="J57" s="77"/>
      <c r="K57" s="77"/>
      <c r="L57" s="77"/>
      <c r="M57" s="77"/>
      <c r="N57" s="77"/>
      <c r="O57" s="77"/>
      <c r="P57" s="77"/>
      <c r="Q57" s="77"/>
      <c r="R57" s="77"/>
      <c r="AG57" t="s">
        <v>4398</v>
      </c>
    </row>
    <row r="58" spans="1:33" ht="12" customHeight="1" x14ac:dyDescent="0.15">
      <c r="A58" s="26" t="s">
        <v>4399</v>
      </c>
      <c r="B58" s="25" t="s">
        <v>4400</v>
      </c>
      <c r="C58" s="26" t="s">
        <v>4399</v>
      </c>
      <c r="D58" s="77"/>
      <c r="E58" s="77"/>
      <c r="F58" s="77"/>
      <c r="G58" s="77"/>
      <c r="H58" s="77"/>
      <c r="I58" s="77"/>
      <c r="J58" s="77"/>
      <c r="K58" s="77"/>
      <c r="L58" s="77"/>
      <c r="M58" s="77"/>
      <c r="N58" s="77"/>
      <c r="O58" s="77"/>
      <c r="P58" s="77"/>
      <c r="Q58" s="77"/>
      <c r="R58" s="77"/>
      <c r="AG58" t="s">
        <v>4401</v>
      </c>
    </row>
    <row r="59" spans="1:33" ht="12" customHeight="1" x14ac:dyDescent="0.15">
      <c r="A59" s="26" t="s">
        <v>4402</v>
      </c>
      <c r="B59" s="25" t="s">
        <v>4403</v>
      </c>
      <c r="C59" s="26" t="s">
        <v>4404</v>
      </c>
      <c r="D59" s="77"/>
      <c r="E59" s="77"/>
      <c r="F59" s="77"/>
      <c r="G59" s="77"/>
      <c r="H59" s="77"/>
      <c r="I59" s="77"/>
      <c r="J59" s="77"/>
      <c r="K59" s="77"/>
      <c r="L59" s="77"/>
      <c r="M59" s="77"/>
      <c r="N59" s="77"/>
      <c r="O59" s="77"/>
      <c r="P59" s="77"/>
      <c r="Q59" s="77"/>
      <c r="R59" s="77"/>
      <c r="AG59" t="s">
        <v>4405</v>
      </c>
    </row>
    <row r="60" spans="1:33" ht="12" customHeight="1" x14ac:dyDescent="0.15">
      <c r="A60" s="26" t="s">
        <v>4406</v>
      </c>
      <c r="B60" s="25" t="s">
        <v>4407</v>
      </c>
      <c r="C60" s="26" t="s">
        <v>4406</v>
      </c>
      <c r="D60" s="77"/>
      <c r="E60" s="77"/>
      <c r="F60" s="77"/>
      <c r="G60" s="77"/>
      <c r="H60" s="77"/>
      <c r="I60" s="77"/>
      <c r="J60" s="77"/>
      <c r="K60" s="77"/>
      <c r="L60" s="77"/>
      <c r="M60" s="77"/>
      <c r="N60" s="77"/>
      <c r="O60" s="77"/>
      <c r="P60" s="77"/>
      <c r="Q60" s="77"/>
      <c r="R60" s="77"/>
      <c r="AG60" t="s">
        <v>4408</v>
      </c>
    </row>
    <row r="61" spans="1:33" ht="12" customHeight="1" x14ac:dyDescent="0.15">
      <c r="A61" s="26" t="s">
        <v>4409</v>
      </c>
      <c r="B61" s="25" t="s">
        <v>4410</v>
      </c>
      <c r="C61" s="26" t="s">
        <v>4409</v>
      </c>
      <c r="D61" s="77"/>
      <c r="E61" s="77"/>
      <c r="F61" s="77"/>
      <c r="G61" s="77"/>
      <c r="H61" s="77"/>
      <c r="I61" s="77"/>
      <c r="J61" s="77"/>
      <c r="K61" s="77"/>
      <c r="L61" s="77"/>
      <c r="M61" s="77"/>
      <c r="N61" s="77"/>
      <c r="O61" s="77"/>
      <c r="P61" s="77"/>
      <c r="Q61" s="77"/>
      <c r="R61" s="77"/>
      <c r="AG61" t="s">
        <v>4411</v>
      </c>
    </row>
    <row r="62" spans="1:33" ht="12" customHeight="1" x14ac:dyDescent="0.15">
      <c r="A62" s="26" t="s">
        <v>4412</v>
      </c>
      <c r="B62" s="25" t="s">
        <v>4413</v>
      </c>
      <c r="C62" s="26" t="s">
        <v>4412</v>
      </c>
      <c r="D62" s="77"/>
      <c r="E62" s="77"/>
      <c r="F62" s="77"/>
      <c r="G62" s="77"/>
      <c r="H62" s="77"/>
      <c r="I62" s="77"/>
      <c r="J62" s="77"/>
      <c r="K62" s="77"/>
      <c r="L62" s="77"/>
      <c r="M62" s="77"/>
      <c r="N62" s="77"/>
      <c r="O62" s="77"/>
      <c r="P62" s="77"/>
      <c r="Q62" s="77"/>
      <c r="R62" s="77"/>
      <c r="AG62" t="s">
        <v>4414</v>
      </c>
    </row>
    <row r="63" spans="1:33" ht="12" customHeight="1" x14ac:dyDescent="0.15">
      <c r="A63" s="26" t="s">
        <v>4415</v>
      </c>
      <c r="B63" s="25" t="s">
        <v>4416</v>
      </c>
      <c r="C63" s="26" t="s">
        <v>4417</v>
      </c>
      <c r="D63" s="77"/>
      <c r="E63" s="77"/>
      <c r="F63" s="77"/>
      <c r="G63" s="77"/>
      <c r="H63" s="77"/>
      <c r="I63" s="77"/>
      <c r="J63" s="77"/>
      <c r="K63" s="77"/>
      <c r="L63" s="77"/>
      <c r="M63" s="77"/>
      <c r="N63" s="77"/>
      <c r="O63" s="77"/>
      <c r="P63" s="77"/>
      <c r="Q63" s="77"/>
      <c r="R63" s="77"/>
      <c r="AG63" t="s">
        <v>4418</v>
      </c>
    </row>
    <row r="64" spans="1:33" ht="12" customHeight="1" x14ac:dyDescent="0.15">
      <c r="A64" s="26" t="s">
        <v>4419</v>
      </c>
      <c r="B64" s="25" t="s">
        <v>4420</v>
      </c>
      <c r="C64" s="26" t="s">
        <v>4419</v>
      </c>
      <c r="D64" s="77"/>
      <c r="E64" s="77"/>
      <c r="F64" s="77"/>
      <c r="G64" s="77"/>
      <c r="H64" s="77"/>
      <c r="I64" s="77"/>
      <c r="J64" s="77"/>
      <c r="K64" s="77"/>
      <c r="L64" s="77"/>
      <c r="M64" s="77"/>
      <c r="N64" s="77"/>
      <c r="O64" s="77"/>
      <c r="P64" s="77"/>
      <c r="Q64" s="77"/>
      <c r="R64" s="77"/>
      <c r="AG64" t="s">
        <v>4421</v>
      </c>
    </row>
    <row r="65" spans="1:33" ht="12" customHeight="1" x14ac:dyDescent="0.15">
      <c r="A65" s="26" t="s">
        <v>4422</v>
      </c>
      <c r="B65" s="25" t="s">
        <v>4423</v>
      </c>
      <c r="C65" s="26" t="s">
        <v>4424</v>
      </c>
      <c r="D65" s="77"/>
      <c r="E65" s="77"/>
      <c r="F65" s="77"/>
      <c r="G65" s="77"/>
      <c r="H65" s="77"/>
      <c r="I65" s="77"/>
      <c r="J65" s="77"/>
      <c r="K65" s="77"/>
      <c r="L65" s="77"/>
      <c r="M65" s="77"/>
      <c r="N65" s="77"/>
      <c r="O65" s="77"/>
      <c r="P65" s="77"/>
      <c r="Q65" s="77"/>
      <c r="R65" s="77"/>
      <c r="AG65" t="s">
        <v>4425</v>
      </c>
    </row>
    <row r="66" spans="1:33" ht="12" customHeight="1" x14ac:dyDescent="0.15">
      <c r="A66" s="26" t="s">
        <v>4426</v>
      </c>
      <c r="B66" s="25" t="s">
        <v>4427</v>
      </c>
      <c r="C66" s="26" t="s">
        <v>4426</v>
      </c>
      <c r="D66" s="77"/>
      <c r="E66" s="77"/>
      <c r="F66" s="77"/>
      <c r="G66" s="77"/>
      <c r="H66" s="77"/>
      <c r="I66" s="77"/>
      <c r="J66" s="77"/>
      <c r="K66" s="77"/>
      <c r="L66" s="77"/>
      <c r="M66" s="77"/>
      <c r="N66" s="77"/>
      <c r="O66" s="77"/>
      <c r="P66" s="77"/>
      <c r="Q66" s="77"/>
      <c r="R66" s="77"/>
      <c r="AG66" t="s">
        <v>4428</v>
      </c>
    </row>
    <row r="67" spans="1:33" ht="12" customHeight="1" x14ac:dyDescent="0.15">
      <c r="A67" s="26" t="s">
        <v>4429</v>
      </c>
      <c r="B67" s="25" t="s">
        <v>4430</v>
      </c>
      <c r="C67" s="26" t="s">
        <v>4429</v>
      </c>
      <c r="D67" s="77"/>
      <c r="E67" s="77"/>
      <c r="F67" s="77"/>
      <c r="G67" s="77"/>
      <c r="H67" s="77"/>
      <c r="I67" s="77"/>
      <c r="J67" s="77"/>
      <c r="K67" s="77"/>
      <c r="L67" s="77"/>
      <c r="M67" s="77"/>
      <c r="N67" s="77"/>
      <c r="O67" s="77"/>
      <c r="P67" s="77"/>
      <c r="Q67" s="77"/>
      <c r="R67" s="77"/>
      <c r="AG67" t="s">
        <v>4431</v>
      </c>
    </row>
    <row r="68" spans="1:33" ht="12" customHeight="1" x14ac:dyDescent="0.15">
      <c r="A68" s="26" t="s">
        <v>4432</v>
      </c>
      <c r="B68" s="25" t="s">
        <v>4433</v>
      </c>
      <c r="C68" s="26" t="s">
        <v>4432</v>
      </c>
      <c r="D68" s="77"/>
      <c r="E68" s="77"/>
      <c r="F68" s="77"/>
      <c r="G68" s="77"/>
      <c r="H68" s="77"/>
      <c r="I68" s="77"/>
      <c r="J68" s="77"/>
      <c r="K68" s="77"/>
      <c r="L68" s="77"/>
      <c r="M68" s="77"/>
      <c r="N68" s="77"/>
      <c r="O68" s="77"/>
      <c r="P68" s="77"/>
      <c r="Q68" s="77"/>
      <c r="R68" s="77"/>
      <c r="AG68" t="s">
        <v>4434</v>
      </c>
    </row>
    <row r="69" spans="1:33" ht="12" customHeight="1" x14ac:dyDescent="0.15">
      <c r="A69" s="26" t="s">
        <v>4435</v>
      </c>
      <c r="B69" s="25" t="s">
        <v>4436</v>
      </c>
      <c r="C69" s="26" t="s">
        <v>4435</v>
      </c>
      <c r="D69" s="77"/>
      <c r="E69" s="77"/>
      <c r="F69" s="77"/>
      <c r="G69" s="77"/>
      <c r="H69" s="77"/>
      <c r="I69" s="77"/>
      <c r="J69" s="77"/>
      <c r="K69" s="77"/>
      <c r="L69" s="77"/>
      <c r="M69" s="77"/>
      <c r="N69" s="77"/>
      <c r="O69" s="77"/>
      <c r="P69" s="77"/>
      <c r="Q69" s="77"/>
      <c r="R69" s="77"/>
      <c r="AG69" t="s">
        <v>4437</v>
      </c>
    </row>
    <row r="70" spans="1:33" ht="12" customHeight="1" x14ac:dyDescent="0.15">
      <c r="A70" s="26" t="s">
        <v>4438</v>
      </c>
      <c r="B70" s="25" t="s">
        <v>4439</v>
      </c>
      <c r="C70" s="26" t="s">
        <v>4438</v>
      </c>
      <c r="D70" s="77"/>
      <c r="E70" s="77"/>
      <c r="F70" s="77"/>
      <c r="G70" s="77"/>
      <c r="H70" s="77"/>
      <c r="I70" s="77"/>
      <c r="J70" s="77"/>
      <c r="K70" s="77"/>
      <c r="L70" s="77"/>
      <c r="M70" s="77"/>
      <c r="N70" s="77"/>
      <c r="O70" s="77"/>
      <c r="P70" s="77"/>
      <c r="Q70" s="77"/>
      <c r="R70" s="77"/>
      <c r="AG70" t="s">
        <v>4440</v>
      </c>
    </row>
    <row r="71" spans="1:33" ht="12" customHeight="1" x14ac:dyDescent="0.15">
      <c r="A71" s="26" t="s">
        <v>4441</v>
      </c>
      <c r="B71" s="25" t="s">
        <v>4442</v>
      </c>
      <c r="C71" s="26" t="s">
        <v>4441</v>
      </c>
      <c r="D71" s="77"/>
      <c r="E71" s="77"/>
      <c r="F71" s="77"/>
      <c r="G71" s="77"/>
      <c r="H71" s="77"/>
      <c r="I71" s="77"/>
      <c r="J71" s="77"/>
      <c r="K71" s="77"/>
      <c r="L71" s="77"/>
      <c r="M71" s="77"/>
      <c r="N71" s="77"/>
      <c r="O71" s="77"/>
      <c r="P71" s="77"/>
      <c r="Q71" s="77"/>
      <c r="R71" s="77"/>
      <c r="AG71" t="s">
        <v>4443</v>
      </c>
    </row>
    <row r="72" spans="1:33" ht="12" customHeight="1" x14ac:dyDescent="0.15">
      <c r="A72" s="26" t="s">
        <v>4444</v>
      </c>
      <c r="B72" s="25" t="s">
        <v>4445</v>
      </c>
      <c r="C72" s="26" t="s">
        <v>4444</v>
      </c>
      <c r="D72" s="77"/>
      <c r="E72" s="77"/>
      <c r="F72" s="77"/>
      <c r="G72" s="77"/>
      <c r="H72" s="77"/>
      <c r="I72" s="77"/>
      <c r="J72" s="77"/>
      <c r="K72" s="77"/>
      <c r="L72" s="77"/>
      <c r="M72" s="77"/>
      <c r="N72" s="77"/>
      <c r="O72" s="77"/>
      <c r="P72" s="77"/>
      <c r="Q72" s="77"/>
      <c r="R72" s="77"/>
      <c r="AG72" t="s">
        <v>4446</v>
      </c>
    </row>
    <row r="73" spans="1:33" ht="12" customHeight="1" x14ac:dyDescent="0.15">
      <c r="A73" s="26" t="s">
        <v>4447</v>
      </c>
      <c r="B73" s="25" t="s">
        <v>4448</v>
      </c>
      <c r="C73" s="26" t="s">
        <v>4447</v>
      </c>
      <c r="D73" s="77"/>
      <c r="E73" s="77"/>
      <c r="F73" s="77"/>
      <c r="G73" s="77"/>
      <c r="H73" s="77"/>
      <c r="I73" s="77"/>
      <c r="J73" s="77"/>
      <c r="K73" s="77"/>
      <c r="L73" s="77"/>
      <c r="M73" s="77"/>
      <c r="N73" s="77"/>
      <c r="O73" s="77"/>
      <c r="P73" s="77"/>
      <c r="Q73" s="77"/>
      <c r="R73" s="77"/>
      <c r="AG73" t="s">
        <v>4449</v>
      </c>
    </row>
    <row r="74" spans="1:33" ht="12" customHeight="1" x14ac:dyDescent="0.15">
      <c r="A74" s="26" t="s">
        <v>4450</v>
      </c>
      <c r="B74" s="25" t="s">
        <v>4451</v>
      </c>
      <c r="C74" s="26" t="s">
        <v>4450</v>
      </c>
      <c r="D74" s="77"/>
      <c r="E74" s="77"/>
      <c r="F74" s="77"/>
      <c r="G74" s="77"/>
      <c r="H74" s="77"/>
      <c r="I74" s="77"/>
      <c r="J74" s="77"/>
      <c r="K74" s="77"/>
      <c r="L74" s="77"/>
      <c r="M74" s="77"/>
      <c r="N74" s="77"/>
      <c r="O74" s="77"/>
      <c r="P74" s="77"/>
      <c r="Q74" s="77"/>
      <c r="R74" s="77"/>
      <c r="AG74" t="s">
        <v>4452</v>
      </c>
    </row>
    <row r="75" spans="1:33" ht="12" customHeight="1" x14ac:dyDescent="0.15">
      <c r="A75" s="26" t="s">
        <v>4453</v>
      </c>
      <c r="B75" s="25" t="s">
        <v>4454</v>
      </c>
      <c r="C75" s="26" t="s">
        <v>4453</v>
      </c>
      <c r="D75" s="77"/>
      <c r="E75" s="77"/>
      <c r="F75" s="77"/>
      <c r="G75" s="77"/>
      <c r="H75" s="77"/>
      <c r="I75" s="77"/>
      <c r="J75" s="77"/>
      <c r="K75" s="77"/>
      <c r="L75" s="77"/>
      <c r="M75" s="77"/>
      <c r="N75" s="77"/>
      <c r="O75" s="77"/>
      <c r="P75" s="77"/>
      <c r="Q75" s="77"/>
      <c r="R75" s="77"/>
      <c r="AG75" t="s">
        <v>4455</v>
      </c>
    </row>
    <row r="76" spans="1:33" ht="12" customHeight="1" x14ac:dyDescent="0.15">
      <c r="A76" s="26" t="s">
        <v>4456</v>
      </c>
      <c r="B76" s="25" t="s">
        <v>4457</v>
      </c>
      <c r="C76" s="26" t="s">
        <v>4456</v>
      </c>
      <c r="D76" s="77"/>
      <c r="E76" s="77"/>
      <c r="F76" s="77"/>
      <c r="G76" s="77"/>
      <c r="H76" s="77"/>
      <c r="I76" s="77"/>
      <c r="J76" s="77"/>
      <c r="K76" s="77"/>
      <c r="L76" s="77"/>
      <c r="M76" s="77"/>
      <c r="N76" s="77"/>
      <c r="O76" s="77"/>
      <c r="P76" s="77"/>
      <c r="Q76" s="77"/>
      <c r="R76" s="77"/>
      <c r="AG76" t="s">
        <v>4458</v>
      </c>
    </row>
    <row r="77" spans="1:33" ht="12" customHeight="1" x14ac:dyDescent="0.15">
      <c r="A77" s="26" t="s">
        <v>4459</v>
      </c>
      <c r="B77" s="25" t="s">
        <v>4460</v>
      </c>
      <c r="C77" s="26" t="s">
        <v>4459</v>
      </c>
      <c r="D77" s="77"/>
      <c r="E77" s="77"/>
      <c r="F77" s="77"/>
      <c r="G77" s="77"/>
      <c r="H77" s="77"/>
      <c r="I77" s="77"/>
      <c r="J77" s="77"/>
      <c r="K77" s="77"/>
      <c r="L77" s="77"/>
      <c r="M77" s="77"/>
      <c r="N77" s="77"/>
      <c r="O77" s="77"/>
      <c r="P77" s="77"/>
      <c r="Q77" s="77"/>
      <c r="R77" s="77"/>
      <c r="AG77" t="s">
        <v>4461</v>
      </c>
    </row>
    <row r="78" spans="1:33" ht="12" customHeight="1" x14ac:dyDescent="0.15">
      <c r="A78" s="26" t="s">
        <v>4462</v>
      </c>
      <c r="B78" s="25" t="s">
        <v>4463</v>
      </c>
      <c r="C78" s="26" t="s">
        <v>4462</v>
      </c>
      <c r="D78" s="77"/>
      <c r="E78" s="77"/>
      <c r="F78" s="77"/>
      <c r="G78" s="77"/>
      <c r="H78" s="77"/>
      <c r="I78" s="77"/>
      <c r="J78" s="77"/>
      <c r="K78" s="77"/>
      <c r="L78" s="77"/>
      <c r="M78" s="77"/>
      <c r="N78" s="77"/>
      <c r="O78" s="77"/>
      <c r="P78" s="77"/>
      <c r="Q78" s="77"/>
      <c r="R78" s="77"/>
      <c r="AG78" t="s">
        <v>4337</v>
      </c>
    </row>
    <row r="79" spans="1:33" ht="12" customHeight="1" x14ac:dyDescent="0.15">
      <c r="A79" s="26" t="s">
        <v>4464</v>
      </c>
      <c r="B79" s="25" t="s">
        <v>4465</v>
      </c>
      <c r="C79" s="26" t="s">
        <v>4464</v>
      </c>
      <c r="D79" s="77"/>
      <c r="E79" s="77"/>
      <c r="F79" s="77"/>
      <c r="G79" s="77"/>
      <c r="H79" s="77"/>
      <c r="I79" s="77"/>
      <c r="J79" s="77"/>
      <c r="K79" s="77"/>
      <c r="L79" s="77"/>
      <c r="M79" s="77"/>
      <c r="N79" s="77"/>
      <c r="O79" s="77"/>
      <c r="P79" s="77"/>
      <c r="Q79" s="77"/>
      <c r="R79" s="77"/>
      <c r="AG79" t="s">
        <v>4341</v>
      </c>
    </row>
    <row r="80" spans="1:33" ht="12" customHeight="1" x14ac:dyDescent="0.15">
      <c r="A80" s="26" t="s">
        <v>4466</v>
      </c>
      <c r="B80" s="25" t="s">
        <v>4467</v>
      </c>
      <c r="C80" s="26" t="s">
        <v>4468</v>
      </c>
      <c r="D80" s="77"/>
      <c r="E80" s="77"/>
      <c r="F80" s="77"/>
      <c r="G80" s="77"/>
      <c r="H80" s="77"/>
      <c r="I80" s="77"/>
      <c r="J80" s="77"/>
      <c r="K80" s="77"/>
      <c r="L80" s="77"/>
      <c r="M80" s="77"/>
      <c r="N80" s="77"/>
      <c r="O80" s="77"/>
      <c r="P80" s="77"/>
      <c r="Q80" s="77"/>
      <c r="R80" s="77"/>
      <c r="AG80" t="s">
        <v>4345</v>
      </c>
    </row>
    <row r="81" spans="1:33" ht="12" customHeight="1" x14ac:dyDescent="0.15">
      <c r="A81" s="26" t="s">
        <v>4469</v>
      </c>
      <c r="B81" s="25" t="s">
        <v>4470</v>
      </c>
      <c r="C81" s="26" t="s">
        <v>4469</v>
      </c>
      <c r="D81" s="77"/>
      <c r="E81" s="77"/>
      <c r="F81" s="77"/>
      <c r="G81" s="77"/>
      <c r="H81" s="77"/>
      <c r="I81" s="77"/>
      <c r="J81" s="77"/>
      <c r="K81" s="77"/>
      <c r="L81" s="77"/>
      <c r="M81" s="77"/>
      <c r="N81" s="77"/>
      <c r="O81" s="77"/>
      <c r="P81" s="77"/>
      <c r="Q81" s="77"/>
      <c r="R81" s="77"/>
      <c r="AG81" t="s">
        <v>4471</v>
      </c>
    </row>
    <row r="82" spans="1:33" ht="12" customHeight="1" x14ac:dyDescent="0.15">
      <c r="A82" s="26" t="s">
        <v>4472</v>
      </c>
      <c r="B82" s="25" t="s">
        <v>4473</v>
      </c>
      <c r="C82" s="26" t="s">
        <v>4472</v>
      </c>
      <c r="D82" s="77"/>
      <c r="E82" s="77"/>
      <c r="F82" s="77"/>
      <c r="G82" s="77"/>
      <c r="H82" s="77"/>
      <c r="I82" s="77"/>
      <c r="J82" s="77"/>
      <c r="K82" s="77"/>
      <c r="L82" s="77"/>
      <c r="M82" s="77"/>
      <c r="N82" s="77"/>
      <c r="O82" s="77"/>
      <c r="P82" s="77"/>
      <c r="Q82" s="77"/>
      <c r="R82" s="77"/>
      <c r="AG82" t="s">
        <v>4474</v>
      </c>
    </row>
    <row r="83" spans="1:33" ht="12" customHeight="1" x14ac:dyDescent="0.15">
      <c r="A83" s="26" t="s">
        <v>4475</v>
      </c>
      <c r="B83" s="25" t="s">
        <v>4476</v>
      </c>
      <c r="C83" s="26" t="s">
        <v>4475</v>
      </c>
      <c r="D83" s="77"/>
      <c r="E83" s="77"/>
      <c r="F83" s="77"/>
      <c r="G83" s="77"/>
      <c r="H83" s="77"/>
      <c r="I83" s="77"/>
      <c r="J83" s="77"/>
      <c r="K83" s="77"/>
      <c r="L83" s="77"/>
      <c r="M83" s="77"/>
      <c r="N83" s="77"/>
      <c r="O83" s="77"/>
      <c r="P83" s="77"/>
      <c r="Q83" s="77"/>
      <c r="R83" s="77"/>
      <c r="AG83" t="s">
        <v>4477</v>
      </c>
    </row>
    <row r="84" spans="1:33" ht="12" customHeight="1" x14ac:dyDescent="0.15">
      <c r="A84" s="310" t="s">
        <v>4478</v>
      </c>
      <c r="B84" s="311"/>
      <c r="C84" s="310"/>
      <c r="D84" s="77"/>
      <c r="E84" s="77"/>
      <c r="F84" s="77"/>
      <c r="G84" s="77"/>
      <c r="H84" s="77"/>
      <c r="I84" s="77"/>
      <c r="J84" s="77"/>
      <c r="K84" s="77"/>
      <c r="L84" s="77"/>
      <c r="M84" s="77"/>
      <c r="N84" s="77"/>
      <c r="O84" s="77"/>
      <c r="P84" s="77"/>
      <c r="Q84" s="77"/>
      <c r="R84" s="77"/>
      <c r="AG84" t="s">
        <v>4479</v>
      </c>
    </row>
    <row r="85" spans="1:33" ht="12" customHeight="1" x14ac:dyDescent="0.15">
      <c r="A85" s="26" t="s">
        <v>4480</v>
      </c>
      <c r="B85" s="25" t="s">
        <v>4481</v>
      </c>
      <c r="C85" s="26" t="s">
        <v>4480</v>
      </c>
      <c r="D85" s="77"/>
      <c r="E85" s="77"/>
      <c r="F85" s="77"/>
      <c r="G85" s="77"/>
      <c r="H85" s="77"/>
      <c r="I85" s="77"/>
      <c r="J85" s="77"/>
      <c r="K85" s="77"/>
      <c r="L85" s="77"/>
      <c r="M85" s="77"/>
      <c r="N85" s="77"/>
      <c r="O85" s="77"/>
      <c r="P85" s="77"/>
      <c r="Q85" s="77"/>
      <c r="R85" s="77"/>
      <c r="AG85" t="s">
        <v>4482</v>
      </c>
    </row>
    <row r="86" spans="1:33" ht="12" customHeight="1" x14ac:dyDescent="0.15">
      <c r="A86" s="26" t="s">
        <v>4483</v>
      </c>
      <c r="B86" s="25" t="s">
        <v>4484</v>
      </c>
      <c r="C86" s="26" t="s">
        <v>4485</v>
      </c>
      <c r="D86" s="77"/>
      <c r="E86" s="77"/>
      <c r="F86" s="77"/>
      <c r="G86" s="77"/>
      <c r="H86" s="77"/>
      <c r="I86" s="77"/>
      <c r="J86" s="77"/>
      <c r="K86" s="77"/>
      <c r="L86" s="77"/>
      <c r="M86" s="77"/>
      <c r="N86" s="77"/>
      <c r="O86" s="77"/>
      <c r="P86" s="77"/>
      <c r="Q86" s="77"/>
      <c r="R86" s="77"/>
      <c r="AG86" t="s">
        <v>4486</v>
      </c>
    </row>
    <row r="87" spans="1:33" ht="12" customHeight="1" x14ac:dyDescent="0.15">
      <c r="A87" s="26" t="s">
        <v>4487</v>
      </c>
      <c r="B87" s="25" t="s">
        <v>4488</v>
      </c>
      <c r="C87" s="26" t="s">
        <v>4489</v>
      </c>
      <c r="D87" s="77"/>
      <c r="E87" s="77"/>
      <c r="F87" s="77"/>
      <c r="G87" s="77"/>
      <c r="H87" s="77"/>
      <c r="I87" s="77"/>
      <c r="J87" s="77"/>
      <c r="K87" s="77"/>
      <c r="L87" s="77"/>
      <c r="M87" s="77"/>
      <c r="N87" s="77"/>
      <c r="O87" s="77"/>
      <c r="P87" s="77"/>
      <c r="Q87" s="77"/>
      <c r="R87" s="77"/>
      <c r="AG87" t="s">
        <v>4490</v>
      </c>
    </row>
    <row r="88" spans="1:33" ht="12" customHeight="1" x14ac:dyDescent="0.15">
      <c r="A88" s="26" t="s">
        <v>4491</v>
      </c>
      <c r="B88" s="25" t="s">
        <v>4492</v>
      </c>
      <c r="C88" s="26" t="s">
        <v>4491</v>
      </c>
      <c r="D88" s="77"/>
      <c r="E88" s="77"/>
      <c r="F88" s="77"/>
      <c r="G88" s="77"/>
      <c r="H88" s="77"/>
      <c r="I88" s="77"/>
      <c r="J88" s="77"/>
      <c r="K88" s="77"/>
      <c r="L88" s="77"/>
      <c r="M88" s="77"/>
      <c r="N88" s="77"/>
      <c r="O88" s="77"/>
      <c r="P88" s="77"/>
      <c r="Q88" s="77"/>
      <c r="R88" s="77"/>
      <c r="AG88" t="s">
        <v>4493</v>
      </c>
    </row>
    <row r="89" spans="1:33" ht="12" customHeight="1" x14ac:dyDescent="0.15">
      <c r="A89" s="26" t="s">
        <v>4494</v>
      </c>
      <c r="B89" s="25" t="s">
        <v>4495</v>
      </c>
      <c r="C89" s="26" t="s">
        <v>4494</v>
      </c>
      <c r="D89" s="77"/>
      <c r="E89" s="77"/>
      <c r="F89" s="77"/>
      <c r="G89" s="77"/>
      <c r="H89" s="77"/>
      <c r="I89" s="77"/>
      <c r="J89" s="77"/>
      <c r="K89" s="77"/>
      <c r="L89" s="77"/>
      <c r="M89" s="77"/>
      <c r="N89" s="77"/>
      <c r="O89" s="77"/>
      <c r="P89" s="77"/>
      <c r="Q89" s="77"/>
      <c r="R89" s="77"/>
      <c r="AG89" t="s">
        <v>4496</v>
      </c>
    </row>
    <row r="90" spans="1:33" ht="12" customHeight="1" x14ac:dyDescent="0.15">
      <c r="A90" s="26" t="s">
        <v>4497</v>
      </c>
      <c r="B90" s="25" t="s">
        <v>4498</v>
      </c>
      <c r="C90" s="26" t="s">
        <v>4497</v>
      </c>
      <c r="D90" s="77"/>
      <c r="E90" s="77"/>
      <c r="F90" s="77"/>
      <c r="G90" s="77"/>
      <c r="H90" s="77"/>
      <c r="I90" s="77"/>
      <c r="J90" s="77"/>
      <c r="K90" s="77"/>
      <c r="L90" s="77"/>
      <c r="M90" s="77"/>
      <c r="N90" s="77"/>
      <c r="O90" s="77"/>
      <c r="P90" s="77"/>
      <c r="Q90" s="77"/>
      <c r="R90" s="77"/>
      <c r="AG90" t="s">
        <v>4499</v>
      </c>
    </row>
    <row r="91" spans="1:33" ht="12" customHeight="1" x14ac:dyDescent="0.15">
      <c r="A91" s="66"/>
      <c r="B91" s="66"/>
      <c r="C91" s="311"/>
      <c r="D91" s="77"/>
      <c r="E91" s="77"/>
      <c r="F91" s="77"/>
      <c r="G91" s="77"/>
      <c r="H91" s="77"/>
      <c r="I91" s="77"/>
      <c r="J91" s="77"/>
      <c r="K91" s="77"/>
      <c r="L91" s="77"/>
      <c r="M91" s="77"/>
      <c r="N91" s="77"/>
      <c r="O91" s="77"/>
      <c r="P91" s="77"/>
      <c r="Q91" s="77"/>
      <c r="R91" s="77"/>
      <c r="AG91" t="s">
        <v>4500</v>
      </c>
    </row>
    <row r="92" spans="1:33" ht="12" customHeight="1" x14ac:dyDescent="0.15">
      <c r="A92" s="77"/>
      <c r="B92" s="77"/>
      <c r="C92" s="77"/>
      <c r="D92" s="77"/>
      <c r="E92" s="77"/>
      <c r="F92" s="77"/>
      <c r="G92" s="77"/>
      <c r="H92" s="77"/>
      <c r="I92" s="77"/>
      <c r="J92" s="77"/>
      <c r="K92" s="77"/>
      <c r="L92" s="77"/>
      <c r="M92" s="77"/>
      <c r="N92" s="77"/>
      <c r="O92" s="77"/>
      <c r="P92" s="77"/>
      <c r="Q92" s="77"/>
      <c r="R92" s="77"/>
      <c r="AG92" t="s">
        <v>4501</v>
      </c>
    </row>
    <row r="93" spans="1:33" ht="12" customHeight="1" x14ac:dyDescent="0.15">
      <c r="A93" s="77"/>
      <c r="B93" s="77"/>
      <c r="C93" s="77"/>
      <c r="D93" s="77"/>
      <c r="E93" s="77"/>
      <c r="F93" s="77"/>
      <c r="G93" s="77"/>
      <c r="H93" s="77"/>
      <c r="I93" s="77"/>
      <c r="J93" s="77"/>
      <c r="K93" s="77"/>
      <c r="L93" s="77"/>
      <c r="M93" s="77"/>
      <c r="N93" s="77"/>
      <c r="O93" s="77"/>
      <c r="P93" s="77"/>
      <c r="Q93" s="77"/>
      <c r="R93" s="77"/>
      <c r="AG93" t="s">
        <v>4502</v>
      </c>
    </row>
    <row r="94" spans="1:33" ht="12" customHeight="1" x14ac:dyDescent="0.15">
      <c r="A94" s="66" t="s">
        <v>4049</v>
      </c>
      <c r="B94" s="312" t="s">
        <v>4503</v>
      </c>
      <c r="C94" s="66"/>
      <c r="D94" s="77"/>
      <c r="E94" s="77"/>
      <c r="F94" s="77"/>
      <c r="G94" s="77"/>
      <c r="H94" s="77"/>
      <c r="I94" s="77"/>
      <c r="J94" s="77"/>
      <c r="K94" s="77"/>
      <c r="L94" s="77"/>
      <c r="M94" s="77"/>
      <c r="N94" s="77"/>
      <c r="O94" s="77"/>
      <c r="P94" s="77"/>
      <c r="Q94" s="77"/>
      <c r="R94" s="77"/>
      <c r="AG94" t="s">
        <v>4504</v>
      </c>
    </row>
    <row r="95" spans="1:33" ht="12" customHeight="1" x14ac:dyDescent="0.15">
      <c r="A95" s="66" t="s">
        <v>4072</v>
      </c>
      <c r="B95" s="312" t="s">
        <v>4505</v>
      </c>
      <c r="C95" s="66"/>
      <c r="D95" s="77"/>
      <c r="E95" s="77"/>
      <c r="F95" s="77"/>
      <c r="G95" s="77"/>
      <c r="H95" s="77"/>
      <c r="I95" s="77"/>
      <c r="J95" s="77"/>
      <c r="K95" s="77"/>
      <c r="L95" s="77"/>
      <c r="M95" s="77"/>
      <c r="N95" s="77"/>
      <c r="O95" s="77"/>
      <c r="P95" s="77"/>
      <c r="Q95" s="77"/>
      <c r="R95" s="77"/>
      <c r="AG95" t="s">
        <v>4506</v>
      </c>
    </row>
    <row r="96" spans="1:33" ht="12" customHeight="1" x14ac:dyDescent="0.15">
      <c r="A96" s="66" t="s">
        <v>4087</v>
      </c>
      <c r="B96" s="312" t="s">
        <v>4507</v>
      </c>
      <c r="C96" s="66"/>
      <c r="D96" s="77"/>
      <c r="E96" s="77"/>
      <c r="F96" s="77"/>
      <c r="G96" s="77"/>
      <c r="H96" s="77"/>
      <c r="I96" s="77"/>
      <c r="J96" s="77"/>
      <c r="K96" s="77"/>
      <c r="L96" s="77"/>
      <c r="M96" s="77"/>
      <c r="N96" s="77"/>
      <c r="O96" s="77"/>
      <c r="P96" s="77"/>
      <c r="Q96" s="77"/>
      <c r="R96" s="77"/>
      <c r="AG96" t="s">
        <v>4508</v>
      </c>
    </row>
    <row r="97" spans="1:33" ht="12" customHeight="1" x14ac:dyDescent="0.15">
      <c r="A97" s="66" t="s">
        <v>4099</v>
      </c>
      <c r="B97" s="312" t="s">
        <v>4509</v>
      </c>
      <c r="C97" s="66"/>
      <c r="D97" s="77"/>
      <c r="E97" s="77"/>
      <c r="F97" s="77"/>
      <c r="G97" s="77"/>
      <c r="H97" s="77"/>
      <c r="I97" s="77"/>
      <c r="J97" s="77"/>
      <c r="K97" s="77"/>
      <c r="L97" s="77"/>
      <c r="M97" s="77"/>
      <c r="N97" s="77"/>
      <c r="O97" s="77"/>
      <c r="P97" s="77"/>
      <c r="Q97" s="77"/>
      <c r="R97" s="77"/>
      <c r="AG97" t="s">
        <v>4510</v>
      </c>
    </row>
    <row r="98" spans="1:33" ht="12" customHeight="1" x14ac:dyDescent="0.15">
      <c r="A98" s="66" t="s">
        <v>4111</v>
      </c>
      <c r="B98" s="312" t="s">
        <v>4511</v>
      </c>
      <c r="C98" s="66"/>
      <c r="D98" s="77"/>
      <c r="E98" s="77"/>
      <c r="F98" s="77"/>
      <c r="G98" s="77"/>
      <c r="H98" s="77"/>
      <c r="I98" s="77"/>
      <c r="J98" s="77"/>
      <c r="K98" s="77"/>
      <c r="L98" s="77"/>
      <c r="M98" s="77"/>
      <c r="N98" s="77"/>
      <c r="O98" s="77"/>
      <c r="P98" s="77"/>
      <c r="Q98" s="77"/>
      <c r="R98" s="77"/>
      <c r="AG98" t="s">
        <v>4512</v>
      </c>
    </row>
    <row r="99" spans="1:33" ht="12" customHeight="1" x14ac:dyDescent="0.15">
      <c r="A99" s="66" t="s">
        <v>4124</v>
      </c>
      <c r="B99" s="312" t="s">
        <v>4513</v>
      </c>
      <c r="C99" s="66"/>
      <c r="D99" s="77"/>
      <c r="E99" s="77"/>
      <c r="F99" s="77"/>
      <c r="G99" s="77"/>
      <c r="H99" s="77"/>
      <c r="I99" s="77"/>
      <c r="J99" s="77"/>
      <c r="K99" s="77"/>
      <c r="L99" s="77"/>
      <c r="M99" s="77"/>
      <c r="N99" s="77"/>
      <c r="O99" s="77"/>
      <c r="P99" s="77"/>
      <c r="Q99" s="77"/>
      <c r="R99" s="77"/>
      <c r="AG99" t="s">
        <v>4514</v>
      </c>
    </row>
    <row r="100" spans="1:33" ht="12" customHeight="1" x14ac:dyDescent="0.15">
      <c r="A100" s="66" t="s">
        <v>4132</v>
      </c>
      <c r="B100" s="312" t="s">
        <v>4515</v>
      </c>
      <c r="C100" s="66"/>
      <c r="D100" s="77"/>
      <c r="E100" s="77"/>
      <c r="F100" s="77"/>
      <c r="G100" s="77"/>
      <c r="H100" s="77"/>
      <c r="I100" s="77"/>
      <c r="J100" s="77"/>
      <c r="K100" s="77"/>
      <c r="L100" s="77"/>
      <c r="M100" s="77"/>
      <c r="N100" s="77"/>
      <c r="O100" s="83"/>
      <c r="P100" s="77"/>
      <c r="Q100" s="77"/>
      <c r="R100" s="77"/>
      <c r="AG100" t="s">
        <v>4516</v>
      </c>
    </row>
    <row r="101" spans="1:33" ht="12" customHeight="1" x14ac:dyDescent="0.15">
      <c r="A101" s="66" t="s">
        <v>4143</v>
      </c>
      <c r="B101" s="312" t="s">
        <v>4517</v>
      </c>
      <c r="C101" s="66"/>
      <c r="D101" s="77"/>
      <c r="E101" s="77"/>
      <c r="F101" s="77"/>
      <c r="G101" s="77"/>
      <c r="H101" s="77"/>
      <c r="I101" s="77"/>
      <c r="J101" s="77"/>
      <c r="K101" s="77"/>
      <c r="L101" s="77"/>
      <c r="M101" s="77"/>
      <c r="N101" s="77"/>
      <c r="O101" s="83"/>
      <c r="P101" s="77"/>
      <c r="Q101" s="77"/>
      <c r="R101" s="77"/>
      <c r="AG101" t="s">
        <v>4518</v>
      </c>
    </row>
    <row r="102" spans="1:33" ht="12" customHeight="1" x14ac:dyDescent="0.15">
      <c r="A102" s="66" t="s">
        <v>4153</v>
      </c>
      <c r="B102" s="312" t="s">
        <v>4519</v>
      </c>
      <c r="C102" s="66"/>
      <c r="D102" s="77"/>
      <c r="E102" s="77"/>
      <c r="F102" s="77"/>
      <c r="G102" s="77"/>
      <c r="H102" s="77"/>
      <c r="I102" s="77"/>
      <c r="J102" s="77"/>
      <c r="K102" s="77"/>
      <c r="L102" s="77"/>
      <c r="M102" s="77"/>
      <c r="N102" s="77"/>
      <c r="O102" s="83"/>
      <c r="P102" s="77"/>
      <c r="Q102" s="77"/>
      <c r="R102" s="77"/>
      <c r="AG102" t="s">
        <v>4520</v>
      </c>
    </row>
    <row r="103" spans="1:33" ht="12" customHeight="1" x14ac:dyDescent="0.15">
      <c r="A103" s="66" t="s">
        <v>4161</v>
      </c>
      <c r="B103" s="312" t="s">
        <v>4521</v>
      </c>
      <c r="C103" s="66"/>
      <c r="D103" s="77"/>
      <c r="E103" s="77"/>
      <c r="F103" s="77"/>
      <c r="G103" s="77"/>
      <c r="H103" s="77"/>
      <c r="I103" s="77"/>
      <c r="J103" s="77"/>
      <c r="K103" s="77"/>
      <c r="L103" s="77"/>
      <c r="M103" s="77"/>
      <c r="N103" s="77"/>
      <c r="O103" s="83"/>
      <c r="P103" s="77"/>
      <c r="Q103" s="77"/>
      <c r="R103" s="77"/>
      <c r="AG103" t="s">
        <v>4522</v>
      </c>
    </row>
    <row r="104" spans="1:33" ht="12" customHeight="1" x14ac:dyDescent="0.15">
      <c r="A104" s="66" t="s">
        <v>4170</v>
      </c>
      <c r="B104" s="312" t="s">
        <v>4523</v>
      </c>
      <c r="C104" s="66"/>
      <c r="D104" s="77"/>
      <c r="E104" s="77"/>
      <c r="F104" s="77"/>
      <c r="G104" s="77"/>
      <c r="H104" s="77"/>
      <c r="I104" s="77"/>
      <c r="J104" s="77"/>
      <c r="K104" s="77"/>
      <c r="L104" s="77"/>
      <c r="M104" s="77"/>
      <c r="N104" s="77"/>
      <c r="O104" s="83"/>
      <c r="P104" s="77"/>
      <c r="Q104" s="77"/>
      <c r="R104" s="77"/>
      <c r="AG104" t="s">
        <v>4524</v>
      </c>
    </row>
    <row r="105" spans="1:33" ht="12" customHeight="1" x14ac:dyDescent="0.15">
      <c r="A105" s="66" t="s">
        <v>4525</v>
      </c>
      <c r="B105" s="312" t="s">
        <v>4526</v>
      </c>
      <c r="C105" s="66"/>
      <c r="D105" s="77"/>
      <c r="E105" s="77"/>
      <c r="F105" s="77"/>
      <c r="G105" s="77"/>
      <c r="H105" s="77"/>
      <c r="I105" s="77"/>
      <c r="J105" s="77"/>
      <c r="K105" s="77"/>
      <c r="L105" s="77"/>
      <c r="M105" s="77"/>
      <c r="N105" s="77"/>
      <c r="O105" s="83"/>
      <c r="P105" s="77"/>
      <c r="Q105" s="77"/>
      <c r="R105" s="77"/>
      <c r="AG105" t="s">
        <v>4527</v>
      </c>
    </row>
    <row r="106" spans="1:33" ht="12" customHeight="1" x14ac:dyDescent="0.15">
      <c r="A106" s="66" t="s">
        <v>4528</v>
      </c>
      <c r="B106" s="312" t="s">
        <v>4529</v>
      </c>
      <c r="C106" s="66"/>
      <c r="D106" s="77"/>
      <c r="E106" s="77"/>
      <c r="F106" s="77"/>
      <c r="G106" s="77"/>
      <c r="H106" s="77"/>
      <c r="I106" s="77"/>
      <c r="J106" s="77"/>
      <c r="K106" s="77"/>
      <c r="L106" s="77"/>
      <c r="M106" s="77"/>
      <c r="N106" s="77"/>
      <c r="O106" s="83"/>
      <c r="P106" s="77"/>
      <c r="Q106" s="77"/>
      <c r="R106" s="77"/>
      <c r="AG106" t="s">
        <v>4530</v>
      </c>
    </row>
    <row r="107" spans="1:33" ht="12" customHeight="1" x14ac:dyDescent="0.15">
      <c r="A107" s="66" t="s">
        <v>4531</v>
      </c>
      <c r="B107" s="312" t="s">
        <v>4532</v>
      </c>
      <c r="C107" s="66"/>
      <c r="D107" s="77"/>
      <c r="E107" s="77"/>
      <c r="F107" s="77"/>
      <c r="G107" s="77"/>
      <c r="H107" s="77"/>
      <c r="I107" s="77"/>
      <c r="J107" s="77"/>
      <c r="K107" s="77"/>
      <c r="L107" s="77"/>
      <c r="M107" s="77"/>
      <c r="N107" s="77"/>
      <c r="O107" s="83"/>
      <c r="P107" s="77"/>
      <c r="Q107" s="77"/>
      <c r="R107" s="77"/>
      <c r="AG107" t="s">
        <v>4533</v>
      </c>
    </row>
    <row r="108" spans="1:33" ht="12" customHeight="1" x14ac:dyDescent="0.15">
      <c r="A108" s="66" t="s">
        <v>4204</v>
      </c>
      <c r="B108" s="312" t="s">
        <v>4534</v>
      </c>
      <c r="C108" s="66"/>
      <c r="D108" s="77"/>
      <c r="E108" s="77"/>
      <c r="F108" s="77"/>
      <c r="G108" s="77"/>
      <c r="H108" s="77"/>
      <c r="I108" s="77"/>
      <c r="J108" s="77"/>
      <c r="K108" s="77"/>
      <c r="L108" s="77"/>
      <c r="M108" s="83"/>
      <c r="N108" s="77"/>
      <c r="O108" s="83"/>
      <c r="P108" s="77"/>
      <c r="Q108" s="77"/>
      <c r="R108" s="77"/>
      <c r="AG108" t="s">
        <v>4535</v>
      </c>
    </row>
    <row r="109" spans="1:33" ht="12" customHeight="1" x14ac:dyDescent="0.15">
      <c r="A109" s="66" t="s">
        <v>4209</v>
      </c>
      <c r="B109" s="312" t="s">
        <v>4536</v>
      </c>
      <c r="C109" s="66"/>
      <c r="D109" s="77"/>
      <c r="E109" s="77"/>
      <c r="F109" s="77"/>
      <c r="G109" s="77"/>
      <c r="H109" s="77"/>
      <c r="I109" s="77"/>
      <c r="J109" s="77"/>
      <c r="K109" s="77"/>
      <c r="L109" s="77"/>
      <c r="M109" s="83"/>
      <c r="N109" s="77"/>
      <c r="O109" s="83"/>
      <c r="P109" s="77"/>
      <c r="Q109" s="77"/>
      <c r="R109" s="77"/>
      <c r="AG109" t="s">
        <v>4537</v>
      </c>
    </row>
    <row r="110" spans="1:33" ht="12" customHeight="1" x14ac:dyDescent="0.15">
      <c r="A110" s="66" t="s">
        <v>4214</v>
      </c>
      <c r="B110" s="312" t="s">
        <v>4538</v>
      </c>
      <c r="C110" s="66"/>
      <c r="D110" s="77"/>
      <c r="E110" s="77"/>
      <c r="F110" s="77"/>
      <c r="G110" s="77"/>
      <c r="H110" s="77"/>
      <c r="I110" s="77"/>
      <c r="J110" s="77"/>
      <c r="K110" s="77"/>
      <c r="L110" s="77"/>
      <c r="M110" s="83"/>
      <c r="N110" s="77"/>
      <c r="O110" s="83"/>
      <c r="P110" s="77"/>
      <c r="Q110" s="77"/>
      <c r="R110" s="77"/>
      <c r="AG110" t="s">
        <v>4539</v>
      </c>
    </row>
    <row r="111" spans="1:33" ht="12" customHeight="1" x14ac:dyDescent="0.15">
      <c r="A111" s="66" t="s">
        <v>4220</v>
      </c>
      <c r="B111" s="312" t="s">
        <v>4540</v>
      </c>
      <c r="C111" s="66"/>
      <c r="D111" s="77"/>
      <c r="E111" s="77"/>
      <c r="F111" s="77"/>
      <c r="G111" s="77"/>
      <c r="H111" s="77"/>
      <c r="I111" s="77"/>
      <c r="J111" s="77"/>
      <c r="K111" s="77"/>
      <c r="L111" s="77"/>
      <c r="M111" s="83"/>
      <c r="N111" s="77"/>
      <c r="O111" s="83"/>
      <c r="P111" s="77"/>
      <c r="Q111" s="77"/>
      <c r="R111" s="77"/>
      <c r="AG111" t="s">
        <v>4541</v>
      </c>
    </row>
    <row r="112" spans="1:33" ht="12" customHeight="1" x14ac:dyDescent="0.15">
      <c r="A112" s="66" t="s">
        <v>4225</v>
      </c>
      <c r="B112" s="312" t="s">
        <v>4542</v>
      </c>
      <c r="C112" s="66"/>
      <c r="D112" s="77"/>
      <c r="E112" s="77"/>
      <c r="F112" s="77"/>
      <c r="G112" s="77"/>
      <c r="H112" s="77"/>
      <c r="I112" s="77"/>
      <c r="J112" s="77"/>
      <c r="K112" s="77"/>
      <c r="L112" s="77"/>
      <c r="M112" s="83"/>
      <c r="N112" s="77"/>
      <c r="O112" s="83"/>
      <c r="P112" s="77"/>
      <c r="Q112" s="77"/>
      <c r="R112" s="77"/>
      <c r="AG112" t="s">
        <v>4543</v>
      </c>
    </row>
    <row r="113" spans="1:33" ht="12" customHeight="1" x14ac:dyDescent="0.15">
      <c r="A113" s="66" t="s">
        <v>4231</v>
      </c>
      <c r="B113" s="312" t="s">
        <v>4544</v>
      </c>
      <c r="C113" s="66"/>
      <c r="D113" s="77"/>
      <c r="E113" s="77"/>
      <c r="F113" s="77"/>
      <c r="G113" s="77"/>
      <c r="H113" s="77"/>
      <c r="I113" s="77"/>
      <c r="J113" s="77"/>
      <c r="K113" s="77"/>
      <c r="L113" s="77"/>
      <c r="M113" s="83"/>
      <c r="N113" s="77"/>
      <c r="O113" s="83"/>
      <c r="P113" s="77"/>
      <c r="Q113" s="77"/>
      <c r="R113" s="77"/>
      <c r="AG113" t="s">
        <v>4545</v>
      </c>
    </row>
    <row r="114" spans="1:33" ht="12" customHeight="1" x14ac:dyDescent="0.15">
      <c r="A114" s="66" t="s">
        <v>4237</v>
      </c>
      <c r="B114" s="312" t="s">
        <v>4546</v>
      </c>
      <c r="C114" s="66"/>
      <c r="D114" s="77"/>
      <c r="E114" s="77"/>
      <c r="F114" s="77"/>
      <c r="G114" s="77"/>
      <c r="H114" s="77"/>
      <c r="I114" s="77"/>
      <c r="J114" s="77"/>
      <c r="K114" s="77"/>
      <c r="L114" s="77"/>
      <c r="M114" s="83"/>
      <c r="N114" s="77"/>
      <c r="O114" s="83"/>
      <c r="P114" s="77"/>
      <c r="Q114" s="77"/>
      <c r="R114" s="77"/>
      <c r="AG114" t="s">
        <v>4547</v>
      </c>
    </row>
    <row r="115" spans="1:33" ht="12" customHeight="1" x14ac:dyDescent="0.15">
      <c r="A115" s="66" t="s">
        <v>4244</v>
      </c>
      <c r="B115" s="312" t="s">
        <v>4548</v>
      </c>
      <c r="C115" s="66"/>
      <c r="D115" s="77"/>
      <c r="E115" s="77"/>
      <c r="F115" s="77"/>
      <c r="G115" s="77"/>
      <c r="H115" s="77"/>
      <c r="I115" s="77"/>
      <c r="J115" s="77"/>
      <c r="K115" s="77"/>
      <c r="L115" s="77"/>
      <c r="M115" s="83"/>
      <c r="N115" s="77"/>
      <c r="O115" s="83"/>
      <c r="P115" s="77"/>
      <c r="Q115" s="77"/>
      <c r="R115" s="77"/>
      <c r="AG115" t="s">
        <v>4549</v>
      </c>
    </row>
    <row r="116" spans="1:33" ht="12" customHeight="1" x14ac:dyDescent="0.15">
      <c r="A116" s="66" t="s">
        <v>4248</v>
      </c>
      <c r="B116" s="312" t="s">
        <v>4550</v>
      </c>
      <c r="C116" s="66"/>
      <c r="D116" s="77"/>
      <c r="E116" s="77"/>
      <c r="F116" s="77"/>
      <c r="G116" s="77"/>
      <c r="H116" s="77"/>
      <c r="I116" s="77"/>
      <c r="J116" s="77"/>
      <c r="K116" s="77"/>
      <c r="L116" s="77"/>
      <c r="M116" s="83"/>
      <c r="N116" s="77"/>
      <c r="O116" s="83"/>
      <c r="P116" s="77"/>
      <c r="Q116" s="77"/>
      <c r="R116" s="77"/>
      <c r="AG116" t="s">
        <v>4551</v>
      </c>
    </row>
    <row r="117" spans="1:33" ht="12" customHeight="1" x14ac:dyDescent="0.15">
      <c r="A117" s="66" t="s">
        <v>4253</v>
      </c>
      <c r="B117" s="312" t="s">
        <v>4552</v>
      </c>
      <c r="C117" s="66"/>
      <c r="D117" s="77"/>
      <c r="E117" s="77"/>
      <c r="F117" s="77"/>
      <c r="G117" s="77"/>
      <c r="H117" s="77"/>
      <c r="I117" s="77"/>
      <c r="J117" s="77"/>
      <c r="K117" s="77"/>
      <c r="L117" s="77"/>
      <c r="M117" s="83"/>
      <c r="N117" s="77"/>
      <c r="O117" s="83"/>
      <c r="P117" s="77"/>
      <c r="Q117" s="77"/>
      <c r="R117" s="77"/>
      <c r="AG117" t="s">
        <v>4553</v>
      </c>
    </row>
    <row r="118" spans="1:33" ht="12" customHeight="1" x14ac:dyDescent="0.15">
      <c r="A118" s="66" t="s">
        <v>4258</v>
      </c>
      <c r="B118" s="312" t="s">
        <v>4554</v>
      </c>
      <c r="C118" s="66"/>
      <c r="D118" s="77"/>
      <c r="E118" s="77"/>
      <c r="F118" s="77"/>
      <c r="G118" s="77"/>
      <c r="H118" s="77"/>
      <c r="I118" s="77"/>
      <c r="J118" s="77"/>
      <c r="K118" s="77"/>
      <c r="L118" s="77"/>
      <c r="M118" s="83"/>
      <c r="N118" s="77"/>
      <c r="O118" s="83"/>
      <c r="P118" s="77"/>
      <c r="Q118" s="77"/>
      <c r="R118" s="77"/>
      <c r="AG118" t="s">
        <v>4555</v>
      </c>
    </row>
    <row r="119" spans="1:33" ht="12" customHeight="1" x14ac:dyDescent="0.15">
      <c r="A119" s="66" t="s">
        <v>101</v>
      </c>
      <c r="B119" s="312" t="s">
        <v>109</v>
      </c>
      <c r="C119" s="66"/>
      <c r="D119" s="77"/>
      <c r="E119" s="77"/>
      <c r="F119" s="77"/>
      <c r="G119" s="77"/>
      <c r="H119" s="77"/>
      <c r="I119" s="77"/>
      <c r="J119" s="77"/>
      <c r="K119" s="77"/>
      <c r="L119" s="77"/>
      <c r="M119" s="83"/>
      <c r="N119" s="77"/>
      <c r="O119" s="83"/>
      <c r="P119" s="77"/>
      <c r="Q119" s="77"/>
      <c r="R119" s="77"/>
      <c r="AG119" t="s">
        <v>4556</v>
      </c>
    </row>
    <row r="120" spans="1:33" ht="12" customHeight="1" x14ac:dyDescent="0.15">
      <c r="A120" s="66" t="s">
        <v>4267</v>
      </c>
      <c r="B120" s="312" t="s">
        <v>4557</v>
      </c>
      <c r="C120" s="66"/>
      <c r="D120" s="77"/>
      <c r="E120" s="77"/>
      <c r="F120" s="77"/>
      <c r="G120" s="77"/>
      <c r="H120" s="77"/>
      <c r="I120" s="77"/>
      <c r="J120" s="77"/>
      <c r="K120" s="77"/>
      <c r="L120" s="77"/>
      <c r="M120" s="83"/>
      <c r="N120" s="77"/>
      <c r="O120" s="83"/>
      <c r="P120" s="77"/>
      <c r="Q120" s="77"/>
      <c r="R120" s="77"/>
      <c r="AG120" t="s">
        <v>4558</v>
      </c>
    </row>
    <row r="121" spans="1:33" ht="12" customHeight="1" x14ac:dyDescent="0.15">
      <c r="A121" s="66" t="s">
        <v>4272</v>
      </c>
      <c r="B121" s="312" t="s">
        <v>4559</v>
      </c>
      <c r="C121" s="66"/>
      <c r="D121" s="77"/>
      <c r="E121" s="77"/>
      <c r="F121" s="77"/>
      <c r="G121" s="77"/>
      <c r="H121" s="77"/>
      <c r="I121" s="77"/>
      <c r="J121" s="77"/>
      <c r="K121" s="77"/>
      <c r="L121" s="77"/>
      <c r="M121" s="83"/>
      <c r="N121" s="77"/>
      <c r="O121" s="83"/>
      <c r="P121" s="77"/>
      <c r="Q121" s="77"/>
      <c r="R121" s="77"/>
      <c r="AG121" t="s">
        <v>4560</v>
      </c>
    </row>
    <row r="122" spans="1:33" ht="12" customHeight="1" x14ac:dyDescent="0.15">
      <c r="A122" s="66" t="s">
        <v>4277</v>
      </c>
      <c r="B122" s="312" t="s">
        <v>4561</v>
      </c>
      <c r="C122" s="66"/>
      <c r="D122" s="77"/>
      <c r="E122" s="77"/>
      <c r="F122" s="77"/>
      <c r="G122" s="77"/>
      <c r="H122" s="77"/>
      <c r="I122" s="77"/>
      <c r="J122" s="77"/>
      <c r="K122" s="77"/>
      <c r="L122" s="77"/>
      <c r="M122" s="83"/>
      <c r="N122" s="77"/>
      <c r="O122" s="83"/>
      <c r="P122" s="77"/>
      <c r="Q122" s="77"/>
      <c r="R122" s="77"/>
      <c r="AG122" t="s">
        <v>4562</v>
      </c>
    </row>
    <row r="123" spans="1:33" ht="12" customHeight="1" x14ac:dyDescent="0.15">
      <c r="A123" s="66" t="s">
        <v>4281</v>
      </c>
      <c r="B123" s="312" t="s">
        <v>4563</v>
      </c>
      <c r="C123" s="66"/>
      <c r="D123" s="77"/>
      <c r="E123" s="77"/>
      <c r="F123" s="77"/>
      <c r="G123" s="77"/>
      <c r="H123" s="77"/>
      <c r="I123" s="77"/>
      <c r="J123" s="77"/>
      <c r="K123" s="77"/>
      <c r="L123" s="77"/>
      <c r="M123" s="83"/>
      <c r="N123" s="77"/>
      <c r="O123" s="83"/>
      <c r="P123" s="77"/>
      <c r="Q123" s="77"/>
      <c r="R123" s="77"/>
      <c r="AG123" t="s">
        <v>4564</v>
      </c>
    </row>
    <row r="124" spans="1:33" ht="12" customHeight="1" x14ac:dyDescent="0.15">
      <c r="A124" s="66" t="s">
        <v>4285</v>
      </c>
      <c r="B124" s="312" t="s">
        <v>4565</v>
      </c>
      <c r="C124" s="66"/>
      <c r="D124" s="77"/>
      <c r="E124" s="77"/>
      <c r="F124" s="77"/>
      <c r="G124" s="77"/>
      <c r="H124" s="77"/>
      <c r="I124" s="77"/>
      <c r="J124" s="77"/>
      <c r="K124" s="77"/>
      <c r="L124" s="77"/>
      <c r="M124" s="83"/>
      <c r="N124" s="77"/>
      <c r="O124" s="83"/>
      <c r="P124" s="77"/>
      <c r="Q124" s="77"/>
      <c r="R124" s="77"/>
      <c r="AG124" t="s">
        <v>4566</v>
      </c>
    </row>
    <row r="125" spans="1:33" ht="12" customHeight="1" x14ac:dyDescent="0.15">
      <c r="A125" s="66" t="s">
        <v>4290</v>
      </c>
      <c r="B125" s="312" t="s">
        <v>4567</v>
      </c>
      <c r="C125" s="66"/>
      <c r="D125" s="77"/>
      <c r="E125" s="77"/>
      <c r="F125" s="77"/>
      <c r="G125" s="77"/>
      <c r="H125" s="77"/>
      <c r="I125" s="77"/>
      <c r="J125" s="77"/>
      <c r="K125" s="77"/>
      <c r="L125" s="77"/>
      <c r="M125" s="83"/>
      <c r="N125" s="77"/>
      <c r="O125" s="83"/>
      <c r="P125" s="77"/>
      <c r="Q125" s="77"/>
      <c r="R125" s="77"/>
      <c r="AG125" t="s">
        <v>4568</v>
      </c>
    </row>
    <row r="126" spans="1:33" ht="12" customHeight="1" x14ac:dyDescent="0.15">
      <c r="A126" s="66" t="s">
        <v>4295</v>
      </c>
      <c r="B126" s="312" t="s">
        <v>4569</v>
      </c>
      <c r="C126" s="66"/>
      <c r="D126" s="77"/>
      <c r="E126" s="77"/>
      <c r="F126" s="77"/>
      <c r="G126" s="77"/>
      <c r="H126" s="77"/>
      <c r="I126" s="77"/>
      <c r="J126" s="77"/>
      <c r="K126" s="77"/>
      <c r="L126" s="77"/>
      <c r="M126" s="83"/>
      <c r="N126" s="77"/>
      <c r="O126" s="83"/>
      <c r="P126" s="77"/>
      <c r="Q126" s="77"/>
      <c r="R126" s="77"/>
      <c r="AG126" t="s">
        <v>4570</v>
      </c>
    </row>
    <row r="127" spans="1:33" ht="12" customHeight="1" x14ac:dyDescent="0.15">
      <c r="A127" s="66" t="s">
        <v>4300</v>
      </c>
      <c r="B127" s="312" t="s">
        <v>4571</v>
      </c>
      <c r="C127" s="66"/>
      <c r="D127" s="77"/>
      <c r="E127" s="77"/>
      <c r="F127" s="77"/>
      <c r="G127" s="77"/>
      <c r="H127" s="77"/>
      <c r="I127" s="77"/>
      <c r="J127" s="77"/>
      <c r="K127" s="77"/>
      <c r="L127" s="77"/>
      <c r="M127" s="83"/>
      <c r="N127" s="77"/>
      <c r="O127" s="83"/>
      <c r="P127" s="77"/>
      <c r="Q127" s="77"/>
      <c r="R127" s="77"/>
      <c r="AG127" t="s">
        <v>4572</v>
      </c>
    </row>
    <row r="128" spans="1:33" ht="12" customHeight="1" x14ac:dyDescent="0.15">
      <c r="A128" s="66" t="s">
        <v>4305</v>
      </c>
      <c r="B128" s="312" t="s">
        <v>4573</v>
      </c>
      <c r="C128" s="66"/>
      <c r="D128" s="77"/>
      <c r="E128" s="77"/>
      <c r="F128" s="77"/>
      <c r="G128" s="77"/>
      <c r="H128" s="77"/>
      <c r="I128" s="77"/>
      <c r="J128" s="77"/>
      <c r="K128" s="77"/>
      <c r="L128" s="77"/>
      <c r="M128" s="83"/>
      <c r="N128" s="77"/>
      <c r="O128" s="83"/>
      <c r="P128" s="77"/>
      <c r="Q128" s="77"/>
      <c r="R128" s="77"/>
      <c r="AG128" t="s">
        <v>4574</v>
      </c>
    </row>
    <row r="129" spans="1:33" ht="12" customHeight="1" x14ac:dyDescent="0.15">
      <c r="A129" s="66" t="s">
        <v>4309</v>
      </c>
      <c r="B129" s="312" t="s">
        <v>4575</v>
      </c>
      <c r="C129" s="66"/>
      <c r="D129" s="77"/>
      <c r="E129" s="77"/>
      <c r="F129" s="77"/>
      <c r="G129" s="77"/>
      <c r="H129" s="77"/>
      <c r="I129" s="77"/>
      <c r="J129" s="77"/>
      <c r="K129" s="77"/>
      <c r="L129" s="77"/>
      <c r="M129" s="83"/>
      <c r="N129" s="77"/>
      <c r="O129" s="83"/>
      <c r="P129" s="77"/>
      <c r="Q129" s="77"/>
      <c r="R129" s="77"/>
      <c r="AG129" t="s">
        <v>4576</v>
      </c>
    </row>
    <row r="130" spans="1:33" ht="12" customHeight="1" x14ac:dyDescent="0.15">
      <c r="A130" s="66" t="s">
        <v>4314</v>
      </c>
      <c r="B130" s="312" t="s">
        <v>4577</v>
      </c>
      <c r="C130" s="66"/>
      <c r="D130" s="77"/>
      <c r="E130" s="77"/>
      <c r="F130" s="77"/>
      <c r="G130" s="77"/>
      <c r="H130" s="77"/>
      <c r="I130" s="77"/>
      <c r="J130" s="77"/>
      <c r="K130" s="77"/>
      <c r="L130" s="83"/>
      <c r="M130" s="83"/>
      <c r="N130" s="77"/>
      <c r="O130" s="77"/>
      <c r="P130" s="77"/>
      <c r="Q130" s="77"/>
      <c r="R130" s="77"/>
      <c r="AG130" t="s">
        <v>4578</v>
      </c>
    </row>
    <row r="131" spans="1:33" ht="12" customHeight="1" x14ac:dyDescent="0.15">
      <c r="A131" s="66" t="s">
        <v>4318</v>
      </c>
      <c r="B131" s="312" t="s">
        <v>4579</v>
      </c>
      <c r="C131" s="66"/>
      <c r="D131" s="77"/>
      <c r="E131" s="77"/>
      <c r="F131" s="77"/>
      <c r="G131" s="77"/>
      <c r="H131" s="77"/>
      <c r="I131" s="77"/>
      <c r="J131" s="77"/>
      <c r="K131" s="77"/>
      <c r="L131" s="83"/>
      <c r="M131" s="83"/>
      <c r="N131" s="77"/>
      <c r="O131" s="77"/>
      <c r="P131" s="77"/>
      <c r="Q131" s="77"/>
      <c r="R131" s="77"/>
      <c r="AG131" t="s">
        <v>4580</v>
      </c>
    </row>
    <row r="132" spans="1:33" ht="12" customHeight="1" x14ac:dyDescent="0.15">
      <c r="A132" s="66" t="s">
        <v>4323</v>
      </c>
      <c r="B132" s="312" t="s">
        <v>4581</v>
      </c>
      <c r="C132" s="66"/>
      <c r="D132" s="77"/>
      <c r="E132" s="77"/>
      <c r="F132" s="77"/>
      <c r="G132" s="77"/>
      <c r="H132" s="77"/>
      <c r="I132" s="77"/>
      <c r="J132" s="77"/>
      <c r="K132" s="77"/>
      <c r="L132" s="83"/>
      <c r="M132" s="83"/>
      <c r="N132" s="77"/>
      <c r="O132" s="77"/>
      <c r="P132" s="77"/>
      <c r="Q132" s="77"/>
      <c r="R132" s="77"/>
      <c r="AG132" t="s">
        <v>4582</v>
      </c>
    </row>
    <row r="133" spans="1:33" ht="12" customHeight="1" x14ac:dyDescent="0.15">
      <c r="A133" s="66" t="s">
        <v>4327</v>
      </c>
      <c r="B133" s="312" t="s">
        <v>4583</v>
      </c>
      <c r="C133" s="66"/>
      <c r="D133" s="77"/>
      <c r="E133" s="77"/>
      <c r="F133" s="77"/>
      <c r="G133" s="77"/>
      <c r="H133" s="77"/>
      <c r="I133" s="77"/>
      <c r="J133" s="77"/>
      <c r="K133" s="77"/>
      <c r="L133" s="83"/>
      <c r="M133" s="83"/>
      <c r="N133" s="77"/>
      <c r="O133" s="77"/>
      <c r="P133" s="77"/>
      <c r="Q133" s="77"/>
      <c r="R133" s="77"/>
      <c r="AG133" t="s">
        <v>4584</v>
      </c>
    </row>
    <row r="134" spans="1:33" ht="12" customHeight="1" x14ac:dyDescent="0.15">
      <c r="A134" s="66" t="s">
        <v>4331</v>
      </c>
      <c r="B134" s="312" t="s">
        <v>4585</v>
      </c>
      <c r="C134" s="66"/>
      <c r="D134" s="77"/>
      <c r="E134" s="77"/>
      <c r="F134" s="77"/>
      <c r="G134" s="77"/>
      <c r="H134" s="77"/>
      <c r="I134" s="77"/>
      <c r="J134" s="77"/>
      <c r="K134" s="77"/>
      <c r="L134" s="83"/>
      <c r="M134" s="83"/>
      <c r="N134" s="77"/>
      <c r="O134" s="77"/>
      <c r="P134" s="77"/>
      <c r="Q134" s="77"/>
      <c r="R134" s="77"/>
      <c r="AG134" t="s">
        <v>4586</v>
      </c>
    </row>
    <row r="135" spans="1:33" ht="12" customHeight="1" x14ac:dyDescent="0.15">
      <c r="A135" s="66" t="s">
        <v>4335</v>
      </c>
      <c r="B135" s="312" t="s">
        <v>4587</v>
      </c>
      <c r="C135" s="66"/>
      <c r="D135" s="77"/>
      <c r="E135" s="77"/>
      <c r="F135" s="77"/>
      <c r="G135" s="77"/>
      <c r="H135" s="77"/>
      <c r="I135" s="77"/>
      <c r="J135" s="77"/>
      <c r="K135" s="83"/>
      <c r="L135" s="83"/>
      <c r="M135" s="83"/>
      <c r="N135" s="77"/>
      <c r="O135" s="77"/>
      <c r="P135" s="77"/>
      <c r="Q135" s="77"/>
      <c r="R135" s="77"/>
      <c r="AG135" t="s">
        <v>4588</v>
      </c>
    </row>
    <row r="136" spans="1:33" ht="12" customHeight="1" x14ac:dyDescent="0.15">
      <c r="A136" s="66" t="s">
        <v>4339</v>
      </c>
      <c r="B136" s="312" t="s">
        <v>4589</v>
      </c>
      <c r="C136" s="66"/>
      <c r="D136" s="77"/>
      <c r="E136" s="77"/>
      <c r="F136" s="77"/>
      <c r="G136" s="77"/>
      <c r="H136" s="77"/>
      <c r="I136" s="77"/>
      <c r="J136" s="77"/>
      <c r="K136" s="83"/>
      <c r="L136" s="83"/>
      <c r="M136" s="83"/>
      <c r="N136" s="77"/>
      <c r="O136" s="77"/>
      <c r="P136" s="77"/>
      <c r="Q136" s="77"/>
      <c r="R136" s="77"/>
      <c r="AG136" t="s">
        <v>4590</v>
      </c>
    </row>
    <row r="137" spans="1:33" ht="12" customHeight="1" x14ac:dyDescent="0.15">
      <c r="A137" s="66" t="s">
        <v>4343</v>
      </c>
      <c r="B137" s="312" t="s">
        <v>4591</v>
      </c>
      <c r="C137" s="66"/>
      <c r="D137" s="77"/>
      <c r="E137" s="77"/>
      <c r="F137" s="77"/>
      <c r="G137" s="77"/>
      <c r="H137" s="77"/>
      <c r="I137" s="77"/>
      <c r="J137" s="77"/>
      <c r="K137" s="83"/>
      <c r="L137" s="83"/>
      <c r="M137" s="83"/>
      <c r="N137" s="77"/>
      <c r="O137" s="77"/>
      <c r="P137" s="77"/>
      <c r="Q137" s="77"/>
      <c r="R137" s="77"/>
      <c r="AG137" t="s">
        <v>4592</v>
      </c>
    </row>
    <row r="138" spans="1:33" ht="12" customHeight="1" x14ac:dyDescent="0.15">
      <c r="A138" s="66" t="s">
        <v>4347</v>
      </c>
      <c r="B138" s="312" t="s">
        <v>4593</v>
      </c>
      <c r="C138" s="66"/>
      <c r="D138" s="77"/>
      <c r="E138" s="77"/>
      <c r="F138" s="77"/>
      <c r="G138" s="77"/>
      <c r="H138" s="77"/>
      <c r="I138" s="77"/>
      <c r="J138" s="77"/>
      <c r="K138" s="83"/>
      <c r="L138" s="83"/>
      <c r="M138" s="83"/>
      <c r="N138" s="77"/>
      <c r="O138" s="77"/>
      <c r="P138" s="77"/>
      <c r="Q138" s="77"/>
      <c r="R138" s="77"/>
      <c r="AG138" t="s">
        <v>4594</v>
      </c>
    </row>
    <row r="139" spans="1:33" ht="12" customHeight="1" x14ac:dyDescent="0.15">
      <c r="A139" s="66" t="s">
        <v>4352</v>
      </c>
      <c r="B139" s="312" t="s">
        <v>4595</v>
      </c>
      <c r="C139" s="66"/>
      <c r="D139" s="77"/>
      <c r="E139" s="77"/>
      <c r="F139" s="77"/>
      <c r="G139" s="77"/>
      <c r="H139" s="77"/>
      <c r="I139" s="77"/>
      <c r="J139" s="77"/>
      <c r="K139" s="83"/>
      <c r="L139" s="83"/>
      <c r="M139" s="83"/>
      <c r="N139" s="77"/>
      <c r="O139" s="77"/>
      <c r="P139" s="77"/>
      <c r="Q139" s="77"/>
      <c r="R139" s="77"/>
      <c r="AG139" t="s">
        <v>4596</v>
      </c>
    </row>
    <row r="140" spans="1:33" ht="12" customHeight="1" x14ac:dyDescent="0.15">
      <c r="A140" s="66" t="s">
        <v>4356</v>
      </c>
      <c r="B140" s="312" t="s">
        <v>4597</v>
      </c>
      <c r="C140" s="66"/>
      <c r="D140" s="77"/>
      <c r="E140" s="77"/>
      <c r="F140" s="77"/>
      <c r="G140" s="77"/>
      <c r="H140" s="77"/>
      <c r="I140" s="77"/>
      <c r="J140" s="77"/>
      <c r="K140" s="83"/>
      <c r="L140" s="83"/>
      <c r="M140" s="83"/>
      <c r="N140" s="77"/>
      <c r="O140" s="77"/>
      <c r="P140" s="77"/>
      <c r="Q140" s="77"/>
      <c r="R140" s="77"/>
      <c r="AG140" t="s">
        <v>4598</v>
      </c>
    </row>
    <row r="141" spans="1:33" ht="12" customHeight="1" x14ac:dyDescent="0.15">
      <c r="A141" s="66" t="s">
        <v>4360</v>
      </c>
      <c r="B141" s="312" t="s">
        <v>4599</v>
      </c>
      <c r="C141" s="66"/>
      <c r="D141" s="77"/>
      <c r="E141" s="77"/>
      <c r="F141" s="77"/>
      <c r="G141" s="77"/>
      <c r="H141" s="77"/>
      <c r="I141" s="77"/>
      <c r="J141" s="77"/>
      <c r="K141" s="83"/>
      <c r="L141" s="83"/>
      <c r="M141" s="83"/>
      <c r="N141" s="77"/>
      <c r="O141" s="77"/>
      <c r="P141" s="77"/>
      <c r="Q141" s="77"/>
      <c r="R141" s="77"/>
    </row>
    <row r="142" spans="1:33" ht="12" customHeight="1" x14ac:dyDescent="0.15">
      <c r="A142" s="66" t="s">
        <v>4364</v>
      </c>
      <c r="B142" s="312" t="s">
        <v>4600</v>
      </c>
      <c r="C142" s="66"/>
      <c r="D142" s="77"/>
      <c r="E142" s="77"/>
      <c r="F142" s="77"/>
      <c r="G142" s="77"/>
      <c r="H142" s="77"/>
      <c r="I142" s="77"/>
      <c r="J142" s="77"/>
      <c r="K142" s="83"/>
      <c r="L142" s="83"/>
      <c r="M142" s="83"/>
      <c r="N142" s="77"/>
      <c r="O142" s="77"/>
      <c r="P142" s="77"/>
      <c r="Q142" s="77"/>
      <c r="R142" s="77"/>
    </row>
    <row r="143" spans="1:33" ht="12" customHeight="1" x14ac:dyDescent="0.15">
      <c r="A143" s="66" t="s">
        <v>4368</v>
      </c>
      <c r="B143" s="312" t="s">
        <v>4601</v>
      </c>
      <c r="C143" s="66"/>
      <c r="D143" s="77"/>
      <c r="E143" s="77"/>
      <c r="F143" s="77"/>
      <c r="G143" s="77"/>
      <c r="H143" s="77"/>
      <c r="I143" s="77"/>
      <c r="J143" s="77"/>
      <c r="K143" s="83"/>
      <c r="L143" s="83"/>
      <c r="M143" s="83"/>
      <c r="N143" s="77"/>
      <c r="O143" s="77"/>
      <c r="P143" s="77"/>
      <c r="Q143" s="77"/>
      <c r="R143" s="77"/>
    </row>
    <row r="144" spans="1:33" ht="12" customHeight="1" x14ac:dyDescent="0.15">
      <c r="A144" s="66" t="s">
        <v>4372</v>
      </c>
      <c r="B144" s="312" t="s">
        <v>4602</v>
      </c>
      <c r="C144" s="66"/>
      <c r="D144" s="77"/>
      <c r="E144" s="77"/>
      <c r="F144" s="77"/>
      <c r="G144" s="77"/>
      <c r="H144" s="77"/>
      <c r="I144" s="77"/>
      <c r="J144" s="77"/>
      <c r="K144" s="83"/>
      <c r="L144" s="83"/>
      <c r="M144" s="83"/>
      <c r="N144" s="77"/>
      <c r="O144" s="77"/>
      <c r="P144" s="77"/>
      <c r="Q144" s="77"/>
      <c r="R144" s="77"/>
    </row>
    <row r="145" spans="1:18" ht="12" customHeight="1" x14ac:dyDescent="0.15">
      <c r="A145" s="66" t="s">
        <v>4376</v>
      </c>
      <c r="B145" s="312" t="s">
        <v>4603</v>
      </c>
      <c r="C145" s="66"/>
      <c r="D145" s="77"/>
      <c r="E145" s="77"/>
      <c r="F145" s="77"/>
      <c r="G145" s="77"/>
      <c r="H145" s="77"/>
      <c r="I145" s="77"/>
      <c r="J145" s="77"/>
      <c r="K145" s="83"/>
      <c r="L145" s="83"/>
      <c r="M145" s="83"/>
      <c r="N145" s="77"/>
      <c r="O145" s="77"/>
      <c r="P145" s="77"/>
      <c r="R145" s="77"/>
    </row>
    <row r="146" spans="1:18" ht="12" customHeight="1" x14ac:dyDescent="0.15">
      <c r="A146" s="66" t="s">
        <v>4381</v>
      </c>
      <c r="B146" s="312" t="s">
        <v>4604</v>
      </c>
      <c r="C146" s="66"/>
      <c r="D146" s="77"/>
      <c r="E146" s="77"/>
      <c r="F146" s="77"/>
      <c r="G146" s="77"/>
      <c r="H146" s="77"/>
      <c r="I146" s="77"/>
      <c r="J146" s="77"/>
      <c r="K146" s="83"/>
      <c r="L146" s="83"/>
      <c r="M146" s="83"/>
      <c r="N146" s="77"/>
      <c r="O146" s="77"/>
      <c r="P146" s="77"/>
      <c r="R146" s="77"/>
    </row>
    <row r="147" spans="1:18" ht="12" customHeight="1" x14ac:dyDescent="0.15">
      <c r="A147" s="66" t="s">
        <v>4385</v>
      </c>
      <c r="B147" s="312" t="s">
        <v>4605</v>
      </c>
      <c r="C147" s="66"/>
      <c r="D147" s="77"/>
      <c r="E147" s="77"/>
      <c r="F147" s="77"/>
      <c r="G147" s="77"/>
      <c r="H147" s="77"/>
      <c r="I147" s="77"/>
      <c r="J147" s="77"/>
      <c r="K147" s="83"/>
      <c r="L147" s="83"/>
      <c r="M147" s="83"/>
      <c r="N147" s="77"/>
      <c r="O147" s="77"/>
      <c r="P147" s="77"/>
      <c r="R147" s="77"/>
    </row>
    <row r="148" spans="1:18" ht="12" customHeight="1" x14ac:dyDescent="0.15">
      <c r="A148" s="66" t="s">
        <v>4389</v>
      </c>
      <c r="B148" s="312" t="s">
        <v>4606</v>
      </c>
      <c r="C148" s="66"/>
      <c r="D148" s="77"/>
      <c r="E148" s="77"/>
      <c r="F148" s="77"/>
      <c r="G148" s="77"/>
      <c r="H148" s="77"/>
      <c r="I148" s="77"/>
      <c r="J148" s="77"/>
      <c r="K148" s="83"/>
      <c r="L148" s="83"/>
      <c r="M148" s="83"/>
      <c r="N148" s="77"/>
      <c r="O148" s="77"/>
      <c r="P148" s="77"/>
      <c r="R148" s="77"/>
    </row>
    <row r="149" spans="1:18" ht="12" customHeight="1" x14ac:dyDescent="0.15">
      <c r="A149" s="66" t="s">
        <v>4393</v>
      </c>
      <c r="B149" s="312" t="s">
        <v>4607</v>
      </c>
      <c r="C149" s="66"/>
      <c r="D149" s="77"/>
      <c r="E149" s="77"/>
      <c r="F149" s="77"/>
      <c r="G149" s="77"/>
      <c r="H149" s="77"/>
      <c r="I149" s="77"/>
      <c r="J149" s="77"/>
      <c r="K149" s="83"/>
      <c r="L149" s="83"/>
      <c r="M149" s="83"/>
      <c r="N149" s="77"/>
      <c r="O149" s="77"/>
      <c r="P149" s="77"/>
      <c r="R149" s="77"/>
    </row>
    <row r="150" spans="1:18" ht="12" customHeight="1" x14ac:dyDescent="0.15">
      <c r="A150" s="66" t="s">
        <v>4396</v>
      </c>
      <c r="B150" s="312" t="s">
        <v>4608</v>
      </c>
      <c r="C150" s="66"/>
      <c r="D150" s="77"/>
      <c r="E150" s="77"/>
      <c r="F150" s="77"/>
      <c r="G150" s="77"/>
      <c r="H150" s="77"/>
      <c r="I150" s="77"/>
      <c r="J150" s="77"/>
      <c r="K150" s="83"/>
      <c r="L150" s="83"/>
      <c r="M150" s="83"/>
      <c r="N150" s="77"/>
      <c r="O150" s="77"/>
      <c r="P150" s="77"/>
      <c r="R150" s="77"/>
    </row>
    <row r="151" spans="1:18" ht="12" customHeight="1" x14ac:dyDescent="0.15">
      <c r="A151" s="66" t="s">
        <v>4399</v>
      </c>
      <c r="B151" s="312" t="s">
        <v>4609</v>
      </c>
      <c r="C151" s="66"/>
      <c r="D151" s="77"/>
      <c r="E151" s="77"/>
      <c r="F151" s="77"/>
      <c r="G151" s="77"/>
      <c r="H151" s="77"/>
      <c r="I151" s="77"/>
      <c r="J151" s="77"/>
      <c r="K151" s="83"/>
      <c r="L151" s="83"/>
      <c r="M151" s="83"/>
      <c r="N151" s="77"/>
      <c r="O151" s="77"/>
      <c r="P151" s="77"/>
      <c r="R151" s="77"/>
    </row>
    <row r="152" spans="1:18" ht="12" customHeight="1" x14ac:dyDescent="0.15">
      <c r="A152" s="66" t="s">
        <v>4402</v>
      </c>
      <c r="B152" s="312" t="s">
        <v>4610</v>
      </c>
      <c r="C152" s="66"/>
      <c r="D152" s="77"/>
      <c r="E152" s="77"/>
      <c r="F152" s="77"/>
      <c r="G152" s="77"/>
      <c r="H152" s="77"/>
      <c r="I152" s="77"/>
      <c r="J152" s="77"/>
      <c r="K152" s="83"/>
      <c r="L152" s="83"/>
      <c r="M152" s="83"/>
      <c r="N152" s="77"/>
      <c r="O152" s="77"/>
      <c r="P152" s="77"/>
      <c r="R152" s="77"/>
    </row>
    <row r="153" spans="1:18" ht="12" customHeight="1" x14ac:dyDescent="0.15">
      <c r="A153" s="66" t="s">
        <v>4406</v>
      </c>
      <c r="B153" s="312" t="s">
        <v>4611</v>
      </c>
      <c r="C153" s="66"/>
      <c r="D153" s="77"/>
      <c r="E153" s="77"/>
      <c r="F153" s="77"/>
      <c r="G153" s="77"/>
      <c r="H153" s="77"/>
      <c r="I153" s="77"/>
      <c r="J153" s="77"/>
      <c r="K153" s="83"/>
      <c r="L153" s="83"/>
      <c r="M153" s="83"/>
      <c r="N153" s="77"/>
      <c r="O153" s="77"/>
      <c r="P153" s="77"/>
      <c r="R153" s="77"/>
    </row>
    <row r="154" spans="1:18" ht="12" customHeight="1" x14ac:dyDescent="0.15">
      <c r="A154" s="66" t="s">
        <v>4409</v>
      </c>
      <c r="B154" s="312" t="s">
        <v>4612</v>
      </c>
      <c r="C154" s="66"/>
      <c r="D154" s="77"/>
      <c r="E154" s="77"/>
      <c r="F154" s="77"/>
      <c r="G154" s="77"/>
      <c r="H154" s="77"/>
      <c r="I154" s="77"/>
      <c r="J154" s="77"/>
      <c r="K154" s="83"/>
      <c r="L154" s="83"/>
      <c r="M154" s="83"/>
      <c r="N154" s="77"/>
      <c r="O154" s="77"/>
      <c r="P154" s="77"/>
      <c r="R154" s="77"/>
    </row>
    <row r="155" spans="1:18" ht="12" customHeight="1" x14ac:dyDescent="0.15">
      <c r="A155" s="66" t="s">
        <v>4412</v>
      </c>
      <c r="B155" s="312" t="s">
        <v>4613</v>
      </c>
      <c r="C155" s="66"/>
      <c r="D155" s="77"/>
      <c r="E155" s="77"/>
      <c r="F155" s="77"/>
      <c r="G155" s="77"/>
      <c r="H155" s="77"/>
      <c r="I155" s="77"/>
      <c r="J155" s="77"/>
      <c r="K155" s="83"/>
      <c r="L155" s="83"/>
      <c r="M155" s="83"/>
      <c r="N155" s="77"/>
      <c r="O155" s="77"/>
      <c r="P155" s="77"/>
      <c r="R155" s="77"/>
    </row>
    <row r="156" spans="1:18" ht="12" customHeight="1" x14ac:dyDescent="0.15">
      <c r="A156" s="66" t="s">
        <v>4415</v>
      </c>
      <c r="B156" s="312" t="s">
        <v>4614</v>
      </c>
      <c r="C156" s="66"/>
      <c r="D156" s="77"/>
      <c r="E156" s="77"/>
      <c r="F156" s="77"/>
      <c r="G156" s="77"/>
      <c r="H156" s="77"/>
      <c r="I156" s="77"/>
      <c r="J156" s="77"/>
      <c r="K156" s="83"/>
      <c r="L156" s="83"/>
      <c r="M156" s="83"/>
      <c r="N156" s="77"/>
      <c r="O156" s="77"/>
      <c r="P156" s="77"/>
      <c r="R156" s="77"/>
    </row>
    <row r="157" spans="1:18" ht="12" customHeight="1" x14ac:dyDescent="0.15">
      <c r="A157" s="66" t="s">
        <v>4419</v>
      </c>
      <c r="B157" s="312" t="s">
        <v>4615</v>
      </c>
      <c r="C157" s="66"/>
      <c r="D157" s="77"/>
      <c r="E157" s="77"/>
      <c r="F157" s="77"/>
      <c r="G157" s="77"/>
      <c r="H157" s="77"/>
      <c r="I157" s="77"/>
      <c r="J157" s="77"/>
      <c r="K157" s="83"/>
      <c r="L157" s="83"/>
      <c r="M157" s="83"/>
      <c r="N157" s="77"/>
      <c r="O157" s="77"/>
      <c r="P157" s="77"/>
      <c r="R157" s="77"/>
    </row>
    <row r="158" spans="1:18" ht="12" customHeight="1" x14ac:dyDescent="0.15">
      <c r="A158" s="66" t="s">
        <v>4422</v>
      </c>
      <c r="B158" s="312" t="s">
        <v>4616</v>
      </c>
      <c r="C158" s="66"/>
      <c r="D158" s="77"/>
      <c r="E158" s="77"/>
      <c r="F158" s="77"/>
      <c r="G158" s="77"/>
      <c r="H158" s="77"/>
      <c r="I158" s="77"/>
      <c r="J158" s="77"/>
      <c r="K158" s="83"/>
      <c r="L158" s="83"/>
      <c r="M158" s="83"/>
      <c r="N158" s="77"/>
      <c r="O158" s="77"/>
      <c r="P158" s="77"/>
      <c r="R158" s="77"/>
    </row>
    <row r="159" spans="1:18" ht="12" customHeight="1" x14ac:dyDescent="0.15">
      <c r="A159" s="66" t="s">
        <v>4426</v>
      </c>
      <c r="B159" s="312" t="s">
        <v>4617</v>
      </c>
      <c r="C159" s="66"/>
      <c r="D159" s="77"/>
      <c r="E159" s="77"/>
      <c r="F159" s="77"/>
      <c r="G159" s="77"/>
      <c r="H159" s="77"/>
      <c r="I159" s="77"/>
      <c r="J159" s="77"/>
      <c r="K159" s="83"/>
      <c r="L159" s="83"/>
      <c r="M159" s="83"/>
      <c r="N159" s="77"/>
      <c r="O159" s="77"/>
      <c r="P159" s="77"/>
      <c r="R159" s="77"/>
    </row>
    <row r="160" spans="1:18" ht="12" customHeight="1" x14ac:dyDescent="0.15">
      <c r="A160" s="66" t="s">
        <v>4429</v>
      </c>
      <c r="B160" s="312" t="s">
        <v>4618</v>
      </c>
      <c r="C160" s="66"/>
      <c r="D160" s="77"/>
      <c r="E160" s="77"/>
      <c r="F160" s="77"/>
      <c r="G160" s="77"/>
      <c r="H160" s="77"/>
      <c r="I160" s="77"/>
      <c r="J160" s="77"/>
      <c r="K160" s="83"/>
      <c r="L160" s="83"/>
      <c r="M160" s="83"/>
      <c r="N160" s="77"/>
      <c r="O160" s="77"/>
      <c r="P160" s="77"/>
      <c r="R160" s="77"/>
    </row>
    <row r="161" spans="1:18" ht="12" customHeight="1" x14ac:dyDescent="0.15">
      <c r="A161" s="66" t="s">
        <v>4432</v>
      </c>
      <c r="B161" s="312" t="s">
        <v>4619</v>
      </c>
      <c r="C161" s="66"/>
      <c r="D161" s="77"/>
      <c r="E161" s="77"/>
      <c r="F161" s="77"/>
      <c r="G161" s="77"/>
      <c r="H161" s="77"/>
      <c r="I161" s="77"/>
      <c r="J161" s="77"/>
      <c r="K161" s="83"/>
      <c r="L161" s="83"/>
      <c r="M161" s="83"/>
      <c r="N161" s="77"/>
      <c r="O161" s="77"/>
      <c r="P161" s="77"/>
      <c r="R161" s="77"/>
    </row>
    <row r="162" spans="1:18" ht="12" customHeight="1" x14ac:dyDescent="0.15">
      <c r="A162" s="66" t="s">
        <v>4435</v>
      </c>
      <c r="B162" s="312" t="s">
        <v>4620</v>
      </c>
      <c r="C162" s="66"/>
      <c r="D162" s="77"/>
      <c r="E162" s="77"/>
      <c r="F162" s="77"/>
      <c r="G162" s="77"/>
      <c r="H162" s="77"/>
      <c r="I162" s="77"/>
      <c r="J162" s="77"/>
      <c r="K162" s="83"/>
      <c r="L162" s="83"/>
      <c r="M162" s="83"/>
      <c r="N162" s="77"/>
      <c r="O162" s="77"/>
      <c r="P162" s="77"/>
      <c r="R162" s="77"/>
    </row>
    <row r="163" spans="1:18" ht="12" customHeight="1" x14ac:dyDescent="0.15">
      <c r="A163" s="66" t="s">
        <v>4438</v>
      </c>
      <c r="B163" s="312" t="s">
        <v>4621</v>
      </c>
      <c r="C163" s="66"/>
      <c r="D163" s="77"/>
      <c r="E163" s="77"/>
      <c r="F163" s="77"/>
      <c r="G163" s="77"/>
      <c r="H163" s="77"/>
      <c r="I163" s="77"/>
      <c r="J163" s="77"/>
      <c r="K163" s="83"/>
      <c r="L163" s="83"/>
      <c r="M163" s="83"/>
      <c r="N163" s="77"/>
      <c r="O163" s="77"/>
      <c r="P163" s="77"/>
      <c r="R163" s="77"/>
    </row>
    <row r="164" spans="1:18" ht="12" customHeight="1" x14ac:dyDescent="0.15">
      <c r="A164" s="66" t="s">
        <v>4441</v>
      </c>
      <c r="B164" s="312" t="s">
        <v>4622</v>
      </c>
      <c r="C164" s="66"/>
      <c r="D164" s="77"/>
      <c r="E164" s="77"/>
      <c r="F164" s="77"/>
      <c r="G164" s="77"/>
      <c r="H164" s="77"/>
      <c r="I164" s="77"/>
      <c r="J164" s="77"/>
      <c r="L164" s="83"/>
      <c r="M164" s="83"/>
      <c r="N164" s="77"/>
      <c r="O164" s="77"/>
      <c r="P164" s="77"/>
      <c r="R164" s="77"/>
    </row>
    <row r="165" spans="1:18" ht="12" customHeight="1" x14ac:dyDescent="0.15">
      <c r="A165" s="66" t="s">
        <v>4444</v>
      </c>
      <c r="B165" s="312" t="s">
        <v>4623</v>
      </c>
      <c r="C165" s="66"/>
      <c r="D165" s="77"/>
      <c r="E165" s="77"/>
      <c r="F165" s="77"/>
      <c r="G165" s="77"/>
      <c r="H165" s="77"/>
      <c r="I165" s="77"/>
      <c r="J165" s="77"/>
      <c r="L165" s="83"/>
      <c r="M165" s="83"/>
      <c r="N165" s="77"/>
      <c r="O165" s="77"/>
      <c r="P165" s="77"/>
      <c r="R165" s="77"/>
    </row>
    <row r="166" spans="1:18" ht="12" customHeight="1" x14ac:dyDescent="0.15">
      <c r="A166" s="66" t="s">
        <v>4447</v>
      </c>
      <c r="B166" s="312" t="s">
        <v>4624</v>
      </c>
      <c r="C166" s="66"/>
      <c r="D166" s="77"/>
      <c r="E166" s="77"/>
      <c r="F166" s="77"/>
      <c r="G166" s="77"/>
      <c r="H166" s="77"/>
      <c r="I166" s="77"/>
      <c r="J166" s="77"/>
      <c r="L166" s="83"/>
      <c r="M166" s="83"/>
      <c r="N166" s="77"/>
      <c r="O166" s="77"/>
      <c r="P166" s="77"/>
      <c r="R166" s="77"/>
    </row>
    <row r="167" spans="1:18" ht="12" customHeight="1" x14ac:dyDescent="0.15">
      <c r="A167" s="66" t="s">
        <v>4450</v>
      </c>
      <c r="B167" s="312" t="s">
        <v>4625</v>
      </c>
      <c r="C167" s="66"/>
      <c r="D167" s="77"/>
      <c r="E167" s="77"/>
      <c r="F167" s="77"/>
      <c r="G167" s="77"/>
      <c r="H167" s="77"/>
      <c r="I167" s="77"/>
      <c r="J167" s="77"/>
      <c r="L167" s="83"/>
      <c r="M167" s="83"/>
      <c r="N167" s="77"/>
      <c r="O167" s="77"/>
      <c r="P167" s="77"/>
      <c r="R167" s="77"/>
    </row>
    <row r="168" spans="1:18" ht="12" customHeight="1" x14ac:dyDescent="0.15">
      <c r="A168" s="66" t="s">
        <v>4453</v>
      </c>
      <c r="B168" s="312" t="s">
        <v>4626</v>
      </c>
      <c r="C168" s="66"/>
      <c r="D168" s="77"/>
      <c r="E168" s="77"/>
      <c r="F168" s="77"/>
      <c r="G168" s="77"/>
      <c r="H168" s="77"/>
      <c r="I168" s="77"/>
      <c r="J168" s="77"/>
      <c r="L168" s="83"/>
      <c r="M168" s="83"/>
      <c r="N168" s="77"/>
      <c r="O168" s="77"/>
      <c r="P168" s="77"/>
      <c r="R168" s="77"/>
    </row>
    <row r="169" spans="1:18" ht="12" customHeight="1" x14ac:dyDescent="0.15">
      <c r="A169" s="66" t="s">
        <v>4456</v>
      </c>
      <c r="B169" s="312" t="s">
        <v>4627</v>
      </c>
      <c r="C169" s="66"/>
      <c r="D169" s="77"/>
      <c r="E169" s="77"/>
      <c r="F169" s="77"/>
      <c r="H169" s="77"/>
      <c r="I169" s="77"/>
      <c r="J169" s="77"/>
      <c r="L169" s="83"/>
      <c r="M169" s="83"/>
      <c r="N169" s="77"/>
      <c r="O169" s="77"/>
      <c r="P169" s="77"/>
      <c r="R169" s="77"/>
    </row>
    <row r="170" spans="1:18" ht="12" customHeight="1" x14ac:dyDescent="0.15">
      <c r="A170" s="66" t="s">
        <v>4459</v>
      </c>
      <c r="B170" s="312" t="s">
        <v>4628</v>
      </c>
      <c r="C170" s="66"/>
      <c r="D170" s="77"/>
      <c r="E170" s="77"/>
      <c r="F170" s="77"/>
      <c r="H170" s="77"/>
      <c r="I170" s="77"/>
      <c r="J170" s="77"/>
      <c r="L170" s="83"/>
      <c r="M170" s="83"/>
      <c r="N170" s="77"/>
      <c r="O170" s="77"/>
      <c r="P170" s="77"/>
      <c r="R170" s="77"/>
    </row>
    <row r="171" spans="1:18" ht="12" customHeight="1" x14ac:dyDescent="0.15">
      <c r="A171" s="66" t="s">
        <v>4462</v>
      </c>
      <c r="B171" s="312" t="s">
        <v>4629</v>
      </c>
      <c r="C171" s="66"/>
      <c r="D171" s="77"/>
      <c r="E171" s="77"/>
      <c r="F171" s="77"/>
      <c r="H171" s="77"/>
      <c r="I171" s="77"/>
      <c r="J171" s="77"/>
      <c r="L171" s="83"/>
      <c r="M171" s="83"/>
      <c r="N171" s="77"/>
      <c r="O171" s="77"/>
      <c r="P171" s="77"/>
      <c r="R171" s="77"/>
    </row>
    <row r="172" spans="1:18" ht="12" customHeight="1" x14ac:dyDescent="0.15">
      <c r="A172" s="66" t="s">
        <v>4464</v>
      </c>
      <c r="B172" s="312" t="s">
        <v>4630</v>
      </c>
      <c r="C172" s="66"/>
      <c r="D172" s="77"/>
      <c r="E172" s="77"/>
      <c r="F172" s="77"/>
      <c r="H172" s="77"/>
      <c r="I172" s="77"/>
      <c r="J172" s="77"/>
      <c r="L172" s="83"/>
      <c r="M172" s="83"/>
      <c r="N172" s="77"/>
      <c r="O172" s="77"/>
      <c r="P172" s="77"/>
      <c r="R172" s="77"/>
    </row>
    <row r="173" spans="1:18" ht="12" customHeight="1" x14ac:dyDescent="0.15">
      <c r="A173" s="66" t="s">
        <v>4466</v>
      </c>
      <c r="B173" s="312" t="s">
        <v>4631</v>
      </c>
      <c r="C173" s="66"/>
      <c r="D173" s="77"/>
      <c r="E173" s="77"/>
      <c r="F173" s="77"/>
      <c r="H173" s="77"/>
      <c r="I173" s="77"/>
      <c r="J173" s="77"/>
      <c r="L173" s="83"/>
      <c r="M173" s="83"/>
      <c r="N173" s="77"/>
      <c r="O173" s="77"/>
      <c r="P173" s="77"/>
      <c r="R173" s="77"/>
    </row>
    <row r="174" spans="1:18" ht="12" customHeight="1" x14ac:dyDescent="0.15">
      <c r="A174" s="66" t="s">
        <v>4469</v>
      </c>
      <c r="B174" s="312" t="s">
        <v>4632</v>
      </c>
      <c r="C174" s="66"/>
      <c r="D174" s="77"/>
      <c r="E174" s="77"/>
      <c r="F174" s="77"/>
      <c r="H174" s="77"/>
      <c r="I174" s="77"/>
      <c r="J174" s="77"/>
      <c r="L174" s="83"/>
      <c r="M174" s="83"/>
      <c r="N174" s="77"/>
      <c r="O174" s="77"/>
      <c r="P174" s="77"/>
      <c r="R174" s="77"/>
    </row>
    <row r="175" spans="1:18" ht="12" customHeight="1" x14ac:dyDescent="0.15">
      <c r="A175" s="66" t="s">
        <v>4472</v>
      </c>
      <c r="B175" s="312" t="s">
        <v>4633</v>
      </c>
      <c r="C175" s="66"/>
      <c r="D175" s="77"/>
      <c r="E175" s="77"/>
      <c r="F175" s="77"/>
      <c r="H175" s="77"/>
      <c r="I175" s="77"/>
      <c r="J175" s="77"/>
      <c r="L175" s="83"/>
      <c r="M175" s="83"/>
      <c r="N175" s="77"/>
      <c r="O175" s="77"/>
      <c r="P175" s="77"/>
      <c r="R175" s="77"/>
    </row>
    <row r="176" spans="1:18" ht="12" customHeight="1" x14ac:dyDescent="0.15">
      <c r="A176" s="66" t="s">
        <v>4475</v>
      </c>
      <c r="B176" s="312" t="s">
        <v>4634</v>
      </c>
      <c r="C176" s="66"/>
    </row>
    <row r="177" spans="1:3" ht="12" customHeight="1" x14ac:dyDescent="0.15">
      <c r="A177" s="66" t="s">
        <v>4478</v>
      </c>
      <c r="B177" s="312" t="s">
        <v>4635</v>
      </c>
      <c r="C177" s="66"/>
    </row>
    <row r="178" spans="1:3" ht="12" customHeight="1" x14ac:dyDescent="0.15">
      <c r="A178" s="66" t="s">
        <v>4480</v>
      </c>
      <c r="B178" s="312" t="s">
        <v>4636</v>
      </c>
      <c r="C178" s="66"/>
    </row>
    <row r="179" spans="1:3" ht="12" customHeight="1" x14ac:dyDescent="0.15">
      <c r="A179" s="66" t="s">
        <v>4483</v>
      </c>
      <c r="B179" s="312" t="s">
        <v>4637</v>
      </c>
      <c r="C179" s="66"/>
    </row>
    <row r="180" spans="1:3" ht="12" customHeight="1" x14ac:dyDescent="0.15">
      <c r="A180" s="66" t="s">
        <v>4487</v>
      </c>
      <c r="B180" s="312" t="s">
        <v>4638</v>
      </c>
      <c r="C180" s="66"/>
    </row>
    <row r="181" spans="1:3" ht="12" customHeight="1" x14ac:dyDescent="0.15">
      <c r="A181" s="66" t="s">
        <v>4491</v>
      </c>
      <c r="B181" s="312" t="s">
        <v>4639</v>
      </c>
      <c r="C181" s="66"/>
    </row>
    <row r="182" spans="1:3" ht="12" customHeight="1" x14ac:dyDescent="0.15">
      <c r="A182" s="66" t="s">
        <v>4494</v>
      </c>
      <c r="B182" s="312" t="s">
        <v>4640</v>
      </c>
      <c r="C182" s="66"/>
    </row>
    <row r="183" spans="1:3" ht="12" customHeight="1" x14ac:dyDescent="0.15">
      <c r="A183" s="66" t="s">
        <v>4497</v>
      </c>
      <c r="B183" s="312" t="s">
        <v>4641</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22808-CA9B-8F68-0158-14283AAD5659}">
  <sheetPr>
    <tabColor rgb="FFFFCC99"/>
  </sheetPr>
  <dimension ref="A1:A5"/>
  <sheetViews>
    <sheetView workbookViewId="0"/>
  </sheetViews>
  <sheetFormatPr defaultColWidth="8.85546875" defaultRowHeight="15" customHeight="1" x14ac:dyDescent="0.15"/>
  <sheetData>
    <row r="1" spans="1:1" ht="15" customHeight="1" x14ac:dyDescent="0.15">
      <c r="A1" t="s">
        <v>4642</v>
      </c>
    </row>
    <row r="2" spans="1:1" ht="15" customHeight="1" x14ac:dyDescent="0.15">
      <c r="A2" t="s">
        <v>4643</v>
      </c>
    </row>
    <row r="3" spans="1:1" ht="15" customHeight="1" x14ac:dyDescent="0.15">
      <c r="A3" t="s">
        <v>4644</v>
      </c>
    </row>
    <row r="4" spans="1:1" ht="15" customHeight="1" x14ac:dyDescent="0.15">
      <c r="A4" t="s">
        <v>4645</v>
      </c>
    </row>
    <row r="5" spans="1:1" ht="15" customHeight="1" x14ac:dyDescent="0.15">
      <c r="A5" t="s">
        <v>4646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08FA-F821-AB58-12B6-DBF2945A2D4C}">
  <sheetPr>
    <tabColor rgb="FFFFCC99"/>
  </sheetPr>
  <dimension ref="A1:A2"/>
  <sheetViews>
    <sheetView workbookViewId="0"/>
  </sheetViews>
  <sheetFormatPr defaultColWidth="8.85546875" defaultRowHeight="15" customHeight="1" x14ac:dyDescent="0.15"/>
  <sheetData>
    <row r="1" spans="1:1" ht="15" customHeight="1" x14ac:dyDescent="0.15">
      <c r="A1" t="s">
        <v>4647</v>
      </c>
    </row>
    <row r="2" spans="1:1" ht="15" customHeight="1" x14ac:dyDescent="0.15">
      <c r="A2" t="s">
        <v>362</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EB1A3-24F8-C678-39A8-3E2EA5F453F1}">
  <sheetPr>
    <tabColor rgb="FF000001"/>
  </sheetPr>
  <dimension ref="A1"/>
  <sheetViews>
    <sheetView workbookViewId="0"/>
  </sheetViews>
  <sheetFormatPr defaultColWidth="8.85546875" defaultRowHeight="15" customHeight="1" x14ac:dyDescent="0.15"/>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28E2-5ADE-8056-A5BD-0228C55C2838}">
  <sheetPr>
    <tabColor rgb="FF000001"/>
  </sheetPr>
  <dimension ref="A1"/>
  <sheetViews>
    <sheetView workbookViewId="0"/>
  </sheetViews>
  <sheetFormatPr defaultColWidth="8.85546875" defaultRowHeight="15" customHeight="1" x14ac:dyDescent="0.15"/>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F621-C33F-2D88-A5C1-3B1EE5852903}">
  <sheetPr>
    <tabColor theme="3" tint="0.59999389629810485"/>
    <pageSetUpPr fitToPage="1"/>
  </sheetPr>
  <dimension ref="A1:BA251"/>
  <sheetViews>
    <sheetView showGridLines="0" topLeftCell="AA54" zoomScale="90" zoomScaleNormal="90" workbookViewId="0">
      <selection activeCell="AB38" sqref="AB38:AD38"/>
    </sheetView>
  </sheetViews>
  <sheetFormatPr defaultColWidth="9.140625" defaultRowHeight="19.5" customHeight="1" x14ac:dyDescent="0.15"/>
  <cols>
    <col min="1" max="1" width="13.7109375" style="25" hidden="1" customWidth="1"/>
    <col min="2" max="2" width="14.28515625" style="329" hidden="1" customWidth="1"/>
    <col min="3" max="4" width="3.5703125" style="25" hidden="1" customWidth="1"/>
    <col min="5" max="5" width="4.7109375" style="451"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5" t="s">
        <v>92</v>
      </c>
      <c r="X1" s="354" t="s">
        <v>93</v>
      </c>
      <c r="Y1" s="354" t="s">
        <v>94</v>
      </c>
      <c r="Z1" s="379" t="s">
        <v>95</v>
      </c>
      <c r="AA1" s="379" t="s">
        <v>96</v>
      </c>
      <c r="AD1" s="378" t="s">
        <v>97</v>
      </c>
      <c r="AE1" s="378" t="s">
        <v>98</v>
      </c>
      <c r="AF1" s="355" t="s">
        <v>99</v>
      </c>
    </row>
    <row r="2" spans="1:53" s="329" customFormat="1" ht="11.25" hidden="1" customHeight="1" x14ac:dyDescent="0.15">
      <c r="B2" s="341" t="s">
        <v>18</v>
      </c>
      <c r="W2" s="15"/>
      <c r="X2" s="15"/>
      <c r="Y2" s="15"/>
      <c r="Z2" s="411"/>
      <c r="AA2" s="15"/>
      <c r="AB2" s="46"/>
      <c r="AC2" s="46"/>
      <c r="AD2" s="46"/>
      <c r="AE2" s="46"/>
      <c r="AF2" s="357"/>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x14ac:dyDescent="0.15">
      <c r="B3" s="46"/>
      <c r="W3" s="15"/>
      <c r="X3" s="15"/>
      <c r="Y3" s="15"/>
      <c r="Z3" s="411"/>
      <c r="AA3" s="15"/>
      <c r="AB3" s="46"/>
      <c r="AC3" s="46"/>
      <c r="AD3" s="46"/>
      <c r="AE3" s="46"/>
      <c r="AF3" s="357"/>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x14ac:dyDescent="0.15">
      <c r="B4" s="46"/>
      <c r="W4" s="15"/>
      <c r="X4" s="15"/>
      <c r="Y4" s="15"/>
      <c r="Z4" s="411"/>
      <c r="AA4" s="15"/>
      <c r="AB4" s="46"/>
      <c r="AC4" s="46"/>
      <c r="AD4" s="46"/>
      <c r="AE4" s="46"/>
      <c r="AF4" s="357"/>
      <c r="AG4" s="15"/>
      <c r="AH4" s="15"/>
      <c r="AI4" s="15"/>
      <c r="AJ4" s="15"/>
      <c r="AK4" s="15"/>
      <c r="AL4" s="15"/>
      <c r="AM4" s="15"/>
      <c r="AN4" s="15"/>
      <c r="AO4" s="15"/>
      <c r="AP4" s="15"/>
      <c r="AQ4" s="15"/>
      <c r="AR4" s="15"/>
      <c r="AS4" s="15"/>
      <c r="AT4" s="15"/>
      <c r="AU4" s="15"/>
      <c r="AV4" s="15"/>
      <c r="AW4" s="15"/>
      <c r="AX4" s="15"/>
      <c r="AY4" s="15"/>
      <c r="AZ4" s="15"/>
      <c r="BA4" s="15"/>
    </row>
    <row r="5" spans="1:53" s="452" customFormat="1" ht="11.25" hidden="1" customHeight="1" x14ac:dyDescent="0.15">
      <c r="A5" s="329"/>
      <c r="B5" s="46"/>
      <c r="C5" s="329"/>
      <c r="D5" s="329"/>
      <c r="E5" s="453" t="s">
        <v>19</v>
      </c>
      <c r="V5" s="329"/>
      <c r="W5" s="455"/>
      <c r="X5" s="455"/>
      <c r="Y5" s="455"/>
      <c r="Z5" s="456"/>
      <c r="AA5" s="455">
        <v>3.43</v>
      </c>
      <c r="AB5" s="455">
        <v>12</v>
      </c>
      <c r="AC5" s="455">
        <v>18</v>
      </c>
      <c r="AD5" s="455">
        <v>56.86</v>
      </c>
      <c r="AE5" s="455">
        <v>65</v>
      </c>
      <c r="AF5" s="455">
        <v>3</v>
      </c>
      <c r="AG5" s="455"/>
      <c r="AH5" s="455"/>
      <c r="AI5" s="455"/>
      <c r="AJ5" s="455"/>
      <c r="AK5" s="455"/>
      <c r="AL5" s="455"/>
      <c r="AM5" s="455"/>
      <c r="AN5" s="455"/>
      <c r="AO5" s="455"/>
      <c r="AP5" s="455"/>
      <c r="AQ5" s="455"/>
      <c r="AR5" s="455"/>
      <c r="AS5" s="455"/>
      <c r="AT5" s="455"/>
      <c r="AU5" s="455"/>
      <c r="AV5" s="455"/>
      <c r="AW5" s="455"/>
      <c r="AX5" s="455"/>
      <c r="AY5" s="455"/>
      <c r="AZ5" s="455"/>
      <c r="BA5" s="455"/>
    </row>
    <row r="6" spans="1:53" s="329" customFormat="1" ht="11.25" hidden="1" customHeight="1" x14ac:dyDescent="0.15">
      <c r="B6" s="46"/>
      <c r="E6" s="452"/>
      <c r="W6" s="15"/>
      <c r="X6" s="15"/>
      <c r="Y6" s="15"/>
      <c r="Z6" s="411"/>
      <c r="AA6" s="15"/>
      <c r="AB6" s="46"/>
      <c r="AC6" s="46"/>
      <c r="AD6" s="46"/>
      <c r="AE6" s="46"/>
      <c r="AF6" s="357"/>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x14ac:dyDescent="0.15">
      <c r="B7" s="46"/>
      <c r="E7" s="452"/>
      <c r="W7" s="15"/>
      <c r="X7" s="15"/>
      <c r="Y7" s="15"/>
      <c r="Z7" s="411"/>
      <c r="AA7" s="15"/>
      <c r="AB7" s="46"/>
      <c r="AC7" s="46"/>
      <c r="AD7" s="46"/>
      <c r="AE7" s="46"/>
      <c r="AF7" s="357"/>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x14ac:dyDescent="0.15">
      <c r="B8" s="46"/>
      <c r="E8" s="452"/>
      <c r="W8" s="15"/>
      <c r="X8" s="15"/>
      <c r="Y8" s="15"/>
      <c r="Z8" s="411"/>
      <c r="AA8" s="15"/>
      <c r="AB8" s="46"/>
      <c r="AC8" s="46"/>
      <c r="AD8" s="46"/>
      <c r="AE8" s="46"/>
      <c r="AF8" s="357"/>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x14ac:dyDescent="0.15">
      <c r="B9" s="46"/>
      <c r="E9" s="452"/>
      <c r="W9" s="15"/>
      <c r="X9" s="15"/>
      <c r="Y9" s="15"/>
      <c r="Z9" s="411"/>
      <c r="AA9" s="15"/>
      <c r="AB9" s="46"/>
      <c r="AC9" s="46"/>
      <c r="AD9" s="46"/>
      <c r="AE9" s="46"/>
      <c r="AF9" s="357"/>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x14ac:dyDescent="0.15">
      <c r="B10" s="46"/>
      <c r="E10" s="452"/>
      <c r="W10" s="15"/>
      <c r="X10" s="15"/>
      <c r="Y10" s="15"/>
      <c r="Z10" s="411"/>
      <c r="AA10" s="15"/>
      <c r="AB10" s="46"/>
      <c r="AC10" s="46"/>
      <c r="AD10" s="46"/>
      <c r="AE10" s="46"/>
      <c r="AF10" s="357"/>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x14ac:dyDescent="0.15">
      <c r="B11" s="46"/>
      <c r="E11" s="452"/>
      <c r="W11" s="15"/>
      <c r="X11" s="15"/>
      <c r="Y11" s="15"/>
      <c r="Z11" s="411"/>
      <c r="AA11" s="15"/>
      <c r="AB11" s="46"/>
      <c r="AC11" s="46"/>
      <c r="AD11" s="46"/>
      <c r="AE11" s="46"/>
      <c r="AF11" s="357"/>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x14ac:dyDescent="0.15">
      <c r="B12" s="46"/>
      <c r="E12" s="452"/>
      <c r="W12" s="15"/>
      <c r="X12" s="15"/>
      <c r="Y12" s="15"/>
      <c r="Z12" s="411"/>
      <c r="AA12" s="15"/>
      <c r="AB12" s="46"/>
      <c r="AC12" s="46"/>
      <c r="AD12" s="46"/>
      <c r="AE12" s="46"/>
      <c r="AF12" s="357"/>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x14ac:dyDescent="0.15">
      <c r="B13" s="46"/>
      <c r="E13" s="452"/>
      <c r="W13" s="15"/>
      <c r="X13" s="15"/>
      <c r="Y13" s="15"/>
      <c r="Z13" s="411"/>
      <c r="AA13" s="15"/>
      <c r="AB13" s="46"/>
      <c r="AC13" s="46"/>
      <c r="AD13" s="46"/>
      <c r="AE13" s="46"/>
      <c r="AF13" s="357"/>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x14ac:dyDescent="0.15">
      <c r="B14" s="46"/>
      <c r="E14" s="452"/>
      <c r="W14" s="15"/>
      <c r="X14" s="15"/>
      <c r="Y14" s="15"/>
      <c r="Z14" s="411"/>
      <c r="AA14" s="15"/>
      <c r="AB14" s="46"/>
      <c r="AC14" s="46"/>
      <c r="AD14" s="46"/>
      <c r="AE14" s="46"/>
      <c r="AF14" s="357"/>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x14ac:dyDescent="0.15">
      <c r="B15" s="46"/>
      <c r="E15" s="452"/>
      <c r="W15" s="15"/>
      <c r="X15" s="15"/>
      <c r="Y15" s="15"/>
      <c r="Z15" s="411"/>
      <c r="AA15" s="15"/>
      <c r="AB15" s="46"/>
      <c r="AC15" s="46"/>
      <c r="AD15" s="46"/>
      <c r="AE15" s="46"/>
      <c r="AF15" s="357"/>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x14ac:dyDescent="0.15">
      <c r="B16" s="46"/>
      <c r="E16" s="452"/>
      <c r="W16" s="15"/>
      <c r="X16" s="15"/>
      <c r="Y16" s="15"/>
      <c r="Z16" s="411"/>
      <c r="AA16" s="15"/>
      <c r="AB16" s="46"/>
      <c r="AC16" s="46"/>
      <c r="AD16" s="46"/>
      <c r="AE16" s="46"/>
      <c r="AF16" s="357"/>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x14ac:dyDescent="0.15">
      <c r="B17" s="46"/>
      <c r="E17" s="452"/>
      <c r="W17" s="15"/>
      <c r="X17" s="15"/>
      <c r="Y17" s="15"/>
      <c r="Z17" s="411"/>
      <c r="AA17" s="15"/>
      <c r="AB17" s="46"/>
      <c r="AC17" s="46"/>
      <c r="AD17" s="46"/>
      <c r="AE17" s="46"/>
      <c r="AF17" s="357"/>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x14ac:dyDescent="0.15">
      <c r="B18" s="46"/>
      <c r="E18" s="452"/>
      <c r="W18" s="15"/>
      <c r="X18" s="15"/>
      <c r="Y18" s="15"/>
      <c r="Z18" s="411"/>
      <c r="AA18" s="15"/>
      <c r="AB18" s="46"/>
      <c r="AC18" s="46"/>
      <c r="AD18" s="46"/>
      <c r="AE18" s="46"/>
      <c r="AF18" s="35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6">
        <v>11.25</v>
      </c>
      <c r="AA21" s="325"/>
      <c r="AF21" s="25"/>
    </row>
    <row r="22" spans="2:53" ht="18.95" customHeight="1" x14ac:dyDescent="0.15">
      <c r="E22" s="466">
        <v>19.5</v>
      </c>
      <c r="AB22" s="926" t="s">
        <v>100</v>
      </c>
      <c r="AC22" s="927"/>
      <c r="AD22" s="928"/>
      <c r="AE22" s="186" t="s">
        <v>101</v>
      </c>
      <c r="AF22" s="469" t="str" cm="1">
        <f t="array" ref="AF22">INDEX(TEHSHEET!B1:B90,MATCH(region_name,REGION,0))</f>
        <v>RU42</v>
      </c>
    </row>
    <row r="23" spans="2:53" ht="18.95" customHeight="1" x14ac:dyDescent="0.15">
      <c r="E23" s="466">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66">
        <v>19.5</v>
      </c>
      <c r="AB24" s="926" t="s">
        <v>104</v>
      </c>
      <c r="AC24" s="927"/>
      <c r="AD24" s="928"/>
      <c r="AE24" s="347">
        <v>2026</v>
      </c>
      <c r="AF24" s="287"/>
      <c r="AI24" s="25" t="str">
        <f>ORG_SHORT_NAME&amp;"_ИНН:"&amp;inn&amp;"_КПП:"&amp;kpp</f>
        <v>КАО "Азот"_ИНН:4205000908_КПП:997550001</v>
      </c>
    </row>
    <row r="25" spans="2:53" ht="18.95" customHeight="1" x14ac:dyDescent="0.15">
      <c r="B25" s="341" t="b">
        <f>AND(NOT(method_reg="Метод экономически обоснованных расходов"),NOT(method_reg="Метод сравнения аналогов"))</f>
        <v>1</v>
      </c>
      <c r="E25" s="466">
        <v>19.5</v>
      </c>
      <c r="AB25" s="926" t="s">
        <v>105</v>
      </c>
      <c r="AC25" s="927"/>
      <c r="AD25" s="928"/>
      <c r="AE25" s="347">
        <v>2024</v>
      </c>
      <c r="AF25" s="471">
        <f>first_year+PERIOD_LENGTH-1</f>
        <v>2028</v>
      </c>
      <c r="AG25" s="25" cm="1">
        <f t="array" ref="AG25">IF(AE250="да",god,last_year)</f>
        <v>2026</v>
      </c>
    </row>
    <row r="26" spans="2:53" ht="18.95" customHeight="1" x14ac:dyDescent="0.15">
      <c r="B26" s="341" t="b">
        <f>AND(NOT(method_reg="Метод экономически обоснованных расходов"),NOT(method_reg="Метод сравнения аналогов"))</f>
        <v>1</v>
      </c>
      <c r="E26" s="466">
        <v>19.5</v>
      </c>
      <c r="AB26" s="926" t="s">
        <v>106</v>
      </c>
      <c r="AC26" s="927"/>
      <c r="AD26" s="928"/>
      <c r="AE26" s="347">
        <v>5</v>
      </c>
      <c r="AF26" s="287"/>
    </row>
    <row r="27" spans="2:53" ht="18.95" customHeight="1" x14ac:dyDescent="0.15">
      <c r="B27" s="341" t="b">
        <f>AND(NOT(method_reg="Метод экономически обоснованных расходов"),NOT(method_reg="Метод сравнения аналогов"),NOT(god=first_year))</f>
        <v>1</v>
      </c>
      <c r="E27" s="466">
        <v>19.5</v>
      </c>
      <c r="AB27" s="926" t="s">
        <v>107</v>
      </c>
      <c r="AC27" s="927"/>
      <c r="AD27" s="928"/>
      <c r="AE27" s="186">
        <f>IF(OR(PERIOD_LENGTH-god+first_year&lt;=0,PERIOD_LENGTH-god+first_year&gt;10),"",PERIOD_LENGTH-god+first_year)</f>
        <v>3</v>
      </c>
      <c r="AF27" s="287"/>
    </row>
    <row r="28" spans="2:53" ht="7.35" customHeight="1" x14ac:dyDescent="0.15">
      <c r="E28" s="466">
        <v>7.5</v>
      </c>
    </row>
    <row r="29" spans="2:53" ht="7.35" customHeight="1" x14ac:dyDescent="0.15">
      <c r="E29" s="466">
        <v>7.5</v>
      </c>
    </row>
    <row r="30" spans="2:53" ht="18.95" customHeight="1" x14ac:dyDescent="0.15">
      <c r="E30" s="466">
        <v>19.5</v>
      </c>
      <c r="AB30" s="929" t="s">
        <v>108</v>
      </c>
      <c r="AC30" s="929"/>
      <c r="AD30" s="929"/>
      <c r="AE30" s="929"/>
      <c r="AF30" s="288"/>
      <c r="AG30" s="27"/>
      <c r="AH30" s="27"/>
      <c r="AI30" s="27"/>
      <c r="AJ30" s="27"/>
      <c r="AK30" s="27"/>
      <c r="AL30" s="27"/>
    </row>
    <row r="31" spans="2:53" ht="18.95" customHeight="1" x14ac:dyDescent="0.15">
      <c r="E31" s="466">
        <v>19.5</v>
      </c>
      <c r="AB31" s="930" t="s">
        <v>109</v>
      </c>
      <c r="AC31" s="930"/>
      <c r="AD31" s="930"/>
      <c r="AE31" s="930"/>
      <c r="AF31" s="288"/>
      <c r="AG31" s="27"/>
      <c r="AH31" s="27"/>
      <c r="AI31" s="27"/>
      <c r="AJ31" s="27"/>
      <c r="AK31" s="27"/>
      <c r="AL31" s="27"/>
    </row>
    <row r="32" spans="2:53" ht="18.95" customHeight="1" x14ac:dyDescent="0.15">
      <c r="E32" s="466">
        <v>19.5</v>
      </c>
      <c r="AB32" s="931" t="s">
        <v>110</v>
      </c>
      <c r="AC32" s="931"/>
      <c r="AD32" s="931"/>
      <c r="AE32" s="931"/>
      <c r="AF32" s="288"/>
      <c r="AG32" s="27"/>
      <c r="AH32" s="27"/>
      <c r="AI32" s="27"/>
      <c r="AJ32" s="27"/>
      <c r="AK32" s="27"/>
      <c r="AL32" s="27"/>
    </row>
    <row r="33" spans="5:38" ht="18.95" customHeight="1" x14ac:dyDescent="0.15">
      <c r="E33" s="466">
        <v>19.5</v>
      </c>
      <c r="AA33" s="470">
        <v>26322867</v>
      </c>
      <c r="AB33" s="932" t="s">
        <v>111</v>
      </c>
      <c r="AC33" s="932"/>
      <c r="AD33" s="932"/>
      <c r="AE33" s="932"/>
      <c r="AG33" s="27"/>
      <c r="AH33" s="27"/>
      <c r="AI33" s="27"/>
      <c r="AJ33" s="27"/>
      <c r="AK33" s="27"/>
      <c r="AL33" s="25" t="str">
        <f>IFERROR(region_name&amp;" / "&amp;god&amp;" / "&amp;org&amp;" (ИНН:"&amp;inn&amp;", КПП:"&amp;kpp&amp;") / ДПР: "&amp;first_year&amp;"-"&amp;last_year,"")</f>
        <v>Кемеровская область / 2026 / КАО "Азот" (ИНН:4205000908, КПП:997550001) / ДПР: 2024-2028</v>
      </c>
    </row>
    <row r="34" spans="5:38" ht="35.25" customHeight="1" x14ac:dyDescent="0.15">
      <c r="E34" s="466">
        <v>19.5</v>
      </c>
      <c r="AB34" s="93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33"/>
      <c r="AD34" s="933"/>
      <c r="AE34" s="933"/>
      <c r="AG34" s="27"/>
      <c r="AH34" s="27"/>
      <c r="AI34" s="27"/>
      <c r="AJ34" s="27"/>
      <c r="AK34" s="27"/>
      <c r="AL34" s="27"/>
    </row>
    <row r="35" spans="5:38" ht="18.95" customHeight="1" x14ac:dyDescent="0.15">
      <c r="E35" s="466">
        <v>19.5</v>
      </c>
      <c r="AB35" s="93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34"/>
      <c r="AD35" s="934"/>
      <c r="AE35" s="934"/>
      <c r="AF35" s="288"/>
      <c r="AG35" s="27"/>
      <c r="AH35" s="27"/>
      <c r="AI35" s="27"/>
      <c r="AJ35" s="27"/>
      <c r="AK35" s="27"/>
      <c r="AL35" s="27"/>
    </row>
    <row r="36" spans="5:38" ht="10.9" customHeight="1" x14ac:dyDescent="0.15">
      <c r="E36" s="466">
        <v>11.25</v>
      </c>
      <c r="AB36" s="935"/>
      <c r="AC36" s="936"/>
      <c r="AD36" s="936"/>
      <c r="AE36" s="937"/>
      <c r="AF36" s="358"/>
      <c r="AG36" s="29"/>
      <c r="AH36" s="15"/>
      <c r="AI36" s="938"/>
      <c r="AJ36" s="938"/>
      <c r="AK36" s="15"/>
      <c r="AL36" s="29"/>
    </row>
    <row r="37" spans="5:38" ht="18.95" customHeight="1" x14ac:dyDescent="0.15">
      <c r="E37" s="466">
        <v>19.5</v>
      </c>
      <c r="AB37" s="939" t="s">
        <v>112</v>
      </c>
      <c r="AC37" s="939"/>
      <c r="AD37" s="939"/>
      <c r="AE37" s="939"/>
      <c r="AF37" s="359"/>
      <c r="AG37" s="30"/>
      <c r="AH37" s="30"/>
      <c r="AI37" s="30"/>
      <c r="AJ37" s="30"/>
      <c r="AK37" s="30"/>
      <c r="AL37" s="26"/>
    </row>
    <row r="38" spans="5:38" ht="35.1" customHeight="1" x14ac:dyDescent="0.15">
      <c r="E38" s="466">
        <v>36</v>
      </c>
      <c r="AB38" s="912" t="s">
        <v>113</v>
      </c>
      <c r="AC38" s="912"/>
      <c r="AD38" s="912"/>
      <c r="AE38" s="539" t="s">
        <v>114</v>
      </c>
      <c r="AF38" s="360"/>
      <c r="AG38" s="26"/>
      <c r="AH38" s="26"/>
      <c r="AI38" s="26"/>
    </row>
    <row r="39" spans="5:38" ht="35.1" customHeight="1" x14ac:dyDescent="0.15">
      <c r="E39" s="466">
        <v>36</v>
      </c>
      <c r="AB39" s="912" t="s">
        <v>115</v>
      </c>
      <c r="AC39" s="912"/>
      <c r="AD39" s="912"/>
      <c r="AE39" s="539" t="s">
        <v>111</v>
      </c>
      <c r="AF39" s="360"/>
    </row>
    <row r="40" spans="5:38" ht="18.95" customHeight="1" x14ac:dyDescent="0.15">
      <c r="E40" s="466">
        <v>19.5</v>
      </c>
      <c r="AB40" s="912" t="s">
        <v>116</v>
      </c>
      <c r="AC40" s="912"/>
      <c r="AD40" s="912"/>
      <c r="AE40" s="764"/>
      <c r="AF40" s="287"/>
    </row>
    <row r="41" spans="5:38" ht="18.95" customHeight="1" x14ac:dyDescent="0.15">
      <c r="E41" s="466">
        <v>19.5</v>
      </c>
      <c r="AB41" s="912" t="s">
        <v>117</v>
      </c>
      <c r="AC41" s="912"/>
      <c r="AD41" s="912"/>
      <c r="AE41" s="540" t="s">
        <v>118</v>
      </c>
      <c r="AF41" s="287"/>
    </row>
    <row r="42" spans="5:38" ht="18.95" customHeight="1" x14ac:dyDescent="0.15">
      <c r="E42" s="466">
        <v>19.5</v>
      </c>
      <c r="AB42" s="912" t="s">
        <v>119</v>
      </c>
      <c r="AC42" s="912"/>
      <c r="AD42" s="912"/>
      <c r="AE42" s="540" t="s">
        <v>120</v>
      </c>
      <c r="AF42" s="287"/>
    </row>
    <row r="43" spans="5:38" ht="18.95" customHeight="1" x14ac:dyDescent="0.15">
      <c r="E43" s="466">
        <v>19.5</v>
      </c>
      <c r="AB43" s="912" t="s">
        <v>121</v>
      </c>
      <c r="AC43" s="912"/>
      <c r="AD43" s="912"/>
      <c r="AE43" s="540" t="s">
        <v>122</v>
      </c>
      <c r="AF43" s="287"/>
    </row>
    <row r="44" spans="5:38" ht="18.95" customHeight="1" x14ac:dyDescent="0.15">
      <c r="E44" s="466">
        <v>19.5</v>
      </c>
      <c r="AB44" s="912" t="s">
        <v>123</v>
      </c>
      <c r="AC44" s="912"/>
      <c r="AD44" s="912"/>
      <c r="AE44" s="284" t="s">
        <v>124</v>
      </c>
      <c r="AF44" s="287"/>
      <c r="AG44" s="25" t="s">
        <v>125</v>
      </c>
    </row>
    <row r="45" spans="5:38" ht="18.95" customHeight="1" x14ac:dyDescent="0.15">
      <c r="E45" s="466">
        <v>19.5</v>
      </c>
      <c r="AB45" s="912" t="s">
        <v>126</v>
      </c>
      <c r="AC45" s="912"/>
      <c r="AD45" s="912"/>
      <c r="AE45" s="289" t="s">
        <v>127</v>
      </c>
      <c r="AF45" s="287"/>
      <c r="AG45" s="25" t="s">
        <v>128</v>
      </c>
    </row>
    <row r="46" spans="5:38" ht="18.95" customHeight="1" x14ac:dyDescent="0.15">
      <c r="E46" s="466">
        <v>19.5</v>
      </c>
      <c r="AB46" s="912" t="s">
        <v>129</v>
      </c>
      <c r="AC46" s="912"/>
      <c r="AD46" s="912"/>
      <c r="AE46" s="289" t="s">
        <v>130</v>
      </c>
      <c r="AG46" s="25" t="s">
        <v>131</v>
      </c>
    </row>
    <row r="47" spans="5:38" ht="18.95" customHeight="1" x14ac:dyDescent="0.15">
      <c r="E47" s="466">
        <v>19.5</v>
      </c>
      <c r="AB47" s="912" t="s">
        <v>132</v>
      </c>
      <c r="AC47" s="912"/>
      <c r="AD47" s="912"/>
      <c r="AE47" s="289" t="s">
        <v>130</v>
      </c>
      <c r="AG47" s="25" t="s">
        <v>133</v>
      </c>
    </row>
    <row r="48" spans="5:38" ht="18.95" customHeight="1" x14ac:dyDescent="0.15">
      <c r="E48" s="466">
        <v>19.5</v>
      </c>
      <c r="AB48" s="912" t="s">
        <v>134</v>
      </c>
      <c r="AC48" s="912"/>
      <c r="AD48" s="912"/>
      <c r="AE48" s="289" t="s">
        <v>135</v>
      </c>
      <c r="AG48" s="25" t="s">
        <v>136</v>
      </c>
    </row>
    <row r="49" spans="2:33" ht="18.95" customHeight="1" x14ac:dyDescent="0.15">
      <c r="E49" s="466">
        <v>19.5</v>
      </c>
      <c r="AB49" s="912" t="s">
        <v>137</v>
      </c>
      <c r="AC49" s="912"/>
      <c r="AD49" s="912"/>
      <c r="AE49" s="289" t="s">
        <v>138</v>
      </c>
      <c r="AG49" s="25" t="s">
        <v>139</v>
      </c>
    </row>
    <row r="50" spans="2:33" ht="18.95" customHeight="1" x14ac:dyDescent="0.15">
      <c r="E50" s="466">
        <v>19.5</v>
      </c>
      <c r="AB50" s="912" t="s">
        <v>140</v>
      </c>
      <c r="AC50" s="912"/>
      <c r="AD50" s="912"/>
      <c r="AE50" s="289" t="s">
        <v>141</v>
      </c>
      <c r="AG50" s="25" t="s">
        <v>142</v>
      </c>
    </row>
    <row r="51" spans="2:33" ht="18.95" customHeight="1" x14ac:dyDescent="0.15">
      <c r="E51" s="466">
        <v>19.5</v>
      </c>
      <c r="AB51" s="912" t="s">
        <v>143</v>
      </c>
      <c r="AC51" s="912"/>
      <c r="AD51" s="912"/>
      <c r="AE51" s="289" t="s">
        <v>144</v>
      </c>
      <c r="AG51" s="25" t="s">
        <v>145</v>
      </c>
    </row>
    <row r="52" spans="2:33" ht="18.95" customHeight="1" x14ac:dyDescent="0.15">
      <c r="E52" s="466">
        <v>19.5</v>
      </c>
      <c r="AB52" s="912" t="s">
        <v>146</v>
      </c>
      <c r="AC52" s="912"/>
      <c r="AD52" s="912"/>
      <c r="AE52" s="290" t="s">
        <v>147</v>
      </c>
      <c r="AG52" s="25" t="s">
        <v>148</v>
      </c>
    </row>
    <row r="53" spans="2:33" ht="18.95" customHeight="1" x14ac:dyDescent="0.15">
      <c r="E53" s="466">
        <v>19.5</v>
      </c>
      <c r="AB53" s="912" t="s">
        <v>149</v>
      </c>
      <c r="AC53" s="912"/>
      <c r="AD53" s="16" t="s">
        <v>150</v>
      </c>
      <c r="AE53" s="291" t="s">
        <v>151</v>
      </c>
      <c r="AG53" s="25" t="s">
        <v>152</v>
      </c>
    </row>
    <row r="54" spans="2:33" ht="18.95" customHeight="1" x14ac:dyDescent="0.15">
      <c r="E54" s="466">
        <v>19.5</v>
      </c>
      <c r="AB54" s="912"/>
      <c r="AC54" s="912"/>
      <c r="AD54" s="16" t="s">
        <v>153</v>
      </c>
      <c r="AE54" s="292" t="s">
        <v>154</v>
      </c>
      <c r="AG54" s="25" t="s">
        <v>155</v>
      </c>
    </row>
    <row r="55" spans="2:33" ht="18.95" customHeight="1" x14ac:dyDescent="0.15">
      <c r="E55" s="466">
        <v>19.5</v>
      </c>
      <c r="AB55" s="912"/>
      <c r="AC55" s="912"/>
      <c r="AD55" s="16" t="s">
        <v>156</v>
      </c>
      <c r="AE55" s="292" t="s">
        <v>157</v>
      </c>
      <c r="AG55" s="25" t="s">
        <v>158</v>
      </c>
    </row>
    <row r="56" spans="2:33" ht="24.95" customHeight="1" x14ac:dyDescent="0.15">
      <c r="E56" s="466">
        <v>25.5</v>
      </c>
      <c r="AB56" s="912" t="s">
        <v>159</v>
      </c>
      <c r="AC56" s="912"/>
      <c r="AD56" s="912"/>
      <c r="AE56" s="291" t="s">
        <v>160</v>
      </c>
      <c r="AF56" s="361"/>
      <c r="AG56" s="25" t="s">
        <v>161</v>
      </c>
    </row>
    <row r="57" spans="2:33" ht="24.95" customHeight="1" x14ac:dyDescent="0.15">
      <c r="E57" s="466">
        <v>25.5</v>
      </c>
      <c r="AB57" s="912" t="s">
        <v>162</v>
      </c>
      <c r="AC57" s="912"/>
      <c r="AD57" s="912"/>
      <c r="AE57" s="291" t="s">
        <v>163</v>
      </c>
      <c r="AF57" s="472"/>
      <c r="AG57" s="416"/>
    </row>
    <row r="58" spans="2:33" ht="18.95" customHeight="1" x14ac:dyDescent="0.15">
      <c r="E58" s="466">
        <v>19.5</v>
      </c>
      <c r="AB58" s="912" t="s">
        <v>164</v>
      </c>
      <c r="AC58" s="912"/>
      <c r="AD58" s="912"/>
      <c r="AE58" s="291" t="s">
        <v>160</v>
      </c>
      <c r="AG58" s="25" t="s">
        <v>165</v>
      </c>
    </row>
    <row r="59" spans="2:33" ht="24.95" customHeight="1" x14ac:dyDescent="0.15">
      <c r="E59" s="466">
        <v>25.5</v>
      </c>
      <c r="AB59" s="912" t="s">
        <v>166</v>
      </c>
      <c r="AC59" s="912"/>
      <c r="AD59" s="912"/>
      <c r="AE59" s="291" t="s">
        <v>151</v>
      </c>
      <c r="AF59" s="361"/>
      <c r="AG59" s="25" t="s">
        <v>167</v>
      </c>
    </row>
    <row r="60" spans="2:33" ht="18.95" customHeight="1" x14ac:dyDescent="0.15">
      <c r="B60" s="341" t="b">
        <f>NOT(method_reg="Метод сравнения аналогов")</f>
        <v>1</v>
      </c>
      <c r="E60" s="466">
        <v>19.5</v>
      </c>
      <c r="F60" s="25" t="s">
        <v>168</v>
      </c>
      <c r="AB60" s="912" t="s">
        <v>169</v>
      </c>
      <c r="AC60" s="912"/>
      <c r="AD60" s="912"/>
      <c r="AE60" s="291" t="s">
        <v>151</v>
      </c>
      <c r="AG60" s="25" t="s">
        <v>170</v>
      </c>
    </row>
    <row r="61" spans="2:33" ht="11.65" hidden="1" customHeight="1" x14ac:dyDescent="0.15">
      <c r="B61" s="341" t="b">
        <f>AND(NOT(method_reg="Метод сравнения аналогов"),STATUS_GO="да")</f>
        <v>0</v>
      </c>
      <c r="E61" s="466">
        <v>12</v>
      </c>
      <c r="AA61" s="465"/>
      <c r="AB61" s="912" t="s">
        <v>171</v>
      </c>
      <c r="AC61" s="912"/>
      <c r="AD61" s="912"/>
      <c r="AE61" s="316"/>
      <c r="AF61" s="465"/>
    </row>
    <row r="62" spans="2:33" ht="11.65" hidden="1" customHeight="1" x14ac:dyDescent="0.15">
      <c r="B62" s="341" t="b">
        <f>AND(NOT(method_reg="Метод сравнения аналогов"),STATUS_GO="да")</f>
        <v>0</v>
      </c>
      <c r="E62" s="466">
        <v>12</v>
      </c>
      <c r="W62" s="355" t="b">
        <f>ROW(Y62)&gt;ROW(Y$62)</f>
        <v>0</v>
      </c>
      <c r="Y62" s="25" t="s">
        <v>172</v>
      </c>
      <c r="AA62" s="465" t="s">
        <v>173</v>
      </c>
      <c r="AB62" s="912" t="s">
        <v>171</v>
      </c>
      <c r="AC62" s="912"/>
      <c r="AD62" s="912"/>
      <c r="AE62" s="316"/>
      <c r="AF62" s="465"/>
    </row>
    <row r="63" spans="2:33" ht="13.7" hidden="1" customHeight="1" x14ac:dyDescent="0.15">
      <c r="B63" s="341" t="b">
        <f>AND(NOT(method_reg="Метод сравнения аналогов"),STATUS_GO="да")</f>
        <v>0</v>
      </c>
      <c r="E63" s="466">
        <v>14</v>
      </c>
      <c r="F63" s="25" t="s">
        <v>174</v>
      </c>
      <c r="Y63" s="26" t="s">
        <v>175</v>
      </c>
      <c r="AB63" s="177"/>
      <c r="AC63" s="176"/>
      <c r="AD63" s="176"/>
      <c r="AE63" s="269" t="s">
        <v>176</v>
      </c>
      <c r="AF63" s="712"/>
    </row>
    <row r="64" spans="2:33" ht="13.7" hidden="1" customHeight="1" x14ac:dyDescent="0.15">
      <c r="B64" s="341" t="b">
        <f t="shared" ref="B64:B69" si="0">method_reg="Метод сравнения аналогов"</f>
        <v>0</v>
      </c>
      <c r="E64" s="466">
        <v>14</v>
      </c>
      <c r="AB64" s="412"/>
      <c r="AC64" s="413"/>
      <c r="AD64" s="413"/>
      <c r="AE64" s="414"/>
      <c r="AF64" s="712"/>
    </row>
    <row r="65" spans="2:33" ht="18.95" hidden="1" customHeight="1" x14ac:dyDescent="0.15">
      <c r="B65" s="341" t="b">
        <f t="shared" si="0"/>
        <v>0</v>
      </c>
      <c r="E65" s="466">
        <v>19.5</v>
      </c>
      <c r="AB65" s="925" t="s">
        <v>177</v>
      </c>
      <c r="AC65" s="925"/>
      <c r="AD65" s="925"/>
      <c r="AE65" s="539"/>
      <c r="AF65" s="712"/>
      <c r="AG65" s="25" t="s">
        <v>178</v>
      </c>
    </row>
    <row r="66" spans="2:33" ht="18.95" hidden="1" customHeight="1" x14ac:dyDescent="0.15">
      <c r="B66" s="341" t="b">
        <f t="shared" si="0"/>
        <v>0</v>
      </c>
      <c r="E66" s="466">
        <v>19.5</v>
      </c>
      <c r="AB66" s="925" t="s">
        <v>179</v>
      </c>
      <c r="AC66" s="925"/>
      <c r="AD66" s="925"/>
      <c r="AE66" s="539"/>
      <c r="AF66" s="712"/>
      <c r="AG66" s="25" t="s">
        <v>180</v>
      </c>
    </row>
    <row r="67" spans="2:33" ht="18.95" hidden="1" customHeight="1" x14ac:dyDescent="0.15">
      <c r="B67" s="341" t="b">
        <f t="shared" si="0"/>
        <v>0</v>
      </c>
      <c r="E67" s="466">
        <v>19.5</v>
      </c>
      <c r="AB67" s="925" t="s">
        <v>181</v>
      </c>
      <c r="AC67" s="925"/>
      <c r="AD67" s="925"/>
      <c r="AE67" s="539"/>
      <c r="AF67" s="712"/>
      <c r="AG67" s="25" t="s">
        <v>182</v>
      </c>
    </row>
    <row r="68" spans="2:33" ht="18.95" hidden="1" customHeight="1" x14ac:dyDescent="0.15">
      <c r="B68" s="341" t="b">
        <f t="shared" si="0"/>
        <v>0</v>
      </c>
      <c r="E68" s="466">
        <v>19.5</v>
      </c>
      <c r="AB68" s="912" t="s">
        <v>183</v>
      </c>
      <c r="AC68" s="912"/>
      <c r="AD68" s="912"/>
      <c r="AE68" s="317"/>
      <c r="AF68" s="712"/>
      <c r="AG68" s="25" t="s">
        <v>184</v>
      </c>
    </row>
    <row r="69" spans="2:33" ht="18.95" hidden="1" customHeight="1" x14ac:dyDescent="0.15">
      <c r="B69" s="341" t="b">
        <f t="shared" si="0"/>
        <v>0</v>
      </c>
      <c r="E69" s="466">
        <v>19.5</v>
      </c>
      <c r="AB69" s="912" t="s">
        <v>185</v>
      </c>
      <c r="AC69" s="912"/>
      <c r="AD69" s="912"/>
      <c r="AE69" s="808"/>
      <c r="AF69" s="712"/>
      <c r="AG69" s="25" t="s">
        <v>186</v>
      </c>
    </row>
    <row r="70" spans="2:33" ht="13.7" customHeight="1" x14ac:dyDescent="0.15">
      <c r="B70" s="25"/>
      <c r="E70" s="466">
        <v>14</v>
      </c>
      <c r="AB70" s="412"/>
      <c r="AC70" s="413"/>
      <c r="AD70" s="413"/>
      <c r="AE70" s="414"/>
      <c r="AF70" s="712"/>
    </row>
    <row r="71" spans="2:33" ht="18.95" customHeight="1" x14ac:dyDescent="0.15">
      <c r="B71" s="25"/>
      <c r="E71" s="466">
        <v>19.5</v>
      </c>
      <c r="AB71" s="912" t="s">
        <v>187</v>
      </c>
      <c r="AC71" s="912"/>
      <c r="AD71" s="912"/>
      <c r="AE71" s="291" t="s">
        <v>160</v>
      </c>
      <c r="AF71" s="712"/>
      <c r="AG71" s="25" t="s">
        <v>188</v>
      </c>
    </row>
    <row r="72" spans="2:33" ht="18.95" customHeight="1" x14ac:dyDescent="0.15">
      <c r="B72" s="25"/>
      <c r="E72" s="466">
        <v>19.5</v>
      </c>
      <c r="F72" s="25" t="s">
        <v>189</v>
      </c>
      <c r="AB72" s="912" t="s">
        <v>190</v>
      </c>
      <c r="AC72" s="912"/>
      <c r="AD72" s="912"/>
      <c r="AE72" s="291" t="s">
        <v>151</v>
      </c>
      <c r="AF72" s="712"/>
      <c r="AG72" s="25" t="s">
        <v>191</v>
      </c>
    </row>
    <row r="73" spans="2:33" ht="18.95" hidden="1" customHeight="1" x14ac:dyDescent="0.15">
      <c r="B73" s="341" t="b">
        <f t="shared" ref="B73:B83" si="1">HAS_DOC2="да"</f>
        <v>0</v>
      </c>
      <c r="E73" s="466">
        <v>19.5</v>
      </c>
      <c r="AB73" s="914" t="s">
        <v>192</v>
      </c>
      <c r="AC73" s="922" t="s">
        <v>193</v>
      </c>
      <c r="AD73" s="924"/>
      <c r="AE73" s="317"/>
      <c r="AF73" s="712"/>
    </row>
    <row r="74" spans="2:33" ht="18.95" hidden="1" customHeight="1" x14ac:dyDescent="0.15">
      <c r="B74" s="341" t="b">
        <f t="shared" si="1"/>
        <v>0</v>
      </c>
      <c r="E74" s="466">
        <v>19.5</v>
      </c>
      <c r="AB74" s="915"/>
      <c r="AC74" s="922" t="s">
        <v>194</v>
      </c>
      <c r="AD74" s="924"/>
      <c r="AE74" s="318"/>
      <c r="AF74" s="712"/>
    </row>
    <row r="75" spans="2:33" ht="18.95" hidden="1" customHeight="1" x14ac:dyDescent="0.15">
      <c r="B75" s="341" t="b">
        <f t="shared" si="1"/>
        <v>0</v>
      </c>
      <c r="E75" s="466">
        <v>19.5</v>
      </c>
      <c r="AB75" s="915"/>
      <c r="AC75" s="922" t="s">
        <v>195</v>
      </c>
      <c r="AD75" s="924"/>
      <c r="AE75" s="317"/>
      <c r="AF75" s="712"/>
    </row>
    <row r="76" spans="2:33" ht="18.95" hidden="1" customHeight="1" x14ac:dyDescent="0.15">
      <c r="B76" s="341" t="b">
        <f t="shared" si="1"/>
        <v>0</v>
      </c>
      <c r="E76" s="466">
        <v>19.5</v>
      </c>
      <c r="AB76" s="915"/>
      <c r="AC76" s="922" t="s">
        <v>196</v>
      </c>
      <c r="AD76" s="924"/>
      <c r="AE76" s="625"/>
    </row>
    <row r="77" spans="2:33" ht="18.95" hidden="1" customHeight="1" x14ac:dyDescent="0.15">
      <c r="B77" s="341" t="b">
        <f t="shared" si="1"/>
        <v>0</v>
      </c>
      <c r="E77" s="466">
        <v>19.5</v>
      </c>
      <c r="AB77" s="916"/>
      <c r="AC77" s="922" t="s">
        <v>197</v>
      </c>
      <c r="AD77" s="924"/>
      <c r="AE77" s="316"/>
    </row>
    <row r="78" spans="2:33" ht="18.95" hidden="1" customHeight="1" x14ac:dyDescent="0.15">
      <c r="B78" s="341" t="b">
        <f t="shared" si="1"/>
        <v>0</v>
      </c>
      <c r="E78" s="466">
        <v>19.5</v>
      </c>
      <c r="W78" s="355" t="b">
        <f>ROW(Y78)&gt;ROW(Y$78)</f>
        <v>0</v>
      </c>
      <c r="Y78" s="25" t="s">
        <v>172</v>
      </c>
      <c r="AA78" s="913" t="s">
        <v>173</v>
      </c>
      <c r="AB78" s="914" t="s">
        <v>192</v>
      </c>
      <c r="AC78" s="922" t="s">
        <v>193</v>
      </c>
      <c r="AD78" s="924"/>
      <c r="AE78" s="317"/>
    </row>
    <row r="79" spans="2:33" ht="18.95" hidden="1" customHeight="1" x14ac:dyDescent="0.15">
      <c r="B79" s="341" t="b">
        <f t="shared" si="1"/>
        <v>0</v>
      </c>
      <c r="E79" s="466">
        <v>19.5</v>
      </c>
      <c r="W79" s="355" t="b" cm="1">
        <f t="array" ref="W79">W78</f>
        <v>0</v>
      </c>
      <c r="AA79" s="913"/>
      <c r="AB79" s="915"/>
      <c r="AC79" s="922" t="s">
        <v>194</v>
      </c>
      <c r="AD79" s="924"/>
      <c r="AE79" s="318"/>
    </row>
    <row r="80" spans="2:33" ht="18.95" hidden="1" customHeight="1" x14ac:dyDescent="0.15">
      <c r="B80" s="341" t="b">
        <f t="shared" si="1"/>
        <v>0</v>
      </c>
      <c r="E80" s="466">
        <v>19.5</v>
      </c>
      <c r="W80" s="355" t="b" cm="1">
        <f t="array" ref="W80">W79</f>
        <v>0</v>
      </c>
      <c r="AA80" s="913"/>
      <c r="AB80" s="915"/>
      <c r="AC80" s="922" t="s">
        <v>195</v>
      </c>
      <c r="AD80" s="924"/>
      <c r="AE80" s="317"/>
    </row>
    <row r="81" spans="2:33" ht="18.95" hidden="1" customHeight="1" x14ac:dyDescent="0.15">
      <c r="B81" s="341" t="b">
        <f t="shared" si="1"/>
        <v>0</v>
      </c>
      <c r="E81" s="466">
        <v>19.5</v>
      </c>
      <c r="W81" s="355" t="b" cm="1">
        <f t="array" ref="W81">W80</f>
        <v>0</v>
      </c>
      <c r="AA81" s="913"/>
      <c r="AB81" s="915"/>
      <c r="AC81" s="922" t="s">
        <v>196</v>
      </c>
      <c r="AD81" s="924"/>
      <c r="AE81" s="625"/>
    </row>
    <row r="82" spans="2:33" ht="18.95" hidden="1" customHeight="1" x14ac:dyDescent="0.15">
      <c r="B82" s="341" t="b">
        <f t="shared" si="1"/>
        <v>0</v>
      </c>
      <c r="E82" s="466">
        <v>19.5</v>
      </c>
      <c r="W82" s="355" t="b" cm="1">
        <f t="array" ref="W82">W81</f>
        <v>0</v>
      </c>
      <c r="AA82" s="913"/>
      <c r="AB82" s="916"/>
      <c r="AC82" s="922" t="s">
        <v>197</v>
      </c>
      <c r="AD82" s="924"/>
      <c r="AE82" s="316"/>
    </row>
    <row r="83" spans="2:33" ht="14.65" hidden="1" customHeight="1" x14ac:dyDescent="0.15">
      <c r="B83" s="341" t="b">
        <f t="shared" si="1"/>
        <v>0</v>
      </c>
      <c r="E83" s="466">
        <v>15</v>
      </c>
      <c r="F83" s="25" t="s">
        <v>189</v>
      </c>
      <c r="Y83" s="26" t="s">
        <v>175</v>
      </c>
      <c r="AB83" s="177"/>
      <c r="AC83" s="176"/>
      <c r="AD83" s="176"/>
      <c r="AE83" s="269" t="s">
        <v>176</v>
      </c>
    </row>
    <row r="84" spans="2:33" ht="18.95" customHeight="1" x14ac:dyDescent="0.15">
      <c r="B84" s="25"/>
      <c r="E84" s="466">
        <v>19.5</v>
      </c>
      <c r="F84" s="25" t="s">
        <v>198</v>
      </c>
      <c r="AB84" s="912" t="s">
        <v>199</v>
      </c>
      <c r="AC84" s="912"/>
      <c r="AD84" s="912"/>
      <c r="AE84" s="291" t="s">
        <v>160</v>
      </c>
      <c r="AG84" s="25" t="s">
        <v>200</v>
      </c>
    </row>
    <row r="85" spans="2:33" ht="28.7" customHeight="1" x14ac:dyDescent="0.15">
      <c r="B85" s="341" t="b">
        <f t="shared" ref="B85:B95" si="2">HAS_DOC3="да"</f>
        <v>1</v>
      </c>
      <c r="E85" s="466">
        <v>19.5</v>
      </c>
      <c r="AB85" s="917" t="s">
        <v>192</v>
      </c>
      <c r="AC85" s="912" t="s">
        <v>193</v>
      </c>
      <c r="AD85" s="912"/>
      <c r="AE85" s="284" t="s">
        <v>201</v>
      </c>
    </row>
    <row r="86" spans="2:33" ht="18.95" customHeight="1" x14ac:dyDescent="0.15">
      <c r="B86" s="341" t="b">
        <f t="shared" si="2"/>
        <v>1</v>
      </c>
      <c r="E86" s="466">
        <v>19.5</v>
      </c>
      <c r="AB86" s="917"/>
      <c r="AC86" s="912" t="s">
        <v>194</v>
      </c>
      <c r="AD86" s="912"/>
      <c r="AE86" s="285" t="s">
        <v>202</v>
      </c>
    </row>
    <row r="87" spans="2:33" ht="18.95" customHeight="1" x14ac:dyDescent="0.15">
      <c r="B87" s="341" t="b">
        <f t="shared" si="2"/>
        <v>1</v>
      </c>
      <c r="E87" s="466">
        <v>19.5</v>
      </c>
      <c r="AB87" s="917"/>
      <c r="AC87" s="912" t="s">
        <v>195</v>
      </c>
      <c r="AD87" s="912"/>
      <c r="AE87" s="284" t="s">
        <v>203</v>
      </c>
    </row>
    <row r="88" spans="2:33" ht="18.95" customHeight="1" x14ac:dyDescent="0.15">
      <c r="B88" s="341" t="b">
        <f t="shared" si="2"/>
        <v>1</v>
      </c>
      <c r="E88" s="466">
        <v>19.5</v>
      </c>
      <c r="AB88" s="917"/>
      <c r="AC88" s="912" t="s">
        <v>196</v>
      </c>
      <c r="AD88" s="912"/>
      <c r="AE88" s="319">
        <v>44601</v>
      </c>
    </row>
    <row r="89" spans="2:33" ht="18.95" customHeight="1" x14ac:dyDescent="0.15">
      <c r="B89" s="341" t="b">
        <f t="shared" si="2"/>
        <v>1</v>
      </c>
      <c r="E89" s="466">
        <v>19.5</v>
      </c>
      <c r="AB89" s="917"/>
      <c r="AC89" s="912" t="s">
        <v>197</v>
      </c>
      <c r="AD89" s="912"/>
      <c r="AE89" s="302"/>
    </row>
    <row r="90" spans="2:33" ht="18.95" hidden="1" customHeight="1" x14ac:dyDescent="0.15">
      <c r="B90" s="341" t="b">
        <f t="shared" si="2"/>
        <v>1</v>
      </c>
      <c r="E90" s="466">
        <v>19.5</v>
      </c>
      <c r="W90" s="355" t="b">
        <f>ROW(Y90)&gt;ROW(Y$90)</f>
        <v>0</v>
      </c>
      <c r="Y90" s="25" t="s">
        <v>172</v>
      </c>
      <c r="AA90" s="913" t="s">
        <v>173</v>
      </c>
      <c r="AB90" s="914" t="s">
        <v>192</v>
      </c>
      <c r="AC90" s="922" t="s">
        <v>193</v>
      </c>
      <c r="AD90" s="924"/>
      <c r="AE90" s="317"/>
    </row>
    <row r="91" spans="2:33" ht="18.95" hidden="1" customHeight="1" x14ac:dyDescent="0.15">
      <c r="B91" s="341" t="b">
        <f t="shared" si="2"/>
        <v>1</v>
      </c>
      <c r="E91" s="466">
        <v>19.5</v>
      </c>
      <c r="W91" s="355" t="b" cm="1">
        <f t="array" ref="W91">W90</f>
        <v>0</v>
      </c>
      <c r="AA91" s="913"/>
      <c r="AB91" s="915"/>
      <c r="AC91" s="922" t="s">
        <v>194</v>
      </c>
      <c r="AD91" s="924"/>
      <c r="AE91" s="318"/>
    </row>
    <row r="92" spans="2:33" ht="18.95" hidden="1" customHeight="1" x14ac:dyDescent="0.15">
      <c r="B92" s="341" t="b">
        <f t="shared" si="2"/>
        <v>1</v>
      </c>
      <c r="E92" s="466">
        <v>19.5</v>
      </c>
      <c r="W92" s="355" t="b" cm="1">
        <f t="array" ref="W92">W91</f>
        <v>0</v>
      </c>
      <c r="AA92" s="913"/>
      <c r="AB92" s="915"/>
      <c r="AC92" s="922" t="s">
        <v>195</v>
      </c>
      <c r="AD92" s="924"/>
      <c r="AE92" s="317"/>
    </row>
    <row r="93" spans="2:33" ht="18.95" hidden="1" customHeight="1" x14ac:dyDescent="0.15">
      <c r="B93" s="341" t="b">
        <f t="shared" si="2"/>
        <v>1</v>
      </c>
      <c r="E93" s="466">
        <v>19.5</v>
      </c>
      <c r="W93" s="355" t="b" cm="1">
        <f t="array" ref="W93">W92</f>
        <v>0</v>
      </c>
      <c r="AA93" s="913"/>
      <c r="AB93" s="915"/>
      <c r="AC93" s="922" t="s">
        <v>196</v>
      </c>
      <c r="AD93" s="924"/>
      <c r="AE93" s="625"/>
    </row>
    <row r="94" spans="2:33" ht="18.95" hidden="1" customHeight="1" x14ac:dyDescent="0.15">
      <c r="B94" s="341" t="b">
        <f t="shared" si="2"/>
        <v>1</v>
      </c>
      <c r="E94" s="466">
        <v>19.5</v>
      </c>
      <c r="W94" s="355" t="b" cm="1">
        <f t="array" ref="W94">W93</f>
        <v>0</v>
      </c>
      <c r="AA94" s="913"/>
      <c r="AB94" s="916"/>
      <c r="AC94" s="922" t="s">
        <v>197</v>
      </c>
      <c r="AD94" s="924"/>
      <c r="AE94" s="316"/>
    </row>
    <row r="95" spans="2:33" ht="14.65" customHeight="1" x14ac:dyDescent="0.15">
      <c r="B95" s="341" t="b">
        <f t="shared" si="2"/>
        <v>1</v>
      </c>
      <c r="E95" s="466">
        <v>15</v>
      </c>
      <c r="F95" s="25" t="s">
        <v>198</v>
      </c>
      <c r="Y95" s="26" t="s">
        <v>175</v>
      </c>
      <c r="AB95" s="177"/>
      <c r="AC95" s="176"/>
      <c r="AD95" s="176"/>
      <c r="AE95" s="269" t="s">
        <v>176</v>
      </c>
    </row>
    <row r="96" spans="2:33" ht="18.95" customHeight="1" x14ac:dyDescent="0.15">
      <c r="B96" s="341" t="b">
        <f>NOT(method_reg="Метод сравнения аналогов")</f>
        <v>1</v>
      </c>
      <c r="E96" s="466">
        <v>19.5</v>
      </c>
      <c r="F96" s="25" t="s">
        <v>204</v>
      </c>
      <c r="AB96" s="912" t="s">
        <v>205</v>
      </c>
      <c r="AC96" s="912"/>
      <c r="AD96" s="912"/>
      <c r="AE96" s="291" t="s">
        <v>160</v>
      </c>
      <c r="AG96" s="25" t="s">
        <v>206</v>
      </c>
    </row>
    <row r="97" spans="2:33" ht="43.7" customHeight="1" x14ac:dyDescent="0.15">
      <c r="B97" s="341" t="b">
        <f t="shared" ref="B97:B107" si="3">AND(NOT(method_reg="Метод сравнения аналогов"),HAS_DOC4="да")</f>
        <v>1</v>
      </c>
      <c r="E97" s="466">
        <v>19.5</v>
      </c>
      <c r="AB97" s="917" t="s">
        <v>192</v>
      </c>
      <c r="AC97" s="912" t="s">
        <v>193</v>
      </c>
      <c r="AD97" s="912"/>
      <c r="AE97" s="284" t="s">
        <v>207</v>
      </c>
    </row>
    <row r="98" spans="2:33" ht="18.95" customHeight="1" x14ac:dyDescent="0.15">
      <c r="B98" s="341" t="b">
        <f t="shared" si="3"/>
        <v>1</v>
      </c>
      <c r="E98" s="466">
        <v>19.5</v>
      </c>
      <c r="AB98" s="917"/>
      <c r="AC98" s="912" t="s">
        <v>194</v>
      </c>
      <c r="AD98" s="912"/>
      <c r="AE98" s="285" t="s">
        <v>208</v>
      </c>
    </row>
    <row r="99" spans="2:33" ht="18.95" customHeight="1" x14ac:dyDescent="0.15">
      <c r="B99" s="341" t="b">
        <f t="shared" si="3"/>
        <v>1</v>
      </c>
      <c r="E99" s="466">
        <v>19.5</v>
      </c>
      <c r="AB99" s="917"/>
      <c r="AC99" s="912" t="s">
        <v>195</v>
      </c>
      <c r="AD99" s="912"/>
      <c r="AE99" s="284" t="s">
        <v>209</v>
      </c>
    </row>
    <row r="100" spans="2:33" ht="21.2" customHeight="1" x14ac:dyDescent="0.15">
      <c r="B100" s="341" t="b">
        <f t="shared" si="3"/>
        <v>1</v>
      </c>
      <c r="E100" s="466">
        <v>19.5</v>
      </c>
      <c r="AB100" s="917"/>
      <c r="AC100" s="912" t="s">
        <v>196</v>
      </c>
      <c r="AD100" s="912"/>
      <c r="AE100" s="319">
        <v>44015</v>
      </c>
    </row>
    <row r="101" spans="2:33" ht="30.95" customHeight="1" x14ac:dyDescent="0.15">
      <c r="B101" s="341" t="b">
        <f t="shared" si="3"/>
        <v>1</v>
      </c>
      <c r="E101" s="466">
        <v>19.5</v>
      </c>
      <c r="AB101" s="917"/>
      <c r="AC101" s="912" t="s">
        <v>197</v>
      </c>
      <c r="AD101" s="912"/>
      <c r="AE101" s="809" t="s">
        <v>210</v>
      </c>
    </row>
    <row r="102" spans="2:33" ht="18.95" hidden="1" customHeight="1" x14ac:dyDescent="0.15">
      <c r="B102" s="341" t="b">
        <f t="shared" si="3"/>
        <v>1</v>
      </c>
      <c r="E102" s="466">
        <v>19.5</v>
      </c>
      <c r="W102" s="355" t="b">
        <f>ROW(Y102)&gt;ROW(Y$102)</f>
        <v>0</v>
      </c>
      <c r="Y102" s="25" t="s">
        <v>172</v>
      </c>
      <c r="AA102" s="913" t="s">
        <v>173</v>
      </c>
      <c r="AB102" s="914" t="s">
        <v>192</v>
      </c>
      <c r="AC102" s="922" t="s">
        <v>193</v>
      </c>
      <c r="AD102" s="924"/>
      <c r="AE102" s="317"/>
    </row>
    <row r="103" spans="2:33" ht="18.95" hidden="1" customHeight="1" x14ac:dyDescent="0.15">
      <c r="B103" s="341" t="b">
        <f t="shared" si="3"/>
        <v>1</v>
      </c>
      <c r="E103" s="466">
        <v>19.5</v>
      </c>
      <c r="W103" s="355" t="b" cm="1">
        <f t="array" ref="W103">W102</f>
        <v>0</v>
      </c>
      <c r="AA103" s="913"/>
      <c r="AB103" s="915"/>
      <c r="AC103" s="922" t="s">
        <v>194</v>
      </c>
      <c r="AD103" s="924"/>
      <c r="AE103" s="318"/>
    </row>
    <row r="104" spans="2:33" ht="18.95" hidden="1" customHeight="1" x14ac:dyDescent="0.15">
      <c r="B104" s="341" t="b">
        <f t="shared" si="3"/>
        <v>1</v>
      </c>
      <c r="E104" s="466">
        <v>19.5</v>
      </c>
      <c r="W104" s="355" t="b" cm="1">
        <f t="array" ref="W104">W103</f>
        <v>0</v>
      </c>
      <c r="AA104" s="913"/>
      <c r="AB104" s="915"/>
      <c r="AC104" s="922" t="s">
        <v>195</v>
      </c>
      <c r="AD104" s="924"/>
      <c r="AE104" s="317"/>
    </row>
    <row r="105" spans="2:33" ht="18.95" hidden="1" customHeight="1" x14ac:dyDescent="0.15">
      <c r="B105" s="341" t="b">
        <f t="shared" si="3"/>
        <v>1</v>
      </c>
      <c r="E105" s="466">
        <v>19.5</v>
      </c>
      <c r="W105" s="355" t="b" cm="1">
        <f t="array" ref="W105">W104</f>
        <v>0</v>
      </c>
      <c r="AA105" s="913"/>
      <c r="AB105" s="915"/>
      <c r="AC105" s="922" t="s">
        <v>196</v>
      </c>
      <c r="AD105" s="924"/>
      <c r="AE105" s="625"/>
    </row>
    <row r="106" spans="2:33" ht="18.95" hidden="1" customHeight="1" x14ac:dyDescent="0.15">
      <c r="B106" s="341" t="b">
        <f t="shared" si="3"/>
        <v>1</v>
      </c>
      <c r="E106" s="466">
        <v>19.5</v>
      </c>
      <c r="W106" s="355" t="b" cm="1">
        <f t="array" ref="W106">W105</f>
        <v>0</v>
      </c>
      <c r="AA106" s="913"/>
      <c r="AB106" s="916"/>
      <c r="AC106" s="922" t="s">
        <v>197</v>
      </c>
      <c r="AD106" s="924"/>
      <c r="AE106" s="316"/>
    </row>
    <row r="107" spans="2:33" ht="14.65" customHeight="1" x14ac:dyDescent="0.15">
      <c r="B107" s="341" t="b">
        <f t="shared" si="3"/>
        <v>1</v>
      </c>
      <c r="E107" s="466">
        <v>15</v>
      </c>
      <c r="F107" s="25" t="s">
        <v>204</v>
      </c>
      <c r="Y107" s="26" t="s">
        <v>175</v>
      </c>
      <c r="AB107" s="177"/>
      <c r="AC107" s="176"/>
      <c r="AD107" s="176"/>
      <c r="AE107" s="269" t="s">
        <v>176</v>
      </c>
    </row>
    <row r="108" spans="2:33" ht="24.95" customHeight="1" x14ac:dyDescent="0.15">
      <c r="B108" s="341" t="b">
        <f>NOT(method_reg="Метод сравнения аналогов")</f>
        <v>1</v>
      </c>
      <c r="E108" s="466">
        <v>25.5</v>
      </c>
      <c r="F108" s="25" t="s">
        <v>211</v>
      </c>
      <c r="AB108" s="912"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12"/>
      <c r="AD108" s="912"/>
      <c r="AE108" s="291" t="s">
        <v>151</v>
      </c>
      <c r="AF108" s="361"/>
      <c r="AG108" s="25" t="s">
        <v>212</v>
      </c>
    </row>
    <row r="109" spans="2:33" ht="18.95" hidden="1" customHeight="1" x14ac:dyDescent="0.15">
      <c r="B109" s="341" t="b">
        <f t="shared" ref="B109:B121" si="4">AND(NOT(method_reg="Метод сравнения аналогов"),HAS_DOC5="да")</f>
        <v>0</v>
      </c>
      <c r="E109" s="466">
        <v>19.5</v>
      </c>
      <c r="AB109" s="914" t="s">
        <v>192</v>
      </c>
      <c r="AC109" s="912" t="s">
        <v>193</v>
      </c>
      <c r="AD109" s="912"/>
      <c r="AE109" s="317"/>
    </row>
    <row r="110" spans="2:33" ht="18.95" hidden="1" customHeight="1" x14ac:dyDescent="0.15">
      <c r="B110" s="341" t="b">
        <f t="shared" si="4"/>
        <v>0</v>
      </c>
      <c r="E110" s="466">
        <v>19.5</v>
      </c>
      <c r="AB110" s="915"/>
      <c r="AC110" s="912" t="s">
        <v>194</v>
      </c>
      <c r="AD110" s="912"/>
      <c r="AE110" s="318"/>
    </row>
    <row r="111" spans="2:33" ht="18.95" hidden="1" customHeight="1" x14ac:dyDescent="0.15">
      <c r="B111" s="341" t="b">
        <f t="shared" si="4"/>
        <v>0</v>
      </c>
      <c r="E111" s="466">
        <v>19.5</v>
      </c>
      <c r="AB111" s="915"/>
      <c r="AC111" s="912" t="s">
        <v>195</v>
      </c>
      <c r="AD111" s="912"/>
      <c r="AE111" s="317"/>
    </row>
    <row r="112" spans="2:33" ht="18.95" hidden="1" customHeight="1" x14ac:dyDescent="0.15">
      <c r="B112" s="341" t="b">
        <f t="shared" si="4"/>
        <v>0</v>
      </c>
      <c r="E112" s="466">
        <v>19.5</v>
      </c>
      <c r="AB112" s="915"/>
      <c r="AC112" s="912" t="s">
        <v>196</v>
      </c>
      <c r="AD112" s="912"/>
      <c r="AE112" s="625"/>
    </row>
    <row r="113" spans="2:33" ht="18.95" hidden="1" customHeight="1" x14ac:dyDescent="0.15">
      <c r="B113" s="341" t="b">
        <f t="shared" si="4"/>
        <v>0</v>
      </c>
      <c r="E113" s="466">
        <v>19.5</v>
      </c>
      <c r="AB113" s="915"/>
      <c r="AC113" s="912" t="s">
        <v>213</v>
      </c>
      <c r="AD113" s="912"/>
      <c r="AE113" s="625"/>
    </row>
    <row r="114" spans="2:33" ht="18.95" hidden="1" customHeight="1" x14ac:dyDescent="0.15">
      <c r="B114" s="341" t="b">
        <f t="shared" si="4"/>
        <v>0</v>
      </c>
      <c r="E114" s="466">
        <v>19.5</v>
      </c>
      <c r="AB114" s="916"/>
      <c r="AC114" s="912" t="s">
        <v>214</v>
      </c>
      <c r="AD114" s="912"/>
      <c r="AE114" s="625"/>
    </row>
    <row r="115" spans="2:33" ht="18.95" hidden="1" customHeight="1" x14ac:dyDescent="0.15">
      <c r="B115" s="341" t="b">
        <f t="shared" si="4"/>
        <v>0</v>
      </c>
      <c r="E115" s="466">
        <v>19.5</v>
      </c>
      <c r="W115" s="355" t="b">
        <f>ROW(Y115)&gt;ROW(Y$115)</f>
        <v>0</v>
      </c>
      <c r="Y115" s="25" t="s">
        <v>172</v>
      </c>
      <c r="AA115" s="913" t="s">
        <v>173</v>
      </c>
      <c r="AB115" s="914" t="s">
        <v>192</v>
      </c>
      <c r="AC115" s="912" t="s">
        <v>193</v>
      </c>
      <c r="AD115" s="912"/>
      <c r="AE115" s="317"/>
    </row>
    <row r="116" spans="2:33" ht="18.95" hidden="1" customHeight="1" x14ac:dyDescent="0.15">
      <c r="B116" s="341" t="b">
        <f t="shared" si="4"/>
        <v>0</v>
      </c>
      <c r="E116" s="466">
        <v>19.5</v>
      </c>
      <c r="W116" s="355" t="b" cm="1">
        <f t="array" ref="W116">W115</f>
        <v>0</v>
      </c>
      <c r="AA116" s="913"/>
      <c r="AB116" s="915"/>
      <c r="AC116" s="912" t="s">
        <v>194</v>
      </c>
      <c r="AD116" s="912"/>
      <c r="AE116" s="318"/>
    </row>
    <row r="117" spans="2:33" ht="18.95" hidden="1" customHeight="1" x14ac:dyDescent="0.15">
      <c r="B117" s="341" t="b">
        <f t="shared" si="4"/>
        <v>0</v>
      </c>
      <c r="E117" s="466">
        <v>19.5</v>
      </c>
      <c r="W117" s="355" t="b" cm="1">
        <f t="array" ref="W117">W116</f>
        <v>0</v>
      </c>
      <c r="AA117" s="913"/>
      <c r="AB117" s="915"/>
      <c r="AC117" s="912" t="s">
        <v>195</v>
      </c>
      <c r="AD117" s="912"/>
      <c r="AE117" s="317"/>
    </row>
    <row r="118" spans="2:33" ht="18.95" hidden="1" customHeight="1" x14ac:dyDescent="0.15">
      <c r="B118" s="341" t="b">
        <f t="shared" si="4"/>
        <v>0</v>
      </c>
      <c r="E118" s="466">
        <v>19.5</v>
      </c>
      <c r="W118" s="355" t="b" cm="1">
        <f t="array" ref="W118">W117</f>
        <v>0</v>
      </c>
      <c r="AA118" s="913"/>
      <c r="AB118" s="915"/>
      <c r="AC118" s="912" t="s">
        <v>196</v>
      </c>
      <c r="AD118" s="912"/>
      <c r="AE118" s="625"/>
    </row>
    <row r="119" spans="2:33" ht="18.95" hidden="1" customHeight="1" x14ac:dyDescent="0.15">
      <c r="B119" s="341" t="b">
        <f t="shared" si="4"/>
        <v>0</v>
      </c>
      <c r="E119" s="466">
        <v>19.5</v>
      </c>
      <c r="W119" s="355" t="b" cm="1">
        <f t="array" ref="W119">W118</f>
        <v>0</v>
      </c>
      <c r="AA119" s="913"/>
      <c r="AB119" s="915"/>
      <c r="AC119" s="912" t="s">
        <v>213</v>
      </c>
      <c r="AD119" s="912"/>
      <c r="AE119" s="625"/>
    </row>
    <row r="120" spans="2:33" ht="18.95" hidden="1" customHeight="1" x14ac:dyDescent="0.15">
      <c r="B120" s="341" t="b">
        <f t="shared" si="4"/>
        <v>0</v>
      </c>
      <c r="E120" s="466">
        <v>19.5</v>
      </c>
      <c r="W120" s="355" t="b" cm="1">
        <f t="array" ref="W120">W119</f>
        <v>0</v>
      </c>
      <c r="AA120" s="913"/>
      <c r="AB120" s="916"/>
      <c r="AC120" s="912" t="s">
        <v>214</v>
      </c>
      <c r="AD120" s="912"/>
      <c r="AE120" s="625"/>
    </row>
    <row r="121" spans="2:33" ht="14.65" hidden="1" customHeight="1" x14ac:dyDescent="0.15">
      <c r="B121" s="341" t="b">
        <f t="shared" si="4"/>
        <v>0</v>
      </c>
      <c r="E121" s="466">
        <v>15</v>
      </c>
      <c r="F121" s="25" t="s">
        <v>211</v>
      </c>
      <c r="Y121" s="26" t="s">
        <v>175</v>
      </c>
      <c r="AB121" s="177"/>
      <c r="AC121" s="176"/>
      <c r="AD121" s="176"/>
      <c r="AE121" s="269" t="s">
        <v>176</v>
      </c>
    </row>
    <row r="122" spans="2:33" ht="24.95" customHeight="1" x14ac:dyDescent="0.15">
      <c r="B122" s="341" t="b">
        <f>NOT(method_reg="Метод сравнения аналогов")</f>
        <v>1</v>
      </c>
      <c r="E122" s="466">
        <v>25.5</v>
      </c>
      <c r="F122" s="25" t="s">
        <v>215</v>
      </c>
      <c r="AB122" s="912"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12"/>
      <c r="AD122" s="912"/>
      <c r="AE122" s="291" t="s">
        <v>151</v>
      </c>
      <c r="AF122" s="361"/>
      <c r="AG122" s="25" t="s">
        <v>216</v>
      </c>
    </row>
    <row r="123" spans="2:33" ht="18.95" hidden="1" customHeight="1" x14ac:dyDescent="0.15">
      <c r="B123" s="341" t="b">
        <f t="shared" ref="B123:B135" si="5">AND(NOT(method_reg="Метод сравнения аналогов"),HAS_DOC6="да")</f>
        <v>0</v>
      </c>
      <c r="E123" s="466">
        <v>19.5</v>
      </c>
      <c r="AB123" s="917" t="s">
        <v>192</v>
      </c>
      <c r="AC123" s="912" t="s">
        <v>193</v>
      </c>
      <c r="AD123" s="912"/>
      <c r="AE123" s="317"/>
    </row>
    <row r="124" spans="2:33" ht="18.95" hidden="1" customHeight="1" x14ac:dyDescent="0.15">
      <c r="B124" s="341" t="b">
        <f t="shared" si="5"/>
        <v>0</v>
      </c>
      <c r="E124" s="466">
        <v>19.5</v>
      </c>
      <c r="AB124" s="917"/>
      <c r="AC124" s="912" t="s">
        <v>194</v>
      </c>
      <c r="AD124" s="912"/>
      <c r="AE124" s="318"/>
    </row>
    <row r="125" spans="2:33" ht="18.95" hidden="1" customHeight="1" x14ac:dyDescent="0.15">
      <c r="B125" s="341" t="b">
        <f t="shared" si="5"/>
        <v>0</v>
      </c>
      <c r="E125" s="466">
        <v>19.5</v>
      </c>
      <c r="AB125" s="917"/>
      <c r="AC125" s="912" t="s">
        <v>195</v>
      </c>
      <c r="AD125" s="912"/>
      <c r="AE125" s="317"/>
    </row>
    <row r="126" spans="2:33" ht="18.95" hidden="1" customHeight="1" x14ac:dyDescent="0.15">
      <c r="B126" s="341" t="b">
        <f t="shared" si="5"/>
        <v>0</v>
      </c>
      <c r="E126" s="466">
        <v>19.5</v>
      </c>
      <c r="AB126" s="917"/>
      <c r="AC126" s="912" t="s">
        <v>196</v>
      </c>
      <c r="AD126" s="912"/>
      <c r="AE126" s="625"/>
    </row>
    <row r="127" spans="2:33" ht="18.95" hidden="1" customHeight="1" x14ac:dyDescent="0.15">
      <c r="B127" s="341" t="b">
        <f t="shared" si="5"/>
        <v>0</v>
      </c>
      <c r="E127" s="466">
        <v>19.5</v>
      </c>
      <c r="AB127" s="917"/>
      <c r="AC127" s="912" t="s">
        <v>213</v>
      </c>
      <c r="AD127" s="912"/>
      <c r="AE127" s="625"/>
    </row>
    <row r="128" spans="2:33" ht="18.95" hidden="1" customHeight="1" x14ac:dyDescent="0.15">
      <c r="B128" s="341" t="b">
        <f t="shared" si="5"/>
        <v>0</v>
      </c>
      <c r="E128" s="466">
        <v>19.5</v>
      </c>
      <c r="AB128" s="917"/>
      <c r="AC128" s="912" t="s">
        <v>214</v>
      </c>
      <c r="AD128" s="912"/>
      <c r="AE128" s="625"/>
    </row>
    <row r="129" spans="2:33" ht="18.95" hidden="1" customHeight="1" x14ac:dyDescent="0.15">
      <c r="B129" s="341" t="b">
        <f t="shared" si="5"/>
        <v>0</v>
      </c>
      <c r="E129" s="466">
        <v>19.5</v>
      </c>
      <c r="W129" s="355" t="b">
        <f>ROW(Y129)&gt;ROW(Y$129)</f>
        <v>0</v>
      </c>
      <c r="Y129" s="25" t="s">
        <v>172</v>
      </c>
      <c r="AA129" s="913" t="s">
        <v>173</v>
      </c>
      <c r="AB129" s="917" t="s">
        <v>192</v>
      </c>
      <c r="AC129" s="912" t="s">
        <v>193</v>
      </c>
      <c r="AD129" s="912"/>
      <c r="AE129" s="317"/>
    </row>
    <row r="130" spans="2:33" ht="18.95" hidden="1" customHeight="1" x14ac:dyDescent="0.15">
      <c r="B130" s="341" t="b">
        <f t="shared" si="5"/>
        <v>0</v>
      </c>
      <c r="E130" s="466">
        <v>19.5</v>
      </c>
      <c r="W130" s="355" t="b" cm="1">
        <f t="array" ref="W130">W129</f>
        <v>0</v>
      </c>
      <c r="AA130" s="913"/>
      <c r="AB130" s="917"/>
      <c r="AC130" s="912" t="s">
        <v>194</v>
      </c>
      <c r="AD130" s="912"/>
      <c r="AE130" s="318"/>
    </row>
    <row r="131" spans="2:33" ht="18.95" hidden="1" customHeight="1" x14ac:dyDescent="0.15">
      <c r="B131" s="341" t="b">
        <f t="shared" si="5"/>
        <v>0</v>
      </c>
      <c r="E131" s="466">
        <v>19.5</v>
      </c>
      <c r="W131" s="355" t="b" cm="1">
        <f t="array" ref="W131">W130</f>
        <v>0</v>
      </c>
      <c r="AA131" s="913"/>
      <c r="AB131" s="917"/>
      <c r="AC131" s="912" t="s">
        <v>195</v>
      </c>
      <c r="AD131" s="912"/>
      <c r="AE131" s="317"/>
    </row>
    <row r="132" spans="2:33" ht="18.95" hidden="1" customHeight="1" x14ac:dyDescent="0.15">
      <c r="B132" s="341" t="b">
        <f t="shared" si="5"/>
        <v>0</v>
      </c>
      <c r="E132" s="466">
        <v>19.5</v>
      </c>
      <c r="W132" s="355" t="b" cm="1">
        <f t="array" ref="W132">W131</f>
        <v>0</v>
      </c>
      <c r="AA132" s="913"/>
      <c r="AB132" s="917"/>
      <c r="AC132" s="912" t="s">
        <v>196</v>
      </c>
      <c r="AD132" s="912"/>
      <c r="AE132" s="625"/>
    </row>
    <row r="133" spans="2:33" ht="18.95" hidden="1" customHeight="1" x14ac:dyDescent="0.15">
      <c r="B133" s="341" t="b">
        <f t="shared" si="5"/>
        <v>0</v>
      </c>
      <c r="E133" s="466">
        <v>19.5</v>
      </c>
      <c r="W133" s="355" t="b" cm="1">
        <f t="array" ref="W133">W132</f>
        <v>0</v>
      </c>
      <c r="AA133" s="913"/>
      <c r="AB133" s="917"/>
      <c r="AC133" s="912" t="s">
        <v>213</v>
      </c>
      <c r="AD133" s="912"/>
      <c r="AE133" s="625"/>
    </row>
    <row r="134" spans="2:33" ht="18.95" hidden="1" customHeight="1" x14ac:dyDescent="0.15">
      <c r="B134" s="341" t="b">
        <f t="shared" si="5"/>
        <v>0</v>
      </c>
      <c r="E134" s="466">
        <v>19.5</v>
      </c>
      <c r="W134" s="355" t="b" cm="1">
        <f t="array" ref="W134">W133</f>
        <v>0</v>
      </c>
      <c r="AA134" s="913"/>
      <c r="AB134" s="917"/>
      <c r="AC134" s="912" t="s">
        <v>214</v>
      </c>
      <c r="AD134" s="912"/>
      <c r="AE134" s="625"/>
    </row>
    <row r="135" spans="2:33" ht="14.65" hidden="1" customHeight="1" x14ac:dyDescent="0.15">
      <c r="B135" s="341" t="b">
        <f t="shared" si="5"/>
        <v>0</v>
      </c>
      <c r="E135" s="466">
        <v>15</v>
      </c>
      <c r="F135" s="25" t="s">
        <v>215</v>
      </c>
      <c r="Y135" s="26" t="s">
        <v>175</v>
      </c>
      <c r="AB135" s="177"/>
      <c r="AC135" s="176"/>
      <c r="AD135" s="176"/>
      <c r="AE135" s="269" t="s">
        <v>176</v>
      </c>
    </row>
    <row r="136" spans="2:33" ht="24.95" customHeight="1" x14ac:dyDescent="0.15">
      <c r="B136" s="341" t="b">
        <f>NOT(method_reg="Метод сравнения аналогов")</f>
        <v>1</v>
      </c>
      <c r="E136" s="466">
        <v>25.5</v>
      </c>
      <c r="F136" s="25" t="s">
        <v>217</v>
      </c>
      <c r="AB136" s="912"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12"/>
      <c r="AD136" s="912"/>
      <c r="AE136" s="291" t="s">
        <v>151</v>
      </c>
      <c r="AF136" s="361"/>
      <c r="AG136" s="25" t="s">
        <v>218</v>
      </c>
    </row>
    <row r="137" spans="2:33" ht="18.95" hidden="1" customHeight="1" x14ac:dyDescent="0.15">
      <c r="B137" s="341" t="b">
        <f t="shared" ref="B137:B149" si="6">AND(NOT(method_reg="Метод сравнения аналогов"),HAS_DOC7="да")</f>
        <v>0</v>
      </c>
      <c r="E137" s="466">
        <v>19.5</v>
      </c>
      <c r="AB137" s="917" t="s">
        <v>192</v>
      </c>
      <c r="AC137" s="912" t="s">
        <v>193</v>
      </c>
      <c r="AD137" s="912"/>
      <c r="AE137" s="317"/>
    </row>
    <row r="138" spans="2:33" ht="18.95" hidden="1" customHeight="1" x14ac:dyDescent="0.15">
      <c r="B138" s="341" t="b">
        <f t="shared" si="6"/>
        <v>0</v>
      </c>
      <c r="E138" s="466">
        <v>19.5</v>
      </c>
      <c r="AB138" s="917"/>
      <c r="AC138" s="912" t="s">
        <v>194</v>
      </c>
      <c r="AD138" s="912"/>
      <c r="AE138" s="317"/>
    </row>
    <row r="139" spans="2:33" ht="18.95" hidden="1" customHeight="1" x14ac:dyDescent="0.15">
      <c r="B139" s="341" t="b">
        <f t="shared" si="6"/>
        <v>0</v>
      </c>
      <c r="E139" s="466">
        <v>19.5</v>
      </c>
      <c r="AB139" s="917"/>
      <c r="AC139" s="912" t="s">
        <v>195</v>
      </c>
      <c r="AD139" s="912"/>
      <c r="AE139" s="317"/>
    </row>
    <row r="140" spans="2:33" ht="18.95" hidden="1" customHeight="1" x14ac:dyDescent="0.15">
      <c r="B140" s="341" t="b">
        <f t="shared" si="6"/>
        <v>0</v>
      </c>
      <c r="E140" s="466">
        <v>19.5</v>
      </c>
      <c r="AB140" s="917"/>
      <c r="AC140" s="912" t="s">
        <v>196</v>
      </c>
      <c r="AD140" s="912"/>
      <c r="AE140" s="625"/>
    </row>
    <row r="141" spans="2:33" ht="18.95" hidden="1" customHeight="1" x14ac:dyDescent="0.15">
      <c r="B141" s="341" t="b">
        <f t="shared" si="6"/>
        <v>0</v>
      </c>
      <c r="E141" s="466">
        <v>19.5</v>
      </c>
      <c r="AB141" s="917"/>
      <c r="AC141" s="912" t="s">
        <v>219</v>
      </c>
      <c r="AD141" s="912"/>
      <c r="AE141" s="625"/>
    </row>
    <row r="142" spans="2:33" ht="18.95" hidden="1" customHeight="1" x14ac:dyDescent="0.15">
      <c r="B142" s="341" t="b">
        <f t="shared" si="6"/>
        <v>0</v>
      </c>
      <c r="E142" s="466">
        <v>19.5</v>
      </c>
      <c r="AB142" s="917"/>
      <c r="AC142" s="912" t="s">
        <v>220</v>
      </c>
      <c r="AD142" s="912"/>
      <c r="AE142" s="625"/>
    </row>
    <row r="143" spans="2:33" ht="18.95" hidden="1" customHeight="1" x14ac:dyDescent="0.15">
      <c r="B143" s="341" t="b">
        <f t="shared" si="6"/>
        <v>0</v>
      </c>
      <c r="E143" s="466">
        <v>19.5</v>
      </c>
      <c r="W143" s="355" t="b">
        <f>ROW(Y143)&gt;ROW(Y$143)</f>
        <v>0</v>
      </c>
      <c r="Y143" s="25" t="s">
        <v>172</v>
      </c>
      <c r="AA143" s="913" t="s">
        <v>173</v>
      </c>
      <c r="AB143" s="917" t="s">
        <v>192</v>
      </c>
      <c r="AC143" s="912" t="s">
        <v>193</v>
      </c>
      <c r="AD143" s="912"/>
      <c r="AE143" s="317"/>
    </row>
    <row r="144" spans="2:33" ht="18.95" hidden="1" customHeight="1" x14ac:dyDescent="0.15">
      <c r="B144" s="341" t="b">
        <f t="shared" si="6"/>
        <v>0</v>
      </c>
      <c r="E144" s="466">
        <v>19.5</v>
      </c>
      <c r="W144" s="355" t="b" cm="1">
        <f t="array" ref="W144">W143</f>
        <v>0</v>
      </c>
      <c r="AA144" s="913"/>
      <c r="AB144" s="917"/>
      <c r="AC144" s="912" t="s">
        <v>194</v>
      </c>
      <c r="AD144" s="912"/>
      <c r="AE144" s="318"/>
    </row>
    <row r="145" spans="2:33" ht="18.95" hidden="1" customHeight="1" x14ac:dyDescent="0.15">
      <c r="B145" s="341" t="b">
        <f t="shared" si="6"/>
        <v>0</v>
      </c>
      <c r="E145" s="466">
        <v>19.5</v>
      </c>
      <c r="W145" s="355" t="b" cm="1">
        <f t="array" ref="W145">W144</f>
        <v>0</v>
      </c>
      <c r="AA145" s="913"/>
      <c r="AB145" s="917"/>
      <c r="AC145" s="912" t="s">
        <v>195</v>
      </c>
      <c r="AD145" s="912"/>
      <c r="AE145" s="317"/>
    </row>
    <row r="146" spans="2:33" ht="18.95" hidden="1" customHeight="1" x14ac:dyDescent="0.15">
      <c r="B146" s="341" t="b">
        <f t="shared" si="6"/>
        <v>0</v>
      </c>
      <c r="E146" s="466">
        <v>19.5</v>
      </c>
      <c r="W146" s="355" t="b" cm="1">
        <f t="array" ref="W146">W145</f>
        <v>0</v>
      </c>
      <c r="AA146" s="913"/>
      <c r="AB146" s="917"/>
      <c r="AC146" s="912" t="s">
        <v>196</v>
      </c>
      <c r="AD146" s="912"/>
      <c r="AE146" s="625"/>
    </row>
    <row r="147" spans="2:33" ht="18.95" hidden="1" customHeight="1" x14ac:dyDescent="0.15">
      <c r="B147" s="341" t="b">
        <f t="shared" si="6"/>
        <v>0</v>
      </c>
      <c r="E147" s="466">
        <v>19.5</v>
      </c>
      <c r="W147" s="355" t="b" cm="1">
        <f t="array" ref="W147">W146</f>
        <v>0</v>
      </c>
      <c r="AA147" s="913"/>
      <c r="AB147" s="917"/>
      <c r="AC147" s="912" t="s">
        <v>219</v>
      </c>
      <c r="AD147" s="912"/>
      <c r="AE147" s="625"/>
    </row>
    <row r="148" spans="2:33" ht="18.95" hidden="1" customHeight="1" x14ac:dyDescent="0.15">
      <c r="B148" s="341" t="b">
        <f t="shared" si="6"/>
        <v>0</v>
      </c>
      <c r="E148" s="466">
        <v>19.5</v>
      </c>
      <c r="W148" s="355" t="b" cm="1">
        <f t="array" ref="W148">W147</f>
        <v>0</v>
      </c>
      <c r="AA148" s="913"/>
      <c r="AB148" s="917"/>
      <c r="AC148" s="912" t="s">
        <v>220</v>
      </c>
      <c r="AD148" s="912"/>
      <c r="AE148" s="625"/>
    </row>
    <row r="149" spans="2:33" ht="14.65" hidden="1" customHeight="1" x14ac:dyDescent="0.15">
      <c r="B149" s="341" t="b">
        <f t="shared" si="6"/>
        <v>0</v>
      </c>
      <c r="E149" s="466">
        <v>15</v>
      </c>
      <c r="F149" s="25" t="s">
        <v>217</v>
      </c>
      <c r="Y149" s="26" t="s">
        <v>175</v>
      </c>
      <c r="AB149" s="177"/>
      <c r="AC149" s="176"/>
      <c r="AD149" s="176"/>
      <c r="AE149" s="269" t="s">
        <v>176</v>
      </c>
    </row>
    <row r="150" spans="2:33" ht="18.95" customHeight="1" x14ac:dyDescent="0.15">
      <c r="B150" s="25"/>
      <c r="E150" s="466">
        <v>19.5</v>
      </c>
      <c r="AB150" s="912" t="s">
        <v>221</v>
      </c>
      <c r="AC150" s="912"/>
      <c r="AD150" s="912"/>
      <c r="AE150" s="284"/>
      <c r="AG150" s="25" t="s">
        <v>222</v>
      </c>
    </row>
    <row r="151" spans="2:33" ht="24.95" customHeight="1" x14ac:dyDescent="0.15">
      <c r="B151" s="25"/>
      <c r="E151" s="466">
        <v>25.5</v>
      </c>
      <c r="F151" s="25" t="s">
        <v>168</v>
      </c>
      <c r="AB151" s="912" t="s">
        <v>223</v>
      </c>
      <c r="AC151" s="912"/>
      <c r="AD151" s="912"/>
      <c r="AE151" s="291" t="s">
        <v>151</v>
      </c>
      <c r="AF151" s="361"/>
      <c r="AG151" s="283" t="s">
        <v>224</v>
      </c>
    </row>
    <row r="152" spans="2:33" ht="10.9" customHeight="1" x14ac:dyDescent="0.15">
      <c r="B152" s="25"/>
      <c r="E152" s="466">
        <v>11.25</v>
      </c>
      <c r="AE152" s="59" t="s">
        <v>225</v>
      </c>
    </row>
    <row r="153" spans="2:33" ht="18.95" customHeight="1" x14ac:dyDescent="0.15">
      <c r="B153" s="25"/>
      <c r="E153" s="466">
        <v>19.5</v>
      </c>
      <c r="AB153" s="912" t="s">
        <v>226</v>
      </c>
      <c r="AC153" s="912"/>
      <c r="AD153" s="16" t="s">
        <v>227</v>
      </c>
      <c r="AE153" s="284" t="s">
        <v>228</v>
      </c>
      <c r="AG153" s="25" t="s">
        <v>229</v>
      </c>
    </row>
    <row r="154" spans="2:33" ht="18.95" customHeight="1" x14ac:dyDescent="0.15">
      <c r="B154" s="25"/>
      <c r="E154" s="466">
        <v>19.5</v>
      </c>
      <c r="AB154" s="912"/>
      <c r="AC154" s="912"/>
      <c r="AD154" s="16" t="s">
        <v>230</v>
      </c>
      <c r="AE154" s="284" t="s">
        <v>231</v>
      </c>
      <c r="AG154" s="25" t="s">
        <v>232</v>
      </c>
    </row>
    <row r="155" spans="2:33" ht="18.95" customHeight="1" x14ac:dyDescent="0.15">
      <c r="B155" s="25"/>
      <c r="E155" s="466">
        <v>19.5</v>
      </c>
      <c r="AB155" s="912"/>
      <c r="AC155" s="912"/>
      <c r="AD155" s="16" t="s">
        <v>233</v>
      </c>
      <c r="AE155" s="284" t="s">
        <v>234</v>
      </c>
      <c r="AG155" s="25" t="s">
        <v>235</v>
      </c>
    </row>
    <row r="156" spans="2:33" ht="18.95" customHeight="1" x14ac:dyDescent="0.15">
      <c r="B156" s="25"/>
      <c r="E156" s="466">
        <v>19.5</v>
      </c>
      <c r="AB156" s="912"/>
      <c r="AC156" s="912"/>
      <c r="AD156" s="16" t="s">
        <v>236</v>
      </c>
      <c r="AE156" s="284" t="s">
        <v>237</v>
      </c>
      <c r="AG156" s="25" t="s">
        <v>238</v>
      </c>
    </row>
    <row r="157" spans="2:33" ht="10.9" customHeight="1" x14ac:dyDescent="0.15">
      <c r="B157" s="25"/>
      <c r="E157" s="466">
        <v>11.25</v>
      </c>
      <c r="AB157" s="117"/>
      <c r="AC157" s="117"/>
      <c r="AD157" s="117"/>
      <c r="AE157" s="209"/>
    </row>
    <row r="158" spans="2:33" ht="14.65" customHeight="1" x14ac:dyDescent="0.15">
      <c r="B158" s="25"/>
      <c r="E158" s="466">
        <v>15</v>
      </c>
      <c r="AB158" s="941" t="s">
        <v>239</v>
      </c>
      <c r="AC158" s="941"/>
      <c r="AD158" s="941"/>
      <c r="AE158" s="941"/>
    </row>
    <row r="159" spans="2:33" ht="14.65" customHeight="1" x14ac:dyDescent="0.15">
      <c r="B159" s="25"/>
      <c r="E159" s="466">
        <v>15</v>
      </c>
      <c r="AB159" s="942" t="s">
        <v>240</v>
      </c>
      <c r="AC159" s="942"/>
      <c r="AD159" s="942"/>
      <c r="AE159" s="942"/>
      <c r="AF159" s="362"/>
    </row>
    <row r="160" spans="2:33" ht="14.65" customHeight="1" x14ac:dyDescent="0.15">
      <c r="B160" s="25"/>
      <c r="E160" s="466">
        <v>15</v>
      </c>
      <c r="AB160" s="940" t="s">
        <v>241</v>
      </c>
      <c r="AC160" s="940"/>
      <c r="AD160" s="940"/>
      <c r="AE160" s="940"/>
      <c r="AF160" s="362"/>
    </row>
    <row r="161" spans="2:38" ht="14.65" customHeight="1" x14ac:dyDescent="0.15">
      <c r="B161" s="25"/>
      <c r="E161" s="466">
        <v>15</v>
      </c>
      <c r="AB161" s="940" t="s">
        <v>242</v>
      </c>
      <c r="AC161" s="940"/>
      <c r="AD161" s="940"/>
      <c r="AE161" s="940"/>
      <c r="AF161" s="362"/>
    </row>
    <row r="162" spans="2:38" ht="14.65" customHeight="1" x14ac:dyDescent="0.15">
      <c r="B162" s="25"/>
      <c r="E162" s="466">
        <v>15</v>
      </c>
      <c r="AB162" s="940" t="s">
        <v>243</v>
      </c>
      <c r="AC162" s="940"/>
      <c r="AD162" s="940"/>
      <c r="AE162" s="940"/>
      <c r="AF162" s="362"/>
    </row>
    <row r="163" spans="2:38" ht="14.65" customHeight="1" x14ac:dyDescent="0.15">
      <c r="B163" s="25"/>
      <c r="E163" s="466">
        <v>15</v>
      </c>
      <c r="AB163" s="940" t="s">
        <v>244</v>
      </c>
      <c r="AC163" s="940"/>
      <c r="AD163" s="940"/>
      <c r="AE163" s="940"/>
      <c r="AF163" s="362"/>
    </row>
    <row r="164" spans="2:38" ht="26.65" customHeight="1" x14ac:dyDescent="0.15">
      <c r="B164" s="25"/>
      <c r="E164" s="466">
        <v>27.25</v>
      </c>
      <c r="AB164" s="940" t="s">
        <v>245</v>
      </c>
      <c r="AC164" s="940"/>
      <c r="AD164" s="940"/>
      <c r="AE164" s="940"/>
      <c r="AF164" s="363"/>
    </row>
    <row r="165" spans="2:38" ht="14.65" customHeight="1" x14ac:dyDescent="0.15">
      <c r="B165" s="25"/>
      <c r="E165" s="466">
        <v>15</v>
      </c>
      <c r="AB165" s="940" t="s">
        <v>246</v>
      </c>
      <c r="AC165" s="940"/>
      <c r="AD165" s="940"/>
      <c r="AE165" s="940"/>
      <c r="AF165" s="362"/>
    </row>
    <row r="166" spans="2:38" ht="26.65" customHeight="1" x14ac:dyDescent="0.15">
      <c r="B166" s="25"/>
      <c r="E166" s="466">
        <v>27.25</v>
      </c>
      <c r="AB166" s="940" t="s">
        <v>247</v>
      </c>
      <c r="AC166" s="940"/>
      <c r="AD166" s="940"/>
      <c r="AE166" s="940"/>
      <c r="AF166" s="363"/>
    </row>
    <row r="167" spans="2:38" ht="14.65" customHeight="1" x14ac:dyDescent="0.15">
      <c r="B167" s="25"/>
      <c r="E167" s="466">
        <v>15</v>
      </c>
      <c r="AB167" s="940" t="s">
        <v>248</v>
      </c>
      <c r="AC167" s="940"/>
      <c r="AD167" s="940"/>
      <c r="AE167" s="940"/>
      <c r="AF167" s="362"/>
    </row>
    <row r="168" spans="2:38" ht="14.65" customHeight="1" x14ac:dyDescent="0.15">
      <c r="B168" s="25"/>
      <c r="E168" s="466">
        <v>15</v>
      </c>
      <c r="AB168" s="940" t="s">
        <v>249</v>
      </c>
      <c r="AC168" s="940"/>
      <c r="AD168" s="940"/>
      <c r="AE168" s="940"/>
      <c r="AF168" s="362"/>
    </row>
    <row r="169" spans="2:38" ht="26.65" customHeight="1" x14ac:dyDescent="0.15">
      <c r="B169" s="25"/>
      <c r="E169" s="466">
        <v>27.25</v>
      </c>
      <c r="AB169" s="940" t="s">
        <v>250</v>
      </c>
      <c r="AC169" s="940"/>
      <c r="AD169" s="940"/>
      <c r="AE169" s="940"/>
      <c r="AF169" s="363"/>
    </row>
    <row r="170" spans="2:38" ht="35.1" customHeight="1" x14ac:dyDescent="0.15">
      <c r="B170" s="25"/>
      <c r="E170" s="466">
        <v>36</v>
      </c>
      <c r="AB170" s="940" t="s">
        <v>251</v>
      </c>
      <c r="AC170" s="940"/>
      <c r="AD170" s="940"/>
      <c r="AE170" s="940"/>
      <c r="AF170" s="363"/>
    </row>
    <row r="171" spans="2:38" ht="14.65" customHeight="1" x14ac:dyDescent="0.15">
      <c r="B171" s="25"/>
      <c r="E171" s="466">
        <v>15</v>
      </c>
      <c r="W171" s="355" t="b">
        <f>NOT(method_reg="Метод сравнения аналогов")</f>
        <v>1</v>
      </c>
      <c r="AB171" s="940" t="s">
        <v>252</v>
      </c>
      <c r="AC171" s="940"/>
      <c r="AD171" s="940"/>
      <c r="AE171" s="940"/>
      <c r="AF171" s="362"/>
    </row>
    <row r="172" spans="2:38" ht="14.65" customHeight="1" x14ac:dyDescent="0.15">
      <c r="B172" s="25"/>
      <c r="E172" s="466">
        <v>15</v>
      </c>
      <c r="AB172" s="950" t="str">
        <f>IF(W171,"14","13")&amp;". Иные нормативные правовые акты Российской Федерации."</f>
        <v>14. Иные нормативные правовые акты Российской Федерации.</v>
      </c>
      <c r="AC172" s="950"/>
      <c r="AD172" s="950"/>
      <c r="AE172" s="950"/>
      <c r="AF172" s="362"/>
    </row>
    <row r="173" spans="2:38" ht="11.65" customHeight="1" x14ac:dyDescent="0.15">
      <c r="B173" s="25"/>
      <c r="E173" s="466">
        <v>12</v>
      </c>
      <c r="AD173" s="468" t="b">
        <f>COUNTIF(AE193:AE236,"Водоснабжение")&gt;0</f>
        <v>1</v>
      </c>
      <c r="AE173" s="468" t="b">
        <f>COUNTIF(AE193:AE236,"Водоотведение")&gt;0</f>
        <v>1</v>
      </c>
      <c r="AF173" s="469" t="b">
        <f>COUNTIF(AE193:AE236,"Транспортировка воды")&gt;0</f>
        <v>0</v>
      </c>
      <c r="AG173" s="470" t="b">
        <f>COUNTIF(AE193:AE236,"Транспортировка сточных вод")&gt;0</f>
        <v>1</v>
      </c>
    </row>
    <row r="174" spans="2:38" ht="18.95" customHeight="1" x14ac:dyDescent="0.15">
      <c r="B174" s="25"/>
      <c r="E174" s="466">
        <v>19.5</v>
      </c>
      <c r="AB174" s="951" t="s">
        <v>253</v>
      </c>
      <c r="AC174" s="951"/>
      <c r="AD174" s="951"/>
      <c r="AE174" s="952"/>
      <c r="AF174" s="359"/>
      <c r="AG174" s="30"/>
      <c r="AH174" s="30"/>
      <c r="AI174" s="30"/>
      <c r="AJ174" s="30"/>
      <c r="AK174" s="30"/>
      <c r="AL174" s="26"/>
    </row>
    <row r="175" spans="2:38" ht="24.95" customHeight="1" x14ac:dyDescent="0.15">
      <c r="B175" s="25"/>
      <c r="E175" s="466">
        <v>25.5</v>
      </c>
      <c r="AB175" s="949" t="s">
        <v>254</v>
      </c>
      <c r="AC175" s="949"/>
      <c r="AD175" s="949"/>
      <c r="AE175" s="426" t="s">
        <v>151</v>
      </c>
      <c r="AF175" s="361"/>
      <c r="AG175" s="30" t="s">
        <v>255</v>
      </c>
      <c r="AH175" s="30"/>
      <c r="AI175" s="30"/>
      <c r="AJ175" s="30"/>
      <c r="AK175" s="30"/>
      <c r="AL175" s="26"/>
    </row>
    <row r="176" spans="2:38" ht="18.95" customHeight="1" x14ac:dyDescent="0.15">
      <c r="B176" s="341" t="b">
        <f>FIRST_TIME_REG="нет"</f>
        <v>1</v>
      </c>
      <c r="E176" s="466">
        <v>19.5</v>
      </c>
      <c r="AB176" s="945" t="s">
        <v>256</v>
      </c>
      <c r="AC176" s="946"/>
      <c r="AD176" s="427" t="s">
        <v>194</v>
      </c>
      <c r="AE176" s="285" t="s">
        <v>202</v>
      </c>
      <c r="AG176" s="30" t="s">
        <v>257</v>
      </c>
      <c r="AH176" s="30"/>
      <c r="AI176" s="30"/>
      <c r="AJ176" s="30"/>
      <c r="AK176" s="30"/>
      <c r="AL176" s="26"/>
    </row>
    <row r="177" spans="2:40" ht="18.95" customHeight="1" x14ac:dyDescent="0.15">
      <c r="B177" s="341" t="b">
        <f>FIRST_TIME_REG="нет"</f>
        <v>1</v>
      </c>
      <c r="E177" s="466">
        <v>19.5</v>
      </c>
      <c r="AB177" s="945"/>
      <c r="AC177" s="946"/>
      <c r="AD177" s="293" t="s">
        <v>195</v>
      </c>
      <c r="AE177" s="284" t="s">
        <v>258</v>
      </c>
      <c r="AG177" s="25" t="s">
        <v>259</v>
      </c>
    </row>
    <row r="178" spans="2:40" ht="18.95" customHeight="1" x14ac:dyDescent="0.15">
      <c r="B178" s="341" t="b">
        <f>FIRST_TIME_REG="нет"</f>
        <v>1</v>
      </c>
      <c r="E178" s="466">
        <v>19.5</v>
      </c>
      <c r="AB178" s="947"/>
      <c r="AC178" s="948"/>
      <c r="AD178" s="293" t="s">
        <v>196</v>
      </c>
      <c r="AE178" s="319">
        <v>45554</v>
      </c>
      <c r="AG178" s="25" t="s">
        <v>260</v>
      </c>
    </row>
    <row r="179" spans="2:40" ht="19.899999999999999" customHeight="1" x14ac:dyDescent="0.15">
      <c r="B179" s="25"/>
      <c r="E179" s="466">
        <v>20.5</v>
      </c>
      <c r="F179" s="86" t="s">
        <v>261</v>
      </c>
      <c r="AB179" s="953" t="s">
        <v>262</v>
      </c>
      <c r="AC179" s="954"/>
      <c r="AD179" s="369"/>
      <c r="AE179" s="370"/>
      <c r="AF179" s="315"/>
      <c r="AG179" s="315"/>
      <c r="AN179" s="25" t="s">
        <v>263</v>
      </c>
    </row>
    <row r="180" spans="2:40" ht="18.2" hidden="1" customHeight="1" x14ac:dyDescent="0.15">
      <c r="B180" s="25"/>
      <c r="E180" s="466">
        <v>18.75</v>
      </c>
      <c r="F180" s="25" cm="1">
        <f t="array" ref="F180">Z180</f>
        <v>0</v>
      </c>
      <c r="V180" s="166" cm="1">
        <f t="array" ref="V180">AE181</f>
        <v>0</v>
      </c>
      <c r="W180" s="355" t="b">
        <f>Z180&gt;0</f>
        <v>0</v>
      </c>
      <c r="X180" s="25" t="s">
        <v>264</v>
      </c>
      <c r="Z180" s="943">
        <v>0</v>
      </c>
      <c r="AA180" s="961"/>
      <c r="AB180" s="955"/>
      <c r="AC180" s="956"/>
      <c r="AD180" s="299" t="str">
        <f>"Тариф "&amp;Z180</f>
        <v>Тариф 0</v>
      </c>
      <c r="AE180" s="300"/>
      <c r="AF180" s="944" t="s">
        <v>173</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600" t="str" cm="1">
        <f t="array" ref="AL180">AE190</f>
        <v/>
      </c>
      <c r="AM180" s="376" cm="1">
        <f t="array" ref="AM180">AE191</f>
        <v>0</v>
      </c>
      <c r="AN180" s="25" t="b">
        <f>IF(ISERR(SEARCH("трансп",AI180)),FALSE,TRUE)</f>
        <v>0</v>
      </c>
    </row>
    <row r="181" spans="2:40" ht="16.149999999999999" hidden="1" customHeight="1" x14ac:dyDescent="0.15">
      <c r="B181" s="25"/>
      <c r="E181" s="466">
        <v>16.5</v>
      </c>
      <c r="F181" s="25" cm="1">
        <f t="array" ref="F181">F180</f>
        <v>0</v>
      </c>
      <c r="V181" s="166"/>
      <c r="W181" s="355" t="b" cm="1">
        <f t="array" ref="W181">W180</f>
        <v>0</v>
      </c>
      <c r="Z181" s="943"/>
      <c r="AA181" s="961"/>
      <c r="AB181" s="955"/>
      <c r="AC181" s="956"/>
      <c r="AD181" s="295" t="s">
        <v>265</v>
      </c>
      <c r="AE181" s="292"/>
      <c r="AF181" s="944"/>
    </row>
    <row r="182" spans="2:40" ht="16.149999999999999" hidden="1" customHeight="1" x14ac:dyDescent="0.15">
      <c r="B182" s="25"/>
      <c r="E182" s="466">
        <v>16.5</v>
      </c>
      <c r="F182" s="25" cm="1">
        <f t="array" ref="F182">F181</f>
        <v>0</v>
      </c>
      <c r="V182" s="166"/>
      <c r="W182" s="355" t="b" cm="1">
        <f t="array" ref="W182">W181</f>
        <v>0</v>
      </c>
      <c r="Z182" s="943"/>
      <c r="AA182" s="961"/>
      <c r="AB182" s="955"/>
      <c r="AC182" s="956"/>
      <c r="AD182" s="295" t="s">
        <v>266</v>
      </c>
      <c r="AE182" s="810"/>
      <c r="AF182" s="944"/>
    </row>
    <row r="183" spans="2:40" ht="16.149999999999999" hidden="1" customHeight="1" x14ac:dyDescent="0.15">
      <c r="B183" s="25"/>
      <c r="E183" s="466">
        <v>16.5</v>
      </c>
      <c r="F183" s="25" cm="1">
        <f t="array" ref="F183">F182</f>
        <v>0</v>
      </c>
      <c r="V183" s="166"/>
      <c r="W183" s="355" t="b" cm="1">
        <f t="array" ref="W183">W182</f>
        <v>0</v>
      </c>
      <c r="Z183" s="943"/>
      <c r="AA183" s="961"/>
      <c r="AB183" s="955"/>
      <c r="AC183" s="956"/>
      <c r="AD183" s="295" t="s">
        <v>267</v>
      </c>
      <c r="AE183" s="810"/>
      <c r="AF183" s="944"/>
    </row>
    <row r="184" spans="2:40" ht="16.149999999999999" hidden="1" customHeight="1" x14ac:dyDescent="0.15">
      <c r="B184" s="25"/>
      <c r="E184" s="466">
        <v>16.5</v>
      </c>
      <c r="F184" s="25" cm="1">
        <f t="array" ref="F184">F183</f>
        <v>0</v>
      </c>
      <c r="V184" s="166"/>
      <c r="W184" s="355" t="b" cm="1">
        <f t="array" ref="W184">W183</f>
        <v>0</v>
      </c>
      <c r="Z184" s="943"/>
      <c r="AA184" s="961"/>
      <c r="AB184" s="955"/>
      <c r="AC184" s="956"/>
      <c r="AD184" s="295" t="s">
        <v>268</v>
      </c>
      <c r="AE184" s="538"/>
      <c r="AF184" s="944"/>
    </row>
    <row r="185" spans="2:40" ht="16.149999999999999" hidden="1" customHeight="1" x14ac:dyDescent="0.15">
      <c r="B185" s="25"/>
      <c r="E185" s="466">
        <v>16.5</v>
      </c>
      <c r="F185" s="25" cm="1">
        <f t="array" ref="F185">F184</f>
        <v>0</v>
      </c>
      <c r="V185" s="166"/>
      <c r="W185" s="355" t="b" cm="1">
        <f t="array" ref="W185">W184</f>
        <v>0</v>
      </c>
      <c r="Z185" s="943"/>
      <c r="AA185" s="961"/>
      <c r="AB185" s="955"/>
      <c r="AC185" s="956"/>
      <c r="AD185" s="16" t="str">
        <f>IF(AE180="Водоотведение","Вид сточных вод","Вид воды")</f>
        <v>Вид воды</v>
      </c>
      <c r="AE185" s="810"/>
      <c r="AF185" s="944"/>
    </row>
    <row r="186" spans="2:40" ht="16.149999999999999" hidden="1" customHeight="1" x14ac:dyDescent="0.15">
      <c r="B186" s="25"/>
      <c r="E186" s="466">
        <v>16.5</v>
      </c>
      <c r="F186" s="25" cm="1">
        <f t="array" ref="F186">F185</f>
        <v>0</v>
      </c>
      <c r="V186" s="166"/>
      <c r="W186" s="355" t="b" cm="1">
        <f t="array" ref="W186">W185</f>
        <v>0</v>
      </c>
      <c r="Z186" s="943"/>
      <c r="AA186" s="961"/>
      <c r="AB186" s="955"/>
      <c r="AC186" s="956"/>
      <c r="AD186" s="16" t="s">
        <v>269</v>
      </c>
      <c r="AE186" s="538"/>
      <c r="AF186" s="944"/>
    </row>
    <row r="187" spans="2:40" ht="16.149999999999999" hidden="1" customHeight="1" x14ac:dyDescent="0.15">
      <c r="B187" s="341" t="b">
        <f t="shared" ref="B187:B193" si="7">org_declaration="Заявление организации"</f>
        <v>1</v>
      </c>
      <c r="E187" s="466">
        <v>16.5</v>
      </c>
      <c r="F187" s="25" cm="1">
        <f t="array" ref="F187">F186</f>
        <v>0</v>
      </c>
      <c r="V187" s="166"/>
      <c r="W187" s="355" t="b" cm="1">
        <f t="array" ref="W187">W186</f>
        <v>0</v>
      </c>
      <c r="Z187" s="943"/>
      <c r="AA187" s="961"/>
      <c r="AB187" s="955"/>
      <c r="AC187" s="956"/>
      <c r="AD187" s="295" t="s">
        <v>270</v>
      </c>
      <c r="AE187" s="811"/>
      <c r="AF187" s="944"/>
    </row>
    <row r="188" spans="2:40" ht="16.149999999999999" hidden="1" customHeight="1" x14ac:dyDescent="0.15">
      <c r="B188" s="341" t="b">
        <f t="shared" si="7"/>
        <v>1</v>
      </c>
      <c r="E188" s="466">
        <v>16.5</v>
      </c>
      <c r="F188" s="25" cm="1">
        <f t="array" ref="F188">F187</f>
        <v>0</v>
      </c>
      <c r="V188" s="166"/>
      <c r="W188" s="355" t="b" cm="1">
        <f t="array" ref="W188">W187</f>
        <v>0</v>
      </c>
      <c r="Z188" s="943"/>
      <c r="AA188" s="961"/>
      <c r="AB188" s="955"/>
      <c r="AC188" s="956"/>
      <c r="AD188" s="295" t="s">
        <v>271</v>
      </c>
      <c r="AE188" s="812"/>
      <c r="AF188" s="944"/>
    </row>
    <row r="189" spans="2:40" ht="16.149999999999999" hidden="1" customHeight="1" x14ac:dyDescent="0.15">
      <c r="B189" s="341" t="b">
        <f t="shared" si="7"/>
        <v>1</v>
      </c>
      <c r="E189" s="466">
        <v>16.5</v>
      </c>
      <c r="F189" s="25" cm="1">
        <f t="array" ref="F189">F188</f>
        <v>0</v>
      </c>
      <c r="V189" s="166"/>
      <c r="W189" s="355" t="b" cm="1">
        <f t="array" ref="W189">W188</f>
        <v>0</v>
      </c>
      <c r="Z189" s="943"/>
      <c r="AA189" s="961"/>
      <c r="AB189" s="955"/>
      <c r="AC189" s="956"/>
      <c r="AD189" s="295" t="s">
        <v>272</v>
      </c>
      <c r="AE189" s="813"/>
      <c r="AF189" s="944"/>
    </row>
    <row r="190" spans="2:40" ht="16.149999999999999" hidden="1" customHeight="1" x14ac:dyDescent="0.15">
      <c r="B190" s="341" t="b">
        <f t="shared" si="7"/>
        <v>1</v>
      </c>
      <c r="E190" s="466">
        <v>16.5</v>
      </c>
      <c r="F190" s="25" cm="1">
        <f t="array" ref="F190">F189</f>
        <v>0</v>
      </c>
      <c r="V190" s="166"/>
      <c r="W190" s="355" t="b" cm="1">
        <f t="array" ref="W190">W189</f>
        <v>0</v>
      </c>
      <c r="Z190" s="943"/>
      <c r="AA190" s="961"/>
      <c r="AB190" s="955"/>
      <c r="AC190" s="956"/>
      <c r="AD190" s="295" t="s">
        <v>273</v>
      </c>
      <c r="AE190" s="814" t="str">
        <f>IF(ISBLANK(AE192),"",DATE(AE192,7,1))</f>
        <v/>
      </c>
      <c r="AF190" s="944"/>
    </row>
    <row r="191" spans="2:40" ht="16.149999999999999" hidden="1" customHeight="1" x14ac:dyDescent="0.15">
      <c r="B191" s="341" t="b">
        <f t="shared" si="7"/>
        <v>1</v>
      </c>
      <c r="E191" s="466">
        <v>16.5</v>
      </c>
      <c r="F191" s="25" cm="1">
        <f t="array" ref="F191">F190</f>
        <v>0</v>
      </c>
      <c r="V191" s="166"/>
      <c r="W191" s="355" t="b" cm="1">
        <f t="array" ref="W191">W190</f>
        <v>0</v>
      </c>
      <c r="Z191" s="943"/>
      <c r="AA191" s="961"/>
      <c r="AB191" s="955"/>
      <c r="AC191" s="956"/>
      <c r="AD191" s="295" t="s">
        <v>274</v>
      </c>
      <c r="AE191" s="780"/>
      <c r="AF191" s="944"/>
    </row>
    <row r="192" spans="2:40" ht="21.95" hidden="1" customHeight="1" x14ac:dyDescent="0.15">
      <c r="B192" s="341" t="b">
        <f t="shared" si="7"/>
        <v>1</v>
      </c>
      <c r="E192" s="466">
        <v>22.5</v>
      </c>
      <c r="F192" s="25" cm="1">
        <f t="array" ref="F192">F191</f>
        <v>0</v>
      </c>
      <c r="V192" s="166"/>
      <c r="W192" s="355" t="b">
        <f>AND(W191,AE191&lt;&gt;"Метод экономически обоснованных расходов",AE191&lt;&gt;"Метод сравнения аналогов")</f>
        <v>0</v>
      </c>
      <c r="Z192" s="943"/>
      <c r="AA192" s="961"/>
      <c r="AB192" s="955"/>
      <c r="AC192" s="956"/>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0"/>
      <c r="AF192" s="944"/>
    </row>
    <row r="193" spans="2:40" ht="16.149999999999999" hidden="1" customHeight="1" x14ac:dyDescent="0.15">
      <c r="B193" s="341" t="b">
        <f t="shared" si="7"/>
        <v>1</v>
      </c>
      <c r="E193" s="466">
        <v>16.5</v>
      </c>
      <c r="F193" s="25" cm="1">
        <f t="array" ref="F193">F192</f>
        <v>0</v>
      </c>
      <c r="V193" s="166"/>
      <c r="W193" s="355" t="b">
        <f>AND(W192,AE191&lt;&gt;"Метод экономически обоснованных расходов",AE191&lt;&gt;"Метод сравнения аналогов")</f>
        <v>0</v>
      </c>
      <c r="Z193" s="943"/>
      <c r="AA193" s="961"/>
      <c r="AB193" s="955"/>
      <c r="AC193" s="956"/>
      <c r="AD193" s="295" t="s">
        <v>106</v>
      </c>
      <c r="AE193" s="780"/>
      <c r="AF193" s="944"/>
    </row>
    <row r="194" spans="2:40" ht="20.65" customHeight="1" x14ac:dyDescent="0.15">
      <c r="B194" s="25"/>
      <c r="E194" s="466">
        <v>18.75</v>
      </c>
      <c r="F194" s="25" t="str" cm="1">
        <f t="array" ref="F194">Z194</f>
        <v>1</v>
      </c>
      <c r="V194" s="166" t="str" cm="1">
        <f t="array" ref="V194">AE195</f>
        <v>ХВС.42.26322867.0003</v>
      </c>
      <c r="W194" s="355" t="b">
        <f>Z194&gt;0</f>
        <v>1</v>
      </c>
      <c r="Z194" s="943" t="s">
        <v>275</v>
      </c>
      <c r="AA194" s="961"/>
      <c r="AB194" s="957"/>
      <c r="AC194" s="958"/>
      <c r="AD194" s="299" t="str">
        <f>"Тариф "&amp;Z194</f>
        <v>Тариф 1</v>
      </c>
      <c r="AE194" s="300" t="s">
        <v>276</v>
      </c>
      <c r="AF194" s="944" t="s">
        <v>173</v>
      </c>
      <c r="AG194" s="25" t="str">
        <f>AD194&amp;" ("&amp;AE194&amp;") - "&amp;AE196&amp;IF(AE200="",""," ("&amp;AE200&amp;")")</f>
        <v>Тариф 1 (Водоснабжение) - тариф на техническую воду</v>
      </c>
      <c r="AH194" s="25" t="str" cm="1">
        <f t="array" ref="AH194">AE199</f>
        <v>техническая вода</v>
      </c>
      <c r="AI194" s="166" t="str" cm="1">
        <f t="array" ref="AI194">AE196</f>
        <v>тариф на техническую воду</v>
      </c>
      <c r="AJ194" s="25" cm="1">
        <f t="array" ref="AJ194">AE200</f>
        <v>0</v>
      </c>
      <c r="AK194" s="25" t="str" cm="1">
        <f t="array" ref="AK194">AE197</f>
        <v>одноставочный</v>
      </c>
      <c r="AL194" s="600" cm="1">
        <f t="array" ref="AL194">AE204</f>
        <v>45474</v>
      </c>
      <c r="AM194" s="376" t="str" cm="1">
        <f t="array" ref="AM194">AE205</f>
        <v>Метод индексации</v>
      </c>
      <c r="AN194" s="25" t="b">
        <f>IF(ISERR(SEARCH("трансп",AI194)),FALSE,TRUE)</f>
        <v>0</v>
      </c>
    </row>
    <row r="195" spans="2:40" ht="21.75" customHeight="1" x14ac:dyDescent="0.15">
      <c r="B195" s="25"/>
      <c r="E195" s="466">
        <v>16.5</v>
      </c>
      <c r="F195" s="25" t="str" cm="1">
        <f t="array" ref="F195">F194</f>
        <v>1</v>
      </c>
      <c r="V195" s="166"/>
      <c r="W195" s="355" t="b" cm="1">
        <f t="array" ref="W195">W194</f>
        <v>1</v>
      </c>
      <c r="Z195" s="943"/>
      <c r="AA195" s="961"/>
      <c r="AB195" s="957"/>
      <c r="AC195" s="958"/>
      <c r="AD195" s="295" t="s">
        <v>265</v>
      </c>
      <c r="AE195" s="292" t="s">
        <v>277</v>
      </c>
      <c r="AF195" s="944"/>
      <c r="AH195" s="25">
        <v>8742570295</v>
      </c>
    </row>
    <row r="196" spans="2:40" ht="20.100000000000001" customHeight="1" x14ac:dyDescent="0.15">
      <c r="B196" s="25"/>
      <c r="E196" s="466">
        <v>16.5</v>
      </c>
      <c r="F196" s="25" t="str" cm="1">
        <f t="array" ref="F196">F195</f>
        <v>1</v>
      </c>
      <c r="V196" s="166"/>
      <c r="W196" s="355" t="b" cm="1">
        <f t="array" ref="W196">W195</f>
        <v>1</v>
      </c>
      <c r="Z196" s="943"/>
      <c r="AA196" s="961"/>
      <c r="AB196" s="957"/>
      <c r="AC196" s="958"/>
      <c r="AD196" s="295" t="s">
        <v>266</v>
      </c>
      <c r="AE196" s="294" t="s">
        <v>278</v>
      </c>
      <c r="AF196" s="944"/>
    </row>
    <row r="197" spans="2:40" ht="20.100000000000001" customHeight="1" x14ac:dyDescent="0.15">
      <c r="B197" s="25"/>
      <c r="E197" s="466">
        <v>16.5</v>
      </c>
      <c r="F197" s="25" t="str" cm="1">
        <f t="array" ref="F197">F196</f>
        <v>1</v>
      </c>
      <c r="V197" s="166"/>
      <c r="W197" s="355" t="b" cm="1">
        <f t="array" ref="W197">W196</f>
        <v>1</v>
      </c>
      <c r="Z197" s="943"/>
      <c r="AA197" s="961"/>
      <c r="AB197" s="957"/>
      <c r="AC197" s="958"/>
      <c r="AD197" s="295" t="s">
        <v>267</v>
      </c>
      <c r="AE197" s="294" t="s">
        <v>279</v>
      </c>
      <c r="AF197" s="944"/>
    </row>
    <row r="198" spans="2:40" ht="25.15" customHeight="1" x14ac:dyDescent="0.15">
      <c r="B198" s="25"/>
      <c r="E198" s="466">
        <v>16.5</v>
      </c>
      <c r="F198" s="25" t="str" cm="1">
        <f t="array" ref="F198">F197</f>
        <v>1</v>
      </c>
      <c r="V198" s="166"/>
      <c r="W198" s="355" t="b" cm="1">
        <f t="array" ref="W198">W197</f>
        <v>1</v>
      </c>
      <c r="Z198" s="943"/>
      <c r="AA198" s="961"/>
      <c r="AB198" s="957"/>
      <c r="AC198" s="958"/>
      <c r="AD198" s="295" t="s">
        <v>268</v>
      </c>
      <c r="AE198" s="538" t="s">
        <v>280</v>
      </c>
      <c r="AF198" s="944"/>
    </row>
    <row r="199" spans="2:40" ht="22.9" customHeight="1" x14ac:dyDescent="0.15">
      <c r="B199" s="25"/>
      <c r="E199" s="466">
        <v>16.5</v>
      </c>
      <c r="F199" s="25" t="str" cm="1">
        <f t="array" ref="F199">F198</f>
        <v>1</v>
      </c>
      <c r="V199" s="166"/>
      <c r="W199" s="355" t="b" cm="1">
        <f t="array" ref="W199">W198</f>
        <v>1</v>
      </c>
      <c r="Z199" s="943"/>
      <c r="AA199" s="961"/>
      <c r="AB199" s="957"/>
      <c r="AC199" s="958"/>
      <c r="AD199" s="16" t="str">
        <f>IF(AE194="Водоотведение","Вид сточных вод","Вид воды")</f>
        <v>Вид воды</v>
      </c>
      <c r="AE199" s="294" t="s">
        <v>281</v>
      </c>
      <c r="AF199" s="944"/>
    </row>
    <row r="200" spans="2:40" ht="18.95" customHeight="1" x14ac:dyDescent="0.15">
      <c r="B200" s="25"/>
      <c r="E200" s="466">
        <v>16.5</v>
      </c>
      <c r="F200" s="25" t="str" cm="1">
        <f t="array" ref="F200">F199</f>
        <v>1</v>
      </c>
      <c r="V200" s="166"/>
      <c r="W200" s="355" t="b" cm="1">
        <f t="array" ref="W200">W199</f>
        <v>1</v>
      </c>
      <c r="Z200" s="943"/>
      <c r="AA200" s="961"/>
      <c r="AB200" s="957"/>
      <c r="AC200" s="958"/>
      <c r="AD200" s="16" t="s">
        <v>269</v>
      </c>
      <c r="AE200" s="538"/>
      <c r="AF200" s="944"/>
    </row>
    <row r="201" spans="2:40" ht="20.65" customHeight="1" x14ac:dyDescent="0.15">
      <c r="B201" s="341" t="b">
        <f t="shared" ref="B201:B207" si="8">org_declaration="Заявление организации"</f>
        <v>1</v>
      </c>
      <c r="E201" s="466">
        <v>16.5</v>
      </c>
      <c r="F201" s="25" t="str" cm="1">
        <f t="array" ref="F201">F200</f>
        <v>1</v>
      </c>
      <c r="V201" s="166"/>
      <c r="W201" s="355" t="b" cm="1">
        <f t="array" ref="W201">W200</f>
        <v>1</v>
      </c>
      <c r="Z201" s="943"/>
      <c r="AA201" s="961"/>
      <c r="AB201" s="957"/>
      <c r="AC201" s="958"/>
      <c r="AD201" s="295" t="s">
        <v>270</v>
      </c>
      <c r="AE201" s="290" t="s">
        <v>282</v>
      </c>
      <c r="AF201" s="944"/>
    </row>
    <row r="202" spans="2:40" ht="21.2" customHeight="1" x14ac:dyDescent="0.15">
      <c r="B202" s="341" t="b">
        <f t="shared" si="8"/>
        <v>1</v>
      </c>
      <c r="E202" s="466">
        <v>16.5</v>
      </c>
      <c r="F202" s="25" t="str" cm="1">
        <f t="array" ref="F202">F201</f>
        <v>1</v>
      </c>
      <c r="V202" s="166"/>
      <c r="W202" s="355" t="b" cm="1">
        <f t="array" ref="W202">W201</f>
        <v>1</v>
      </c>
      <c r="Z202" s="943"/>
      <c r="AA202" s="961"/>
      <c r="AB202" s="957"/>
      <c r="AC202" s="958"/>
      <c r="AD202" s="295" t="s">
        <v>271</v>
      </c>
      <c r="AE202" s="708" t="s">
        <v>283</v>
      </c>
      <c r="AF202" s="944"/>
    </row>
    <row r="203" spans="2:40" ht="71.45" customHeight="1" x14ac:dyDescent="0.15">
      <c r="B203" s="341" t="b">
        <f t="shared" si="8"/>
        <v>1</v>
      </c>
      <c r="E203" s="466">
        <v>16.5</v>
      </c>
      <c r="F203" s="25" t="str" cm="1">
        <f t="array" ref="F203">F202</f>
        <v>1</v>
      </c>
      <c r="V203" s="166"/>
      <c r="W203" s="355" t="b" cm="1">
        <f t="array" ref="W203">W202</f>
        <v>1</v>
      </c>
      <c r="Z203" s="943"/>
      <c r="AA203" s="961"/>
      <c r="AB203" s="957"/>
      <c r="AC203" s="958"/>
      <c r="AD203" s="295" t="s">
        <v>272</v>
      </c>
      <c r="AE203" s="301" t="s">
        <v>284</v>
      </c>
      <c r="AF203" s="944"/>
    </row>
    <row r="204" spans="2:40" ht="18.95" customHeight="1" x14ac:dyDescent="0.15">
      <c r="B204" s="341" t="b">
        <f t="shared" si="8"/>
        <v>1</v>
      </c>
      <c r="E204" s="466">
        <v>16.5</v>
      </c>
      <c r="F204" s="25" t="str" cm="1">
        <f t="array" ref="F204">F203</f>
        <v>1</v>
      </c>
      <c r="V204" s="166"/>
      <c r="W204" s="355" t="b" cm="1">
        <f t="array" ref="W204">W203</f>
        <v>1</v>
      </c>
      <c r="Z204" s="943"/>
      <c r="AA204" s="961"/>
      <c r="AB204" s="957"/>
      <c r="AC204" s="958"/>
      <c r="AD204" s="295" t="s">
        <v>273</v>
      </c>
      <c r="AE204" s="626">
        <f>IF(ISBLANK(AE206),"",DATE(AE206,7,1))</f>
        <v>45474</v>
      </c>
      <c r="AF204" s="944"/>
    </row>
    <row r="205" spans="2:40" ht="18.2" customHeight="1" x14ac:dyDescent="0.15">
      <c r="B205" s="341" t="b">
        <f t="shared" si="8"/>
        <v>1</v>
      </c>
      <c r="E205" s="466">
        <v>16.5</v>
      </c>
      <c r="F205" s="25" t="str" cm="1">
        <f t="array" ref="F205">F204</f>
        <v>1</v>
      </c>
      <c r="V205" s="166"/>
      <c r="W205" s="355" t="b" cm="1">
        <f t="array" ref="W205">W204</f>
        <v>1</v>
      </c>
      <c r="Z205" s="943"/>
      <c r="AA205" s="961"/>
      <c r="AB205" s="957"/>
      <c r="AC205" s="958"/>
      <c r="AD205" s="295" t="s">
        <v>274</v>
      </c>
      <c r="AE205" s="347" t="s">
        <v>103</v>
      </c>
      <c r="AF205" s="944"/>
    </row>
    <row r="206" spans="2:40" ht="21.75" customHeight="1" x14ac:dyDescent="0.15">
      <c r="B206" s="341" t="b">
        <f t="shared" si="8"/>
        <v>1</v>
      </c>
      <c r="E206" s="466">
        <v>22.5</v>
      </c>
      <c r="F206" s="25" t="str" cm="1">
        <f t="array" ref="F206">F205</f>
        <v>1</v>
      </c>
      <c r="V206" s="166"/>
      <c r="W206" s="355" t="b">
        <f>AND(W205,AE205&lt;&gt;"Метод экономически обоснованных расходов",AE205&lt;&gt;"Метод сравнения аналогов")</f>
        <v>1</v>
      </c>
      <c r="Z206" s="943"/>
      <c r="AA206" s="961"/>
      <c r="AB206" s="957"/>
      <c r="AC206" s="958"/>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v>2024</v>
      </c>
      <c r="AF206" s="944"/>
    </row>
    <row r="207" spans="2:40" ht="15.75" customHeight="1" x14ac:dyDescent="0.15">
      <c r="B207" s="341" t="b">
        <f t="shared" si="8"/>
        <v>1</v>
      </c>
      <c r="E207" s="466">
        <v>16.5</v>
      </c>
      <c r="F207" s="25" t="str" cm="1">
        <f t="array" ref="F207">F206</f>
        <v>1</v>
      </c>
      <c r="V207" s="166"/>
      <c r="W207" s="355" t="b">
        <f>AND(W206,AE205&lt;&gt;"Метод экономически обоснованных расходов",AE205&lt;&gt;"Метод сравнения аналогов")</f>
        <v>1</v>
      </c>
      <c r="Z207" s="943"/>
      <c r="AA207" s="961"/>
      <c r="AB207" s="957"/>
      <c r="AC207" s="958"/>
      <c r="AD207" s="295" t="s">
        <v>106</v>
      </c>
      <c r="AE207" s="347">
        <v>5</v>
      </c>
      <c r="AF207" s="944"/>
    </row>
    <row r="208" spans="2:40" ht="21.2" customHeight="1" x14ac:dyDescent="0.15">
      <c r="B208" s="25"/>
      <c r="E208" s="466">
        <v>18.75</v>
      </c>
      <c r="F208" s="25" t="str" cm="1">
        <f t="array" ref="F208">Z208</f>
        <v>2</v>
      </c>
      <c r="V208" s="166" t="str" cm="1">
        <f t="array" ref="V208">AE209</f>
        <v>ВО.42.26322867.0003</v>
      </c>
      <c r="W208" s="355" t="b">
        <f>Z208&gt;0</f>
        <v>1</v>
      </c>
      <c r="Z208" s="943" t="s">
        <v>285</v>
      </c>
      <c r="AA208" s="961"/>
      <c r="AB208" s="957"/>
      <c r="AC208" s="958"/>
      <c r="AD208" s="299" t="str">
        <f>"Тариф "&amp;Z208</f>
        <v>Тариф 2</v>
      </c>
      <c r="AE208" s="300" t="s">
        <v>286</v>
      </c>
      <c r="AF208" s="944" t="s">
        <v>173</v>
      </c>
      <c r="AG208" s="25" t="str">
        <f>AD208&amp;" ("&amp;AE208&amp;") - "&amp;AE210&amp;IF(AE214="",""," ("&amp;AE214&amp;")")</f>
        <v>Тариф 2 (Водоотведение) - тариф на водоотведение</v>
      </c>
      <c r="AH208" s="25" t="str" cm="1">
        <f t="array" ref="AH208">AE213</f>
        <v>хозяйственно-бытовые сточные воды</v>
      </c>
      <c r="AI208" s="166" t="str" cm="1">
        <f t="array" ref="AI208">AE210</f>
        <v>тариф на водоотведение</v>
      </c>
      <c r="AJ208" s="25" cm="1">
        <f t="array" ref="AJ208">AE214</f>
        <v>0</v>
      </c>
      <c r="AK208" s="25" t="str" cm="1">
        <f t="array" ref="AK208">AE211</f>
        <v>одноставочный</v>
      </c>
      <c r="AL208" s="600" cm="1">
        <f t="array" ref="AL208">AE218</f>
        <v>45474</v>
      </c>
      <c r="AM208" s="376" t="str" cm="1">
        <f t="array" ref="AM208">AE219</f>
        <v>Метод индексации</v>
      </c>
      <c r="AN208" s="25" t="b">
        <f>IF(ISERR(SEARCH("трансп",AI208)),FALSE,TRUE)</f>
        <v>0</v>
      </c>
    </row>
    <row r="209" spans="2:40" ht="21.75" customHeight="1" x14ac:dyDescent="0.15">
      <c r="B209" s="25"/>
      <c r="E209" s="466">
        <v>16.5</v>
      </c>
      <c r="F209" s="25" t="str" cm="1">
        <f t="array" ref="F209">F208</f>
        <v>2</v>
      </c>
      <c r="V209" s="166"/>
      <c r="W209" s="355" t="b" cm="1">
        <f t="array" ref="W209">W208</f>
        <v>1</v>
      </c>
      <c r="Z209" s="943"/>
      <c r="AA209" s="961"/>
      <c r="AB209" s="957"/>
      <c r="AC209" s="958"/>
      <c r="AD209" s="295" t="s">
        <v>265</v>
      </c>
      <c r="AE209" s="292" t="s">
        <v>287</v>
      </c>
      <c r="AF209" s="944"/>
      <c r="AH209" s="25">
        <v>8742570295</v>
      </c>
    </row>
    <row r="210" spans="2:40" ht="19.350000000000001" customHeight="1" x14ac:dyDescent="0.15">
      <c r="B210" s="25"/>
      <c r="E210" s="466">
        <v>16.5</v>
      </c>
      <c r="F210" s="25" t="str" cm="1">
        <f t="array" ref="F210">F209</f>
        <v>2</v>
      </c>
      <c r="V210" s="166"/>
      <c r="W210" s="355" t="b" cm="1">
        <f t="array" ref="W210">W209</f>
        <v>1</v>
      </c>
      <c r="Z210" s="943"/>
      <c r="AA210" s="961"/>
      <c r="AB210" s="957"/>
      <c r="AC210" s="958"/>
      <c r="AD210" s="295" t="s">
        <v>266</v>
      </c>
      <c r="AE210" s="294" t="s">
        <v>288</v>
      </c>
      <c r="AF210" s="944"/>
    </row>
    <row r="211" spans="2:40" ht="24.6" customHeight="1" x14ac:dyDescent="0.15">
      <c r="B211" s="25"/>
      <c r="E211" s="466">
        <v>16.5</v>
      </c>
      <c r="F211" s="25" t="str" cm="1">
        <f t="array" ref="F211">F210</f>
        <v>2</v>
      </c>
      <c r="V211" s="166"/>
      <c r="W211" s="355" t="b" cm="1">
        <f t="array" ref="W211">W210</f>
        <v>1</v>
      </c>
      <c r="Z211" s="943"/>
      <c r="AA211" s="961"/>
      <c r="AB211" s="957"/>
      <c r="AC211" s="958"/>
      <c r="AD211" s="295" t="s">
        <v>267</v>
      </c>
      <c r="AE211" s="294" t="s">
        <v>279</v>
      </c>
      <c r="AF211" s="944"/>
    </row>
    <row r="212" spans="2:40" ht="25.15" customHeight="1" x14ac:dyDescent="0.15">
      <c r="B212" s="25"/>
      <c r="E212" s="466">
        <v>16.5</v>
      </c>
      <c r="F212" s="25" t="str" cm="1">
        <f t="array" ref="F212">F211</f>
        <v>2</v>
      </c>
      <c r="V212" s="166"/>
      <c r="W212" s="355" t="b" cm="1">
        <f t="array" ref="W212">W211</f>
        <v>1</v>
      </c>
      <c r="Z212" s="943"/>
      <c r="AA212" s="961"/>
      <c r="AB212" s="957"/>
      <c r="AC212" s="958"/>
      <c r="AD212" s="295" t="s">
        <v>268</v>
      </c>
      <c r="AE212" s="538" t="s">
        <v>289</v>
      </c>
      <c r="AF212" s="944"/>
    </row>
    <row r="213" spans="2:40" ht="26.85" customHeight="1" x14ac:dyDescent="0.15">
      <c r="B213" s="25"/>
      <c r="E213" s="466">
        <v>16.5</v>
      </c>
      <c r="F213" s="25" t="str" cm="1">
        <f t="array" ref="F213">F212</f>
        <v>2</v>
      </c>
      <c r="V213" s="166"/>
      <c r="W213" s="355" t="b" cm="1">
        <f t="array" ref="W213">W212</f>
        <v>1</v>
      </c>
      <c r="Z213" s="943"/>
      <c r="AA213" s="961"/>
      <c r="AB213" s="957"/>
      <c r="AC213" s="958"/>
      <c r="AD213" s="16" t="str">
        <f>IF(AE208="Водоотведение","Вид сточных вод","Вид воды")</f>
        <v>Вид сточных вод</v>
      </c>
      <c r="AE213" s="294" t="s">
        <v>290</v>
      </c>
      <c r="AF213" s="944"/>
    </row>
    <row r="214" spans="2:40" ht="18.95" customHeight="1" x14ac:dyDescent="0.15">
      <c r="B214" s="25"/>
      <c r="E214" s="466">
        <v>16.5</v>
      </c>
      <c r="F214" s="25" t="str" cm="1">
        <f t="array" ref="F214">F213</f>
        <v>2</v>
      </c>
      <c r="V214" s="166"/>
      <c r="W214" s="355" t="b" cm="1">
        <f t="array" ref="W214">W213</f>
        <v>1</v>
      </c>
      <c r="Z214" s="943"/>
      <c r="AA214" s="961"/>
      <c r="AB214" s="957"/>
      <c r="AC214" s="958"/>
      <c r="AD214" s="16" t="s">
        <v>269</v>
      </c>
      <c r="AE214" s="538"/>
      <c r="AF214" s="944"/>
    </row>
    <row r="215" spans="2:40" ht="22.35" customHeight="1" x14ac:dyDescent="0.15">
      <c r="B215" s="341" t="b">
        <f t="shared" ref="B215:B221" si="9">org_declaration="Заявление организации"</f>
        <v>1</v>
      </c>
      <c r="E215" s="466">
        <v>16.5</v>
      </c>
      <c r="F215" s="25" t="str" cm="1">
        <f t="array" ref="F215">F214</f>
        <v>2</v>
      </c>
      <c r="V215" s="166"/>
      <c r="W215" s="355" t="b" cm="1">
        <f t="array" ref="W215">W214</f>
        <v>1</v>
      </c>
      <c r="Z215" s="943"/>
      <c r="AA215" s="961"/>
      <c r="AB215" s="957"/>
      <c r="AC215" s="958"/>
      <c r="AD215" s="295" t="s">
        <v>270</v>
      </c>
      <c r="AE215" s="290" t="s">
        <v>282</v>
      </c>
      <c r="AF215" s="944"/>
    </row>
    <row r="216" spans="2:40" ht="21.75" customHeight="1" x14ac:dyDescent="0.15">
      <c r="B216" s="341" t="b">
        <f t="shared" si="9"/>
        <v>1</v>
      </c>
      <c r="E216" s="466">
        <v>16.5</v>
      </c>
      <c r="F216" s="25" t="str" cm="1">
        <f t="array" ref="F216">F215</f>
        <v>2</v>
      </c>
      <c r="V216" s="166"/>
      <c r="W216" s="355" t="b" cm="1">
        <f t="array" ref="W216">W215</f>
        <v>1</v>
      </c>
      <c r="Z216" s="943"/>
      <c r="AA216" s="961"/>
      <c r="AB216" s="957"/>
      <c r="AC216" s="958"/>
      <c r="AD216" s="295" t="s">
        <v>271</v>
      </c>
      <c r="AE216" s="708" t="s">
        <v>283</v>
      </c>
      <c r="AF216" s="944"/>
    </row>
    <row r="217" spans="2:40" ht="24" customHeight="1" x14ac:dyDescent="0.15">
      <c r="B217" s="341" t="b">
        <f t="shared" si="9"/>
        <v>1</v>
      </c>
      <c r="E217" s="466">
        <v>16.5</v>
      </c>
      <c r="F217" s="25" t="str" cm="1">
        <f t="array" ref="F217">F216</f>
        <v>2</v>
      </c>
      <c r="V217" s="166"/>
      <c r="W217" s="355" t="b" cm="1">
        <f t="array" ref="W217">W216</f>
        <v>1</v>
      </c>
      <c r="Z217" s="943"/>
      <c r="AA217" s="961"/>
      <c r="AB217" s="957"/>
      <c r="AC217" s="958"/>
      <c r="AD217" s="295" t="s">
        <v>272</v>
      </c>
      <c r="AE217" s="301"/>
      <c r="AF217" s="944"/>
    </row>
    <row r="218" spans="2:40" ht="20.65" customHeight="1" x14ac:dyDescent="0.15">
      <c r="B218" s="341" t="b">
        <f t="shared" si="9"/>
        <v>1</v>
      </c>
      <c r="E218" s="466">
        <v>16.5</v>
      </c>
      <c r="F218" s="25" t="str" cm="1">
        <f t="array" ref="F218">F217</f>
        <v>2</v>
      </c>
      <c r="V218" s="166"/>
      <c r="W218" s="355" t="b" cm="1">
        <f t="array" ref="W218">W217</f>
        <v>1</v>
      </c>
      <c r="Z218" s="943"/>
      <c r="AA218" s="961"/>
      <c r="AB218" s="957"/>
      <c r="AC218" s="958"/>
      <c r="AD218" s="295" t="s">
        <v>273</v>
      </c>
      <c r="AE218" s="626">
        <f>IF(ISBLANK(AE220),"",DATE(AE220,7,1))</f>
        <v>45474</v>
      </c>
      <c r="AF218" s="944"/>
    </row>
    <row r="219" spans="2:40" ht="23.45" customHeight="1" x14ac:dyDescent="0.15">
      <c r="B219" s="341" t="b">
        <f t="shared" si="9"/>
        <v>1</v>
      </c>
      <c r="E219" s="466">
        <v>16.5</v>
      </c>
      <c r="F219" s="25" t="str" cm="1">
        <f t="array" ref="F219">F218</f>
        <v>2</v>
      </c>
      <c r="V219" s="166"/>
      <c r="W219" s="355" t="b" cm="1">
        <f t="array" ref="W219">W218</f>
        <v>1</v>
      </c>
      <c r="Z219" s="943"/>
      <c r="AA219" s="961"/>
      <c r="AB219" s="957"/>
      <c r="AC219" s="958"/>
      <c r="AD219" s="295" t="s">
        <v>274</v>
      </c>
      <c r="AE219" s="347" t="s">
        <v>103</v>
      </c>
      <c r="AF219" s="944"/>
    </row>
    <row r="220" spans="2:40" ht="25.7" customHeight="1" x14ac:dyDescent="0.15">
      <c r="B220" s="341" t="b">
        <f t="shared" si="9"/>
        <v>1</v>
      </c>
      <c r="E220" s="466">
        <v>22.5</v>
      </c>
      <c r="F220" s="25" t="str" cm="1">
        <f t="array" ref="F220">F219</f>
        <v>2</v>
      </c>
      <c r="V220" s="166"/>
      <c r="W220" s="355" t="b">
        <f>AND(W219,AE219&lt;&gt;"Метод экономически обоснованных расходов",AE219&lt;&gt;"Метод сравнения аналогов")</f>
        <v>1</v>
      </c>
      <c r="Z220" s="943"/>
      <c r="AA220" s="961"/>
      <c r="AB220" s="957"/>
      <c r="AC220" s="958"/>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7">
        <v>2024</v>
      </c>
      <c r="AF220" s="944"/>
    </row>
    <row r="221" spans="2:40" ht="24" customHeight="1" x14ac:dyDescent="0.15">
      <c r="B221" s="341" t="b">
        <f t="shared" si="9"/>
        <v>1</v>
      </c>
      <c r="E221" s="466">
        <v>16.5</v>
      </c>
      <c r="F221" s="25" t="str" cm="1">
        <f t="array" ref="F221">F220</f>
        <v>2</v>
      </c>
      <c r="V221" s="166"/>
      <c r="W221" s="355" t="b">
        <f>AND(W220,AE219&lt;&gt;"Метод экономически обоснованных расходов",AE219&lt;&gt;"Метод сравнения аналогов")</f>
        <v>1</v>
      </c>
      <c r="Z221" s="943"/>
      <c r="AA221" s="961"/>
      <c r="AB221" s="957"/>
      <c r="AC221" s="958"/>
      <c r="AD221" s="295" t="s">
        <v>106</v>
      </c>
      <c r="AE221" s="347">
        <v>5</v>
      </c>
      <c r="AF221" s="944"/>
    </row>
    <row r="222" spans="2:40" ht="22.35" customHeight="1" x14ac:dyDescent="0.15">
      <c r="B222" s="25"/>
      <c r="E222" s="466">
        <v>18.75</v>
      </c>
      <c r="F222" s="25" t="str" cm="1">
        <f t="array" ref="F222">Z222</f>
        <v>3</v>
      </c>
      <c r="V222" s="166" t="str" cm="1">
        <f t="array" ref="V222">AE223</f>
        <v>ВО.42.26322867.0004</v>
      </c>
      <c r="W222" s="355" t="b">
        <f>Z222&gt;0</f>
        <v>1</v>
      </c>
      <c r="Z222" s="943" t="s">
        <v>291</v>
      </c>
      <c r="AA222" s="961"/>
      <c r="AB222" s="957"/>
      <c r="AC222" s="958"/>
      <c r="AD222" s="299" t="str">
        <f>"Тариф "&amp;Z222</f>
        <v>Тариф 3</v>
      </c>
      <c r="AE222" s="300" t="s">
        <v>286</v>
      </c>
      <c r="AF222" s="944" t="s">
        <v>173</v>
      </c>
      <c r="AG222" s="25" t="str">
        <f>AD222&amp;" ("&amp;AE222&amp;") - "&amp;AE224&amp;IF(AE228="",""," ("&amp;AE228&amp;")")</f>
        <v>Тариф 3 (Водоотведение) - тариф на транспортировку сточных вод</v>
      </c>
      <c r="AH222" s="25" t="str" cm="1">
        <f t="array" ref="AH222">AE227</f>
        <v>без дифференциации</v>
      </c>
      <c r="AI222" s="166" t="str" cm="1">
        <f t="array" ref="AI222">AE224</f>
        <v>тариф на транспортировку сточных вод</v>
      </c>
      <c r="AJ222" s="25" cm="1">
        <f t="array" ref="AJ222">AE228</f>
        <v>0</v>
      </c>
      <c r="AK222" s="25" t="str" cm="1">
        <f t="array" ref="AK222">AE225</f>
        <v>одноставочный</v>
      </c>
      <c r="AL222" s="600" cm="1">
        <f t="array" ref="AL222">AE232</f>
        <v>45474</v>
      </c>
      <c r="AM222" s="376" t="str" cm="1">
        <f t="array" ref="AM222">AE233</f>
        <v>Метод индексации</v>
      </c>
      <c r="AN222" s="25" t="b">
        <f>IF(ISERR(SEARCH("трансп",AI222)),FALSE,TRUE)</f>
        <v>1</v>
      </c>
    </row>
    <row r="223" spans="2:40" ht="21.2" customHeight="1" x14ac:dyDescent="0.15">
      <c r="B223" s="25"/>
      <c r="E223" s="466">
        <v>16.5</v>
      </c>
      <c r="F223" s="25" t="str" cm="1">
        <f t="array" ref="F223">F222</f>
        <v>3</v>
      </c>
      <c r="V223" s="166"/>
      <c r="W223" s="355" t="b" cm="1">
        <f t="array" ref="W223">W222</f>
        <v>1</v>
      </c>
      <c r="Z223" s="943"/>
      <c r="AA223" s="961"/>
      <c r="AB223" s="957"/>
      <c r="AC223" s="958"/>
      <c r="AD223" s="295" t="s">
        <v>265</v>
      </c>
      <c r="AE223" s="292" t="s">
        <v>292</v>
      </c>
      <c r="AF223" s="944"/>
      <c r="AH223" s="25">
        <v>8742570295</v>
      </c>
    </row>
    <row r="224" spans="2:40" ht="20.65" customHeight="1" x14ac:dyDescent="0.15">
      <c r="B224" s="25"/>
      <c r="E224" s="466">
        <v>16.5</v>
      </c>
      <c r="F224" s="25" t="str" cm="1">
        <f t="array" ref="F224">F223</f>
        <v>3</v>
      </c>
      <c r="V224" s="166"/>
      <c r="W224" s="355" t="b" cm="1">
        <f t="array" ref="W224">W223</f>
        <v>1</v>
      </c>
      <c r="Z224" s="943"/>
      <c r="AA224" s="961"/>
      <c r="AB224" s="957"/>
      <c r="AC224" s="958"/>
      <c r="AD224" s="295" t="s">
        <v>266</v>
      </c>
      <c r="AE224" s="297" t="s">
        <v>293</v>
      </c>
      <c r="AF224" s="944"/>
    </row>
    <row r="225" spans="2:33" ht="18.95" customHeight="1" x14ac:dyDescent="0.15">
      <c r="B225" s="25"/>
      <c r="E225" s="466">
        <v>16.5</v>
      </c>
      <c r="F225" s="25" t="str" cm="1">
        <f t="array" ref="F225">F224</f>
        <v>3</v>
      </c>
      <c r="V225" s="166"/>
      <c r="W225" s="355" t="b" cm="1">
        <f t="array" ref="W225">W224</f>
        <v>1</v>
      </c>
      <c r="Z225" s="943"/>
      <c r="AA225" s="961"/>
      <c r="AB225" s="957"/>
      <c r="AC225" s="958"/>
      <c r="AD225" s="295" t="s">
        <v>267</v>
      </c>
      <c r="AE225" s="294" t="s">
        <v>279</v>
      </c>
      <c r="AF225" s="944"/>
    </row>
    <row r="226" spans="2:33" ht="21.75" customHeight="1" x14ac:dyDescent="0.15">
      <c r="B226" s="25"/>
      <c r="E226" s="466">
        <v>16.5</v>
      </c>
      <c r="F226" s="25" t="str" cm="1">
        <f t="array" ref="F226">F225</f>
        <v>3</v>
      </c>
      <c r="V226" s="166"/>
      <c r="W226" s="355" t="b" cm="1">
        <f t="array" ref="W226">W225</f>
        <v>1</v>
      </c>
      <c r="Z226" s="943"/>
      <c r="AA226" s="961"/>
      <c r="AB226" s="957"/>
      <c r="AC226" s="958"/>
      <c r="AD226" s="295" t="s">
        <v>268</v>
      </c>
      <c r="AE226" s="538" t="s">
        <v>294</v>
      </c>
      <c r="AF226" s="944"/>
    </row>
    <row r="227" spans="2:33" ht="22.35" customHeight="1" x14ac:dyDescent="0.15">
      <c r="B227" s="25"/>
      <c r="E227" s="466">
        <v>16.5</v>
      </c>
      <c r="F227" s="25" t="str" cm="1">
        <f t="array" ref="F227">F226</f>
        <v>3</v>
      </c>
      <c r="V227" s="166"/>
      <c r="W227" s="355" t="b" cm="1">
        <f t="array" ref="W227">W226</f>
        <v>1</v>
      </c>
      <c r="Z227" s="943"/>
      <c r="AA227" s="961"/>
      <c r="AB227" s="957"/>
      <c r="AC227" s="958"/>
      <c r="AD227" s="16" t="str">
        <f>IF(AE222="Водоотведение","Вид сточных вод","Вид воды")</f>
        <v>Вид сточных вод</v>
      </c>
      <c r="AE227" s="294" t="s">
        <v>295</v>
      </c>
      <c r="AF227" s="944"/>
    </row>
    <row r="228" spans="2:33" ht="15.95" customHeight="1" x14ac:dyDescent="0.15">
      <c r="B228" s="25"/>
      <c r="E228" s="466">
        <v>16.5</v>
      </c>
      <c r="F228" s="25" t="str" cm="1">
        <f t="array" ref="F228">F227</f>
        <v>3</v>
      </c>
      <c r="V228" s="166"/>
      <c r="W228" s="355" t="b" cm="1">
        <f t="array" ref="W228">W227</f>
        <v>1</v>
      </c>
      <c r="Z228" s="943"/>
      <c r="AA228" s="961"/>
      <c r="AB228" s="957"/>
      <c r="AC228" s="958"/>
      <c r="AD228" s="16" t="s">
        <v>269</v>
      </c>
      <c r="AE228" s="538"/>
      <c r="AF228" s="944"/>
    </row>
    <row r="229" spans="2:33" ht="18.95" customHeight="1" x14ac:dyDescent="0.15">
      <c r="B229" s="341" t="b">
        <f t="shared" ref="B229:B235" si="10">org_declaration="Заявление организации"</f>
        <v>1</v>
      </c>
      <c r="E229" s="466">
        <v>16.5</v>
      </c>
      <c r="F229" s="25" t="str" cm="1">
        <f t="array" ref="F229">F228</f>
        <v>3</v>
      </c>
      <c r="V229" s="166"/>
      <c r="W229" s="355" t="b" cm="1">
        <f t="array" ref="W229">W228</f>
        <v>1</v>
      </c>
      <c r="Z229" s="943"/>
      <c r="AA229" s="961"/>
      <c r="AB229" s="957"/>
      <c r="AC229" s="958"/>
      <c r="AD229" s="295" t="s">
        <v>270</v>
      </c>
      <c r="AE229" s="290" t="s">
        <v>282</v>
      </c>
      <c r="AF229" s="944"/>
    </row>
    <row r="230" spans="2:33" ht="22.35" customHeight="1" x14ac:dyDescent="0.15">
      <c r="B230" s="341" t="b">
        <f t="shared" si="10"/>
        <v>1</v>
      </c>
      <c r="E230" s="466">
        <v>16.5</v>
      </c>
      <c r="F230" s="25" t="str" cm="1">
        <f t="array" ref="F230">F229</f>
        <v>3</v>
      </c>
      <c r="V230" s="166"/>
      <c r="W230" s="355" t="b" cm="1">
        <f t="array" ref="W230">W229</f>
        <v>1</v>
      </c>
      <c r="Z230" s="943"/>
      <c r="AA230" s="961"/>
      <c r="AB230" s="957"/>
      <c r="AC230" s="958"/>
      <c r="AD230" s="295" t="s">
        <v>271</v>
      </c>
      <c r="AE230" s="708" t="s">
        <v>283</v>
      </c>
      <c r="AF230" s="944"/>
    </row>
    <row r="231" spans="2:33" ht="14.25" customHeight="1" x14ac:dyDescent="0.15">
      <c r="B231" s="341" t="b">
        <f t="shared" si="10"/>
        <v>1</v>
      </c>
      <c r="E231" s="466">
        <v>16.5</v>
      </c>
      <c r="F231" s="25" t="str" cm="1">
        <f t="array" ref="F231">F230</f>
        <v>3</v>
      </c>
      <c r="V231" s="166"/>
      <c r="W231" s="355" t="b" cm="1">
        <f t="array" ref="W231">W230</f>
        <v>1</v>
      </c>
      <c r="Z231" s="943"/>
      <c r="AA231" s="961"/>
      <c r="AB231" s="957"/>
      <c r="AC231" s="958"/>
      <c r="AD231" s="295" t="s">
        <v>272</v>
      </c>
      <c r="AE231" s="301"/>
      <c r="AF231" s="944"/>
    </row>
    <row r="232" spans="2:33" ht="15.75" customHeight="1" x14ac:dyDescent="0.15">
      <c r="B232" s="341" t="b">
        <f t="shared" si="10"/>
        <v>1</v>
      </c>
      <c r="E232" s="466">
        <v>16.5</v>
      </c>
      <c r="F232" s="25" t="str" cm="1">
        <f t="array" ref="F232">F231</f>
        <v>3</v>
      </c>
      <c r="V232" s="166"/>
      <c r="W232" s="355" t="b" cm="1">
        <f t="array" ref="W232">W231</f>
        <v>1</v>
      </c>
      <c r="Z232" s="943"/>
      <c r="AA232" s="961"/>
      <c r="AB232" s="957"/>
      <c r="AC232" s="958"/>
      <c r="AD232" s="295" t="s">
        <v>273</v>
      </c>
      <c r="AE232" s="626">
        <f>IF(ISBLANK(AE234),"",DATE(AE234,7,1))</f>
        <v>45474</v>
      </c>
      <c r="AF232" s="944"/>
    </row>
    <row r="233" spans="2:33" ht="15.75" customHeight="1" x14ac:dyDescent="0.15">
      <c r="B233" s="341" t="b">
        <f t="shared" si="10"/>
        <v>1</v>
      </c>
      <c r="E233" s="466">
        <v>16.5</v>
      </c>
      <c r="F233" s="25" t="str" cm="1">
        <f t="array" ref="F233">F232</f>
        <v>3</v>
      </c>
      <c r="V233" s="166"/>
      <c r="W233" s="355" t="b" cm="1">
        <f t="array" ref="W233">W232</f>
        <v>1</v>
      </c>
      <c r="Z233" s="943"/>
      <c r="AA233" s="961"/>
      <c r="AB233" s="957"/>
      <c r="AC233" s="958"/>
      <c r="AD233" s="295" t="s">
        <v>274</v>
      </c>
      <c r="AE233" s="347" t="s">
        <v>103</v>
      </c>
      <c r="AF233" s="944"/>
    </row>
    <row r="234" spans="2:33" ht="23.45" customHeight="1" x14ac:dyDescent="0.15">
      <c r="B234" s="341" t="b">
        <f t="shared" si="10"/>
        <v>1</v>
      </c>
      <c r="E234" s="466">
        <v>22.5</v>
      </c>
      <c r="F234" s="25" t="str" cm="1">
        <f t="array" ref="F234">F233</f>
        <v>3</v>
      </c>
      <c r="V234" s="166"/>
      <c r="W234" s="355" t="b">
        <f>AND(W233,AE233&lt;&gt;"Метод экономически обоснованных расходов",AE233&lt;&gt;"Метод сравнения аналогов")</f>
        <v>1</v>
      </c>
      <c r="Z234" s="943"/>
      <c r="AA234" s="961"/>
      <c r="AB234" s="957"/>
      <c r="AC234" s="958"/>
      <c r="AD234" s="16" t="str">
        <f>IF(OR(AE233="экономически обоснованных расходов (затрат)",AE233="сравнения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34" s="347">
        <v>2024</v>
      </c>
      <c r="AF234" s="944"/>
    </row>
    <row r="235" spans="2:33" ht="23.45" customHeight="1" x14ac:dyDescent="0.15">
      <c r="B235" s="341" t="b">
        <f t="shared" si="10"/>
        <v>1</v>
      </c>
      <c r="E235" s="466">
        <v>16.5</v>
      </c>
      <c r="F235" s="25" t="str" cm="1">
        <f t="array" ref="F235">F234</f>
        <v>3</v>
      </c>
      <c r="V235" s="166"/>
      <c r="W235" s="355" t="b">
        <f>AND(W234,AE233&lt;&gt;"Метод экономически обоснованных расходов",AE233&lt;&gt;"Метод сравнения аналогов")</f>
        <v>1</v>
      </c>
      <c r="Z235" s="943"/>
      <c r="AA235" s="961"/>
      <c r="AB235" s="957"/>
      <c r="AC235" s="958"/>
      <c r="AD235" s="295" t="s">
        <v>106</v>
      </c>
      <c r="AE235" s="347">
        <v>5</v>
      </c>
      <c r="AF235" s="944"/>
    </row>
    <row r="236" spans="2:33" ht="18.95" customHeight="1" x14ac:dyDescent="0.15">
      <c r="E236" s="466">
        <v>19.5</v>
      </c>
      <c r="F236" s="86" t="s">
        <v>296</v>
      </c>
      <c r="X236" s="209" t="s">
        <v>297</v>
      </c>
      <c r="Z236" s="25"/>
      <c r="AB236" s="959"/>
      <c r="AC236" s="960"/>
      <c r="AD236" s="371" t="s">
        <v>298</v>
      </c>
      <c r="AE236" s="175"/>
    </row>
    <row r="237" spans="2:33" ht="18.95" customHeight="1" x14ac:dyDescent="0.15">
      <c r="E237" s="466">
        <v>19.5</v>
      </c>
      <c r="Z237" s="25"/>
      <c r="AB237" s="918" t="s">
        <v>299</v>
      </c>
      <c r="AC237" s="919"/>
      <c r="AD237" s="295" t="s">
        <v>300</v>
      </c>
      <c r="AE237" s="284" t="s">
        <v>301</v>
      </c>
      <c r="AG237" s="25" t="s">
        <v>302</v>
      </c>
    </row>
    <row r="238" spans="2:33" ht="18.95" customHeight="1" x14ac:dyDescent="0.15">
      <c r="E238" s="466">
        <v>19.5</v>
      </c>
      <c r="Z238" s="25"/>
      <c r="AB238" s="918"/>
      <c r="AC238" s="919"/>
      <c r="AD238" s="295" t="s">
        <v>303</v>
      </c>
      <c r="AE238" s="284" t="s">
        <v>304</v>
      </c>
      <c r="AG238" s="25" t="s">
        <v>305</v>
      </c>
    </row>
    <row r="239" spans="2:33" ht="18.95" customHeight="1" x14ac:dyDescent="0.15">
      <c r="E239" s="466">
        <v>19.5</v>
      </c>
      <c r="Z239" s="25"/>
      <c r="AB239" s="918"/>
      <c r="AC239" s="919"/>
      <c r="AD239" s="295" t="s">
        <v>306</v>
      </c>
      <c r="AE239" s="284" t="s">
        <v>307</v>
      </c>
      <c r="AG239" s="25" t="s">
        <v>308</v>
      </c>
    </row>
    <row r="240" spans="2:33" ht="18.95" customHeight="1" x14ac:dyDescent="0.15">
      <c r="E240" s="466">
        <v>19.5</v>
      </c>
      <c r="Z240" s="25"/>
      <c r="AB240" s="918"/>
      <c r="AC240" s="919"/>
      <c r="AD240" s="295" t="s">
        <v>309</v>
      </c>
      <c r="AE240" s="284" t="s">
        <v>310</v>
      </c>
      <c r="AG240" s="25" t="s">
        <v>311</v>
      </c>
    </row>
    <row r="241" spans="1:53" ht="18.95" customHeight="1" x14ac:dyDescent="0.15">
      <c r="E241" s="466">
        <v>19.5</v>
      </c>
      <c r="Z241" s="25"/>
      <c r="AB241" s="918"/>
      <c r="AC241" s="919"/>
      <c r="AD241" s="295" t="s">
        <v>312</v>
      </c>
      <c r="AE241" s="284" t="s">
        <v>313</v>
      </c>
      <c r="AG241" s="25" t="s">
        <v>314</v>
      </c>
    </row>
    <row r="242" spans="1:53" ht="18.95" hidden="1" customHeight="1" x14ac:dyDescent="0.15">
      <c r="E242" s="466">
        <v>19.5</v>
      </c>
      <c r="W242" s="355" t="b">
        <f>ROW(X242)&gt;ROW(X$242)</f>
        <v>0</v>
      </c>
      <c r="X242" s="25" t="s">
        <v>264</v>
      </c>
      <c r="Z242" s="25"/>
      <c r="AB242" s="918"/>
      <c r="AC242" s="919"/>
      <c r="AD242" s="815"/>
      <c r="AE242" s="318"/>
      <c r="AF242" s="465" t="s">
        <v>173</v>
      </c>
    </row>
    <row r="243" spans="1:53" ht="14.65" customHeight="1" x14ac:dyDescent="0.15">
      <c r="E243" s="466">
        <v>15</v>
      </c>
      <c r="X243" s="209" t="s">
        <v>175</v>
      </c>
      <c r="Z243" s="25"/>
      <c r="AB243" s="918"/>
      <c r="AC243" s="919"/>
      <c r="AD243" s="296" t="s">
        <v>315</v>
      </c>
      <c r="AE243" s="269"/>
    </row>
    <row r="244" spans="1:53" ht="18.95" customHeight="1" x14ac:dyDescent="0.15">
      <c r="E244" s="466">
        <v>19.5</v>
      </c>
      <c r="Z244" s="25"/>
      <c r="AB244" s="918"/>
      <c r="AC244" s="919"/>
      <c r="AD244" s="295" t="s">
        <v>316</v>
      </c>
      <c r="AE244" s="297" t="str" cm="1">
        <f t="array" ref="AE244">method_reg</f>
        <v>Метод индексации</v>
      </c>
    </row>
    <row r="245" spans="1:53" ht="18.95" customHeight="1" x14ac:dyDescent="0.15">
      <c r="E245" s="466">
        <v>19.5</v>
      </c>
      <c r="Z245" s="25"/>
      <c r="AB245" s="918"/>
      <c r="AC245" s="919"/>
      <c r="AD245" s="295" t="s">
        <v>104</v>
      </c>
      <c r="AE245" s="298" cm="1">
        <f t="array" ref="AE245">god</f>
        <v>2026</v>
      </c>
    </row>
    <row r="246" spans="1:53" ht="18.95" customHeight="1" x14ac:dyDescent="0.15">
      <c r="B246" s="341" t="b">
        <f>AND(NOT(method_reg="Метод экономически обоснованных расходов"),NOT(method_reg="Метод сравнения аналогов"))</f>
        <v>1</v>
      </c>
      <c r="E246" s="466">
        <v>19.5</v>
      </c>
      <c r="Z246" s="25"/>
      <c r="AB246" s="918"/>
      <c r="AC246" s="919"/>
      <c r="AD246" s="295" t="s">
        <v>105</v>
      </c>
      <c r="AE246" s="298" cm="1">
        <f t="array" ref="AE246">first_year</f>
        <v>2024</v>
      </c>
    </row>
    <row r="247" spans="1:53" ht="18.95" customHeight="1" x14ac:dyDescent="0.15">
      <c r="B247" s="341" t="b">
        <f>AND(NOT(method_reg="Метод экономически обоснованных расходов"),NOT(method_reg="Метод сравнения аналогов"))</f>
        <v>1</v>
      </c>
      <c r="E247" s="466">
        <v>19.5</v>
      </c>
      <c r="Z247" s="25"/>
      <c r="AB247" s="920"/>
      <c r="AC247" s="921"/>
      <c r="AD247" s="295" t="s">
        <v>106</v>
      </c>
      <c r="AE247" s="298" cm="1">
        <f t="array" ref="AE247">PERIOD_LENGTH</f>
        <v>5</v>
      </c>
    </row>
    <row r="248" spans="1:53" ht="37.15" customHeight="1" x14ac:dyDescent="0.15">
      <c r="E248" s="466">
        <v>38</v>
      </c>
      <c r="Z248" s="25"/>
      <c r="AB248" s="922" t="s">
        <v>317</v>
      </c>
      <c r="AC248" s="923"/>
      <c r="AD248" s="924"/>
      <c r="AE248" s="291" t="s">
        <v>160</v>
      </c>
      <c r="AF248" s="361"/>
    </row>
    <row r="249" spans="1:53" ht="10.9" customHeight="1" x14ac:dyDescent="0.15">
      <c r="E249" s="466">
        <v>11.25</v>
      </c>
      <c r="Z249" s="25"/>
      <c r="AF249" s="22"/>
    </row>
    <row r="250" spans="1:53" ht="18.95" customHeight="1" x14ac:dyDescent="0.15">
      <c r="A250"/>
      <c r="B250" s="341" t="b">
        <f>AND(NOT(god=first_year),(method_reg="Метод индексации"))</f>
        <v>1</v>
      </c>
      <c r="C250"/>
      <c r="D250"/>
      <c r="E250" s="467">
        <v>19.5</v>
      </c>
      <c r="F250"/>
      <c r="G250"/>
      <c r="H250"/>
      <c r="I250"/>
      <c r="J250"/>
      <c r="K250"/>
      <c r="L250"/>
      <c r="M250"/>
      <c r="N250"/>
      <c r="O250"/>
      <c r="P250"/>
      <c r="Q250"/>
      <c r="R250"/>
      <c r="S250"/>
      <c r="T250"/>
      <c r="U250"/>
      <c r="V250"/>
      <c r="W250"/>
      <c r="X250" s="306"/>
      <c r="Y250"/>
      <c r="Z250" s="25"/>
      <c r="AA250"/>
      <c r="AB250" s="922" t="s">
        <v>318</v>
      </c>
      <c r="AC250" s="923"/>
      <c r="AD250" s="924"/>
      <c r="AE250" s="352" t="s">
        <v>160</v>
      </c>
      <c r="AF250" s="465"/>
      <c r="AG250" t="s">
        <v>319</v>
      </c>
      <c r="AH250"/>
      <c r="AI250"/>
      <c r="AJ250" s="315"/>
      <c r="AK250" s="315"/>
      <c r="AL250" s="315"/>
      <c r="AM250" s="315"/>
      <c r="AN250" s="315"/>
      <c r="AO250"/>
      <c r="AP250"/>
      <c r="AQ250"/>
      <c r="AR250"/>
      <c r="AS250"/>
      <c r="AT250"/>
      <c r="AU250"/>
      <c r="AV250"/>
      <c r="AW250"/>
      <c r="AX250"/>
      <c r="AY250"/>
      <c r="AZ250"/>
      <c r="BA250"/>
    </row>
    <row r="251" spans="1:53" ht="11.25" customHeight="1" x14ac:dyDescent="0.15">
      <c r="Z251" s="25"/>
      <c r="AF251" s="22"/>
    </row>
  </sheetData>
  <sheetProtection formatColumns="0" formatRows="0" insertRows="0" deleteColumns="0" deleteRows="0" sort="0" autoFilter="0"/>
  <mergeCells count="170">
    <mergeCell ref="Z194:Z207"/>
    <mergeCell ref="AF194:AF207"/>
    <mergeCell ref="AA194:AA207"/>
    <mergeCell ref="Z208:Z221"/>
    <mergeCell ref="AF208:AF221"/>
    <mergeCell ref="AA208:AA221"/>
    <mergeCell ref="Z222:Z235"/>
    <mergeCell ref="AF222:AF235"/>
    <mergeCell ref="AA222:AA235"/>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36"/>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37:AC247"/>
    <mergeCell ref="AB248:AD248"/>
    <mergeCell ref="AB250:AD250"/>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3 AE108 AE84 AE96 AE122 AE136 AE69 AE71:AE72 AE248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48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36"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AE220 AE234"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AE221 AE235" xr:uid="{00000000-0002-0000-0400-000010000000}">
      <formula1>period_list</formula1>
    </dataValidation>
    <dataValidation type="list" allowBlank="1" showInputMessage="1" showErrorMessage="1" errorTitle="Внимание" error="Пожалуйста, выберите значение из списка!" sqref="AE191 AE205 AE219 AE233"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AE211 AE225"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50"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10 AE224" xr:uid="{00000000-0002-0000-0400-00001A000000}">
      <formula1>VOTV_VTARIFF</formula1>
    </dataValidation>
    <dataValidation type="list" allowBlank="1" showInputMessage="1" showErrorMessage="1" errorTitle="Ошибка" error="Выберите значение из списка" sqref="AE213 AE227" xr:uid="{00000000-0002-0000-0400-00001B000000}">
      <formula1>VOTV_VTOV</formula1>
    </dataValidation>
  </dataValidations>
  <hyperlinks>
    <hyperlink ref="AE101" r:id="rId1" xr:uid="{1DBC4FE4-84A7-6208-30C8-C0BB31D94B8A}"/>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E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231B-80A8-4A47-A888-01C0DEA0D9F8}">
  <sheetPr>
    <tabColor theme="3" tint="0.59999389629810485"/>
    <outlinePr summaryBelow="0" summaryRight="0"/>
    <pageSetUpPr fitToPage="1"/>
  </sheetPr>
  <dimension ref="A1:AR42"/>
  <sheetViews>
    <sheetView showGridLines="0" zoomScale="115"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x14ac:dyDescent="0.15"/>
  <cols>
    <col min="1" max="1" width="3.5703125" style="64" hidden="1" customWidth="1"/>
    <col min="2" max="2" width="8.5703125" style="326" hidden="1" customWidth="1"/>
    <col min="3" max="4" width="3.5703125" style="64" hidden="1" customWidth="1"/>
    <col min="5" max="5" width="3.5703125" style="583" hidden="1" customWidth="1"/>
    <col min="6" max="16" width="3.5703125" style="64" hidden="1" customWidth="1"/>
    <col min="17" max="17" width="3.5703125" style="63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320</v>
      </c>
      <c r="G1" s="64" t="s">
        <v>321</v>
      </c>
      <c r="U1" s="355" t="s">
        <v>92</v>
      </c>
      <c r="V1" s="353" t="s">
        <v>97</v>
      </c>
      <c r="W1" s="353" t="s">
        <v>93</v>
      </c>
      <c r="X1" s="353" t="s">
        <v>94</v>
      </c>
      <c r="Y1" s="353" t="s">
        <v>95</v>
      </c>
      <c r="Z1" s="353" t="s">
        <v>99</v>
      </c>
      <c r="AA1" s="355" t="s">
        <v>96</v>
      </c>
      <c r="AB1" s="354" t="s">
        <v>322</v>
      </c>
      <c r="AC1" s="354" t="s">
        <v>98</v>
      </c>
      <c r="AI1" s="64" t="s">
        <v>323</v>
      </c>
      <c r="AJ1" s="64" t="s">
        <v>324</v>
      </c>
      <c r="AK1" s="64" t="s">
        <v>325</v>
      </c>
      <c r="AL1" s="64" t="s">
        <v>326</v>
      </c>
      <c r="AM1" s="64" t="s">
        <v>327</v>
      </c>
      <c r="AN1" s="64" t="s">
        <v>328</v>
      </c>
      <c r="AO1" s="64" t="s">
        <v>329</v>
      </c>
    </row>
    <row r="2" spans="1:41" s="336" customFormat="1" ht="11.25" hidden="1" customHeight="1" x14ac:dyDescent="0.15">
      <c r="A2" s="326"/>
      <c r="B2" s="635" t="s">
        <v>18</v>
      </c>
      <c r="C2" s="326"/>
      <c r="D2" s="326"/>
      <c r="E2" s="326"/>
      <c r="F2" s="326"/>
      <c r="G2" s="326"/>
      <c r="H2" s="326"/>
      <c r="I2" s="326"/>
      <c r="J2" s="326"/>
      <c r="K2" s="326"/>
      <c r="L2" s="326"/>
      <c r="M2" s="326"/>
      <c r="N2" s="326"/>
      <c r="O2" s="326"/>
      <c r="P2" s="326"/>
      <c r="Q2" s="326"/>
      <c r="R2" s="326"/>
      <c r="S2" s="326"/>
      <c r="T2" s="479"/>
      <c r="U2" s="209"/>
      <c r="V2" s="326"/>
      <c r="W2" s="326"/>
      <c r="X2" s="326"/>
      <c r="Y2" s="326"/>
      <c r="Z2" s="326"/>
      <c r="AA2" s="326"/>
      <c r="AI2" s="326"/>
      <c r="AJ2" s="326"/>
      <c r="AK2" s="326"/>
      <c r="AL2" s="326"/>
      <c r="AM2" s="326"/>
      <c r="AN2" s="326"/>
      <c r="AO2" s="326"/>
    </row>
    <row r="3" spans="1:41" ht="11.25" hidden="1" customHeight="1" x14ac:dyDescent="0.15">
      <c r="E3" s="64"/>
    </row>
    <row r="4" spans="1:41" ht="11.25" hidden="1" customHeight="1" x14ac:dyDescent="0.15">
      <c r="E4" s="64"/>
    </row>
    <row r="5" spans="1:41" s="457" customFormat="1" ht="11.25" hidden="1" customHeight="1" x14ac:dyDescent="0.15">
      <c r="A5" s="64"/>
      <c r="B5" s="326"/>
      <c r="C5" s="64"/>
      <c r="D5" s="64"/>
      <c r="E5" s="636" t="s">
        <v>19</v>
      </c>
      <c r="F5" s="583"/>
      <c r="G5" s="583"/>
      <c r="H5" s="583"/>
      <c r="I5" s="583"/>
      <c r="J5" s="583"/>
      <c r="K5" s="583"/>
      <c r="L5" s="583"/>
      <c r="M5" s="583"/>
      <c r="N5" s="583"/>
      <c r="O5" s="583"/>
      <c r="P5" s="583"/>
      <c r="Q5" s="637"/>
      <c r="R5" s="583"/>
      <c r="S5" s="583"/>
      <c r="T5" s="480"/>
      <c r="U5" s="583"/>
      <c r="V5" s="583"/>
      <c r="W5" s="583"/>
      <c r="X5" s="583"/>
      <c r="Y5" s="583"/>
      <c r="Z5" s="583"/>
      <c r="AA5" s="451" t="s">
        <v>291</v>
      </c>
      <c r="AB5" s="466">
        <v>11</v>
      </c>
      <c r="AC5" s="466">
        <v>45</v>
      </c>
      <c r="AD5" s="466">
        <v>45</v>
      </c>
      <c r="AE5" s="466">
        <v>14</v>
      </c>
      <c r="AF5" s="466">
        <v>35</v>
      </c>
      <c r="AG5" s="466">
        <v>35</v>
      </c>
      <c r="AH5" s="457" t="s">
        <v>291</v>
      </c>
      <c r="AI5" s="583"/>
      <c r="AJ5" s="583"/>
      <c r="AK5" s="583"/>
      <c r="AL5" s="583"/>
      <c r="AM5" s="583"/>
      <c r="AN5" s="583"/>
      <c r="AO5" s="583"/>
    </row>
    <row r="6" spans="1:41" ht="11.25" hidden="1" customHeight="1" x14ac:dyDescent="0.15">
      <c r="A6" s="64" t="s">
        <v>330</v>
      </c>
      <c r="AC6" s="20" t="s">
        <v>331</v>
      </c>
      <c r="AD6" s="20" t="s">
        <v>332</v>
      </c>
      <c r="AE6" s="20" t="s">
        <v>333</v>
      </c>
      <c r="AF6" s="33" t="s">
        <v>334</v>
      </c>
      <c r="AG6" s="20" t="s">
        <v>335</v>
      </c>
    </row>
    <row r="7" spans="1:41" s="64" customFormat="1" ht="11.25" hidden="1" customHeight="1" x14ac:dyDescent="0.15">
      <c r="B7" s="326"/>
      <c r="E7" s="583"/>
      <c r="Q7" s="634"/>
      <c r="T7" s="315"/>
      <c r="AE7" s="117"/>
      <c r="AF7" s="117"/>
    </row>
    <row r="8" spans="1:41" s="64" customFormat="1" ht="11.25" hidden="1" customHeight="1" x14ac:dyDescent="0.15">
      <c r="B8" s="326"/>
      <c r="E8" s="583"/>
      <c r="Q8" s="634"/>
      <c r="T8" s="315"/>
      <c r="AE8" s="117"/>
      <c r="AF8" s="117"/>
    </row>
    <row r="9" spans="1:41" s="64" customFormat="1" ht="11.25" hidden="1" customHeight="1" x14ac:dyDescent="0.15">
      <c r="A9" s="64" t="s">
        <v>336</v>
      </c>
      <c r="B9" s="326"/>
      <c r="E9" s="583"/>
      <c r="Q9" s="634"/>
      <c r="T9" s="315"/>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x14ac:dyDescent="0.15">
      <c r="A10" s="64" t="s">
        <v>337</v>
      </c>
      <c r="B10" s="326"/>
      <c r="E10" s="583"/>
      <c r="Q10" s="634"/>
      <c r="T10" s="315"/>
      <c r="AC10" s="64" t="s">
        <v>325</v>
      </c>
      <c r="AD10" s="64" t="s">
        <v>326</v>
      </c>
      <c r="AE10" s="117" t="s">
        <v>327</v>
      </c>
      <c r="AF10" s="117"/>
    </row>
    <row r="11" spans="1:41" s="64" customFormat="1" ht="11.25" hidden="1" customHeight="1" x14ac:dyDescent="0.15">
      <c r="B11" s="326"/>
      <c r="E11" s="583"/>
      <c r="Q11" s="638"/>
      <c r="T11" s="315"/>
      <c r="AE11" s="117"/>
    </row>
    <row r="12" spans="1:41" s="64" customFormat="1" ht="11.25" hidden="1" customHeight="1" x14ac:dyDescent="0.15">
      <c r="B12" s="326"/>
      <c r="E12" s="583"/>
      <c r="Q12" s="638"/>
      <c r="T12" s="315"/>
    </row>
    <row r="13" spans="1:41" s="64" customFormat="1" ht="11.25" hidden="1" customHeight="1" x14ac:dyDescent="0.15">
      <c r="B13" s="326"/>
      <c r="E13" s="583"/>
      <c r="Q13" s="638"/>
      <c r="T13" s="315"/>
    </row>
    <row r="14" spans="1:41" s="64" customFormat="1" ht="11.25" hidden="1" customHeight="1" x14ac:dyDescent="0.15">
      <c r="B14" s="326"/>
      <c r="E14" s="583"/>
      <c r="Q14" s="638"/>
      <c r="T14" s="315"/>
    </row>
    <row r="15" spans="1:41" s="64" customFormat="1" ht="11.25" hidden="1" customHeight="1" x14ac:dyDescent="0.15">
      <c r="B15" s="326"/>
      <c r="E15" s="583"/>
      <c r="Q15" s="638"/>
      <c r="T15" s="315"/>
    </row>
    <row r="16" spans="1:41" s="64" customFormat="1" ht="11.25" hidden="1" customHeight="1" x14ac:dyDescent="0.15">
      <c r="B16" s="326"/>
      <c r="E16" s="583"/>
      <c r="Q16" s="638"/>
      <c r="T16" s="315"/>
    </row>
    <row r="17" spans="5:41" ht="11.25" hidden="1" customHeight="1" x14ac:dyDescent="0.15">
      <c r="Q17" s="638"/>
      <c r="AE17" s="20"/>
      <c r="AF17" s="20"/>
    </row>
    <row r="18" spans="5:41" ht="11.25" hidden="1" customHeight="1" x14ac:dyDescent="0.15">
      <c r="Q18" s="638"/>
      <c r="AC18" s="20" t="s">
        <v>338</v>
      </c>
      <c r="AD18" s="20" t="s">
        <v>339</v>
      </c>
      <c r="AE18" s="20"/>
      <c r="AF18" s="20"/>
    </row>
    <row r="19" spans="5:41" ht="11.25" hidden="1" customHeight="1" x14ac:dyDescent="0.15">
      <c r="Q19" s="638"/>
      <c r="AE19" s="20"/>
      <c r="AF19" s="20"/>
    </row>
    <row r="20" spans="5:41" ht="11.25" hidden="1" customHeight="1" x14ac:dyDescent="0.15">
      <c r="Q20" s="638"/>
      <c r="AE20" s="20"/>
      <c r="AF20" s="20"/>
    </row>
    <row r="21" spans="5:41" ht="15" customHeight="1" x14ac:dyDescent="0.15">
      <c r="E21" s="583" t="s">
        <v>340</v>
      </c>
      <c r="Q21" s="638"/>
      <c r="U21" s="315"/>
      <c r="V21" s="315"/>
      <c r="W21" s="315"/>
      <c r="X21" s="315"/>
      <c r="Y21" s="315"/>
      <c r="Z21" s="315"/>
      <c r="AA21" s="315"/>
      <c r="AB21" s="31"/>
      <c r="AC21" s="267" t="str" cm="1">
        <f t="array" ref="AC21">tpl_title</f>
        <v>Кемеровская область / 2026 / КАО "Азот" (ИНН:4205000908, КПП:997550001) / ДПР: 2024-2028</v>
      </c>
      <c r="AD21" s="31"/>
      <c r="AE21" s="31"/>
      <c r="AF21" s="31"/>
    </row>
    <row r="22" spans="5:41" ht="30" customHeight="1" x14ac:dyDescent="0.15">
      <c r="E22" s="583" t="s">
        <v>341</v>
      </c>
      <c r="Q22" s="638"/>
      <c r="S22" s="315"/>
      <c r="U22" s="315"/>
      <c r="V22" s="315"/>
      <c r="W22" s="315"/>
      <c r="X22" s="315"/>
      <c r="Y22" s="315"/>
      <c r="Z22" s="315"/>
      <c r="AA22" s="315"/>
      <c r="AB22" s="962" t="s">
        <v>34</v>
      </c>
      <c r="AC22" s="963"/>
      <c r="AD22" s="963"/>
      <c r="AE22" s="963"/>
      <c r="AF22" s="963"/>
      <c r="AG22" s="963"/>
    </row>
    <row r="23" spans="5:41" ht="11.25" customHeight="1" x14ac:dyDescent="0.15">
      <c r="E23" s="462" t="s">
        <v>342</v>
      </c>
      <c r="Q23" s="638"/>
      <c r="U23" s="639"/>
      <c r="V23" s="639"/>
      <c r="W23" s="639"/>
      <c r="X23" s="639"/>
      <c r="Y23" s="639"/>
      <c r="Z23" s="639"/>
      <c r="AA23" s="639"/>
      <c r="AB23" s="32"/>
      <c r="AC23" s="32"/>
      <c r="AD23" s="32"/>
      <c r="AG23" s="33"/>
    </row>
    <row r="24" spans="5:41" ht="28.5" customHeight="1" x14ac:dyDescent="0.15">
      <c r="E24" s="583" t="s">
        <v>343</v>
      </c>
      <c r="U24" s="639"/>
      <c r="V24" s="639"/>
      <c r="W24" s="639"/>
      <c r="X24" s="639"/>
      <c r="Y24" s="639"/>
      <c r="Z24" s="639"/>
      <c r="AA24" s="639"/>
      <c r="AB24" s="34" t="s">
        <v>21</v>
      </c>
      <c r="AC24" s="35" t="s">
        <v>338</v>
      </c>
      <c r="AD24" s="35" t="s">
        <v>339</v>
      </c>
      <c r="AE24" s="35" t="s">
        <v>344</v>
      </c>
      <c r="AF24" s="273" t="s">
        <v>345</v>
      </c>
      <c r="AG24" s="36" t="s">
        <v>272</v>
      </c>
    </row>
    <row r="25" spans="5:41" ht="11.25" hidden="1" customHeight="1" x14ac:dyDescent="0.15">
      <c r="E25" s="583">
        <v>0</v>
      </c>
      <c r="U25" s="639"/>
      <c r="V25" s="639"/>
      <c r="W25" s="639"/>
      <c r="X25" s="639"/>
      <c r="Y25" s="639"/>
      <c r="Z25" s="639"/>
      <c r="AA25" s="639"/>
      <c r="AB25" s="522"/>
      <c r="AC25" s="522"/>
      <c r="AD25" s="522"/>
      <c r="AE25" s="522"/>
      <c r="AF25" s="522"/>
      <c r="AG25" s="522"/>
    </row>
    <row r="26" spans="5:41" ht="15" hidden="1" customHeight="1" x14ac:dyDescent="0.15">
      <c r="E26" s="583" t="s">
        <v>340</v>
      </c>
      <c r="F26" s="59" cm="1">
        <f t="array" ref="F26">Y26</f>
        <v>0</v>
      </c>
      <c r="U26" s="355" t="b">
        <f>Y26&gt;0</f>
        <v>0</v>
      </c>
      <c r="V26" s="356"/>
      <c r="W26" s="209" t="s">
        <v>264</v>
      </c>
      <c r="X26" s="356"/>
      <c r="Y26" s="964">
        <v>0</v>
      </c>
      <c r="Z26" s="965"/>
      <c r="AA26" s="640"/>
      <c r="AB26" s="94" t="str" cm="1">
        <f t="array" ref="AB26">INDEX('Общие сведения'!$AG$179:$AG$236,MATCH($Y26,'Общие сведения'!$Z$179:$Z$236,0))</f>
        <v xml:space="preserve">Тариф 0 () - </v>
      </c>
      <c r="AC26" s="88"/>
      <c r="AD26" s="88"/>
      <c r="AE26" s="88"/>
      <c r="AF26" s="88"/>
      <c r="AG26" s="88"/>
    </row>
    <row r="27" spans="5:41" ht="15" hidden="1" customHeight="1" x14ac:dyDescent="0.15">
      <c r="E27" s="583" t="s">
        <v>340</v>
      </c>
      <c r="F27" s="59" cm="1">
        <f t="array" aca="1" ref="F27" ca="1">OFFSET(E27,-1,1)</f>
        <v>0</v>
      </c>
      <c r="G27" s="64" cm="1">
        <f t="array" ref="G27">AB27</f>
        <v>0</v>
      </c>
      <c r="T27" s="641"/>
      <c r="U27" s="355" t="b">
        <f ca="1">AND(F27&gt;0,AB27&gt;0)</f>
        <v>0</v>
      </c>
      <c r="V27" s="45"/>
      <c r="X27" s="517" t="s">
        <v>172</v>
      </c>
      <c r="Y27" s="964"/>
      <c r="Z27" s="965"/>
      <c r="AA27" s="482" t="s">
        <v>173</v>
      </c>
      <c r="AB27" s="473">
        <v>0</v>
      </c>
      <c r="AC27" s="541"/>
      <c r="AD27" s="93"/>
      <c r="AE27" s="93"/>
      <c r="AF27" s="816"/>
      <c r="AG27" s="817"/>
      <c r="AI27" s="64" t="s">
        <v>346</v>
      </c>
      <c r="AJ27" s="64" t="s">
        <v>347</v>
      </c>
      <c r="AK27" s="64" cm="1">
        <f t="array" ref="AK27">AC27</f>
        <v>0</v>
      </c>
      <c r="AL27" s="64" cm="1">
        <f t="array" ref="AL27">AD27</f>
        <v>0</v>
      </c>
      <c r="AM27" s="64" cm="1">
        <f t="array" ref="AM27">AE27</f>
        <v>0</v>
      </c>
      <c r="AO27" s="64" t="b">
        <v>1</v>
      </c>
    </row>
    <row r="28" spans="5:41" ht="15" hidden="1" customHeight="1" x14ac:dyDescent="0.15">
      <c r="E28" s="583" t="s">
        <v>340</v>
      </c>
      <c r="F28" s="59" cm="1">
        <f t="array" aca="1" ref="F28" ca="1">OFFSET(E28,-1,1)</f>
        <v>0</v>
      </c>
      <c r="G28" s="64" t="s">
        <v>348</v>
      </c>
      <c r="P28" s="517"/>
      <c r="U28" s="355" t="b" cm="1">
        <f t="array" ref="U28">U26</f>
        <v>0</v>
      </c>
      <c r="X28" s="517" t="s">
        <v>349</v>
      </c>
      <c r="Y28" s="964"/>
      <c r="Z28" s="965"/>
      <c r="AB28" s="89"/>
      <c r="AC28" s="172" t="s">
        <v>350</v>
      </c>
      <c r="AD28" s="90"/>
      <c r="AE28" s="90"/>
      <c r="AF28" s="90"/>
      <c r="AG28" s="91"/>
      <c r="AN28" s="64" t="s">
        <v>347</v>
      </c>
    </row>
    <row r="29" spans="5:41" ht="21.95" customHeight="1" x14ac:dyDescent="0.15">
      <c r="E29" s="583" t="s">
        <v>340</v>
      </c>
      <c r="F29" s="59" t="str" cm="1">
        <f t="array" ref="F29">Y29</f>
        <v>1</v>
      </c>
      <c r="U29" s="355" t="b">
        <f>Y29&gt;0</f>
        <v>1</v>
      </c>
      <c r="V29" s="356"/>
      <c r="W29" s="209" t="str" cm="1">
        <f t="array" ref="W29">'Общие сведения'!$AG$194</f>
        <v>Тариф 1 (Водоснабжение) - тариф на техническую воду</v>
      </c>
      <c r="X29" s="356"/>
      <c r="Y29" s="964" t="s">
        <v>275</v>
      </c>
      <c r="Z29" s="965"/>
      <c r="AA29" s="640"/>
      <c r="AB29" s="94" t="str" cm="1">
        <f t="array" ref="AB29">'Общие сведения'!$AG$194</f>
        <v>Тариф 1 (Водоснабжение) - тариф на техническую воду</v>
      </c>
      <c r="AC29" s="88"/>
      <c r="AD29" s="88"/>
      <c r="AE29" s="88"/>
      <c r="AF29" s="88"/>
      <c r="AG29" s="88"/>
    </row>
    <row r="30" spans="5:41" ht="15" hidden="1" customHeight="1" x14ac:dyDescent="0.15">
      <c r="E30" s="583" t="s">
        <v>340</v>
      </c>
      <c r="F30" s="59" t="str" cm="1">
        <f t="array" aca="1" ref="F30" ca="1">OFFSET(E30,-1,1)</f>
        <v>1</v>
      </c>
      <c r="G30" s="64" cm="1">
        <f t="array" ref="G30">AB30</f>
        <v>0</v>
      </c>
      <c r="T30" s="641"/>
      <c r="U30" s="355" t="b">
        <f ca="1">AND(F30&gt;0,AB30&gt;0)</f>
        <v>0</v>
      </c>
      <c r="V30" s="45"/>
      <c r="X30" s="517" t="s">
        <v>172</v>
      </c>
      <c r="Y30" s="964"/>
      <c r="Z30" s="965"/>
      <c r="AA30" s="482" t="s">
        <v>173</v>
      </c>
      <c r="AB30" s="473">
        <v>0</v>
      </c>
      <c r="AC30" s="541"/>
      <c r="AD30" s="93"/>
      <c r="AE30" s="93"/>
      <c r="AF30" s="816"/>
      <c r="AG30" s="817"/>
      <c r="AI30" s="64" t="s">
        <v>346</v>
      </c>
      <c r="AJ30" s="64" t="s">
        <v>347</v>
      </c>
      <c r="AK30" s="64" cm="1">
        <f t="array" ref="AK30">AC30</f>
        <v>0</v>
      </c>
      <c r="AL30" s="64" cm="1">
        <f t="array" ref="AL30">AD30</f>
        <v>0</v>
      </c>
      <c r="AM30" s="64" cm="1">
        <f t="array" ref="AM30">AE30</f>
        <v>0</v>
      </c>
      <c r="AO30" s="64" t="b">
        <v>1</v>
      </c>
    </row>
    <row r="31" spans="5:41" ht="23.25" customHeight="1" x14ac:dyDescent="0.15">
      <c r="E31" s="583" t="s">
        <v>340</v>
      </c>
      <c r="F31" s="59" t="str" cm="1">
        <f t="array" aca="1" ref="F31" ca="1">OFFSET(E31,-1,1)</f>
        <v>1</v>
      </c>
      <c r="G31" s="64" t="str" cm="1">
        <f t="array" ref="G31">AB31</f>
        <v>1</v>
      </c>
      <c r="T31" s="641"/>
      <c r="U31" s="355" t="b">
        <f ca="1">AND(F31&gt;0,AB31&gt;0)</f>
        <v>1</v>
      </c>
      <c r="V31" s="45"/>
      <c r="X31" s="517"/>
      <c r="Y31" s="964"/>
      <c r="Z31" s="965"/>
      <c r="AA31" s="482" t="s">
        <v>173</v>
      </c>
      <c r="AB31" s="473" t="s">
        <v>275</v>
      </c>
      <c r="AC31" s="541" t="s">
        <v>351</v>
      </c>
      <c r="AD31" s="93" t="s">
        <v>351</v>
      </c>
      <c r="AE31" s="93" t="s">
        <v>352</v>
      </c>
      <c r="AF31" s="624" t="s">
        <v>353</v>
      </c>
      <c r="AG31" s="109"/>
      <c r="AI31" s="64" t="s">
        <v>346</v>
      </c>
      <c r="AJ31" s="64" t="s">
        <v>347</v>
      </c>
      <c r="AK31" s="64" t="str" cm="1">
        <f t="array" ref="AK31">AC31</f>
        <v>город Кемерово</v>
      </c>
      <c r="AL31" s="64" t="str" cm="1">
        <f t="array" ref="AL31">AD31</f>
        <v>город Кемерово</v>
      </c>
      <c r="AM31" s="64" t="str" cm="1">
        <f t="array" ref="AM31">AE31</f>
        <v>32701000</v>
      </c>
      <c r="AO31" s="64" t="b">
        <v>1</v>
      </c>
    </row>
    <row r="32" spans="5:41" ht="15" customHeight="1" x14ac:dyDescent="0.15">
      <c r="E32" s="583" t="s">
        <v>340</v>
      </c>
      <c r="F32" s="59" t="str" cm="1">
        <f t="array" aca="1" ref="F32" ca="1">OFFSET(E32,-1,1)</f>
        <v>1</v>
      </c>
      <c r="G32" s="64" t="s">
        <v>348</v>
      </c>
      <c r="P32" s="517"/>
      <c r="U32" s="355" t="b" cm="1">
        <f t="array" ref="U32">U29</f>
        <v>1</v>
      </c>
      <c r="X32" s="517" t="s">
        <v>349</v>
      </c>
      <c r="Y32" s="964"/>
      <c r="Z32" s="965"/>
      <c r="AB32" s="89"/>
      <c r="AC32" s="172" t="s">
        <v>350</v>
      </c>
      <c r="AD32" s="90"/>
      <c r="AE32" s="90"/>
      <c r="AF32" s="90"/>
      <c r="AG32" s="91"/>
      <c r="AN32" s="64" t="s">
        <v>347</v>
      </c>
    </row>
    <row r="33" spans="1:44" ht="21.4" customHeight="1" x14ac:dyDescent="0.15">
      <c r="E33" s="583" t="s">
        <v>340</v>
      </c>
      <c r="F33" s="59" t="str" cm="1">
        <f t="array" ref="F33">Y33</f>
        <v>2</v>
      </c>
      <c r="U33" s="355" t="b">
        <f>Y33&gt;0</f>
        <v>1</v>
      </c>
      <c r="V33" s="356"/>
      <c r="W33" s="209" t="str" cm="1">
        <f t="array" ref="W33">'Общие сведения'!$AG$208</f>
        <v>Тариф 2 (Водоотведение) - тариф на водоотведение</v>
      </c>
      <c r="X33" s="356"/>
      <c r="Y33" s="964" t="s">
        <v>285</v>
      </c>
      <c r="Z33" s="965"/>
      <c r="AA33" s="640"/>
      <c r="AB33" s="94" t="str" cm="1">
        <f t="array" ref="AB33">'Общие сведения'!$AG$208</f>
        <v>Тариф 2 (Водоотведение) - тариф на водоотведение</v>
      </c>
      <c r="AC33" s="88"/>
      <c r="AD33" s="88"/>
      <c r="AE33" s="88"/>
      <c r="AF33" s="88"/>
      <c r="AG33" s="88"/>
    </row>
    <row r="34" spans="1:44" ht="15" hidden="1" customHeight="1" x14ac:dyDescent="0.15">
      <c r="E34" s="583" t="s">
        <v>340</v>
      </c>
      <c r="F34" s="59" t="str" cm="1">
        <f t="array" aca="1" ref="F34" ca="1">OFFSET(E34,-1,1)</f>
        <v>2</v>
      </c>
      <c r="G34" s="64" cm="1">
        <f t="array" ref="G34">AB34</f>
        <v>0</v>
      </c>
      <c r="T34" s="641"/>
      <c r="U34" s="355" t="b">
        <f ca="1">AND(F34&gt;0,AB34&gt;0)</f>
        <v>0</v>
      </c>
      <c r="V34" s="45"/>
      <c r="X34" s="517" t="s">
        <v>172</v>
      </c>
      <c r="Y34" s="964"/>
      <c r="Z34" s="965"/>
      <c r="AA34" s="482" t="s">
        <v>173</v>
      </c>
      <c r="AB34" s="473">
        <v>0</v>
      </c>
      <c r="AC34" s="541"/>
      <c r="AD34" s="93"/>
      <c r="AE34" s="93"/>
      <c r="AF34" s="816"/>
      <c r="AG34" s="817"/>
      <c r="AI34" s="64" t="s">
        <v>346</v>
      </c>
      <c r="AJ34" s="64" t="s">
        <v>347</v>
      </c>
      <c r="AK34" s="64" cm="1">
        <f t="array" ref="AK34">AC34</f>
        <v>0</v>
      </c>
      <c r="AL34" s="64" cm="1">
        <f t="array" ref="AL34">AD34</f>
        <v>0</v>
      </c>
      <c r="AM34" s="64" cm="1">
        <f t="array" ref="AM34">AE34</f>
        <v>0</v>
      </c>
      <c r="AO34" s="64" t="b">
        <v>1</v>
      </c>
    </row>
    <row r="35" spans="1:44" ht="25.15" customHeight="1" x14ac:dyDescent="0.15">
      <c r="E35" s="583" t="s">
        <v>340</v>
      </c>
      <c r="F35" s="59" t="str" cm="1">
        <f t="array" aca="1" ref="F35" ca="1">OFFSET(E35,-1,1)</f>
        <v>2</v>
      </c>
      <c r="G35" s="64" t="str" cm="1">
        <f t="array" ref="G35">AB35</f>
        <v>1</v>
      </c>
      <c r="T35" s="641"/>
      <c r="U35" s="355" t="b">
        <f ca="1">AND(F35&gt;0,AB35&gt;0)</f>
        <v>1</v>
      </c>
      <c r="V35" s="45"/>
      <c r="X35" s="517"/>
      <c r="Y35" s="964"/>
      <c r="Z35" s="965"/>
      <c r="AA35" s="482" t="s">
        <v>173</v>
      </c>
      <c r="AB35" s="473" t="s">
        <v>275</v>
      </c>
      <c r="AC35" s="541" t="s">
        <v>351</v>
      </c>
      <c r="AD35" s="93" t="s">
        <v>351</v>
      </c>
      <c r="AE35" s="93" t="s">
        <v>352</v>
      </c>
      <c r="AF35" s="624" t="s">
        <v>353</v>
      </c>
      <c r="AG35" s="109"/>
      <c r="AI35" s="64" t="s">
        <v>346</v>
      </c>
      <c r="AJ35" s="64" t="s">
        <v>347</v>
      </c>
      <c r="AK35" s="64" t="str" cm="1">
        <f t="array" ref="AK35">AC35</f>
        <v>город Кемерово</v>
      </c>
      <c r="AL35" s="64" t="str" cm="1">
        <f t="array" ref="AL35">AD35</f>
        <v>город Кемерово</v>
      </c>
      <c r="AM35" s="64" t="str" cm="1">
        <f t="array" ref="AM35">AE35</f>
        <v>32701000</v>
      </c>
      <c r="AO35" s="64" t="b">
        <v>1</v>
      </c>
    </row>
    <row r="36" spans="1:44" ht="15" customHeight="1" x14ac:dyDescent="0.15">
      <c r="E36" s="583" t="s">
        <v>340</v>
      </c>
      <c r="F36" s="59" t="str" cm="1">
        <f t="array" aca="1" ref="F36" ca="1">OFFSET(E36,-1,1)</f>
        <v>2</v>
      </c>
      <c r="G36" s="64" t="s">
        <v>348</v>
      </c>
      <c r="P36" s="517"/>
      <c r="U36" s="355" t="b" cm="1">
        <f t="array" ref="U36">U33</f>
        <v>1</v>
      </c>
      <c r="X36" s="517" t="s">
        <v>349</v>
      </c>
      <c r="Y36" s="964"/>
      <c r="Z36" s="965"/>
      <c r="AB36" s="89"/>
      <c r="AC36" s="172" t="s">
        <v>350</v>
      </c>
      <c r="AD36" s="90"/>
      <c r="AE36" s="90"/>
      <c r="AF36" s="90"/>
      <c r="AG36" s="91"/>
      <c r="AN36" s="64" t="s">
        <v>347</v>
      </c>
    </row>
    <row r="37" spans="1:44" ht="21.4" customHeight="1" x14ac:dyDescent="0.15">
      <c r="E37" s="583" t="s">
        <v>340</v>
      </c>
      <c r="F37" s="59" t="str" cm="1">
        <f t="array" ref="F37">Y37</f>
        <v>3</v>
      </c>
      <c r="U37" s="355" t="b">
        <f>Y37&gt;0</f>
        <v>1</v>
      </c>
      <c r="V37" s="356"/>
      <c r="W37" s="209" t="str" cm="1">
        <f t="array" ref="W37">'Общие сведения'!$AG$222</f>
        <v>Тариф 3 (Водоотведение) - тариф на транспортировку сточных вод</v>
      </c>
      <c r="X37" s="356"/>
      <c r="Y37" s="964" t="s">
        <v>291</v>
      </c>
      <c r="Z37" s="965"/>
      <c r="AA37" s="640"/>
      <c r="AB37" s="94" t="str" cm="1">
        <f t="array" ref="AB37">'Общие сведения'!$AG$222</f>
        <v>Тариф 3 (Водоотведение) - тариф на транспортировку сточных вод</v>
      </c>
      <c r="AC37" s="88"/>
      <c r="AD37" s="88"/>
      <c r="AE37" s="88"/>
      <c r="AF37" s="88"/>
      <c r="AG37" s="88"/>
    </row>
    <row r="38" spans="1:44" ht="15" hidden="1" customHeight="1" x14ac:dyDescent="0.15">
      <c r="E38" s="583" t="s">
        <v>340</v>
      </c>
      <c r="F38" s="59" t="str" cm="1">
        <f t="array" aca="1" ref="F38" ca="1">OFFSET(E38,-1,1)</f>
        <v>3</v>
      </c>
      <c r="G38" s="64" cm="1">
        <f t="array" ref="G38">AB38</f>
        <v>0</v>
      </c>
      <c r="T38" s="641"/>
      <c r="U38" s="355" t="b">
        <f ca="1">AND(F38&gt;0,AB38&gt;0)</f>
        <v>0</v>
      </c>
      <c r="V38" s="45"/>
      <c r="X38" s="517" t="s">
        <v>172</v>
      </c>
      <c r="Y38" s="964"/>
      <c r="Z38" s="965"/>
      <c r="AA38" s="482" t="s">
        <v>173</v>
      </c>
      <c r="AB38" s="473">
        <v>0</v>
      </c>
      <c r="AC38" s="541"/>
      <c r="AD38" s="93"/>
      <c r="AE38" s="93"/>
      <c r="AF38" s="816"/>
      <c r="AG38" s="817"/>
      <c r="AI38" s="64" t="s">
        <v>346</v>
      </c>
      <c r="AJ38" s="64" t="s">
        <v>347</v>
      </c>
      <c r="AK38" s="64" cm="1">
        <f t="array" ref="AK38">AC38</f>
        <v>0</v>
      </c>
      <c r="AL38" s="64" cm="1">
        <f t="array" ref="AL38">AD38</f>
        <v>0</v>
      </c>
      <c r="AM38" s="64" cm="1">
        <f t="array" ref="AM38">AE38</f>
        <v>0</v>
      </c>
      <c r="AO38" s="64" t="b">
        <v>1</v>
      </c>
    </row>
    <row r="39" spans="1:44" ht="29.1" customHeight="1" x14ac:dyDescent="0.15">
      <c r="E39" s="583" t="s">
        <v>340</v>
      </c>
      <c r="F39" s="59" t="str" cm="1">
        <f t="array" aca="1" ref="F39" ca="1">OFFSET(E39,-1,1)</f>
        <v>3</v>
      </c>
      <c r="G39" s="64" t="str" cm="1">
        <f t="array" ref="G39">AB39</f>
        <v>1</v>
      </c>
      <c r="T39" s="641"/>
      <c r="U39" s="355" t="b">
        <f ca="1">AND(F39&gt;0,AB39&gt;0)</f>
        <v>1</v>
      </c>
      <c r="V39" s="45"/>
      <c r="X39" s="517"/>
      <c r="Y39" s="964"/>
      <c r="Z39" s="965"/>
      <c r="AA39" s="482" t="s">
        <v>173</v>
      </c>
      <c r="AB39" s="473" t="s">
        <v>275</v>
      </c>
      <c r="AC39" s="541" t="s">
        <v>351</v>
      </c>
      <c r="AD39" s="93" t="s">
        <v>351</v>
      </c>
      <c r="AE39" s="93" t="s">
        <v>352</v>
      </c>
      <c r="AF39" s="624" t="s">
        <v>353</v>
      </c>
      <c r="AG39" s="109"/>
      <c r="AI39" s="64" t="s">
        <v>346</v>
      </c>
      <c r="AJ39" s="64" t="s">
        <v>347</v>
      </c>
      <c r="AK39" s="64" t="str" cm="1">
        <f t="array" ref="AK39">AC39</f>
        <v>город Кемерово</v>
      </c>
      <c r="AL39" s="64" t="str" cm="1">
        <f t="array" ref="AL39">AD39</f>
        <v>город Кемерово</v>
      </c>
      <c r="AM39" s="64" t="str" cm="1">
        <f t="array" ref="AM39">AE39</f>
        <v>32701000</v>
      </c>
      <c r="AO39" s="64" t="b">
        <v>1</v>
      </c>
    </row>
    <row r="40" spans="1:44" ht="15" customHeight="1" x14ac:dyDescent="0.15">
      <c r="E40" s="583" t="s">
        <v>340</v>
      </c>
      <c r="F40" s="59" t="str" cm="1">
        <f t="array" aca="1" ref="F40" ca="1">OFFSET(E40,-1,1)</f>
        <v>3</v>
      </c>
      <c r="G40" s="64" t="s">
        <v>348</v>
      </c>
      <c r="P40" s="517"/>
      <c r="U40" s="355" t="b" cm="1">
        <f t="array" ref="U40">U37</f>
        <v>1</v>
      </c>
      <c r="X40" s="517" t="s">
        <v>349</v>
      </c>
      <c r="Y40" s="964"/>
      <c r="Z40" s="965"/>
      <c r="AB40" s="89"/>
      <c r="AC40" s="172" t="s">
        <v>350</v>
      </c>
      <c r="AD40" s="90"/>
      <c r="AE40" s="90"/>
      <c r="AF40" s="90"/>
      <c r="AG40" s="91"/>
      <c r="AN40" s="64" t="s">
        <v>347</v>
      </c>
    </row>
    <row r="41" spans="1:44" ht="14.25" customHeight="1" x14ac:dyDescent="0.15">
      <c r="A41" s="315"/>
      <c r="B41" s="479"/>
      <c r="C41" s="315"/>
      <c r="D41" s="315"/>
      <c r="E41" s="480" t="s">
        <v>342</v>
      </c>
      <c r="F41" s="315"/>
      <c r="G41" s="315"/>
      <c r="H41" s="315"/>
      <c r="I41" s="315"/>
      <c r="J41" s="315"/>
      <c r="K41" s="315"/>
      <c r="L41" s="315"/>
      <c r="M41" s="315"/>
      <c r="N41" s="315"/>
      <c r="O41" s="315"/>
      <c r="P41" s="315"/>
      <c r="Q41" s="315"/>
      <c r="R41" s="315"/>
      <c r="S41" s="315"/>
      <c r="U41" s="315"/>
      <c r="V41" s="22" t="s">
        <v>176</v>
      </c>
      <c r="W41" s="517" t="s">
        <v>354</v>
      </c>
      <c r="X41" s="315"/>
      <c r="Y41" s="315"/>
      <c r="Z41" s="315"/>
      <c r="AA41" s="315"/>
      <c r="AB41"/>
      <c r="AC41" s="18"/>
      <c r="AD41" s="18"/>
      <c r="AE41" s="18"/>
      <c r="AF41" s="18"/>
      <c r="AG41"/>
      <c r="AH41"/>
      <c r="AI41" s="315"/>
      <c r="AJ41" s="315"/>
      <c r="AK41" s="315"/>
      <c r="AL41" s="315"/>
      <c r="AM41" s="315"/>
      <c r="AN41" s="315"/>
      <c r="AO41" s="315"/>
      <c r="AP41"/>
      <c r="AQ41" s="19"/>
      <c r="AR41"/>
    </row>
    <row r="42" spans="1:44" ht="11.25" hidden="1" customHeight="1" x14ac:dyDescent="0.15">
      <c r="A42" s="315"/>
      <c r="B42" s="479"/>
      <c r="C42" s="315"/>
      <c r="D42" s="315"/>
      <c r="E42" s="480"/>
      <c r="F42" s="642"/>
      <c r="G42" s="315"/>
      <c r="H42" s="315"/>
      <c r="I42" s="315"/>
      <c r="J42" s="315"/>
      <c r="K42" s="315"/>
      <c r="L42" s="315"/>
      <c r="M42" s="315"/>
      <c r="N42" s="315"/>
      <c r="O42" s="315"/>
      <c r="P42" s="315"/>
      <c r="Q42" s="315"/>
      <c r="R42" s="315"/>
      <c r="S42" s="315"/>
      <c r="U42" s="315"/>
      <c r="V42" s="315"/>
      <c r="W42" s="315"/>
      <c r="X42" s="315"/>
      <c r="Y42" s="315"/>
      <c r="Z42" s="315"/>
      <c r="AA42" s="315"/>
      <c r="AB42"/>
      <c r="AC42" s="18"/>
      <c r="AD42" s="18"/>
      <c r="AE42" s="18"/>
      <c r="AF42" s="18"/>
      <c r="AG42" s="18"/>
      <c r="AH42"/>
      <c r="AI42" s="315"/>
      <c r="AJ42" s="315"/>
      <c r="AK42" s="315"/>
      <c r="AL42" s="315"/>
      <c r="AM42" s="315"/>
      <c r="AN42" s="315"/>
      <c r="AO42" s="315"/>
      <c r="AP42"/>
      <c r="AQ42"/>
      <c r="AR42" s="19"/>
    </row>
  </sheetData>
  <sheetProtection formatColumns="0" formatRows="0" insertRows="0" deleteColumns="0" deleteRows="0" sort="0" autoFilter="0"/>
  <mergeCells count="9">
    <mergeCell ref="Y33:Y36"/>
    <mergeCell ref="Z33:Z36"/>
    <mergeCell ref="Y37:Y40"/>
    <mergeCell ref="Z37:Z40"/>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69E1-AD58-2616-C268-5EE2D3811736}">
  <sheetPr>
    <tabColor theme="3" tint="0.59999389629810485"/>
    <outlinePr summaryBelow="0" summaryRight="0"/>
    <pageSetUpPr fitToPage="1"/>
  </sheetPr>
  <dimension ref="A1:BE91"/>
  <sheetViews>
    <sheetView showGridLines="0" zoomScale="130" workbookViewId="0">
      <pane xSplit="31" ySplit="25" topLeftCell="AF42" activePane="bottomRight" state="frozen"/>
      <selection pane="topRight" activeCell="AF1" sqref="AF1"/>
      <selection pane="bottomLeft" activeCell="A26" sqref="A26"/>
      <selection pane="bottomRight" activeCell="AC71" sqref="AC71"/>
    </sheetView>
  </sheetViews>
  <sheetFormatPr defaultColWidth="8.7109375" defaultRowHeight="11.25" customHeight="1" x14ac:dyDescent="0.15"/>
  <cols>
    <col min="1" max="1" width="3.5703125" style="20" hidden="1" customWidth="1"/>
    <col min="2" max="2" width="8.5703125" style="326" hidden="1" customWidth="1"/>
    <col min="3" max="4" width="3.5703125" style="20" hidden="1" customWidth="1"/>
    <col min="5" max="5" width="3.5703125" style="463"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52.7109375" style="20" customWidth="1"/>
    <col min="31" max="31" width="15" style="20" customWidth="1"/>
    <col min="32" max="32" width="20" style="20" customWidth="1"/>
    <col min="33" max="33" width="20" style="33" customWidth="1"/>
    <col min="34" max="35" width="20" style="20" customWidth="1"/>
    <col min="36" max="36" width="51.5703125" style="33" customWidth="1"/>
    <col min="37" max="37" width="3.7109375" style="20" customWidth="1"/>
    <col min="38" max="38" width="8.7109375" style="20" hidden="1"/>
    <col min="39" max="42" width="8.7109375" style="660" hidden="1"/>
    <col min="43" max="44" width="8.7109375" style="457" hidden="1"/>
    <col min="45" max="57" width="8.7109375" style="20" hidden="1"/>
  </cols>
  <sheetData>
    <row r="1" spans="1:44" s="64" customFormat="1" ht="11.25" hidden="1" customHeight="1" x14ac:dyDescent="0.15">
      <c r="B1" s="326"/>
      <c r="E1" s="209"/>
      <c r="F1" s="64" t="s">
        <v>320</v>
      </c>
      <c r="H1" s="64" t="s">
        <v>330</v>
      </c>
      <c r="J1" s="64" t="s">
        <v>355</v>
      </c>
      <c r="P1" s="64" t="s">
        <v>356</v>
      </c>
      <c r="T1" s="315"/>
      <c r="U1" s="355" t="s">
        <v>322</v>
      </c>
      <c r="V1" s="353" t="s">
        <v>92</v>
      </c>
      <c r="W1" s="353" t="s">
        <v>97</v>
      </c>
      <c r="X1" s="353" t="s">
        <v>93</v>
      </c>
      <c r="Y1" s="353" t="s">
        <v>94</v>
      </c>
      <c r="Z1" s="353" t="s">
        <v>95</v>
      </c>
      <c r="AA1" s="353" t="s">
        <v>99</v>
      </c>
      <c r="AB1" s="355" t="s">
        <v>96</v>
      </c>
      <c r="AC1" s="355"/>
      <c r="AD1" s="355" t="s">
        <v>98</v>
      </c>
      <c r="AG1" s="117"/>
      <c r="AJ1" s="117"/>
      <c r="AM1" s="653" t="s">
        <v>323</v>
      </c>
      <c r="AN1" s="653" t="s">
        <v>324</v>
      </c>
      <c r="AO1" s="653" t="s">
        <v>325</v>
      </c>
      <c r="AP1" s="653" t="s">
        <v>357</v>
      </c>
      <c r="AQ1" s="583" t="s">
        <v>328</v>
      </c>
      <c r="AR1" s="583" t="s">
        <v>329</v>
      </c>
    </row>
    <row r="2" spans="1:44" s="326" customFormat="1" ht="11.25" hidden="1" customHeight="1" x14ac:dyDescent="0.15">
      <c r="B2" s="635" t="s">
        <v>18</v>
      </c>
      <c r="T2" s="479"/>
      <c r="U2" s="479"/>
      <c r="V2" s="479"/>
      <c r="W2" s="479"/>
      <c r="X2" s="479"/>
      <c r="Y2" s="479"/>
      <c r="Z2" s="479"/>
      <c r="AA2" s="479"/>
      <c r="AF2" s="635" t="b">
        <f>method_reg&lt;&gt;"Метод сравнения аналогов"</f>
        <v>1</v>
      </c>
      <c r="AG2" s="635" t="b">
        <f>method_reg&lt;&gt;"Метод сравнения аналогов"</f>
        <v>1</v>
      </c>
      <c r="AM2" s="652"/>
      <c r="AN2" s="652"/>
      <c r="AO2" s="652"/>
      <c r="AP2" s="652"/>
      <c r="AQ2" s="659"/>
      <c r="AR2" s="659"/>
    </row>
    <row r="3" spans="1:44" s="64" customFormat="1" ht="11.25" hidden="1" customHeight="1" x14ac:dyDescent="0.15">
      <c r="B3" s="326"/>
      <c r="E3" s="209"/>
      <c r="T3" s="315"/>
      <c r="U3" s="315"/>
      <c r="V3" s="315"/>
      <c r="W3" s="315"/>
      <c r="X3" s="315"/>
      <c r="Y3" s="315"/>
      <c r="Z3" s="315"/>
      <c r="AA3" s="315"/>
      <c r="AG3" s="117"/>
      <c r="AJ3" s="117"/>
      <c r="AM3" s="653"/>
      <c r="AN3" s="653"/>
      <c r="AO3" s="653"/>
      <c r="AP3" s="653"/>
      <c r="AQ3" s="583"/>
      <c r="AR3" s="583"/>
    </row>
    <row r="4" spans="1:44" s="64" customFormat="1" ht="11.25" hidden="1" customHeight="1" x14ac:dyDescent="0.15">
      <c r="B4" s="326"/>
      <c r="E4" s="209"/>
      <c r="T4" s="315"/>
      <c r="U4" s="315"/>
      <c r="V4" s="315"/>
      <c r="W4" s="315"/>
      <c r="X4" s="315"/>
      <c r="Y4" s="315"/>
      <c r="Z4" s="315"/>
      <c r="AA4" s="315"/>
      <c r="AG4" s="117"/>
      <c r="AJ4" s="117"/>
      <c r="AM4" s="653"/>
      <c r="AN4" s="653"/>
      <c r="AO4" s="653"/>
      <c r="AP4" s="653"/>
      <c r="AQ4" s="583"/>
      <c r="AR4" s="583"/>
    </row>
    <row r="5" spans="1:44" s="585" customFormat="1" ht="11.25" hidden="1" customHeight="1" x14ac:dyDescent="0.15">
      <c r="A5" s="209"/>
      <c r="B5" s="326"/>
      <c r="C5" s="209"/>
      <c r="D5" s="209"/>
      <c r="E5" s="585" t="s">
        <v>19</v>
      </c>
      <c r="T5" s="649"/>
      <c r="U5" s="649"/>
      <c r="V5" s="649"/>
      <c r="W5" s="649"/>
      <c r="X5" s="649"/>
      <c r="Y5" s="649"/>
      <c r="Z5" s="649"/>
      <c r="AA5" s="649"/>
      <c r="AB5" s="451">
        <v>3</v>
      </c>
      <c r="AC5" s="451">
        <v>11</v>
      </c>
      <c r="AD5" s="451">
        <v>70</v>
      </c>
      <c r="AE5" s="451">
        <v>15</v>
      </c>
      <c r="AF5" s="451">
        <v>20</v>
      </c>
      <c r="AG5" s="451">
        <v>20</v>
      </c>
      <c r="AH5" s="451">
        <v>20</v>
      </c>
      <c r="AI5" s="451">
        <v>20</v>
      </c>
      <c r="AJ5" s="451">
        <v>20</v>
      </c>
      <c r="AK5" s="585" t="s">
        <v>291</v>
      </c>
      <c r="AM5" s="654"/>
      <c r="AN5" s="654"/>
      <c r="AO5" s="654"/>
      <c r="AP5" s="654"/>
    </row>
    <row r="6" spans="1:44" s="64" customFormat="1" ht="11.25" hidden="1" customHeight="1" x14ac:dyDescent="0.15">
      <c r="A6" s="64" t="s">
        <v>358</v>
      </c>
      <c r="B6" s="326"/>
      <c r="E6" s="585"/>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53"/>
      <c r="AN6" s="653"/>
      <c r="AO6" s="653"/>
      <c r="AP6" s="653"/>
      <c r="AQ6" s="583"/>
      <c r="AR6" s="583"/>
    </row>
    <row r="7" spans="1:44" s="64" customFormat="1" ht="11.25" hidden="1" customHeight="1" x14ac:dyDescent="0.15">
      <c r="A7" s="64" t="s">
        <v>359</v>
      </c>
      <c r="B7" s="326"/>
      <c r="E7" s="585"/>
      <c r="T7" s="315"/>
      <c r="U7" s="315"/>
      <c r="V7" s="315"/>
      <c r="W7" s="315"/>
      <c r="X7" s="315"/>
      <c r="Y7" s="315"/>
      <c r="Z7" s="315"/>
      <c r="AA7" s="315"/>
      <c r="AF7" s="267" t="str" cm="1">
        <f t="array" ref="AF7">AF25</f>
        <v>Принято органом регулирования</v>
      </c>
      <c r="AG7" s="267" t="s">
        <v>360</v>
      </c>
      <c r="AH7" s="267" t="s">
        <v>361</v>
      </c>
      <c r="AI7" s="267" t="s">
        <v>360</v>
      </c>
      <c r="AJ7" s="267" t="s">
        <v>362</v>
      </c>
      <c r="AM7" s="653"/>
      <c r="AN7" s="653"/>
      <c r="AO7" s="653"/>
      <c r="AP7" s="653"/>
      <c r="AQ7" s="583"/>
      <c r="AR7" s="583"/>
    </row>
    <row r="8" spans="1:44" s="64" customFormat="1" ht="11.25" hidden="1" customHeight="1" x14ac:dyDescent="0.15">
      <c r="B8" s="326"/>
      <c r="E8" s="585"/>
      <c r="T8" s="315"/>
      <c r="U8" s="315"/>
      <c r="V8" s="315"/>
      <c r="W8" s="315"/>
      <c r="X8" s="315"/>
      <c r="Y8" s="315"/>
      <c r="Z8" s="315"/>
      <c r="AA8" s="315"/>
      <c r="AG8" s="117"/>
      <c r="AJ8" s="117"/>
      <c r="AM8" s="653"/>
      <c r="AN8" s="653"/>
      <c r="AO8" s="653"/>
      <c r="AP8" s="653"/>
      <c r="AQ8" s="583"/>
      <c r="AR8" s="583"/>
    </row>
    <row r="9" spans="1:44" s="653" customFormat="1" ht="11.25" hidden="1" customHeight="1" x14ac:dyDescent="0.15">
      <c r="A9" s="653" t="s">
        <v>363</v>
      </c>
      <c r="B9" s="652"/>
      <c r="E9" s="654"/>
      <c r="T9" s="655"/>
      <c r="U9" s="655"/>
      <c r="V9" s="655"/>
      <c r="W9" s="655"/>
      <c r="X9" s="655"/>
      <c r="Y9" s="655"/>
      <c r="Z9" s="655"/>
      <c r="AA9" s="655"/>
      <c r="AF9" s="653" cm="1">
        <f t="array" ref="AF9">AF6</f>
        <v>2024</v>
      </c>
      <c r="AG9" s="653" cm="1">
        <f t="array" ref="AG9">AG6</f>
        <v>2025</v>
      </c>
      <c r="AH9" s="653" cm="1">
        <f t="array" ref="AH9">AH6</f>
        <v>2026</v>
      </c>
      <c r="AI9" s="653" cm="1">
        <f t="array" ref="AI9">AI6</f>
        <v>2026</v>
      </c>
      <c r="AQ9" s="583"/>
      <c r="AR9" s="583"/>
    </row>
    <row r="10" spans="1:44" s="653" customFormat="1" ht="11.25" hidden="1" customHeight="1" x14ac:dyDescent="0.15">
      <c r="A10" s="653" t="s">
        <v>364</v>
      </c>
      <c r="B10" s="652"/>
      <c r="E10" s="654"/>
      <c r="T10" s="655"/>
      <c r="U10" s="655"/>
      <c r="V10" s="655"/>
      <c r="W10" s="655"/>
      <c r="X10" s="655"/>
      <c r="Y10" s="655"/>
      <c r="Z10" s="655"/>
      <c r="AA10" s="655"/>
      <c r="AF10" s="653" t="str" cm="1">
        <f t="array" ref="AF10">AF25</f>
        <v>Принято органом регулирования</v>
      </c>
      <c r="AG10" s="653" t="str" cm="1">
        <f t="array" ref="AG10">AG25</f>
        <v>Принято органом регулирования</v>
      </c>
      <c r="AH10" s="653" t="str" cm="1">
        <f t="array" ref="AH10">AH25</f>
        <v>Предложение организации</v>
      </c>
      <c r="AI10" s="653" t="str" cm="1">
        <f t="array" ref="AI10">AI25</f>
        <v>Принято органом регулирования</v>
      </c>
      <c r="AQ10" s="583"/>
      <c r="AR10" s="583"/>
    </row>
    <row r="11" spans="1:44" s="653" customFormat="1" ht="11.25" hidden="1" customHeight="1" x14ac:dyDescent="0.15">
      <c r="A11" s="653" t="s">
        <v>365</v>
      </c>
      <c r="B11" s="652"/>
      <c r="E11" s="654"/>
      <c r="T11" s="655"/>
      <c r="U11" s="655"/>
      <c r="V11" s="655"/>
      <c r="W11" s="655"/>
      <c r="X11" s="655"/>
      <c r="Y11" s="655"/>
      <c r="Z11" s="655"/>
      <c r="AA11" s="655"/>
      <c r="AG11" s="651"/>
      <c r="AJ11" s="651" t="str" cm="1">
        <f t="array" ref="AJ11">AJ24</f>
        <v>Комментарии</v>
      </c>
      <c r="AQ11" s="583"/>
      <c r="AR11" s="583"/>
    </row>
    <row r="12" spans="1:44" s="653" customFormat="1" ht="11.25" hidden="1" customHeight="1" x14ac:dyDescent="0.15">
      <c r="A12" s="653" t="s">
        <v>337</v>
      </c>
      <c r="B12" s="652"/>
      <c r="E12" s="654"/>
      <c r="T12" s="655"/>
      <c r="U12" s="655"/>
      <c r="V12" s="655"/>
      <c r="W12" s="655"/>
      <c r="X12" s="655"/>
      <c r="Y12" s="655"/>
      <c r="Z12" s="655"/>
      <c r="AA12" s="655"/>
      <c r="AB12" s="655"/>
      <c r="AD12" s="653" t="s">
        <v>325</v>
      </c>
      <c r="AE12" s="653" t="s">
        <v>357</v>
      </c>
      <c r="AG12" s="651"/>
      <c r="AJ12" s="651"/>
      <c r="AQ12" s="583"/>
      <c r="AR12" s="583"/>
    </row>
    <row r="13" spans="1:44" s="64" customFormat="1" ht="11.25" hidden="1" customHeight="1" x14ac:dyDescent="0.15">
      <c r="B13" s="326"/>
      <c r="E13" s="585"/>
      <c r="T13" s="315"/>
      <c r="U13" s="315"/>
      <c r="V13" s="315"/>
      <c r="W13" s="315"/>
      <c r="X13" s="315"/>
      <c r="Y13" s="315"/>
      <c r="Z13" s="315"/>
      <c r="AA13" s="315"/>
      <c r="AB13" s="315"/>
      <c r="AC13" s="315"/>
      <c r="AD13" s="650"/>
      <c r="AE13" s="650"/>
      <c r="AF13" s="650"/>
      <c r="AG13" s="650"/>
      <c r="AJ13" s="650"/>
      <c r="AM13" s="653"/>
      <c r="AN13" s="653"/>
      <c r="AO13" s="653"/>
      <c r="AP13" s="653"/>
      <c r="AQ13" s="583"/>
      <c r="AR13" s="583"/>
    </row>
    <row r="14" spans="1:44" s="64" customFormat="1" ht="11.25" hidden="1" customHeight="1" x14ac:dyDescent="0.15">
      <c r="B14" s="326"/>
      <c r="E14" s="585"/>
      <c r="T14" s="315"/>
      <c r="U14" s="315"/>
      <c r="V14" s="315"/>
      <c r="W14" s="315"/>
      <c r="X14" s="315"/>
      <c r="Y14" s="315"/>
      <c r="Z14" s="315"/>
      <c r="AA14" s="315"/>
      <c r="AB14" s="315"/>
      <c r="AC14" s="315"/>
      <c r="AD14" s="650"/>
      <c r="AE14" s="650"/>
      <c r="AF14" s="650"/>
      <c r="AG14" s="650"/>
      <c r="AJ14" s="650"/>
      <c r="AM14" s="653"/>
      <c r="AN14" s="653"/>
      <c r="AO14" s="653"/>
      <c r="AP14" s="653"/>
      <c r="AQ14" s="583"/>
      <c r="AR14" s="583"/>
    </row>
    <row r="15" spans="1:44" s="64" customFormat="1" ht="11.25" hidden="1" customHeight="1" x14ac:dyDescent="0.15">
      <c r="B15" s="326"/>
      <c r="E15" s="585"/>
      <c r="T15" s="315"/>
      <c r="U15" s="315"/>
      <c r="V15" s="315"/>
      <c r="W15" s="315"/>
      <c r="X15" s="315"/>
      <c r="Y15" s="315"/>
      <c r="Z15" s="315"/>
      <c r="AA15" s="315"/>
      <c r="AB15" s="315"/>
      <c r="AC15" s="315"/>
      <c r="AD15" s="650"/>
      <c r="AE15" s="650"/>
      <c r="AF15" s="650"/>
      <c r="AG15" s="650"/>
      <c r="AJ15" s="650"/>
      <c r="AM15" s="653"/>
      <c r="AN15" s="653"/>
      <c r="AO15" s="653"/>
      <c r="AP15" s="653"/>
      <c r="AQ15" s="583"/>
      <c r="AR15" s="583"/>
    </row>
    <row r="16" spans="1:44" s="64" customFormat="1" ht="11.25" hidden="1" customHeight="1" x14ac:dyDescent="0.15">
      <c r="B16" s="326"/>
      <c r="E16" s="585"/>
      <c r="T16" s="315"/>
      <c r="U16" s="315"/>
      <c r="V16" s="315"/>
      <c r="W16" s="315"/>
      <c r="X16" s="315"/>
      <c r="Y16" s="315"/>
      <c r="Z16" s="315"/>
      <c r="AA16" s="315"/>
      <c r="AB16" s="315"/>
      <c r="AC16" s="315"/>
      <c r="AD16" s="650"/>
      <c r="AE16" s="650"/>
      <c r="AF16" s="650"/>
      <c r="AG16" s="650"/>
      <c r="AJ16" s="650"/>
      <c r="AM16" s="653"/>
      <c r="AN16" s="653"/>
      <c r="AO16" s="653"/>
      <c r="AP16" s="653"/>
      <c r="AQ16" s="583"/>
      <c r="AR16" s="583"/>
    </row>
    <row r="17" spans="1:57" s="64" customFormat="1" ht="11.25" hidden="1" customHeight="1" x14ac:dyDescent="0.15">
      <c r="B17" s="326"/>
      <c r="E17" s="585"/>
      <c r="T17" s="315"/>
      <c r="U17" s="315"/>
      <c r="V17" s="315"/>
      <c r="W17" s="315"/>
      <c r="X17" s="315"/>
      <c r="Y17" s="315"/>
      <c r="Z17" s="315"/>
      <c r="AA17" s="315"/>
      <c r="AB17" s="315"/>
      <c r="AC17" s="315"/>
      <c r="AD17" s="650"/>
      <c r="AE17" s="650"/>
      <c r="AF17" s="650"/>
      <c r="AG17" s="650"/>
      <c r="AJ17" s="650"/>
      <c r="AM17" s="653"/>
      <c r="AN17" s="653"/>
      <c r="AO17" s="653"/>
      <c r="AP17" s="653"/>
      <c r="AQ17" s="583"/>
      <c r="AR17" s="583"/>
    </row>
    <row r="18" spans="1:57" s="64" customFormat="1" ht="11.25" hidden="1" customHeight="1" x14ac:dyDescent="0.15">
      <c r="A18" s="64" t="s">
        <v>366</v>
      </c>
      <c r="B18" s="326"/>
      <c r="E18" s="585"/>
      <c r="T18" s="315"/>
      <c r="U18" s="315"/>
      <c r="V18" s="315"/>
      <c r="W18" s="315"/>
      <c r="X18" s="315"/>
      <c r="Y18" s="315"/>
      <c r="Z18" s="315"/>
      <c r="AA18" s="315"/>
      <c r="AB18" s="315"/>
      <c r="AC18" s="315"/>
      <c r="AD18" s="117" t="s">
        <v>193</v>
      </c>
      <c r="AE18" s="650"/>
      <c r="AF18" s="650"/>
      <c r="AG18" s="650"/>
      <c r="AJ18" s="650"/>
      <c r="AM18" s="653"/>
      <c r="AN18" s="653"/>
      <c r="AO18" s="653"/>
      <c r="AP18" s="653"/>
      <c r="AQ18" s="583"/>
      <c r="AR18" s="583"/>
    </row>
    <row r="19" spans="1:57" s="64" customFormat="1" ht="11.25" hidden="1" customHeight="1" x14ac:dyDescent="0.15">
      <c r="B19" s="326"/>
      <c r="E19" s="585"/>
      <c r="T19" s="315"/>
      <c r="U19" s="315"/>
      <c r="V19" s="315"/>
      <c r="W19" s="315"/>
      <c r="X19" s="315"/>
      <c r="Y19" s="315"/>
      <c r="Z19" s="315"/>
      <c r="AA19" s="315"/>
      <c r="AB19" s="315"/>
      <c r="AC19" s="315"/>
      <c r="AD19" s="650"/>
      <c r="AE19" s="650"/>
      <c r="AF19" s="650"/>
      <c r="AG19" s="650"/>
      <c r="AJ19" s="650"/>
      <c r="AM19" s="653"/>
      <c r="AN19" s="653"/>
      <c r="AO19" s="653"/>
      <c r="AP19" s="653"/>
      <c r="AQ19" s="583"/>
      <c r="AR19" s="583"/>
    </row>
    <row r="20" spans="1:57" s="64" customFormat="1" ht="11.25" hidden="1" customHeight="1" x14ac:dyDescent="0.15">
      <c r="B20" s="326"/>
      <c r="E20" s="585"/>
      <c r="T20" s="315"/>
      <c r="U20" s="315"/>
      <c r="V20" s="315"/>
      <c r="W20" s="315"/>
      <c r="X20" s="315"/>
      <c r="Y20" s="315"/>
      <c r="Z20" s="315"/>
      <c r="AA20" s="315"/>
      <c r="AB20" s="315"/>
      <c r="AC20" s="315"/>
      <c r="AD20" s="650"/>
      <c r="AE20" s="650"/>
      <c r="AF20" s="650"/>
      <c r="AG20" s="650"/>
      <c r="AJ20" s="650"/>
      <c r="AM20" s="653"/>
      <c r="AN20" s="653"/>
      <c r="AO20" s="653"/>
      <c r="AP20" s="653"/>
      <c r="AQ20" s="583"/>
      <c r="AR20" s="583"/>
    </row>
    <row r="21" spans="1:57" s="64" customFormat="1" ht="14.65" customHeight="1" x14ac:dyDescent="0.15">
      <c r="B21" s="326"/>
      <c r="E21" s="585">
        <v>15</v>
      </c>
      <c r="T21" s="315"/>
      <c r="U21" s="315"/>
      <c r="V21" s="315"/>
      <c r="W21" s="315"/>
      <c r="X21" s="315"/>
      <c r="Y21" s="315"/>
      <c r="Z21" s="315"/>
      <c r="AA21" s="315"/>
      <c r="AB21" s="59"/>
      <c r="AD21" s="267" t="str" cm="1">
        <f t="array" ref="AD21">tpl_title</f>
        <v>Кемеровская область / 2026 / КАО "Азот" (ИНН:4205000908, КПП:997550001) / ДПР: 2024-2028</v>
      </c>
      <c r="AM21" s="653"/>
      <c r="AN21" s="653"/>
      <c r="AO21" s="653"/>
      <c r="AP21" s="653"/>
      <c r="AQ21" s="583"/>
      <c r="AR21" s="583"/>
    </row>
    <row r="22" spans="1:57" ht="20.45" customHeight="1" x14ac:dyDescent="0.15">
      <c r="E22" s="463">
        <v>21</v>
      </c>
      <c r="S22"/>
      <c r="AB22"/>
      <c r="AC22" s="962" t="s">
        <v>36</v>
      </c>
      <c r="AD22" s="963"/>
      <c r="AE22" s="963"/>
      <c r="AF22" s="963"/>
      <c r="AG22" s="963"/>
      <c r="AH22" s="963"/>
      <c r="AI22" s="963"/>
      <c r="AJ22" s="963"/>
    </row>
    <row r="23" spans="1:57" ht="8.85" customHeight="1" x14ac:dyDescent="0.15">
      <c r="E23" s="463">
        <v>9</v>
      </c>
      <c r="AB23" s="32"/>
      <c r="AC23" s="32"/>
      <c r="AD23" s="32"/>
      <c r="AE23" s="32"/>
      <c r="AF23" s="32"/>
      <c r="AG23" s="980"/>
      <c r="AH23" s="980"/>
      <c r="AI23" s="14"/>
      <c r="AJ23" s="14"/>
    </row>
    <row r="24" spans="1:57" ht="20.45" customHeight="1" x14ac:dyDescent="0.15">
      <c r="E24" s="463">
        <v>21</v>
      </c>
      <c r="AB24" s="32"/>
      <c r="AC24" s="981" t="s">
        <v>21</v>
      </c>
      <c r="AD24" s="981" t="s">
        <v>367</v>
      </c>
      <c r="AE24" s="981" t="s">
        <v>368</v>
      </c>
      <c r="AF24" s="260" t="str">
        <f>god-2&amp;" год"</f>
        <v>2024 год</v>
      </c>
      <c r="AG24" s="11" t="str">
        <f>god-1&amp;" год"</f>
        <v>2025 год</v>
      </c>
      <c r="AH24" s="725" t="str">
        <f>god&amp;" год"</f>
        <v>2026 год</v>
      </c>
      <c r="AI24" s="11" t="str">
        <f>god&amp;" год"</f>
        <v>2026 год</v>
      </c>
      <c r="AJ24" s="982" t="s">
        <v>369</v>
      </c>
    </row>
    <row r="25" spans="1:57" s="38" customFormat="1" ht="35.1" customHeight="1" x14ac:dyDescent="0.15">
      <c r="B25" s="43"/>
      <c r="E25" s="458">
        <v>36</v>
      </c>
      <c r="F25" s="38" t="s">
        <v>370</v>
      </c>
      <c r="AC25" s="981"/>
      <c r="AD25" s="981"/>
      <c r="AE25" s="981"/>
      <c r="AF25" s="11" t="s">
        <v>360</v>
      </c>
      <c r="AG25" s="11" t="s">
        <v>360</v>
      </c>
      <c r="AH25" s="725" t="s">
        <v>361</v>
      </c>
      <c r="AI25" s="11" t="s">
        <v>360</v>
      </c>
      <c r="AJ25" s="983"/>
      <c r="AM25" s="656"/>
      <c r="AN25" s="656"/>
      <c r="AO25" s="656"/>
      <c r="AP25" s="656"/>
      <c r="AQ25" s="448"/>
      <c r="AR25" s="448"/>
    </row>
    <row r="26" spans="1:57" ht="11.25" customHeight="1" x14ac:dyDescent="0.15">
      <c r="A26"/>
      <c r="B26" s="479"/>
      <c r="C26"/>
      <c r="D26"/>
      <c r="E26" s="456" t="s">
        <v>371</v>
      </c>
      <c r="F26" s="86"/>
      <c r="G26" s="86"/>
      <c r="H26"/>
      <c r="I26"/>
      <c r="J26"/>
      <c r="K26"/>
      <c r="L26"/>
      <c r="M26"/>
      <c r="N26"/>
      <c r="O26"/>
      <c r="P26"/>
      <c r="Q26"/>
      <c r="R26"/>
      <c r="S26"/>
      <c r="T26" t="s">
        <v>372</v>
      </c>
      <c r="AB26"/>
      <c r="AC26"/>
      <c r="AD26" s="18"/>
      <c r="AE26" s="18"/>
      <c r="AF26" s="18"/>
      <c r="AG26" s="18"/>
      <c r="AH26"/>
      <c r="AI26"/>
      <c r="AJ26"/>
      <c r="AK26"/>
      <c r="AL26"/>
      <c r="AM26" s="661"/>
      <c r="AN26" s="661"/>
      <c r="AO26" s="661"/>
      <c r="AP26" s="661"/>
      <c r="AQ26" s="454"/>
      <c r="AR26" s="663"/>
      <c r="AS26"/>
      <c r="AT26"/>
      <c r="AU26"/>
      <c r="AV26"/>
      <c r="AW26"/>
      <c r="AX26"/>
      <c r="AY26"/>
      <c r="AZ26"/>
      <c r="BA26"/>
      <c r="BB26"/>
      <c r="BC26"/>
      <c r="BD26"/>
      <c r="BE26"/>
    </row>
    <row r="27" spans="1:57" s="38" customFormat="1" ht="14.65" hidden="1" customHeight="1" x14ac:dyDescent="0.15">
      <c r="B27" s="43"/>
      <c r="E27" s="458">
        <v>15</v>
      </c>
      <c r="F27" s="38" cm="1">
        <f t="array" ref="F27">Z27</f>
        <v>0</v>
      </c>
      <c r="T27" s="709" cm="1">
        <f t="array" ref="T27">INDEX('Общие сведения'!$AE$179:$AE$236,MATCH($Z27,'Общие сведения'!$Z$179:$Z$236,0))</f>
        <v>0</v>
      </c>
      <c r="V27" s="353" t="b">
        <f>Z27&gt;0</f>
        <v>0</v>
      </c>
      <c r="X27" s="38" t="s">
        <v>264</v>
      </c>
      <c r="Z27" s="966">
        <v>0</v>
      </c>
      <c r="AA27" s="967"/>
      <c r="AC27" s="94" t="str" cm="1">
        <f t="array" ref="AC27">INDEX('Общие сведения'!$AG$179:$AG$236,MATCH($Z27,'Общие сведения'!$Z$179:$Z$236,0))</f>
        <v xml:space="preserve">Тариф 0 () - </v>
      </c>
      <c r="AD27" s="94"/>
      <c r="AE27" s="88"/>
      <c r="AF27" s="88"/>
      <c r="AG27" s="88"/>
      <c r="AH27" s="88"/>
      <c r="AI27" s="88"/>
      <c r="AJ27" s="88"/>
      <c r="AM27" s="656"/>
      <c r="AN27" s="656"/>
      <c r="AO27" s="656"/>
      <c r="AP27" s="656"/>
      <c r="AQ27" s="448"/>
      <c r="AR27" s="448"/>
    </row>
    <row r="28" spans="1:57" s="38" customFormat="1" ht="14.65" hidden="1" customHeight="1" x14ac:dyDescent="0.15">
      <c r="B28" s="635" t="b">
        <f>AND(T27="Водоснабжение",method_reg&lt;&gt;"Метод сравнения аналогов")</f>
        <v>0</v>
      </c>
      <c r="E28" s="458">
        <v>15</v>
      </c>
      <c r="F28" s="59" cm="1">
        <f t="array" aca="1" ref="F28" ca="1">OFFSET(E28,-1,1)</f>
        <v>0</v>
      </c>
      <c r="G28" s="365"/>
      <c r="H28" s="38" t="s">
        <v>331</v>
      </c>
      <c r="I28" s="38" t="s">
        <v>373</v>
      </c>
      <c r="J28" s="38" t="str">
        <f t="shared" ref="J28:J36" si="0">AD28&amp;"::"&amp;AE28</f>
        <v>Водонасосные станции (водозаборные узлы)::ед.</v>
      </c>
      <c r="K28" s="40"/>
      <c r="V28" s="353" t="b" cm="1">
        <f t="array" ref="V28">V27</f>
        <v>0</v>
      </c>
      <c r="Z28" s="966"/>
      <c r="AA28" s="967"/>
      <c r="AC28" s="98">
        <v>1</v>
      </c>
      <c r="AD28" s="96" t="s">
        <v>374</v>
      </c>
      <c r="AE28" s="39" t="s">
        <v>375</v>
      </c>
      <c r="AF28" s="818"/>
      <c r="AG28" s="818"/>
      <c r="AH28" s="818"/>
      <c r="AI28" s="818"/>
      <c r="AJ28" s="819"/>
      <c r="AM28" s="656" t="s">
        <v>376</v>
      </c>
      <c r="AN28" s="656"/>
      <c r="AO28" s="656"/>
      <c r="AP28" s="656"/>
      <c r="AQ28" s="448"/>
      <c r="AR28" s="448"/>
    </row>
    <row r="29" spans="1:57" s="38" customFormat="1" ht="14.65" hidden="1" customHeight="1" x14ac:dyDescent="0.15">
      <c r="B29" s="635" t="b" cm="1">
        <f t="array" ref="B29">B28</f>
        <v>0</v>
      </c>
      <c r="E29" s="458">
        <v>15</v>
      </c>
      <c r="F29" s="59" cm="1">
        <f t="array" aca="1" ref="F29" ca="1">OFFSET(E29,-1,1)</f>
        <v>0</v>
      </c>
      <c r="G29" s="59"/>
      <c r="H29" s="38" t="s">
        <v>331</v>
      </c>
      <c r="I29" s="38" t="s">
        <v>373</v>
      </c>
      <c r="J29" s="38" t="str">
        <f t="shared" si="0"/>
        <v>Скважины::ед.</v>
      </c>
      <c r="V29" s="353" t="b" cm="1">
        <f t="array" ref="V29">V28</f>
        <v>0</v>
      </c>
      <c r="Z29" s="966"/>
      <c r="AA29" s="967"/>
      <c r="AC29" s="98">
        <v>2</v>
      </c>
      <c r="AD29" s="96" t="s">
        <v>377</v>
      </c>
      <c r="AE29" s="39" t="s">
        <v>375</v>
      </c>
      <c r="AF29" s="818"/>
      <c r="AG29" s="818"/>
      <c r="AH29" s="818"/>
      <c r="AI29" s="818"/>
      <c r="AJ29" s="819"/>
      <c r="AM29" s="656" t="s">
        <v>378</v>
      </c>
      <c r="AN29" s="656"/>
      <c r="AO29" s="656"/>
      <c r="AP29" s="656"/>
      <c r="AQ29" s="448"/>
      <c r="AR29" s="448"/>
    </row>
    <row r="30" spans="1:57" s="38" customFormat="1" ht="14.65" hidden="1" customHeight="1" x14ac:dyDescent="0.15">
      <c r="B30" s="635" t="b">
        <f>T27="Водоснабжение"</f>
        <v>0</v>
      </c>
      <c r="E30" s="458">
        <v>15</v>
      </c>
      <c r="F30" s="59" cm="1">
        <f t="array" aca="1" ref="F30" ca="1">OFFSET(E30,-1,1)</f>
        <v>0</v>
      </c>
      <c r="G30" s="59" t="s">
        <v>49</v>
      </c>
      <c r="H30" s="38" t="s">
        <v>331</v>
      </c>
      <c r="I30" s="38" t="s">
        <v>373</v>
      </c>
      <c r="J30" s="38" t="str">
        <f t="shared" si="0"/>
        <v>Подкачивающие насосные станции::ед.</v>
      </c>
      <c r="L30" s="38" t="s">
        <v>49</v>
      </c>
      <c r="V30" s="353" t="b" cm="1">
        <f t="array" ref="V30">V29</f>
        <v>0</v>
      </c>
      <c r="Z30" s="966"/>
      <c r="AA30" s="967"/>
      <c r="AC30" s="98">
        <f>IF(B29,3,1)</f>
        <v>1</v>
      </c>
      <c r="AD30" s="96" t="s">
        <v>379</v>
      </c>
      <c r="AE30" s="39" t="s">
        <v>375</v>
      </c>
      <c r="AF30" s="818"/>
      <c r="AG30" s="818"/>
      <c r="AH30" s="818"/>
      <c r="AI30" s="818"/>
      <c r="AJ30" s="819"/>
      <c r="AM30" s="656" t="s">
        <v>380</v>
      </c>
      <c r="AN30" s="656"/>
      <c r="AO30" s="656"/>
      <c r="AP30" s="656"/>
      <c r="AQ30" s="448"/>
      <c r="AR30" s="448"/>
    </row>
    <row r="31" spans="1:57" s="38" customFormat="1" ht="14.65" hidden="1" customHeight="1" x14ac:dyDescent="0.15">
      <c r="B31" s="635" t="b" cm="1">
        <f t="array" ref="B31">B29</f>
        <v>0</v>
      </c>
      <c r="E31" s="458">
        <v>15</v>
      </c>
      <c r="F31" s="59" cm="1">
        <f t="array" aca="1" ref="F31" ca="1">OFFSET(E31,-1,1)</f>
        <v>0</v>
      </c>
      <c r="G31" s="59"/>
      <c r="H31" s="38" t="s">
        <v>331</v>
      </c>
      <c r="I31" s="38" t="s">
        <v>373</v>
      </c>
      <c r="J31" s="38" t="str">
        <f t="shared" si="0"/>
        <v>Водонапорные башни::ед.</v>
      </c>
      <c r="V31" s="353" t="b" cm="1">
        <f t="array" ref="V31">V30</f>
        <v>0</v>
      </c>
      <c r="Z31" s="966"/>
      <c r="AA31" s="967"/>
      <c r="AC31" s="98">
        <v>4</v>
      </c>
      <c r="AD31" s="96" t="s">
        <v>381</v>
      </c>
      <c r="AE31" s="39" t="s">
        <v>375</v>
      </c>
      <c r="AF31" s="818"/>
      <c r="AG31" s="818"/>
      <c r="AH31" s="818"/>
      <c r="AI31" s="818"/>
      <c r="AJ31" s="819"/>
      <c r="AM31" s="656" t="s">
        <v>382</v>
      </c>
      <c r="AN31" s="656"/>
      <c r="AO31" s="656"/>
      <c r="AP31" s="656"/>
      <c r="AQ31" s="448"/>
      <c r="AR31" s="448"/>
    </row>
    <row r="32" spans="1:57" s="38" customFormat="1" ht="14.65" hidden="1" customHeight="1" x14ac:dyDescent="0.15">
      <c r="B32" s="635" t="b">
        <f>T27="Водоснабжение"</f>
        <v>0</v>
      </c>
      <c r="E32" s="458">
        <v>15</v>
      </c>
      <c r="F32" s="59" cm="1">
        <f t="array" aca="1" ref="F32" ca="1">OFFSET(E32,-1,1)</f>
        <v>0</v>
      </c>
      <c r="G32" s="59"/>
      <c r="H32" s="38" t="s">
        <v>331</v>
      </c>
      <c r="I32" s="38" t="s">
        <v>373</v>
      </c>
      <c r="J32" s="38" t="str">
        <f t="shared" si="0"/>
        <v>Водопроводные сети::км</v>
      </c>
      <c r="P32" s="38" t="s">
        <v>383</v>
      </c>
      <c r="Q32" s="38" t="s">
        <v>384</v>
      </c>
      <c r="V32" s="353" t="b" cm="1">
        <f t="array" ref="V32">V31</f>
        <v>0</v>
      </c>
      <c r="Z32" s="966"/>
      <c r="AA32" s="967"/>
      <c r="AC32" s="98">
        <f>IF(B29,5,2)</f>
        <v>2</v>
      </c>
      <c r="AD32" s="96" t="s">
        <v>385</v>
      </c>
      <c r="AE32" s="39" t="s">
        <v>386</v>
      </c>
      <c r="AF32" s="820"/>
      <c r="AG32" s="820"/>
      <c r="AH32" s="57"/>
      <c r="AI32" s="57"/>
      <c r="AJ32" s="819"/>
      <c r="AM32" s="656" t="s">
        <v>387</v>
      </c>
      <c r="AN32" s="656"/>
      <c r="AO32" s="656"/>
      <c r="AP32" s="656"/>
      <c r="AQ32" s="448"/>
      <c r="AR32" s="448"/>
    </row>
    <row r="33" spans="1:57" s="38" customFormat="1" ht="14.65" hidden="1" customHeight="1" x14ac:dyDescent="0.15">
      <c r="B33" s="635" t="b">
        <f>AND(T27="Водоотведение",method_reg&lt;&gt;"Метод сравнения аналогов")</f>
        <v>0</v>
      </c>
      <c r="E33" s="458">
        <v>15</v>
      </c>
      <c r="F33" s="59" cm="1">
        <f t="array" aca="1" ref="F33" ca="1">OFFSET(E33,-1,1)</f>
        <v>0</v>
      </c>
      <c r="G33" s="365"/>
      <c r="H33" s="38" t="s">
        <v>331</v>
      </c>
      <c r="I33" s="38" t="s">
        <v>373</v>
      </c>
      <c r="J33" s="38" t="str">
        <f t="shared" si="0"/>
        <v>Биологические очистные сооружения::ед.</v>
      </c>
      <c r="K33" s="40"/>
      <c r="V33" s="353" t="b" cm="1">
        <f t="array" ref="V33">V32</f>
        <v>0</v>
      </c>
      <c r="Z33" s="966"/>
      <c r="AA33" s="967"/>
      <c r="AC33" s="98">
        <v>1</v>
      </c>
      <c r="AD33" s="96" t="s">
        <v>388</v>
      </c>
      <c r="AE33" s="39" t="s">
        <v>375</v>
      </c>
      <c r="AF33" s="818"/>
      <c r="AG33" s="818"/>
      <c r="AH33" s="818"/>
      <c r="AI33" s="818"/>
      <c r="AJ33" s="819"/>
      <c r="AM33" s="656" t="s">
        <v>389</v>
      </c>
      <c r="AN33" s="656"/>
      <c r="AO33" s="656"/>
      <c r="AP33" s="656"/>
      <c r="AQ33" s="448"/>
      <c r="AR33" s="448"/>
    </row>
    <row r="34" spans="1:57" s="38" customFormat="1" ht="14.65" hidden="1" customHeight="1" x14ac:dyDescent="0.15">
      <c r="B34" s="635" t="b">
        <f>T27="Водоотведение"</f>
        <v>0</v>
      </c>
      <c r="E34" s="458">
        <v>15</v>
      </c>
      <c r="F34" s="59" cm="1">
        <f t="array" aca="1" ref="F34" ca="1">OFFSET(E34,-1,1)</f>
        <v>0</v>
      </c>
      <c r="G34" s="59" t="s">
        <v>49</v>
      </c>
      <c r="H34" s="38" t="s">
        <v>331</v>
      </c>
      <c r="I34" s="38" t="s">
        <v>373</v>
      </c>
      <c r="J34" s="38" t="str">
        <f t="shared" si="0"/>
        <v>Канализационные насосные станции::ед.</v>
      </c>
      <c r="V34" s="353" t="b" cm="1">
        <f t="array" ref="V34">V33</f>
        <v>0</v>
      </c>
      <c r="Z34" s="966"/>
      <c r="AA34" s="967"/>
      <c r="AC34" s="98">
        <f>IF(B33,2,1)</f>
        <v>1</v>
      </c>
      <c r="AD34" s="96" t="s">
        <v>390</v>
      </c>
      <c r="AE34" s="39" t="s">
        <v>375</v>
      </c>
      <c r="AF34" s="818"/>
      <c r="AG34" s="818"/>
      <c r="AH34" s="818"/>
      <c r="AI34" s="818"/>
      <c r="AJ34" s="819"/>
      <c r="AM34" s="656" t="s">
        <v>391</v>
      </c>
      <c r="AN34" s="656"/>
      <c r="AO34" s="656"/>
      <c r="AP34" s="656"/>
      <c r="AQ34" s="448"/>
      <c r="AR34" s="448"/>
    </row>
    <row r="35" spans="1:57" s="38" customFormat="1" ht="14.65" hidden="1" customHeight="1" x14ac:dyDescent="0.15">
      <c r="B35" s="635" t="b" cm="1">
        <f t="array" ref="B35">B34</f>
        <v>0</v>
      </c>
      <c r="E35" s="458">
        <v>15</v>
      </c>
      <c r="F35" s="59" cm="1">
        <f t="array" aca="1" ref="F35" ca="1">OFFSET(E35,-1,1)</f>
        <v>0</v>
      </c>
      <c r="G35" s="59"/>
      <c r="H35" s="38" t="s">
        <v>331</v>
      </c>
      <c r="I35" s="38" t="s">
        <v>373</v>
      </c>
      <c r="J35" s="38" t="str">
        <f t="shared" si="0"/>
        <v>Канализационные сети::км</v>
      </c>
      <c r="L35" s="38" t="s">
        <v>49</v>
      </c>
      <c r="P35" s="38" t="s">
        <v>383</v>
      </c>
      <c r="Q35" s="38" t="s">
        <v>384</v>
      </c>
      <c r="V35" s="353" t="b" cm="1">
        <f t="array" ref="V35">V34</f>
        <v>0</v>
      </c>
      <c r="Z35" s="966"/>
      <c r="AA35" s="967"/>
      <c r="AC35" s="98">
        <f>AC34+1</f>
        <v>2</v>
      </c>
      <c r="AD35" s="96" t="s">
        <v>392</v>
      </c>
      <c r="AE35" s="39" t="s">
        <v>386</v>
      </c>
      <c r="AF35" s="820"/>
      <c r="AG35" s="820"/>
      <c r="AH35" s="57"/>
      <c r="AI35" s="57"/>
      <c r="AJ35" s="819"/>
      <c r="AM35" s="656" t="s">
        <v>393</v>
      </c>
      <c r="AN35" s="656"/>
      <c r="AO35" s="656"/>
      <c r="AP35" s="656"/>
      <c r="AQ35" s="448"/>
      <c r="AR35" s="448"/>
    </row>
    <row r="36" spans="1:57" s="40" customFormat="1" ht="14.65" hidden="1" customHeight="1" x14ac:dyDescent="0.15">
      <c r="B36" s="43"/>
      <c r="E36" s="464">
        <v>15</v>
      </c>
      <c r="F36" s="59" cm="1">
        <f t="array" aca="1" ref="F36" ca="1">OFFSET(E36,-1,1)</f>
        <v>0</v>
      </c>
      <c r="G36" s="59"/>
      <c r="H36" s="40" t="s">
        <v>331</v>
      </c>
      <c r="I36" s="40" t="s">
        <v>373</v>
      </c>
      <c r="J36" s="40" t="str">
        <f t="shared" si="0"/>
        <v>::</v>
      </c>
      <c r="U36" s="38">
        <v>0</v>
      </c>
      <c r="V36" s="353" t="b">
        <f ca="1">AND(F36&gt;0,U36&gt;0)</f>
        <v>0</v>
      </c>
      <c r="Y36" s="517" t="s">
        <v>172</v>
      </c>
      <c r="Z36" s="966"/>
      <c r="AA36" s="967"/>
      <c r="AB36" s="320" t="s">
        <v>173</v>
      </c>
      <c r="AC36" s="98">
        <f ca="1">IF(OFFSET(C36,-8-U36,-1),5,IF(OFFSET(C36,-3-U36,-1),3,2))+U36</f>
        <v>2</v>
      </c>
      <c r="AD36" s="821"/>
      <c r="AE36" s="822"/>
      <c r="AF36" s="820"/>
      <c r="AG36" s="820"/>
      <c r="AH36" s="820"/>
      <c r="AI36" s="820"/>
      <c r="AJ36" s="819"/>
      <c r="AM36" s="662" t="s">
        <v>394</v>
      </c>
      <c r="AN36" s="662" t="s">
        <v>395</v>
      </c>
      <c r="AO36" s="664" cm="1">
        <f t="array" ref="AO36">AD36</f>
        <v>0</v>
      </c>
      <c r="AP36" s="664" cm="1">
        <f t="array" ref="AP36">AE36</f>
        <v>0</v>
      </c>
      <c r="AQ36" s="502"/>
      <c r="AR36" s="502" t="b">
        <v>1</v>
      </c>
    </row>
    <row r="37" spans="1:57" s="38" customFormat="1" ht="14.65" hidden="1" customHeight="1" x14ac:dyDescent="0.15">
      <c r="B37" s="43"/>
      <c r="E37" s="458">
        <v>15</v>
      </c>
      <c r="F37" s="59" cm="1">
        <f t="array" aca="1" ref="F37" ca="1">OFFSET(E37,-1,1)</f>
        <v>0</v>
      </c>
      <c r="G37" s="59"/>
      <c r="J37" s="37" t="s">
        <v>396</v>
      </c>
      <c r="V37" s="353" t="b" cm="1">
        <f t="array" ref="V37">V35</f>
        <v>0</v>
      </c>
      <c r="Y37" s="517" t="s">
        <v>397</v>
      </c>
      <c r="Z37" s="966"/>
      <c r="AA37" s="967"/>
      <c r="AC37" s="89"/>
      <c r="AD37" s="216" t="s">
        <v>176</v>
      </c>
      <c r="AE37" s="90"/>
      <c r="AF37" s="90"/>
      <c r="AG37" s="90"/>
      <c r="AH37" s="90"/>
      <c r="AI37" s="90"/>
      <c r="AJ37" s="101"/>
      <c r="AM37" s="656"/>
      <c r="AN37" s="656"/>
      <c r="AO37" s="656"/>
      <c r="AP37" s="656"/>
      <c r="AQ37" s="448" t="s">
        <v>395</v>
      </c>
      <c r="AR37" s="448"/>
    </row>
    <row r="38" spans="1:57" s="38" customFormat="1" ht="14.65" hidden="1" customHeight="1" x14ac:dyDescent="0.15">
      <c r="B38" s="43"/>
      <c r="E38" s="458">
        <v>15</v>
      </c>
      <c r="F38" s="59" cm="1">
        <f t="array" aca="1" ref="F38" ca="1">OFFSET(E38,-1,1)</f>
        <v>0</v>
      </c>
      <c r="G38" s="59"/>
      <c r="H38" s="38" t="s">
        <v>332</v>
      </c>
      <c r="I38" s="38" t="s">
        <v>373</v>
      </c>
      <c r="J38" s="270" t="str" cm="1">
        <f t="array" ref="J38">AD38</f>
        <v>Краткое описание технологического процесса</v>
      </c>
      <c r="V38" s="353" t="b" cm="1">
        <f t="array" ref="V38">V37</f>
        <v>0</v>
      </c>
      <c r="Z38" s="966"/>
      <c r="AA38" s="967"/>
      <c r="AC38" s="98"/>
      <c r="AD38" s="96" t="s">
        <v>398</v>
      </c>
      <c r="AE38" s="39"/>
      <c r="AF38" s="968"/>
      <c r="AG38" s="969"/>
      <c r="AH38" s="969"/>
      <c r="AI38" s="969"/>
      <c r="AJ38" s="970"/>
      <c r="AM38" s="656" t="s">
        <v>399</v>
      </c>
      <c r="AN38" s="656"/>
      <c r="AO38" s="656"/>
      <c r="AP38" s="656"/>
      <c r="AQ38" s="448"/>
      <c r="AR38" s="448"/>
    </row>
    <row r="39" spans="1:57" s="396" customFormat="1" ht="21.75" customHeight="1" x14ac:dyDescent="0.15">
      <c r="A39" s="38"/>
      <c r="B39" s="43"/>
      <c r="C39" s="38"/>
      <c r="D39" s="38"/>
      <c r="E39" s="458">
        <v>15</v>
      </c>
      <c r="F39" s="38" t="str" cm="1">
        <f t="array" ref="F39">Z39</f>
        <v>1</v>
      </c>
      <c r="G39" s="38"/>
      <c r="H39" s="38"/>
      <c r="I39" s="38"/>
      <c r="J39" s="38"/>
      <c r="K39" s="38"/>
      <c r="L39" s="38"/>
      <c r="M39" s="38"/>
      <c r="N39" s="38"/>
      <c r="O39" s="38"/>
      <c r="P39" s="38"/>
      <c r="Q39" s="38"/>
      <c r="R39" s="38"/>
      <c r="S39" s="38"/>
      <c r="T39" s="709" t="str" cm="1">
        <f t="array" ref="T39">INDEX('Общие сведения'!$AE$179:$AE$236,MATCH($Z39,'Общие сведения'!$Z$179:$Z$236,0))</f>
        <v>Водоснабжение</v>
      </c>
      <c r="U39" s="38"/>
      <c r="V39" s="353" t="b">
        <f>Z39&gt;0</f>
        <v>1</v>
      </c>
      <c r="W39" s="38"/>
      <c r="X39" s="38" t="str" cm="1">
        <f t="array" ref="X39">'Список территорий'!$AB$29</f>
        <v>Тариф 1 (Водоснабжение) - тариф на техническую воду</v>
      </c>
      <c r="Y39" s="38"/>
      <c r="Z39" s="966" t="s">
        <v>275</v>
      </c>
      <c r="AA39" s="967"/>
      <c r="AB39" s="38"/>
      <c r="AC39" s="94" t="str" cm="1">
        <f t="array" ref="AC39">'Список территорий'!$AB$29</f>
        <v>Тариф 1 (Водоснабжение) - тариф на техническую воду</v>
      </c>
      <c r="AD39" s="94"/>
      <c r="AE39" s="88"/>
      <c r="AF39" s="88"/>
      <c r="AG39" s="88"/>
      <c r="AH39" s="88"/>
      <c r="AI39" s="88"/>
      <c r="AJ39" s="88"/>
      <c r="AK39" s="38"/>
      <c r="AL39" s="38"/>
      <c r="AM39" s="656"/>
      <c r="AN39" s="656"/>
      <c r="AO39" s="656"/>
      <c r="AP39" s="656"/>
      <c r="AQ39" s="448"/>
      <c r="AR39" s="448"/>
      <c r="AS39" s="38"/>
      <c r="AT39" s="38"/>
      <c r="AU39" s="38"/>
      <c r="AV39" s="38"/>
      <c r="AW39" s="38"/>
      <c r="AX39" s="38"/>
      <c r="AY39" s="38"/>
      <c r="AZ39" s="38"/>
      <c r="BA39" s="38"/>
      <c r="BB39" s="38"/>
      <c r="BC39" s="38"/>
      <c r="BD39" s="38"/>
      <c r="BE39" s="38"/>
    </row>
    <row r="40" spans="1:57" s="396" customFormat="1" ht="29.85" customHeight="1" x14ac:dyDescent="0.15">
      <c r="A40" s="38"/>
      <c r="B40" s="635" t="b">
        <f>AND(T39="Водоснабжение",method_reg&lt;&gt;"Метод сравнения аналогов")</f>
        <v>1</v>
      </c>
      <c r="C40" s="38"/>
      <c r="D40" s="38"/>
      <c r="E40" s="458">
        <v>15</v>
      </c>
      <c r="F40" s="59" t="str" cm="1">
        <f t="array" aca="1" ref="F40" ca="1">OFFSET(E40,-1,1)</f>
        <v>1</v>
      </c>
      <c r="G40" s="365"/>
      <c r="H40" s="38" t="s">
        <v>331</v>
      </c>
      <c r="I40" s="38" t="s">
        <v>373</v>
      </c>
      <c r="J40" s="38" t="str">
        <f t="shared" ref="J40:J48" si="1">AD40&amp;"::"&amp;AE40</f>
        <v>Водонасосные станции (водозаборные узлы)::ед.</v>
      </c>
      <c r="K40" s="40"/>
      <c r="L40" s="38"/>
      <c r="M40" s="38"/>
      <c r="N40" s="38"/>
      <c r="O40" s="38"/>
      <c r="P40" s="38"/>
      <c r="Q40" s="38"/>
      <c r="R40" s="38"/>
      <c r="S40" s="38"/>
      <c r="T40" s="38"/>
      <c r="U40" s="38"/>
      <c r="V40" s="353" t="b" cm="1">
        <f t="array" ref="V40">V39</f>
        <v>1</v>
      </c>
      <c r="W40" s="38"/>
      <c r="X40" s="38"/>
      <c r="Y40" s="38"/>
      <c r="Z40" s="966"/>
      <c r="AA40" s="967"/>
      <c r="AB40" s="38"/>
      <c r="AC40" s="98">
        <v>1</v>
      </c>
      <c r="AD40" s="96" t="s">
        <v>374</v>
      </c>
      <c r="AE40" s="39" t="s">
        <v>375</v>
      </c>
      <c r="AF40" s="102">
        <v>1</v>
      </c>
      <c r="AG40" s="102">
        <v>1</v>
      </c>
      <c r="AH40" s="102"/>
      <c r="AI40" s="102">
        <v>1</v>
      </c>
      <c r="AJ40" s="103" t="s">
        <v>400</v>
      </c>
      <c r="AK40" s="38"/>
      <c r="AL40" s="38"/>
      <c r="AM40" s="656" t="s">
        <v>376</v>
      </c>
      <c r="AN40" s="656"/>
      <c r="AO40" s="656"/>
      <c r="AP40" s="656"/>
      <c r="AQ40" s="448"/>
      <c r="AR40" s="448"/>
      <c r="AS40" s="38"/>
      <c r="AT40" s="38"/>
      <c r="AU40" s="38"/>
      <c r="AV40" s="38"/>
      <c r="AW40" s="38"/>
      <c r="AX40" s="38"/>
      <c r="AY40" s="38"/>
      <c r="AZ40" s="38"/>
      <c r="BA40" s="38"/>
      <c r="BB40" s="38"/>
      <c r="BC40" s="38"/>
      <c r="BD40" s="38"/>
      <c r="BE40" s="38"/>
    </row>
    <row r="41" spans="1:57" s="396" customFormat="1" ht="14.25" customHeight="1" x14ac:dyDescent="0.15">
      <c r="A41" s="38"/>
      <c r="B41" s="635" t="b" cm="1">
        <f t="array" ref="B41">B40</f>
        <v>1</v>
      </c>
      <c r="C41" s="38"/>
      <c r="D41" s="38"/>
      <c r="E41" s="458">
        <v>15</v>
      </c>
      <c r="F41" s="59" t="str" cm="1">
        <f t="array" aca="1" ref="F41" ca="1">OFFSET(E41,-1,1)</f>
        <v>1</v>
      </c>
      <c r="G41" s="59"/>
      <c r="H41" s="38" t="s">
        <v>331</v>
      </c>
      <c r="I41" s="38" t="s">
        <v>373</v>
      </c>
      <c r="J41" s="38" t="str">
        <f t="shared" si="1"/>
        <v>Скважины::ед.</v>
      </c>
      <c r="K41" s="38"/>
      <c r="L41" s="38"/>
      <c r="M41" s="38"/>
      <c r="N41" s="38"/>
      <c r="O41" s="38"/>
      <c r="P41" s="38"/>
      <c r="Q41" s="38"/>
      <c r="R41" s="38"/>
      <c r="S41" s="38"/>
      <c r="T41" s="38"/>
      <c r="U41" s="38"/>
      <c r="V41" s="353" t="b" cm="1">
        <f t="array" ref="V41">V40</f>
        <v>1</v>
      </c>
      <c r="W41" s="38"/>
      <c r="X41" s="38"/>
      <c r="Y41" s="38"/>
      <c r="Z41" s="966"/>
      <c r="AA41" s="967"/>
      <c r="AB41" s="38"/>
      <c r="AC41" s="98">
        <v>2</v>
      </c>
      <c r="AD41" s="96" t="s">
        <v>377</v>
      </c>
      <c r="AE41" s="39" t="s">
        <v>375</v>
      </c>
      <c r="AF41" s="102"/>
      <c r="AG41" s="102"/>
      <c r="AH41" s="102"/>
      <c r="AI41" s="102"/>
      <c r="AJ41" s="103"/>
      <c r="AK41" s="38"/>
      <c r="AL41" s="38"/>
      <c r="AM41" s="656" t="s">
        <v>378</v>
      </c>
      <c r="AN41" s="656"/>
      <c r="AO41" s="656"/>
      <c r="AP41" s="656"/>
      <c r="AQ41" s="448"/>
      <c r="AR41" s="448"/>
      <c r="AS41" s="38"/>
      <c r="AT41" s="38"/>
      <c r="AU41" s="38"/>
      <c r="AV41" s="38"/>
      <c r="AW41" s="38"/>
      <c r="AX41" s="38"/>
      <c r="AY41" s="38"/>
      <c r="AZ41" s="38"/>
      <c r="BA41" s="38"/>
      <c r="BB41" s="38"/>
      <c r="BC41" s="38"/>
      <c r="BD41" s="38"/>
      <c r="BE41" s="38"/>
    </row>
    <row r="42" spans="1:57" s="396" customFormat="1" ht="29.25" customHeight="1" x14ac:dyDescent="0.15">
      <c r="A42" s="38"/>
      <c r="B42" s="635" t="b">
        <f>T39="Водоснабжение"</f>
        <v>1</v>
      </c>
      <c r="C42" s="38"/>
      <c r="D42" s="38"/>
      <c r="E42" s="458">
        <v>15</v>
      </c>
      <c r="F42" s="59" t="str" cm="1">
        <f t="array" aca="1" ref="F42" ca="1">OFFSET(E42,-1,1)</f>
        <v>1</v>
      </c>
      <c r="G42" s="59" t="s">
        <v>49</v>
      </c>
      <c r="H42" s="38" t="s">
        <v>331</v>
      </c>
      <c r="I42" s="38" t="s">
        <v>373</v>
      </c>
      <c r="J42" s="38" t="str">
        <f t="shared" si="1"/>
        <v>Подкачивающие насосные станции::ед.</v>
      </c>
      <c r="K42" s="38"/>
      <c r="L42" s="38" t="s">
        <v>49</v>
      </c>
      <c r="M42" s="38"/>
      <c r="N42" s="38"/>
      <c r="O42" s="38"/>
      <c r="P42" s="38"/>
      <c r="Q42" s="38"/>
      <c r="R42" s="38"/>
      <c r="S42" s="38"/>
      <c r="T42" s="38"/>
      <c r="U42" s="38"/>
      <c r="V42" s="353" t="b" cm="1">
        <f t="array" ref="V42">V41</f>
        <v>1</v>
      </c>
      <c r="W42" s="38"/>
      <c r="X42" s="38"/>
      <c r="Y42" s="38"/>
      <c r="Z42" s="966"/>
      <c r="AA42" s="967"/>
      <c r="AB42" s="38"/>
      <c r="AC42" s="98">
        <f>IF(B41,3,1)</f>
        <v>3</v>
      </c>
      <c r="AD42" s="96" t="s">
        <v>379</v>
      </c>
      <c r="AE42" s="39" t="s">
        <v>375</v>
      </c>
      <c r="AF42" s="102">
        <v>3</v>
      </c>
      <c r="AG42" s="102">
        <v>3</v>
      </c>
      <c r="AH42" s="102"/>
      <c r="AI42" s="102">
        <v>3</v>
      </c>
      <c r="AJ42" s="103" t="s">
        <v>401</v>
      </c>
      <c r="AK42" s="38"/>
      <c r="AL42" s="38"/>
      <c r="AM42" s="656" t="s">
        <v>380</v>
      </c>
      <c r="AN42" s="656"/>
      <c r="AO42" s="656"/>
      <c r="AP42" s="656"/>
      <c r="AQ42" s="448"/>
      <c r="AR42" s="448"/>
      <c r="AS42" s="38"/>
      <c r="AT42" s="38"/>
      <c r="AU42" s="38"/>
      <c r="AV42" s="38"/>
      <c r="AW42" s="38"/>
      <c r="AX42" s="38"/>
      <c r="AY42" s="38"/>
      <c r="AZ42" s="38"/>
      <c r="BA42" s="38"/>
      <c r="BB42" s="38"/>
      <c r="BC42" s="38"/>
      <c r="BD42" s="38"/>
      <c r="BE42" s="38"/>
    </row>
    <row r="43" spans="1:57" s="396" customFormat="1" ht="14.25" customHeight="1" x14ac:dyDescent="0.15">
      <c r="A43" s="38"/>
      <c r="B43" s="635" t="b" cm="1">
        <f t="array" ref="B43">B41</f>
        <v>1</v>
      </c>
      <c r="C43" s="38"/>
      <c r="D43" s="38"/>
      <c r="E43" s="458">
        <v>15</v>
      </c>
      <c r="F43" s="59" t="str" cm="1">
        <f t="array" aca="1" ref="F43" ca="1">OFFSET(E43,-1,1)</f>
        <v>1</v>
      </c>
      <c r="G43" s="59"/>
      <c r="H43" s="38" t="s">
        <v>331</v>
      </c>
      <c r="I43" s="38" t="s">
        <v>373</v>
      </c>
      <c r="J43" s="38" t="str">
        <f t="shared" si="1"/>
        <v>Водонапорные башни::ед.</v>
      </c>
      <c r="K43" s="38"/>
      <c r="L43" s="38"/>
      <c r="M43" s="38"/>
      <c r="N43" s="38"/>
      <c r="O43" s="38"/>
      <c r="P43" s="38"/>
      <c r="Q43" s="38"/>
      <c r="R43" s="38"/>
      <c r="S43" s="38"/>
      <c r="T43" s="38"/>
      <c r="U43" s="38"/>
      <c r="V43" s="353" t="b" cm="1">
        <f t="array" ref="V43">V42</f>
        <v>1</v>
      </c>
      <c r="W43" s="38"/>
      <c r="X43" s="38"/>
      <c r="Y43" s="38"/>
      <c r="Z43" s="966"/>
      <c r="AA43" s="967"/>
      <c r="AB43" s="38"/>
      <c r="AC43" s="98">
        <v>4</v>
      </c>
      <c r="AD43" s="96" t="s">
        <v>381</v>
      </c>
      <c r="AE43" s="39" t="s">
        <v>375</v>
      </c>
      <c r="AF43" s="102"/>
      <c r="AG43" s="102"/>
      <c r="AH43" s="102"/>
      <c r="AI43" s="102"/>
      <c r="AJ43" s="103"/>
      <c r="AK43" s="38"/>
      <c r="AL43" s="38"/>
      <c r="AM43" s="656" t="s">
        <v>382</v>
      </c>
      <c r="AN43" s="656"/>
      <c r="AO43" s="656"/>
      <c r="AP43" s="656"/>
      <c r="AQ43" s="448"/>
      <c r="AR43" s="448"/>
      <c r="AS43" s="38"/>
      <c r="AT43" s="38"/>
      <c r="AU43" s="38"/>
      <c r="AV43" s="38"/>
      <c r="AW43" s="38"/>
      <c r="AX43" s="38"/>
      <c r="AY43" s="38"/>
      <c r="AZ43" s="38"/>
      <c r="BA43" s="38"/>
      <c r="BB43" s="38"/>
      <c r="BC43" s="38"/>
      <c r="BD43" s="38"/>
      <c r="BE43" s="38"/>
    </row>
    <row r="44" spans="1:57" s="396" customFormat="1" ht="14.65" customHeight="1" x14ac:dyDescent="0.15">
      <c r="A44" s="38"/>
      <c r="B44" s="635" t="b">
        <f>T39="Водоснабжение"</f>
        <v>1</v>
      </c>
      <c r="C44" s="38"/>
      <c r="D44" s="38"/>
      <c r="E44" s="458">
        <v>15</v>
      </c>
      <c r="F44" s="59" t="str" cm="1">
        <f t="array" aca="1" ref="F44" ca="1">OFFSET(E44,-1,1)</f>
        <v>1</v>
      </c>
      <c r="G44" s="59"/>
      <c r="H44" s="38" t="s">
        <v>331</v>
      </c>
      <c r="I44" s="38" t="s">
        <v>373</v>
      </c>
      <c r="J44" s="38" t="str">
        <f t="shared" si="1"/>
        <v>Водопроводные сети::км</v>
      </c>
      <c r="K44" s="38"/>
      <c r="L44" s="38"/>
      <c r="M44" s="38"/>
      <c r="N44" s="38"/>
      <c r="O44" s="38"/>
      <c r="P44" s="38" t="s">
        <v>383</v>
      </c>
      <c r="Q44" s="38" t="s">
        <v>384</v>
      </c>
      <c r="R44" s="38"/>
      <c r="S44" s="38"/>
      <c r="T44" s="38"/>
      <c r="U44" s="38"/>
      <c r="V44" s="353" t="b" cm="1">
        <f t="array" ref="V44">V43</f>
        <v>1</v>
      </c>
      <c r="W44" s="38"/>
      <c r="X44" s="38"/>
      <c r="Y44" s="38"/>
      <c r="Z44" s="966"/>
      <c r="AA44" s="967"/>
      <c r="AB44" s="38"/>
      <c r="AC44" s="98">
        <f>IF(B41,5,2)</f>
        <v>5</v>
      </c>
      <c r="AD44" s="96" t="s">
        <v>385</v>
      </c>
      <c r="AE44" s="39" t="s">
        <v>386</v>
      </c>
      <c r="AF44" s="57">
        <v>66.173000000000002</v>
      </c>
      <c r="AG44" s="57">
        <v>66.173000000000002</v>
      </c>
      <c r="AH44" s="57"/>
      <c r="AI44" s="57">
        <v>66.173000000000002</v>
      </c>
      <c r="AJ44" s="103"/>
      <c r="AK44" s="38"/>
      <c r="AL44" s="38"/>
      <c r="AM44" s="656" t="s">
        <v>387</v>
      </c>
      <c r="AN44" s="656"/>
      <c r="AO44" s="656"/>
      <c r="AP44" s="656"/>
      <c r="AQ44" s="448"/>
      <c r="AR44" s="448"/>
      <c r="AS44" s="38"/>
      <c r="AT44" s="38"/>
      <c r="AU44" s="38"/>
      <c r="AV44" s="38"/>
      <c r="AW44" s="38"/>
      <c r="AX44" s="38"/>
      <c r="AY44" s="38"/>
      <c r="AZ44" s="38"/>
      <c r="BA44" s="38"/>
      <c r="BB44" s="38"/>
      <c r="BC44" s="38"/>
      <c r="BD44" s="38"/>
      <c r="BE44" s="38"/>
    </row>
    <row r="45" spans="1:57" s="396" customFormat="1" ht="14.25" hidden="1" customHeight="1" x14ac:dyDescent="0.15">
      <c r="A45" s="38"/>
      <c r="B45" s="635" t="b">
        <f>AND(T39="Водоотведение",method_reg&lt;&gt;"Метод сравнения аналогов")</f>
        <v>0</v>
      </c>
      <c r="C45" s="38"/>
      <c r="D45" s="38"/>
      <c r="E45" s="458">
        <v>15</v>
      </c>
      <c r="F45" s="59" t="str" cm="1">
        <f t="array" aca="1" ref="F45" ca="1">OFFSET(E45,-1,1)</f>
        <v>1</v>
      </c>
      <c r="G45" s="365"/>
      <c r="H45" s="38" t="s">
        <v>331</v>
      </c>
      <c r="I45" s="38" t="s">
        <v>373</v>
      </c>
      <c r="J45" s="38" t="str">
        <f t="shared" si="1"/>
        <v>Биологические очистные сооружения::ед.</v>
      </c>
      <c r="K45" s="40"/>
      <c r="L45" s="38"/>
      <c r="M45" s="38"/>
      <c r="N45" s="38"/>
      <c r="O45" s="38"/>
      <c r="P45" s="38"/>
      <c r="Q45" s="38"/>
      <c r="R45" s="38"/>
      <c r="S45" s="38"/>
      <c r="T45" s="38"/>
      <c r="U45" s="38"/>
      <c r="V45" s="353" t="b" cm="1">
        <f t="array" ref="V45">V44</f>
        <v>1</v>
      </c>
      <c r="W45" s="38"/>
      <c r="X45" s="38"/>
      <c r="Y45" s="38"/>
      <c r="Z45" s="966"/>
      <c r="AA45" s="967"/>
      <c r="AB45" s="38"/>
      <c r="AC45" s="98">
        <v>1</v>
      </c>
      <c r="AD45" s="96" t="s">
        <v>388</v>
      </c>
      <c r="AE45" s="39" t="s">
        <v>375</v>
      </c>
      <c r="AF45" s="818"/>
      <c r="AG45" s="818"/>
      <c r="AH45" s="818"/>
      <c r="AI45" s="818"/>
      <c r="AJ45" s="819"/>
      <c r="AK45" s="38"/>
      <c r="AL45" s="38"/>
      <c r="AM45" s="656" t="s">
        <v>389</v>
      </c>
      <c r="AN45" s="656"/>
      <c r="AO45" s="656"/>
      <c r="AP45" s="656"/>
      <c r="AQ45" s="448"/>
      <c r="AR45" s="448"/>
      <c r="AS45" s="38"/>
      <c r="AT45" s="38"/>
      <c r="AU45" s="38"/>
      <c r="AV45" s="38"/>
      <c r="AW45" s="38"/>
      <c r="AX45" s="38"/>
      <c r="AY45" s="38"/>
      <c r="AZ45" s="38"/>
      <c r="BA45" s="38"/>
      <c r="BB45" s="38"/>
      <c r="BC45" s="38"/>
      <c r="BD45" s="38"/>
      <c r="BE45" s="38"/>
    </row>
    <row r="46" spans="1:57" s="396" customFormat="1" ht="14.25" hidden="1" customHeight="1" x14ac:dyDescent="0.15">
      <c r="A46" s="38"/>
      <c r="B46" s="635" t="b">
        <f>T39="Водоотведение"</f>
        <v>0</v>
      </c>
      <c r="C46" s="38"/>
      <c r="D46" s="38"/>
      <c r="E46" s="458">
        <v>15</v>
      </c>
      <c r="F46" s="59" t="str" cm="1">
        <f t="array" aca="1" ref="F46" ca="1">OFFSET(E46,-1,1)</f>
        <v>1</v>
      </c>
      <c r="G46" s="59" t="s">
        <v>49</v>
      </c>
      <c r="H46" s="38" t="s">
        <v>331</v>
      </c>
      <c r="I46" s="38" t="s">
        <v>373</v>
      </c>
      <c r="J46" s="38" t="str">
        <f t="shared" si="1"/>
        <v>Канализационные насосные станции::ед.</v>
      </c>
      <c r="K46" s="38"/>
      <c r="L46" s="38"/>
      <c r="M46" s="38"/>
      <c r="N46" s="38"/>
      <c r="O46" s="38"/>
      <c r="P46" s="38"/>
      <c r="Q46" s="38"/>
      <c r="R46" s="38"/>
      <c r="S46" s="38"/>
      <c r="T46" s="38"/>
      <c r="U46" s="38"/>
      <c r="V46" s="353" t="b" cm="1">
        <f t="array" ref="V46">V45</f>
        <v>1</v>
      </c>
      <c r="W46" s="38"/>
      <c r="X46" s="38"/>
      <c r="Y46" s="38"/>
      <c r="Z46" s="966"/>
      <c r="AA46" s="967"/>
      <c r="AB46" s="38"/>
      <c r="AC46" s="98">
        <f>IF(B45,2,1)</f>
        <v>1</v>
      </c>
      <c r="AD46" s="96" t="s">
        <v>390</v>
      </c>
      <c r="AE46" s="39" t="s">
        <v>375</v>
      </c>
      <c r="AF46" s="818"/>
      <c r="AG46" s="818"/>
      <c r="AH46" s="818"/>
      <c r="AI46" s="818"/>
      <c r="AJ46" s="819"/>
      <c r="AK46" s="38"/>
      <c r="AL46" s="38"/>
      <c r="AM46" s="656" t="s">
        <v>391</v>
      </c>
      <c r="AN46" s="656"/>
      <c r="AO46" s="656"/>
      <c r="AP46" s="656"/>
      <c r="AQ46" s="448"/>
      <c r="AR46" s="448"/>
      <c r="AS46" s="38"/>
      <c r="AT46" s="38"/>
      <c r="AU46" s="38"/>
      <c r="AV46" s="38"/>
      <c r="AW46" s="38"/>
      <c r="AX46" s="38"/>
      <c r="AY46" s="38"/>
      <c r="AZ46" s="38"/>
      <c r="BA46" s="38"/>
      <c r="BB46" s="38"/>
      <c r="BC46" s="38"/>
      <c r="BD46" s="38"/>
      <c r="BE46" s="38"/>
    </row>
    <row r="47" spans="1:57" s="396" customFormat="1" ht="14.25" hidden="1" customHeight="1" x14ac:dyDescent="0.15">
      <c r="A47" s="38"/>
      <c r="B47" s="635" t="b" cm="1">
        <f t="array" ref="B47">B46</f>
        <v>0</v>
      </c>
      <c r="C47" s="38"/>
      <c r="D47" s="38"/>
      <c r="E47" s="458">
        <v>15</v>
      </c>
      <c r="F47" s="59" t="str" cm="1">
        <f t="array" aca="1" ref="F47" ca="1">OFFSET(E47,-1,1)</f>
        <v>1</v>
      </c>
      <c r="G47" s="59"/>
      <c r="H47" s="38" t="s">
        <v>331</v>
      </c>
      <c r="I47" s="38" t="s">
        <v>373</v>
      </c>
      <c r="J47" s="38" t="str">
        <f t="shared" si="1"/>
        <v>Канализационные сети::км</v>
      </c>
      <c r="K47" s="38"/>
      <c r="L47" s="38" t="s">
        <v>49</v>
      </c>
      <c r="M47" s="38"/>
      <c r="N47" s="38"/>
      <c r="O47" s="38"/>
      <c r="P47" s="38" t="s">
        <v>383</v>
      </c>
      <c r="Q47" s="38" t="s">
        <v>384</v>
      </c>
      <c r="R47" s="38"/>
      <c r="S47" s="38"/>
      <c r="T47" s="38"/>
      <c r="U47" s="38"/>
      <c r="V47" s="353" t="b" cm="1">
        <f t="array" ref="V47">V46</f>
        <v>1</v>
      </c>
      <c r="W47" s="38"/>
      <c r="X47" s="38"/>
      <c r="Y47" s="38"/>
      <c r="Z47" s="966"/>
      <c r="AA47" s="967"/>
      <c r="AB47" s="38"/>
      <c r="AC47" s="98">
        <f>AC46+1</f>
        <v>2</v>
      </c>
      <c r="AD47" s="96" t="s">
        <v>392</v>
      </c>
      <c r="AE47" s="39" t="s">
        <v>386</v>
      </c>
      <c r="AF47" s="820"/>
      <c r="AG47" s="820"/>
      <c r="AH47" s="57"/>
      <c r="AI47" s="57"/>
      <c r="AJ47" s="819"/>
      <c r="AK47" s="38"/>
      <c r="AL47" s="38"/>
      <c r="AM47" s="656" t="s">
        <v>393</v>
      </c>
      <c r="AN47" s="656"/>
      <c r="AO47" s="656"/>
      <c r="AP47" s="656"/>
      <c r="AQ47" s="448"/>
      <c r="AR47" s="448"/>
      <c r="AS47" s="38"/>
      <c r="AT47" s="38"/>
      <c r="AU47" s="38"/>
      <c r="AV47" s="38"/>
      <c r="AW47" s="38"/>
      <c r="AX47" s="38"/>
      <c r="AY47" s="38"/>
      <c r="AZ47" s="38"/>
      <c r="BA47" s="38"/>
      <c r="BB47" s="38"/>
      <c r="BC47" s="38"/>
      <c r="BD47" s="38"/>
      <c r="BE47" s="38"/>
    </row>
    <row r="48" spans="1:57" s="40" customFormat="1" ht="14.25" hidden="1" customHeight="1" x14ac:dyDescent="0.15">
      <c r="B48" s="43"/>
      <c r="E48" s="464">
        <v>15</v>
      </c>
      <c r="F48" s="59" t="str" cm="1">
        <f t="array" aca="1" ref="F48" ca="1">OFFSET(E48,-1,1)</f>
        <v>1</v>
      </c>
      <c r="G48" s="59"/>
      <c r="H48" s="40" t="s">
        <v>331</v>
      </c>
      <c r="I48" s="40" t="s">
        <v>373</v>
      </c>
      <c r="J48" s="40" t="str">
        <f t="shared" si="1"/>
        <v>::</v>
      </c>
      <c r="U48" s="38">
        <v>0</v>
      </c>
      <c r="V48" s="353" t="b">
        <f ca="1">AND(F48&gt;0,U48&gt;0)</f>
        <v>0</v>
      </c>
      <c r="Y48" s="517" t="s">
        <v>172</v>
      </c>
      <c r="Z48" s="966"/>
      <c r="AA48" s="967"/>
      <c r="AB48" s="320" t="s">
        <v>173</v>
      </c>
      <c r="AC48" s="98">
        <f ca="1">IF(OFFSET(C48,-8-U48,-1),5,IF(OFFSET(C48,-3-U48,-1),3,2))+U48</f>
        <v>5</v>
      </c>
      <c r="AD48" s="821"/>
      <c r="AE48" s="822"/>
      <c r="AF48" s="820"/>
      <c r="AG48" s="820"/>
      <c r="AH48" s="820"/>
      <c r="AI48" s="820"/>
      <c r="AJ48" s="819"/>
      <c r="AM48" s="662" t="s">
        <v>394</v>
      </c>
      <c r="AN48" s="662" t="s">
        <v>395</v>
      </c>
      <c r="AO48" s="664" cm="1">
        <f t="array" ref="AO48">AD48</f>
        <v>0</v>
      </c>
      <c r="AP48" s="664" cm="1">
        <f t="array" ref="AP48">AE48</f>
        <v>0</v>
      </c>
      <c r="AQ48" s="502"/>
      <c r="AR48" s="502" t="b">
        <v>1</v>
      </c>
    </row>
    <row r="49" spans="1:57" s="396" customFormat="1" ht="14.25" customHeight="1" x14ac:dyDescent="0.15">
      <c r="A49" s="38"/>
      <c r="B49" s="43"/>
      <c r="C49" s="38"/>
      <c r="D49" s="38"/>
      <c r="E49" s="458">
        <v>15</v>
      </c>
      <c r="F49" s="59" t="str" cm="1">
        <f t="array" aca="1" ref="F49" ca="1">OFFSET(E49,-1,1)</f>
        <v>1</v>
      </c>
      <c r="G49" s="59"/>
      <c r="H49" s="38"/>
      <c r="I49" s="38"/>
      <c r="J49" s="37" t="s">
        <v>396</v>
      </c>
      <c r="K49" s="38"/>
      <c r="L49" s="38"/>
      <c r="M49" s="38"/>
      <c r="N49" s="38"/>
      <c r="O49" s="38"/>
      <c r="P49" s="38"/>
      <c r="Q49" s="38"/>
      <c r="R49" s="38"/>
      <c r="S49" s="38"/>
      <c r="T49" s="38"/>
      <c r="U49" s="38"/>
      <c r="V49" s="353" t="b" cm="1">
        <f t="array" ref="V49">V47</f>
        <v>1</v>
      </c>
      <c r="W49" s="38"/>
      <c r="X49" s="38"/>
      <c r="Y49" s="517" t="s">
        <v>397</v>
      </c>
      <c r="Z49" s="966"/>
      <c r="AA49" s="967"/>
      <c r="AB49" s="38"/>
      <c r="AC49" s="89"/>
      <c r="AD49" s="216" t="s">
        <v>176</v>
      </c>
      <c r="AE49" s="90"/>
      <c r="AF49" s="90"/>
      <c r="AG49" s="90"/>
      <c r="AH49" s="90"/>
      <c r="AI49" s="90"/>
      <c r="AJ49" s="101"/>
      <c r="AK49" s="38"/>
      <c r="AL49" s="38"/>
      <c r="AM49" s="656"/>
      <c r="AN49" s="656"/>
      <c r="AO49" s="656"/>
      <c r="AP49" s="656"/>
      <c r="AQ49" s="448" t="s">
        <v>395</v>
      </c>
      <c r="AR49" s="448"/>
      <c r="AS49" s="38"/>
      <c r="AT49" s="38"/>
      <c r="AU49" s="38"/>
      <c r="AV49" s="38"/>
      <c r="AW49" s="38"/>
      <c r="AX49" s="38"/>
      <c r="AY49" s="38"/>
      <c r="AZ49" s="38"/>
      <c r="BA49" s="38"/>
      <c r="BB49" s="38"/>
      <c r="BC49" s="38"/>
      <c r="BD49" s="38"/>
      <c r="BE49" s="38"/>
    </row>
    <row r="50" spans="1:57" s="396" customFormat="1" ht="65.25" customHeight="1" x14ac:dyDescent="0.15">
      <c r="A50" s="38"/>
      <c r="B50" s="43"/>
      <c r="C50" s="38"/>
      <c r="D50" s="38"/>
      <c r="E50" s="458">
        <v>15</v>
      </c>
      <c r="F50" s="59" t="str" cm="1">
        <f t="array" aca="1" ref="F50" ca="1">OFFSET(E50,-1,1)</f>
        <v>1</v>
      </c>
      <c r="G50" s="59"/>
      <c r="H50" s="38" t="s">
        <v>332</v>
      </c>
      <c r="I50" s="38" t="s">
        <v>373</v>
      </c>
      <c r="J50" s="270" t="str" cm="1">
        <f t="array" ref="J50">AD50</f>
        <v>Краткое описание технологического процесса</v>
      </c>
      <c r="K50" s="38"/>
      <c r="L50" s="38"/>
      <c r="M50" s="38"/>
      <c r="N50" s="38"/>
      <c r="O50" s="38"/>
      <c r="P50" s="38"/>
      <c r="Q50" s="38"/>
      <c r="R50" s="38"/>
      <c r="S50" s="38"/>
      <c r="T50" s="38"/>
      <c r="U50" s="38"/>
      <c r="V50" s="353" t="b" cm="1">
        <f t="array" ref="V50">V49</f>
        <v>1</v>
      </c>
      <c r="W50" s="38"/>
      <c r="X50" s="38"/>
      <c r="Y50" s="38"/>
      <c r="Z50" s="966"/>
      <c r="AA50" s="967"/>
      <c r="AB50" s="38"/>
      <c r="AC50" s="98"/>
      <c r="AD50" s="96" t="s">
        <v>398</v>
      </c>
      <c r="AE50" s="39"/>
      <c r="AF50" s="984" t="s">
        <v>402</v>
      </c>
      <c r="AG50" s="985"/>
      <c r="AH50" s="985"/>
      <c r="AI50" s="985"/>
      <c r="AJ50" s="986"/>
      <c r="AK50" s="38"/>
      <c r="AL50" s="38"/>
      <c r="AM50" s="656" t="s">
        <v>399</v>
      </c>
      <c r="AN50" s="656"/>
      <c r="AO50" s="656"/>
      <c r="AP50" s="656"/>
      <c r="AQ50" s="448"/>
      <c r="AR50" s="448"/>
      <c r="AS50" s="38"/>
      <c r="AT50" s="38"/>
      <c r="AU50" s="38"/>
      <c r="AV50" s="38"/>
      <c r="AW50" s="38"/>
      <c r="AX50" s="38"/>
      <c r="AY50" s="38"/>
      <c r="AZ50" s="38"/>
      <c r="BA50" s="38"/>
      <c r="BB50" s="38"/>
      <c r="BC50" s="38"/>
      <c r="BD50" s="38"/>
      <c r="BE50" s="38"/>
    </row>
    <row r="51" spans="1:57" s="396" customFormat="1" ht="21.75" customHeight="1" x14ac:dyDescent="0.15">
      <c r="A51" s="38"/>
      <c r="B51" s="43"/>
      <c r="C51" s="38"/>
      <c r="D51" s="38"/>
      <c r="E51" s="458">
        <v>15</v>
      </c>
      <c r="F51" s="38" t="str" cm="1">
        <f t="array" ref="F51">Z51</f>
        <v>2</v>
      </c>
      <c r="G51" s="38"/>
      <c r="H51" s="38"/>
      <c r="I51" s="38"/>
      <c r="J51" s="38"/>
      <c r="K51" s="38"/>
      <c r="L51" s="38"/>
      <c r="M51" s="38"/>
      <c r="N51" s="38"/>
      <c r="O51" s="38"/>
      <c r="P51" s="38"/>
      <c r="Q51" s="38"/>
      <c r="R51" s="38"/>
      <c r="S51" s="38"/>
      <c r="T51" s="709" t="str" cm="1">
        <f t="array" ref="T51">INDEX('Общие сведения'!$AE$179:$AE$236,MATCH($Z51,'Общие сведения'!$Z$179:$Z$236,0))</f>
        <v>Водоотведение</v>
      </c>
      <c r="U51" s="38"/>
      <c r="V51" s="353" t="b">
        <f>Z51&gt;0</f>
        <v>1</v>
      </c>
      <c r="W51" s="38"/>
      <c r="X51" s="38" t="str" cm="1">
        <f t="array" ref="X51">'Список территорий'!$AB$33</f>
        <v>Тариф 2 (Водоотведение) - тариф на водоотведение</v>
      </c>
      <c r="Y51" s="38"/>
      <c r="Z51" s="966" t="s">
        <v>285</v>
      </c>
      <c r="AA51" s="967"/>
      <c r="AB51" s="38"/>
      <c r="AC51" s="94" t="str" cm="1">
        <f t="array" ref="AC51">'Список территорий'!$AB$33</f>
        <v>Тариф 2 (Водоотведение) - тариф на водоотведение</v>
      </c>
      <c r="AD51" s="94"/>
      <c r="AE51" s="88"/>
      <c r="AF51" s="88"/>
      <c r="AG51" s="88"/>
      <c r="AH51" s="88"/>
      <c r="AI51" s="88"/>
      <c r="AJ51" s="88"/>
      <c r="AK51" s="38"/>
      <c r="AL51" s="38"/>
      <c r="AM51" s="656"/>
      <c r="AN51" s="656"/>
      <c r="AO51" s="656"/>
      <c r="AP51" s="656"/>
      <c r="AQ51" s="448"/>
      <c r="AR51" s="448"/>
      <c r="AS51" s="38"/>
      <c r="AT51" s="38"/>
      <c r="AU51" s="38"/>
      <c r="AV51" s="38"/>
      <c r="AW51" s="38"/>
      <c r="AX51" s="38"/>
      <c r="AY51" s="38"/>
      <c r="AZ51" s="38"/>
      <c r="BA51" s="38"/>
      <c r="BB51" s="38"/>
      <c r="BC51" s="38"/>
      <c r="BD51" s="38"/>
      <c r="BE51" s="38"/>
    </row>
    <row r="52" spans="1:57" s="396" customFormat="1" ht="14.25" hidden="1" customHeight="1" x14ac:dyDescent="0.15">
      <c r="A52" s="38"/>
      <c r="B52" s="635" t="b">
        <f>AND(T51="Водоснабжение",method_reg&lt;&gt;"Метод сравнения аналогов")</f>
        <v>0</v>
      </c>
      <c r="C52" s="38"/>
      <c r="D52" s="38"/>
      <c r="E52" s="458">
        <v>15</v>
      </c>
      <c r="F52" s="59" t="str" cm="1">
        <f t="array" aca="1" ref="F52" ca="1">OFFSET(E52,-1,1)</f>
        <v>2</v>
      </c>
      <c r="G52" s="365"/>
      <c r="H52" s="38" t="s">
        <v>331</v>
      </c>
      <c r="I52" s="38" t="s">
        <v>373</v>
      </c>
      <c r="J52" s="38" t="str">
        <f t="shared" ref="J52:J60" si="2">AD52&amp;"::"&amp;AE52</f>
        <v>Водонасосные станции (водозаборные узлы)::ед.</v>
      </c>
      <c r="K52" s="40"/>
      <c r="L52" s="38"/>
      <c r="M52" s="38"/>
      <c r="N52" s="38"/>
      <c r="O52" s="38"/>
      <c r="P52" s="38"/>
      <c r="Q52" s="38"/>
      <c r="R52" s="38"/>
      <c r="S52" s="38"/>
      <c r="T52" s="38"/>
      <c r="U52" s="38"/>
      <c r="V52" s="353" t="b" cm="1">
        <f t="array" ref="V52">V51</f>
        <v>1</v>
      </c>
      <c r="W52" s="38"/>
      <c r="X52" s="38"/>
      <c r="Y52" s="38"/>
      <c r="Z52" s="966"/>
      <c r="AA52" s="967"/>
      <c r="AB52" s="38"/>
      <c r="AC52" s="98">
        <v>1</v>
      </c>
      <c r="AD52" s="96" t="s">
        <v>374</v>
      </c>
      <c r="AE52" s="39" t="s">
        <v>375</v>
      </c>
      <c r="AF52" s="818"/>
      <c r="AG52" s="818"/>
      <c r="AH52" s="818"/>
      <c r="AI52" s="818"/>
      <c r="AJ52" s="819"/>
      <c r="AK52" s="38"/>
      <c r="AL52" s="38"/>
      <c r="AM52" s="656" t="s">
        <v>376</v>
      </c>
      <c r="AN52" s="656"/>
      <c r="AO52" s="656"/>
      <c r="AP52" s="656"/>
      <c r="AQ52" s="448"/>
      <c r="AR52" s="448"/>
      <c r="AS52" s="38"/>
      <c r="AT52" s="38"/>
      <c r="AU52" s="38"/>
      <c r="AV52" s="38"/>
      <c r="AW52" s="38"/>
      <c r="AX52" s="38"/>
      <c r="AY52" s="38"/>
      <c r="AZ52" s="38"/>
      <c r="BA52" s="38"/>
      <c r="BB52" s="38"/>
      <c r="BC52" s="38"/>
      <c r="BD52" s="38"/>
      <c r="BE52" s="38"/>
    </row>
    <row r="53" spans="1:57" s="396" customFormat="1" ht="14.25" hidden="1" customHeight="1" x14ac:dyDescent="0.15">
      <c r="A53" s="38"/>
      <c r="B53" s="635" t="b" cm="1">
        <f t="array" ref="B53">B52</f>
        <v>0</v>
      </c>
      <c r="C53" s="38"/>
      <c r="D53" s="38"/>
      <c r="E53" s="458">
        <v>15</v>
      </c>
      <c r="F53" s="59" t="str" cm="1">
        <f t="array" aca="1" ref="F53" ca="1">OFFSET(E53,-1,1)</f>
        <v>2</v>
      </c>
      <c r="G53" s="59"/>
      <c r="H53" s="38" t="s">
        <v>331</v>
      </c>
      <c r="I53" s="38" t="s">
        <v>373</v>
      </c>
      <c r="J53" s="38" t="str">
        <f t="shared" si="2"/>
        <v>Скважины::ед.</v>
      </c>
      <c r="K53" s="38"/>
      <c r="L53" s="38"/>
      <c r="M53" s="38"/>
      <c r="N53" s="38"/>
      <c r="O53" s="38"/>
      <c r="P53" s="38"/>
      <c r="Q53" s="38"/>
      <c r="R53" s="38"/>
      <c r="S53" s="38"/>
      <c r="T53" s="38"/>
      <c r="U53" s="38"/>
      <c r="V53" s="353" t="b" cm="1">
        <f t="array" ref="V53">V52</f>
        <v>1</v>
      </c>
      <c r="W53" s="38"/>
      <c r="X53" s="38"/>
      <c r="Y53" s="38"/>
      <c r="Z53" s="966"/>
      <c r="AA53" s="967"/>
      <c r="AB53" s="38"/>
      <c r="AC53" s="98">
        <v>2</v>
      </c>
      <c r="AD53" s="96" t="s">
        <v>377</v>
      </c>
      <c r="AE53" s="39" t="s">
        <v>375</v>
      </c>
      <c r="AF53" s="818"/>
      <c r="AG53" s="818"/>
      <c r="AH53" s="818"/>
      <c r="AI53" s="818"/>
      <c r="AJ53" s="819"/>
      <c r="AK53" s="38"/>
      <c r="AL53" s="38"/>
      <c r="AM53" s="656" t="s">
        <v>378</v>
      </c>
      <c r="AN53" s="656"/>
      <c r="AO53" s="656"/>
      <c r="AP53" s="656"/>
      <c r="AQ53" s="448"/>
      <c r="AR53" s="448"/>
      <c r="AS53" s="38"/>
      <c r="AT53" s="38"/>
      <c r="AU53" s="38"/>
      <c r="AV53" s="38"/>
      <c r="AW53" s="38"/>
      <c r="AX53" s="38"/>
      <c r="AY53" s="38"/>
      <c r="AZ53" s="38"/>
      <c r="BA53" s="38"/>
      <c r="BB53" s="38"/>
      <c r="BC53" s="38"/>
      <c r="BD53" s="38"/>
      <c r="BE53" s="38"/>
    </row>
    <row r="54" spans="1:57" s="396" customFormat="1" ht="14.25" hidden="1" customHeight="1" x14ac:dyDescent="0.15">
      <c r="A54" s="38"/>
      <c r="B54" s="635" t="b">
        <f>T51="Водоснабжение"</f>
        <v>0</v>
      </c>
      <c r="C54" s="38"/>
      <c r="D54" s="38"/>
      <c r="E54" s="458">
        <v>15</v>
      </c>
      <c r="F54" s="59" t="str" cm="1">
        <f t="array" aca="1" ref="F54" ca="1">OFFSET(E54,-1,1)</f>
        <v>2</v>
      </c>
      <c r="G54" s="59" t="s">
        <v>49</v>
      </c>
      <c r="H54" s="38" t="s">
        <v>331</v>
      </c>
      <c r="I54" s="38" t="s">
        <v>373</v>
      </c>
      <c r="J54" s="38" t="str">
        <f t="shared" si="2"/>
        <v>Подкачивающие насосные станции::ед.</v>
      </c>
      <c r="K54" s="38"/>
      <c r="L54" s="38" t="s">
        <v>49</v>
      </c>
      <c r="M54" s="38"/>
      <c r="N54" s="38"/>
      <c r="O54" s="38"/>
      <c r="P54" s="38"/>
      <c r="Q54" s="38"/>
      <c r="R54" s="38"/>
      <c r="S54" s="38"/>
      <c r="T54" s="38"/>
      <c r="U54" s="38"/>
      <c r="V54" s="353" t="b" cm="1">
        <f t="array" ref="V54">V53</f>
        <v>1</v>
      </c>
      <c r="W54" s="38"/>
      <c r="X54" s="38"/>
      <c r="Y54" s="38"/>
      <c r="Z54" s="966"/>
      <c r="AA54" s="967"/>
      <c r="AB54" s="38"/>
      <c r="AC54" s="98">
        <f>IF(B53,3,1)</f>
        <v>1</v>
      </c>
      <c r="AD54" s="96" t="s">
        <v>379</v>
      </c>
      <c r="AE54" s="39" t="s">
        <v>375</v>
      </c>
      <c r="AF54" s="818"/>
      <c r="AG54" s="818"/>
      <c r="AH54" s="818"/>
      <c r="AI54" s="818"/>
      <c r="AJ54" s="819"/>
      <c r="AK54" s="38"/>
      <c r="AL54" s="38"/>
      <c r="AM54" s="656" t="s">
        <v>380</v>
      </c>
      <c r="AN54" s="656"/>
      <c r="AO54" s="656"/>
      <c r="AP54" s="656"/>
      <c r="AQ54" s="448"/>
      <c r="AR54" s="448"/>
      <c r="AS54" s="38"/>
      <c r="AT54" s="38"/>
      <c r="AU54" s="38"/>
      <c r="AV54" s="38"/>
      <c r="AW54" s="38"/>
      <c r="AX54" s="38"/>
      <c r="AY54" s="38"/>
      <c r="AZ54" s="38"/>
      <c r="BA54" s="38"/>
      <c r="BB54" s="38"/>
      <c r="BC54" s="38"/>
      <c r="BD54" s="38"/>
      <c r="BE54" s="38"/>
    </row>
    <row r="55" spans="1:57" s="396" customFormat="1" ht="14.25" hidden="1" customHeight="1" x14ac:dyDescent="0.15">
      <c r="A55" s="38"/>
      <c r="B55" s="635" t="b" cm="1">
        <f t="array" ref="B55">B53</f>
        <v>0</v>
      </c>
      <c r="C55" s="38"/>
      <c r="D55" s="38"/>
      <c r="E55" s="458">
        <v>15</v>
      </c>
      <c r="F55" s="59" t="str" cm="1">
        <f t="array" aca="1" ref="F55" ca="1">OFFSET(E55,-1,1)</f>
        <v>2</v>
      </c>
      <c r="G55" s="59"/>
      <c r="H55" s="38" t="s">
        <v>331</v>
      </c>
      <c r="I55" s="38" t="s">
        <v>373</v>
      </c>
      <c r="J55" s="38" t="str">
        <f t="shared" si="2"/>
        <v>Водонапорные башни::ед.</v>
      </c>
      <c r="K55" s="38"/>
      <c r="L55" s="38"/>
      <c r="M55" s="38"/>
      <c r="N55" s="38"/>
      <c r="O55" s="38"/>
      <c r="P55" s="38"/>
      <c r="Q55" s="38"/>
      <c r="R55" s="38"/>
      <c r="S55" s="38"/>
      <c r="T55" s="38"/>
      <c r="U55" s="38"/>
      <c r="V55" s="353" t="b" cm="1">
        <f t="array" ref="V55">V54</f>
        <v>1</v>
      </c>
      <c r="W55" s="38"/>
      <c r="X55" s="38"/>
      <c r="Y55" s="38"/>
      <c r="Z55" s="966"/>
      <c r="AA55" s="967"/>
      <c r="AB55" s="38"/>
      <c r="AC55" s="98">
        <v>4</v>
      </c>
      <c r="AD55" s="96" t="s">
        <v>381</v>
      </c>
      <c r="AE55" s="39" t="s">
        <v>375</v>
      </c>
      <c r="AF55" s="818"/>
      <c r="AG55" s="818"/>
      <c r="AH55" s="818"/>
      <c r="AI55" s="818"/>
      <c r="AJ55" s="819"/>
      <c r="AK55" s="38"/>
      <c r="AL55" s="38"/>
      <c r="AM55" s="656" t="s">
        <v>382</v>
      </c>
      <c r="AN55" s="656"/>
      <c r="AO55" s="656"/>
      <c r="AP55" s="656"/>
      <c r="AQ55" s="448"/>
      <c r="AR55" s="448"/>
      <c r="AS55" s="38"/>
      <c r="AT55" s="38"/>
      <c r="AU55" s="38"/>
      <c r="AV55" s="38"/>
      <c r="AW55" s="38"/>
      <c r="AX55" s="38"/>
      <c r="AY55" s="38"/>
      <c r="AZ55" s="38"/>
      <c r="BA55" s="38"/>
      <c r="BB55" s="38"/>
      <c r="BC55" s="38"/>
      <c r="BD55" s="38"/>
      <c r="BE55" s="38"/>
    </row>
    <row r="56" spans="1:57" s="396" customFormat="1" ht="14.25" hidden="1" customHeight="1" x14ac:dyDescent="0.15">
      <c r="A56" s="38"/>
      <c r="B56" s="635" t="b">
        <f>T51="Водоснабжение"</f>
        <v>0</v>
      </c>
      <c r="C56" s="38"/>
      <c r="D56" s="38"/>
      <c r="E56" s="458">
        <v>15</v>
      </c>
      <c r="F56" s="59" t="str" cm="1">
        <f t="array" aca="1" ref="F56" ca="1">OFFSET(E56,-1,1)</f>
        <v>2</v>
      </c>
      <c r="G56" s="59"/>
      <c r="H56" s="38" t="s">
        <v>331</v>
      </c>
      <c r="I56" s="38" t="s">
        <v>373</v>
      </c>
      <c r="J56" s="38" t="str">
        <f t="shared" si="2"/>
        <v>Водопроводные сети::км</v>
      </c>
      <c r="K56" s="38"/>
      <c r="L56" s="38"/>
      <c r="M56" s="38"/>
      <c r="N56" s="38"/>
      <c r="O56" s="38"/>
      <c r="P56" s="38" t="s">
        <v>383</v>
      </c>
      <c r="Q56" s="38" t="s">
        <v>384</v>
      </c>
      <c r="R56" s="38"/>
      <c r="S56" s="38"/>
      <c r="T56" s="38"/>
      <c r="U56" s="38"/>
      <c r="V56" s="353" t="b" cm="1">
        <f t="array" ref="V56">V55</f>
        <v>1</v>
      </c>
      <c r="W56" s="38"/>
      <c r="X56" s="38"/>
      <c r="Y56" s="38"/>
      <c r="Z56" s="966"/>
      <c r="AA56" s="967"/>
      <c r="AB56" s="38"/>
      <c r="AC56" s="98">
        <f>IF(B53,5,2)</f>
        <v>2</v>
      </c>
      <c r="AD56" s="96" t="s">
        <v>385</v>
      </c>
      <c r="AE56" s="39" t="s">
        <v>386</v>
      </c>
      <c r="AF56" s="820"/>
      <c r="AG56" s="820"/>
      <c r="AH56" s="57"/>
      <c r="AI56" s="57"/>
      <c r="AJ56" s="819"/>
      <c r="AK56" s="38"/>
      <c r="AL56" s="38"/>
      <c r="AM56" s="656" t="s">
        <v>387</v>
      </c>
      <c r="AN56" s="656"/>
      <c r="AO56" s="656"/>
      <c r="AP56" s="656"/>
      <c r="AQ56" s="448"/>
      <c r="AR56" s="448"/>
      <c r="AS56" s="38"/>
      <c r="AT56" s="38"/>
      <c r="AU56" s="38"/>
      <c r="AV56" s="38"/>
      <c r="AW56" s="38"/>
      <c r="AX56" s="38"/>
      <c r="AY56" s="38"/>
      <c r="AZ56" s="38"/>
      <c r="BA56" s="38"/>
      <c r="BB56" s="38"/>
      <c r="BC56" s="38"/>
      <c r="BD56" s="38"/>
      <c r="BE56" s="38"/>
    </row>
    <row r="57" spans="1:57" s="396" customFormat="1" ht="23.45" customHeight="1" x14ac:dyDescent="0.15">
      <c r="A57" s="38"/>
      <c r="B57" s="635" t="b">
        <f>AND(T51="Водоотведение",method_reg&lt;&gt;"Метод сравнения аналогов")</f>
        <v>1</v>
      </c>
      <c r="C57" s="38"/>
      <c r="D57" s="38"/>
      <c r="E57" s="458">
        <v>15</v>
      </c>
      <c r="F57" s="59" t="str" cm="1">
        <f t="array" aca="1" ref="F57" ca="1">OFFSET(E57,-1,1)</f>
        <v>2</v>
      </c>
      <c r="G57" s="365"/>
      <c r="H57" s="38" t="s">
        <v>331</v>
      </c>
      <c r="I57" s="38" t="s">
        <v>373</v>
      </c>
      <c r="J57" s="38" t="str">
        <f t="shared" si="2"/>
        <v>Биологические очистные сооружения::ед.</v>
      </c>
      <c r="K57" s="40"/>
      <c r="L57" s="38"/>
      <c r="M57" s="38"/>
      <c r="N57" s="38"/>
      <c r="O57" s="38"/>
      <c r="P57" s="38"/>
      <c r="Q57" s="38"/>
      <c r="R57" s="38"/>
      <c r="S57" s="38"/>
      <c r="T57" s="38"/>
      <c r="U57" s="38"/>
      <c r="V57" s="353" t="b" cm="1">
        <f t="array" ref="V57">V56</f>
        <v>1</v>
      </c>
      <c r="W57" s="38"/>
      <c r="X57" s="38"/>
      <c r="Y57" s="38"/>
      <c r="Z57" s="966"/>
      <c r="AA57" s="967"/>
      <c r="AB57" s="38"/>
      <c r="AC57" s="98">
        <v>1</v>
      </c>
      <c r="AD57" s="96" t="s">
        <v>388</v>
      </c>
      <c r="AE57" s="39" t="s">
        <v>375</v>
      </c>
      <c r="AF57" s="102">
        <v>1</v>
      </c>
      <c r="AG57" s="102">
        <v>1</v>
      </c>
      <c r="AH57" s="102"/>
      <c r="AI57" s="102">
        <v>1</v>
      </c>
      <c r="AJ57" s="103"/>
      <c r="AK57" s="38"/>
      <c r="AL57" s="38"/>
      <c r="AM57" s="656" t="s">
        <v>389</v>
      </c>
      <c r="AN57" s="656"/>
      <c r="AO57" s="656"/>
      <c r="AP57" s="656"/>
      <c r="AQ57" s="448"/>
      <c r="AR57" s="448"/>
      <c r="AS57" s="38"/>
      <c r="AT57" s="38"/>
      <c r="AU57" s="38"/>
      <c r="AV57" s="38"/>
      <c r="AW57" s="38"/>
      <c r="AX57" s="38"/>
      <c r="AY57" s="38"/>
      <c r="AZ57" s="38"/>
      <c r="BA57" s="38"/>
      <c r="BB57" s="38"/>
      <c r="BC57" s="38"/>
      <c r="BD57" s="38"/>
      <c r="BE57" s="38"/>
    </row>
    <row r="58" spans="1:57" s="396" customFormat="1" ht="22.9" customHeight="1" x14ac:dyDescent="0.15">
      <c r="A58" s="38"/>
      <c r="B58" s="635" t="b">
        <f>T51="Водоотведение"</f>
        <v>1</v>
      </c>
      <c r="C58" s="38"/>
      <c r="D58" s="38"/>
      <c r="E58" s="458">
        <v>15</v>
      </c>
      <c r="F58" s="59" t="str" cm="1">
        <f t="array" aca="1" ref="F58" ca="1">OFFSET(E58,-1,1)</f>
        <v>2</v>
      </c>
      <c r="G58" s="59" t="s">
        <v>49</v>
      </c>
      <c r="H58" s="38" t="s">
        <v>331</v>
      </c>
      <c r="I58" s="38" t="s">
        <v>373</v>
      </c>
      <c r="J58" s="38" t="str">
        <f t="shared" si="2"/>
        <v>Канализационные насосные станции::ед.</v>
      </c>
      <c r="K58" s="38"/>
      <c r="L58" s="38"/>
      <c r="M58" s="38"/>
      <c r="N58" s="38"/>
      <c r="O58" s="38"/>
      <c r="P58" s="38"/>
      <c r="Q58" s="38"/>
      <c r="R58" s="38"/>
      <c r="S58" s="38"/>
      <c r="T58" s="38"/>
      <c r="U58" s="38"/>
      <c r="V58" s="353" t="b" cm="1">
        <f t="array" ref="V58">V57</f>
        <v>1</v>
      </c>
      <c r="W58" s="38"/>
      <c r="X58" s="38"/>
      <c r="Y58" s="38"/>
      <c r="Z58" s="966"/>
      <c r="AA58" s="967"/>
      <c r="AB58" s="38"/>
      <c r="AC58" s="98">
        <f>IF(B57,2,1)</f>
        <v>2</v>
      </c>
      <c r="AD58" s="96" t="s">
        <v>390</v>
      </c>
      <c r="AE58" s="39" t="s">
        <v>375</v>
      </c>
      <c r="AF58" s="102">
        <v>1</v>
      </c>
      <c r="AG58" s="102">
        <v>1</v>
      </c>
      <c r="AH58" s="102"/>
      <c r="AI58" s="102">
        <v>1</v>
      </c>
      <c r="AJ58" s="103" t="s">
        <v>403</v>
      </c>
      <c r="AK58" s="38"/>
      <c r="AL58" s="38"/>
      <c r="AM58" s="656" t="s">
        <v>391</v>
      </c>
      <c r="AN58" s="656"/>
      <c r="AO58" s="656"/>
      <c r="AP58" s="656"/>
      <c r="AQ58" s="448"/>
      <c r="AR58" s="448"/>
      <c r="AS58" s="38"/>
      <c r="AT58" s="38"/>
      <c r="AU58" s="38"/>
      <c r="AV58" s="38"/>
      <c r="AW58" s="38"/>
      <c r="AX58" s="38"/>
      <c r="AY58" s="38"/>
      <c r="AZ58" s="38"/>
      <c r="BA58" s="38"/>
      <c r="BB58" s="38"/>
      <c r="BC58" s="38"/>
      <c r="BD58" s="38"/>
      <c r="BE58" s="38"/>
    </row>
    <row r="59" spans="1:57" s="396" customFormat="1" ht="14.25" customHeight="1" x14ac:dyDescent="0.15">
      <c r="A59" s="38"/>
      <c r="B59" s="635" t="b" cm="1">
        <f t="array" ref="B59">B58</f>
        <v>1</v>
      </c>
      <c r="C59" s="38"/>
      <c r="D59" s="38"/>
      <c r="E59" s="458">
        <v>15</v>
      </c>
      <c r="F59" s="59" t="str" cm="1">
        <f t="array" aca="1" ref="F59" ca="1">OFFSET(E59,-1,1)</f>
        <v>2</v>
      </c>
      <c r="G59" s="59"/>
      <c r="H59" s="38" t="s">
        <v>331</v>
      </c>
      <c r="I59" s="38" t="s">
        <v>373</v>
      </c>
      <c r="J59" s="38" t="str">
        <f t="shared" si="2"/>
        <v>Канализационные сети::км</v>
      </c>
      <c r="K59" s="38"/>
      <c r="L59" s="38" t="s">
        <v>49</v>
      </c>
      <c r="M59" s="38"/>
      <c r="N59" s="38"/>
      <c r="O59" s="38"/>
      <c r="P59" s="38" t="s">
        <v>383</v>
      </c>
      <c r="Q59" s="38" t="s">
        <v>384</v>
      </c>
      <c r="R59" s="38"/>
      <c r="S59" s="38"/>
      <c r="T59" s="38"/>
      <c r="U59" s="38"/>
      <c r="V59" s="353" t="b" cm="1">
        <f t="array" ref="V59">V58</f>
        <v>1</v>
      </c>
      <c r="W59" s="38"/>
      <c r="X59" s="38"/>
      <c r="Y59" s="38"/>
      <c r="Z59" s="966"/>
      <c r="AA59" s="967"/>
      <c r="AB59" s="38"/>
      <c r="AC59" s="98">
        <f>AC58+1</f>
        <v>3</v>
      </c>
      <c r="AD59" s="96" t="s">
        <v>392</v>
      </c>
      <c r="AE59" s="39" t="s">
        <v>386</v>
      </c>
      <c r="AF59" s="57"/>
      <c r="AG59" s="57"/>
      <c r="AH59" s="57"/>
      <c r="AI59" s="57"/>
      <c r="AJ59" s="103"/>
      <c r="AK59" s="38"/>
      <c r="AL59" s="38"/>
      <c r="AM59" s="656" t="s">
        <v>393</v>
      </c>
      <c r="AN59" s="656"/>
      <c r="AO59" s="656"/>
      <c r="AP59" s="656"/>
      <c r="AQ59" s="448"/>
      <c r="AR59" s="448"/>
      <c r="AS59" s="38"/>
      <c r="AT59" s="38"/>
      <c r="AU59" s="38"/>
      <c r="AV59" s="38"/>
      <c r="AW59" s="38"/>
      <c r="AX59" s="38"/>
      <c r="AY59" s="38"/>
      <c r="AZ59" s="38"/>
      <c r="BA59" s="38"/>
      <c r="BB59" s="38"/>
      <c r="BC59" s="38"/>
      <c r="BD59" s="38"/>
      <c r="BE59" s="38"/>
    </row>
    <row r="60" spans="1:57" s="40" customFormat="1" ht="14.25" hidden="1" customHeight="1" x14ac:dyDescent="0.15">
      <c r="B60" s="43"/>
      <c r="E60" s="464">
        <v>15</v>
      </c>
      <c r="F60" s="59" t="str" cm="1">
        <f t="array" aca="1" ref="F60" ca="1">OFFSET(E60,-1,1)</f>
        <v>2</v>
      </c>
      <c r="G60" s="59"/>
      <c r="H60" s="40" t="s">
        <v>331</v>
      </c>
      <c r="I60" s="40" t="s">
        <v>373</v>
      </c>
      <c r="J60" s="40" t="str">
        <f t="shared" si="2"/>
        <v>::</v>
      </c>
      <c r="U60" s="38">
        <v>0</v>
      </c>
      <c r="V60" s="353" t="b">
        <f ca="1">AND(F60&gt;0,U60&gt;0)</f>
        <v>0</v>
      </c>
      <c r="Y60" s="517" t="s">
        <v>172</v>
      </c>
      <c r="Z60" s="966"/>
      <c r="AA60" s="967"/>
      <c r="AB60" s="320" t="s">
        <v>173</v>
      </c>
      <c r="AC60" s="98">
        <f ca="1">IF(OFFSET(C60,-8-U60,-1),5,IF(OFFSET(C60,-3-U60,-1),3,2))+U60</f>
        <v>3</v>
      </c>
      <c r="AD60" s="821"/>
      <c r="AE60" s="822"/>
      <c r="AF60" s="820"/>
      <c r="AG60" s="820"/>
      <c r="AH60" s="820"/>
      <c r="AI60" s="820"/>
      <c r="AJ60" s="819"/>
      <c r="AM60" s="662" t="s">
        <v>394</v>
      </c>
      <c r="AN60" s="662" t="s">
        <v>395</v>
      </c>
      <c r="AO60" s="664" cm="1">
        <f t="array" ref="AO60">AD60</f>
        <v>0</v>
      </c>
      <c r="AP60" s="664" cm="1">
        <f t="array" ref="AP60">AE60</f>
        <v>0</v>
      </c>
      <c r="AQ60" s="502"/>
      <c r="AR60" s="502" t="b">
        <v>1</v>
      </c>
    </row>
    <row r="61" spans="1:57" s="396" customFormat="1" ht="14.25" customHeight="1" x14ac:dyDescent="0.15">
      <c r="A61" s="38"/>
      <c r="B61" s="43"/>
      <c r="C61" s="38"/>
      <c r="D61" s="38"/>
      <c r="E61" s="458">
        <v>15</v>
      </c>
      <c r="F61" s="59" t="str" cm="1">
        <f t="array" aca="1" ref="F61" ca="1">OFFSET(E61,-1,1)</f>
        <v>2</v>
      </c>
      <c r="G61" s="59"/>
      <c r="H61" s="38"/>
      <c r="I61" s="38"/>
      <c r="J61" s="37" t="s">
        <v>396</v>
      </c>
      <c r="K61" s="38"/>
      <c r="L61" s="38"/>
      <c r="M61" s="38"/>
      <c r="N61" s="38"/>
      <c r="O61" s="38"/>
      <c r="P61" s="38"/>
      <c r="Q61" s="38"/>
      <c r="R61" s="38"/>
      <c r="S61" s="38"/>
      <c r="T61" s="38"/>
      <c r="U61" s="38"/>
      <c r="V61" s="353" t="b" cm="1">
        <f t="array" ref="V61">V59</f>
        <v>1</v>
      </c>
      <c r="W61" s="38"/>
      <c r="X61" s="38"/>
      <c r="Y61" s="517" t="s">
        <v>397</v>
      </c>
      <c r="Z61" s="966"/>
      <c r="AA61" s="967"/>
      <c r="AB61" s="38"/>
      <c r="AC61" s="89"/>
      <c r="AD61" s="216" t="s">
        <v>176</v>
      </c>
      <c r="AE61" s="90"/>
      <c r="AF61" s="90"/>
      <c r="AG61" s="90"/>
      <c r="AH61" s="90"/>
      <c r="AI61" s="90"/>
      <c r="AJ61" s="101"/>
      <c r="AK61" s="38"/>
      <c r="AL61" s="38"/>
      <c r="AM61" s="656"/>
      <c r="AN61" s="656"/>
      <c r="AO61" s="656"/>
      <c r="AP61" s="656"/>
      <c r="AQ61" s="448" t="s">
        <v>395</v>
      </c>
      <c r="AR61" s="448"/>
      <c r="AS61" s="38"/>
      <c r="AT61" s="38"/>
      <c r="AU61" s="38"/>
      <c r="AV61" s="38"/>
      <c r="AW61" s="38"/>
      <c r="AX61" s="38"/>
      <c r="AY61" s="38"/>
      <c r="AZ61" s="38"/>
      <c r="BA61" s="38"/>
      <c r="BB61" s="38"/>
      <c r="BC61" s="38"/>
      <c r="BD61" s="38"/>
      <c r="BE61" s="38"/>
    </row>
    <row r="62" spans="1:57" s="396" customFormat="1" ht="92.25" customHeight="1" x14ac:dyDescent="0.15">
      <c r="A62" s="38"/>
      <c r="B62" s="43"/>
      <c r="C62" s="38"/>
      <c r="D62" s="38"/>
      <c r="E62" s="458">
        <v>15</v>
      </c>
      <c r="F62" s="59" t="str" cm="1">
        <f t="array" aca="1" ref="F62" ca="1">OFFSET(E62,-1,1)</f>
        <v>2</v>
      </c>
      <c r="G62" s="59"/>
      <c r="H62" s="38" t="s">
        <v>332</v>
      </c>
      <c r="I62" s="38" t="s">
        <v>373</v>
      </c>
      <c r="J62" s="270" t="str" cm="1">
        <f t="array" ref="J62">AD62</f>
        <v>Краткое описание технологического процесса</v>
      </c>
      <c r="K62" s="38"/>
      <c r="L62" s="38"/>
      <c r="M62" s="38"/>
      <c r="N62" s="38"/>
      <c r="O62" s="38"/>
      <c r="P62" s="38"/>
      <c r="Q62" s="38"/>
      <c r="R62" s="38"/>
      <c r="S62" s="38"/>
      <c r="T62" s="38"/>
      <c r="U62" s="38"/>
      <c r="V62" s="353" t="b" cm="1">
        <f t="array" ref="V62">V61</f>
        <v>1</v>
      </c>
      <c r="W62" s="38"/>
      <c r="X62" s="38"/>
      <c r="Y62" s="38"/>
      <c r="Z62" s="966"/>
      <c r="AA62" s="967"/>
      <c r="AB62" s="38"/>
      <c r="AC62" s="98"/>
      <c r="AD62" s="96" t="s">
        <v>398</v>
      </c>
      <c r="AE62" s="39"/>
      <c r="AF62" s="984" t="s">
        <v>404</v>
      </c>
      <c r="AG62" s="985"/>
      <c r="AH62" s="985"/>
      <c r="AI62" s="985"/>
      <c r="AJ62" s="986"/>
      <c r="AK62" s="38"/>
      <c r="AL62" s="38"/>
      <c r="AM62" s="656" t="s">
        <v>399</v>
      </c>
      <c r="AN62" s="656"/>
      <c r="AO62" s="656"/>
      <c r="AP62" s="656"/>
      <c r="AQ62" s="448"/>
      <c r="AR62" s="448"/>
      <c r="AS62" s="38"/>
      <c r="AT62" s="38"/>
      <c r="AU62" s="38"/>
      <c r="AV62" s="38"/>
      <c r="AW62" s="38"/>
      <c r="AX62" s="38"/>
      <c r="AY62" s="38"/>
      <c r="AZ62" s="38"/>
      <c r="BA62" s="38"/>
      <c r="BB62" s="38"/>
      <c r="BC62" s="38"/>
      <c r="BD62" s="38"/>
      <c r="BE62" s="38"/>
    </row>
    <row r="63" spans="1:57" s="396" customFormat="1" ht="22.9" customHeight="1" x14ac:dyDescent="0.15">
      <c r="A63" s="38"/>
      <c r="B63" s="43"/>
      <c r="C63" s="38"/>
      <c r="D63" s="38"/>
      <c r="E63" s="458">
        <v>15</v>
      </c>
      <c r="F63" s="38" t="str" cm="1">
        <f t="array" ref="F63">Z63</f>
        <v>3</v>
      </c>
      <c r="G63" s="38"/>
      <c r="H63" s="38"/>
      <c r="I63" s="38"/>
      <c r="J63" s="38"/>
      <c r="K63" s="38"/>
      <c r="L63" s="38"/>
      <c r="M63" s="38"/>
      <c r="N63" s="38"/>
      <c r="O63" s="38"/>
      <c r="P63" s="38"/>
      <c r="Q63" s="38"/>
      <c r="R63" s="38"/>
      <c r="S63" s="38"/>
      <c r="T63" s="709" t="str" cm="1">
        <f t="array" ref="T63">INDEX('Общие сведения'!$AE$179:$AE$236,MATCH($Z63,'Общие сведения'!$Z$179:$Z$236,0))</f>
        <v>Водоотведение</v>
      </c>
      <c r="U63" s="38"/>
      <c r="V63" s="353" t="b">
        <f>Z63&gt;0</f>
        <v>1</v>
      </c>
      <c r="W63" s="38"/>
      <c r="X63" s="38" t="str" cm="1">
        <f t="array" ref="X63">'Список территорий'!$AB$37</f>
        <v>Тариф 3 (Водоотведение) - тариф на транспортировку сточных вод</v>
      </c>
      <c r="Y63" s="38"/>
      <c r="Z63" s="966" t="s">
        <v>291</v>
      </c>
      <c r="AA63" s="967"/>
      <c r="AB63" s="38"/>
      <c r="AC63" s="94" t="str" cm="1">
        <f t="array" ref="AC63">'Список территорий'!$AB$37</f>
        <v>Тариф 3 (Водоотведение) - тариф на транспортировку сточных вод</v>
      </c>
      <c r="AD63" s="94"/>
      <c r="AE63" s="88"/>
      <c r="AF63" s="88"/>
      <c r="AG63" s="88"/>
      <c r="AH63" s="88"/>
      <c r="AI63" s="88"/>
      <c r="AJ63" s="88"/>
      <c r="AK63" s="38"/>
      <c r="AL63" s="38"/>
      <c r="AM63" s="656"/>
      <c r="AN63" s="656"/>
      <c r="AO63" s="656"/>
      <c r="AP63" s="656"/>
      <c r="AQ63" s="448"/>
      <c r="AR63" s="448"/>
      <c r="AS63" s="38"/>
      <c r="AT63" s="38"/>
      <c r="AU63" s="38"/>
      <c r="AV63" s="38"/>
      <c r="AW63" s="38"/>
      <c r="AX63" s="38"/>
      <c r="AY63" s="38"/>
      <c r="AZ63" s="38"/>
      <c r="BA63" s="38"/>
      <c r="BB63" s="38"/>
      <c r="BC63" s="38"/>
      <c r="BD63" s="38"/>
      <c r="BE63" s="38"/>
    </row>
    <row r="64" spans="1:57" s="396" customFormat="1" ht="14.25" hidden="1" customHeight="1" x14ac:dyDescent="0.15">
      <c r="A64" s="38"/>
      <c r="B64" s="635" t="b">
        <f>AND(T63="Водоснабжение",method_reg&lt;&gt;"Метод сравнения аналогов")</f>
        <v>0</v>
      </c>
      <c r="C64" s="38"/>
      <c r="D64" s="38"/>
      <c r="E64" s="458">
        <v>15</v>
      </c>
      <c r="F64" s="59" t="str" cm="1">
        <f t="array" aca="1" ref="F64" ca="1">OFFSET(E64,-1,1)</f>
        <v>3</v>
      </c>
      <c r="G64" s="365"/>
      <c r="H64" s="38" t="s">
        <v>331</v>
      </c>
      <c r="I64" s="38" t="s">
        <v>373</v>
      </c>
      <c r="J64" s="38" t="str">
        <f t="shared" ref="J64:J72" si="3">AD64&amp;"::"&amp;AE64</f>
        <v>Водонасосные станции (водозаборные узлы)::ед.</v>
      </c>
      <c r="K64" s="40"/>
      <c r="L64" s="38"/>
      <c r="M64" s="38"/>
      <c r="N64" s="38"/>
      <c r="O64" s="38"/>
      <c r="P64" s="38"/>
      <c r="Q64" s="38"/>
      <c r="R64" s="38"/>
      <c r="S64" s="38"/>
      <c r="T64" s="38"/>
      <c r="U64" s="38"/>
      <c r="V64" s="353" t="b" cm="1">
        <f t="array" ref="V64">V63</f>
        <v>1</v>
      </c>
      <c r="W64" s="38"/>
      <c r="X64" s="38"/>
      <c r="Y64" s="38"/>
      <c r="Z64" s="966"/>
      <c r="AA64" s="967"/>
      <c r="AB64" s="38"/>
      <c r="AC64" s="98">
        <v>1</v>
      </c>
      <c r="AD64" s="96" t="s">
        <v>374</v>
      </c>
      <c r="AE64" s="39" t="s">
        <v>375</v>
      </c>
      <c r="AF64" s="818"/>
      <c r="AG64" s="818"/>
      <c r="AH64" s="818"/>
      <c r="AI64" s="818"/>
      <c r="AJ64" s="819"/>
      <c r="AK64" s="38"/>
      <c r="AL64" s="38"/>
      <c r="AM64" s="656" t="s">
        <v>376</v>
      </c>
      <c r="AN64" s="656"/>
      <c r="AO64" s="656"/>
      <c r="AP64" s="656"/>
      <c r="AQ64" s="448"/>
      <c r="AR64" s="448"/>
      <c r="AS64" s="38"/>
      <c r="AT64" s="38"/>
      <c r="AU64" s="38"/>
      <c r="AV64" s="38"/>
      <c r="AW64" s="38"/>
      <c r="AX64" s="38"/>
      <c r="AY64" s="38"/>
      <c r="AZ64" s="38"/>
      <c r="BA64" s="38"/>
      <c r="BB64" s="38"/>
      <c r="BC64" s="38"/>
      <c r="BD64" s="38"/>
      <c r="BE64" s="38"/>
    </row>
    <row r="65" spans="1:57" s="396" customFormat="1" ht="14.25" hidden="1" customHeight="1" x14ac:dyDescent="0.15">
      <c r="A65" s="38"/>
      <c r="B65" s="635" t="b" cm="1">
        <f t="array" ref="B65">B64</f>
        <v>0</v>
      </c>
      <c r="C65" s="38"/>
      <c r="D65" s="38"/>
      <c r="E65" s="458">
        <v>15</v>
      </c>
      <c r="F65" s="59" t="str" cm="1">
        <f t="array" aca="1" ref="F65" ca="1">OFFSET(E65,-1,1)</f>
        <v>3</v>
      </c>
      <c r="G65" s="59"/>
      <c r="H65" s="38" t="s">
        <v>331</v>
      </c>
      <c r="I65" s="38" t="s">
        <v>373</v>
      </c>
      <c r="J65" s="38" t="str">
        <f t="shared" si="3"/>
        <v>Скважины::ед.</v>
      </c>
      <c r="K65" s="38"/>
      <c r="L65" s="38"/>
      <c r="M65" s="38"/>
      <c r="N65" s="38"/>
      <c r="O65" s="38"/>
      <c r="P65" s="38"/>
      <c r="Q65" s="38"/>
      <c r="R65" s="38"/>
      <c r="S65" s="38"/>
      <c r="T65" s="38"/>
      <c r="U65" s="38"/>
      <c r="V65" s="353" t="b" cm="1">
        <f t="array" ref="V65">V64</f>
        <v>1</v>
      </c>
      <c r="W65" s="38"/>
      <c r="X65" s="38"/>
      <c r="Y65" s="38"/>
      <c r="Z65" s="966"/>
      <c r="AA65" s="967"/>
      <c r="AB65" s="38"/>
      <c r="AC65" s="98">
        <v>2</v>
      </c>
      <c r="AD65" s="96" t="s">
        <v>377</v>
      </c>
      <c r="AE65" s="39" t="s">
        <v>375</v>
      </c>
      <c r="AF65" s="818"/>
      <c r="AG65" s="818"/>
      <c r="AH65" s="818"/>
      <c r="AI65" s="818"/>
      <c r="AJ65" s="819"/>
      <c r="AK65" s="38"/>
      <c r="AL65" s="38"/>
      <c r="AM65" s="656" t="s">
        <v>378</v>
      </c>
      <c r="AN65" s="656"/>
      <c r="AO65" s="656"/>
      <c r="AP65" s="656"/>
      <c r="AQ65" s="448"/>
      <c r="AR65" s="448"/>
      <c r="AS65" s="38"/>
      <c r="AT65" s="38"/>
      <c r="AU65" s="38"/>
      <c r="AV65" s="38"/>
      <c r="AW65" s="38"/>
      <c r="AX65" s="38"/>
      <c r="AY65" s="38"/>
      <c r="AZ65" s="38"/>
      <c r="BA65" s="38"/>
      <c r="BB65" s="38"/>
      <c r="BC65" s="38"/>
      <c r="BD65" s="38"/>
      <c r="BE65" s="38"/>
    </row>
    <row r="66" spans="1:57" s="396" customFormat="1" ht="14.25" hidden="1" customHeight="1" x14ac:dyDescent="0.15">
      <c r="A66" s="38"/>
      <c r="B66" s="635" t="b">
        <f>T63="Водоснабжение"</f>
        <v>0</v>
      </c>
      <c r="C66" s="38"/>
      <c r="D66" s="38"/>
      <c r="E66" s="458">
        <v>15</v>
      </c>
      <c r="F66" s="59" t="str" cm="1">
        <f t="array" aca="1" ref="F66" ca="1">OFFSET(E66,-1,1)</f>
        <v>3</v>
      </c>
      <c r="G66" s="59" t="s">
        <v>49</v>
      </c>
      <c r="H66" s="38" t="s">
        <v>331</v>
      </c>
      <c r="I66" s="38" t="s">
        <v>373</v>
      </c>
      <c r="J66" s="38" t="str">
        <f t="shared" si="3"/>
        <v>Подкачивающие насосные станции::ед.</v>
      </c>
      <c r="K66" s="38"/>
      <c r="L66" s="38" t="s">
        <v>49</v>
      </c>
      <c r="M66" s="38"/>
      <c r="N66" s="38"/>
      <c r="O66" s="38"/>
      <c r="P66" s="38"/>
      <c r="Q66" s="38"/>
      <c r="R66" s="38"/>
      <c r="S66" s="38"/>
      <c r="T66" s="38"/>
      <c r="U66" s="38"/>
      <c r="V66" s="353" t="b" cm="1">
        <f t="array" ref="V66">V65</f>
        <v>1</v>
      </c>
      <c r="W66" s="38"/>
      <c r="X66" s="38"/>
      <c r="Y66" s="38"/>
      <c r="Z66" s="966"/>
      <c r="AA66" s="967"/>
      <c r="AB66" s="38"/>
      <c r="AC66" s="98">
        <f>IF(B65,3,1)</f>
        <v>1</v>
      </c>
      <c r="AD66" s="96" t="s">
        <v>379</v>
      </c>
      <c r="AE66" s="39" t="s">
        <v>375</v>
      </c>
      <c r="AF66" s="818"/>
      <c r="AG66" s="818"/>
      <c r="AH66" s="818"/>
      <c r="AI66" s="818"/>
      <c r="AJ66" s="819"/>
      <c r="AK66" s="38"/>
      <c r="AL66" s="38"/>
      <c r="AM66" s="656" t="s">
        <v>380</v>
      </c>
      <c r="AN66" s="656"/>
      <c r="AO66" s="656"/>
      <c r="AP66" s="656"/>
      <c r="AQ66" s="448"/>
      <c r="AR66" s="448"/>
      <c r="AS66" s="38"/>
      <c r="AT66" s="38"/>
      <c r="AU66" s="38"/>
      <c r="AV66" s="38"/>
      <c r="AW66" s="38"/>
      <c r="AX66" s="38"/>
      <c r="AY66" s="38"/>
      <c r="AZ66" s="38"/>
      <c r="BA66" s="38"/>
      <c r="BB66" s="38"/>
      <c r="BC66" s="38"/>
      <c r="BD66" s="38"/>
      <c r="BE66" s="38"/>
    </row>
    <row r="67" spans="1:57" s="396" customFormat="1" ht="14.25" hidden="1" customHeight="1" x14ac:dyDescent="0.15">
      <c r="A67" s="38"/>
      <c r="B67" s="635" t="b" cm="1">
        <f t="array" ref="B67">B65</f>
        <v>0</v>
      </c>
      <c r="C67" s="38"/>
      <c r="D67" s="38"/>
      <c r="E67" s="458">
        <v>15</v>
      </c>
      <c r="F67" s="59" t="str" cm="1">
        <f t="array" aca="1" ref="F67" ca="1">OFFSET(E67,-1,1)</f>
        <v>3</v>
      </c>
      <c r="G67" s="59"/>
      <c r="H67" s="38" t="s">
        <v>331</v>
      </c>
      <c r="I67" s="38" t="s">
        <v>373</v>
      </c>
      <c r="J67" s="38" t="str">
        <f t="shared" si="3"/>
        <v>Водонапорные башни::ед.</v>
      </c>
      <c r="K67" s="38"/>
      <c r="L67" s="38"/>
      <c r="M67" s="38"/>
      <c r="N67" s="38"/>
      <c r="O67" s="38"/>
      <c r="P67" s="38"/>
      <c r="Q67" s="38"/>
      <c r="R67" s="38"/>
      <c r="S67" s="38"/>
      <c r="T67" s="38"/>
      <c r="U67" s="38"/>
      <c r="V67" s="353" t="b" cm="1">
        <f t="array" ref="V67">V66</f>
        <v>1</v>
      </c>
      <c r="W67" s="38"/>
      <c r="X67" s="38"/>
      <c r="Y67" s="38"/>
      <c r="Z67" s="966"/>
      <c r="AA67" s="967"/>
      <c r="AB67" s="38"/>
      <c r="AC67" s="98">
        <v>4</v>
      </c>
      <c r="AD67" s="96" t="s">
        <v>381</v>
      </c>
      <c r="AE67" s="39" t="s">
        <v>375</v>
      </c>
      <c r="AF67" s="818"/>
      <c r="AG67" s="818"/>
      <c r="AH67" s="818"/>
      <c r="AI67" s="818"/>
      <c r="AJ67" s="819"/>
      <c r="AK67" s="38"/>
      <c r="AL67" s="38"/>
      <c r="AM67" s="656" t="s">
        <v>382</v>
      </c>
      <c r="AN67" s="656"/>
      <c r="AO67" s="656"/>
      <c r="AP67" s="656"/>
      <c r="AQ67" s="448"/>
      <c r="AR67" s="448"/>
      <c r="AS67" s="38"/>
      <c r="AT67" s="38"/>
      <c r="AU67" s="38"/>
      <c r="AV67" s="38"/>
      <c r="AW67" s="38"/>
      <c r="AX67" s="38"/>
      <c r="AY67" s="38"/>
      <c r="AZ67" s="38"/>
      <c r="BA67" s="38"/>
      <c r="BB67" s="38"/>
      <c r="BC67" s="38"/>
      <c r="BD67" s="38"/>
      <c r="BE67" s="38"/>
    </row>
    <row r="68" spans="1:57" s="396" customFormat="1" ht="14.25" hidden="1" customHeight="1" x14ac:dyDescent="0.15">
      <c r="A68" s="38"/>
      <c r="B68" s="635" t="b">
        <f>T63="Водоснабжение"</f>
        <v>0</v>
      </c>
      <c r="C68" s="38"/>
      <c r="D68" s="38"/>
      <c r="E68" s="458">
        <v>15</v>
      </c>
      <c r="F68" s="59" t="str" cm="1">
        <f t="array" aca="1" ref="F68" ca="1">OFFSET(E68,-1,1)</f>
        <v>3</v>
      </c>
      <c r="G68" s="59"/>
      <c r="H68" s="38" t="s">
        <v>331</v>
      </c>
      <c r="I68" s="38" t="s">
        <v>373</v>
      </c>
      <c r="J68" s="38" t="str">
        <f t="shared" si="3"/>
        <v>Водопроводные сети::км</v>
      </c>
      <c r="K68" s="38"/>
      <c r="L68" s="38"/>
      <c r="M68" s="38"/>
      <c r="N68" s="38"/>
      <c r="O68" s="38"/>
      <c r="P68" s="38" t="s">
        <v>383</v>
      </c>
      <c r="Q68" s="38" t="s">
        <v>384</v>
      </c>
      <c r="R68" s="38"/>
      <c r="S68" s="38"/>
      <c r="T68" s="38"/>
      <c r="U68" s="38"/>
      <c r="V68" s="353" t="b" cm="1">
        <f t="array" ref="V68">V67</f>
        <v>1</v>
      </c>
      <c r="W68" s="38"/>
      <c r="X68" s="38"/>
      <c r="Y68" s="38"/>
      <c r="Z68" s="966"/>
      <c r="AA68" s="967"/>
      <c r="AB68" s="38"/>
      <c r="AC68" s="98">
        <f>IF(B65,5,2)</f>
        <v>2</v>
      </c>
      <c r="AD68" s="96" t="s">
        <v>385</v>
      </c>
      <c r="AE68" s="39" t="s">
        <v>386</v>
      </c>
      <c r="AF68" s="820"/>
      <c r="AG68" s="820"/>
      <c r="AH68" s="57"/>
      <c r="AI68" s="57"/>
      <c r="AJ68" s="819"/>
      <c r="AK68" s="38"/>
      <c r="AL68" s="38"/>
      <c r="AM68" s="656" t="s">
        <v>387</v>
      </c>
      <c r="AN68" s="656"/>
      <c r="AO68" s="656"/>
      <c r="AP68" s="656"/>
      <c r="AQ68" s="448"/>
      <c r="AR68" s="448"/>
      <c r="AS68" s="38"/>
      <c r="AT68" s="38"/>
      <c r="AU68" s="38"/>
      <c r="AV68" s="38"/>
      <c r="AW68" s="38"/>
      <c r="AX68" s="38"/>
      <c r="AY68" s="38"/>
      <c r="AZ68" s="38"/>
      <c r="BA68" s="38"/>
      <c r="BB68" s="38"/>
      <c r="BC68" s="38"/>
      <c r="BD68" s="38"/>
      <c r="BE68" s="38"/>
    </row>
    <row r="69" spans="1:57" s="396" customFormat="1" ht="14.25" customHeight="1" x14ac:dyDescent="0.15">
      <c r="A69" s="38"/>
      <c r="B69" s="635" t="b">
        <f>AND(T63="Водоотведение",method_reg&lt;&gt;"Метод сравнения аналогов")</f>
        <v>1</v>
      </c>
      <c r="C69" s="38"/>
      <c r="D69" s="38"/>
      <c r="E69" s="458">
        <v>15</v>
      </c>
      <c r="F69" s="59" t="str" cm="1">
        <f t="array" aca="1" ref="F69" ca="1">OFFSET(E69,-1,1)</f>
        <v>3</v>
      </c>
      <c r="G69" s="365"/>
      <c r="H69" s="38" t="s">
        <v>331</v>
      </c>
      <c r="I69" s="38" t="s">
        <v>373</v>
      </c>
      <c r="J69" s="38" t="str">
        <f t="shared" si="3"/>
        <v>Биологические очистные сооружения::ед.</v>
      </c>
      <c r="K69" s="40"/>
      <c r="L69" s="38"/>
      <c r="M69" s="38"/>
      <c r="N69" s="38"/>
      <c r="O69" s="38"/>
      <c r="P69" s="38"/>
      <c r="Q69" s="38"/>
      <c r="R69" s="38"/>
      <c r="S69" s="38"/>
      <c r="T69" s="38"/>
      <c r="U69" s="38"/>
      <c r="V69" s="353" t="b" cm="1">
        <f t="array" ref="V69">V68</f>
        <v>1</v>
      </c>
      <c r="W69" s="38"/>
      <c r="X69" s="38"/>
      <c r="Y69" s="38"/>
      <c r="Z69" s="966"/>
      <c r="AA69" s="967"/>
      <c r="AB69" s="38"/>
      <c r="AC69" s="98">
        <v>1</v>
      </c>
      <c r="AD69" s="96" t="s">
        <v>388</v>
      </c>
      <c r="AE69" s="39" t="s">
        <v>375</v>
      </c>
      <c r="AF69" s="102"/>
      <c r="AG69" s="102"/>
      <c r="AH69" s="102"/>
      <c r="AI69" s="102"/>
      <c r="AJ69" s="103"/>
      <c r="AK69" s="38"/>
      <c r="AL69" s="38"/>
      <c r="AM69" s="656" t="s">
        <v>389</v>
      </c>
      <c r="AN69" s="656"/>
      <c r="AO69" s="656"/>
      <c r="AP69" s="656"/>
      <c r="AQ69" s="448"/>
      <c r="AR69" s="448"/>
      <c r="AS69" s="38"/>
      <c r="AT69" s="38"/>
      <c r="AU69" s="38"/>
      <c r="AV69" s="38"/>
      <c r="AW69" s="38"/>
      <c r="AX69" s="38"/>
      <c r="AY69" s="38"/>
      <c r="AZ69" s="38"/>
      <c r="BA69" s="38"/>
      <c r="BB69" s="38"/>
      <c r="BC69" s="38"/>
      <c r="BD69" s="38"/>
      <c r="BE69" s="38"/>
    </row>
    <row r="70" spans="1:57" s="396" customFormat="1" ht="14.65" customHeight="1" x14ac:dyDescent="0.15">
      <c r="A70" s="38"/>
      <c r="B70" s="635" t="b">
        <f>T63="Водоотведение"</f>
        <v>1</v>
      </c>
      <c r="C70" s="38"/>
      <c r="D70" s="38"/>
      <c r="E70" s="458">
        <v>15</v>
      </c>
      <c r="F70" s="59" t="str" cm="1">
        <f t="array" aca="1" ref="F70" ca="1">OFFSET(E70,-1,1)</f>
        <v>3</v>
      </c>
      <c r="G70" s="59" t="s">
        <v>49</v>
      </c>
      <c r="H70" s="38" t="s">
        <v>331</v>
      </c>
      <c r="I70" s="38" t="s">
        <v>373</v>
      </c>
      <c r="J70" s="38" t="str">
        <f t="shared" si="3"/>
        <v>Канализационные насосные станции::ед.</v>
      </c>
      <c r="K70" s="38"/>
      <c r="L70" s="38"/>
      <c r="M70" s="38"/>
      <c r="N70" s="38"/>
      <c r="O70" s="38"/>
      <c r="P70" s="38"/>
      <c r="Q70" s="38"/>
      <c r="R70" s="38"/>
      <c r="S70" s="38"/>
      <c r="T70" s="38"/>
      <c r="U70" s="38"/>
      <c r="V70" s="353" t="b" cm="1">
        <f t="array" ref="V70">V69</f>
        <v>1</v>
      </c>
      <c r="W70" s="38"/>
      <c r="X70" s="38"/>
      <c r="Y70" s="38"/>
      <c r="Z70" s="966"/>
      <c r="AA70" s="967"/>
      <c r="AB70" s="38"/>
      <c r="AC70" s="98">
        <f>IF(B69,2,1)</f>
        <v>2</v>
      </c>
      <c r="AD70" s="96" t="s">
        <v>390</v>
      </c>
      <c r="AE70" s="39" t="s">
        <v>375</v>
      </c>
      <c r="AF70" s="102">
        <v>1</v>
      </c>
      <c r="AG70" s="102">
        <v>1</v>
      </c>
      <c r="AH70" s="102"/>
      <c r="AI70" s="102">
        <v>1</v>
      </c>
      <c r="AJ70" s="103"/>
      <c r="AK70" s="38"/>
      <c r="AL70" s="38"/>
      <c r="AM70" s="656" t="s">
        <v>391</v>
      </c>
      <c r="AN70" s="656"/>
      <c r="AO70" s="656"/>
      <c r="AP70" s="656"/>
      <c r="AQ70" s="448"/>
      <c r="AR70" s="448"/>
      <c r="AS70" s="38"/>
      <c r="AT70" s="38"/>
      <c r="AU70" s="38"/>
      <c r="AV70" s="38"/>
      <c r="AW70" s="38"/>
      <c r="AX70" s="38"/>
      <c r="AY70" s="38"/>
      <c r="AZ70" s="38"/>
      <c r="BA70" s="38"/>
      <c r="BB70" s="38"/>
      <c r="BC70" s="38"/>
      <c r="BD70" s="38"/>
      <c r="BE70" s="38"/>
    </row>
    <row r="71" spans="1:57" s="396" customFormat="1" ht="26.85" customHeight="1" x14ac:dyDescent="0.15">
      <c r="A71" s="38"/>
      <c r="B71" s="635" t="b" cm="1">
        <f t="array" ref="B71">B70</f>
        <v>1</v>
      </c>
      <c r="C71" s="38"/>
      <c r="D71" s="38"/>
      <c r="E71" s="458">
        <v>15</v>
      </c>
      <c r="F71" s="59" t="str" cm="1">
        <f t="array" aca="1" ref="F71" ca="1">OFFSET(E71,-1,1)</f>
        <v>3</v>
      </c>
      <c r="G71" s="59"/>
      <c r="H71" s="38" t="s">
        <v>331</v>
      </c>
      <c r="I71" s="38" t="s">
        <v>373</v>
      </c>
      <c r="J71" s="38" t="str">
        <f t="shared" si="3"/>
        <v>Канализационные сети::км</v>
      </c>
      <c r="K71" s="38"/>
      <c r="L71" s="38" t="s">
        <v>49</v>
      </c>
      <c r="M71" s="38"/>
      <c r="N71" s="38"/>
      <c r="O71" s="38"/>
      <c r="P71" s="38" t="s">
        <v>383</v>
      </c>
      <c r="Q71" s="38" t="s">
        <v>384</v>
      </c>
      <c r="R71" s="38"/>
      <c r="S71" s="38"/>
      <c r="T71" s="38"/>
      <c r="U71" s="38"/>
      <c r="V71" s="353" t="b" cm="1">
        <f t="array" ref="V71">V70</f>
        <v>1</v>
      </c>
      <c r="W71" s="38"/>
      <c r="X71" s="38"/>
      <c r="Y71" s="38"/>
      <c r="Z71" s="966"/>
      <c r="AA71" s="967"/>
      <c r="AB71" s="38"/>
      <c r="AC71" s="98">
        <f>AC70+1</f>
        <v>3</v>
      </c>
      <c r="AD71" s="96" t="s">
        <v>392</v>
      </c>
      <c r="AE71" s="39" t="s">
        <v>386</v>
      </c>
      <c r="AF71" s="57">
        <v>253.19800000000001</v>
      </c>
      <c r="AG71" s="57">
        <v>253.19800000000001</v>
      </c>
      <c r="AH71" s="57"/>
      <c r="AI71" s="57">
        <v>253.19800000000001</v>
      </c>
      <c r="AJ71" s="103" t="s">
        <v>405</v>
      </c>
      <c r="AK71" s="38"/>
      <c r="AL71" s="38"/>
      <c r="AM71" s="656" t="s">
        <v>393</v>
      </c>
      <c r="AN71" s="656"/>
      <c r="AO71" s="656"/>
      <c r="AP71" s="656"/>
      <c r="AQ71" s="448"/>
      <c r="AR71" s="448"/>
      <c r="AS71" s="38"/>
      <c r="AT71" s="38"/>
      <c r="AU71" s="38"/>
      <c r="AV71" s="38"/>
      <c r="AW71" s="38"/>
      <c r="AX71" s="38"/>
      <c r="AY71" s="38"/>
      <c r="AZ71" s="38"/>
      <c r="BA71" s="38"/>
      <c r="BB71" s="38"/>
      <c r="BC71" s="38"/>
      <c r="BD71" s="38"/>
      <c r="BE71" s="38"/>
    </row>
    <row r="72" spans="1:57" s="40" customFormat="1" ht="14.25" hidden="1" customHeight="1" x14ac:dyDescent="0.15">
      <c r="B72" s="43"/>
      <c r="E72" s="464">
        <v>15</v>
      </c>
      <c r="F72" s="59" t="str" cm="1">
        <f t="array" aca="1" ref="F72" ca="1">OFFSET(E72,-1,1)</f>
        <v>3</v>
      </c>
      <c r="G72" s="59"/>
      <c r="H72" s="40" t="s">
        <v>331</v>
      </c>
      <c r="I72" s="40" t="s">
        <v>373</v>
      </c>
      <c r="J72" s="40" t="str">
        <f t="shared" si="3"/>
        <v>::</v>
      </c>
      <c r="U72" s="38">
        <v>0</v>
      </c>
      <c r="V72" s="353" t="b">
        <f ca="1">AND(F72&gt;0,U72&gt;0)</f>
        <v>0</v>
      </c>
      <c r="Y72" s="517" t="s">
        <v>172</v>
      </c>
      <c r="Z72" s="966"/>
      <c r="AA72" s="967"/>
      <c r="AB72" s="320" t="s">
        <v>173</v>
      </c>
      <c r="AC72" s="98">
        <f ca="1">IF(OFFSET(C72,-8-U72,-1),5,IF(OFFSET(C72,-3-U72,-1),3,2))+U72</f>
        <v>3</v>
      </c>
      <c r="AD72" s="821"/>
      <c r="AE72" s="822"/>
      <c r="AF72" s="820"/>
      <c r="AG72" s="820"/>
      <c r="AH72" s="820"/>
      <c r="AI72" s="820"/>
      <c r="AJ72" s="819"/>
      <c r="AM72" s="662" t="s">
        <v>394</v>
      </c>
      <c r="AN72" s="662" t="s">
        <v>395</v>
      </c>
      <c r="AO72" s="664" cm="1">
        <f t="array" ref="AO72">AD72</f>
        <v>0</v>
      </c>
      <c r="AP72" s="664" cm="1">
        <f t="array" ref="AP72">AE72</f>
        <v>0</v>
      </c>
      <c r="AQ72" s="502"/>
      <c r="AR72" s="502" t="b">
        <v>1</v>
      </c>
    </row>
    <row r="73" spans="1:57" s="396" customFormat="1" ht="14.25" customHeight="1" x14ac:dyDescent="0.15">
      <c r="A73" s="38"/>
      <c r="B73" s="43"/>
      <c r="C73" s="38"/>
      <c r="D73" s="38"/>
      <c r="E73" s="458">
        <v>15</v>
      </c>
      <c r="F73" s="59" t="str" cm="1">
        <f t="array" aca="1" ref="F73" ca="1">OFFSET(E73,-1,1)</f>
        <v>3</v>
      </c>
      <c r="G73" s="59"/>
      <c r="H73" s="38"/>
      <c r="I73" s="38"/>
      <c r="J73" s="37" t="s">
        <v>396</v>
      </c>
      <c r="K73" s="38"/>
      <c r="L73" s="38"/>
      <c r="M73" s="38"/>
      <c r="N73" s="38"/>
      <c r="O73" s="38"/>
      <c r="P73" s="38"/>
      <c r="Q73" s="38"/>
      <c r="R73" s="38"/>
      <c r="S73" s="38"/>
      <c r="T73" s="38"/>
      <c r="U73" s="38"/>
      <c r="V73" s="353" t="b" cm="1">
        <f t="array" ref="V73">V71</f>
        <v>1</v>
      </c>
      <c r="W73" s="38"/>
      <c r="X73" s="38"/>
      <c r="Y73" s="517" t="s">
        <v>397</v>
      </c>
      <c r="Z73" s="966"/>
      <c r="AA73" s="967"/>
      <c r="AB73" s="38"/>
      <c r="AC73" s="89"/>
      <c r="AD73" s="216" t="s">
        <v>176</v>
      </c>
      <c r="AE73" s="90"/>
      <c r="AF73" s="90"/>
      <c r="AG73" s="90"/>
      <c r="AH73" s="90"/>
      <c r="AI73" s="90"/>
      <c r="AJ73" s="101"/>
      <c r="AK73" s="38"/>
      <c r="AL73" s="38"/>
      <c r="AM73" s="656"/>
      <c r="AN73" s="656"/>
      <c r="AO73" s="656"/>
      <c r="AP73" s="656"/>
      <c r="AQ73" s="448" t="s">
        <v>395</v>
      </c>
      <c r="AR73" s="448"/>
      <c r="AS73" s="38"/>
      <c r="AT73" s="38"/>
      <c r="AU73" s="38"/>
      <c r="AV73" s="38"/>
      <c r="AW73" s="38"/>
      <c r="AX73" s="38"/>
      <c r="AY73" s="38"/>
      <c r="AZ73" s="38"/>
      <c r="BA73" s="38"/>
      <c r="BB73" s="38"/>
      <c r="BC73" s="38"/>
      <c r="BD73" s="38"/>
      <c r="BE73" s="38"/>
    </row>
    <row r="74" spans="1:57" s="396" customFormat="1" ht="75.400000000000006" customHeight="1" x14ac:dyDescent="0.15">
      <c r="A74" s="38"/>
      <c r="B74" s="43"/>
      <c r="C74" s="38"/>
      <c r="D74" s="38"/>
      <c r="E74" s="458">
        <v>15</v>
      </c>
      <c r="F74" s="59" t="str" cm="1">
        <f t="array" aca="1" ref="F74" ca="1">OFFSET(E74,-1,1)</f>
        <v>3</v>
      </c>
      <c r="G74" s="59"/>
      <c r="H74" s="38" t="s">
        <v>332</v>
      </c>
      <c r="I74" s="38" t="s">
        <v>373</v>
      </c>
      <c r="J74" s="270" t="str" cm="1">
        <f t="array" ref="J74">AD74</f>
        <v>Краткое описание технологического процесса</v>
      </c>
      <c r="K74" s="38"/>
      <c r="L74" s="38"/>
      <c r="M74" s="38"/>
      <c r="N74" s="38"/>
      <c r="O74" s="38"/>
      <c r="P74" s="38"/>
      <c r="Q74" s="38"/>
      <c r="R74" s="38"/>
      <c r="S74" s="38"/>
      <c r="T74" s="38"/>
      <c r="U74" s="38"/>
      <c r="V74" s="353" t="b" cm="1">
        <f t="array" ref="V74">V73</f>
        <v>1</v>
      </c>
      <c r="W74" s="38"/>
      <c r="X74" s="38"/>
      <c r="Y74" s="38"/>
      <c r="Z74" s="966"/>
      <c r="AA74" s="967"/>
      <c r="AB74" s="38"/>
      <c r="AC74" s="98"/>
      <c r="AD74" s="96" t="s">
        <v>398</v>
      </c>
      <c r="AE74" s="39"/>
      <c r="AF74" s="984" t="s">
        <v>406</v>
      </c>
      <c r="AG74" s="985"/>
      <c r="AH74" s="985"/>
      <c r="AI74" s="985"/>
      <c r="AJ74" s="986"/>
      <c r="AK74" s="38"/>
      <c r="AL74" s="38"/>
      <c r="AM74" s="656" t="s">
        <v>399</v>
      </c>
      <c r="AN74" s="656"/>
      <c r="AO74" s="656"/>
      <c r="AP74" s="656"/>
      <c r="AQ74" s="448"/>
      <c r="AR74" s="448"/>
      <c r="AS74" s="38"/>
      <c r="AT74" s="38"/>
      <c r="AU74" s="38"/>
      <c r="AV74" s="38"/>
      <c r="AW74" s="38"/>
      <c r="AX74" s="38"/>
      <c r="AY74" s="38"/>
      <c r="AZ74" s="38"/>
      <c r="BA74" s="38"/>
      <c r="BB74" s="38"/>
      <c r="BC74" s="38"/>
      <c r="BD74" s="38"/>
      <c r="BE74" s="38"/>
    </row>
    <row r="75" spans="1:57" s="38" customFormat="1" ht="14.65" customHeight="1" x14ac:dyDescent="0.15">
      <c r="B75" s="43"/>
      <c r="E75" s="458">
        <v>15</v>
      </c>
      <c r="F75" s="270"/>
      <c r="G75" s="270"/>
      <c r="J75" s="270"/>
      <c r="W75" s="38" t="s">
        <v>176</v>
      </c>
      <c r="X75" s="56" t="s">
        <v>407</v>
      </c>
      <c r="Z75" s="17"/>
      <c r="AC75" s="42"/>
      <c r="AD75" s="20"/>
      <c r="AE75" s="381"/>
      <c r="AF75" s="117"/>
      <c r="AG75" s="117"/>
      <c r="AH75" s="117"/>
      <c r="AI75" s="117"/>
      <c r="AJ75" s="117"/>
      <c r="AM75" s="656"/>
      <c r="AN75" s="656"/>
      <c r="AO75" s="656"/>
      <c r="AP75" s="656"/>
      <c r="AQ75" s="448"/>
      <c r="AR75" s="448"/>
    </row>
    <row r="76" spans="1:57" s="17" customFormat="1" ht="17.100000000000001" customHeight="1" x14ac:dyDescent="0.15">
      <c r="B76" s="46"/>
      <c r="E76" s="461">
        <v>12</v>
      </c>
      <c r="Q76" s="315"/>
      <c r="R76" s="315"/>
      <c r="S76" s="315"/>
      <c r="T76" s="315"/>
      <c r="W76" s="59"/>
      <c r="AC76" s="971" t="s">
        <v>408</v>
      </c>
      <c r="AD76" s="972"/>
      <c r="AE76" s="972"/>
      <c r="AF76" s="972"/>
      <c r="AG76" s="972"/>
      <c r="AH76" s="972"/>
      <c r="AI76" s="972"/>
      <c r="AJ76" s="973"/>
      <c r="AK76" s="4"/>
      <c r="AL76" s="4"/>
      <c r="AM76" s="661"/>
      <c r="AN76" s="661"/>
      <c r="AO76" s="661"/>
      <c r="AP76" s="661"/>
      <c r="AQ76" s="454"/>
      <c r="AR76" s="454"/>
      <c r="AS76" s="4"/>
      <c r="AT76" s="4"/>
      <c r="AU76" s="4"/>
      <c r="AV76" s="4"/>
      <c r="AW76" s="4"/>
      <c r="AX76" s="4"/>
      <c r="AY76" s="4"/>
      <c r="AZ76" s="4"/>
      <c r="BA76" s="4"/>
      <c r="BB76" s="4"/>
      <c r="BC76" s="4"/>
      <c r="BD76" s="4"/>
    </row>
    <row r="77" spans="1:57" s="17" customFormat="1" ht="35.65" customHeight="1" x14ac:dyDescent="0.15">
      <c r="B77" s="46"/>
      <c r="E77" s="461">
        <v>15</v>
      </c>
      <c r="Q77" s="315"/>
      <c r="R77" s="315"/>
      <c r="S77" s="315"/>
      <c r="T77" s="315"/>
      <c r="W77" s="59"/>
      <c r="AB77" s="481"/>
      <c r="AC77" s="974" t="s">
        <v>409</v>
      </c>
      <c r="AD77" s="975"/>
      <c r="AE77" s="975"/>
      <c r="AF77" s="975"/>
      <c r="AG77" s="975"/>
      <c r="AH77" s="975"/>
      <c r="AI77" s="975"/>
      <c r="AJ77" s="976"/>
      <c r="AK77" s="4"/>
      <c r="AL77" s="4"/>
      <c r="AM77" s="661"/>
      <c r="AN77" s="661"/>
      <c r="AO77" s="661"/>
      <c r="AP77" s="661"/>
      <c r="AQ77" s="454"/>
      <c r="AR77" s="454"/>
      <c r="AS77" s="4"/>
      <c r="AT77" s="4"/>
      <c r="AU77" s="4"/>
      <c r="AV77" s="4"/>
      <c r="AW77" s="4"/>
      <c r="AX77" s="4"/>
      <c r="AY77" s="4"/>
      <c r="AZ77" s="4"/>
      <c r="BA77" s="4"/>
      <c r="BB77" s="4"/>
      <c r="BC77" s="4"/>
      <c r="BD77" s="4"/>
    </row>
    <row r="78" spans="1:57" s="17" customFormat="1" ht="14.65" hidden="1" customHeight="1" x14ac:dyDescent="0.15">
      <c r="B78" s="46"/>
      <c r="E78" s="461">
        <v>15</v>
      </c>
      <c r="Q78" s="315"/>
      <c r="R78" s="315"/>
      <c r="S78" s="315"/>
      <c r="T78" s="315"/>
      <c r="V78" s="353" t="b">
        <f t="shared" ref="V78:V88" si="4">ROW(Y78)&gt;ROW(X$78)</f>
        <v>0</v>
      </c>
      <c r="W78" s="59"/>
      <c r="Y78" s="517" t="s">
        <v>172</v>
      </c>
      <c r="AB78" s="482" t="s">
        <v>173</v>
      </c>
      <c r="AC78" s="977"/>
      <c r="AD78" s="978"/>
      <c r="AE78" s="978"/>
      <c r="AF78" s="978"/>
      <c r="AG78" s="978"/>
      <c r="AH78" s="978"/>
      <c r="AI78" s="978"/>
      <c r="AJ78" s="979"/>
      <c r="AK78" s="4"/>
      <c r="AL78" s="4"/>
      <c r="AM78" s="661"/>
      <c r="AN78" s="661"/>
      <c r="AO78" s="661"/>
      <c r="AP78" s="661"/>
      <c r="AQ78" s="454"/>
      <c r="AR78" s="454"/>
      <c r="AS78" s="4"/>
      <c r="AT78" s="4"/>
      <c r="AU78" s="4"/>
      <c r="AV78" s="4"/>
      <c r="AW78" s="4"/>
      <c r="AX78" s="4"/>
      <c r="AY78" s="4"/>
      <c r="AZ78" s="4"/>
      <c r="BA78" s="4"/>
      <c r="BB78" s="4"/>
      <c r="BC78" s="4"/>
      <c r="BD78" s="4"/>
    </row>
    <row r="79" spans="1:57" s="823" customFormat="1" ht="36.75" customHeight="1" x14ac:dyDescent="0.15">
      <c r="A79" s="17"/>
      <c r="B79" s="46"/>
      <c r="C79" s="17"/>
      <c r="D79" s="17"/>
      <c r="E79" s="461">
        <v>15</v>
      </c>
      <c r="F79" s="17"/>
      <c r="G79" s="17"/>
      <c r="H79" s="17"/>
      <c r="I79" s="17"/>
      <c r="J79" s="17"/>
      <c r="K79" s="17"/>
      <c r="L79" s="17"/>
      <c r="M79" s="17"/>
      <c r="N79" s="17"/>
      <c r="O79" s="17"/>
      <c r="P79" s="17"/>
      <c r="Q79" s="315"/>
      <c r="R79" s="315"/>
      <c r="S79" s="315"/>
      <c r="T79" s="315"/>
      <c r="U79" s="17" t="s">
        <v>225</v>
      </c>
      <c r="V79" s="353" t="b">
        <f t="shared" si="4"/>
        <v>1</v>
      </c>
      <c r="W79" s="59"/>
      <c r="X79" s="17"/>
      <c r="Y79" s="517"/>
      <c r="Z79" s="17"/>
      <c r="AA79" s="17"/>
      <c r="AB79" s="482" t="s">
        <v>173</v>
      </c>
      <c r="AC79" s="987" t="s">
        <v>410</v>
      </c>
      <c r="AD79" s="988"/>
      <c r="AE79" s="988"/>
      <c r="AF79" s="988"/>
      <c r="AG79" s="988"/>
      <c r="AH79" s="988"/>
      <c r="AI79" s="988"/>
      <c r="AJ79" s="989"/>
      <c r="AK79" s="4"/>
      <c r="AL79" s="4"/>
      <c r="AM79" s="661"/>
      <c r="AN79" s="661"/>
      <c r="AO79" s="661"/>
      <c r="AP79" s="661"/>
      <c r="AQ79" s="454"/>
      <c r="AR79" s="454"/>
      <c r="AS79" s="4"/>
      <c r="AT79" s="4"/>
      <c r="AU79" s="4"/>
      <c r="AV79" s="4"/>
      <c r="AW79" s="4"/>
      <c r="AX79" s="4"/>
      <c r="AY79" s="4"/>
      <c r="AZ79" s="4"/>
      <c r="BA79" s="4"/>
      <c r="BB79" s="4"/>
      <c r="BC79" s="4"/>
      <c r="BD79" s="4"/>
      <c r="BE79" s="17"/>
    </row>
    <row r="80" spans="1:57" s="823" customFormat="1" ht="43.7" customHeight="1" x14ac:dyDescent="0.15">
      <c r="A80" s="17"/>
      <c r="B80" s="46"/>
      <c r="C80" s="17"/>
      <c r="D80" s="17"/>
      <c r="E80" s="461">
        <v>15</v>
      </c>
      <c r="F80" s="17"/>
      <c r="G80" s="17"/>
      <c r="H80" s="17"/>
      <c r="I80" s="17"/>
      <c r="J80" s="17"/>
      <c r="K80" s="17"/>
      <c r="L80" s="17"/>
      <c r="M80" s="17"/>
      <c r="N80" s="17"/>
      <c r="O80" s="17"/>
      <c r="P80" s="17"/>
      <c r="Q80" s="315"/>
      <c r="R80" s="315"/>
      <c r="S80" s="315"/>
      <c r="T80" s="315"/>
      <c r="U80" s="17" t="s">
        <v>225</v>
      </c>
      <c r="V80" s="353" t="b">
        <f t="shared" si="4"/>
        <v>1</v>
      </c>
      <c r="W80" s="59"/>
      <c r="X80" s="17"/>
      <c r="Y80" s="517"/>
      <c r="Z80" s="17"/>
      <c r="AA80" s="17"/>
      <c r="AB80" s="482" t="s">
        <v>173</v>
      </c>
      <c r="AC80" s="987" t="s">
        <v>411</v>
      </c>
      <c r="AD80" s="988"/>
      <c r="AE80" s="988"/>
      <c r="AF80" s="988"/>
      <c r="AG80" s="988"/>
      <c r="AH80" s="988"/>
      <c r="AI80" s="988"/>
      <c r="AJ80" s="989"/>
      <c r="AK80" s="4"/>
      <c r="AL80" s="4"/>
      <c r="AM80" s="661"/>
      <c r="AN80" s="661"/>
      <c r="AO80" s="661"/>
      <c r="AP80" s="661"/>
      <c r="AQ80" s="454"/>
      <c r="AR80" s="454"/>
      <c r="AS80" s="4"/>
      <c r="AT80" s="4"/>
      <c r="AU80" s="4"/>
      <c r="AV80" s="4"/>
      <c r="AW80" s="4"/>
      <c r="AX80" s="4"/>
      <c r="AY80" s="4"/>
      <c r="AZ80" s="4"/>
      <c r="BA80" s="4"/>
      <c r="BB80" s="4"/>
      <c r="BC80" s="4"/>
      <c r="BD80" s="4"/>
      <c r="BE80" s="17"/>
    </row>
    <row r="81" spans="1:57" s="823" customFormat="1" ht="48.95" customHeight="1" x14ac:dyDescent="0.15">
      <c r="A81" s="17"/>
      <c r="B81" s="46"/>
      <c r="C81" s="17"/>
      <c r="D81" s="17"/>
      <c r="E81" s="461">
        <v>15</v>
      </c>
      <c r="F81" s="17"/>
      <c r="G81" s="17"/>
      <c r="H81" s="17"/>
      <c r="I81" s="17"/>
      <c r="J81" s="17"/>
      <c r="K81" s="17"/>
      <c r="L81" s="17"/>
      <c r="M81" s="17"/>
      <c r="N81" s="17"/>
      <c r="O81" s="17"/>
      <c r="P81" s="17"/>
      <c r="Q81" s="315"/>
      <c r="R81" s="315"/>
      <c r="S81" s="315"/>
      <c r="T81" s="315"/>
      <c r="U81" s="17" t="s">
        <v>225</v>
      </c>
      <c r="V81" s="353" t="b">
        <f t="shared" si="4"/>
        <v>1</v>
      </c>
      <c r="W81" s="59"/>
      <c r="X81" s="17"/>
      <c r="Y81" s="517"/>
      <c r="Z81" s="17"/>
      <c r="AA81" s="17"/>
      <c r="AB81" s="482" t="s">
        <v>173</v>
      </c>
      <c r="AC81" s="987" t="s">
        <v>412</v>
      </c>
      <c r="AD81" s="988"/>
      <c r="AE81" s="988"/>
      <c r="AF81" s="988"/>
      <c r="AG81" s="988"/>
      <c r="AH81" s="988"/>
      <c r="AI81" s="988"/>
      <c r="AJ81" s="989"/>
      <c r="AK81" s="4"/>
      <c r="AL81" s="4"/>
      <c r="AM81" s="661"/>
      <c r="AN81" s="661"/>
      <c r="AO81" s="661"/>
      <c r="AP81" s="661"/>
      <c r="AQ81" s="454"/>
      <c r="AR81" s="454"/>
      <c r="AS81" s="4"/>
      <c r="AT81" s="4"/>
      <c r="AU81" s="4"/>
      <c r="AV81" s="4"/>
      <c r="AW81" s="4"/>
      <c r="AX81" s="4"/>
      <c r="AY81" s="4"/>
      <c r="AZ81" s="4"/>
      <c r="BA81" s="4"/>
      <c r="BB81" s="4"/>
      <c r="BC81" s="4"/>
      <c r="BD81" s="4"/>
      <c r="BE81" s="17"/>
    </row>
    <row r="82" spans="1:57" s="823" customFormat="1" ht="57.6" customHeight="1" x14ac:dyDescent="0.15">
      <c r="A82" s="17"/>
      <c r="B82" s="46"/>
      <c r="C82" s="17"/>
      <c r="D82" s="17"/>
      <c r="E82" s="461">
        <v>15</v>
      </c>
      <c r="F82" s="17"/>
      <c r="G82" s="17"/>
      <c r="H82" s="17"/>
      <c r="I82" s="17"/>
      <c r="J82" s="17"/>
      <c r="K82" s="17"/>
      <c r="L82" s="17"/>
      <c r="M82" s="17"/>
      <c r="N82" s="17"/>
      <c r="O82" s="17"/>
      <c r="P82" s="17"/>
      <c r="Q82" s="315"/>
      <c r="R82" s="315"/>
      <c r="S82" s="315"/>
      <c r="T82" s="315"/>
      <c r="U82" s="17" t="s">
        <v>225</v>
      </c>
      <c r="V82" s="353" t="b">
        <f t="shared" si="4"/>
        <v>1</v>
      </c>
      <c r="W82" s="59"/>
      <c r="X82" s="17"/>
      <c r="Y82" s="517"/>
      <c r="Z82" s="17"/>
      <c r="AA82" s="17"/>
      <c r="AB82" s="482" t="s">
        <v>173</v>
      </c>
      <c r="AC82" s="987" t="s">
        <v>413</v>
      </c>
      <c r="AD82" s="988"/>
      <c r="AE82" s="988"/>
      <c r="AF82" s="988"/>
      <c r="AG82" s="988"/>
      <c r="AH82" s="988"/>
      <c r="AI82" s="988"/>
      <c r="AJ82" s="989"/>
      <c r="AK82" s="4"/>
      <c r="AL82" s="4"/>
      <c r="AM82" s="661"/>
      <c r="AN82" s="661"/>
      <c r="AO82" s="661"/>
      <c r="AP82" s="661"/>
      <c r="AQ82" s="454"/>
      <c r="AR82" s="454"/>
      <c r="AS82" s="4"/>
      <c r="AT82" s="4"/>
      <c r="AU82" s="4"/>
      <c r="AV82" s="4"/>
      <c r="AW82" s="4"/>
      <c r="AX82" s="4"/>
      <c r="AY82" s="4"/>
      <c r="AZ82" s="4"/>
      <c r="BA82" s="4"/>
      <c r="BB82" s="4"/>
      <c r="BC82" s="4"/>
      <c r="BD82" s="4"/>
      <c r="BE82" s="17"/>
    </row>
    <row r="83" spans="1:57" s="823" customFormat="1" ht="35.65" customHeight="1" x14ac:dyDescent="0.15">
      <c r="A83" s="17"/>
      <c r="B83" s="46"/>
      <c r="C83" s="17"/>
      <c r="D83" s="17"/>
      <c r="E83" s="461">
        <v>15</v>
      </c>
      <c r="F83" s="17"/>
      <c r="G83" s="17"/>
      <c r="H83" s="17"/>
      <c r="I83" s="17"/>
      <c r="J83" s="17"/>
      <c r="K83" s="17"/>
      <c r="L83" s="17"/>
      <c r="M83" s="17"/>
      <c r="N83" s="17"/>
      <c r="O83" s="17"/>
      <c r="P83" s="17"/>
      <c r="Q83" s="315"/>
      <c r="R83" s="315"/>
      <c r="S83" s="315"/>
      <c r="T83" s="315"/>
      <c r="U83" s="17" t="s">
        <v>225</v>
      </c>
      <c r="V83" s="353" t="b">
        <f t="shared" si="4"/>
        <v>1</v>
      </c>
      <c r="W83" s="59"/>
      <c r="X83" s="17"/>
      <c r="Y83" s="517"/>
      <c r="Z83" s="17"/>
      <c r="AA83" s="17"/>
      <c r="AB83" s="482" t="s">
        <v>173</v>
      </c>
      <c r="AC83" s="987" t="s">
        <v>414</v>
      </c>
      <c r="AD83" s="988"/>
      <c r="AE83" s="988"/>
      <c r="AF83" s="988"/>
      <c r="AG83" s="988"/>
      <c r="AH83" s="988"/>
      <c r="AI83" s="988"/>
      <c r="AJ83" s="989"/>
      <c r="AK83" s="4"/>
      <c r="AL83" s="4"/>
      <c r="AM83" s="661"/>
      <c r="AN83" s="661"/>
      <c r="AO83" s="661"/>
      <c r="AP83" s="661"/>
      <c r="AQ83" s="454"/>
      <c r="AR83" s="454"/>
      <c r="AS83" s="4"/>
      <c r="AT83" s="4"/>
      <c r="AU83" s="4"/>
      <c r="AV83" s="4"/>
      <c r="AW83" s="4"/>
      <c r="AX83" s="4"/>
      <c r="AY83" s="4"/>
      <c r="AZ83" s="4"/>
      <c r="BA83" s="4"/>
      <c r="BB83" s="4"/>
      <c r="BC83" s="4"/>
      <c r="BD83" s="4"/>
      <c r="BE83" s="17"/>
    </row>
    <row r="84" spans="1:57" s="823" customFormat="1" ht="55.7" customHeight="1" x14ac:dyDescent="0.15">
      <c r="A84" s="17"/>
      <c r="B84" s="46"/>
      <c r="C84" s="17"/>
      <c r="D84" s="17"/>
      <c r="E84" s="461">
        <v>15</v>
      </c>
      <c r="F84" s="17"/>
      <c r="G84" s="17"/>
      <c r="H84" s="17"/>
      <c r="I84" s="17"/>
      <c r="J84" s="17"/>
      <c r="K84" s="17"/>
      <c r="L84" s="17"/>
      <c r="M84" s="17"/>
      <c r="N84" s="17"/>
      <c r="O84" s="17"/>
      <c r="P84" s="17"/>
      <c r="Q84" s="315"/>
      <c r="R84" s="315"/>
      <c r="S84" s="315"/>
      <c r="T84" s="315"/>
      <c r="U84" s="17" t="s">
        <v>225</v>
      </c>
      <c r="V84" s="353" t="b">
        <f t="shared" si="4"/>
        <v>1</v>
      </c>
      <c r="W84" s="59"/>
      <c r="X84" s="17"/>
      <c r="Y84" s="517"/>
      <c r="Z84" s="17"/>
      <c r="AA84" s="17"/>
      <c r="AB84" s="482" t="s">
        <v>173</v>
      </c>
      <c r="AC84" s="987" t="s">
        <v>415</v>
      </c>
      <c r="AD84" s="988"/>
      <c r="AE84" s="988"/>
      <c r="AF84" s="988"/>
      <c r="AG84" s="988"/>
      <c r="AH84" s="988"/>
      <c r="AI84" s="988"/>
      <c r="AJ84" s="989"/>
      <c r="AK84" s="4"/>
      <c r="AL84" s="4"/>
      <c r="AM84" s="661"/>
      <c r="AN84" s="661"/>
      <c r="AO84" s="661"/>
      <c r="AP84" s="661"/>
      <c r="AQ84" s="454"/>
      <c r="AR84" s="454"/>
      <c r="AS84" s="4"/>
      <c r="AT84" s="4"/>
      <c r="AU84" s="4"/>
      <c r="AV84" s="4"/>
      <c r="AW84" s="4"/>
      <c r="AX84" s="4"/>
      <c r="AY84" s="4"/>
      <c r="AZ84" s="4"/>
      <c r="BA84" s="4"/>
      <c r="BB84" s="4"/>
      <c r="BC84" s="4"/>
      <c r="BD84" s="4"/>
      <c r="BE84" s="17"/>
    </row>
    <row r="85" spans="1:57" s="823" customFormat="1" ht="45.95" customHeight="1" x14ac:dyDescent="0.15">
      <c r="A85" s="17"/>
      <c r="B85" s="46"/>
      <c r="C85" s="17"/>
      <c r="D85" s="17"/>
      <c r="E85" s="461">
        <v>15</v>
      </c>
      <c r="F85" s="17"/>
      <c r="G85" s="17"/>
      <c r="H85" s="17"/>
      <c r="I85" s="17"/>
      <c r="J85" s="17"/>
      <c r="K85" s="17"/>
      <c r="L85" s="17"/>
      <c r="M85" s="17"/>
      <c r="N85" s="17"/>
      <c r="O85" s="17"/>
      <c r="P85" s="17"/>
      <c r="Q85" s="315"/>
      <c r="R85" s="315"/>
      <c r="S85" s="315"/>
      <c r="T85" s="315"/>
      <c r="U85" s="17" t="s">
        <v>225</v>
      </c>
      <c r="V85" s="353" t="b">
        <f t="shared" si="4"/>
        <v>1</v>
      </c>
      <c r="W85" s="59"/>
      <c r="X85" s="17"/>
      <c r="Y85" s="517"/>
      <c r="Z85" s="17"/>
      <c r="AA85" s="17"/>
      <c r="AB85" s="482" t="s">
        <v>173</v>
      </c>
      <c r="AC85" s="987" t="s">
        <v>416</v>
      </c>
      <c r="AD85" s="988"/>
      <c r="AE85" s="988"/>
      <c r="AF85" s="988"/>
      <c r="AG85" s="988"/>
      <c r="AH85" s="988"/>
      <c r="AI85" s="988"/>
      <c r="AJ85" s="989"/>
      <c r="AK85" s="4"/>
      <c r="AL85" s="4"/>
      <c r="AM85" s="661"/>
      <c r="AN85" s="661"/>
      <c r="AO85" s="661"/>
      <c r="AP85" s="661"/>
      <c r="AQ85" s="454"/>
      <c r="AR85" s="454"/>
      <c r="AS85" s="4"/>
      <c r="AT85" s="4"/>
      <c r="AU85" s="4"/>
      <c r="AV85" s="4"/>
      <c r="AW85" s="4"/>
      <c r="AX85" s="4"/>
      <c r="AY85" s="4"/>
      <c r="AZ85" s="4"/>
      <c r="BA85" s="4"/>
      <c r="BB85" s="4"/>
      <c r="BC85" s="4"/>
      <c r="BD85" s="4"/>
      <c r="BE85" s="17"/>
    </row>
    <row r="86" spans="1:57" s="823" customFormat="1" ht="45.4" customHeight="1" x14ac:dyDescent="0.15">
      <c r="A86" s="17"/>
      <c r="B86" s="46"/>
      <c r="C86" s="17"/>
      <c r="D86" s="17"/>
      <c r="E86" s="461">
        <v>15</v>
      </c>
      <c r="F86" s="17"/>
      <c r="G86" s="17"/>
      <c r="H86" s="17"/>
      <c r="I86" s="17"/>
      <c r="J86" s="17"/>
      <c r="K86" s="17"/>
      <c r="L86" s="17"/>
      <c r="M86" s="17"/>
      <c r="N86" s="17"/>
      <c r="O86" s="17"/>
      <c r="P86" s="17"/>
      <c r="Q86" s="315"/>
      <c r="R86" s="315"/>
      <c r="S86" s="315"/>
      <c r="T86" s="315"/>
      <c r="U86" s="17" t="s">
        <v>225</v>
      </c>
      <c r="V86" s="353" t="b">
        <f t="shared" si="4"/>
        <v>1</v>
      </c>
      <c r="W86" s="59"/>
      <c r="X86" s="17"/>
      <c r="Y86" s="517"/>
      <c r="Z86" s="17"/>
      <c r="AA86" s="17"/>
      <c r="AB86" s="482" t="s">
        <v>173</v>
      </c>
      <c r="AC86" s="987" t="s">
        <v>417</v>
      </c>
      <c r="AD86" s="988"/>
      <c r="AE86" s="988"/>
      <c r="AF86" s="988"/>
      <c r="AG86" s="988"/>
      <c r="AH86" s="988"/>
      <c r="AI86" s="988"/>
      <c r="AJ86" s="989"/>
      <c r="AK86" s="4"/>
      <c r="AL86" s="4"/>
      <c r="AM86" s="661"/>
      <c r="AN86" s="661"/>
      <c r="AO86" s="661"/>
      <c r="AP86" s="661"/>
      <c r="AQ86" s="454"/>
      <c r="AR86" s="454"/>
      <c r="AS86" s="4"/>
      <c r="AT86" s="4"/>
      <c r="AU86" s="4"/>
      <c r="AV86" s="4"/>
      <c r="AW86" s="4"/>
      <c r="AX86" s="4"/>
      <c r="AY86" s="4"/>
      <c r="AZ86" s="4"/>
      <c r="BA86" s="4"/>
      <c r="BB86" s="4"/>
      <c r="BC86" s="4"/>
      <c r="BD86" s="4"/>
      <c r="BE86" s="17"/>
    </row>
    <row r="87" spans="1:57" s="823" customFormat="1" ht="42.6" customHeight="1" x14ac:dyDescent="0.15">
      <c r="A87" s="17"/>
      <c r="B87" s="46"/>
      <c r="C87" s="17"/>
      <c r="D87" s="17"/>
      <c r="E87" s="461">
        <v>15</v>
      </c>
      <c r="F87" s="17"/>
      <c r="G87" s="17"/>
      <c r="H87" s="17"/>
      <c r="I87" s="17"/>
      <c r="J87" s="17"/>
      <c r="K87" s="17"/>
      <c r="L87" s="17"/>
      <c r="M87" s="17"/>
      <c r="N87" s="17"/>
      <c r="O87" s="17"/>
      <c r="P87" s="17"/>
      <c r="Q87" s="315"/>
      <c r="R87" s="315"/>
      <c r="S87" s="315"/>
      <c r="T87" s="315"/>
      <c r="U87" s="17" t="s">
        <v>225</v>
      </c>
      <c r="V87" s="353" t="b">
        <f t="shared" si="4"/>
        <v>1</v>
      </c>
      <c r="W87" s="59"/>
      <c r="X87" s="17"/>
      <c r="Y87" s="517"/>
      <c r="Z87" s="17"/>
      <c r="AA87" s="17"/>
      <c r="AB87" s="482" t="s">
        <v>173</v>
      </c>
      <c r="AC87" s="987" t="s">
        <v>418</v>
      </c>
      <c r="AD87" s="988"/>
      <c r="AE87" s="988"/>
      <c r="AF87" s="988"/>
      <c r="AG87" s="988"/>
      <c r="AH87" s="988"/>
      <c r="AI87" s="988"/>
      <c r="AJ87" s="989"/>
      <c r="AK87" s="4"/>
      <c r="AL87" s="4"/>
      <c r="AM87" s="661"/>
      <c r="AN87" s="661"/>
      <c r="AO87" s="661"/>
      <c r="AP87" s="661"/>
      <c r="AQ87" s="454"/>
      <c r="AR87" s="454"/>
      <c r="AS87" s="4"/>
      <c r="AT87" s="4"/>
      <c r="AU87" s="4"/>
      <c r="AV87" s="4"/>
      <c r="AW87" s="4"/>
      <c r="AX87" s="4"/>
      <c r="AY87" s="4"/>
      <c r="AZ87" s="4"/>
      <c r="BA87" s="4"/>
      <c r="BB87" s="4"/>
      <c r="BC87" s="4"/>
      <c r="BD87" s="4"/>
      <c r="BE87" s="17"/>
    </row>
    <row r="88" spans="1:57" s="823" customFormat="1" ht="14.25" customHeight="1" x14ac:dyDescent="0.15">
      <c r="A88" s="17"/>
      <c r="B88" s="46"/>
      <c r="C88" s="17"/>
      <c r="D88" s="17"/>
      <c r="E88" s="461">
        <v>15</v>
      </c>
      <c r="F88" s="17"/>
      <c r="G88" s="17"/>
      <c r="H88" s="17"/>
      <c r="I88" s="17"/>
      <c r="J88" s="17"/>
      <c r="K88" s="17"/>
      <c r="L88" s="17"/>
      <c r="M88" s="17"/>
      <c r="N88" s="17"/>
      <c r="O88" s="17"/>
      <c r="P88" s="17"/>
      <c r="Q88" s="315"/>
      <c r="R88" s="315"/>
      <c r="S88" s="315"/>
      <c r="T88" s="315"/>
      <c r="U88" s="17" t="s">
        <v>225</v>
      </c>
      <c r="V88" s="353" t="b">
        <f t="shared" si="4"/>
        <v>1</v>
      </c>
      <c r="W88" s="59"/>
      <c r="X88" s="17"/>
      <c r="Y88" s="517"/>
      <c r="Z88" s="17"/>
      <c r="AA88" s="17"/>
      <c r="AB88" s="482" t="s">
        <v>173</v>
      </c>
      <c r="AC88" s="987"/>
      <c r="AD88" s="988"/>
      <c r="AE88" s="988"/>
      <c r="AF88" s="988"/>
      <c r="AG88" s="988"/>
      <c r="AH88" s="988"/>
      <c r="AI88" s="988"/>
      <c r="AJ88" s="989"/>
      <c r="AK88" s="4"/>
      <c r="AL88" s="4"/>
      <c r="AM88" s="661"/>
      <c r="AN88" s="661"/>
      <c r="AO88" s="661"/>
      <c r="AP88" s="661"/>
      <c r="AQ88" s="454"/>
      <c r="AR88" s="454"/>
      <c r="AS88" s="4"/>
      <c r="AT88" s="4"/>
      <c r="AU88" s="4"/>
      <c r="AV88" s="4"/>
      <c r="AW88" s="4"/>
      <c r="AX88" s="4"/>
      <c r="AY88" s="4"/>
      <c r="AZ88" s="4"/>
      <c r="BA88" s="4"/>
      <c r="BB88" s="4"/>
      <c r="BC88" s="4"/>
      <c r="BD88" s="4"/>
      <c r="BE88" s="17"/>
    </row>
    <row r="89" spans="1:57" s="17" customFormat="1" ht="14.65" customHeight="1" x14ac:dyDescent="0.15">
      <c r="B89" s="46"/>
      <c r="E89" s="461">
        <v>15</v>
      </c>
      <c r="Q89" s="315"/>
      <c r="R89" s="315"/>
      <c r="S89" s="315"/>
      <c r="T89" s="315"/>
      <c r="Y89" s="517" t="s">
        <v>419</v>
      </c>
      <c r="AC89" s="474"/>
      <c r="AD89" s="92" t="s">
        <v>420</v>
      </c>
      <c r="AE89" s="218"/>
      <c r="AF89" s="219"/>
      <c r="AG89" s="219"/>
      <c r="AH89" s="219"/>
      <c r="AI89" s="219"/>
      <c r="AJ89" s="484"/>
      <c r="AK89" s="4"/>
      <c r="AL89" s="4"/>
      <c r="AM89" s="661"/>
      <c r="AN89" s="661"/>
      <c r="AO89" s="661"/>
      <c r="AP89" s="661"/>
      <c r="AQ89" s="454"/>
      <c r="AR89" s="454"/>
      <c r="AS89" s="4"/>
      <c r="AT89" s="4"/>
      <c r="AU89" s="4"/>
      <c r="AV89" s="4"/>
      <c r="AW89" s="4"/>
      <c r="AX89" s="4"/>
      <c r="AY89" s="4"/>
      <c r="AZ89" s="4"/>
      <c r="BA89" s="4"/>
      <c r="BB89" s="4"/>
      <c r="BC89" s="4"/>
      <c r="BD89" s="4"/>
    </row>
    <row r="90" spans="1:57" ht="11.25" customHeight="1" x14ac:dyDescent="0.15">
      <c r="A90"/>
      <c r="B90" s="479"/>
      <c r="C90"/>
      <c r="D90"/>
      <c r="E90" s="456"/>
      <c r="F90" s="4"/>
      <c r="G90" s="4"/>
      <c r="H90" s="4"/>
      <c r="I90" s="4"/>
      <c r="J90" s="4"/>
      <c r="K90"/>
      <c r="L90"/>
      <c r="M90"/>
      <c r="N90"/>
      <c r="O90"/>
      <c r="P90"/>
      <c r="Q90"/>
      <c r="R90"/>
      <c r="S90"/>
      <c r="AB90"/>
      <c r="AC90"/>
      <c r="AD90" s="18"/>
      <c r="AE90" s="18"/>
      <c r="AF90" s="18"/>
      <c r="AG90" s="18"/>
      <c r="AH90"/>
      <c r="AI90"/>
      <c r="AJ90"/>
      <c r="AK90"/>
      <c r="AL90"/>
      <c r="AM90" s="661"/>
      <c r="AN90" s="661"/>
      <c r="AO90" s="661"/>
      <c r="AP90" s="661"/>
      <c r="AQ90" s="454"/>
      <c r="AR90" s="663"/>
      <c r="AS90"/>
      <c r="AT90"/>
      <c r="AU90"/>
      <c r="AV90"/>
      <c r="AW90"/>
      <c r="AX90"/>
      <c r="AY90"/>
      <c r="AZ90"/>
      <c r="BA90"/>
      <c r="BB90"/>
      <c r="BC90"/>
      <c r="BD90"/>
      <c r="BE90"/>
    </row>
    <row r="91" spans="1:57" ht="11.25" hidden="1" customHeight="1" x14ac:dyDescent="0.15">
      <c r="A91"/>
      <c r="B91" s="479"/>
      <c r="C91"/>
      <c r="D91"/>
      <c r="E91" s="456"/>
      <c r="F91" s="4"/>
      <c r="G91" s="4"/>
      <c r="H91" s="4"/>
      <c r="I91" s="4"/>
      <c r="J91" s="4"/>
      <c r="K91"/>
      <c r="L91"/>
      <c r="M91"/>
      <c r="N91"/>
      <c r="O91"/>
      <c r="P91"/>
      <c r="Q91"/>
      <c r="R91"/>
      <c r="S91"/>
      <c r="AB91"/>
      <c r="AC91"/>
      <c r="AD91" s="18"/>
      <c r="AE91" s="18"/>
      <c r="AF91" s="18"/>
      <c r="AG91" s="18"/>
      <c r="AH91"/>
      <c r="AI91"/>
      <c r="AJ91"/>
      <c r="AK91"/>
      <c r="AL91"/>
      <c r="AM91" s="661"/>
      <c r="AN91" s="661"/>
      <c r="AO91" s="661"/>
      <c r="AP91" s="661"/>
      <c r="AQ91" s="454"/>
      <c r="AR91" s="663"/>
      <c r="AS91"/>
      <c r="AT91"/>
      <c r="AU91"/>
      <c r="AV91"/>
      <c r="AW91"/>
      <c r="AX91"/>
      <c r="AY91"/>
      <c r="AZ91"/>
      <c r="BA91"/>
      <c r="BB91"/>
      <c r="BC91"/>
      <c r="BD91"/>
      <c r="BE91"/>
    </row>
  </sheetData>
  <sheetProtection formatColumns="0" formatRows="0" insertRows="0" deleteColumns="0" deleteRows="0" sort="0" autoFilter="0"/>
  <mergeCells count="31">
    <mergeCell ref="AC84:AJ84"/>
    <mergeCell ref="AC85:AJ85"/>
    <mergeCell ref="AC86:AJ86"/>
    <mergeCell ref="AC87:AJ87"/>
    <mergeCell ref="AC88:AJ88"/>
    <mergeCell ref="AC79:AJ79"/>
    <mergeCell ref="AC80:AJ80"/>
    <mergeCell ref="AC81:AJ81"/>
    <mergeCell ref="AC82:AJ82"/>
    <mergeCell ref="AC83:AJ83"/>
    <mergeCell ref="AC78:AJ78"/>
    <mergeCell ref="AC22:AJ22"/>
    <mergeCell ref="AG23:AH23"/>
    <mergeCell ref="AC24:AC25"/>
    <mergeCell ref="AD24:AD25"/>
    <mergeCell ref="AE24:AE25"/>
    <mergeCell ref="AJ24:AJ25"/>
    <mergeCell ref="AF50:AJ50"/>
    <mergeCell ref="AF62:AJ62"/>
    <mergeCell ref="AF74:AJ74"/>
    <mergeCell ref="Z27:Z38"/>
    <mergeCell ref="AA27:AA38"/>
    <mergeCell ref="AF38:AJ38"/>
    <mergeCell ref="AC76:AJ76"/>
    <mergeCell ref="AC77:AJ77"/>
    <mergeCell ref="Z39:Z50"/>
    <mergeCell ref="AA39:AA50"/>
    <mergeCell ref="Z51:Z62"/>
    <mergeCell ref="AA51:AA62"/>
    <mergeCell ref="Z63:Z74"/>
    <mergeCell ref="AA63:AA74"/>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AF64 AG64 AH64 AI64 AF65 AG65 AH65 AI65 AF66 AG66 AH66 AI66 AF67 AG67 AH67 AI67 AF69 AG69 AH69 AI69 AF70 AG70 AH70 AI70"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AF68 AG68 AH68 AI68 AF71 AG71 AH71 AI71 AF72 AG72 AH72 AI72"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37018-C8F8-2688-B24D-CDEE5DFADF7F}">
  <sheetPr>
    <tabColor theme="3" tint="0.59999389629810485"/>
    <outlinePr summaryBelow="0" summaryRight="0"/>
    <pageSetUpPr fitToPage="1"/>
  </sheetPr>
  <dimension ref="A1:AS63"/>
  <sheetViews>
    <sheetView showGridLines="0" zoomScale="130" workbookViewId="0">
      <pane xSplit="29" ySplit="24" topLeftCell="AD30" activePane="bottomRight" state="frozen"/>
      <selection pane="topRight" activeCell="AD1" sqref="AD1"/>
      <selection pane="bottomLeft" activeCell="A25" sqref="A25"/>
      <selection pane="bottomRight" activeCell="AH49" sqref="AH49"/>
    </sheetView>
  </sheetViews>
  <sheetFormatPr defaultColWidth="8.7109375" defaultRowHeight="11.25" customHeight="1" x14ac:dyDescent="0.15"/>
  <cols>
    <col min="1" max="1" width="3.5703125" style="64" hidden="1" customWidth="1"/>
    <col min="2" max="2" width="8.5703125" style="326" hidden="1" customWidth="1"/>
    <col min="3" max="4" width="3.5703125" style="64" hidden="1" customWidth="1"/>
    <col min="5" max="5" width="3.5703125" style="585"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3" width="20" style="20" customWidth="1"/>
    <col min="34" max="34" width="40.7109375" style="20" customWidth="1"/>
    <col min="35" max="35" width="3" style="64" customWidth="1"/>
    <col min="36" max="36" width="8.7109375" style="64" hidden="1"/>
    <col min="37" max="43" width="8.7109375" style="653" hidden="1"/>
    <col min="44" max="44" width="8.7109375" style="583" hidden="1"/>
    <col min="45" max="45" width="8.7109375" style="457" hidden="1"/>
  </cols>
  <sheetData>
    <row r="1" spans="1:45" s="64" customFormat="1" ht="11.25" hidden="1" customHeight="1" x14ac:dyDescent="0.15">
      <c r="B1" s="326"/>
      <c r="E1" s="209"/>
      <c r="F1" s="64" t="s">
        <v>320</v>
      </c>
      <c r="S1" s="315"/>
      <c r="T1" s="315"/>
      <c r="U1" s="353" t="s">
        <v>92</v>
      </c>
      <c r="V1" s="353" t="s">
        <v>97</v>
      </c>
      <c r="W1" s="353" t="s">
        <v>93</v>
      </c>
      <c r="X1" s="353" t="s">
        <v>94</v>
      </c>
      <c r="Y1" s="353" t="s">
        <v>95</v>
      </c>
      <c r="Z1" s="353" t="s">
        <v>99</v>
      </c>
      <c r="AA1" s="355" t="s">
        <v>96</v>
      </c>
      <c r="AB1" s="355" t="s">
        <v>322</v>
      </c>
      <c r="AC1" s="355" t="s">
        <v>98</v>
      </c>
      <c r="AF1" s="117"/>
      <c r="AK1" s="647" t="s">
        <v>323</v>
      </c>
      <c r="AL1" s="651" t="s">
        <v>324</v>
      </c>
      <c r="AM1" s="651" t="s">
        <v>325</v>
      </c>
      <c r="AN1" s="651" t="s">
        <v>421</v>
      </c>
      <c r="AO1" s="651" t="s">
        <v>422</v>
      </c>
      <c r="AP1" s="651" t="s">
        <v>423</v>
      </c>
      <c r="AQ1" s="651" t="s">
        <v>424</v>
      </c>
      <c r="AR1" s="178" t="s">
        <v>328</v>
      </c>
      <c r="AS1" s="178" t="s">
        <v>329</v>
      </c>
    </row>
    <row r="2" spans="1:45" s="326" customFormat="1" ht="11.25" hidden="1" customHeight="1" x14ac:dyDescent="0.15">
      <c r="B2" s="635" t="s">
        <v>18</v>
      </c>
      <c r="S2" s="479"/>
      <c r="T2" s="479"/>
      <c r="U2" s="479"/>
      <c r="V2" s="479"/>
      <c r="W2" s="479"/>
      <c r="X2" s="479"/>
      <c r="Y2" s="479"/>
      <c r="Z2" s="479"/>
      <c r="AK2" s="652"/>
      <c r="AL2" s="652"/>
      <c r="AM2" s="652"/>
      <c r="AN2" s="652"/>
      <c r="AO2" s="652"/>
      <c r="AP2" s="652"/>
      <c r="AQ2" s="652"/>
      <c r="AR2" s="659"/>
      <c r="AS2" s="659"/>
    </row>
    <row r="3" spans="1:45" s="64" customFormat="1" ht="11.25" hidden="1" customHeight="1" x14ac:dyDescent="0.15">
      <c r="B3" s="326"/>
      <c r="E3" s="209"/>
      <c r="S3" s="315"/>
      <c r="T3" s="315"/>
      <c r="U3" s="315"/>
      <c r="V3" s="315"/>
      <c r="W3" s="315"/>
      <c r="X3" s="315"/>
      <c r="Y3" s="315"/>
      <c r="Z3" s="315"/>
      <c r="AF3" s="117"/>
      <c r="AK3" s="653"/>
      <c r="AL3" s="653"/>
      <c r="AM3" s="653"/>
      <c r="AN3" s="653"/>
      <c r="AO3" s="653"/>
      <c r="AP3" s="653"/>
      <c r="AQ3" s="653"/>
      <c r="AR3" s="583"/>
      <c r="AS3" s="583"/>
    </row>
    <row r="4" spans="1:45" s="64" customFormat="1" ht="11.25" hidden="1" customHeight="1" x14ac:dyDescent="0.15">
      <c r="B4" s="326"/>
      <c r="E4" s="209"/>
      <c r="S4" s="315"/>
      <c r="T4" s="315"/>
      <c r="U4" s="315"/>
      <c r="V4" s="315"/>
      <c r="W4" s="315"/>
      <c r="X4" s="315"/>
      <c r="Y4" s="315"/>
      <c r="Z4" s="315"/>
      <c r="AF4" s="117"/>
      <c r="AK4" s="653"/>
      <c r="AL4" s="653"/>
      <c r="AM4" s="653"/>
      <c r="AN4" s="653"/>
      <c r="AO4" s="653"/>
      <c r="AP4" s="653"/>
      <c r="AQ4" s="653"/>
      <c r="AR4" s="583"/>
      <c r="AS4" s="583"/>
    </row>
    <row r="5" spans="1:45" s="585" customFormat="1" ht="11.25" hidden="1" customHeight="1" x14ac:dyDescent="0.15">
      <c r="A5" s="209"/>
      <c r="B5" s="326"/>
      <c r="C5" s="209"/>
      <c r="D5" s="209"/>
      <c r="E5" s="585" t="s">
        <v>19</v>
      </c>
      <c r="S5" s="649"/>
      <c r="T5" s="649"/>
      <c r="U5" s="649"/>
      <c r="V5" s="649"/>
      <c r="W5" s="649"/>
      <c r="X5" s="649"/>
      <c r="Y5" s="649"/>
      <c r="Z5" s="649"/>
      <c r="AA5" s="451">
        <v>3</v>
      </c>
      <c r="AB5" s="451">
        <v>11</v>
      </c>
      <c r="AC5" s="451">
        <v>70</v>
      </c>
      <c r="AD5" s="451">
        <v>15</v>
      </c>
      <c r="AE5" s="451">
        <v>20</v>
      </c>
      <c r="AF5" s="451">
        <v>20</v>
      </c>
      <c r="AG5" s="451">
        <v>20</v>
      </c>
      <c r="AH5" s="451">
        <v>20</v>
      </c>
      <c r="AI5" s="585">
        <v>3</v>
      </c>
      <c r="AK5" s="654"/>
      <c r="AL5" s="654"/>
      <c r="AM5" s="654"/>
      <c r="AN5" s="654"/>
      <c r="AO5" s="654"/>
      <c r="AP5" s="654"/>
      <c r="AQ5" s="654"/>
    </row>
    <row r="6" spans="1:45" s="64" customFormat="1" ht="11.25" hidden="1" customHeight="1" x14ac:dyDescent="0.15">
      <c r="B6" s="326"/>
      <c r="E6" s="585"/>
      <c r="S6" s="315"/>
      <c r="T6" s="315"/>
      <c r="U6" s="315"/>
      <c r="V6" s="315"/>
      <c r="W6" s="315"/>
      <c r="X6" s="315"/>
      <c r="Y6" s="315"/>
      <c r="Z6" s="315"/>
      <c r="AK6" s="653"/>
      <c r="AL6" s="653"/>
      <c r="AM6" s="653"/>
      <c r="AN6" s="653"/>
      <c r="AO6" s="653"/>
      <c r="AP6" s="653"/>
      <c r="AQ6" s="653"/>
      <c r="AR6" s="583"/>
      <c r="AS6" s="583"/>
    </row>
    <row r="7" spans="1:45" s="64" customFormat="1" ht="11.25" hidden="1" customHeight="1" x14ac:dyDescent="0.15">
      <c r="B7" s="326"/>
      <c r="E7" s="585"/>
      <c r="S7" s="315"/>
      <c r="T7" s="315"/>
      <c r="U7" s="315"/>
      <c r="V7" s="315"/>
      <c r="W7" s="315"/>
      <c r="X7" s="315"/>
      <c r="Y7" s="315"/>
      <c r="Z7" s="315"/>
      <c r="AE7" s="267"/>
      <c r="AF7" s="267"/>
      <c r="AG7" s="267"/>
      <c r="AH7" s="267"/>
      <c r="AK7" s="653"/>
      <c r="AL7" s="653"/>
      <c r="AM7" s="653"/>
      <c r="AN7" s="653"/>
      <c r="AO7" s="653"/>
      <c r="AP7" s="653"/>
      <c r="AQ7" s="653"/>
      <c r="AR7" s="583"/>
      <c r="AS7" s="583"/>
    </row>
    <row r="8" spans="1:45" s="64" customFormat="1" ht="11.25" hidden="1" customHeight="1" x14ac:dyDescent="0.15">
      <c r="B8" s="326"/>
      <c r="E8" s="585"/>
      <c r="S8" s="315"/>
      <c r="T8" s="315"/>
      <c r="U8" s="315"/>
      <c r="V8" s="315"/>
      <c r="W8" s="315"/>
      <c r="X8" s="315"/>
      <c r="Y8" s="315"/>
      <c r="Z8" s="315"/>
      <c r="AF8" s="117"/>
      <c r="AK8" s="653"/>
      <c r="AL8" s="653"/>
      <c r="AM8" s="653"/>
      <c r="AN8" s="653"/>
      <c r="AO8" s="653"/>
      <c r="AP8" s="653"/>
      <c r="AQ8" s="653"/>
      <c r="AR8" s="583"/>
      <c r="AS8" s="583"/>
    </row>
    <row r="9" spans="1:45" s="653" customFormat="1" ht="11.25" hidden="1" customHeight="1" x14ac:dyDescent="0.15">
      <c r="A9" s="647" t="s">
        <v>425</v>
      </c>
      <c r="B9" s="652"/>
      <c r="E9" s="654"/>
      <c r="S9" s="655"/>
      <c r="T9" s="655"/>
      <c r="U9" s="655"/>
      <c r="V9" s="655"/>
      <c r="W9" s="655"/>
      <c r="X9" s="655"/>
      <c r="Y9" s="655"/>
      <c r="Z9" s="655"/>
      <c r="AF9" s="651"/>
      <c r="AH9" s="653" t="str" cm="1">
        <f t="array" ref="AH9">AH24</f>
        <v>Срок действия</v>
      </c>
      <c r="AR9" s="583"/>
      <c r="AS9" s="583"/>
    </row>
    <row r="10" spans="1:45" s="653" customFormat="1" ht="11.25" hidden="1" customHeight="1" x14ac:dyDescent="0.15">
      <c r="A10" s="647" t="s">
        <v>337</v>
      </c>
      <c r="B10" s="652"/>
      <c r="E10" s="654"/>
      <c r="S10" s="655"/>
      <c r="T10" s="655"/>
      <c r="U10" s="655"/>
      <c r="V10" s="655"/>
      <c r="W10" s="655"/>
      <c r="X10" s="655"/>
      <c r="Y10" s="655"/>
      <c r="Z10" s="655"/>
      <c r="AC10" s="648" t="s">
        <v>325</v>
      </c>
      <c r="AD10" s="648" t="s">
        <v>421</v>
      </c>
      <c r="AE10" s="648" t="s">
        <v>422</v>
      </c>
      <c r="AF10" s="648" t="s">
        <v>423</v>
      </c>
      <c r="AG10" s="648" t="s">
        <v>424</v>
      </c>
      <c r="AR10" s="583"/>
      <c r="AS10" s="583"/>
    </row>
    <row r="11" spans="1:45" s="64" customFormat="1" ht="11.25" hidden="1" customHeight="1" x14ac:dyDescent="0.15">
      <c r="B11" s="326"/>
      <c r="E11" s="585"/>
      <c r="S11" s="315"/>
      <c r="T11" s="315"/>
      <c r="U11" s="315"/>
      <c r="V11" s="315"/>
      <c r="W11" s="315"/>
      <c r="X11" s="315"/>
      <c r="Y11" s="315"/>
      <c r="Z11" s="315"/>
      <c r="AF11" s="117"/>
      <c r="AK11" s="653"/>
      <c r="AL11" s="653"/>
      <c r="AM11" s="653"/>
      <c r="AN11" s="653"/>
      <c r="AO11" s="653"/>
      <c r="AP11" s="653"/>
      <c r="AQ11" s="653"/>
      <c r="AR11" s="583"/>
      <c r="AS11" s="583"/>
    </row>
    <row r="12" spans="1:45" s="64" customFormat="1" ht="11.25" hidden="1" customHeight="1" x14ac:dyDescent="0.15">
      <c r="B12" s="326"/>
      <c r="E12" s="585"/>
      <c r="S12" s="315"/>
      <c r="T12" s="315"/>
      <c r="U12" s="315"/>
      <c r="V12" s="315"/>
      <c r="W12" s="315"/>
      <c r="X12" s="315"/>
      <c r="Y12" s="315"/>
      <c r="Z12" s="315"/>
      <c r="AA12" s="315"/>
      <c r="AB12" s="315"/>
      <c r="AC12" s="650"/>
      <c r="AD12" s="650"/>
      <c r="AF12" s="117"/>
      <c r="AK12" s="653"/>
      <c r="AL12" s="653"/>
      <c r="AM12" s="653"/>
      <c r="AN12" s="653"/>
      <c r="AO12" s="653"/>
      <c r="AP12" s="653"/>
      <c r="AQ12" s="653"/>
      <c r="AR12" s="583"/>
      <c r="AS12" s="583"/>
    </row>
    <row r="13" spans="1:45" s="64" customFormat="1" ht="11.25" hidden="1" customHeight="1" x14ac:dyDescent="0.15">
      <c r="B13" s="326"/>
      <c r="E13" s="585"/>
      <c r="S13" s="315"/>
      <c r="T13" s="315"/>
      <c r="U13" s="315"/>
      <c r="V13" s="315"/>
      <c r="W13" s="315"/>
      <c r="X13" s="315"/>
      <c r="Y13" s="315"/>
      <c r="Z13" s="315"/>
      <c r="AA13" s="315"/>
      <c r="AB13" s="315"/>
      <c r="AC13" s="650"/>
      <c r="AD13" s="650"/>
      <c r="AE13" s="650"/>
      <c r="AF13" s="650"/>
      <c r="AK13" s="653"/>
      <c r="AL13" s="653"/>
      <c r="AM13" s="653"/>
      <c r="AN13" s="653"/>
      <c r="AO13" s="653"/>
      <c r="AP13" s="653"/>
      <c r="AQ13" s="653"/>
      <c r="AR13" s="583"/>
      <c r="AS13" s="583"/>
    </row>
    <row r="14" spans="1:45" s="64" customFormat="1" ht="11.25" hidden="1" customHeight="1" x14ac:dyDescent="0.15">
      <c r="B14" s="326"/>
      <c r="E14" s="585"/>
      <c r="S14" s="315"/>
      <c r="T14" s="315"/>
      <c r="U14" s="315"/>
      <c r="V14" s="315"/>
      <c r="W14" s="315"/>
      <c r="X14" s="315"/>
      <c r="Y14" s="315"/>
      <c r="Z14" s="315"/>
      <c r="AA14" s="315"/>
      <c r="AB14" s="315"/>
      <c r="AC14" s="650"/>
      <c r="AD14" s="650"/>
      <c r="AE14" s="650"/>
      <c r="AF14" s="650"/>
      <c r="AK14" s="653"/>
      <c r="AL14" s="653"/>
      <c r="AM14" s="653"/>
      <c r="AN14" s="653"/>
      <c r="AO14" s="653"/>
      <c r="AP14" s="653"/>
      <c r="AQ14" s="653"/>
      <c r="AR14" s="583"/>
      <c r="AS14" s="583"/>
    </row>
    <row r="15" spans="1:45" s="64" customFormat="1" ht="11.25" hidden="1" customHeight="1" x14ac:dyDescent="0.15">
      <c r="B15" s="326"/>
      <c r="E15" s="585"/>
      <c r="S15" s="315"/>
      <c r="T15" s="315"/>
      <c r="U15" s="315"/>
      <c r="V15" s="315"/>
      <c r="W15" s="315"/>
      <c r="X15" s="315"/>
      <c r="Y15" s="315"/>
      <c r="Z15" s="315"/>
      <c r="AA15" s="315"/>
      <c r="AB15" s="315"/>
      <c r="AC15" s="650"/>
      <c r="AD15" s="650"/>
      <c r="AE15" s="650"/>
      <c r="AF15" s="650"/>
      <c r="AK15" s="653"/>
      <c r="AL15" s="653"/>
      <c r="AM15" s="653"/>
      <c r="AN15" s="653"/>
      <c r="AO15" s="653"/>
      <c r="AP15" s="653"/>
      <c r="AQ15" s="653"/>
      <c r="AR15" s="583"/>
      <c r="AS15" s="583"/>
    </row>
    <row r="16" spans="1:45" s="64" customFormat="1" ht="11.25" hidden="1" customHeight="1" x14ac:dyDescent="0.15">
      <c r="B16" s="326"/>
      <c r="E16" s="585"/>
      <c r="S16" s="315"/>
      <c r="T16" s="315"/>
      <c r="U16" s="315"/>
      <c r="V16" s="315"/>
      <c r="W16" s="315"/>
      <c r="X16" s="315"/>
      <c r="Y16" s="315"/>
      <c r="Z16" s="315"/>
      <c r="AA16" s="315"/>
      <c r="AB16" s="315"/>
      <c r="AC16" s="650"/>
      <c r="AD16" s="650"/>
      <c r="AE16" s="650"/>
      <c r="AF16" s="650"/>
      <c r="AK16" s="653"/>
      <c r="AL16" s="653"/>
      <c r="AM16" s="653"/>
      <c r="AN16" s="653"/>
      <c r="AO16" s="653"/>
      <c r="AP16" s="653"/>
      <c r="AQ16" s="653"/>
      <c r="AR16" s="583"/>
      <c r="AS16" s="583"/>
    </row>
    <row r="17" spans="1:45" s="64" customFormat="1" ht="11.25" hidden="1" customHeight="1" x14ac:dyDescent="0.15">
      <c r="B17" s="326"/>
      <c r="E17" s="585"/>
      <c r="S17" s="315"/>
      <c r="T17" s="315"/>
      <c r="U17" s="315"/>
      <c r="V17" s="315"/>
      <c r="W17" s="315"/>
      <c r="X17" s="315"/>
      <c r="Y17" s="315"/>
      <c r="Z17" s="315"/>
      <c r="AA17" s="315"/>
      <c r="AB17" s="315"/>
      <c r="AC17" s="650"/>
      <c r="AD17" s="650"/>
      <c r="AE17" s="650"/>
      <c r="AF17" s="650"/>
      <c r="AK17" s="653"/>
      <c r="AL17" s="653"/>
      <c r="AM17" s="653"/>
      <c r="AN17" s="653"/>
      <c r="AO17" s="653"/>
      <c r="AP17" s="653"/>
      <c r="AQ17" s="653"/>
      <c r="AR17" s="583"/>
      <c r="AS17" s="583"/>
    </row>
    <row r="18" spans="1:45" s="64" customFormat="1" ht="11.25" hidden="1" customHeight="1" x14ac:dyDescent="0.15">
      <c r="B18" s="326"/>
      <c r="E18" s="585"/>
      <c r="S18" s="315"/>
      <c r="T18" s="315"/>
      <c r="U18" s="315"/>
      <c r="V18" s="315"/>
      <c r="W18" s="315"/>
      <c r="X18" s="315"/>
      <c r="Y18" s="315"/>
      <c r="Z18" s="315"/>
      <c r="AA18" s="315"/>
      <c r="AB18" s="315"/>
      <c r="AC18" s="117"/>
      <c r="AD18" s="650"/>
      <c r="AE18" s="650"/>
      <c r="AF18" s="650"/>
      <c r="AK18" s="653"/>
      <c r="AL18" s="653"/>
      <c r="AM18" s="653"/>
      <c r="AN18" s="653"/>
      <c r="AO18" s="653"/>
      <c r="AP18" s="653"/>
      <c r="AQ18" s="653"/>
      <c r="AR18" s="583"/>
      <c r="AS18" s="583"/>
    </row>
    <row r="19" spans="1:45" s="64" customFormat="1" ht="11.25" hidden="1" customHeight="1" x14ac:dyDescent="0.15">
      <c r="B19" s="326"/>
      <c r="E19" s="585"/>
      <c r="S19" s="315"/>
      <c r="T19" s="315"/>
      <c r="U19" s="315"/>
      <c r="V19" s="315"/>
      <c r="W19" s="315"/>
      <c r="X19" s="315"/>
      <c r="Y19" s="315"/>
      <c r="Z19" s="315"/>
      <c r="AA19" s="315"/>
      <c r="AB19" s="315"/>
      <c r="AC19" s="650"/>
      <c r="AD19" s="650"/>
      <c r="AE19" s="650"/>
      <c r="AF19" s="650"/>
      <c r="AK19" s="653"/>
      <c r="AL19" s="653"/>
      <c r="AM19" s="653"/>
      <c r="AN19" s="653"/>
      <c r="AO19" s="653"/>
      <c r="AP19" s="653"/>
      <c r="AQ19" s="653"/>
      <c r="AR19" s="583"/>
      <c r="AS19" s="583"/>
    </row>
    <row r="20" spans="1:45" s="64" customFormat="1" ht="11.25" hidden="1" customHeight="1" x14ac:dyDescent="0.15">
      <c r="B20" s="326"/>
      <c r="E20" s="585"/>
      <c r="S20" s="315"/>
      <c r="T20" s="315"/>
      <c r="U20" s="315"/>
      <c r="V20" s="315"/>
      <c r="W20" s="315"/>
      <c r="X20" s="315"/>
      <c r="Y20" s="315"/>
      <c r="Z20" s="315"/>
      <c r="AA20" s="315"/>
      <c r="AB20" s="315"/>
      <c r="AC20" s="650"/>
      <c r="AD20" s="650"/>
      <c r="AE20" s="650"/>
      <c r="AF20" s="650"/>
      <c r="AK20" s="653"/>
      <c r="AL20" s="653"/>
      <c r="AM20" s="653"/>
      <c r="AN20" s="653"/>
      <c r="AO20" s="653"/>
      <c r="AP20" s="653"/>
      <c r="AQ20" s="653"/>
      <c r="AR20" s="583"/>
      <c r="AS20" s="583"/>
    </row>
    <row r="21" spans="1:45" s="64" customFormat="1" ht="14.65" customHeight="1" x14ac:dyDescent="0.15">
      <c r="B21" s="326"/>
      <c r="E21" s="585">
        <v>15</v>
      </c>
      <c r="S21" s="315"/>
      <c r="T21" s="315"/>
      <c r="U21" s="315"/>
      <c r="V21" s="315"/>
      <c r="W21" s="315"/>
      <c r="X21" s="315"/>
      <c r="Y21" s="315"/>
      <c r="Z21" s="315"/>
      <c r="AA21" s="59"/>
      <c r="AC21" s="267" t="str" cm="1">
        <f t="array" ref="AC21">tpl_title</f>
        <v>Кемеровская область / 2026 / КАО "Азот" (ИНН:4205000908, КПП:997550001) / ДПР: 2024-2028</v>
      </c>
      <c r="AK21" s="653"/>
      <c r="AL21" s="653"/>
      <c r="AM21" s="653"/>
      <c r="AN21" s="653"/>
      <c r="AO21" s="653"/>
      <c r="AP21" s="653"/>
      <c r="AQ21" s="653"/>
      <c r="AR21" s="583"/>
      <c r="AS21" s="583"/>
    </row>
    <row r="22" spans="1:45" ht="20.45" customHeight="1" x14ac:dyDescent="0.15">
      <c r="E22" s="463">
        <v>21</v>
      </c>
      <c r="R22" s="315"/>
      <c r="AA22" s="315"/>
      <c r="AB22" s="962" t="s">
        <v>426</v>
      </c>
      <c r="AC22" s="963"/>
      <c r="AD22" s="963"/>
      <c r="AE22" s="963"/>
      <c r="AF22" s="963"/>
      <c r="AG22" s="963"/>
      <c r="AH22" s="963"/>
    </row>
    <row r="23" spans="1:45" ht="8.85" customHeight="1" x14ac:dyDescent="0.15">
      <c r="E23" s="463">
        <v>9</v>
      </c>
      <c r="AA23" s="639"/>
      <c r="AB23" s="32"/>
      <c r="AC23" s="32"/>
      <c r="AD23" s="32"/>
      <c r="AE23" s="32"/>
      <c r="AF23" s="980"/>
      <c r="AG23" s="980"/>
      <c r="AH23" s="14"/>
    </row>
    <row r="24" spans="1:45" s="38" customFormat="1" ht="20.45" customHeight="1" x14ac:dyDescent="0.15">
      <c r="B24" s="43"/>
      <c r="E24" s="463">
        <v>21</v>
      </c>
      <c r="AB24" s="100" t="s">
        <v>21</v>
      </c>
      <c r="AC24" s="99" t="s">
        <v>427</v>
      </c>
      <c r="AD24" s="99" t="s">
        <v>428</v>
      </c>
      <c r="AE24" s="99" t="s">
        <v>429</v>
      </c>
      <c r="AF24" s="99" t="s">
        <v>430</v>
      </c>
      <c r="AG24" s="99" t="s">
        <v>431</v>
      </c>
      <c r="AH24" s="99" t="s">
        <v>432</v>
      </c>
      <c r="AK24" s="656"/>
      <c r="AL24" s="656"/>
      <c r="AM24" s="656"/>
      <c r="AN24" s="656"/>
      <c r="AO24" s="656"/>
      <c r="AP24" s="656"/>
      <c r="AQ24" s="656"/>
      <c r="AR24" s="448"/>
      <c r="AS24" s="448"/>
    </row>
    <row r="25" spans="1:45" ht="11.25" hidden="1" customHeight="1" x14ac:dyDescent="0.15">
      <c r="A25" s="315"/>
      <c r="B25" s="479"/>
      <c r="C25" s="315"/>
      <c r="D25" s="315"/>
      <c r="E25" s="458">
        <v>0</v>
      </c>
      <c r="F25" s="478"/>
      <c r="G25" s="315"/>
      <c r="H25" s="315"/>
      <c r="I25" s="315"/>
      <c r="J25" s="315"/>
      <c r="K25" s="315"/>
      <c r="L25" s="315"/>
      <c r="M25" s="315"/>
      <c r="N25" s="315"/>
      <c r="O25" s="315"/>
      <c r="P25" s="315"/>
      <c r="Q25" s="315"/>
      <c r="R25" s="315"/>
      <c r="AA25" s="315"/>
      <c r="AB25" s="633"/>
      <c r="AC25" s="18"/>
      <c r="AD25" s="18"/>
      <c r="AE25" s="18"/>
      <c r="AF25" s="18"/>
      <c r="AG25"/>
      <c r="AH25"/>
      <c r="AI25" s="315"/>
      <c r="AJ25" s="315"/>
      <c r="AK25" s="655"/>
      <c r="AL25" s="655"/>
      <c r="AM25" s="655"/>
      <c r="AN25" s="655"/>
      <c r="AO25" s="655"/>
      <c r="AP25" s="657"/>
      <c r="AQ25" s="655"/>
      <c r="AR25" s="480"/>
      <c r="AS25" s="454"/>
    </row>
    <row r="26" spans="1:45" s="38" customFormat="1" ht="15" hidden="1" customHeight="1" x14ac:dyDescent="0.15">
      <c r="B26" s="43"/>
      <c r="E26" s="456" t="s">
        <v>340</v>
      </c>
      <c r="F26" s="38" cm="1">
        <f t="array" ref="F26">Y26</f>
        <v>0</v>
      </c>
      <c r="U26" s="353" t="b">
        <f>Y26&gt;0</f>
        <v>0</v>
      </c>
      <c r="W26" s="38" t="s">
        <v>264</v>
      </c>
      <c r="Y26" s="990">
        <v>0</v>
      </c>
      <c r="Z26" s="967"/>
      <c r="AB26" s="94" t="str" cm="1">
        <f t="array" ref="AB26">INDEX('Общие сведения'!$AG$179:$AG$236,MATCH($Y26,'Общие сведения'!$Z$179:$Z$236,0))</f>
        <v xml:space="preserve">Тариф 0 () - </v>
      </c>
      <c r="AC26" s="94"/>
      <c r="AD26" s="88"/>
      <c r="AE26" s="88"/>
      <c r="AF26" s="88"/>
      <c r="AG26" s="88"/>
      <c r="AH26" s="88"/>
      <c r="AK26" s="656"/>
      <c r="AL26" s="656"/>
      <c r="AM26" s="656"/>
      <c r="AN26" s="656"/>
      <c r="AO26" s="656"/>
      <c r="AP26" s="656"/>
      <c r="AQ26" s="656"/>
      <c r="AR26" s="448"/>
      <c r="AS26" s="448"/>
    </row>
    <row r="27" spans="1:45" s="38" customFormat="1" ht="15" hidden="1" customHeight="1" x14ac:dyDescent="0.15">
      <c r="B27" s="43"/>
      <c r="E27" s="458">
        <v>0</v>
      </c>
      <c r="F27" s="38" cm="1">
        <f t="array" aca="1" ref="F27" ca="1">OFFSET(G27,-1,-1)</f>
        <v>0</v>
      </c>
      <c r="U27" s="353" t="b">
        <v>0</v>
      </c>
      <c r="Y27" s="990"/>
      <c r="Z27" s="967"/>
      <c r="AB27" s="94"/>
      <c r="AC27" s="94"/>
      <c r="AD27" s="88"/>
      <c r="AE27" s="88"/>
      <c r="AF27" s="88"/>
      <c r="AG27" s="88"/>
      <c r="AH27" s="88"/>
      <c r="AK27" s="656"/>
      <c r="AL27" s="656"/>
      <c r="AM27" s="656"/>
      <c r="AN27" s="656"/>
      <c r="AO27" s="656"/>
      <c r="AP27" s="656"/>
      <c r="AQ27" s="656"/>
      <c r="AR27" s="448"/>
      <c r="AS27" s="448"/>
    </row>
    <row r="28" spans="1:45" s="22" customFormat="1" ht="14.65" hidden="1" customHeight="1" x14ac:dyDescent="0.15">
      <c r="B28" s="43"/>
      <c r="E28" s="458">
        <v>15</v>
      </c>
      <c r="F28" s="22" cm="1">
        <f t="array" aca="1" ref="F28" ca="1">OFFSET(G28,-1,-1)</f>
        <v>0</v>
      </c>
      <c r="I28" s="22" t="s">
        <v>433</v>
      </c>
      <c r="K28" s="22" t="s">
        <v>434</v>
      </c>
      <c r="U28" s="353" t="b">
        <f ca="1">AND(F28&gt;0,AB28&gt;0)</f>
        <v>0</v>
      </c>
      <c r="X28" s="517" t="s">
        <v>172</v>
      </c>
      <c r="Y28" s="990"/>
      <c r="Z28" s="967"/>
      <c r="AA28" s="482" t="s">
        <v>173</v>
      </c>
      <c r="AB28" s="7">
        <v>0</v>
      </c>
      <c r="AC28" s="186" t="str">
        <f>I28&amp;" :: "&amp;K28</f>
        <v>Наименование объекта :: адрес</v>
      </c>
      <c r="AD28" s="186"/>
      <c r="AE28" s="186"/>
      <c r="AF28" s="305"/>
      <c r="AG28" s="305"/>
      <c r="AH28" s="819"/>
      <c r="AK28" s="658" t="s">
        <v>435</v>
      </c>
      <c r="AL28" s="658" t="s">
        <v>436</v>
      </c>
      <c r="AM28" s="658" t="str" cm="1">
        <f t="array" ref="AM28">AC28</f>
        <v>Наименование объекта :: адрес</v>
      </c>
      <c r="AN28" s="658" cm="1">
        <f t="array" ref="AN28">AD28</f>
        <v>0</v>
      </c>
      <c r="AO28" s="658" cm="1">
        <f t="array" ref="AO28">AE28</f>
        <v>0</v>
      </c>
      <c r="AP28" s="658" cm="1">
        <f t="array" ref="AP28">AF28</f>
        <v>0</v>
      </c>
      <c r="AQ28" s="658" cm="1">
        <f t="array" ref="AQ28">AG28</f>
        <v>0</v>
      </c>
      <c r="AR28" s="449"/>
      <c r="AS28" s="449" t="b">
        <v>1</v>
      </c>
    </row>
    <row r="29" spans="1:45" s="38" customFormat="1" ht="10.7" hidden="1" customHeight="1" x14ac:dyDescent="0.15">
      <c r="B29" s="43"/>
      <c r="E29" s="458">
        <v>11</v>
      </c>
      <c r="F29" s="38" cm="1">
        <f t="array" aca="1" ref="F29" ca="1">OFFSET(G29,-1,-1)</f>
        <v>0</v>
      </c>
      <c r="U29" s="353" t="b">
        <f ca="1">F29&gt;0</f>
        <v>0</v>
      </c>
      <c r="X29" s="517" t="s">
        <v>437</v>
      </c>
      <c r="Y29" s="990"/>
      <c r="Z29" s="967"/>
      <c r="AB29" s="89"/>
      <c r="AC29" s="92" t="s">
        <v>438</v>
      </c>
      <c r="AD29" s="90"/>
      <c r="AE29" s="90"/>
      <c r="AF29" s="90"/>
      <c r="AG29" s="90"/>
      <c r="AH29" s="101"/>
      <c r="AK29" s="656"/>
      <c r="AL29" s="656"/>
      <c r="AM29" s="656"/>
      <c r="AN29" s="656"/>
      <c r="AO29" s="656"/>
      <c r="AP29" s="656"/>
      <c r="AQ29" s="656"/>
      <c r="AR29" s="448" t="s">
        <v>436</v>
      </c>
      <c r="AS29" s="448"/>
    </row>
    <row r="30" spans="1:45" s="396" customFormat="1" ht="21.2" customHeight="1" x14ac:dyDescent="0.15">
      <c r="A30" s="38"/>
      <c r="B30" s="43"/>
      <c r="C30" s="38"/>
      <c r="D30" s="38"/>
      <c r="E30" s="456" t="s">
        <v>340</v>
      </c>
      <c r="F30" s="38" t="str" cm="1">
        <f t="array" ref="F30">Y30</f>
        <v>1</v>
      </c>
      <c r="G30" s="38"/>
      <c r="H30" s="38"/>
      <c r="I30" s="38"/>
      <c r="J30" s="38"/>
      <c r="K30" s="38"/>
      <c r="L30" s="38"/>
      <c r="M30" s="38"/>
      <c r="N30" s="38"/>
      <c r="O30" s="38"/>
      <c r="P30" s="38"/>
      <c r="Q30" s="38"/>
      <c r="R30" s="38"/>
      <c r="S30" s="38"/>
      <c r="T30" s="38"/>
      <c r="U30" s="353" t="b">
        <f>Y30&gt;0</f>
        <v>1</v>
      </c>
      <c r="V30" s="38"/>
      <c r="W30" s="38" t="str" cm="1">
        <f t="array" ref="W30">'Перечень объектов'!$AC$39</f>
        <v>Тариф 1 (Водоснабжение) - тариф на техническую воду</v>
      </c>
      <c r="X30" s="38"/>
      <c r="Y30" s="990" t="s">
        <v>275</v>
      </c>
      <c r="Z30" s="967"/>
      <c r="AA30" s="38"/>
      <c r="AB30" s="94" t="str" cm="1">
        <f t="array" ref="AB30">'Перечень объектов'!$AC$39</f>
        <v>Тариф 1 (Водоснабжение) - тариф на техническую воду</v>
      </c>
      <c r="AC30" s="94"/>
      <c r="AD30" s="88"/>
      <c r="AE30" s="88"/>
      <c r="AF30" s="88"/>
      <c r="AG30" s="88"/>
      <c r="AH30" s="88"/>
      <c r="AI30" s="38"/>
      <c r="AJ30" s="38"/>
      <c r="AK30" s="656"/>
      <c r="AL30" s="656"/>
      <c r="AM30" s="656"/>
      <c r="AN30" s="656"/>
      <c r="AO30" s="656"/>
      <c r="AP30" s="656"/>
      <c r="AQ30" s="656"/>
      <c r="AR30" s="448"/>
      <c r="AS30" s="448"/>
    </row>
    <row r="31" spans="1:45" s="396" customFormat="1" ht="15" hidden="1" customHeight="1" x14ac:dyDescent="0.15">
      <c r="A31" s="38"/>
      <c r="B31" s="43"/>
      <c r="C31" s="38"/>
      <c r="D31" s="38"/>
      <c r="E31" s="458">
        <v>0</v>
      </c>
      <c r="F31" s="38" t="str" cm="1">
        <f t="array" aca="1" ref="F31" ca="1">OFFSET(G31,-1,-1)</f>
        <v>1</v>
      </c>
      <c r="G31" s="38"/>
      <c r="H31" s="38"/>
      <c r="I31" s="38"/>
      <c r="J31" s="38"/>
      <c r="K31" s="38"/>
      <c r="L31" s="38"/>
      <c r="M31" s="38"/>
      <c r="N31" s="38"/>
      <c r="O31" s="38"/>
      <c r="P31" s="38"/>
      <c r="Q31" s="38"/>
      <c r="R31" s="38"/>
      <c r="S31" s="38"/>
      <c r="T31" s="38"/>
      <c r="U31" s="353" t="b">
        <v>0</v>
      </c>
      <c r="V31" s="38"/>
      <c r="W31" s="38"/>
      <c r="X31" s="38"/>
      <c r="Y31" s="990"/>
      <c r="Z31" s="967"/>
      <c r="AA31" s="38"/>
      <c r="AB31" s="94"/>
      <c r="AC31" s="94"/>
      <c r="AD31" s="88"/>
      <c r="AE31" s="88"/>
      <c r="AF31" s="88"/>
      <c r="AG31" s="88"/>
      <c r="AH31" s="88"/>
      <c r="AI31" s="38"/>
      <c r="AJ31" s="38"/>
      <c r="AK31" s="656"/>
      <c r="AL31" s="656"/>
      <c r="AM31" s="656"/>
      <c r="AN31" s="656"/>
      <c r="AO31" s="656"/>
      <c r="AP31" s="656"/>
      <c r="AQ31" s="656"/>
      <c r="AR31" s="448"/>
      <c r="AS31" s="448"/>
    </row>
    <row r="32" spans="1:45" s="22" customFormat="1" ht="14.25" hidden="1" customHeight="1" x14ac:dyDescent="0.15">
      <c r="B32" s="43"/>
      <c r="E32" s="458">
        <v>15</v>
      </c>
      <c r="F32" s="22" t="str" cm="1">
        <f t="array" aca="1" ref="F32" ca="1">OFFSET(G32,-1,-1)</f>
        <v>1</v>
      </c>
      <c r="I32" s="22" t="s">
        <v>433</v>
      </c>
      <c r="K32" s="22" t="s">
        <v>434</v>
      </c>
      <c r="U32" s="353" t="b">
        <f t="shared" ref="U32:U37" ca="1" si="0">AND(F32&gt;0,AB32&gt;0)</f>
        <v>0</v>
      </c>
      <c r="X32" s="517" t="s">
        <v>172</v>
      </c>
      <c r="Y32" s="990"/>
      <c r="Z32" s="967"/>
      <c r="AA32" s="482" t="s">
        <v>173</v>
      </c>
      <c r="AB32" s="7">
        <v>0</v>
      </c>
      <c r="AC32" s="186" t="str">
        <f t="shared" ref="AC32:AC37" si="1">I32&amp;" :: "&amp;K32</f>
        <v>Наименование объекта :: адрес</v>
      </c>
      <c r="AD32" s="186"/>
      <c r="AE32" s="186"/>
      <c r="AF32" s="305"/>
      <c r="AG32" s="305"/>
      <c r="AH32" s="819"/>
      <c r="AK32" s="658" t="s">
        <v>435</v>
      </c>
      <c r="AL32" s="658" t="s">
        <v>436</v>
      </c>
      <c r="AM32" s="658" t="str" cm="1">
        <f t="array" ref="AM32">AC32</f>
        <v>Наименование объекта :: адрес</v>
      </c>
      <c r="AN32" s="658" cm="1">
        <f t="array" ref="AN32">AD32</f>
        <v>0</v>
      </c>
      <c r="AO32" s="658" cm="1">
        <f t="array" ref="AO32">AE32</f>
        <v>0</v>
      </c>
      <c r="AP32" s="658" cm="1">
        <f t="array" ref="AP32">AF32</f>
        <v>0</v>
      </c>
      <c r="AQ32" s="658" cm="1">
        <f t="array" ref="AQ32">AG32</f>
        <v>0</v>
      </c>
      <c r="AR32" s="449"/>
      <c r="AS32" s="449" t="b">
        <v>1</v>
      </c>
    </row>
    <row r="33" spans="1:45" s="22" customFormat="1" ht="25.7" customHeight="1" x14ac:dyDescent="0.15">
      <c r="B33" s="43"/>
      <c r="E33" s="458">
        <v>15</v>
      </c>
      <c r="F33" s="22" t="str" cm="1">
        <f t="array" aca="1" ref="F33" ca="1">OFFSET(G33,-1,-1)</f>
        <v>1</v>
      </c>
      <c r="I33" s="22" t="s">
        <v>439</v>
      </c>
      <c r="K33" s="22" t="s">
        <v>440</v>
      </c>
      <c r="U33" s="353" t="b">
        <f t="shared" ca="1" si="0"/>
        <v>1</v>
      </c>
      <c r="X33" s="517"/>
      <c r="Y33" s="990"/>
      <c r="Z33" s="967"/>
      <c r="AA33" s="482" t="s">
        <v>173</v>
      </c>
      <c r="AB33" s="7" t="s">
        <v>275</v>
      </c>
      <c r="AC33" s="186" t="str">
        <f t="shared" si="1"/>
        <v>Водозабор КАО "Азот" :: г Кемерово, г. Кемерово, Центральный район</v>
      </c>
      <c r="AD33" s="186" t="s">
        <v>441</v>
      </c>
      <c r="AE33" s="186" t="s">
        <v>442</v>
      </c>
      <c r="AF33" s="305" t="s">
        <v>443</v>
      </c>
      <c r="AG33" s="305" t="s">
        <v>444</v>
      </c>
      <c r="AH33" s="103" t="s">
        <v>445</v>
      </c>
      <c r="AK33" s="658" t="s">
        <v>435</v>
      </c>
      <c r="AL33" s="658" t="s">
        <v>436</v>
      </c>
      <c r="AM33" s="658" t="str" cm="1">
        <f t="array" ref="AM33">AC33</f>
        <v>Водозабор КАО "Азот" :: г Кемерово, г. Кемерово, Центральный район</v>
      </c>
      <c r="AN33" s="658" t="str" cm="1">
        <f t="array" ref="AN33">AD33</f>
        <v>собственность</v>
      </c>
      <c r="AO33" s="658" t="str" cm="1">
        <f t="array" ref="AO33">AE33</f>
        <v>свидетельство</v>
      </c>
      <c r="AP33" s="658" t="str" cm="1">
        <f t="array" ref="AP33">AF33</f>
        <v>42 АВ 069624</v>
      </c>
      <c r="AQ33" s="658" t="str" cm="1">
        <f t="array" ref="AQ33">AG33</f>
        <v>28.03.2005</v>
      </c>
      <c r="AR33" s="449"/>
      <c r="AS33" s="449" t="b">
        <v>1</v>
      </c>
    </row>
    <row r="34" spans="1:45" s="22" customFormat="1" ht="25.7" customHeight="1" x14ac:dyDescent="0.15">
      <c r="B34" s="43"/>
      <c r="E34" s="458">
        <v>15</v>
      </c>
      <c r="F34" s="22" t="str" cm="1">
        <f t="array" aca="1" ref="F34" ca="1">OFFSET(G34,-1,-1)</f>
        <v>1</v>
      </c>
      <c r="I34" s="22" t="s">
        <v>446</v>
      </c>
      <c r="K34" s="22" t="s">
        <v>447</v>
      </c>
      <c r="U34" s="353" t="b">
        <f t="shared" ca="1" si="0"/>
        <v>1</v>
      </c>
      <c r="X34" s="517"/>
      <c r="Y34" s="990"/>
      <c r="Z34" s="967"/>
      <c r="AA34" s="482" t="s">
        <v>173</v>
      </c>
      <c r="AB34" s="7" t="s">
        <v>285</v>
      </c>
      <c r="AC34" s="186" t="str">
        <f t="shared" si="1"/>
        <v>насосная станция 2-го подъема КАО "Азот" :: г Кемерово, ул. Грузовая, д. 1а</v>
      </c>
      <c r="AD34" s="186" t="s">
        <v>441</v>
      </c>
      <c r="AE34" s="186" t="s">
        <v>442</v>
      </c>
      <c r="AF34" s="305" t="s">
        <v>448</v>
      </c>
      <c r="AG34" s="305" t="s">
        <v>449</v>
      </c>
      <c r="AH34" s="103" t="s">
        <v>445</v>
      </c>
      <c r="AK34" s="658" t="s">
        <v>435</v>
      </c>
      <c r="AL34" s="658" t="s">
        <v>436</v>
      </c>
      <c r="AM34" s="658" t="str" cm="1">
        <f t="array" ref="AM34">AC34</f>
        <v>насосная станция 2-го подъема КАО "Азот" :: г Кемерово, ул. Грузовая, д. 1а</v>
      </c>
      <c r="AN34" s="658" t="str" cm="1">
        <f t="array" ref="AN34">AD34</f>
        <v>собственность</v>
      </c>
      <c r="AO34" s="658" t="str" cm="1">
        <f t="array" ref="AO34">AE34</f>
        <v>свидетельство</v>
      </c>
      <c r="AP34" s="658" t="str" cm="1">
        <f t="array" ref="AP34">AF34</f>
        <v>42 АВ 576944</v>
      </c>
      <c r="AQ34" s="658" t="str" cm="1">
        <f t="array" ref="AQ34">AG34</f>
        <v>04.07.2007</v>
      </c>
      <c r="AR34" s="449"/>
      <c r="AS34" s="449" t="b">
        <v>1</v>
      </c>
    </row>
    <row r="35" spans="1:45" s="22" customFormat="1" ht="33.75" customHeight="1" x14ac:dyDescent="0.15">
      <c r="B35" s="43"/>
      <c r="E35" s="458">
        <v>15</v>
      </c>
      <c r="F35" s="22" t="str" cm="1">
        <f t="array" aca="1" ref="F35" ca="1">OFFSET(G35,-1,-1)</f>
        <v>1</v>
      </c>
      <c r="I35" s="22" t="s">
        <v>450</v>
      </c>
      <c r="K35" s="22" t="s">
        <v>447</v>
      </c>
      <c r="U35" s="353" t="b">
        <f t="shared" ca="1" si="0"/>
        <v>1</v>
      </c>
      <c r="X35" s="517"/>
      <c r="Y35" s="990"/>
      <c r="Z35" s="967"/>
      <c r="AA35" s="482" t="s">
        <v>173</v>
      </c>
      <c r="AB35" s="7" t="s">
        <v>291</v>
      </c>
      <c r="AC35" s="186" t="str">
        <f t="shared" si="1"/>
        <v>станция осветления   КАО "Азот" :: г Кемерово, ул. Грузовая, д. 1а</v>
      </c>
      <c r="AD35" s="186" t="s">
        <v>441</v>
      </c>
      <c r="AE35" s="186" t="s">
        <v>442</v>
      </c>
      <c r="AF35" s="305" t="s">
        <v>451</v>
      </c>
      <c r="AG35" s="305" t="s">
        <v>449</v>
      </c>
      <c r="AH35" s="103" t="s">
        <v>445</v>
      </c>
      <c r="AK35" s="658" t="s">
        <v>435</v>
      </c>
      <c r="AL35" s="658" t="s">
        <v>436</v>
      </c>
      <c r="AM35" s="658" t="str" cm="1">
        <f t="array" ref="AM35">AC35</f>
        <v>станция осветления   КАО "Азот" :: г Кемерово, ул. Грузовая, д. 1а</v>
      </c>
      <c r="AN35" s="658" t="str" cm="1">
        <f t="array" ref="AN35">AD35</f>
        <v>собственность</v>
      </c>
      <c r="AO35" s="658" t="str" cm="1">
        <f t="array" ref="AO35">AE35</f>
        <v>свидетельство</v>
      </c>
      <c r="AP35" s="658" t="str" cm="1">
        <f t="array" ref="AP35">AF35</f>
        <v>42 АВ 608141       42 АВ 576961             42 АВ 576962</v>
      </c>
      <c r="AQ35" s="658" t="str" cm="1">
        <f t="array" ref="AQ35">AG35</f>
        <v>04.07.2007</v>
      </c>
      <c r="AR35" s="449"/>
      <c r="AS35" s="449" t="b">
        <v>1</v>
      </c>
    </row>
    <row r="36" spans="1:45" s="22" customFormat="1" ht="50.1" customHeight="1" x14ac:dyDescent="0.15">
      <c r="B36" s="43"/>
      <c r="E36" s="458">
        <v>15</v>
      </c>
      <c r="F36" s="22" t="str" cm="1">
        <f t="array" aca="1" ref="F36" ca="1">OFFSET(G36,-1,-1)</f>
        <v>1</v>
      </c>
      <c r="I36" s="22" t="s">
        <v>452</v>
      </c>
      <c r="K36" s="22" t="s">
        <v>453</v>
      </c>
      <c r="U36" s="353" t="b">
        <f t="shared" ca="1" si="0"/>
        <v>1</v>
      </c>
      <c r="X36" s="517"/>
      <c r="Y36" s="990"/>
      <c r="Z36" s="967"/>
      <c r="AA36" s="482" t="s">
        <v>173</v>
      </c>
      <c r="AB36" s="7" t="s">
        <v>454</v>
      </c>
      <c r="AC36" s="186" t="str">
        <f t="shared" si="1"/>
        <v>сеть водоснабжения (речная техническая вода) КАО "Азот" :: г Кемерово, ул. Грузовая, стр. 1</v>
      </c>
      <c r="AD36" s="186" t="s">
        <v>441</v>
      </c>
      <c r="AE36" s="186" t="s">
        <v>455</v>
      </c>
      <c r="AF36" s="305" t="s">
        <v>456</v>
      </c>
      <c r="AG36" s="305" t="s">
        <v>457</v>
      </c>
      <c r="AH36" s="103" t="s">
        <v>458</v>
      </c>
      <c r="AK36" s="658" t="s">
        <v>435</v>
      </c>
      <c r="AL36" s="658" t="s">
        <v>436</v>
      </c>
      <c r="AM36" s="658" t="str" cm="1">
        <f t="array" ref="AM36">AC36</f>
        <v>сеть водоснабжения (речная техническая вода) КАО "Азот" :: г Кемерово, ул. Грузовая, стр. 1</v>
      </c>
      <c r="AN36" s="658" t="str" cm="1">
        <f t="array" ref="AN36">AD36</f>
        <v>собственность</v>
      </c>
      <c r="AO36" s="658" t="str" cm="1">
        <f t="array" ref="AO36">AE36</f>
        <v>решение</v>
      </c>
      <c r="AP36" s="658" t="str" cm="1">
        <f t="array" ref="AP36">AF36</f>
        <v>67</v>
      </c>
      <c r="AQ36" s="658" t="str" cm="1">
        <f t="array" ref="AQ36">AG36</f>
        <v>18.03.1993</v>
      </c>
      <c r="AR36" s="449"/>
      <c r="AS36" s="449" t="b">
        <v>1</v>
      </c>
    </row>
    <row r="37" spans="1:45" s="22" customFormat="1" ht="25.7" customHeight="1" x14ac:dyDescent="0.15">
      <c r="B37" s="43"/>
      <c r="E37" s="458">
        <v>15</v>
      </c>
      <c r="F37" s="22" t="str" cm="1">
        <f t="array" aca="1" ref="F37" ca="1">OFFSET(G37,-1,-1)</f>
        <v>1</v>
      </c>
      <c r="I37" s="22" t="s">
        <v>446</v>
      </c>
      <c r="K37" s="22" t="s">
        <v>459</v>
      </c>
      <c r="U37" s="353" t="b">
        <f t="shared" ca="1" si="0"/>
        <v>1</v>
      </c>
      <c r="X37" s="517"/>
      <c r="Y37" s="990"/>
      <c r="Z37" s="967"/>
      <c r="AA37" s="482" t="s">
        <v>173</v>
      </c>
      <c r="AB37" s="7" t="s">
        <v>460</v>
      </c>
      <c r="AC37" s="186" t="str">
        <f t="shared" si="1"/>
        <v>насосная станция 2-го подъема КАО "Азот" :: г Топки, г. Топки, 0</v>
      </c>
      <c r="AD37" s="186" t="s">
        <v>441</v>
      </c>
      <c r="AE37" s="186" t="s">
        <v>442</v>
      </c>
      <c r="AF37" s="305" t="s">
        <v>448</v>
      </c>
      <c r="AG37" s="305" t="s">
        <v>449</v>
      </c>
      <c r="AH37" s="103" t="s">
        <v>445</v>
      </c>
      <c r="AK37" s="658" t="s">
        <v>435</v>
      </c>
      <c r="AL37" s="658" t="s">
        <v>436</v>
      </c>
      <c r="AM37" s="658" t="str" cm="1">
        <f t="array" ref="AM37">AC37</f>
        <v>насосная станция 2-го подъема КАО "Азот" :: г Топки, г. Топки, 0</v>
      </c>
      <c r="AN37" s="658" t="str" cm="1">
        <f t="array" ref="AN37">AD37</f>
        <v>собственность</v>
      </c>
      <c r="AO37" s="658" t="str" cm="1">
        <f t="array" ref="AO37">AE37</f>
        <v>свидетельство</v>
      </c>
      <c r="AP37" s="658" t="str" cm="1">
        <f t="array" ref="AP37">AF37</f>
        <v>42 АВ 576944</v>
      </c>
      <c r="AQ37" s="658" t="str" cm="1">
        <f t="array" ref="AQ37">AG37</f>
        <v>04.07.2007</v>
      </c>
      <c r="AR37" s="449"/>
      <c r="AS37" s="449" t="b">
        <v>1</v>
      </c>
    </row>
    <row r="38" spans="1:45" s="396" customFormat="1" ht="10.5" customHeight="1" x14ac:dyDescent="0.15">
      <c r="A38" s="38"/>
      <c r="B38" s="43"/>
      <c r="C38" s="38"/>
      <c r="D38" s="38"/>
      <c r="E38" s="458">
        <v>11</v>
      </c>
      <c r="F38" s="38" t="str" cm="1">
        <f t="array" aca="1" ref="F38" ca="1">OFFSET(G38,-1,-1)</f>
        <v>1</v>
      </c>
      <c r="G38" s="38"/>
      <c r="H38" s="38"/>
      <c r="I38" s="38"/>
      <c r="J38" s="38"/>
      <c r="K38" s="38"/>
      <c r="L38" s="38"/>
      <c r="M38" s="38"/>
      <c r="N38" s="38"/>
      <c r="O38" s="38"/>
      <c r="P38" s="38"/>
      <c r="Q38" s="38"/>
      <c r="R38" s="38"/>
      <c r="S38" s="38"/>
      <c r="T38" s="38"/>
      <c r="U38" s="353" t="b">
        <f ca="1">F38&gt;0</f>
        <v>1</v>
      </c>
      <c r="V38" s="38"/>
      <c r="W38" s="38"/>
      <c r="X38" s="517" t="s">
        <v>437</v>
      </c>
      <c r="Y38" s="990"/>
      <c r="Z38" s="967"/>
      <c r="AA38" s="38"/>
      <c r="AB38" s="89"/>
      <c r="AC38" s="92" t="s">
        <v>438</v>
      </c>
      <c r="AD38" s="90"/>
      <c r="AE38" s="90"/>
      <c r="AF38" s="90"/>
      <c r="AG38" s="90"/>
      <c r="AH38" s="101"/>
      <c r="AI38" s="38"/>
      <c r="AJ38" s="38"/>
      <c r="AK38" s="656"/>
      <c r="AL38" s="656"/>
      <c r="AM38" s="656"/>
      <c r="AN38" s="656"/>
      <c r="AO38" s="656"/>
      <c r="AP38" s="656"/>
      <c r="AQ38" s="656"/>
      <c r="AR38" s="448" t="s">
        <v>436</v>
      </c>
      <c r="AS38" s="448"/>
    </row>
    <row r="39" spans="1:45" s="396" customFormat="1" ht="23.45" customHeight="1" x14ac:dyDescent="0.15">
      <c r="A39" s="38"/>
      <c r="B39" s="43"/>
      <c r="C39" s="38"/>
      <c r="D39" s="38"/>
      <c r="E39" s="456" t="s">
        <v>340</v>
      </c>
      <c r="F39" s="38" t="str" cm="1">
        <f t="array" ref="F39">Y39</f>
        <v>2</v>
      </c>
      <c r="G39" s="38"/>
      <c r="H39" s="38"/>
      <c r="I39" s="38"/>
      <c r="J39" s="38"/>
      <c r="K39" s="38"/>
      <c r="L39" s="38"/>
      <c r="M39" s="38"/>
      <c r="N39" s="38"/>
      <c r="O39" s="38"/>
      <c r="P39" s="38"/>
      <c r="Q39" s="38"/>
      <c r="R39" s="38"/>
      <c r="S39" s="38"/>
      <c r="T39" s="38"/>
      <c r="U39" s="353" t="b">
        <f>Y39&gt;0</f>
        <v>1</v>
      </c>
      <c r="V39" s="38"/>
      <c r="W39" s="38" t="str" cm="1">
        <f t="array" ref="W39">'Перечень объектов'!$AC$51</f>
        <v>Тариф 2 (Водоотведение) - тариф на водоотведение</v>
      </c>
      <c r="X39" s="38"/>
      <c r="Y39" s="990" t="s">
        <v>285</v>
      </c>
      <c r="Z39" s="967"/>
      <c r="AA39" s="38"/>
      <c r="AB39" s="94" t="str" cm="1">
        <f t="array" ref="AB39">'Перечень объектов'!$AC$51</f>
        <v>Тариф 2 (Водоотведение) - тариф на водоотведение</v>
      </c>
      <c r="AC39" s="94"/>
      <c r="AD39" s="88"/>
      <c r="AE39" s="88"/>
      <c r="AF39" s="88"/>
      <c r="AG39" s="88"/>
      <c r="AH39" s="88"/>
      <c r="AI39" s="38"/>
      <c r="AJ39" s="38"/>
      <c r="AK39" s="656"/>
      <c r="AL39" s="656"/>
      <c r="AM39" s="656"/>
      <c r="AN39" s="656"/>
      <c r="AO39" s="656"/>
      <c r="AP39" s="656"/>
      <c r="AQ39" s="656"/>
      <c r="AR39" s="448"/>
      <c r="AS39" s="448"/>
    </row>
    <row r="40" spans="1:45" s="396" customFormat="1" ht="15" hidden="1" customHeight="1" x14ac:dyDescent="0.15">
      <c r="A40" s="38"/>
      <c r="B40" s="43"/>
      <c r="C40" s="38"/>
      <c r="D40" s="38"/>
      <c r="E40" s="458">
        <v>0</v>
      </c>
      <c r="F40" s="38" t="str" cm="1">
        <f t="array" aca="1" ref="F40" ca="1">OFFSET(G40,-1,-1)</f>
        <v>2</v>
      </c>
      <c r="G40" s="38"/>
      <c r="H40" s="38"/>
      <c r="I40" s="38"/>
      <c r="J40" s="38"/>
      <c r="K40" s="38"/>
      <c r="L40" s="38"/>
      <c r="M40" s="38"/>
      <c r="N40" s="38"/>
      <c r="O40" s="38"/>
      <c r="P40" s="38"/>
      <c r="Q40" s="38"/>
      <c r="R40" s="38"/>
      <c r="S40" s="38"/>
      <c r="T40" s="38"/>
      <c r="U40" s="353" t="b">
        <v>0</v>
      </c>
      <c r="V40" s="38"/>
      <c r="W40" s="38"/>
      <c r="X40" s="38"/>
      <c r="Y40" s="990"/>
      <c r="Z40" s="967"/>
      <c r="AA40" s="38"/>
      <c r="AB40" s="94"/>
      <c r="AC40" s="94"/>
      <c r="AD40" s="88"/>
      <c r="AE40" s="88"/>
      <c r="AF40" s="88"/>
      <c r="AG40" s="88"/>
      <c r="AH40" s="88"/>
      <c r="AI40" s="38"/>
      <c r="AJ40" s="38"/>
      <c r="AK40" s="656"/>
      <c r="AL40" s="656"/>
      <c r="AM40" s="656"/>
      <c r="AN40" s="656"/>
      <c r="AO40" s="656"/>
      <c r="AP40" s="656"/>
      <c r="AQ40" s="656"/>
      <c r="AR40" s="448"/>
      <c r="AS40" s="448"/>
    </row>
    <row r="41" spans="1:45" s="22" customFormat="1" ht="14.25" hidden="1" customHeight="1" x14ac:dyDescent="0.15">
      <c r="B41" s="43"/>
      <c r="E41" s="458">
        <v>15</v>
      </c>
      <c r="F41" s="22" t="str" cm="1">
        <f t="array" aca="1" ref="F41" ca="1">OFFSET(G41,-1,-1)</f>
        <v>2</v>
      </c>
      <c r="I41" s="22" t="s">
        <v>433</v>
      </c>
      <c r="K41" s="22" t="s">
        <v>434</v>
      </c>
      <c r="U41" s="353" t="b">
        <f ca="1">AND(F41&gt;0,AB41&gt;0)</f>
        <v>0</v>
      </c>
      <c r="X41" s="517" t="s">
        <v>172</v>
      </c>
      <c r="Y41" s="990"/>
      <c r="Z41" s="967"/>
      <c r="AA41" s="482" t="s">
        <v>173</v>
      </c>
      <c r="AB41" s="7">
        <v>0</v>
      </c>
      <c r="AC41" s="186" t="str">
        <f>I41&amp;" :: "&amp;K41</f>
        <v>Наименование объекта :: адрес</v>
      </c>
      <c r="AD41" s="186"/>
      <c r="AE41" s="186"/>
      <c r="AF41" s="305"/>
      <c r="AG41" s="305"/>
      <c r="AH41" s="819"/>
      <c r="AK41" s="658" t="s">
        <v>435</v>
      </c>
      <c r="AL41" s="658" t="s">
        <v>436</v>
      </c>
      <c r="AM41" s="658" t="str" cm="1">
        <f t="array" ref="AM41">AC41</f>
        <v>Наименование объекта :: адрес</v>
      </c>
      <c r="AN41" s="658" cm="1">
        <f t="array" ref="AN41">AD41</f>
        <v>0</v>
      </c>
      <c r="AO41" s="658" cm="1">
        <f t="array" ref="AO41">AE41</f>
        <v>0</v>
      </c>
      <c r="AP41" s="658" cm="1">
        <f t="array" ref="AP41">AF41</f>
        <v>0</v>
      </c>
      <c r="AQ41" s="658" cm="1">
        <f t="array" ref="AQ41">AG41</f>
        <v>0</v>
      </c>
      <c r="AR41" s="449"/>
      <c r="AS41" s="449" t="b">
        <v>1</v>
      </c>
    </row>
    <row r="42" spans="1:45" s="22" customFormat="1" ht="37.5" customHeight="1" x14ac:dyDescent="0.15">
      <c r="B42" s="43"/>
      <c r="E42" s="458">
        <v>15</v>
      </c>
      <c r="F42" s="22" t="str" cm="1">
        <f t="array" aca="1" ref="F42" ca="1">OFFSET(G42,-1,-1)</f>
        <v>2</v>
      </c>
      <c r="I42" s="22" t="s">
        <v>461</v>
      </c>
      <c r="K42" s="22" t="s">
        <v>462</v>
      </c>
      <c r="U42" s="353" t="b">
        <f ca="1">AND(F42&gt;0,AB42&gt;0)</f>
        <v>1</v>
      </c>
      <c r="X42" s="517"/>
      <c r="Y42" s="990"/>
      <c r="Z42" s="967"/>
      <c r="AA42" s="482" t="s">
        <v>173</v>
      </c>
      <c r="AB42" s="7" t="s">
        <v>275</v>
      </c>
      <c r="AC42" s="186" t="str">
        <f>I42&amp;" :: "&amp;K42</f>
        <v>очистные сооружения  КАО "Азот" :: г Кемерово, ул. Кирзавод 3-бис, д. 23</v>
      </c>
      <c r="AD42" s="186" t="s">
        <v>441</v>
      </c>
      <c r="AE42" s="186" t="s">
        <v>442</v>
      </c>
      <c r="AF42" s="305" t="s">
        <v>463</v>
      </c>
      <c r="AG42" s="305" t="s">
        <v>464</v>
      </c>
      <c r="AH42" s="103" t="s">
        <v>445</v>
      </c>
      <c r="AK42" s="658" t="s">
        <v>435</v>
      </c>
      <c r="AL42" s="658" t="s">
        <v>436</v>
      </c>
      <c r="AM42" s="658" t="str" cm="1">
        <f t="array" ref="AM42">AC42</f>
        <v>очистные сооружения  КАО "Азот" :: г Кемерово, ул. Кирзавод 3-бис, д. 23</v>
      </c>
      <c r="AN42" s="658" t="str" cm="1">
        <f t="array" ref="AN42">AD42</f>
        <v>собственность</v>
      </c>
      <c r="AO42" s="658" t="str" cm="1">
        <f t="array" ref="AO42">AE42</f>
        <v>свидетельство</v>
      </c>
      <c r="AP42" s="658" t="str" cm="1">
        <f t="array" ref="AP42">AF42</f>
        <v>42 АВ 855184               42 АВ 855182             42АВ 844379</v>
      </c>
      <c r="AQ42" s="658" t="str" cm="1">
        <f t="array" ref="AQ42">AG42</f>
        <v>21.10.2008</v>
      </c>
      <c r="AR42" s="449"/>
      <c r="AS42" s="449" t="b">
        <v>1</v>
      </c>
    </row>
    <row r="43" spans="1:45" s="396" customFormat="1" ht="10.5" customHeight="1" x14ac:dyDescent="0.15">
      <c r="A43" s="38"/>
      <c r="B43" s="43"/>
      <c r="C43" s="38"/>
      <c r="D43" s="38"/>
      <c r="E43" s="458">
        <v>11</v>
      </c>
      <c r="F43" s="38" t="str" cm="1">
        <f t="array" aca="1" ref="F43" ca="1">OFFSET(G43,-1,-1)</f>
        <v>2</v>
      </c>
      <c r="G43" s="38"/>
      <c r="H43" s="38"/>
      <c r="I43" s="38"/>
      <c r="J43" s="38"/>
      <c r="K43" s="38"/>
      <c r="L43" s="38"/>
      <c r="M43" s="38"/>
      <c r="N43" s="38"/>
      <c r="O43" s="38"/>
      <c r="P43" s="38"/>
      <c r="Q43" s="38"/>
      <c r="R43" s="38"/>
      <c r="S43" s="38"/>
      <c r="T43" s="38"/>
      <c r="U43" s="353" t="b">
        <f ca="1">F43&gt;0</f>
        <v>1</v>
      </c>
      <c r="V43" s="38"/>
      <c r="W43" s="38"/>
      <c r="X43" s="517" t="s">
        <v>437</v>
      </c>
      <c r="Y43" s="990"/>
      <c r="Z43" s="967"/>
      <c r="AA43" s="38"/>
      <c r="AB43" s="89"/>
      <c r="AC43" s="92" t="s">
        <v>438</v>
      </c>
      <c r="AD43" s="90"/>
      <c r="AE43" s="90"/>
      <c r="AF43" s="90"/>
      <c r="AG43" s="90"/>
      <c r="AH43" s="101"/>
      <c r="AI43" s="38"/>
      <c r="AJ43" s="38"/>
      <c r="AK43" s="656"/>
      <c r="AL43" s="656"/>
      <c r="AM43" s="656"/>
      <c r="AN43" s="656"/>
      <c r="AO43" s="656"/>
      <c r="AP43" s="656"/>
      <c r="AQ43" s="656"/>
      <c r="AR43" s="448" t="s">
        <v>436</v>
      </c>
      <c r="AS43" s="448"/>
    </row>
    <row r="44" spans="1:45" s="396" customFormat="1" ht="25.7" customHeight="1" x14ac:dyDescent="0.15">
      <c r="A44" s="38"/>
      <c r="B44" s="43"/>
      <c r="C44" s="38"/>
      <c r="D44" s="38"/>
      <c r="E44" s="456" t="s">
        <v>340</v>
      </c>
      <c r="F44" s="38" t="str" cm="1">
        <f t="array" ref="F44">Y44</f>
        <v>3</v>
      </c>
      <c r="G44" s="38"/>
      <c r="H44" s="38"/>
      <c r="I44" s="38"/>
      <c r="J44" s="38"/>
      <c r="K44" s="38"/>
      <c r="L44" s="38"/>
      <c r="M44" s="38"/>
      <c r="N44" s="38"/>
      <c r="O44" s="38"/>
      <c r="P44" s="38"/>
      <c r="Q44" s="38"/>
      <c r="R44" s="38"/>
      <c r="S44" s="38"/>
      <c r="T44" s="38"/>
      <c r="U44" s="353" t="b">
        <f>Y44&gt;0</f>
        <v>1</v>
      </c>
      <c r="V44" s="38"/>
      <c r="W44" s="38" t="str" cm="1">
        <f t="array" ref="W44">'Перечень объектов'!$AC$63</f>
        <v>Тариф 3 (Водоотведение) - тариф на транспортировку сточных вод</v>
      </c>
      <c r="X44" s="38"/>
      <c r="Y44" s="990" t="s">
        <v>291</v>
      </c>
      <c r="Z44" s="967"/>
      <c r="AA44" s="38"/>
      <c r="AB44" s="94" t="str" cm="1">
        <f t="array" ref="AB44">'Перечень объектов'!$AC$63</f>
        <v>Тариф 3 (Водоотведение) - тариф на транспортировку сточных вод</v>
      </c>
      <c r="AC44" s="94"/>
      <c r="AD44" s="88"/>
      <c r="AE44" s="88"/>
      <c r="AF44" s="88"/>
      <c r="AG44" s="88"/>
      <c r="AH44" s="88"/>
      <c r="AI44" s="38"/>
      <c r="AJ44" s="38"/>
      <c r="AK44" s="656"/>
      <c r="AL44" s="656"/>
      <c r="AM44" s="656"/>
      <c r="AN44" s="656"/>
      <c r="AO44" s="656"/>
      <c r="AP44" s="656"/>
      <c r="AQ44" s="656"/>
      <c r="AR44" s="448"/>
      <c r="AS44" s="448"/>
    </row>
    <row r="45" spans="1:45" s="396" customFormat="1" ht="15" hidden="1" customHeight="1" x14ac:dyDescent="0.15">
      <c r="A45" s="38"/>
      <c r="B45" s="43"/>
      <c r="C45" s="38"/>
      <c r="D45" s="38"/>
      <c r="E45" s="458">
        <v>0</v>
      </c>
      <c r="F45" s="38" t="str" cm="1">
        <f t="array" aca="1" ref="F45" ca="1">OFFSET(G45,-1,-1)</f>
        <v>3</v>
      </c>
      <c r="G45" s="38"/>
      <c r="H45" s="38"/>
      <c r="I45" s="38"/>
      <c r="J45" s="38"/>
      <c r="K45" s="38"/>
      <c r="L45" s="38"/>
      <c r="M45" s="38"/>
      <c r="N45" s="38"/>
      <c r="O45" s="38"/>
      <c r="P45" s="38"/>
      <c r="Q45" s="38"/>
      <c r="R45" s="38"/>
      <c r="S45" s="38"/>
      <c r="T45" s="38"/>
      <c r="U45" s="353" t="b">
        <v>0</v>
      </c>
      <c r="V45" s="38"/>
      <c r="W45" s="38"/>
      <c r="X45" s="38"/>
      <c r="Y45" s="990"/>
      <c r="Z45" s="967"/>
      <c r="AA45" s="38"/>
      <c r="AB45" s="94"/>
      <c r="AC45" s="94"/>
      <c r="AD45" s="88"/>
      <c r="AE45" s="88"/>
      <c r="AF45" s="88"/>
      <c r="AG45" s="88"/>
      <c r="AH45" s="88"/>
      <c r="AI45" s="38"/>
      <c r="AJ45" s="38"/>
      <c r="AK45" s="656"/>
      <c r="AL45" s="656"/>
      <c r="AM45" s="656"/>
      <c r="AN45" s="656"/>
      <c r="AO45" s="656"/>
      <c r="AP45" s="656"/>
      <c r="AQ45" s="656"/>
      <c r="AR45" s="448"/>
      <c r="AS45" s="448"/>
    </row>
    <row r="46" spans="1:45" s="22" customFormat="1" ht="14.25" hidden="1" customHeight="1" x14ac:dyDescent="0.15">
      <c r="B46" s="43"/>
      <c r="E46" s="458">
        <v>15</v>
      </c>
      <c r="F46" s="22" t="str" cm="1">
        <f t="array" aca="1" ref="F46" ca="1">OFFSET(G46,-1,-1)</f>
        <v>3</v>
      </c>
      <c r="I46" s="22" t="s">
        <v>433</v>
      </c>
      <c r="K46" s="22" t="s">
        <v>434</v>
      </c>
      <c r="U46" s="353" t="b">
        <f ca="1">AND(F46&gt;0,AB46&gt;0)</f>
        <v>0</v>
      </c>
      <c r="X46" s="517" t="s">
        <v>172</v>
      </c>
      <c r="Y46" s="990"/>
      <c r="Z46" s="967"/>
      <c r="AA46" s="482" t="s">
        <v>173</v>
      </c>
      <c r="AB46" s="7">
        <v>0</v>
      </c>
      <c r="AC46" s="186" t="str">
        <f>I46&amp;" :: "&amp;K46</f>
        <v>Наименование объекта :: адрес</v>
      </c>
      <c r="AD46" s="186"/>
      <c r="AE46" s="186"/>
      <c r="AF46" s="305"/>
      <c r="AG46" s="305"/>
      <c r="AH46" s="819"/>
      <c r="AK46" s="658" t="s">
        <v>435</v>
      </c>
      <c r="AL46" s="658" t="s">
        <v>436</v>
      </c>
      <c r="AM46" s="658" t="str" cm="1">
        <f t="array" ref="AM46">AC46</f>
        <v>Наименование объекта :: адрес</v>
      </c>
      <c r="AN46" s="658" cm="1">
        <f t="array" ref="AN46">AD46</f>
        <v>0</v>
      </c>
      <c r="AO46" s="658" cm="1">
        <f t="array" ref="AO46">AE46</f>
        <v>0</v>
      </c>
      <c r="AP46" s="658" cm="1">
        <f t="array" ref="AP46">AF46</f>
        <v>0</v>
      </c>
      <c r="AQ46" s="658" cm="1">
        <f t="array" ref="AQ46">AG46</f>
        <v>0</v>
      </c>
      <c r="AR46" s="449"/>
      <c r="AS46" s="449" t="b">
        <v>1</v>
      </c>
    </row>
    <row r="47" spans="1:45" s="22" customFormat="1" ht="44.25" customHeight="1" x14ac:dyDescent="0.15">
      <c r="B47" s="43"/>
      <c r="E47" s="458">
        <v>15</v>
      </c>
      <c r="F47" s="22" t="str" cm="1">
        <f t="array" aca="1" ref="F47" ca="1">OFFSET(G47,-1,-1)</f>
        <v>3</v>
      </c>
      <c r="I47" s="22" t="s">
        <v>465</v>
      </c>
      <c r="K47" s="22" t="s">
        <v>453</v>
      </c>
      <c r="U47" s="353" t="b">
        <f ca="1">AND(F47&gt;0,AB47&gt;0)</f>
        <v>1</v>
      </c>
      <c r="X47" s="517"/>
      <c r="Y47" s="990"/>
      <c r="Z47" s="967"/>
      <c r="AA47" s="482" t="s">
        <v>173</v>
      </c>
      <c r="AB47" s="7" t="s">
        <v>275</v>
      </c>
      <c r="AC47" s="186" t="str">
        <f>I47&amp;" :: "&amp;K47</f>
        <v>канализационная сеть КАО "Азот" :: г Кемерово, ул. Грузовая, стр. 1</v>
      </c>
      <c r="AD47" s="186" t="s">
        <v>441</v>
      </c>
      <c r="AE47" s="186" t="s">
        <v>442</v>
      </c>
      <c r="AF47" s="305" t="s">
        <v>456</v>
      </c>
      <c r="AG47" s="305" t="s">
        <v>457</v>
      </c>
      <c r="AH47" s="103" t="s">
        <v>458</v>
      </c>
      <c r="AK47" s="658" t="s">
        <v>435</v>
      </c>
      <c r="AL47" s="658" t="s">
        <v>436</v>
      </c>
      <c r="AM47" s="658" t="str" cm="1">
        <f t="array" ref="AM47">AC47</f>
        <v>канализационная сеть КАО "Азот" :: г Кемерово, ул. Грузовая, стр. 1</v>
      </c>
      <c r="AN47" s="658" t="str" cm="1">
        <f t="array" ref="AN47">AD47</f>
        <v>собственность</v>
      </c>
      <c r="AO47" s="658" t="str" cm="1">
        <f t="array" ref="AO47">AE47</f>
        <v>свидетельство</v>
      </c>
      <c r="AP47" s="658" t="str" cm="1">
        <f t="array" ref="AP47">AF47</f>
        <v>67</v>
      </c>
      <c r="AQ47" s="658" t="str" cm="1">
        <f t="array" ref="AQ47">AG47</f>
        <v>18.03.1993</v>
      </c>
      <c r="AR47" s="449"/>
      <c r="AS47" s="449" t="b">
        <v>1</v>
      </c>
    </row>
    <row r="48" spans="1:45" s="22" customFormat="1" ht="30.4" customHeight="1" x14ac:dyDescent="0.15">
      <c r="B48" s="43"/>
      <c r="E48" s="458">
        <v>15</v>
      </c>
      <c r="F48" s="22" t="str" cm="1">
        <f t="array" aca="1" ref="F48" ca="1">OFFSET(G48,-1,-1)</f>
        <v>3</v>
      </c>
      <c r="I48" s="22" t="s">
        <v>405</v>
      </c>
      <c r="K48" s="22" t="s">
        <v>462</v>
      </c>
      <c r="U48" s="353" t="b">
        <f ca="1">AND(F48&gt;0,AB48&gt;0)</f>
        <v>1</v>
      </c>
      <c r="X48" s="517"/>
      <c r="Y48" s="990"/>
      <c r="Z48" s="967"/>
      <c r="AA48" s="482" t="s">
        <v>173</v>
      </c>
      <c r="AB48" s="7" t="s">
        <v>285</v>
      </c>
      <c r="AC48" s="186" t="str">
        <f>I48&amp;" :: "&amp;K48</f>
        <v>Станция УФ-обеззараживания (УФО) КАО "Азот" :: г Кемерово, ул. Кирзавод 3-бис, д. 23</v>
      </c>
      <c r="AD48" s="186" t="s">
        <v>441</v>
      </c>
      <c r="AE48" s="186" t="s">
        <v>442</v>
      </c>
      <c r="AF48" s="305" t="s">
        <v>466</v>
      </c>
      <c r="AG48" s="305" t="s">
        <v>467</v>
      </c>
      <c r="AH48" s="103" t="s">
        <v>445</v>
      </c>
      <c r="AK48" s="658" t="s">
        <v>435</v>
      </c>
      <c r="AL48" s="658" t="s">
        <v>436</v>
      </c>
      <c r="AM48" s="658" t="str" cm="1">
        <f t="array" ref="AM48">AC48</f>
        <v>Станция УФ-обеззараживания (УФО) КАО "Азот" :: г Кемерово, ул. Кирзавод 3-бис, д. 23</v>
      </c>
      <c r="AN48" s="658" t="str" cm="1">
        <f t="array" ref="AN48">AD48</f>
        <v>собственность</v>
      </c>
      <c r="AO48" s="658" t="str" cm="1">
        <f t="array" ref="AO48">AE48</f>
        <v>свидетельство</v>
      </c>
      <c r="AP48" s="658" t="str" cm="1">
        <f t="array" ref="AP48">AF48</f>
        <v>42 АЕ 060243</v>
      </c>
      <c r="AQ48" s="658" t="str" cm="1">
        <f t="array" ref="AQ48">AG48</f>
        <v>17.06.2015</v>
      </c>
      <c r="AR48" s="449"/>
      <c r="AS48" s="449" t="b">
        <v>1</v>
      </c>
    </row>
    <row r="49" spans="1:45" s="396" customFormat="1" ht="10.5" customHeight="1" x14ac:dyDescent="0.15">
      <c r="A49" s="38"/>
      <c r="B49" s="43"/>
      <c r="C49" s="38"/>
      <c r="D49" s="38"/>
      <c r="E49" s="458">
        <v>11</v>
      </c>
      <c r="F49" s="38" t="str" cm="1">
        <f t="array" aca="1" ref="F49" ca="1">OFFSET(G49,-1,-1)</f>
        <v>3</v>
      </c>
      <c r="G49" s="38"/>
      <c r="H49" s="38"/>
      <c r="I49" s="38"/>
      <c r="J49" s="38"/>
      <c r="K49" s="38"/>
      <c r="L49" s="38"/>
      <c r="M49" s="38"/>
      <c r="N49" s="38"/>
      <c r="O49" s="38"/>
      <c r="P49" s="38"/>
      <c r="Q49" s="38"/>
      <c r="R49" s="38"/>
      <c r="S49" s="38"/>
      <c r="T49" s="38"/>
      <c r="U49" s="353" t="b">
        <f ca="1">F49&gt;0</f>
        <v>1</v>
      </c>
      <c r="V49" s="38"/>
      <c r="W49" s="38"/>
      <c r="X49" s="517" t="s">
        <v>437</v>
      </c>
      <c r="Y49" s="990"/>
      <c r="Z49" s="967"/>
      <c r="AA49" s="38"/>
      <c r="AB49" s="89"/>
      <c r="AC49" s="92" t="s">
        <v>438</v>
      </c>
      <c r="AD49" s="90"/>
      <c r="AE49" s="90"/>
      <c r="AF49" s="90"/>
      <c r="AG49" s="90"/>
      <c r="AH49" s="101"/>
      <c r="AI49" s="38"/>
      <c r="AJ49" s="38"/>
      <c r="AK49" s="656"/>
      <c r="AL49" s="656"/>
      <c r="AM49" s="656"/>
      <c r="AN49" s="656"/>
      <c r="AO49" s="656"/>
      <c r="AP49" s="656"/>
      <c r="AQ49" s="656"/>
      <c r="AR49" s="448" t="s">
        <v>436</v>
      </c>
      <c r="AS49" s="448"/>
    </row>
    <row r="50" spans="1:45" ht="10.7" customHeight="1" x14ac:dyDescent="0.15">
      <c r="A50" s="315"/>
      <c r="B50" s="315"/>
      <c r="C50" s="315"/>
      <c r="D50" s="315"/>
      <c r="E50" s="458">
        <v>11</v>
      </c>
      <c r="F50" s="315"/>
      <c r="G50" s="315"/>
      <c r="H50" s="315"/>
      <c r="I50" s="315"/>
      <c r="J50" s="315"/>
      <c r="K50" s="315"/>
      <c r="L50" s="315"/>
      <c r="M50" s="315"/>
      <c r="N50" s="315"/>
      <c r="O50" s="315"/>
      <c r="P50" s="315"/>
      <c r="Q50" s="315"/>
      <c r="R50" s="315"/>
      <c r="V50" s="38" t="s">
        <v>176</v>
      </c>
      <c r="W50" s="56" t="s">
        <v>468</v>
      </c>
      <c r="AA50" s="315"/>
      <c r="AI50" s="315"/>
      <c r="AJ50" s="315"/>
      <c r="AK50" s="655"/>
      <c r="AL50" s="655"/>
      <c r="AM50" s="655"/>
      <c r="AN50" s="655"/>
      <c r="AO50" s="655"/>
      <c r="AP50" s="655"/>
      <c r="AQ50" s="655"/>
      <c r="AR50" s="480"/>
      <c r="AS50" s="454"/>
    </row>
    <row r="51" spans="1:45" ht="11.25" hidden="1" customHeight="1" x14ac:dyDescent="0.15">
      <c r="A51" s="315"/>
      <c r="B51" s="479"/>
      <c r="C51" s="315"/>
      <c r="D51" s="315"/>
      <c r="E51" s="458"/>
      <c r="F51" s="315"/>
      <c r="G51" s="315"/>
      <c r="H51" s="315"/>
      <c r="I51" s="315"/>
      <c r="J51" s="315"/>
      <c r="K51" s="315"/>
      <c r="L51" s="315"/>
      <c r="M51" s="315"/>
      <c r="N51" s="315"/>
      <c r="O51" s="315"/>
      <c r="P51" s="315"/>
      <c r="Q51" s="315"/>
      <c r="R51" s="315"/>
      <c r="AA51" s="315"/>
      <c r="AB51"/>
      <c r="AC51" s="18"/>
      <c r="AD51" s="18"/>
      <c r="AE51" s="18"/>
      <c r="AF51" s="18"/>
      <c r="AG51"/>
      <c r="AH51"/>
      <c r="AI51" s="315"/>
      <c r="AJ51" s="315"/>
      <c r="AK51" s="655"/>
      <c r="AL51" s="655"/>
      <c r="AM51" s="655"/>
      <c r="AN51" s="655"/>
      <c r="AO51" s="655"/>
      <c r="AP51" s="657"/>
      <c r="AQ51" s="655"/>
      <c r="AR51" s="480"/>
      <c r="AS51" s="454"/>
    </row>
    <row r="52" spans="1:45" ht="11.25" hidden="1" customHeight="1" x14ac:dyDescent="0.15">
      <c r="E52" s="458"/>
    </row>
    <row r="53" spans="1:45" ht="11.25" hidden="1" customHeight="1" x14ac:dyDescent="0.15">
      <c r="E53" s="458"/>
    </row>
    <row r="54" spans="1:45" ht="11.25" hidden="1" customHeight="1" x14ac:dyDescent="0.15">
      <c r="E54" s="458"/>
    </row>
    <row r="55" spans="1:45" ht="11.25" hidden="1" customHeight="1" x14ac:dyDescent="0.15">
      <c r="E55" s="458"/>
    </row>
    <row r="56" spans="1:45" ht="11.25" hidden="1" customHeight="1" x14ac:dyDescent="0.15">
      <c r="E56" s="464"/>
    </row>
    <row r="57" spans="1:45" ht="11.25" hidden="1" customHeight="1" x14ac:dyDescent="0.15">
      <c r="E57" s="458"/>
    </row>
    <row r="58" spans="1:45" ht="11.25" hidden="1" customHeight="1" x14ac:dyDescent="0.15">
      <c r="E58" s="458"/>
    </row>
    <row r="59" spans="1:45" ht="11.25" hidden="1" customHeight="1" x14ac:dyDescent="0.15">
      <c r="E59" s="458"/>
    </row>
    <row r="60" spans="1:45" ht="11.25" hidden="1" customHeight="1" x14ac:dyDescent="0.15">
      <c r="E60" s="461"/>
    </row>
    <row r="61" spans="1:45" ht="11.25" hidden="1" customHeight="1" x14ac:dyDescent="0.15">
      <c r="E61" s="461"/>
    </row>
    <row r="62" spans="1:45" ht="11.25" hidden="1" customHeight="1" x14ac:dyDescent="0.15">
      <c r="E62" s="461"/>
    </row>
    <row r="63" spans="1:45" ht="11.25" hidden="1" customHeight="1" x14ac:dyDescent="0.15">
      <c r="E63" s="461"/>
    </row>
  </sheetData>
  <sheetProtection formatColumns="0" formatRows="0" insertRows="0" deleteColumns="0" deleteRows="0" sort="0" autoFilter="0"/>
  <mergeCells count="10">
    <mergeCell ref="Y39:Y43"/>
    <mergeCell ref="Z39:Z43"/>
    <mergeCell ref="Y44:Y49"/>
    <mergeCell ref="Z44:Z49"/>
    <mergeCell ref="AB22:AH22"/>
    <mergeCell ref="AF23:AG23"/>
    <mergeCell ref="Y26:Y29"/>
    <mergeCell ref="Z26:Z29"/>
    <mergeCell ref="Y30:Y38"/>
    <mergeCell ref="Z30:Z38"/>
  </mergeCells>
  <dataValidations count="1">
    <dataValidation type="list" showDropDown="1" errorTitle="Ошибка" error="Выберите значение из списка" prompt="Выберите значение из списка" sqref="AD29 AD38 AD43 AD49"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5A13-9F08-FB53-DE7D-B079D7E38C38}">
  <sheetPr>
    <tabColor theme="3" tint="0.59999389629810485"/>
    <outlinePr summaryBelow="0" summaryRight="0"/>
    <pageSetUpPr fitToPage="1"/>
  </sheetPr>
  <dimension ref="A1:BM136"/>
  <sheetViews>
    <sheetView showGridLines="0" zoomScale="120" workbookViewId="0">
      <pane xSplit="30" ySplit="26" topLeftCell="AE129" activePane="bottomRight" state="frozen"/>
      <selection pane="topRight" activeCell="AE1" sqref="AE1"/>
      <selection pane="bottomLeft" activeCell="A27" sqref="A27"/>
      <selection pane="bottomRight" activeCell="AC132" sqref="AC132"/>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48"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8.42578125" style="56" customWidth="1"/>
    <col min="30" max="30" width="11.140625" style="38" customWidth="1"/>
    <col min="31" max="33" width="15" style="38" customWidth="1"/>
    <col min="34" max="34" width="29.28515625" style="38" customWidth="1"/>
    <col min="35" max="39" width="15" style="38" customWidth="1"/>
    <col min="40" max="40" width="51.85546875" style="38" customWidth="1"/>
    <col min="41" max="58" width="15" style="38" hidden="1" customWidth="1"/>
    <col min="59" max="59" width="3" style="38" customWidth="1"/>
    <col min="60" max="60" width="9.140625" style="38" hidden="1"/>
    <col min="61" max="63" width="9.140625" style="656" hidden="1"/>
    <col min="64" max="65" width="9.140625" style="448" hidden="1"/>
  </cols>
  <sheetData>
    <row r="1" spans="1:65" ht="11.25" hidden="1" customHeight="1" x14ac:dyDescent="0.15">
      <c r="E1" s="38"/>
      <c r="F1" s="275" t="s">
        <v>320</v>
      </c>
      <c r="H1" s="38" t="s">
        <v>330</v>
      </c>
      <c r="U1" s="353" t="s">
        <v>92</v>
      </c>
      <c r="V1" s="353" t="s">
        <v>97</v>
      </c>
      <c r="W1" s="353" t="s">
        <v>93</v>
      </c>
      <c r="X1" s="353" t="s">
        <v>94</v>
      </c>
      <c r="Y1" s="353" t="s">
        <v>95</v>
      </c>
      <c r="Z1" s="353" t="s">
        <v>99</v>
      </c>
      <c r="AA1" s="353" t="s">
        <v>96</v>
      </c>
      <c r="AB1" s="353" t="s">
        <v>322</v>
      </c>
      <c r="AC1" s="353" t="s">
        <v>98</v>
      </c>
      <c r="BI1" s="656" t="s">
        <v>323</v>
      </c>
      <c r="BJ1" s="656" t="s">
        <v>324</v>
      </c>
      <c r="BK1" s="656" t="s">
        <v>325</v>
      </c>
      <c r="BL1" s="448" t="s">
        <v>328</v>
      </c>
      <c r="BM1" s="448" t="s">
        <v>329</v>
      </c>
    </row>
    <row r="2" spans="1:65" s="43" customFormat="1" ht="11.25" hidden="1" customHeight="1" x14ac:dyDescent="0.15">
      <c r="B2" s="342" t="s">
        <v>18</v>
      </c>
      <c r="F2" s="535"/>
      <c r="AC2" s="339"/>
      <c r="AO2" s="342" t="b">
        <f t="shared" ref="AO2:BF2" si="0">AO6&lt;=last_year_vis</f>
        <v>0</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E2" s="342" t="b">
        <f t="shared" si="0"/>
        <v>0</v>
      </c>
      <c r="BF2" s="342" t="b">
        <f t="shared" si="0"/>
        <v>0</v>
      </c>
      <c r="BI2" s="665"/>
      <c r="BJ2" s="665"/>
      <c r="BK2" s="665"/>
      <c r="BL2" s="670"/>
      <c r="BM2" s="670"/>
    </row>
    <row r="3" spans="1:65" ht="11.25" hidden="1" customHeight="1" x14ac:dyDescent="0.15">
      <c r="E3" s="38"/>
    </row>
    <row r="4" spans="1:65" ht="11.25" hidden="1" customHeight="1" x14ac:dyDescent="0.15">
      <c r="E4" s="38"/>
    </row>
    <row r="5" spans="1:65" s="448" customFormat="1" ht="11.25" hidden="1" customHeight="1" x14ac:dyDescent="0.15">
      <c r="A5" s="38"/>
      <c r="B5" s="43"/>
      <c r="C5" s="38"/>
      <c r="D5" s="38"/>
      <c r="E5" s="448" t="s">
        <v>19</v>
      </c>
      <c r="F5" s="536"/>
      <c r="AA5" s="448">
        <v>3</v>
      </c>
      <c r="AB5" s="449">
        <v>11</v>
      </c>
      <c r="AC5" s="460">
        <v>40</v>
      </c>
      <c r="AD5" s="448">
        <v>15</v>
      </c>
      <c r="AE5" s="448">
        <v>15</v>
      </c>
      <c r="AF5" s="448">
        <v>15</v>
      </c>
      <c r="AG5" s="448">
        <v>15</v>
      </c>
      <c r="AH5" s="448">
        <v>17.71</v>
      </c>
      <c r="AI5" s="448">
        <v>15</v>
      </c>
      <c r="AJ5" s="448">
        <v>15</v>
      </c>
      <c r="AK5" s="448">
        <v>15</v>
      </c>
      <c r="AL5" s="448">
        <v>15</v>
      </c>
      <c r="AM5" s="448">
        <v>15</v>
      </c>
      <c r="AN5" s="448">
        <v>15</v>
      </c>
      <c r="AO5" s="448">
        <v>15</v>
      </c>
      <c r="AP5" s="448">
        <v>15</v>
      </c>
      <c r="AQ5" s="448">
        <v>15</v>
      </c>
      <c r="AR5" s="448">
        <v>15</v>
      </c>
      <c r="AS5" s="448">
        <v>15</v>
      </c>
      <c r="AT5" s="448">
        <v>15</v>
      </c>
      <c r="AU5" s="448">
        <v>15</v>
      </c>
      <c r="AV5" s="448">
        <v>15</v>
      </c>
      <c r="AW5" s="448">
        <v>15</v>
      </c>
      <c r="AX5" s="448">
        <v>15</v>
      </c>
      <c r="AY5" s="448">
        <v>15</v>
      </c>
      <c r="AZ5" s="448">
        <v>15</v>
      </c>
      <c r="BA5" s="448">
        <v>15</v>
      </c>
      <c r="BB5" s="448">
        <v>15</v>
      </c>
      <c r="BC5" s="448">
        <v>15</v>
      </c>
      <c r="BD5" s="448">
        <v>15</v>
      </c>
      <c r="BE5" s="448">
        <v>15</v>
      </c>
      <c r="BF5" s="448">
        <v>15</v>
      </c>
      <c r="BG5" s="448">
        <v>3</v>
      </c>
      <c r="BI5" s="656"/>
      <c r="BJ5" s="656"/>
      <c r="BK5" s="656"/>
    </row>
    <row r="6" spans="1:65" ht="11.25" hidden="1" customHeight="1" x14ac:dyDescent="0.15">
      <c r="A6" s="38" t="s">
        <v>358</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359</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362</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362</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6" customFormat="1" ht="11.25" hidden="1" customHeight="1" x14ac:dyDescent="0.15">
      <c r="A9" s="656" t="s">
        <v>363</v>
      </c>
      <c r="B9" s="665"/>
      <c r="F9" s="666"/>
      <c r="AB9" s="658"/>
      <c r="AC9" s="667"/>
      <c r="AE9" s="656" cm="1">
        <f t="array" ref="AE9">AE6</f>
        <v>2024</v>
      </c>
      <c r="AF9" s="656" cm="1">
        <f t="array" ref="AF9">AF6</f>
        <v>2024</v>
      </c>
      <c r="AG9" s="656" cm="1">
        <f t="array" ref="AG9">AG6</f>
        <v>2024</v>
      </c>
      <c r="AH9" s="656" cm="1">
        <f t="array" ref="AH9">AH6</f>
        <v>2024</v>
      </c>
      <c r="AI9" s="656" cm="1">
        <f t="array" ref="AI9">AI6</f>
        <v>2025</v>
      </c>
      <c r="AJ9" s="656" cm="1">
        <f t="array" ref="AJ9">AJ6</f>
        <v>2026</v>
      </c>
      <c r="AK9" s="656" cm="1">
        <f t="array" ref="AK9">AK6</f>
        <v>2026</v>
      </c>
      <c r="AL9" s="656" cm="1">
        <f t="array" ref="AL9">AL6</f>
        <v>2026</v>
      </c>
      <c r="AM9" s="656" cm="1">
        <f t="array" ref="AM9">AM6</f>
        <v>2026</v>
      </c>
      <c r="AN9" s="656" cm="1">
        <f t="array" ref="AN9">AN6</f>
        <v>2026</v>
      </c>
      <c r="AO9" s="656" cm="1">
        <f t="array" ref="AO9">AO6</f>
        <v>2027</v>
      </c>
      <c r="AP9" s="656" cm="1">
        <f t="array" ref="AP9">AP6</f>
        <v>2028</v>
      </c>
      <c r="AQ9" s="656" cm="1">
        <f t="array" ref="AQ9">AQ6</f>
        <v>2029</v>
      </c>
      <c r="AR9" s="656" cm="1">
        <f t="array" ref="AR9">AR6</f>
        <v>2030</v>
      </c>
      <c r="AS9" s="656" cm="1">
        <f t="array" ref="AS9">AS6</f>
        <v>2031</v>
      </c>
      <c r="AT9" s="656" cm="1">
        <f t="array" ref="AT9">AT6</f>
        <v>2032</v>
      </c>
      <c r="AU9" s="656" cm="1">
        <f t="array" ref="AU9">AU6</f>
        <v>2033</v>
      </c>
      <c r="AV9" s="656" cm="1">
        <f t="array" ref="AV9">AV6</f>
        <v>2034</v>
      </c>
      <c r="AW9" s="656" cm="1">
        <f t="array" ref="AW9">AW6</f>
        <v>2035</v>
      </c>
      <c r="AX9" s="656" cm="1">
        <f t="array" ref="AX9">AX6</f>
        <v>2027</v>
      </c>
      <c r="AY9" s="656" cm="1">
        <f t="array" ref="AY9">AY6</f>
        <v>2028</v>
      </c>
      <c r="AZ9" s="656" cm="1">
        <f t="array" ref="AZ9">AZ6</f>
        <v>2029</v>
      </c>
      <c r="BA9" s="656" cm="1">
        <f t="array" ref="BA9">BA6</f>
        <v>2030</v>
      </c>
      <c r="BB9" s="656" cm="1">
        <f t="array" ref="BB9">BB6</f>
        <v>2031</v>
      </c>
      <c r="BC9" s="656" cm="1">
        <f t="array" ref="BC9">BC6</f>
        <v>2032</v>
      </c>
      <c r="BD9" s="656" cm="1">
        <f t="array" ref="BD9">BD6</f>
        <v>2033</v>
      </c>
      <c r="BE9" s="656" cm="1">
        <f t="array" ref="BE9">BE6</f>
        <v>2034</v>
      </c>
      <c r="BF9" s="656" cm="1">
        <f t="array" ref="BF9">BF6</f>
        <v>2035</v>
      </c>
      <c r="BL9" s="448"/>
      <c r="BM9" s="448"/>
    </row>
    <row r="10" spans="1:65" s="656" customFormat="1" ht="11.25" hidden="1" customHeight="1" x14ac:dyDescent="0.15">
      <c r="A10" s="656" t="s">
        <v>364</v>
      </c>
      <c r="B10" s="665"/>
      <c r="F10" s="666"/>
      <c r="AB10" s="658"/>
      <c r="AC10" s="667"/>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I10" s="656" t="str" cm="1">
        <f t="array" ref="AI10">AI25</f>
        <v>Принято органом регулирования</v>
      </c>
      <c r="AJ10" s="656" t="str" cm="1">
        <f t="array" ref="AJ10">AJ25</f>
        <v>Предложение организации</v>
      </c>
      <c r="AK10" s="656" t="str" cm="1">
        <f t="array" ref="AK10">AK25</f>
        <v>Принято органом регулирования</v>
      </c>
      <c r="AL10" s="656" t="str" cm="1">
        <f t="array" ref="AL10">AL25</f>
        <v>% роста / снижения</v>
      </c>
      <c r="AM10" s="656" t="str" cm="1">
        <f t="array" ref="AM10">AM25</f>
        <v>Отклонение (принято органом регулирования - заявлено организацией)</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Предложение организации</v>
      </c>
      <c r="AT10" s="656" t="str" cm="1">
        <f t="array" ref="AT10">AT25</f>
        <v>Предложение организации</v>
      </c>
      <c r="AU10" s="656" t="str" cm="1">
        <f t="array" ref="AU10">AU25</f>
        <v>Предложение организации</v>
      </c>
      <c r="AV10" s="656" t="str" cm="1">
        <f t="array" ref="AV10">AV25</f>
        <v>Предложение организации</v>
      </c>
      <c r="AW10" s="656" t="str" cm="1">
        <f t="array" ref="AW10">AW25</f>
        <v>Предложение организации</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C10" s="656" t="str" cm="1">
        <f t="array" ref="BC10">BC25</f>
        <v>Принято органом регулирования</v>
      </c>
      <c r="BD10" s="656" t="str" cm="1">
        <f t="array" ref="BD10">BD25</f>
        <v>Принято органом регулирования</v>
      </c>
      <c r="BE10" s="656" t="str" cm="1">
        <f t="array" ref="BE10">BE25</f>
        <v>Принято органом регулирования</v>
      </c>
      <c r="BF10" s="656" t="str" cm="1">
        <f t="array" ref="BF10">BF25</f>
        <v>Принято органом регулирования</v>
      </c>
      <c r="BL10" s="448"/>
      <c r="BM10" s="448"/>
    </row>
    <row r="11" spans="1:65" s="656" customFormat="1" ht="11.25" hidden="1" customHeight="1" x14ac:dyDescent="0.15">
      <c r="A11" s="656" t="s">
        <v>365</v>
      </c>
      <c r="B11" s="665"/>
      <c r="F11" s="666"/>
      <c r="AB11" s="658"/>
      <c r="AC11" s="667"/>
      <c r="AH11" s="656" t="str" cm="1">
        <f t="array" ref="AH11">AH25</f>
        <v>Комментарии</v>
      </c>
      <c r="AN11" s="656" t="str" cm="1">
        <f t="array" ref="AN11">AN25</f>
        <v>Комментарии</v>
      </c>
      <c r="BL11" s="448"/>
      <c r="BM11" s="448"/>
    </row>
    <row r="12" spans="1:65" s="656" customFormat="1" ht="11.25" hidden="1" customHeight="1" x14ac:dyDescent="0.15">
      <c r="A12" s="656" t="s">
        <v>337</v>
      </c>
      <c r="B12" s="665"/>
      <c r="F12" s="666"/>
      <c r="AB12" s="658"/>
      <c r="AC12" s="667" t="s">
        <v>325</v>
      </c>
      <c r="BL12" s="448"/>
      <c r="BM12" s="448"/>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366</v>
      </c>
      <c r="AC18" s="56" t="s">
        <v>469</v>
      </c>
    </row>
    <row r="19" spans="1:65" ht="11.25" hidden="1" customHeight="1" x14ac:dyDescent="0.15"/>
    <row r="20" spans="1:65" ht="11.25" hidden="1" customHeight="1" x14ac:dyDescent="0.15"/>
    <row r="21" spans="1:65" ht="14.65" customHeight="1" x14ac:dyDescent="0.15">
      <c r="E21" s="448">
        <v>15</v>
      </c>
      <c r="AA21" s="59"/>
      <c r="AC21" s="3" t="str" cm="1">
        <f t="array" ref="AC21">tpl_title</f>
        <v>Кемеровская область / 2026 / КАО "Азот" (ИНН:4205000908, КПП:997550001) / ДПР: 2024-2028</v>
      </c>
      <c r="AD21" s="41"/>
      <c r="AE21" s="42"/>
    </row>
    <row r="22" spans="1:65" ht="21.95" customHeight="1" x14ac:dyDescent="0.2">
      <c r="E22" s="448">
        <v>22.5</v>
      </c>
      <c r="AB22" s="224"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x14ac:dyDescent="0.15">
      <c r="B23" s="43"/>
      <c r="E23" s="458">
        <v>11.25</v>
      </c>
      <c r="F23" s="275"/>
      <c r="AA23" s="43"/>
      <c r="AB23" s="44"/>
      <c r="AC23" s="45"/>
      <c r="AD23" s="46"/>
      <c r="AE23" s="47"/>
      <c r="BI23" s="668"/>
      <c r="BJ23" s="668"/>
      <c r="BK23" s="668"/>
      <c r="BL23" s="458"/>
      <c r="BM23" s="458"/>
    </row>
    <row r="24" spans="1:65" ht="14.65" customHeight="1" x14ac:dyDescent="0.15">
      <c r="E24" s="448">
        <v>15</v>
      </c>
      <c r="AB24" s="991" t="s">
        <v>21</v>
      </c>
      <c r="AC24" s="991" t="s">
        <v>469</v>
      </c>
      <c r="AD24" s="991" t="s">
        <v>368</v>
      </c>
      <c r="AE24" s="12" t="str">
        <f>god-2&amp;" год"</f>
        <v>2024 год</v>
      </c>
      <c r="AF24" s="726" t="str">
        <f>god-2&amp;" год"</f>
        <v>2024 год</v>
      </c>
      <c r="AG24" s="12" t="str">
        <f>god-2&amp;" год"</f>
        <v>2024 год</v>
      </c>
      <c r="AH24" s="12" t="str">
        <f>god-2&amp;" год"</f>
        <v>2024 год</v>
      </c>
      <c r="AI24" s="12" t="str">
        <f>god-1&amp;" год"</f>
        <v>2025 год</v>
      </c>
      <c r="AJ24" s="726" t="str">
        <f>god&amp;" год"</f>
        <v>2026 год</v>
      </c>
      <c r="AK24" s="12" t="str">
        <f>god&amp;" год"</f>
        <v>2026 год</v>
      </c>
      <c r="AL24" s="12" t="str">
        <f>god&amp;" год"</f>
        <v>2026 год</v>
      </c>
      <c r="AM24" s="12" t="str">
        <f>god&amp;" год"</f>
        <v>2026 год</v>
      </c>
      <c r="AN24" s="12" t="str">
        <f>god&amp;" год"</f>
        <v>2026 год</v>
      </c>
      <c r="AO24" s="726" t="str">
        <f>god+1&amp;" год"</f>
        <v>2027 год</v>
      </c>
      <c r="AP24" s="726" t="str">
        <f>god+2&amp;" год"</f>
        <v>2028 год</v>
      </c>
      <c r="AQ24" s="726" t="str">
        <f>god+3&amp;" год"</f>
        <v>2029 год</v>
      </c>
      <c r="AR24" s="726" t="str">
        <f>god+4&amp;" год"</f>
        <v>2030 год</v>
      </c>
      <c r="AS24" s="726" t="str">
        <f>god+5&amp;" год"</f>
        <v>2031 год</v>
      </c>
      <c r="AT24" s="726" t="str">
        <f>god+6&amp;" год"</f>
        <v>2032 год</v>
      </c>
      <c r="AU24" s="726" t="str">
        <f>god+7&amp;" год"</f>
        <v>2033 год</v>
      </c>
      <c r="AV24" s="726" t="str">
        <f>god+8&amp;" год"</f>
        <v>2034 год</v>
      </c>
      <c r="AW24" s="726"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x14ac:dyDescent="0.15">
      <c r="E25" s="448">
        <v>69</v>
      </c>
      <c r="F25" s="275" t="s">
        <v>370</v>
      </c>
      <c r="AB25" s="991"/>
      <c r="AC25" s="991"/>
      <c r="AD25" s="991"/>
      <c r="AE25" s="11" t="s">
        <v>360</v>
      </c>
      <c r="AF25" s="727" t="s">
        <v>470</v>
      </c>
      <c r="AG25" s="12" t="s">
        <v>471</v>
      </c>
      <c r="AH25" s="12" t="s">
        <v>369</v>
      </c>
      <c r="AI25" s="12" t="s">
        <v>360</v>
      </c>
      <c r="AJ25" s="725" t="s">
        <v>361</v>
      </c>
      <c r="AK25" s="12" t="s">
        <v>360</v>
      </c>
      <c r="AL25" s="104" t="s">
        <v>472</v>
      </c>
      <c r="AM25" s="104" t="s">
        <v>473</v>
      </c>
      <c r="AN25" s="12" t="s">
        <v>369</v>
      </c>
      <c r="AO25" s="726" t="s">
        <v>361</v>
      </c>
      <c r="AP25" s="726" t="s">
        <v>361</v>
      </c>
      <c r="AQ25" s="726" t="s">
        <v>361</v>
      </c>
      <c r="AR25" s="726" t="s">
        <v>361</v>
      </c>
      <c r="AS25" s="726" t="s">
        <v>361</v>
      </c>
      <c r="AT25" s="726" t="s">
        <v>361</v>
      </c>
      <c r="AU25" s="726" t="s">
        <v>361</v>
      </c>
      <c r="AV25" s="726" t="s">
        <v>361</v>
      </c>
      <c r="AW25" s="726" t="s">
        <v>361</v>
      </c>
      <c r="AX25" s="12" t="s">
        <v>360</v>
      </c>
      <c r="AY25" s="12" t="s">
        <v>360</v>
      </c>
      <c r="AZ25" s="12" t="s">
        <v>360</v>
      </c>
      <c r="BA25" s="12" t="s">
        <v>360</v>
      </c>
      <c r="BB25" s="12" t="s">
        <v>360</v>
      </c>
      <c r="BC25" s="12" t="s">
        <v>360</v>
      </c>
      <c r="BD25" s="12" t="s">
        <v>360</v>
      </c>
      <c r="BE25" s="12" t="s">
        <v>360</v>
      </c>
      <c r="BF25" s="12" t="s">
        <v>360</v>
      </c>
    </row>
    <row r="26" spans="1:65" ht="19.5" customHeight="1" x14ac:dyDescent="0.15">
      <c r="A26" s="315"/>
      <c r="B26" s="479"/>
      <c r="C26" s="315"/>
      <c r="D26" s="315"/>
      <c r="E26" s="480">
        <v>20</v>
      </c>
      <c r="F26" s="534" t="s">
        <v>474</v>
      </c>
      <c r="G26" s="315"/>
      <c r="H26" s="315"/>
      <c r="I26" s="315"/>
      <c r="J26" s="315"/>
      <c r="K26" s="315"/>
      <c r="L26" s="315"/>
      <c r="M26" s="315"/>
      <c r="N26" s="315"/>
      <c r="O26" s="315"/>
      <c r="P26" s="315"/>
      <c r="Q26" s="315"/>
      <c r="R26" s="315"/>
      <c r="S26" s="315"/>
      <c r="T26" s="315"/>
      <c r="U26" s="315"/>
      <c r="V26" s="315"/>
      <c r="W26" s="315"/>
      <c r="X26" s="315"/>
      <c r="Y26" s="315"/>
      <c r="Z26" s="315"/>
      <c r="AA26"/>
      <c r="AB26" s="9"/>
      <c r="AC26" s="235" t="s">
        <v>475</v>
      </c>
      <c r="AD26" s="52" t="s">
        <v>476</v>
      </c>
      <c r="AE26" s="419">
        <v>0.2</v>
      </c>
      <c r="AF26" s="419">
        <v>0.2</v>
      </c>
      <c r="AG26" s="419">
        <v>0.2</v>
      </c>
      <c r="AH26" s="627" t="s">
        <v>477</v>
      </c>
      <c r="AI26" s="419">
        <v>0.2</v>
      </c>
      <c r="AJ26" s="419"/>
      <c r="AK26" s="419">
        <v>0.22</v>
      </c>
      <c r="AL26" s="193">
        <f>IF(AI26&lt;&gt;0,AK26/AI26,0)</f>
        <v>1.0999999999999999</v>
      </c>
      <c r="AM26" s="192">
        <f>AK26-AJ26</f>
        <v>0.22</v>
      </c>
      <c r="AN26" s="627" t="s">
        <v>478</v>
      </c>
      <c r="AO26" s="824"/>
      <c r="AP26" s="824"/>
      <c r="AQ26" s="824"/>
      <c r="AR26" s="824"/>
      <c r="AS26" s="824"/>
      <c r="AT26" s="824"/>
      <c r="AU26" s="824"/>
      <c r="AV26" s="824"/>
      <c r="AW26" s="824"/>
      <c r="AX26" s="824"/>
      <c r="AY26" s="824"/>
      <c r="AZ26" s="824"/>
      <c r="BA26" s="824"/>
      <c r="BB26" s="824"/>
      <c r="BC26" s="824"/>
      <c r="BD26" s="824"/>
      <c r="BE26" s="824"/>
      <c r="BF26" s="824"/>
      <c r="BG26"/>
      <c r="BH26"/>
      <c r="BI26" s="661"/>
      <c r="BJ26" s="661"/>
      <c r="BK26" s="661"/>
      <c r="BL26" s="454"/>
      <c r="BM26" s="454"/>
    </row>
    <row r="27" spans="1:65" ht="11.25" hidden="1" customHeight="1" x14ac:dyDescent="0.15">
      <c r="A27" s="315"/>
      <c r="B27" s="479"/>
      <c r="C27" s="315"/>
      <c r="D27" s="315"/>
      <c r="E27" s="480">
        <v>0</v>
      </c>
      <c r="F27" s="534"/>
      <c r="G27" s="315"/>
      <c r="H27" s="315"/>
      <c r="I27" s="315"/>
      <c r="J27" s="315"/>
      <c r="K27" s="315"/>
      <c r="L27" s="315"/>
      <c r="M27" s="315"/>
      <c r="N27" s="315"/>
      <c r="O27" s="315"/>
      <c r="P27" s="315"/>
      <c r="Q27" s="315"/>
      <c r="R27" s="315"/>
      <c r="S27" s="315"/>
      <c r="T27" s="315"/>
      <c r="U27" s="315"/>
      <c r="V27" s="315"/>
      <c r="W27" s="315"/>
      <c r="X27" s="315"/>
      <c r="Y27" s="315"/>
      <c r="Z27" s="315"/>
      <c r="AA27"/>
      <c r="AB27" s="523"/>
      <c r="AC27" s="60"/>
      <c r="AD27" s="42"/>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c r="BH27"/>
      <c r="BI27" s="661"/>
      <c r="BJ27" s="661"/>
      <c r="BK27" s="661"/>
      <c r="BL27" s="454"/>
      <c r="BM27" s="454"/>
    </row>
    <row r="28" spans="1:65" s="60" customFormat="1" ht="14.65" hidden="1" customHeight="1" x14ac:dyDescent="0.15">
      <c r="B28" s="326"/>
      <c r="E28" s="459">
        <v>15</v>
      </c>
      <c r="F28" s="275" cm="1">
        <f t="array" ref="F28">Y28</f>
        <v>0</v>
      </c>
      <c r="U28" s="353" t="b">
        <f>Y28&gt;0</f>
        <v>0</v>
      </c>
      <c r="W28" s="60" t="s">
        <v>264</v>
      </c>
      <c r="Y28" s="964">
        <v>0</v>
      </c>
      <c r="Z28" s="992"/>
      <c r="AB28" s="97" t="str" cm="1">
        <f t="array" ref="AB28">INDEX('Общие сведения'!$AG$179:$AG$236,MATCH($Y28,'Общие сведения'!$Z$179:$Z$236,0))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9"/>
      <c r="BJ28" s="669"/>
      <c r="BK28" s="669"/>
      <c r="BL28" s="459"/>
      <c r="BM28" s="459"/>
    </row>
    <row r="29" spans="1:65" ht="14.65" hidden="1" customHeight="1" x14ac:dyDescent="0.15">
      <c r="E29" s="448">
        <v>15</v>
      </c>
      <c r="F29" s="3" cm="1">
        <f t="array" aca="1" ref="F29" ca="1">OFFSET(E29,-1,1)</f>
        <v>0</v>
      </c>
      <c r="G29" s="38" t="s">
        <v>479</v>
      </c>
      <c r="U29" s="353" t="b" cm="1">
        <f t="array" ref="U29">U28</f>
        <v>0</v>
      </c>
      <c r="Y29" s="964"/>
      <c r="Z29" s="992"/>
      <c r="AB29" s="182"/>
      <c r="AC29" s="183" t="s">
        <v>480</v>
      </c>
      <c r="AD29" s="184"/>
      <c r="AE29" s="184"/>
      <c r="AF29" s="184"/>
      <c r="AG29" s="184"/>
      <c r="AH29" s="184"/>
      <c r="AI29" s="213">
        <f>(1-AI30/100)*(1+AI31/100)*(1+AI33/100)</f>
        <v>1</v>
      </c>
      <c r="AJ29" s="213">
        <f>(1-AJ30/100)*(1+AJ31/100)*(1+AJ33/100)</f>
        <v>1</v>
      </c>
      <c r="AK29" s="213">
        <f>(1-AK30/100)*(1+AK31/100)*(1+AK33/100)</f>
        <v>1</v>
      </c>
      <c r="AL29" s="184"/>
      <c r="AM29" s="184"/>
      <c r="AN29" s="184"/>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x14ac:dyDescent="0.15">
      <c r="B30" s="342" t="b">
        <f>method_reg&lt;&gt;"Метод экономически обоснованных расходов"</f>
        <v>1</v>
      </c>
      <c r="E30" s="448">
        <v>22.5</v>
      </c>
      <c r="F30" s="3" cm="1">
        <f t="array" aca="1" ref="F30" ca="1">OFFSET(E30,-1,1)</f>
        <v>0</v>
      </c>
      <c r="G30" s="38" t="s">
        <v>481</v>
      </c>
      <c r="H30" s="38" t="s">
        <v>482</v>
      </c>
      <c r="U30" s="353" t="b" cm="1">
        <f t="array" ref="U30">U29</f>
        <v>0</v>
      </c>
      <c r="Y30" s="964"/>
      <c r="Z30" s="992"/>
      <c r="AB30" s="49">
        <v>1</v>
      </c>
      <c r="AC30" s="50" t="s">
        <v>483</v>
      </c>
      <c r="AD30" s="52" t="s">
        <v>476</v>
      </c>
      <c r="AE30" s="825"/>
      <c r="AF30" s="825"/>
      <c r="AG30" s="825"/>
      <c r="AH30" s="826"/>
      <c r="AI30" s="825"/>
      <c r="AJ30" s="825"/>
      <c r="AK30" s="825"/>
      <c r="AL30" s="193">
        <f>IF(AI30&lt;&gt;0,AK30/AI30,0)</f>
        <v>0</v>
      </c>
      <c r="AM30" s="192">
        <f>AK30-AJ30</f>
        <v>0</v>
      </c>
      <c r="AN30" s="826"/>
      <c r="AO30" s="825"/>
      <c r="AP30" s="825"/>
      <c r="AQ30" s="825"/>
      <c r="AR30" s="825"/>
      <c r="AS30" s="825"/>
      <c r="AT30" s="825"/>
      <c r="AU30" s="825"/>
      <c r="AV30" s="825"/>
      <c r="AW30" s="825"/>
      <c r="AX30" s="825"/>
      <c r="AY30" s="825"/>
      <c r="AZ30" s="825"/>
      <c r="BA30" s="825"/>
      <c r="BB30" s="825"/>
      <c r="BC30" s="825"/>
      <c r="BD30" s="825"/>
      <c r="BE30" s="825"/>
      <c r="BF30" s="825"/>
      <c r="BI30" s="656" t="s">
        <v>484</v>
      </c>
    </row>
    <row r="31" spans="1:65" ht="14.65" hidden="1" customHeight="1" x14ac:dyDescent="0.15">
      <c r="E31" s="448">
        <v>15</v>
      </c>
      <c r="F31" s="3" cm="1">
        <f t="array" aca="1" ref="F31" ca="1">OFFSET(E31,-1,1)</f>
        <v>0</v>
      </c>
      <c r="G31" s="38" t="s">
        <v>485</v>
      </c>
      <c r="H31" s="38" t="s">
        <v>486</v>
      </c>
      <c r="U31" s="353" t="b" cm="1">
        <f t="array" ref="U31">U30</f>
        <v>0</v>
      </c>
      <c r="Y31" s="964"/>
      <c r="Z31" s="992"/>
      <c r="AB31" s="49">
        <f>IF(B30,2,1)</f>
        <v>2</v>
      </c>
      <c r="AC31" s="51" t="s">
        <v>487</v>
      </c>
      <c r="AD31" s="52" t="s">
        <v>476</v>
      </c>
      <c r="AE31" s="825"/>
      <c r="AF31" s="825"/>
      <c r="AG31" s="825"/>
      <c r="AH31" s="826"/>
      <c r="AI31" s="825"/>
      <c r="AJ31" s="825"/>
      <c r="AK31" s="825"/>
      <c r="AL31" s="193">
        <f>IF(AI31&lt;&gt;0,AK31/AI31,0)</f>
        <v>0</v>
      </c>
      <c r="AM31" s="192">
        <f>AK31-AJ31</f>
        <v>0</v>
      </c>
      <c r="AN31" s="826"/>
      <c r="AO31" s="825"/>
      <c r="AP31" s="825"/>
      <c r="AQ31" s="825"/>
      <c r="AR31" s="825"/>
      <c r="AS31" s="825"/>
      <c r="AT31" s="825"/>
      <c r="AU31" s="825"/>
      <c r="AV31" s="825"/>
      <c r="AW31" s="825"/>
      <c r="AX31" s="825"/>
      <c r="AY31" s="825"/>
      <c r="AZ31" s="825"/>
      <c r="BA31" s="825"/>
      <c r="BB31" s="825"/>
      <c r="BC31" s="825"/>
      <c r="BD31" s="825"/>
      <c r="BE31" s="825"/>
      <c r="BF31" s="825"/>
      <c r="BI31" s="656" t="s">
        <v>488</v>
      </c>
    </row>
    <row r="32" spans="1:65" ht="14.65" hidden="1" customHeight="1" x14ac:dyDescent="0.15">
      <c r="E32" s="448">
        <v>15</v>
      </c>
      <c r="F32" s="3" cm="1">
        <f t="array" aca="1" ref="F32" ca="1">OFFSET(E32,-1,1)</f>
        <v>0</v>
      </c>
      <c r="H32" s="38" t="s">
        <v>489</v>
      </c>
      <c r="U32" s="353" t="b" cm="1">
        <f t="array" ref="U32">U31</f>
        <v>0</v>
      </c>
      <c r="Y32" s="964"/>
      <c r="Z32" s="992"/>
      <c r="AB32" s="49">
        <f>AB31+1</f>
        <v>3</v>
      </c>
      <c r="AC32" s="53" t="s">
        <v>490</v>
      </c>
      <c r="AD32" s="52" t="s">
        <v>476</v>
      </c>
      <c r="AE32" s="825"/>
      <c r="AF32" s="825"/>
      <c r="AG32" s="825"/>
      <c r="AH32" s="826"/>
      <c r="AI32" s="825"/>
      <c r="AJ32" s="825"/>
      <c r="AK32" s="825"/>
      <c r="AL32" s="193">
        <f>IF(AI32&lt;&gt;0,AK32/AI32,0)</f>
        <v>0</v>
      </c>
      <c r="AM32" s="192">
        <f>AK32-AJ32</f>
        <v>0</v>
      </c>
      <c r="AN32" s="826"/>
      <c r="AO32" s="825"/>
      <c r="AP32" s="825"/>
      <c r="AQ32" s="825"/>
      <c r="AR32" s="825"/>
      <c r="AS32" s="825"/>
      <c r="AT32" s="825"/>
      <c r="AU32" s="825"/>
      <c r="AV32" s="825"/>
      <c r="AW32" s="825"/>
      <c r="AX32" s="825"/>
      <c r="AY32" s="825"/>
      <c r="AZ32" s="825"/>
      <c r="BA32" s="825"/>
      <c r="BB32" s="825"/>
      <c r="BC32" s="825"/>
      <c r="BD32" s="825"/>
      <c r="BE32" s="825"/>
      <c r="BF32" s="825"/>
      <c r="BI32" s="656" t="s">
        <v>491</v>
      </c>
    </row>
    <row r="33" spans="1:65" ht="14.65" hidden="1" customHeight="1" x14ac:dyDescent="0.15">
      <c r="B33" s="342" t="b">
        <f>method_reg&lt;&gt;"Метод экономически обоснованных расходов"</f>
        <v>1</v>
      </c>
      <c r="E33" s="448">
        <v>15</v>
      </c>
      <c r="F33" s="3" cm="1">
        <f t="array" aca="1" ref="F33" ca="1">OFFSET(E33,-1,1)</f>
        <v>0</v>
      </c>
      <c r="G33" s="38" t="s">
        <v>492</v>
      </c>
      <c r="H33" s="38" t="s">
        <v>493</v>
      </c>
      <c r="U33" s="353" t="b" cm="1">
        <f t="array" ref="U33">U32</f>
        <v>0</v>
      </c>
      <c r="Y33" s="964"/>
      <c r="Z33" s="992"/>
      <c r="AB33" s="49">
        <v>4</v>
      </c>
      <c r="AC33" s="51" t="s">
        <v>494</v>
      </c>
      <c r="AD33" s="52" t="s">
        <v>476</v>
      </c>
      <c r="AE33" s="825"/>
      <c r="AF33" s="825"/>
      <c r="AG33" s="825"/>
      <c r="AH33" s="826"/>
      <c r="AI33" s="825"/>
      <c r="AJ33" s="825"/>
      <c r="AK33" s="825"/>
      <c r="AL33" s="193">
        <f>IF(AI33&lt;&gt;0,AK33/AI33,0)</f>
        <v>0</v>
      </c>
      <c r="AM33" s="192">
        <f>AK33-AJ33</f>
        <v>0</v>
      </c>
      <c r="AN33" s="826"/>
      <c r="AO33" s="825"/>
      <c r="AP33" s="825"/>
      <c r="AQ33" s="825"/>
      <c r="AR33" s="825"/>
      <c r="AS33" s="825"/>
      <c r="AT33" s="825"/>
      <c r="AU33" s="825"/>
      <c r="AV33" s="825"/>
      <c r="AW33" s="825"/>
      <c r="AX33" s="825"/>
      <c r="AY33" s="825"/>
      <c r="AZ33" s="825"/>
      <c r="BA33" s="825"/>
      <c r="BB33" s="825"/>
      <c r="BC33" s="825"/>
      <c r="BD33" s="825"/>
      <c r="BE33" s="825"/>
      <c r="BF33" s="825"/>
      <c r="BI33" s="656" t="s">
        <v>495</v>
      </c>
    </row>
    <row r="34" spans="1:65" s="4" customFormat="1" ht="14.65" hidden="1" customHeight="1" x14ac:dyDescent="0.15">
      <c r="A34" s="38"/>
      <c r="B34" s="342"/>
      <c r="C34" s="38"/>
      <c r="D34" s="38"/>
      <c r="E34" s="448">
        <v>15</v>
      </c>
      <c r="F34" s="267" cm="1">
        <f t="array" aca="1" ref="F34" ca="1">OFFSET(E34,-1,1)</f>
        <v>0</v>
      </c>
      <c r="G34" s="38"/>
      <c r="H34" s="38"/>
      <c r="I34" s="38"/>
      <c r="J34" s="38"/>
      <c r="K34" s="38"/>
      <c r="L34" s="38"/>
      <c r="M34" s="38"/>
      <c r="N34" s="38"/>
      <c r="O34" s="38"/>
      <c r="P34" s="38"/>
      <c r="Q34" s="38"/>
      <c r="R34" s="38"/>
      <c r="S34" s="38"/>
      <c r="T34" s="38"/>
      <c r="U34" s="353" t="b" cm="1">
        <f t="array" ref="U34">U33</f>
        <v>0</v>
      </c>
      <c r="V34" s="38"/>
      <c r="W34" s="38"/>
      <c r="X34" s="38"/>
      <c r="Y34" s="964"/>
      <c r="Z34" s="992"/>
      <c r="AA34" s="38"/>
      <c r="AB34" s="49">
        <v>5</v>
      </c>
      <c r="AC34" s="51" t="s">
        <v>496</v>
      </c>
      <c r="AD34" s="52" t="s">
        <v>476</v>
      </c>
      <c r="AE34" s="825"/>
      <c r="AF34" s="825"/>
      <c r="AG34" s="825"/>
      <c r="AH34" s="826"/>
      <c r="AI34" s="825"/>
      <c r="AJ34" s="825"/>
      <c r="AK34" s="825"/>
      <c r="AL34" s="193">
        <f>IF(AI34&lt;&gt;0,AK34/AI34,0)</f>
        <v>0</v>
      </c>
      <c r="AM34" s="192">
        <f>AK34-AJ34</f>
        <v>0</v>
      </c>
      <c r="AN34" s="826"/>
      <c r="AO34" s="825"/>
      <c r="AP34" s="825"/>
      <c r="AQ34" s="825"/>
      <c r="AR34" s="825"/>
      <c r="AS34" s="825"/>
      <c r="AT34" s="825"/>
      <c r="AU34" s="825"/>
      <c r="AV34" s="825"/>
      <c r="AW34" s="825"/>
      <c r="AX34" s="825"/>
      <c r="AY34" s="825"/>
      <c r="AZ34" s="825"/>
      <c r="BA34" s="825"/>
      <c r="BB34" s="825"/>
      <c r="BC34" s="825"/>
      <c r="BD34" s="825"/>
      <c r="BE34" s="825"/>
      <c r="BF34" s="825"/>
      <c r="BG34" s="38"/>
      <c r="BH34" s="38"/>
      <c r="BI34" s="656" t="s">
        <v>497</v>
      </c>
      <c r="BJ34" s="656"/>
      <c r="BK34" s="656"/>
      <c r="BL34" s="448"/>
      <c r="BM34" s="448"/>
    </row>
    <row r="35" spans="1:65" ht="14.65" hidden="1" customHeight="1" x14ac:dyDescent="0.15">
      <c r="E35" s="448">
        <v>15</v>
      </c>
      <c r="F35" s="3" cm="1">
        <f t="array" aca="1" ref="F35" ca="1">OFFSET(E35,-1,1)</f>
        <v>0</v>
      </c>
      <c r="U35" s="353" t="b" cm="1">
        <f t="array" ref="U35">U33</f>
        <v>0</v>
      </c>
      <c r="Y35" s="964"/>
      <c r="Z35" s="992"/>
      <c r="AB35" s="182"/>
      <c r="AC35" s="183" t="s">
        <v>498</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x14ac:dyDescent="0.15">
      <c r="E36" s="448">
        <v>15</v>
      </c>
      <c r="F36" s="3" cm="1">
        <f t="array" aca="1" ref="F36" ca="1">OFFSET(E36,-1,1)</f>
        <v>0</v>
      </c>
      <c r="G36" s="38" t="s">
        <v>499</v>
      </c>
      <c r="H36" s="38" t="s">
        <v>500</v>
      </c>
      <c r="U36" s="353" t="b" cm="1">
        <f t="array" ref="U36">U35</f>
        <v>0</v>
      </c>
      <c r="Y36" s="964"/>
      <c r="Z36" s="992"/>
      <c r="AB36" s="49">
        <v>1</v>
      </c>
      <c r="AC36" s="51" t="s">
        <v>501</v>
      </c>
      <c r="AD36" s="52" t="s">
        <v>476</v>
      </c>
      <c r="AE36" s="827"/>
      <c r="AF36" s="827"/>
      <c r="AG36" s="827"/>
      <c r="AH36" s="826"/>
      <c r="AI36" s="827"/>
      <c r="AJ36" s="827"/>
      <c r="AK36" s="827"/>
      <c r="AL36" s="193">
        <f>IF(AI36&lt;&gt;0,AK36/AI36,0)</f>
        <v>0</v>
      </c>
      <c r="AM36" s="192">
        <f>AK36-AJ36</f>
        <v>0</v>
      </c>
      <c r="AN36" s="826"/>
      <c r="AO36" s="827"/>
      <c r="AP36" s="827"/>
      <c r="AQ36" s="827"/>
      <c r="AR36" s="827"/>
      <c r="AS36" s="827"/>
      <c r="AT36" s="827"/>
      <c r="AU36" s="827"/>
      <c r="AV36" s="827"/>
      <c r="AW36" s="827"/>
      <c r="AX36" s="827"/>
      <c r="AY36" s="827"/>
      <c r="AZ36" s="827"/>
      <c r="BA36" s="827"/>
      <c r="BB36" s="827"/>
      <c r="BC36" s="827"/>
      <c r="BD36" s="827"/>
      <c r="BE36" s="827"/>
      <c r="BF36" s="827"/>
      <c r="BI36" s="656" t="s">
        <v>502</v>
      </c>
    </row>
    <row r="37" spans="1:65" ht="15" hidden="1" customHeight="1" x14ac:dyDescent="0.15">
      <c r="E37" s="448">
        <v>0</v>
      </c>
      <c r="F37" s="3" cm="1">
        <f t="array" aca="1" ref="F37" ca="1">OFFSET(E37,-1,1)</f>
        <v>0</v>
      </c>
      <c r="H37" s="38" t="s">
        <v>503</v>
      </c>
      <c r="U37" s="353" t="b" cm="1">
        <f t="array" ref="U37">U36</f>
        <v>0</v>
      </c>
      <c r="Y37" s="964"/>
      <c r="Z37" s="992"/>
      <c r="AB37" s="49">
        <v>2</v>
      </c>
      <c r="AC37" s="51" t="s">
        <v>475</v>
      </c>
      <c r="AD37" s="52" t="s">
        <v>476</v>
      </c>
      <c r="AE37" s="827"/>
      <c r="AF37" s="825"/>
      <c r="AG37" s="827"/>
      <c r="AH37" s="826"/>
      <c r="AI37" s="827"/>
      <c r="AJ37" s="827"/>
      <c r="AK37" s="827"/>
      <c r="AL37" s="193">
        <f>IF(AI37&lt;&gt;0,AK37/AI37,0)</f>
        <v>0</v>
      </c>
      <c r="AM37" s="192">
        <f>AK37-AJ37</f>
        <v>0</v>
      </c>
      <c r="AN37" s="826"/>
      <c r="AO37" s="827"/>
      <c r="AP37" s="827"/>
      <c r="AQ37" s="827"/>
      <c r="AR37" s="827"/>
      <c r="AS37" s="827"/>
      <c r="AT37" s="827"/>
      <c r="AU37" s="827"/>
      <c r="AV37" s="827"/>
      <c r="AW37" s="827"/>
      <c r="AX37" s="827"/>
      <c r="AY37" s="827"/>
      <c r="AZ37" s="827"/>
      <c r="BA37" s="827"/>
      <c r="BB37" s="827"/>
      <c r="BC37" s="827"/>
      <c r="BD37" s="827"/>
      <c r="BE37" s="827"/>
      <c r="BF37" s="827"/>
      <c r="BI37" s="656" t="s">
        <v>504</v>
      </c>
    </row>
    <row r="38" spans="1:65" ht="14.65" hidden="1" customHeight="1" x14ac:dyDescent="0.15">
      <c r="E38" s="448">
        <v>15</v>
      </c>
      <c r="F38" s="3" cm="1">
        <f t="array" aca="1" ref="F38" ca="1">OFFSET(E38,-1,1)</f>
        <v>0</v>
      </c>
      <c r="U38" s="353" t="b" cm="1">
        <f t="array" ref="U38">U37</f>
        <v>0</v>
      </c>
      <c r="Y38" s="964"/>
      <c r="Z38" s="992"/>
      <c r="AB38" s="436">
        <v>2</v>
      </c>
      <c r="AC38" s="437" t="s">
        <v>505</v>
      </c>
      <c r="AD38" s="13"/>
      <c r="AE38" s="438"/>
      <c r="AF38" s="439"/>
      <c r="AG38" s="440"/>
      <c r="AH38" s="441"/>
      <c r="AI38" s="438"/>
      <c r="AJ38" s="439"/>
      <c r="AK38" s="439"/>
      <c r="AL38" s="442"/>
      <c r="AM38" s="439"/>
      <c r="AN38" s="441"/>
      <c r="AO38" s="438"/>
      <c r="AP38" s="438"/>
      <c r="AQ38" s="438"/>
      <c r="AR38" s="438"/>
      <c r="AS38" s="438"/>
      <c r="AT38" s="438"/>
      <c r="AU38" s="438"/>
      <c r="AV38" s="438"/>
      <c r="AW38" s="438"/>
      <c r="AX38" s="438"/>
      <c r="AY38" s="438"/>
      <c r="AZ38" s="438"/>
      <c r="BA38" s="438"/>
      <c r="BB38" s="438"/>
      <c r="BC38" s="438"/>
      <c r="BD38" s="438"/>
      <c r="BE38" s="438"/>
      <c r="BF38" s="438"/>
      <c r="BI38" s="656" t="s">
        <v>506</v>
      </c>
    </row>
    <row r="39" spans="1:65" ht="21.95" hidden="1" customHeight="1" x14ac:dyDescent="0.15">
      <c r="E39" s="448">
        <v>22.5</v>
      </c>
      <c r="F39" s="3" cm="1">
        <f t="array" aca="1" ref="F39" ca="1">OFFSET(E39,-1,1)</f>
        <v>0</v>
      </c>
      <c r="H39" s="38" t="s">
        <v>507</v>
      </c>
      <c r="U39" s="353" t="b" cm="1">
        <f t="array" ref="U39">U38</f>
        <v>0</v>
      </c>
      <c r="Y39" s="964"/>
      <c r="Z39" s="992"/>
      <c r="AB39" s="133" t="s">
        <v>508</v>
      </c>
      <c r="AC39" s="127" t="s">
        <v>509</v>
      </c>
      <c r="AD39" s="10" t="s">
        <v>510</v>
      </c>
      <c r="AE39" s="828"/>
      <c r="AF39" s="829"/>
      <c r="AG39" s="776"/>
      <c r="AH39" s="830"/>
      <c r="AI39" s="828"/>
      <c r="AJ39" s="829"/>
      <c r="AK39" s="829"/>
      <c r="AL39" s="445">
        <f>IF(AI39&lt;&gt;0,AK39/AI39,0)</f>
        <v>0</v>
      </c>
      <c r="AM39" s="446">
        <f>AK39-AJ39</f>
        <v>0</v>
      </c>
      <c r="AN39" s="830"/>
      <c r="AO39" s="828"/>
      <c r="AP39" s="828"/>
      <c r="AQ39" s="828"/>
      <c r="AR39" s="828"/>
      <c r="AS39" s="828"/>
      <c r="AT39" s="828"/>
      <c r="AU39" s="828"/>
      <c r="AV39" s="828"/>
      <c r="AW39" s="828"/>
      <c r="AX39" s="828"/>
      <c r="AY39" s="828"/>
      <c r="AZ39" s="828"/>
      <c r="BA39" s="828"/>
      <c r="BB39" s="828"/>
      <c r="BC39" s="828"/>
      <c r="BD39" s="828"/>
      <c r="BE39" s="828"/>
      <c r="BF39" s="828"/>
      <c r="BI39" s="656" t="s">
        <v>511</v>
      </c>
    </row>
    <row r="40" spans="1:65" ht="21.95" hidden="1" customHeight="1" x14ac:dyDescent="0.15">
      <c r="E40" s="448">
        <v>22.5</v>
      </c>
      <c r="F40" s="3" cm="1">
        <f t="array" aca="1" ref="F40" ca="1">OFFSET(E40,-1,1)</f>
        <v>0</v>
      </c>
      <c r="I40" s="38" cm="1">
        <f t="array" ref="I40">AC40</f>
        <v>0</v>
      </c>
      <c r="U40" s="353" t="b">
        <f ca="1">AND(F40&gt;0,--RIGHT(AB40,1)&gt;1)</f>
        <v>0</v>
      </c>
      <c r="X40" s="517" t="s">
        <v>172</v>
      </c>
      <c r="Y40" s="964"/>
      <c r="Z40" s="992"/>
      <c r="AA40" s="320" t="s">
        <v>173</v>
      </c>
      <c r="AB40" s="133" t="s">
        <v>508</v>
      </c>
      <c r="AC40" s="780"/>
      <c r="AD40" s="10" t="s">
        <v>510</v>
      </c>
      <c r="AE40" s="828"/>
      <c r="AF40" s="829"/>
      <c r="AG40" s="776"/>
      <c r="AH40" s="830"/>
      <c r="AI40" s="828"/>
      <c r="AJ40" s="829"/>
      <c r="AK40" s="829"/>
      <c r="AL40" s="445">
        <f>IF(AI40&lt;&gt;0,AK40/AI40,0)</f>
        <v>0</v>
      </c>
      <c r="AM40" s="446">
        <f>AK40-AJ40</f>
        <v>0</v>
      </c>
      <c r="AN40" s="830"/>
      <c r="AO40" s="828"/>
      <c r="AP40" s="828"/>
      <c r="AQ40" s="828"/>
      <c r="AR40" s="828"/>
      <c r="AS40" s="828"/>
      <c r="AT40" s="828"/>
      <c r="AU40" s="828"/>
      <c r="AV40" s="828"/>
      <c r="AW40" s="828"/>
      <c r="AX40" s="828"/>
      <c r="AY40" s="828"/>
      <c r="AZ40" s="828"/>
      <c r="BA40" s="828"/>
      <c r="BB40" s="828"/>
      <c r="BC40" s="828"/>
      <c r="BD40" s="828"/>
      <c r="BE40" s="828"/>
      <c r="BF40" s="828"/>
      <c r="BI40" s="656" t="s">
        <v>511</v>
      </c>
      <c r="BJ40" s="656" t="s">
        <v>512</v>
      </c>
      <c r="BK40" s="656" cm="1">
        <f t="array" ref="BK40">AC40</f>
        <v>0</v>
      </c>
      <c r="BM40" s="448" t="b">
        <v>1</v>
      </c>
    </row>
    <row r="41" spans="1:65" ht="14.65" hidden="1" customHeight="1" x14ac:dyDescent="0.15">
      <c r="E41" s="448">
        <v>15</v>
      </c>
      <c r="F41" s="3" cm="1">
        <f t="array" aca="1" ref="F41" ca="1">OFFSET(E41,-1,1)</f>
        <v>0</v>
      </c>
      <c r="U41" s="353" t="b">
        <f ca="1">F41&gt;0</f>
        <v>0</v>
      </c>
      <c r="X41" s="517" t="s">
        <v>419</v>
      </c>
      <c r="Y41" s="964"/>
      <c r="Z41" s="992"/>
      <c r="AB41" s="89"/>
      <c r="AC41" s="216"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8" t="s">
        <v>512</v>
      </c>
    </row>
    <row r="42" spans="1:65" ht="21.95" hidden="1" customHeight="1" x14ac:dyDescent="0.15">
      <c r="E42" s="448">
        <v>22.5</v>
      </c>
      <c r="F42" s="3" cm="1">
        <f t="array" aca="1" ref="F42" ca="1">OFFSET(E42,-1,1)</f>
        <v>0</v>
      </c>
      <c r="H42" s="38" t="s">
        <v>513</v>
      </c>
      <c r="U42" s="353" t="b" cm="1">
        <f t="array" aca="1" ref="U42" ca="1">U41</f>
        <v>0</v>
      </c>
      <c r="Y42" s="964"/>
      <c r="Z42" s="992"/>
      <c r="AB42" s="428" t="s">
        <v>514</v>
      </c>
      <c r="AC42" s="429" t="s">
        <v>515</v>
      </c>
      <c r="AD42" s="425" t="s">
        <v>510</v>
      </c>
      <c r="AE42" s="831"/>
      <c r="AF42" s="832"/>
      <c r="AG42" s="833"/>
      <c r="AH42" s="834"/>
      <c r="AI42" s="831"/>
      <c r="AJ42" s="832"/>
      <c r="AK42" s="832"/>
      <c r="AL42" s="434">
        <f>IF(AI42&lt;&gt;0,AK42/AI42,0)</f>
        <v>0</v>
      </c>
      <c r="AM42" s="435">
        <f>AK42-AJ42</f>
        <v>0</v>
      </c>
      <c r="AN42" s="834"/>
      <c r="AO42" s="831"/>
      <c r="AP42" s="831"/>
      <c r="AQ42" s="831"/>
      <c r="AR42" s="831"/>
      <c r="AS42" s="831"/>
      <c r="AT42" s="831"/>
      <c r="AU42" s="831"/>
      <c r="AV42" s="831"/>
      <c r="AW42" s="831"/>
      <c r="AX42" s="831"/>
      <c r="AY42" s="831"/>
      <c r="AZ42" s="831"/>
      <c r="BA42" s="831"/>
      <c r="BB42" s="831"/>
      <c r="BC42" s="831"/>
      <c r="BD42" s="831"/>
      <c r="BE42" s="831"/>
      <c r="BF42" s="831"/>
      <c r="BI42" s="656" t="s">
        <v>516</v>
      </c>
    </row>
    <row r="43" spans="1:65" ht="21.95" hidden="1" customHeight="1" x14ac:dyDescent="0.15">
      <c r="E43" s="448">
        <v>22.5</v>
      </c>
      <c r="F43" s="3" cm="1">
        <f t="array" aca="1" ref="F43" ca="1">OFFSET(E43,-1,1)</f>
        <v>0</v>
      </c>
      <c r="I43" s="38" cm="1">
        <f t="array" ref="I43">AC43</f>
        <v>0</v>
      </c>
      <c r="U43" s="353" t="b">
        <f ca="1">AND(F43&gt;0,--RIGHT(AB43,1)&gt;1)</f>
        <v>0</v>
      </c>
      <c r="X43" s="517" t="s">
        <v>172</v>
      </c>
      <c r="Y43" s="964"/>
      <c r="Z43" s="992"/>
      <c r="AA43" s="320" t="s">
        <v>173</v>
      </c>
      <c r="AB43" s="428" t="s">
        <v>514</v>
      </c>
      <c r="AC43" s="835"/>
      <c r="AD43" s="425" t="s">
        <v>510</v>
      </c>
      <c r="AE43" s="831"/>
      <c r="AF43" s="832"/>
      <c r="AG43" s="833"/>
      <c r="AH43" s="834"/>
      <c r="AI43" s="831"/>
      <c r="AJ43" s="832"/>
      <c r="AK43" s="832"/>
      <c r="AL43" s="434">
        <f>IF(AI43&lt;&gt;0,AK43/AI43,0)</f>
        <v>0</v>
      </c>
      <c r="AM43" s="435">
        <f>AK43-AJ43</f>
        <v>0</v>
      </c>
      <c r="AN43" s="834"/>
      <c r="AO43" s="831"/>
      <c r="AP43" s="831"/>
      <c r="AQ43" s="831"/>
      <c r="AR43" s="831"/>
      <c r="AS43" s="831"/>
      <c r="AT43" s="831"/>
      <c r="AU43" s="831"/>
      <c r="AV43" s="831"/>
      <c r="AW43" s="831"/>
      <c r="AX43" s="831"/>
      <c r="AY43" s="831"/>
      <c r="AZ43" s="831"/>
      <c r="BA43" s="831"/>
      <c r="BB43" s="831"/>
      <c r="BC43" s="831"/>
      <c r="BD43" s="831"/>
      <c r="BE43" s="831"/>
      <c r="BF43" s="831"/>
      <c r="BI43" s="656" t="s">
        <v>516</v>
      </c>
      <c r="BJ43" s="656" t="s">
        <v>517</v>
      </c>
      <c r="BK43" s="656" cm="1">
        <f t="array" ref="BK43">AC43</f>
        <v>0</v>
      </c>
      <c r="BM43" s="448" t="b">
        <v>1</v>
      </c>
    </row>
    <row r="44" spans="1:65" ht="14.65" hidden="1" customHeight="1" x14ac:dyDescent="0.15">
      <c r="E44" s="448">
        <v>15</v>
      </c>
      <c r="F44" s="3" cm="1">
        <f t="array" aca="1" ref="F44" ca="1">OFFSET(E44,-1,1)</f>
        <v>0</v>
      </c>
      <c r="U44" s="353" t="b">
        <f ca="1">F44&gt;0</f>
        <v>0</v>
      </c>
      <c r="X44" s="517" t="s">
        <v>419</v>
      </c>
      <c r="Y44" s="964"/>
      <c r="Z44" s="992"/>
      <c r="AB44" s="89"/>
      <c r="AC44" s="216"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8" t="s">
        <v>517</v>
      </c>
    </row>
    <row r="45" spans="1:65" ht="21.95" hidden="1" customHeight="1" x14ac:dyDescent="0.15">
      <c r="E45" s="448">
        <v>22.5</v>
      </c>
      <c r="F45" s="3" cm="1">
        <f t="array" aca="1" ref="F45" ca="1">OFFSET(E45,-1,1)</f>
        <v>0</v>
      </c>
      <c r="H45" s="38" t="s">
        <v>518</v>
      </c>
      <c r="U45" s="353" t="b" cm="1">
        <f t="array" aca="1" ref="U45" ca="1">U44</f>
        <v>0</v>
      </c>
      <c r="Y45" s="964"/>
      <c r="Z45" s="992"/>
      <c r="AB45" s="39" t="s">
        <v>519</v>
      </c>
      <c r="AC45" s="105" t="s">
        <v>520</v>
      </c>
      <c r="AD45" s="11" t="s">
        <v>510</v>
      </c>
      <c r="AE45" s="825"/>
      <c r="AF45" s="827"/>
      <c r="AG45" s="836"/>
      <c r="AH45" s="826"/>
      <c r="AI45" s="825"/>
      <c r="AJ45" s="827"/>
      <c r="AK45" s="827"/>
      <c r="AL45" s="193">
        <f>IF(AI45&lt;&gt;0,AK45/AI45,0)</f>
        <v>0</v>
      </c>
      <c r="AM45" s="192">
        <f>AK45-AJ45</f>
        <v>0</v>
      </c>
      <c r="AN45" s="826"/>
      <c r="AO45" s="825"/>
      <c r="AP45" s="825"/>
      <c r="AQ45" s="825"/>
      <c r="AR45" s="825"/>
      <c r="AS45" s="825"/>
      <c r="AT45" s="825"/>
      <c r="AU45" s="825"/>
      <c r="AV45" s="825"/>
      <c r="AW45" s="825"/>
      <c r="AX45" s="825"/>
      <c r="AY45" s="825"/>
      <c r="AZ45" s="825"/>
      <c r="BA45" s="825"/>
      <c r="BB45" s="825"/>
      <c r="BC45" s="825"/>
      <c r="BD45" s="825"/>
      <c r="BE45" s="825"/>
      <c r="BF45" s="825"/>
      <c r="BI45" s="656" t="s">
        <v>521</v>
      </c>
    </row>
    <row r="46" spans="1:65" ht="21.95" hidden="1" customHeight="1" x14ac:dyDescent="0.15">
      <c r="E46" s="448">
        <v>22.5</v>
      </c>
      <c r="F46" s="3" cm="1">
        <f t="array" aca="1" ref="F46" ca="1">OFFSET(E46,-1,1)</f>
        <v>0</v>
      </c>
      <c r="I46" s="38" cm="1">
        <f t="array" ref="I46">AC46</f>
        <v>0</v>
      </c>
      <c r="U46" s="353" t="b">
        <f ca="1">AND(F46&gt;0,--RIGHT(AB46,1)&gt;1)</f>
        <v>0</v>
      </c>
      <c r="X46" s="517" t="s">
        <v>172</v>
      </c>
      <c r="Y46" s="964"/>
      <c r="Z46" s="992"/>
      <c r="AA46" s="320" t="s">
        <v>173</v>
      </c>
      <c r="AB46" s="39" t="s">
        <v>519</v>
      </c>
      <c r="AC46" s="837"/>
      <c r="AD46" s="11" t="s">
        <v>510</v>
      </c>
      <c r="AE46" s="825"/>
      <c r="AF46" s="827"/>
      <c r="AG46" s="836"/>
      <c r="AH46" s="826"/>
      <c r="AI46" s="825"/>
      <c r="AJ46" s="827"/>
      <c r="AK46" s="827"/>
      <c r="AL46" s="193">
        <f>IF(AI46&lt;&gt;0,AK46/AI46,0)</f>
        <v>0</v>
      </c>
      <c r="AM46" s="192">
        <f>AK46-AJ46</f>
        <v>0</v>
      </c>
      <c r="AN46" s="826"/>
      <c r="AO46" s="825"/>
      <c r="AP46" s="825"/>
      <c r="AQ46" s="825"/>
      <c r="AR46" s="825"/>
      <c r="AS46" s="825"/>
      <c r="AT46" s="825"/>
      <c r="AU46" s="825"/>
      <c r="AV46" s="825"/>
      <c r="AW46" s="825"/>
      <c r="AX46" s="825"/>
      <c r="AY46" s="825"/>
      <c r="AZ46" s="825"/>
      <c r="BA46" s="825"/>
      <c r="BB46" s="825"/>
      <c r="BC46" s="825"/>
      <c r="BD46" s="825"/>
      <c r="BE46" s="825"/>
      <c r="BF46" s="825"/>
      <c r="BI46" s="656" t="s">
        <v>521</v>
      </c>
      <c r="BJ46" s="656" t="s">
        <v>522</v>
      </c>
      <c r="BK46" s="656" cm="1">
        <f t="array" ref="BK46">AC46</f>
        <v>0</v>
      </c>
      <c r="BM46" s="448" t="b">
        <v>1</v>
      </c>
    </row>
    <row r="47" spans="1:65" ht="14.65" hidden="1" customHeight="1" x14ac:dyDescent="0.15">
      <c r="E47" s="448">
        <v>15</v>
      </c>
      <c r="F47" s="3" cm="1">
        <f t="array" aca="1" ref="F47" ca="1">OFFSET(E47,-1,1)</f>
        <v>0</v>
      </c>
      <c r="U47" s="353" t="b">
        <f ca="1">F47&gt;0</f>
        <v>0</v>
      </c>
      <c r="X47" s="517" t="s">
        <v>419</v>
      </c>
      <c r="Y47" s="964"/>
      <c r="Z47" s="992"/>
      <c r="AB47" s="89"/>
      <c r="AC47" s="216"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8" t="s">
        <v>522</v>
      </c>
    </row>
    <row r="48" spans="1:65" ht="21.95" hidden="1" customHeight="1" x14ac:dyDescent="0.15">
      <c r="E48" s="448">
        <v>22.5</v>
      </c>
      <c r="F48" s="3" cm="1">
        <f t="array" aca="1" ref="F48" ca="1">OFFSET(E48,-1,1)</f>
        <v>0</v>
      </c>
      <c r="H48" s="38" t="s">
        <v>523</v>
      </c>
      <c r="U48" s="353" t="b" cm="1">
        <f t="array" aca="1" ref="U48" ca="1">U47</f>
        <v>0</v>
      </c>
      <c r="Y48" s="964"/>
      <c r="Z48" s="992"/>
      <c r="AB48" s="39" t="s">
        <v>524</v>
      </c>
      <c r="AC48" s="105" t="s">
        <v>525</v>
      </c>
      <c r="AD48" s="11" t="s">
        <v>510</v>
      </c>
      <c r="AE48" s="825"/>
      <c r="AF48" s="827"/>
      <c r="AG48" s="836"/>
      <c r="AH48" s="826"/>
      <c r="AI48" s="825"/>
      <c r="AJ48" s="827"/>
      <c r="AK48" s="827"/>
      <c r="AL48" s="193">
        <f>IF(AI48&lt;&gt;0,AK48/AI48,0)</f>
        <v>0</v>
      </c>
      <c r="AM48" s="192">
        <f>AK48-AJ48</f>
        <v>0</v>
      </c>
      <c r="AN48" s="826"/>
      <c r="AO48" s="825"/>
      <c r="AP48" s="825"/>
      <c r="AQ48" s="825"/>
      <c r="AR48" s="825"/>
      <c r="AS48" s="825"/>
      <c r="AT48" s="825"/>
      <c r="AU48" s="825"/>
      <c r="AV48" s="825"/>
      <c r="AW48" s="825"/>
      <c r="AX48" s="825"/>
      <c r="AY48" s="825"/>
      <c r="AZ48" s="825"/>
      <c r="BA48" s="825"/>
      <c r="BB48" s="825"/>
      <c r="BC48" s="825"/>
      <c r="BD48" s="825"/>
      <c r="BE48" s="825"/>
      <c r="BF48" s="825"/>
      <c r="BI48" s="656" t="s">
        <v>526</v>
      </c>
    </row>
    <row r="49" spans="1:65" ht="21.95" hidden="1" customHeight="1" x14ac:dyDescent="0.15">
      <c r="E49" s="448">
        <v>22.5</v>
      </c>
      <c r="F49" s="3" cm="1">
        <f t="array" aca="1" ref="F49" ca="1">OFFSET(E49,-1,1)</f>
        <v>0</v>
      </c>
      <c r="I49" s="38" cm="1">
        <f t="array" ref="I49">AC49</f>
        <v>0</v>
      </c>
      <c r="U49" s="353" t="b">
        <f ca="1">AND(F49&gt;0,--RIGHT(AB49,1)&gt;1)</f>
        <v>0</v>
      </c>
      <c r="X49" s="517" t="s">
        <v>172</v>
      </c>
      <c r="Y49" s="964"/>
      <c r="Z49" s="992"/>
      <c r="AA49" s="320" t="s">
        <v>173</v>
      </c>
      <c r="AB49" s="39" t="s">
        <v>524</v>
      </c>
      <c r="AC49" s="837"/>
      <c r="AD49" s="11" t="s">
        <v>510</v>
      </c>
      <c r="AE49" s="825"/>
      <c r="AF49" s="827"/>
      <c r="AG49" s="836"/>
      <c r="AH49" s="826"/>
      <c r="AI49" s="825"/>
      <c r="AJ49" s="827"/>
      <c r="AK49" s="827"/>
      <c r="AL49" s="193">
        <f>IF(AI49&lt;&gt;0,AK49/AI49,0)</f>
        <v>0</v>
      </c>
      <c r="AM49" s="192">
        <f>AK49-AJ49</f>
        <v>0</v>
      </c>
      <c r="AN49" s="826"/>
      <c r="AO49" s="825"/>
      <c r="AP49" s="825"/>
      <c r="AQ49" s="825"/>
      <c r="AR49" s="825"/>
      <c r="AS49" s="825"/>
      <c r="AT49" s="825"/>
      <c r="AU49" s="825"/>
      <c r="AV49" s="825"/>
      <c r="AW49" s="825"/>
      <c r="AX49" s="825"/>
      <c r="AY49" s="825"/>
      <c r="AZ49" s="825"/>
      <c r="BA49" s="825"/>
      <c r="BB49" s="825"/>
      <c r="BC49" s="825"/>
      <c r="BD49" s="825"/>
      <c r="BE49" s="825"/>
      <c r="BF49" s="825"/>
      <c r="BI49" s="656" t="s">
        <v>526</v>
      </c>
      <c r="BJ49" s="656" t="s">
        <v>527</v>
      </c>
      <c r="BK49" s="656" cm="1">
        <f t="array" ref="BK49">AC49</f>
        <v>0</v>
      </c>
      <c r="BM49" s="448" t="b">
        <v>1</v>
      </c>
    </row>
    <row r="50" spans="1:65" ht="14.65" hidden="1" customHeight="1" x14ac:dyDescent="0.15">
      <c r="E50" s="448">
        <v>15</v>
      </c>
      <c r="F50" s="3" cm="1">
        <f t="array" aca="1" ref="F50" ca="1">OFFSET(E50,-1,1)</f>
        <v>0</v>
      </c>
      <c r="U50" s="353" t="b">
        <f ca="1">F50&gt;0</f>
        <v>0</v>
      </c>
      <c r="X50" s="517" t="s">
        <v>419</v>
      </c>
      <c r="Y50" s="964"/>
      <c r="Z50" s="992"/>
      <c r="AB50" s="89"/>
      <c r="AC50" s="216"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8" t="s">
        <v>527</v>
      </c>
    </row>
    <row r="51" spans="1:65" ht="14.65" hidden="1" customHeight="1" x14ac:dyDescent="0.15">
      <c r="E51" s="448">
        <v>15</v>
      </c>
      <c r="F51" s="3" cm="1">
        <f t="array" aca="1" ref="F51" ca="1">OFFSET(E51,-1,1)</f>
        <v>0</v>
      </c>
      <c r="H51" s="38" t="s">
        <v>335</v>
      </c>
      <c r="U51" s="353" t="b" cm="1">
        <f t="array" aca="1" ref="U51" ca="1">U50</f>
        <v>0</v>
      </c>
      <c r="Y51" s="964"/>
      <c r="Z51" s="992"/>
      <c r="AB51" s="49">
        <v>3</v>
      </c>
      <c r="AC51" s="55" t="s">
        <v>528</v>
      </c>
      <c r="AD51" s="52" t="s">
        <v>476</v>
      </c>
      <c r="AE51" s="825"/>
      <c r="AF51" s="827"/>
      <c r="AG51" s="836"/>
      <c r="AH51" s="826"/>
      <c r="AI51" s="825"/>
      <c r="AJ51" s="827"/>
      <c r="AK51" s="827"/>
      <c r="AL51" s="193">
        <f>IF(AI51&lt;&gt;0,AK51/AI51,0)</f>
        <v>0</v>
      </c>
      <c r="AM51" s="192">
        <f>AK51-AJ51</f>
        <v>0</v>
      </c>
      <c r="AN51" s="826"/>
      <c r="AO51" s="825"/>
      <c r="AP51" s="825"/>
      <c r="AQ51" s="825"/>
      <c r="AR51" s="825"/>
      <c r="AS51" s="825"/>
      <c r="AT51" s="825"/>
      <c r="AU51" s="825"/>
      <c r="AV51" s="825"/>
      <c r="AW51" s="825"/>
      <c r="AX51" s="825"/>
      <c r="AY51" s="825"/>
      <c r="AZ51" s="825"/>
      <c r="BA51" s="825"/>
      <c r="BB51" s="825"/>
      <c r="BC51" s="825"/>
      <c r="BD51" s="825"/>
      <c r="BE51" s="825"/>
      <c r="BF51" s="825"/>
      <c r="BI51" s="656" t="s">
        <v>529</v>
      </c>
    </row>
    <row r="52" spans="1:65" ht="14.65" hidden="1" customHeight="1" x14ac:dyDescent="0.15">
      <c r="E52" s="448">
        <v>15</v>
      </c>
      <c r="F52" s="3" cm="1">
        <f t="array" aca="1" ref="F52" ca="1">OFFSET(E52,-1,1)</f>
        <v>0</v>
      </c>
      <c r="H52" s="38" t="s">
        <v>334</v>
      </c>
      <c r="U52" s="353" t="b" cm="1">
        <f t="array" aca="1" ref="U52" ca="1">U51</f>
        <v>0</v>
      </c>
      <c r="Y52" s="964"/>
      <c r="Z52" s="992"/>
      <c r="AB52" s="49">
        <v>4</v>
      </c>
      <c r="AC52" s="55" t="s">
        <v>530</v>
      </c>
      <c r="AD52" s="52" t="s">
        <v>476</v>
      </c>
      <c r="AE52" s="825"/>
      <c r="AF52" s="827"/>
      <c r="AG52" s="836"/>
      <c r="AH52" s="826"/>
      <c r="AI52" s="825"/>
      <c r="AJ52" s="827"/>
      <c r="AK52" s="827"/>
      <c r="AL52" s="193">
        <f>IF(AI52&lt;&gt;0,AK52/AI52,0)</f>
        <v>0</v>
      </c>
      <c r="AM52" s="192">
        <f>AK52-AJ52</f>
        <v>0</v>
      </c>
      <c r="AN52" s="826"/>
      <c r="AO52" s="825"/>
      <c r="AP52" s="825"/>
      <c r="AQ52" s="825"/>
      <c r="AR52" s="825"/>
      <c r="AS52" s="825"/>
      <c r="AT52" s="825"/>
      <c r="AU52" s="825"/>
      <c r="AV52" s="825"/>
      <c r="AW52" s="825"/>
      <c r="AX52" s="825"/>
      <c r="AY52" s="825"/>
      <c r="AZ52" s="825"/>
      <c r="BA52" s="825"/>
      <c r="BB52" s="825"/>
      <c r="BC52" s="825"/>
      <c r="BD52" s="825"/>
      <c r="BE52" s="825"/>
      <c r="BF52" s="825"/>
      <c r="BI52" s="656" t="s">
        <v>531</v>
      </c>
    </row>
    <row r="53" spans="1:65" ht="14.65" hidden="1" customHeight="1" x14ac:dyDescent="0.15">
      <c r="E53" s="448">
        <v>15</v>
      </c>
      <c r="F53" s="3" cm="1">
        <f t="array" aca="1" ref="F53" ca="1">OFFSET(E53,-1,1)</f>
        <v>0</v>
      </c>
      <c r="H53" s="38" t="s">
        <v>532</v>
      </c>
      <c r="U53" s="353" t="b" cm="1">
        <f t="array" aca="1" ref="U53" ca="1">U52</f>
        <v>0</v>
      </c>
      <c r="Y53" s="964"/>
      <c r="Z53" s="992"/>
      <c r="AB53" s="39" t="s">
        <v>460</v>
      </c>
      <c r="AC53" s="54" t="s">
        <v>533</v>
      </c>
      <c r="AD53" s="52"/>
      <c r="AE53" s="836"/>
      <c r="AF53" s="836"/>
      <c r="AG53" s="836"/>
      <c r="AH53" s="775"/>
      <c r="AI53" s="836"/>
      <c r="AJ53" s="836"/>
      <c r="AK53" s="836"/>
      <c r="AL53" s="193">
        <f>IF(AI53&lt;&gt;0,AK53/AI53,0)</f>
        <v>0</v>
      </c>
      <c r="AM53" s="192">
        <f>AK53-AJ53</f>
        <v>0</v>
      </c>
      <c r="AN53" s="775"/>
      <c r="AO53" s="836"/>
      <c r="AP53" s="836"/>
      <c r="AQ53" s="836"/>
      <c r="AR53" s="836"/>
      <c r="AS53" s="836"/>
      <c r="AT53" s="836"/>
      <c r="AU53" s="836"/>
      <c r="AV53" s="836"/>
      <c r="AW53" s="836"/>
      <c r="AX53" s="836"/>
      <c r="AY53" s="836"/>
      <c r="AZ53" s="836"/>
      <c r="BA53" s="836"/>
      <c r="BB53" s="836"/>
      <c r="BC53" s="836"/>
      <c r="BD53" s="836"/>
      <c r="BE53" s="836"/>
      <c r="BF53" s="836"/>
      <c r="BI53" s="656" t="s">
        <v>534</v>
      </c>
    </row>
    <row r="54" spans="1:65" ht="14.65" hidden="1" customHeight="1" x14ac:dyDescent="0.15">
      <c r="E54" s="448">
        <v>15</v>
      </c>
      <c r="F54" s="3" cm="1">
        <f t="array" aca="1" ref="F54" ca="1">OFFSET(E54,-1,1)</f>
        <v>0</v>
      </c>
      <c r="H54" s="38" t="s">
        <v>535</v>
      </c>
      <c r="U54" s="353" t="b" cm="1">
        <f t="array" aca="1" ref="U54" ca="1">U53</f>
        <v>0</v>
      </c>
      <c r="Y54" s="964"/>
      <c r="Z54" s="992"/>
      <c r="AB54" s="39" t="s">
        <v>536</v>
      </c>
      <c r="AC54" s="53" t="s">
        <v>537</v>
      </c>
      <c r="AD54" s="52"/>
      <c r="AE54" s="836"/>
      <c r="AF54" s="836"/>
      <c r="AG54" s="836"/>
      <c r="AH54" s="775"/>
      <c r="AI54" s="836"/>
      <c r="AJ54" s="836"/>
      <c r="AK54" s="836"/>
      <c r="AL54" s="193">
        <f>IF(AI54&lt;&gt;0,AK54/AI54,0)</f>
        <v>0</v>
      </c>
      <c r="AM54" s="192">
        <f>AK54-AJ54</f>
        <v>0</v>
      </c>
      <c r="AN54" s="775"/>
      <c r="AO54" s="836"/>
      <c r="AP54" s="836"/>
      <c r="AQ54" s="836"/>
      <c r="AR54" s="836"/>
      <c r="AS54" s="836"/>
      <c r="AT54" s="836"/>
      <c r="AU54" s="836"/>
      <c r="AV54" s="836"/>
      <c r="AW54" s="836"/>
      <c r="AX54" s="836"/>
      <c r="AY54" s="836"/>
      <c r="AZ54" s="836"/>
      <c r="BA54" s="836"/>
      <c r="BB54" s="836"/>
      <c r="BC54" s="836"/>
      <c r="BD54" s="836"/>
      <c r="BE54" s="836"/>
      <c r="BF54" s="836"/>
      <c r="BI54" s="656" t="s">
        <v>538</v>
      </c>
    </row>
    <row r="55" spans="1:65" s="838" customFormat="1" ht="26.45" customHeight="1" x14ac:dyDescent="0.15">
      <c r="A55" s="60"/>
      <c r="B55" s="326"/>
      <c r="C55" s="60"/>
      <c r="D55" s="60"/>
      <c r="E55" s="459">
        <v>15</v>
      </c>
      <c r="F55" s="275" t="str" cm="1">
        <f t="array" ref="F55">Y55</f>
        <v>1</v>
      </c>
      <c r="G55" s="60"/>
      <c r="H55" s="60"/>
      <c r="I55" s="60"/>
      <c r="J55" s="60"/>
      <c r="K55" s="60"/>
      <c r="L55" s="60"/>
      <c r="M55" s="60"/>
      <c r="N55" s="60"/>
      <c r="O55" s="60"/>
      <c r="P55" s="60"/>
      <c r="Q55" s="60"/>
      <c r="R55" s="60"/>
      <c r="S55" s="60"/>
      <c r="T55" s="60"/>
      <c r="U55" s="353" t="b">
        <f>Y55&gt;0</f>
        <v>1</v>
      </c>
      <c r="V55" s="60"/>
      <c r="W55" s="60" t="str" cm="1">
        <f t="array" ref="W55">'Список объектов'!$AB$30</f>
        <v>Тариф 1 (Водоснабжение) - тариф на техническую воду</v>
      </c>
      <c r="X55" s="60"/>
      <c r="Y55" s="964" t="s">
        <v>275</v>
      </c>
      <c r="Z55" s="992"/>
      <c r="AA55" s="60"/>
      <c r="AB55" s="97" t="str" cm="1">
        <f t="array" ref="AB55">'Список объектов'!$AB$30</f>
        <v>Тариф 1 (Водоснабжение) - тариф на техническую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9"/>
      <c r="BJ55" s="669"/>
      <c r="BK55" s="669"/>
      <c r="BL55" s="459"/>
      <c r="BM55" s="459"/>
    </row>
    <row r="56" spans="1:65" ht="24.95" customHeight="1" x14ac:dyDescent="0.15">
      <c r="E56" s="448">
        <v>15</v>
      </c>
      <c r="F56" s="3" t="str" cm="1">
        <f t="array" aca="1" ref="F56" ca="1">OFFSET(E56,-1,1)</f>
        <v>1</v>
      </c>
      <c r="G56" s="38" t="s">
        <v>479</v>
      </c>
      <c r="U56" s="353" t="b" cm="1">
        <f t="array" ref="U56">U55</f>
        <v>1</v>
      </c>
      <c r="Y56" s="964"/>
      <c r="Z56" s="992"/>
      <c r="AB56" s="182"/>
      <c r="AC56" s="183" t="s">
        <v>480</v>
      </c>
      <c r="AD56" s="184"/>
      <c r="AE56" s="184"/>
      <c r="AF56" s="184"/>
      <c r="AG56" s="184"/>
      <c r="AH56" s="184"/>
      <c r="AI56" s="213">
        <f>(1-AI57/100)*(1+AI58/100)*(1+AI60/100)</f>
        <v>1.04742</v>
      </c>
      <c r="AJ56" s="213">
        <f>(1-AJ57/100)*(1+AJ58/100)*(1+AJ60/100)</f>
        <v>1.0345499999999999</v>
      </c>
      <c r="AK56" s="213">
        <f>(1-AK57/100)*(1+AK58/100)*(1+AK60/100)</f>
        <v>1.03257</v>
      </c>
      <c r="AL56" s="184"/>
      <c r="AM56" s="184"/>
      <c r="AN56" s="184"/>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61.15" customHeight="1" x14ac:dyDescent="0.15">
      <c r="B57" s="342" t="b">
        <f>method_reg&lt;&gt;"Метод экономически обоснованных расходов"</f>
        <v>1</v>
      </c>
      <c r="E57" s="448">
        <v>22.5</v>
      </c>
      <c r="F57" s="3" t="str" cm="1">
        <f t="array" aca="1" ref="F57" ca="1">OFFSET(E57,-1,1)</f>
        <v>1</v>
      </c>
      <c r="G57" s="38" t="s">
        <v>481</v>
      </c>
      <c r="H57" s="38" t="s">
        <v>482</v>
      </c>
      <c r="U57" s="353" t="b" cm="1">
        <f t="array" ref="U57">U56</f>
        <v>1</v>
      </c>
      <c r="Y57" s="964"/>
      <c r="Z57" s="992"/>
      <c r="AB57" s="49">
        <v>1</v>
      </c>
      <c r="AC57" s="50" t="s">
        <v>483</v>
      </c>
      <c r="AD57" s="52" t="s">
        <v>476</v>
      </c>
      <c r="AE57" s="188"/>
      <c r="AF57" s="188"/>
      <c r="AG57" s="188"/>
      <c r="AH57" s="113"/>
      <c r="AI57" s="188">
        <v>1</v>
      </c>
      <c r="AJ57" s="188">
        <v>1</v>
      </c>
      <c r="AK57" s="188">
        <v>1</v>
      </c>
      <c r="AL57" s="193">
        <f>IF(AI57&lt;&gt;0,AK57/AI57,0)</f>
        <v>1</v>
      </c>
      <c r="AM57" s="192">
        <f>AK57-AJ57</f>
        <v>0</v>
      </c>
      <c r="AN57" s="113" t="s">
        <v>539</v>
      </c>
      <c r="AO57" s="825"/>
      <c r="AP57" s="825"/>
      <c r="AQ57" s="188"/>
      <c r="AR57" s="188"/>
      <c r="AS57" s="188"/>
      <c r="AT57" s="188"/>
      <c r="AU57" s="188"/>
      <c r="AV57" s="188"/>
      <c r="AW57" s="188"/>
      <c r="AX57" s="825"/>
      <c r="AY57" s="825"/>
      <c r="AZ57" s="188"/>
      <c r="BA57" s="188"/>
      <c r="BB57" s="188"/>
      <c r="BC57" s="188"/>
      <c r="BD57" s="188"/>
      <c r="BE57" s="188"/>
      <c r="BF57" s="188"/>
      <c r="BI57" s="656" t="s">
        <v>484</v>
      </c>
    </row>
    <row r="58" spans="1:65" ht="78.95" customHeight="1" x14ac:dyDescent="0.15">
      <c r="E58" s="448">
        <v>15</v>
      </c>
      <c r="F58" s="3" t="str" cm="1">
        <f t="array" aca="1" ref="F58" ca="1">OFFSET(E58,-1,1)</f>
        <v>1</v>
      </c>
      <c r="G58" s="38" t="s">
        <v>485</v>
      </c>
      <c r="H58" s="38" t="s">
        <v>486</v>
      </c>
      <c r="U58" s="353" t="b" cm="1">
        <f t="array" ref="U58">U57</f>
        <v>1</v>
      </c>
      <c r="Y58" s="964"/>
      <c r="Z58" s="992"/>
      <c r="AB58" s="49">
        <f>IF(B57,2,1)</f>
        <v>2</v>
      </c>
      <c r="AC58" s="51" t="s">
        <v>487</v>
      </c>
      <c r="AD58" s="52" t="s">
        <v>476</v>
      </c>
      <c r="AE58" s="188">
        <v>7.2</v>
      </c>
      <c r="AF58" s="188"/>
      <c r="AG58" s="188">
        <v>8</v>
      </c>
      <c r="AH58" s="113" t="s">
        <v>540</v>
      </c>
      <c r="AI58" s="188">
        <v>5.8</v>
      </c>
      <c r="AJ58" s="188">
        <v>4.5</v>
      </c>
      <c r="AK58" s="188">
        <v>4.3</v>
      </c>
      <c r="AL58" s="193">
        <f>IF(AI58&lt;&gt;0,AK58/AI58,0)</f>
        <v>0.74137931034482762</v>
      </c>
      <c r="AM58" s="192">
        <f>AK58-AJ58</f>
        <v>-0.20000000000000018</v>
      </c>
      <c r="AN58" s="113" t="s">
        <v>540</v>
      </c>
      <c r="AO58" s="825"/>
      <c r="AP58" s="825"/>
      <c r="AQ58" s="188"/>
      <c r="AR58" s="188"/>
      <c r="AS58" s="188"/>
      <c r="AT58" s="188"/>
      <c r="AU58" s="188"/>
      <c r="AV58" s="188"/>
      <c r="AW58" s="188"/>
      <c r="AX58" s="825"/>
      <c r="AY58" s="825"/>
      <c r="AZ58" s="188"/>
      <c r="BA58" s="188"/>
      <c r="BB58" s="188"/>
      <c r="BC58" s="188"/>
      <c r="BD58" s="188"/>
      <c r="BE58" s="188"/>
      <c r="BF58" s="188"/>
      <c r="BI58" s="656" t="s">
        <v>488</v>
      </c>
    </row>
    <row r="59" spans="1:65" ht="86.25" customHeight="1" x14ac:dyDescent="0.15">
      <c r="E59" s="448">
        <v>15</v>
      </c>
      <c r="F59" s="3" t="str" cm="1">
        <f t="array" aca="1" ref="F59" ca="1">OFFSET(E59,-1,1)</f>
        <v>1</v>
      </c>
      <c r="H59" s="38" t="s">
        <v>489</v>
      </c>
      <c r="U59" s="353" t="b" cm="1">
        <f t="array" ref="U59">U58</f>
        <v>1</v>
      </c>
      <c r="Y59" s="964"/>
      <c r="Z59" s="992"/>
      <c r="AB59" s="49">
        <f>AB58+1</f>
        <v>3</v>
      </c>
      <c r="AC59" s="53" t="s">
        <v>490</v>
      </c>
      <c r="AD59" s="52" t="s">
        <v>476</v>
      </c>
      <c r="AE59" s="188">
        <v>5.6</v>
      </c>
      <c r="AF59" s="188"/>
      <c r="AG59" s="188">
        <v>5.0999999999999996</v>
      </c>
      <c r="AH59" s="113" t="s">
        <v>540</v>
      </c>
      <c r="AI59" s="188">
        <v>9.8000000000000007</v>
      </c>
      <c r="AJ59" s="188">
        <v>4.9000000000000004</v>
      </c>
      <c r="AK59" s="188">
        <v>4</v>
      </c>
      <c r="AL59" s="193">
        <f>IF(AI59&lt;&gt;0,AK59/AI59,0)</f>
        <v>0.4081632653061224</v>
      </c>
      <c r="AM59" s="192">
        <f>AK59-AJ59</f>
        <v>-0.90000000000000036</v>
      </c>
      <c r="AN59" s="113" t="s">
        <v>540</v>
      </c>
      <c r="AO59" s="825"/>
      <c r="AP59" s="825"/>
      <c r="AQ59" s="188"/>
      <c r="AR59" s="188"/>
      <c r="AS59" s="188"/>
      <c r="AT59" s="188"/>
      <c r="AU59" s="188"/>
      <c r="AV59" s="188"/>
      <c r="AW59" s="188"/>
      <c r="AX59" s="825"/>
      <c r="AY59" s="825"/>
      <c r="AZ59" s="188"/>
      <c r="BA59" s="188"/>
      <c r="BB59" s="188"/>
      <c r="BC59" s="188"/>
      <c r="BD59" s="188"/>
      <c r="BE59" s="188"/>
      <c r="BF59" s="188"/>
      <c r="BI59" s="656" t="s">
        <v>491</v>
      </c>
    </row>
    <row r="60" spans="1:65" ht="14.65" customHeight="1" x14ac:dyDescent="0.15">
      <c r="B60" s="342" t="b">
        <f>method_reg&lt;&gt;"Метод экономически обоснованных расходов"</f>
        <v>1</v>
      </c>
      <c r="E60" s="448">
        <v>15</v>
      </c>
      <c r="F60" s="3" t="str" cm="1">
        <f t="array" aca="1" ref="F60" ca="1">OFFSET(E60,-1,1)</f>
        <v>1</v>
      </c>
      <c r="G60" s="38" t="s">
        <v>492</v>
      </c>
      <c r="H60" s="38" t="s">
        <v>493</v>
      </c>
      <c r="U60" s="353" t="b" cm="1">
        <f t="array" ref="U60">U59</f>
        <v>1</v>
      </c>
      <c r="Y60" s="964"/>
      <c r="Z60" s="992"/>
      <c r="AB60" s="49">
        <v>4</v>
      </c>
      <c r="AC60" s="51" t="s">
        <v>494</v>
      </c>
      <c r="AD60" s="52" t="s">
        <v>476</v>
      </c>
      <c r="AE60" s="188">
        <v>0</v>
      </c>
      <c r="AF60" s="188"/>
      <c r="AG60" s="188">
        <v>0</v>
      </c>
      <c r="AH60" s="113"/>
      <c r="AI60" s="188">
        <v>0</v>
      </c>
      <c r="AJ60" s="188">
        <v>0</v>
      </c>
      <c r="AK60" s="188">
        <v>0</v>
      </c>
      <c r="AL60" s="193">
        <f>IF(AI60&lt;&gt;0,AK60/AI60,0)</f>
        <v>0</v>
      </c>
      <c r="AM60" s="192">
        <f>AK60-AJ60</f>
        <v>0</v>
      </c>
      <c r="AN60" s="113"/>
      <c r="AO60" s="825"/>
      <c r="AP60" s="825"/>
      <c r="AQ60" s="188"/>
      <c r="AR60" s="188"/>
      <c r="AS60" s="188"/>
      <c r="AT60" s="188"/>
      <c r="AU60" s="188"/>
      <c r="AV60" s="188"/>
      <c r="AW60" s="188"/>
      <c r="AX60" s="825"/>
      <c r="AY60" s="825"/>
      <c r="AZ60" s="188"/>
      <c r="BA60" s="188"/>
      <c r="BB60" s="188"/>
      <c r="BC60" s="188"/>
      <c r="BD60" s="188"/>
      <c r="BE60" s="188"/>
      <c r="BF60" s="188"/>
      <c r="BI60" s="656" t="s">
        <v>495</v>
      </c>
    </row>
    <row r="61" spans="1:65" s="4" customFormat="1" ht="14.25" customHeight="1" x14ac:dyDescent="0.15">
      <c r="A61" s="38"/>
      <c r="B61" s="342"/>
      <c r="C61" s="38"/>
      <c r="D61" s="38"/>
      <c r="E61" s="448">
        <v>15</v>
      </c>
      <c r="F61" s="267" t="str" cm="1">
        <f t="array" aca="1" ref="F61" ca="1">OFFSET(E61,-1,1)</f>
        <v>1</v>
      </c>
      <c r="G61" s="38"/>
      <c r="H61" s="38"/>
      <c r="I61" s="38"/>
      <c r="J61" s="38"/>
      <c r="K61" s="38"/>
      <c r="L61" s="38"/>
      <c r="M61" s="38"/>
      <c r="N61" s="38"/>
      <c r="O61" s="38"/>
      <c r="P61" s="38"/>
      <c r="Q61" s="38"/>
      <c r="R61" s="38"/>
      <c r="S61" s="38"/>
      <c r="T61" s="38"/>
      <c r="U61" s="353" t="b" cm="1">
        <f t="array" ref="U61">U60</f>
        <v>1</v>
      </c>
      <c r="V61" s="38"/>
      <c r="W61" s="38"/>
      <c r="X61" s="38"/>
      <c r="Y61" s="964"/>
      <c r="Z61" s="992"/>
      <c r="AA61" s="38"/>
      <c r="AB61" s="49">
        <v>5</v>
      </c>
      <c r="AC61" s="51" t="s">
        <v>496</v>
      </c>
      <c r="AD61" s="52" t="s">
        <v>476</v>
      </c>
      <c r="AE61" s="188"/>
      <c r="AF61" s="188"/>
      <c r="AG61" s="188"/>
      <c r="AH61" s="113"/>
      <c r="AI61" s="188"/>
      <c r="AJ61" s="188"/>
      <c r="AK61" s="188"/>
      <c r="AL61" s="193">
        <f>IF(AI61&lt;&gt;0,AK61/AI61,0)</f>
        <v>0</v>
      </c>
      <c r="AM61" s="192">
        <f>AK61-AJ61</f>
        <v>0</v>
      </c>
      <c r="AN61" s="113"/>
      <c r="AO61" s="825"/>
      <c r="AP61" s="825"/>
      <c r="AQ61" s="188"/>
      <c r="AR61" s="188"/>
      <c r="AS61" s="188"/>
      <c r="AT61" s="188"/>
      <c r="AU61" s="188"/>
      <c r="AV61" s="188"/>
      <c r="AW61" s="188"/>
      <c r="AX61" s="825"/>
      <c r="AY61" s="825"/>
      <c r="AZ61" s="188"/>
      <c r="BA61" s="188"/>
      <c r="BB61" s="188"/>
      <c r="BC61" s="188"/>
      <c r="BD61" s="188"/>
      <c r="BE61" s="188"/>
      <c r="BF61" s="188"/>
      <c r="BG61" s="38"/>
      <c r="BH61" s="38"/>
      <c r="BI61" s="656" t="s">
        <v>497</v>
      </c>
      <c r="BJ61" s="656"/>
      <c r="BK61" s="656"/>
      <c r="BL61" s="448"/>
      <c r="BM61" s="448"/>
    </row>
    <row r="62" spans="1:65" ht="23.65" customHeight="1" x14ac:dyDescent="0.15">
      <c r="E62" s="448">
        <v>15</v>
      </c>
      <c r="F62" s="3" t="str" cm="1">
        <f t="array" aca="1" ref="F62" ca="1">OFFSET(E62,-1,1)</f>
        <v>1</v>
      </c>
      <c r="U62" s="353" t="b" cm="1">
        <f t="array" ref="U62">U60</f>
        <v>1</v>
      </c>
      <c r="Y62" s="964"/>
      <c r="Z62" s="992"/>
      <c r="AB62" s="182"/>
      <c r="AC62" s="183" t="s">
        <v>498</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86.25" customHeight="1" x14ac:dyDescent="0.15">
      <c r="E63" s="448">
        <v>15</v>
      </c>
      <c r="F63" s="3" t="str" cm="1">
        <f t="array" aca="1" ref="F63" ca="1">OFFSET(E63,-1,1)</f>
        <v>1</v>
      </c>
      <c r="G63" s="38" t="s">
        <v>499</v>
      </c>
      <c r="H63" s="38" t="s">
        <v>500</v>
      </c>
      <c r="U63" s="353" t="b" cm="1">
        <f t="array" ref="U63">U62</f>
        <v>1</v>
      </c>
      <c r="Y63" s="964"/>
      <c r="Z63" s="992"/>
      <c r="AB63" s="49">
        <v>1</v>
      </c>
      <c r="AC63" s="51" t="s">
        <v>501</v>
      </c>
      <c r="AD63" s="52" t="s">
        <v>476</v>
      </c>
      <c r="AE63" s="190">
        <v>30.58</v>
      </c>
      <c r="AF63" s="190">
        <v>30.441143634199999</v>
      </c>
      <c r="AG63" s="190">
        <v>30.58</v>
      </c>
      <c r="AH63" s="113" t="s">
        <v>541</v>
      </c>
      <c r="AI63" s="190">
        <v>30.58</v>
      </c>
      <c r="AJ63" s="190">
        <v>30.7</v>
      </c>
      <c r="AK63" s="190">
        <v>30.58</v>
      </c>
      <c r="AL63" s="193">
        <f>IF(AI63&lt;&gt;0,AK63/AI63,0)</f>
        <v>1</v>
      </c>
      <c r="AM63" s="192">
        <f>AK63-AJ63</f>
        <v>-0.12000000000000099</v>
      </c>
      <c r="AN63" s="113" t="s">
        <v>541</v>
      </c>
      <c r="AO63" s="827"/>
      <c r="AP63" s="827"/>
      <c r="AQ63" s="190"/>
      <c r="AR63" s="190"/>
      <c r="AS63" s="190"/>
      <c r="AT63" s="190"/>
      <c r="AU63" s="190"/>
      <c r="AV63" s="190"/>
      <c r="AW63" s="190"/>
      <c r="AX63" s="827"/>
      <c r="AY63" s="827"/>
      <c r="AZ63" s="190"/>
      <c r="BA63" s="190"/>
      <c r="BB63" s="190"/>
      <c r="BC63" s="190"/>
      <c r="BD63" s="190"/>
      <c r="BE63" s="190"/>
      <c r="BF63" s="190"/>
      <c r="BI63" s="656" t="s">
        <v>502</v>
      </c>
    </row>
    <row r="64" spans="1:65" ht="15" hidden="1" customHeight="1" x14ac:dyDescent="0.15">
      <c r="E64" s="448">
        <v>0</v>
      </c>
      <c r="F64" s="3" t="str" cm="1">
        <f t="array" aca="1" ref="F64" ca="1">OFFSET(E64,-1,1)</f>
        <v>1</v>
      </c>
      <c r="H64" s="38" t="s">
        <v>503</v>
      </c>
      <c r="U64" s="353" t="b" cm="1">
        <f t="array" ref="U64">U63</f>
        <v>1</v>
      </c>
      <c r="Y64" s="964"/>
      <c r="Z64" s="992"/>
      <c r="AB64" s="49">
        <v>2</v>
      </c>
      <c r="AC64" s="51" t="s">
        <v>475</v>
      </c>
      <c r="AD64" s="52" t="s">
        <v>476</v>
      </c>
      <c r="AE64" s="827"/>
      <c r="AF64" s="825"/>
      <c r="AG64" s="827"/>
      <c r="AH64" s="826"/>
      <c r="AI64" s="827"/>
      <c r="AJ64" s="827"/>
      <c r="AK64" s="827"/>
      <c r="AL64" s="193">
        <f>IF(AI64&lt;&gt;0,AK64/AI64,0)</f>
        <v>0</v>
      </c>
      <c r="AM64" s="192">
        <f>AK64-AJ64</f>
        <v>0</v>
      </c>
      <c r="AN64" s="826"/>
      <c r="AO64" s="827"/>
      <c r="AP64" s="827"/>
      <c r="AQ64" s="827"/>
      <c r="AR64" s="827"/>
      <c r="AS64" s="827"/>
      <c r="AT64" s="827"/>
      <c r="AU64" s="827"/>
      <c r="AV64" s="827"/>
      <c r="AW64" s="827"/>
      <c r="AX64" s="827"/>
      <c r="AY64" s="827"/>
      <c r="AZ64" s="827"/>
      <c r="BA64" s="827"/>
      <c r="BB64" s="827"/>
      <c r="BC64" s="827"/>
      <c r="BD64" s="827"/>
      <c r="BE64" s="827"/>
      <c r="BF64" s="827"/>
      <c r="BI64" s="656" t="s">
        <v>504</v>
      </c>
    </row>
    <row r="65" spans="5:65" ht="14.25" customHeight="1" x14ac:dyDescent="0.15">
      <c r="E65" s="448">
        <v>15</v>
      </c>
      <c r="F65" s="3" t="str" cm="1">
        <f t="array" aca="1" ref="F65" ca="1">OFFSET(E65,-1,1)</f>
        <v>1</v>
      </c>
      <c r="U65" s="353" t="b" cm="1">
        <f t="array" ref="U65">U64</f>
        <v>1</v>
      </c>
      <c r="Y65" s="964"/>
      <c r="Z65" s="992"/>
      <c r="AB65" s="436">
        <v>2</v>
      </c>
      <c r="AC65" s="437" t="s">
        <v>505</v>
      </c>
      <c r="AD65" s="13"/>
      <c r="AE65" s="438"/>
      <c r="AF65" s="439"/>
      <c r="AG65" s="440"/>
      <c r="AH65" s="441"/>
      <c r="AI65" s="438"/>
      <c r="AJ65" s="439"/>
      <c r="AK65" s="439"/>
      <c r="AL65" s="442"/>
      <c r="AM65" s="439"/>
      <c r="AN65" s="441"/>
      <c r="AO65" s="438"/>
      <c r="AP65" s="438"/>
      <c r="AQ65" s="438"/>
      <c r="AR65" s="438"/>
      <c r="AS65" s="438"/>
      <c r="AT65" s="438"/>
      <c r="AU65" s="438"/>
      <c r="AV65" s="438"/>
      <c r="AW65" s="438"/>
      <c r="AX65" s="438"/>
      <c r="AY65" s="438"/>
      <c r="AZ65" s="438"/>
      <c r="BA65" s="438"/>
      <c r="BB65" s="438"/>
      <c r="BC65" s="438"/>
      <c r="BD65" s="438"/>
      <c r="BE65" s="438"/>
      <c r="BF65" s="438"/>
      <c r="BI65" s="656" t="s">
        <v>506</v>
      </c>
    </row>
    <row r="66" spans="5:65" ht="21.75" customHeight="1" x14ac:dyDescent="0.15">
      <c r="E66" s="448">
        <v>22.5</v>
      </c>
      <c r="F66" s="3" t="str" cm="1">
        <f t="array" aca="1" ref="F66" ca="1">OFFSET(E66,-1,1)</f>
        <v>1</v>
      </c>
      <c r="H66" s="38" t="s">
        <v>507</v>
      </c>
      <c r="U66" s="353" t="b" cm="1">
        <f t="array" ref="U66">U65</f>
        <v>1</v>
      </c>
      <c r="Y66" s="964"/>
      <c r="Z66" s="992"/>
      <c r="AB66" s="133" t="s">
        <v>508</v>
      </c>
      <c r="AC66" s="127" t="s">
        <v>509</v>
      </c>
      <c r="AD66" s="10" t="s">
        <v>510</v>
      </c>
      <c r="AE66" s="215"/>
      <c r="AF66" s="443"/>
      <c r="AG66" s="444"/>
      <c r="AH66" s="217"/>
      <c r="AI66" s="215"/>
      <c r="AJ66" s="443"/>
      <c r="AK66" s="443"/>
      <c r="AL66" s="445">
        <f>IF(AI66&lt;&gt;0,AK66/AI66,0)</f>
        <v>0</v>
      </c>
      <c r="AM66" s="446">
        <f>AK66-AJ66</f>
        <v>0</v>
      </c>
      <c r="AN66" s="217"/>
      <c r="AO66" s="828"/>
      <c r="AP66" s="828"/>
      <c r="AQ66" s="215"/>
      <c r="AR66" s="215"/>
      <c r="AS66" s="215"/>
      <c r="AT66" s="215"/>
      <c r="AU66" s="215"/>
      <c r="AV66" s="215"/>
      <c r="AW66" s="215"/>
      <c r="AX66" s="828"/>
      <c r="AY66" s="828"/>
      <c r="AZ66" s="215"/>
      <c r="BA66" s="215"/>
      <c r="BB66" s="215"/>
      <c r="BC66" s="215"/>
      <c r="BD66" s="215"/>
      <c r="BE66" s="215"/>
      <c r="BF66" s="215"/>
      <c r="BI66" s="656" t="s">
        <v>511</v>
      </c>
    </row>
    <row r="67" spans="5:65" ht="21.75" hidden="1" customHeight="1" x14ac:dyDescent="0.15">
      <c r="E67" s="448">
        <v>22.5</v>
      </c>
      <c r="F67" s="3" t="str" cm="1">
        <f t="array" aca="1" ref="F67" ca="1">OFFSET(E67,-1,1)</f>
        <v>1</v>
      </c>
      <c r="I67" s="38" cm="1">
        <f t="array" ref="I67">AC67</f>
        <v>0</v>
      </c>
      <c r="U67" s="353" t="b">
        <f ca="1">AND(F67&gt;0,--RIGHT(AB67,1)&gt;1)</f>
        <v>0</v>
      </c>
      <c r="X67" s="517" t="s">
        <v>172</v>
      </c>
      <c r="Y67" s="964"/>
      <c r="Z67" s="992"/>
      <c r="AA67" s="320" t="s">
        <v>173</v>
      </c>
      <c r="AB67" s="133" t="s">
        <v>508</v>
      </c>
      <c r="AC67" s="780"/>
      <c r="AD67" s="10" t="s">
        <v>510</v>
      </c>
      <c r="AE67" s="828"/>
      <c r="AF67" s="829"/>
      <c r="AG67" s="776"/>
      <c r="AH67" s="830"/>
      <c r="AI67" s="828"/>
      <c r="AJ67" s="829"/>
      <c r="AK67" s="829"/>
      <c r="AL67" s="445">
        <f>IF(AI67&lt;&gt;0,AK67/AI67,0)</f>
        <v>0</v>
      </c>
      <c r="AM67" s="446">
        <f>AK67-AJ67</f>
        <v>0</v>
      </c>
      <c r="AN67" s="830"/>
      <c r="AO67" s="828"/>
      <c r="AP67" s="828"/>
      <c r="AQ67" s="828"/>
      <c r="AR67" s="828"/>
      <c r="AS67" s="828"/>
      <c r="AT67" s="828"/>
      <c r="AU67" s="828"/>
      <c r="AV67" s="828"/>
      <c r="AW67" s="828"/>
      <c r="AX67" s="828"/>
      <c r="AY67" s="828"/>
      <c r="AZ67" s="828"/>
      <c r="BA67" s="828"/>
      <c r="BB67" s="828"/>
      <c r="BC67" s="828"/>
      <c r="BD67" s="828"/>
      <c r="BE67" s="828"/>
      <c r="BF67" s="828"/>
      <c r="BI67" s="656" t="s">
        <v>511</v>
      </c>
      <c r="BJ67" s="656" t="s">
        <v>512</v>
      </c>
      <c r="BK67" s="656" cm="1">
        <f t="array" ref="BK67">AC67</f>
        <v>0</v>
      </c>
      <c r="BM67" s="448" t="b">
        <v>1</v>
      </c>
    </row>
    <row r="68" spans="5:65" ht="14.25" customHeight="1" x14ac:dyDescent="0.15">
      <c r="E68" s="448">
        <v>15</v>
      </c>
      <c r="F68" s="3" t="str" cm="1">
        <f t="array" aca="1" ref="F68" ca="1">OFFSET(E68,-1,1)</f>
        <v>1</v>
      </c>
      <c r="U68" s="353" t="b">
        <f ca="1">F68&gt;0</f>
        <v>1</v>
      </c>
      <c r="X68" s="517" t="s">
        <v>419</v>
      </c>
      <c r="Y68" s="964"/>
      <c r="Z68" s="992"/>
      <c r="AB68" s="89"/>
      <c r="AC68" s="216"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8" t="s">
        <v>512</v>
      </c>
    </row>
    <row r="69" spans="5:65" ht="152.44999999999999" customHeight="1" x14ac:dyDescent="0.15">
      <c r="E69" s="448">
        <v>22.5</v>
      </c>
      <c r="F69" s="3" t="str" cm="1">
        <f t="array" aca="1" ref="F69" ca="1">OFFSET(E69,-1,1)</f>
        <v>1</v>
      </c>
      <c r="H69" s="38" t="s">
        <v>513</v>
      </c>
      <c r="U69" s="353" t="b" cm="1">
        <f t="array" aca="1" ref="U69" ca="1">U68</f>
        <v>1</v>
      </c>
      <c r="Y69" s="964"/>
      <c r="Z69" s="992"/>
      <c r="AB69" s="428" t="s">
        <v>514</v>
      </c>
      <c r="AC69" s="429" t="s">
        <v>515</v>
      </c>
      <c r="AD69" s="425" t="s">
        <v>510</v>
      </c>
      <c r="AE69" s="430">
        <v>1094</v>
      </c>
      <c r="AF69" s="431">
        <v>1094</v>
      </c>
      <c r="AG69" s="432">
        <v>1094</v>
      </c>
      <c r="AH69" s="433" t="s">
        <v>542</v>
      </c>
      <c r="AI69" s="430">
        <v>1256</v>
      </c>
      <c r="AJ69" s="431">
        <v>1430</v>
      </c>
      <c r="AK69" s="431">
        <v>1307</v>
      </c>
      <c r="AL69" s="434">
        <f>IF(AI69&lt;&gt;0,AK69/AI69,0)</f>
        <v>1.0406050955414012</v>
      </c>
      <c r="AM69" s="435">
        <f>AK69-AJ69</f>
        <v>-123</v>
      </c>
      <c r="AN69" s="433" t="s">
        <v>543</v>
      </c>
      <c r="AO69" s="831"/>
      <c r="AP69" s="831"/>
      <c r="AQ69" s="430"/>
      <c r="AR69" s="430"/>
      <c r="AS69" s="430"/>
      <c r="AT69" s="430"/>
      <c r="AU69" s="430"/>
      <c r="AV69" s="430"/>
      <c r="AW69" s="430"/>
      <c r="AX69" s="831"/>
      <c r="AY69" s="831"/>
      <c r="AZ69" s="430"/>
      <c r="BA69" s="430"/>
      <c r="BB69" s="430"/>
      <c r="BC69" s="430"/>
      <c r="BD69" s="430"/>
      <c r="BE69" s="430"/>
      <c r="BF69" s="430"/>
      <c r="BI69" s="656" t="s">
        <v>516</v>
      </c>
    </row>
    <row r="70" spans="5:65" ht="21.75" hidden="1" customHeight="1" x14ac:dyDescent="0.15">
      <c r="E70" s="448">
        <v>22.5</v>
      </c>
      <c r="F70" s="3" t="str" cm="1">
        <f t="array" aca="1" ref="F70" ca="1">OFFSET(E70,-1,1)</f>
        <v>1</v>
      </c>
      <c r="I70" s="38" cm="1">
        <f t="array" ref="I70">AC70</f>
        <v>0</v>
      </c>
      <c r="U70" s="353" t="b">
        <f ca="1">AND(F70&gt;0,--RIGHT(AB70,1)&gt;1)</f>
        <v>0</v>
      </c>
      <c r="X70" s="517" t="s">
        <v>172</v>
      </c>
      <c r="Y70" s="964"/>
      <c r="Z70" s="992"/>
      <c r="AA70" s="320" t="s">
        <v>173</v>
      </c>
      <c r="AB70" s="428" t="s">
        <v>514</v>
      </c>
      <c r="AC70" s="835"/>
      <c r="AD70" s="425" t="s">
        <v>510</v>
      </c>
      <c r="AE70" s="831"/>
      <c r="AF70" s="832"/>
      <c r="AG70" s="833"/>
      <c r="AH70" s="834"/>
      <c r="AI70" s="831"/>
      <c r="AJ70" s="832"/>
      <c r="AK70" s="832"/>
      <c r="AL70" s="434">
        <f>IF(AI70&lt;&gt;0,AK70/AI70,0)</f>
        <v>0</v>
      </c>
      <c r="AM70" s="435">
        <f>AK70-AJ70</f>
        <v>0</v>
      </c>
      <c r="AN70" s="834"/>
      <c r="AO70" s="831"/>
      <c r="AP70" s="831"/>
      <c r="AQ70" s="831"/>
      <c r="AR70" s="831"/>
      <c r="AS70" s="831"/>
      <c r="AT70" s="831"/>
      <c r="AU70" s="831"/>
      <c r="AV70" s="831"/>
      <c r="AW70" s="831"/>
      <c r="AX70" s="831"/>
      <c r="AY70" s="831"/>
      <c r="AZ70" s="831"/>
      <c r="BA70" s="831"/>
      <c r="BB70" s="831"/>
      <c r="BC70" s="831"/>
      <c r="BD70" s="831"/>
      <c r="BE70" s="831"/>
      <c r="BF70" s="831"/>
      <c r="BI70" s="656" t="s">
        <v>516</v>
      </c>
      <c r="BJ70" s="656" t="s">
        <v>517</v>
      </c>
      <c r="BK70" s="656" cm="1">
        <f t="array" ref="BK70">AC70</f>
        <v>0</v>
      </c>
      <c r="BM70" s="448" t="b">
        <v>1</v>
      </c>
    </row>
    <row r="71" spans="5:65" ht="14.25" customHeight="1" x14ac:dyDescent="0.15">
      <c r="E71" s="448">
        <v>15</v>
      </c>
      <c r="F71" s="3" t="str" cm="1">
        <f t="array" aca="1" ref="F71" ca="1">OFFSET(E71,-1,1)</f>
        <v>1</v>
      </c>
      <c r="U71" s="353" t="b">
        <f ca="1">F71&gt;0</f>
        <v>1</v>
      </c>
      <c r="X71" s="517" t="s">
        <v>419</v>
      </c>
      <c r="Y71" s="964"/>
      <c r="Z71" s="992"/>
      <c r="AB71" s="89"/>
      <c r="AC71" s="216"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8" t="s">
        <v>517</v>
      </c>
    </row>
    <row r="72" spans="5:65" ht="21.75" customHeight="1" x14ac:dyDescent="0.15">
      <c r="E72" s="448">
        <v>22.5</v>
      </c>
      <c r="F72" s="3" t="str" cm="1">
        <f t="array" aca="1" ref="F72" ca="1">OFFSET(E72,-1,1)</f>
        <v>1</v>
      </c>
      <c r="H72" s="38" t="s">
        <v>518</v>
      </c>
      <c r="U72" s="353" t="b" cm="1">
        <f t="array" aca="1" ref="U72" ca="1">U71</f>
        <v>1</v>
      </c>
      <c r="Y72" s="964"/>
      <c r="Z72" s="992"/>
      <c r="AB72" s="39" t="s">
        <v>519</v>
      </c>
      <c r="AC72" s="105" t="s">
        <v>520</v>
      </c>
      <c r="AD72" s="11" t="s">
        <v>510</v>
      </c>
      <c r="AE72" s="188"/>
      <c r="AF72" s="190"/>
      <c r="AG72" s="191"/>
      <c r="AH72" s="113"/>
      <c r="AI72" s="188"/>
      <c r="AJ72" s="190"/>
      <c r="AK72" s="190"/>
      <c r="AL72" s="193">
        <f>IF(AI72&lt;&gt;0,AK72/AI72,0)</f>
        <v>0</v>
      </c>
      <c r="AM72" s="192">
        <f>AK72-AJ72</f>
        <v>0</v>
      </c>
      <c r="AN72" s="113"/>
      <c r="AO72" s="825"/>
      <c r="AP72" s="825"/>
      <c r="AQ72" s="188"/>
      <c r="AR72" s="188"/>
      <c r="AS72" s="188"/>
      <c r="AT72" s="188"/>
      <c r="AU72" s="188"/>
      <c r="AV72" s="188"/>
      <c r="AW72" s="188"/>
      <c r="AX72" s="825"/>
      <c r="AY72" s="825"/>
      <c r="AZ72" s="188"/>
      <c r="BA72" s="188"/>
      <c r="BB72" s="188"/>
      <c r="BC72" s="188"/>
      <c r="BD72" s="188"/>
      <c r="BE72" s="188"/>
      <c r="BF72" s="188"/>
      <c r="BI72" s="656" t="s">
        <v>521</v>
      </c>
    </row>
    <row r="73" spans="5:65" ht="21.75" hidden="1" customHeight="1" x14ac:dyDescent="0.15">
      <c r="E73" s="448">
        <v>22.5</v>
      </c>
      <c r="F73" s="3" t="str" cm="1">
        <f t="array" aca="1" ref="F73" ca="1">OFFSET(E73,-1,1)</f>
        <v>1</v>
      </c>
      <c r="I73" s="38" cm="1">
        <f t="array" ref="I73">AC73</f>
        <v>0</v>
      </c>
      <c r="U73" s="353" t="b">
        <f ca="1">AND(F73&gt;0,--RIGHT(AB73,1)&gt;1)</f>
        <v>0</v>
      </c>
      <c r="X73" s="517" t="s">
        <v>172</v>
      </c>
      <c r="Y73" s="964"/>
      <c r="Z73" s="992"/>
      <c r="AA73" s="320" t="s">
        <v>173</v>
      </c>
      <c r="AB73" s="39" t="s">
        <v>519</v>
      </c>
      <c r="AC73" s="837"/>
      <c r="AD73" s="11" t="s">
        <v>510</v>
      </c>
      <c r="AE73" s="825"/>
      <c r="AF73" s="827"/>
      <c r="AG73" s="836"/>
      <c r="AH73" s="826"/>
      <c r="AI73" s="825"/>
      <c r="AJ73" s="827"/>
      <c r="AK73" s="827"/>
      <c r="AL73" s="193">
        <f>IF(AI73&lt;&gt;0,AK73/AI73,0)</f>
        <v>0</v>
      </c>
      <c r="AM73" s="192">
        <f>AK73-AJ73</f>
        <v>0</v>
      </c>
      <c r="AN73" s="826"/>
      <c r="AO73" s="825"/>
      <c r="AP73" s="825"/>
      <c r="AQ73" s="825"/>
      <c r="AR73" s="825"/>
      <c r="AS73" s="825"/>
      <c r="AT73" s="825"/>
      <c r="AU73" s="825"/>
      <c r="AV73" s="825"/>
      <c r="AW73" s="825"/>
      <c r="AX73" s="825"/>
      <c r="AY73" s="825"/>
      <c r="AZ73" s="825"/>
      <c r="BA73" s="825"/>
      <c r="BB73" s="825"/>
      <c r="BC73" s="825"/>
      <c r="BD73" s="825"/>
      <c r="BE73" s="825"/>
      <c r="BF73" s="825"/>
      <c r="BI73" s="656" t="s">
        <v>521</v>
      </c>
      <c r="BJ73" s="656" t="s">
        <v>522</v>
      </c>
      <c r="BK73" s="656" cm="1">
        <f t="array" ref="BK73">AC73</f>
        <v>0</v>
      </c>
      <c r="BM73" s="448" t="b">
        <v>1</v>
      </c>
    </row>
    <row r="74" spans="5:65" ht="14.25" customHeight="1" x14ac:dyDescent="0.15">
      <c r="E74" s="448">
        <v>15</v>
      </c>
      <c r="F74" s="3" t="str" cm="1">
        <f t="array" aca="1" ref="F74" ca="1">OFFSET(E74,-1,1)</f>
        <v>1</v>
      </c>
      <c r="U74" s="353" t="b">
        <f ca="1">F74&gt;0</f>
        <v>1</v>
      </c>
      <c r="X74" s="517" t="s">
        <v>419</v>
      </c>
      <c r="Y74" s="964"/>
      <c r="Z74" s="992"/>
      <c r="AB74" s="89"/>
      <c r="AC74" s="216"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8" t="s">
        <v>522</v>
      </c>
    </row>
    <row r="75" spans="5:65" ht="21.75" customHeight="1" x14ac:dyDescent="0.15">
      <c r="E75" s="448">
        <v>22.5</v>
      </c>
      <c r="F75" s="3" t="str" cm="1">
        <f t="array" aca="1" ref="F75" ca="1">OFFSET(E75,-1,1)</f>
        <v>1</v>
      </c>
      <c r="H75" s="38" t="s">
        <v>523</v>
      </c>
      <c r="U75" s="353" t="b" cm="1">
        <f t="array" aca="1" ref="U75" ca="1">U74</f>
        <v>1</v>
      </c>
      <c r="Y75" s="964"/>
      <c r="Z75" s="992"/>
      <c r="AB75" s="39" t="s">
        <v>524</v>
      </c>
      <c r="AC75" s="105" t="s">
        <v>525</v>
      </c>
      <c r="AD75" s="11" t="s">
        <v>510</v>
      </c>
      <c r="AE75" s="188"/>
      <c r="AF75" s="190"/>
      <c r="AG75" s="191"/>
      <c r="AH75" s="113"/>
      <c r="AI75" s="188"/>
      <c r="AJ75" s="190"/>
      <c r="AK75" s="190"/>
      <c r="AL75" s="193">
        <f>IF(AI75&lt;&gt;0,AK75/AI75,0)</f>
        <v>0</v>
      </c>
      <c r="AM75" s="192">
        <f>AK75-AJ75</f>
        <v>0</v>
      </c>
      <c r="AN75" s="113"/>
      <c r="AO75" s="825"/>
      <c r="AP75" s="825"/>
      <c r="AQ75" s="188"/>
      <c r="AR75" s="188"/>
      <c r="AS75" s="188"/>
      <c r="AT75" s="188"/>
      <c r="AU75" s="188"/>
      <c r="AV75" s="188"/>
      <c r="AW75" s="188"/>
      <c r="AX75" s="825"/>
      <c r="AY75" s="825"/>
      <c r="AZ75" s="188"/>
      <c r="BA75" s="188"/>
      <c r="BB75" s="188"/>
      <c r="BC75" s="188"/>
      <c r="BD75" s="188"/>
      <c r="BE75" s="188"/>
      <c r="BF75" s="188"/>
      <c r="BI75" s="656" t="s">
        <v>526</v>
      </c>
    </row>
    <row r="76" spans="5:65" ht="21.75" hidden="1" customHeight="1" x14ac:dyDescent="0.15">
      <c r="E76" s="448">
        <v>22.5</v>
      </c>
      <c r="F76" s="3" t="str" cm="1">
        <f t="array" aca="1" ref="F76" ca="1">OFFSET(E76,-1,1)</f>
        <v>1</v>
      </c>
      <c r="I76" s="38" cm="1">
        <f t="array" ref="I76">AC76</f>
        <v>0</v>
      </c>
      <c r="U76" s="353" t="b">
        <f ca="1">AND(F76&gt;0,--RIGHT(AB76,1)&gt;1)</f>
        <v>0</v>
      </c>
      <c r="X76" s="517" t="s">
        <v>172</v>
      </c>
      <c r="Y76" s="964"/>
      <c r="Z76" s="992"/>
      <c r="AA76" s="320" t="s">
        <v>173</v>
      </c>
      <c r="AB76" s="39" t="s">
        <v>524</v>
      </c>
      <c r="AC76" s="837"/>
      <c r="AD76" s="11" t="s">
        <v>510</v>
      </c>
      <c r="AE76" s="825"/>
      <c r="AF76" s="827"/>
      <c r="AG76" s="836"/>
      <c r="AH76" s="826"/>
      <c r="AI76" s="825"/>
      <c r="AJ76" s="827"/>
      <c r="AK76" s="827"/>
      <c r="AL76" s="193">
        <f>IF(AI76&lt;&gt;0,AK76/AI76,0)</f>
        <v>0</v>
      </c>
      <c r="AM76" s="192">
        <f>AK76-AJ76</f>
        <v>0</v>
      </c>
      <c r="AN76" s="826"/>
      <c r="AO76" s="825"/>
      <c r="AP76" s="825"/>
      <c r="AQ76" s="825"/>
      <c r="AR76" s="825"/>
      <c r="AS76" s="825"/>
      <c r="AT76" s="825"/>
      <c r="AU76" s="825"/>
      <c r="AV76" s="825"/>
      <c r="AW76" s="825"/>
      <c r="AX76" s="825"/>
      <c r="AY76" s="825"/>
      <c r="AZ76" s="825"/>
      <c r="BA76" s="825"/>
      <c r="BB76" s="825"/>
      <c r="BC76" s="825"/>
      <c r="BD76" s="825"/>
      <c r="BE76" s="825"/>
      <c r="BF76" s="825"/>
      <c r="BI76" s="656" t="s">
        <v>526</v>
      </c>
      <c r="BJ76" s="656" t="s">
        <v>527</v>
      </c>
      <c r="BK76" s="656" cm="1">
        <f t="array" ref="BK76">AC76</f>
        <v>0</v>
      </c>
      <c r="BM76" s="448" t="b">
        <v>1</v>
      </c>
    </row>
    <row r="77" spans="5:65" ht="14.25" customHeight="1" x14ac:dyDescent="0.15">
      <c r="E77" s="448">
        <v>15</v>
      </c>
      <c r="F77" s="3" t="str" cm="1">
        <f t="array" aca="1" ref="F77" ca="1">OFFSET(E77,-1,1)</f>
        <v>1</v>
      </c>
      <c r="U77" s="353" t="b">
        <f ca="1">F77&gt;0</f>
        <v>1</v>
      </c>
      <c r="X77" s="517" t="s">
        <v>419</v>
      </c>
      <c r="Y77" s="964"/>
      <c r="Z77" s="992"/>
      <c r="AB77" s="89"/>
      <c r="AC77" s="216"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8" t="s">
        <v>527</v>
      </c>
    </row>
    <row r="78" spans="5:65" ht="115.7" customHeight="1" x14ac:dyDescent="0.15">
      <c r="E78" s="448">
        <v>15</v>
      </c>
      <c r="F78" s="3" t="str" cm="1">
        <f t="array" aca="1" ref="F78" ca="1">OFFSET(E78,-1,1)</f>
        <v>1</v>
      </c>
      <c r="H78" s="38" t="s">
        <v>335</v>
      </c>
      <c r="U78" s="353" t="b" cm="1">
        <f t="array" aca="1" ref="U78" ca="1">U77</f>
        <v>1</v>
      </c>
      <c r="Y78" s="964"/>
      <c r="Z78" s="992"/>
      <c r="AB78" s="49">
        <v>3</v>
      </c>
      <c r="AC78" s="55" t="s">
        <v>528</v>
      </c>
      <c r="AD78" s="52" t="s">
        <v>476</v>
      </c>
      <c r="AE78" s="188">
        <v>2.2000000000000002</v>
      </c>
      <c r="AF78" s="190">
        <v>2.2000000000000002</v>
      </c>
      <c r="AG78" s="191">
        <v>2.2000000000000002</v>
      </c>
      <c r="AH78" s="113" t="s">
        <v>544</v>
      </c>
      <c r="AI78" s="188">
        <v>2.2000000000000002</v>
      </c>
      <c r="AJ78" s="190">
        <v>2.2000000000000002</v>
      </c>
      <c r="AK78" s="190">
        <v>2.2000000000000002</v>
      </c>
      <c r="AL78" s="193">
        <f>IF(AI78&lt;&gt;0,AK78/AI78,0)</f>
        <v>1</v>
      </c>
      <c r="AM78" s="192">
        <f>AK78-AJ78</f>
        <v>0</v>
      </c>
      <c r="AN78" s="113" t="s">
        <v>544</v>
      </c>
      <c r="AO78" s="825"/>
      <c r="AP78" s="825"/>
      <c r="AQ78" s="188"/>
      <c r="AR78" s="188"/>
      <c r="AS78" s="188"/>
      <c r="AT78" s="188"/>
      <c r="AU78" s="188"/>
      <c r="AV78" s="188"/>
      <c r="AW78" s="188"/>
      <c r="AX78" s="825"/>
      <c r="AY78" s="825"/>
      <c r="AZ78" s="188"/>
      <c r="BA78" s="188"/>
      <c r="BB78" s="188"/>
      <c r="BC78" s="188"/>
      <c r="BD78" s="188"/>
      <c r="BE78" s="188"/>
      <c r="BF78" s="188"/>
      <c r="BI78" s="656" t="s">
        <v>529</v>
      </c>
    </row>
    <row r="79" spans="5:65" ht="14.25" customHeight="1" x14ac:dyDescent="0.15">
      <c r="E79" s="448">
        <v>15</v>
      </c>
      <c r="F79" s="3" t="str" cm="1">
        <f t="array" aca="1" ref="F79" ca="1">OFFSET(E79,-1,1)</f>
        <v>1</v>
      </c>
      <c r="H79" s="38" t="s">
        <v>334</v>
      </c>
      <c r="U79" s="353" t="b" cm="1">
        <f t="array" aca="1" ref="U79" ca="1">U78</f>
        <v>1</v>
      </c>
      <c r="Y79" s="964"/>
      <c r="Z79" s="992"/>
      <c r="AB79" s="49">
        <v>4</v>
      </c>
      <c r="AC79" s="55" t="s">
        <v>530</v>
      </c>
      <c r="AD79" s="52" t="s">
        <v>476</v>
      </c>
      <c r="AE79" s="188"/>
      <c r="AF79" s="190"/>
      <c r="AG79" s="191"/>
      <c r="AH79" s="113"/>
      <c r="AI79" s="188"/>
      <c r="AJ79" s="190"/>
      <c r="AK79" s="190"/>
      <c r="AL79" s="193">
        <f>IF(AI79&lt;&gt;0,AK79/AI79,0)</f>
        <v>0</v>
      </c>
      <c r="AM79" s="192">
        <f>AK79-AJ79</f>
        <v>0</v>
      </c>
      <c r="AN79" s="113"/>
      <c r="AO79" s="825"/>
      <c r="AP79" s="825"/>
      <c r="AQ79" s="188"/>
      <c r="AR79" s="188"/>
      <c r="AS79" s="188"/>
      <c r="AT79" s="188"/>
      <c r="AU79" s="188"/>
      <c r="AV79" s="188"/>
      <c r="AW79" s="188"/>
      <c r="AX79" s="825"/>
      <c r="AY79" s="825"/>
      <c r="AZ79" s="188"/>
      <c r="BA79" s="188"/>
      <c r="BB79" s="188"/>
      <c r="BC79" s="188"/>
      <c r="BD79" s="188"/>
      <c r="BE79" s="188"/>
      <c r="BF79" s="188"/>
      <c r="BI79" s="656" t="s">
        <v>531</v>
      </c>
    </row>
    <row r="80" spans="5:65" ht="14.25" customHeight="1" x14ac:dyDescent="0.15">
      <c r="E80" s="448">
        <v>15</v>
      </c>
      <c r="F80" s="3" t="str" cm="1">
        <f t="array" aca="1" ref="F80" ca="1">OFFSET(E80,-1,1)</f>
        <v>1</v>
      </c>
      <c r="H80" s="38" t="s">
        <v>532</v>
      </c>
      <c r="U80" s="353" t="b" cm="1">
        <f t="array" aca="1" ref="U80" ca="1">U79</f>
        <v>1</v>
      </c>
      <c r="Y80" s="964"/>
      <c r="Z80" s="992"/>
      <c r="AB80" s="39" t="s">
        <v>460</v>
      </c>
      <c r="AC80" s="54" t="s">
        <v>533</v>
      </c>
      <c r="AD80" s="52"/>
      <c r="AE80" s="191"/>
      <c r="AF80" s="191"/>
      <c r="AG80" s="191"/>
      <c r="AH80" s="196"/>
      <c r="AI80" s="191"/>
      <c r="AJ80" s="191"/>
      <c r="AK80" s="191"/>
      <c r="AL80" s="193">
        <f>IF(AI80&lt;&gt;0,AK80/AI80,0)</f>
        <v>0</v>
      </c>
      <c r="AM80" s="192">
        <f>AK80-AJ80</f>
        <v>0</v>
      </c>
      <c r="AN80" s="196"/>
      <c r="AO80" s="836"/>
      <c r="AP80" s="836"/>
      <c r="AQ80" s="191"/>
      <c r="AR80" s="191"/>
      <c r="AS80" s="191"/>
      <c r="AT80" s="191"/>
      <c r="AU80" s="191"/>
      <c r="AV80" s="191"/>
      <c r="AW80" s="191"/>
      <c r="AX80" s="836"/>
      <c r="AY80" s="836"/>
      <c r="AZ80" s="191"/>
      <c r="BA80" s="191"/>
      <c r="BB80" s="191"/>
      <c r="BC80" s="191"/>
      <c r="BD80" s="191"/>
      <c r="BE80" s="191"/>
      <c r="BF80" s="191"/>
      <c r="BI80" s="656" t="s">
        <v>534</v>
      </c>
    </row>
    <row r="81" spans="1:65" ht="14.25" customHeight="1" x14ac:dyDescent="0.15">
      <c r="E81" s="448">
        <v>15</v>
      </c>
      <c r="F81" s="3" t="str" cm="1">
        <f t="array" aca="1" ref="F81" ca="1">OFFSET(E81,-1,1)</f>
        <v>1</v>
      </c>
      <c r="H81" s="38" t="s">
        <v>535</v>
      </c>
      <c r="U81" s="353" t="b" cm="1">
        <f t="array" aca="1" ref="U81" ca="1">U80</f>
        <v>1</v>
      </c>
      <c r="Y81" s="964"/>
      <c r="Z81" s="992"/>
      <c r="AB81" s="39" t="s">
        <v>536</v>
      </c>
      <c r="AC81" s="53" t="s">
        <v>537</v>
      </c>
      <c r="AD81" s="52"/>
      <c r="AE81" s="191"/>
      <c r="AF81" s="191"/>
      <c r="AG81" s="191"/>
      <c r="AH81" s="196"/>
      <c r="AI81" s="191"/>
      <c r="AJ81" s="191"/>
      <c r="AK81" s="191"/>
      <c r="AL81" s="193">
        <f>IF(AI81&lt;&gt;0,AK81/AI81,0)</f>
        <v>0</v>
      </c>
      <c r="AM81" s="192">
        <f>AK81-AJ81</f>
        <v>0</v>
      </c>
      <c r="AN81" s="196"/>
      <c r="AO81" s="836"/>
      <c r="AP81" s="836"/>
      <c r="AQ81" s="191"/>
      <c r="AR81" s="191"/>
      <c r="AS81" s="191"/>
      <c r="AT81" s="191"/>
      <c r="AU81" s="191"/>
      <c r="AV81" s="191"/>
      <c r="AW81" s="191"/>
      <c r="AX81" s="836"/>
      <c r="AY81" s="836"/>
      <c r="AZ81" s="191"/>
      <c r="BA81" s="191"/>
      <c r="BB81" s="191"/>
      <c r="BC81" s="191"/>
      <c r="BD81" s="191"/>
      <c r="BE81" s="191"/>
      <c r="BF81" s="191"/>
      <c r="BI81" s="656" t="s">
        <v>538</v>
      </c>
    </row>
    <row r="82" spans="1:65" s="838" customFormat="1" ht="25.7" customHeight="1" x14ac:dyDescent="0.15">
      <c r="A82" s="60"/>
      <c r="B82" s="326"/>
      <c r="C82" s="60"/>
      <c r="D82" s="60"/>
      <c r="E82" s="459">
        <v>15</v>
      </c>
      <c r="F82" s="275" t="str" cm="1">
        <f t="array" ref="F82">Y82</f>
        <v>2</v>
      </c>
      <c r="G82" s="60"/>
      <c r="H82" s="60"/>
      <c r="I82" s="60"/>
      <c r="J82" s="60"/>
      <c r="K82" s="60"/>
      <c r="L82" s="60"/>
      <c r="M82" s="60"/>
      <c r="N82" s="60"/>
      <c r="O82" s="60"/>
      <c r="P82" s="60"/>
      <c r="Q82" s="60"/>
      <c r="R82" s="60"/>
      <c r="S82" s="60"/>
      <c r="T82" s="60"/>
      <c r="U82" s="353" t="b">
        <f>Y82&gt;0</f>
        <v>1</v>
      </c>
      <c r="V82" s="60"/>
      <c r="W82" s="60" t="str" cm="1">
        <f t="array" ref="W82">'Список объектов'!$AB$39</f>
        <v>Тариф 2 (Водоотведение) - тариф на водоотведение</v>
      </c>
      <c r="X82" s="60"/>
      <c r="Y82" s="964" t="s">
        <v>285</v>
      </c>
      <c r="Z82" s="992"/>
      <c r="AA82" s="60"/>
      <c r="AB82" s="97" t="str" cm="1">
        <f t="array" ref="AB82">'Список объектов'!$AB$39</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69"/>
      <c r="BJ82" s="669"/>
      <c r="BK82" s="669"/>
      <c r="BL82" s="459"/>
      <c r="BM82" s="459"/>
    </row>
    <row r="83" spans="1:65" ht="26.45" customHeight="1" x14ac:dyDescent="0.15">
      <c r="E83" s="448">
        <v>15</v>
      </c>
      <c r="F83" s="3" t="str" cm="1">
        <f t="array" aca="1" ref="F83" ca="1">OFFSET(E83,-1,1)</f>
        <v>2</v>
      </c>
      <c r="G83" s="38" t="s">
        <v>479</v>
      </c>
      <c r="U83" s="353" t="b" cm="1">
        <f t="array" ref="U83">U82</f>
        <v>1</v>
      </c>
      <c r="Y83" s="964"/>
      <c r="Z83" s="992"/>
      <c r="AB83" s="182"/>
      <c r="AC83" s="183" t="s">
        <v>480</v>
      </c>
      <c r="AD83" s="184"/>
      <c r="AE83" s="184"/>
      <c r="AF83" s="184"/>
      <c r="AG83" s="184"/>
      <c r="AH83" s="184"/>
      <c r="AI83" s="213">
        <f>(1-AI84/100)*(1+AI85/100)*(1+AI87/100)</f>
        <v>1.04742</v>
      </c>
      <c r="AJ83" s="213">
        <f>(1-AJ84/100)*(1+AJ85/100)*(1+AJ87/100)</f>
        <v>1.0345499999999999</v>
      </c>
      <c r="AK83" s="213">
        <f>(1-AK84/100)*(1+AK85/100)*(1+AK87/100)</f>
        <v>1.03257</v>
      </c>
      <c r="AL83" s="184"/>
      <c r="AM83" s="184"/>
      <c r="AN83" s="184"/>
      <c r="AO83" s="213">
        <f t="shared" ref="AO83:BF83" si="4">(1-AO84/100)*(1+AO85/100)*(1+AO87/100)</f>
        <v>1</v>
      </c>
      <c r="AP83" s="213">
        <f t="shared" si="4"/>
        <v>1</v>
      </c>
      <c r="AQ83" s="213">
        <f t="shared" si="4"/>
        <v>1</v>
      </c>
      <c r="AR83" s="213">
        <f t="shared" si="4"/>
        <v>1</v>
      </c>
      <c r="AS83" s="213">
        <f t="shared" si="4"/>
        <v>1</v>
      </c>
      <c r="AT83" s="213">
        <f t="shared" si="4"/>
        <v>1</v>
      </c>
      <c r="AU83" s="213">
        <f t="shared" si="4"/>
        <v>1</v>
      </c>
      <c r="AV83" s="213">
        <f t="shared" si="4"/>
        <v>1</v>
      </c>
      <c r="AW83" s="213">
        <f t="shared" si="4"/>
        <v>1</v>
      </c>
      <c r="AX83" s="213">
        <f t="shared" si="4"/>
        <v>1</v>
      </c>
      <c r="AY83" s="213">
        <f t="shared" si="4"/>
        <v>1</v>
      </c>
      <c r="AZ83" s="213">
        <f t="shared" si="4"/>
        <v>1</v>
      </c>
      <c r="BA83" s="213">
        <f t="shared" si="4"/>
        <v>1</v>
      </c>
      <c r="BB83" s="213">
        <f t="shared" si="4"/>
        <v>1</v>
      </c>
      <c r="BC83" s="213">
        <f t="shared" si="4"/>
        <v>1</v>
      </c>
      <c r="BD83" s="213">
        <f t="shared" si="4"/>
        <v>1</v>
      </c>
      <c r="BE83" s="213">
        <f t="shared" si="4"/>
        <v>1</v>
      </c>
      <c r="BF83" s="213">
        <f t="shared" si="4"/>
        <v>1</v>
      </c>
    </row>
    <row r="84" spans="1:65" ht="71.45" customHeight="1" x14ac:dyDescent="0.15">
      <c r="B84" s="342" t="b">
        <f>method_reg&lt;&gt;"Метод экономически обоснованных расходов"</f>
        <v>1</v>
      </c>
      <c r="E84" s="448">
        <v>22.5</v>
      </c>
      <c r="F84" s="3" t="str" cm="1">
        <f t="array" aca="1" ref="F84" ca="1">OFFSET(E84,-1,1)</f>
        <v>2</v>
      </c>
      <c r="G84" s="38" t="s">
        <v>481</v>
      </c>
      <c r="H84" s="38" t="s">
        <v>482</v>
      </c>
      <c r="U84" s="353" t="b" cm="1">
        <f t="array" ref="U84">U83</f>
        <v>1</v>
      </c>
      <c r="Y84" s="964"/>
      <c r="Z84" s="992"/>
      <c r="AB84" s="49">
        <v>1</v>
      </c>
      <c r="AC84" s="50" t="s">
        <v>483</v>
      </c>
      <c r="AD84" s="52" t="s">
        <v>476</v>
      </c>
      <c r="AE84" s="188"/>
      <c r="AF84" s="188"/>
      <c r="AG84" s="188"/>
      <c r="AH84" s="113"/>
      <c r="AI84" s="188">
        <v>1</v>
      </c>
      <c r="AJ84" s="188">
        <v>1</v>
      </c>
      <c r="AK84" s="188">
        <v>1</v>
      </c>
      <c r="AL84" s="193">
        <f>IF(AI84&lt;&gt;0,AK84/AI84,0)</f>
        <v>1</v>
      </c>
      <c r="AM84" s="192">
        <f>AK84-AJ84</f>
        <v>0</v>
      </c>
      <c r="AN84" s="113" t="s">
        <v>539</v>
      </c>
      <c r="AO84" s="825"/>
      <c r="AP84" s="825"/>
      <c r="AQ84" s="188"/>
      <c r="AR84" s="188"/>
      <c r="AS84" s="188"/>
      <c r="AT84" s="188"/>
      <c r="AU84" s="188"/>
      <c r="AV84" s="188"/>
      <c r="AW84" s="188"/>
      <c r="AX84" s="825"/>
      <c r="AY84" s="825"/>
      <c r="AZ84" s="188"/>
      <c r="BA84" s="188"/>
      <c r="BB84" s="188"/>
      <c r="BC84" s="188"/>
      <c r="BD84" s="188"/>
      <c r="BE84" s="188"/>
      <c r="BF84" s="188"/>
      <c r="BI84" s="656" t="s">
        <v>484</v>
      </c>
    </row>
    <row r="85" spans="1:65" ht="57.75" customHeight="1" x14ac:dyDescent="0.15">
      <c r="E85" s="448">
        <v>15</v>
      </c>
      <c r="F85" s="3" t="str" cm="1">
        <f t="array" aca="1" ref="F85" ca="1">OFFSET(E85,-1,1)</f>
        <v>2</v>
      </c>
      <c r="G85" s="38" t="s">
        <v>485</v>
      </c>
      <c r="H85" s="38" t="s">
        <v>486</v>
      </c>
      <c r="U85" s="353" t="b" cm="1">
        <f t="array" ref="U85">U84</f>
        <v>1</v>
      </c>
      <c r="Y85" s="964"/>
      <c r="Z85" s="992"/>
      <c r="AB85" s="49">
        <f>IF(B84,2,1)</f>
        <v>2</v>
      </c>
      <c r="AC85" s="51" t="s">
        <v>487</v>
      </c>
      <c r="AD85" s="52" t="s">
        <v>476</v>
      </c>
      <c r="AE85" s="188">
        <v>7.2</v>
      </c>
      <c r="AF85" s="188"/>
      <c r="AG85" s="188">
        <v>8</v>
      </c>
      <c r="AH85" s="113" t="s">
        <v>540</v>
      </c>
      <c r="AI85" s="188">
        <v>5.8</v>
      </c>
      <c r="AJ85" s="188">
        <v>4.5</v>
      </c>
      <c r="AK85" s="188">
        <v>4.3</v>
      </c>
      <c r="AL85" s="193">
        <f>IF(AI85&lt;&gt;0,AK85/AI85,0)</f>
        <v>0.74137931034482762</v>
      </c>
      <c r="AM85" s="192">
        <f>AK85-AJ85</f>
        <v>-0.20000000000000018</v>
      </c>
      <c r="AN85" s="113" t="s">
        <v>540</v>
      </c>
      <c r="AO85" s="825"/>
      <c r="AP85" s="825"/>
      <c r="AQ85" s="188"/>
      <c r="AR85" s="188"/>
      <c r="AS85" s="188"/>
      <c r="AT85" s="188"/>
      <c r="AU85" s="188"/>
      <c r="AV85" s="188"/>
      <c r="AW85" s="188"/>
      <c r="AX85" s="825"/>
      <c r="AY85" s="825"/>
      <c r="AZ85" s="188"/>
      <c r="BA85" s="188"/>
      <c r="BB85" s="188"/>
      <c r="BC85" s="188"/>
      <c r="BD85" s="188"/>
      <c r="BE85" s="188"/>
      <c r="BF85" s="188"/>
      <c r="BI85" s="656" t="s">
        <v>488</v>
      </c>
    </row>
    <row r="86" spans="1:65" ht="59.1" customHeight="1" x14ac:dyDescent="0.15">
      <c r="E86" s="448">
        <v>15</v>
      </c>
      <c r="F86" s="3" t="str" cm="1">
        <f t="array" aca="1" ref="F86" ca="1">OFFSET(E86,-1,1)</f>
        <v>2</v>
      </c>
      <c r="H86" s="38" t="s">
        <v>489</v>
      </c>
      <c r="U86" s="353" t="b" cm="1">
        <f t="array" ref="U86">U85</f>
        <v>1</v>
      </c>
      <c r="Y86" s="964"/>
      <c r="Z86" s="992"/>
      <c r="AB86" s="49">
        <f>AB85+1</f>
        <v>3</v>
      </c>
      <c r="AC86" s="53" t="s">
        <v>490</v>
      </c>
      <c r="AD86" s="52" t="s">
        <v>476</v>
      </c>
      <c r="AE86" s="188">
        <v>5.6</v>
      </c>
      <c r="AF86" s="188"/>
      <c r="AG86" s="188">
        <v>5.0999999999999996</v>
      </c>
      <c r="AH86" s="113" t="s">
        <v>540</v>
      </c>
      <c r="AI86" s="188">
        <v>9.8000000000000007</v>
      </c>
      <c r="AJ86" s="188">
        <v>4.9000000000000004</v>
      </c>
      <c r="AK86" s="188">
        <v>4</v>
      </c>
      <c r="AL86" s="193">
        <f>IF(AI86&lt;&gt;0,AK86/AI86,0)</f>
        <v>0.4081632653061224</v>
      </c>
      <c r="AM86" s="192">
        <f>AK86-AJ86</f>
        <v>-0.90000000000000036</v>
      </c>
      <c r="AN86" s="113" t="s">
        <v>540</v>
      </c>
      <c r="AO86" s="825"/>
      <c r="AP86" s="825"/>
      <c r="AQ86" s="188"/>
      <c r="AR86" s="188"/>
      <c r="AS86" s="188"/>
      <c r="AT86" s="188"/>
      <c r="AU86" s="188"/>
      <c r="AV86" s="188"/>
      <c r="AW86" s="188"/>
      <c r="AX86" s="825"/>
      <c r="AY86" s="825"/>
      <c r="AZ86" s="188"/>
      <c r="BA86" s="188"/>
      <c r="BB86" s="188"/>
      <c r="BC86" s="188"/>
      <c r="BD86" s="188"/>
      <c r="BE86" s="188"/>
      <c r="BF86" s="188"/>
      <c r="BI86" s="656" t="s">
        <v>491</v>
      </c>
    </row>
    <row r="87" spans="1:65" ht="14.65" customHeight="1" x14ac:dyDescent="0.15">
      <c r="B87" s="342" t="b">
        <f>method_reg&lt;&gt;"Метод экономически обоснованных расходов"</f>
        <v>1</v>
      </c>
      <c r="E87" s="448">
        <v>15</v>
      </c>
      <c r="F87" s="3" t="str" cm="1">
        <f t="array" aca="1" ref="F87" ca="1">OFFSET(E87,-1,1)</f>
        <v>2</v>
      </c>
      <c r="G87" s="38" t="s">
        <v>492</v>
      </c>
      <c r="H87" s="38" t="s">
        <v>493</v>
      </c>
      <c r="U87" s="353" t="b" cm="1">
        <f t="array" ref="U87">U86</f>
        <v>1</v>
      </c>
      <c r="Y87" s="964"/>
      <c r="Z87" s="992"/>
      <c r="AB87" s="49">
        <v>4</v>
      </c>
      <c r="AC87" s="51" t="s">
        <v>494</v>
      </c>
      <c r="AD87" s="52" t="s">
        <v>476</v>
      </c>
      <c r="AE87" s="188">
        <v>0</v>
      </c>
      <c r="AF87" s="188"/>
      <c r="AG87" s="188">
        <v>0</v>
      </c>
      <c r="AH87" s="113"/>
      <c r="AI87" s="188">
        <v>0</v>
      </c>
      <c r="AJ87" s="188">
        <v>0</v>
      </c>
      <c r="AK87" s="188">
        <v>0</v>
      </c>
      <c r="AL87" s="193">
        <f>IF(AI87&lt;&gt;0,AK87/AI87,0)</f>
        <v>0</v>
      </c>
      <c r="AM87" s="192">
        <f>AK87-AJ87</f>
        <v>0</v>
      </c>
      <c r="AN87" s="113"/>
      <c r="AO87" s="825"/>
      <c r="AP87" s="825"/>
      <c r="AQ87" s="188"/>
      <c r="AR87" s="188"/>
      <c r="AS87" s="188"/>
      <c r="AT87" s="188"/>
      <c r="AU87" s="188"/>
      <c r="AV87" s="188"/>
      <c r="AW87" s="188"/>
      <c r="AX87" s="825"/>
      <c r="AY87" s="825"/>
      <c r="AZ87" s="188"/>
      <c r="BA87" s="188"/>
      <c r="BB87" s="188"/>
      <c r="BC87" s="188"/>
      <c r="BD87" s="188"/>
      <c r="BE87" s="188"/>
      <c r="BF87" s="188"/>
      <c r="BI87" s="656" t="s">
        <v>495</v>
      </c>
    </row>
    <row r="88" spans="1:65" s="4" customFormat="1" ht="14.25" customHeight="1" x14ac:dyDescent="0.15">
      <c r="A88" s="38"/>
      <c r="B88" s="342"/>
      <c r="C88" s="38"/>
      <c r="D88" s="38"/>
      <c r="E88" s="448">
        <v>15</v>
      </c>
      <c r="F88" s="267" t="str" cm="1">
        <f t="array" aca="1" ref="F88" ca="1">OFFSET(E88,-1,1)</f>
        <v>2</v>
      </c>
      <c r="G88" s="38"/>
      <c r="H88" s="38"/>
      <c r="I88" s="38"/>
      <c r="J88" s="38"/>
      <c r="K88" s="38"/>
      <c r="L88" s="38"/>
      <c r="M88" s="38"/>
      <c r="N88" s="38"/>
      <c r="O88" s="38"/>
      <c r="P88" s="38"/>
      <c r="Q88" s="38"/>
      <c r="R88" s="38"/>
      <c r="S88" s="38"/>
      <c r="T88" s="38"/>
      <c r="U88" s="353" t="b" cm="1">
        <f t="array" ref="U88">U87</f>
        <v>1</v>
      </c>
      <c r="V88" s="38"/>
      <c r="W88" s="38"/>
      <c r="X88" s="38"/>
      <c r="Y88" s="964"/>
      <c r="Z88" s="992"/>
      <c r="AA88" s="38"/>
      <c r="AB88" s="49">
        <v>5</v>
      </c>
      <c r="AC88" s="51" t="s">
        <v>496</v>
      </c>
      <c r="AD88" s="52" t="s">
        <v>476</v>
      </c>
      <c r="AE88" s="188"/>
      <c r="AF88" s="188"/>
      <c r="AG88" s="188"/>
      <c r="AH88" s="113"/>
      <c r="AI88" s="188"/>
      <c r="AJ88" s="188"/>
      <c r="AK88" s="188"/>
      <c r="AL88" s="193">
        <f>IF(AI88&lt;&gt;0,AK88/AI88,0)</f>
        <v>0</v>
      </c>
      <c r="AM88" s="192">
        <f>AK88-AJ88</f>
        <v>0</v>
      </c>
      <c r="AN88" s="113"/>
      <c r="AO88" s="825"/>
      <c r="AP88" s="825"/>
      <c r="AQ88" s="188"/>
      <c r="AR88" s="188"/>
      <c r="AS88" s="188"/>
      <c r="AT88" s="188"/>
      <c r="AU88" s="188"/>
      <c r="AV88" s="188"/>
      <c r="AW88" s="188"/>
      <c r="AX88" s="825"/>
      <c r="AY88" s="825"/>
      <c r="AZ88" s="188"/>
      <c r="BA88" s="188"/>
      <c r="BB88" s="188"/>
      <c r="BC88" s="188"/>
      <c r="BD88" s="188"/>
      <c r="BE88" s="188"/>
      <c r="BF88" s="188"/>
      <c r="BG88" s="38"/>
      <c r="BH88" s="38"/>
      <c r="BI88" s="656" t="s">
        <v>497</v>
      </c>
      <c r="BJ88" s="656"/>
      <c r="BK88" s="656"/>
      <c r="BL88" s="448"/>
      <c r="BM88" s="448"/>
    </row>
    <row r="89" spans="1:65" ht="26.45" customHeight="1" x14ac:dyDescent="0.15">
      <c r="E89" s="448">
        <v>15</v>
      </c>
      <c r="F89" s="3" t="str" cm="1">
        <f t="array" aca="1" ref="F89" ca="1">OFFSET(E89,-1,1)</f>
        <v>2</v>
      </c>
      <c r="U89" s="353" t="b" cm="1">
        <f t="array" ref="U89">U87</f>
        <v>1</v>
      </c>
      <c r="Y89" s="964"/>
      <c r="Z89" s="992"/>
      <c r="AB89" s="182"/>
      <c r="AC89" s="183" t="s">
        <v>498</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67.900000000000006" customHeight="1" x14ac:dyDescent="0.15">
      <c r="E90" s="448">
        <v>15</v>
      </c>
      <c r="F90" s="3" t="str" cm="1">
        <f t="array" aca="1" ref="F90" ca="1">OFFSET(E90,-1,1)</f>
        <v>2</v>
      </c>
      <c r="G90" s="38" t="s">
        <v>499</v>
      </c>
      <c r="H90" s="38" t="s">
        <v>500</v>
      </c>
      <c r="U90" s="353" t="b" cm="1">
        <f t="array" ref="U90">U89</f>
        <v>1</v>
      </c>
      <c r="Y90" s="964"/>
      <c r="Z90" s="992"/>
      <c r="AB90" s="49">
        <v>1</v>
      </c>
      <c r="AC90" s="51" t="s">
        <v>501</v>
      </c>
      <c r="AD90" s="52" t="s">
        <v>476</v>
      </c>
      <c r="AE90" s="190">
        <v>30.58</v>
      </c>
      <c r="AF90" s="190">
        <v>35.5810176357</v>
      </c>
      <c r="AG90" s="190">
        <v>30.58</v>
      </c>
      <c r="AH90" s="113" t="s">
        <v>541</v>
      </c>
      <c r="AI90" s="190">
        <v>30.58</v>
      </c>
      <c r="AJ90" s="190">
        <v>30.7</v>
      </c>
      <c r="AK90" s="190">
        <v>30.58</v>
      </c>
      <c r="AL90" s="193">
        <f>IF(AI90&lt;&gt;0,AK90/AI90,0)</f>
        <v>1</v>
      </c>
      <c r="AM90" s="192">
        <f>AK90-AJ90</f>
        <v>-0.12000000000000099</v>
      </c>
      <c r="AN90" s="113" t="s">
        <v>541</v>
      </c>
      <c r="AO90" s="827"/>
      <c r="AP90" s="827"/>
      <c r="AQ90" s="190"/>
      <c r="AR90" s="190"/>
      <c r="AS90" s="190"/>
      <c r="AT90" s="190"/>
      <c r="AU90" s="190"/>
      <c r="AV90" s="190"/>
      <c r="AW90" s="190"/>
      <c r="AX90" s="827"/>
      <c r="AY90" s="827"/>
      <c r="AZ90" s="190"/>
      <c r="BA90" s="190"/>
      <c r="BB90" s="190"/>
      <c r="BC90" s="190"/>
      <c r="BD90" s="190"/>
      <c r="BE90" s="190"/>
      <c r="BF90" s="190"/>
      <c r="BI90" s="656" t="s">
        <v>502</v>
      </c>
    </row>
    <row r="91" spans="1:65" ht="15" hidden="1" customHeight="1" x14ac:dyDescent="0.15">
      <c r="E91" s="448">
        <v>0</v>
      </c>
      <c r="F91" s="3" t="str" cm="1">
        <f t="array" aca="1" ref="F91" ca="1">OFFSET(E91,-1,1)</f>
        <v>2</v>
      </c>
      <c r="H91" s="38" t="s">
        <v>503</v>
      </c>
      <c r="U91" s="353" t="b" cm="1">
        <f t="array" ref="U91">U90</f>
        <v>1</v>
      </c>
      <c r="Y91" s="964"/>
      <c r="Z91" s="992"/>
      <c r="AB91" s="49">
        <v>2</v>
      </c>
      <c r="AC91" s="51" t="s">
        <v>475</v>
      </c>
      <c r="AD91" s="52" t="s">
        <v>476</v>
      </c>
      <c r="AE91" s="827"/>
      <c r="AF91" s="825"/>
      <c r="AG91" s="827"/>
      <c r="AH91" s="826"/>
      <c r="AI91" s="827"/>
      <c r="AJ91" s="827"/>
      <c r="AK91" s="827"/>
      <c r="AL91" s="193">
        <f>IF(AI91&lt;&gt;0,AK91/AI91,0)</f>
        <v>0</v>
      </c>
      <c r="AM91" s="192">
        <f>AK91-AJ91</f>
        <v>0</v>
      </c>
      <c r="AN91" s="826"/>
      <c r="AO91" s="827"/>
      <c r="AP91" s="827"/>
      <c r="AQ91" s="827"/>
      <c r="AR91" s="827"/>
      <c r="AS91" s="827"/>
      <c r="AT91" s="827"/>
      <c r="AU91" s="827"/>
      <c r="AV91" s="827"/>
      <c r="AW91" s="827"/>
      <c r="AX91" s="827"/>
      <c r="AY91" s="827"/>
      <c r="AZ91" s="827"/>
      <c r="BA91" s="827"/>
      <c r="BB91" s="827"/>
      <c r="BC91" s="827"/>
      <c r="BD91" s="827"/>
      <c r="BE91" s="827"/>
      <c r="BF91" s="827"/>
      <c r="BI91" s="656" t="s">
        <v>504</v>
      </c>
    </row>
    <row r="92" spans="1:65" ht="14.25" customHeight="1" x14ac:dyDescent="0.15">
      <c r="E92" s="448">
        <v>15</v>
      </c>
      <c r="F92" s="3" t="str" cm="1">
        <f t="array" aca="1" ref="F92" ca="1">OFFSET(E92,-1,1)</f>
        <v>2</v>
      </c>
      <c r="U92" s="353" t="b" cm="1">
        <f t="array" ref="U92">U91</f>
        <v>1</v>
      </c>
      <c r="Y92" s="964"/>
      <c r="Z92" s="992"/>
      <c r="AB92" s="436">
        <v>2</v>
      </c>
      <c r="AC92" s="437" t="s">
        <v>505</v>
      </c>
      <c r="AD92" s="13"/>
      <c r="AE92" s="438"/>
      <c r="AF92" s="439"/>
      <c r="AG92" s="440"/>
      <c r="AH92" s="441"/>
      <c r="AI92" s="438"/>
      <c r="AJ92" s="439"/>
      <c r="AK92" s="439"/>
      <c r="AL92" s="442"/>
      <c r="AM92" s="439"/>
      <c r="AN92" s="441"/>
      <c r="AO92" s="438"/>
      <c r="AP92" s="438"/>
      <c r="AQ92" s="438"/>
      <c r="AR92" s="438"/>
      <c r="AS92" s="438"/>
      <c r="AT92" s="438"/>
      <c r="AU92" s="438"/>
      <c r="AV92" s="438"/>
      <c r="AW92" s="438"/>
      <c r="AX92" s="438"/>
      <c r="AY92" s="438"/>
      <c r="AZ92" s="438"/>
      <c r="BA92" s="438"/>
      <c r="BB92" s="438"/>
      <c r="BC92" s="438"/>
      <c r="BD92" s="438"/>
      <c r="BE92" s="438"/>
      <c r="BF92" s="438"/>
      <c r="BI92" s="656" t="s">
        <v>506</v>
      </c>
    </row>
    <row r="93" spans="1:65" ht="21.75" customHeight="1" x14ac:dyDescent="0.15">
      <c r="E93" s="448">
        <v>22.5</v>
      </c>
      <c r="F93" s="3" t="str" cm="1">
        <f t="array" aca="1" ref="F93" ca="1">OFFSET(E93,-1,1)</f>
        <v>2</v>
      </c>
      <c r="H93" s="38" t="s">
        <v>507</v>
      </c>
      <c r="U93" s="353" t="b" cm="1">
        <f t="array" ref="U93">U92</f>
        <v>1</v>
      </c>
      <c r="Y93" s="964"/>
      <c r="Z93" s="992"/>
      <c r="AB93" s="133" t="s">
        <v>508</v>
      </c>
      <c r="AC93" s="127" t="s">
        <v>509</v>
      </c>
      <c r="AD93" s="10" t="s">
        <v>510</v>
      </c>
      <c r="AE93" s="215"/>
      <c r="AF93" s="443"/>
      <c r="AG93" s="444"/>
      <c r="AH93" s="217"/>
      <c r="AI93" s="215"/>
      <c r="AJ93" s="443"/>
      <c r="AK93" s="443"/>
      <c r="AL93" s="445">
        <f>IF(AI93&lt;&gt;0,AK93/AI93,0)</f>
        <v>0</v>
      </c>
      <c r="AM93" s="446">
        <f>AK93-AJ93</f>
        <v>0</v>
      </c>
      <c r="AN93" s="217"/>
      <c r="AO93" s="828"/>
      <c r="AP93" s="828"/>
      <c r="AQ93" s="215"/>
      <c r="AR93" s="215"/>
      <c r="AS93" s="215"/>
      <c r="AT93" s="215"/>
      <c r="AU93" s="215"/>
      <c r="AV93" s="215"/>
      <c r="AW93" s="215"/>
      <c r="AX93" s="828"/>
      <c r="AY93" s="828"/>
      <c r="AZ93" s="215"/>
      <c r="BA93" s="215"/>
      <c r="BB93" s="215"/>
      <c r="BC93" s="215"/>
      <c r="BD93" s="215"/>
      <c r="BE93" s="215"/>
      <c r="BF93" s="215"/>
      <c r="BI93" s="656" t="s">
        <v>511</v>
      </c>
    </row>
    <row r="94" spans="1:65" ht="21.75" hidden="1" customHeight="1" x14ac:dyDescent="0.15">
      <c r="E94" s="448">
        <v>22.5</v>
      </c>
      <c r="F94" s="3" t="str" cm="1">
        <f t="array" aca="1" ref="F94" ca="1">OFFSET(E94,-1,1)</f>
        <v>2</v>
      </c>
      <c r="I94" s="38" cm="1">
        <f t="array" ref="I94">AC94</f>
        <v>0</v>
      </c>
      <c r="U94" s="353" t="b">
        <f ca="1">AND(F94&gt;0,--RIGHT(AB94,1)&gt;1)</f>
        <v>0</v>
      </c>
      <c r="X94" s="517" t="s">
        <v>172</v>
      </c>
      <c r="Y94" s="964"/>
      <c r="Z94" s="992"/>
      <c r="AA94" s="320" t="s">
        <v>173</v>
      </c>
      <c r="AB94" s="133" t="s">
        <v>508</v>
      </c>
      <c r="AC94" s="780"/>
      <c r="AD94" s="10" t="s">
        <v>510</v>
      </c>
      <c r="AE94" s="828"/>
      <c r="AF94" s="829"/>
      <c r="AG94" s="776"/>
      <c r="AH94" s="830"/>
      <c r="AI94" s="828"/>
      <c r="AJ94" s="829"/>
      <c r="AK94" s="829"/>
      <c r="AL94" s="445">
        <f>IF(AI94&lt;&gt;0,AK94/AI94,0)</f>
        <v>0</v>
      </c>
      <c r="AM94" s="446">
        <f>AK94-AJ94</f>
        <v>0</v>
      </c>
      <c r="AN94" s="830"/>
      <c r="AO94" s="828"/>
      <c r="AP94" s="828"/>
      <c r="AQ94" s="828"/>
      <c r="AR94" s="828"/>
      <c r="AS94" s="828"/>
      <c r="AT94" s="828"/>
      <c r="AU94" s="828"/>
      <c r="AV94" s="828"/>
      <c r="AW94" s="828"/>
      <c r="AX94" s="828"/>
      <c r="AY94" s="828"/>
      <c r="AZ94" s="828"/>
      <c r="BA94" s="828"/>
      <c r="BB94" s="828"/>
      <c r="BC94" s="828"/>
      <c r="BD94" s="828"/>
      <c r="BE94" s="828"/>
      <c r="BF94" s="828"/>
      <c r="BI94" s="656" t="s">
        <v>511</v>
      </c>
      <c r="BJ94" s="656" t="s">
        <v>512</v>
      </c>
      <c r="BK94" s="656" cm="1">
        <f t="array" ref="BK94">AC94</f>
        <v>0</v>
      </c>
      <c r="BM94" s="448" t="b">
        <v>1</v>
      </c>
    </row>
    <row r="95" spans="1:65" ht="14.25" customHeight="1" x14ac:dyDescent="0.15">
      <c r="E95" s="448">
        <v>15</v>
      </c>
      <c r="F95" s="3" t="str" cm="1">
        <f t="array" aca="1" ref="F95" ca="1">OFFSET(E95,-1,1)</f>
        <v>2</v>
      </c>
      <c r="U95" s="353" t="b">
        <f ca="1">F95&gt;0</f>
        <v>1</v>
      </c>
      <c r="X95" s="517" t="s">
        <v>419</v>
      </c>
      <c r="Y95" s="964"/>
      <c r="Z95" s="992"/>
      <c r="AB95" s="89"/>
      <c r="AC95" s="216" t="s">
        <v>176</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48" t="s">
        <v>512</v>
      </c>
    </row>
    <row r="96" spans="1:65" ht="21.75" customHeight="1" x14ac:dyDescent="0.15">
      <c r="E96" s="448">
        <v>22.5</v>
      </c>
      <c r="F96" s="3" t="str" cm="1">
        <f t="array" aca="1" ref="F96" ca="1">OFFSET(E96,-1,1)</f>
        <v>2</v>
      </c>
      <c r="H96" s="38" t="s">
        <v>513</v>
      </c>
      <c r="U96" s="353" t="b" cm="1">
        <f t="array" aca="1" ref="U96" ca="1">U95</f>
        <v>1</v>
      </c>
      <c r="Y96" s="964"/>
      <c r="Z96" s="992"/>
      <c r="AB96" s="428" t="s">
        <v>514</v>
      </c>
      <c r="AC96" s="429" t="s">
        <v>515</v>
      </c>
      <c r="AD96" s="425" t="s">
        <v>510</v>
      </c>
      <c r="AE96" s="430"/>
      <c r="AF96" s="431"/>
      <c r="AG96" s="432"/>
      <c r="AH96" s="433"/>
      <c r="AI96" s="430"/>
      <c r="AJ96" s="431"/>
      <c r="AK96" s="431"/>
      <c r="AL96" s="434">
        <f>IF(AI96&lt;&gt;0,AK96/AI96,0)</f>
        <v>0</v>
      </c>
      <c r="AM96" s="435">
        <f>AK96-AJ96</f>
        <v>0</v>
      </c>
      <c r="AN96" s="433"/>
      <c r="AO96" s="831"/>
      <c r="AP96" s="831"/>
      <c r="AQ96" s="430"/>
      <c r="AR96" s="430"/>
      <c r="AS96" s="430"/>
      <c r="AT96" s="430"/>
      <c r="AU96" s="430"/>
      <c r="AV96" s="430"/>
      <c r="AW96" s="430"/>
      <c r="AX96" s="831"/>
      <c r="AY96" s="831"/>
      <c r="AZ96" s="430"/>
      <c r="BA96" s="430"/>
      <c r="BB96" s="430"/>
      <c r="BC96" s="430"/>
      <c r="BD96" s="430"/>
      <c r="BE96" s="430"/>
      <c r="BF96" s="430"/>
      <c r="BI96" s="656" t="s">
        <v>516</v>
      </c>
    </row>
    <row r="97" spans="1:65" ht="21.75" hidden="1" customHeight="1" x14ac:dyDescent="0.15">
      <c r="E97" s="448">
        <v>22.5</v>
      </c>
      <c r="F97" s="3" t="str" cm="1">
        <f t="array" aca="1" ref="F97" ca="1">OFFSET(E97,-1,1)</f>
        <v>2</v>
      </c>
      <c r="I97" s="38" cm="1">
        <f t="array" ref="I97">AC97</f>
        <v>0</v>
      </c>
      <c r="U97" s="353" t="b">
        <f ca="1">AND(F97&gt;0,--RIGHT(AB97,1)&gt;1)</f>
        <v>0</v>
      </c>
      <c r="X97" s="517" t="s">
        <v>172</v>
      </c>
      <c r="Y97" s="964"/>
      <c r="Z97" s="992"/>
      <c r="AA97" s="320" t="s">
        <v>173</v>
      </c>
      <c r="AB97" s="428" t="s">
        <v>514</v>
      </c>
      <c r="AC97" s="835"/>
      <c r="AD97" s="425" t="s">
        <v>510</v>
      </c>
      <c r="AE97" s="831"/>
      <c r="AF97" s="832"/>
      <c r="AG97" s="833"/>
      <c r="AH97" s="834"/>
      <c r="AI97" s="831"/>
      <c r="AJ97" s="832"/>
      <c r="AK97" s="832"/>
      <c r="AL97" s="434">
        <f>IF(AI97&lt;&gt;0,AK97/AI97,0)</f>
        <v>0</v>
      </c>
      <c r="AM97" s="435">
        <f>AK97-AJ97</f>
        <v>0</v>
      </c>
      <c r="AN97" s="834"/>
      <c r="AO97" s="831"/>
      <c r="AP97" s="831"/>
      <c r="AQ97" s="831"/>
      <c r="AR97" s="831"/>
      <c r="AS97" s="831"/>
      <c r="AT97" s="831"/>
      <c r="AU97" s="831"/>
      <c r="AV97" s="831"/>
      <c r="AW97" s="831"/>
      <c r="AX97" s="831"/>
      <c r="AY97" s="831"/>
      <c r="AZ97" s="831"/>
      <c r="BA97" s="831"/>
      <c r="BB97" s="831"/>
      <c r="BC97" s="831"/>
      <c r="BD97" s="831"/>
      <c r="BE97" s="831"/>
      <c r="BF97" s="831"/>
      <c r="BI97" s="656" t="s">
        <v>516</v>
      </c>
      <c r="BJ97" s="656" t="s">
        <v>517</v>
      </c>
      <c r="BK97" s="656" cm="1">
        <f t="array" ref="BK97">AC97</f>
        <v>0</v>
      </c>
      <c r="BM97" s="448" t="b">
        <v>1</v>
      </c>
    </row>
    <row r="98" spans="1:65" ht="14.25" customHeight="1" x14ac:dyDescent="0.15">
      <c r="E98" s="448">
        <v>15</v>
      </c>
      <c r="F98" s="3" t="str" cm="1">
        <f t="array" aca="1" ref="F98" ca="1">OFFSET(E98,-1,1)</f>
        <v>2</v>
      </c>
      <c r="U98" s="353" t="b">
        <f ca="1">F98&gt;0</f>
        <v>1</v>
      </c>
      <c r="X98" s="517" t="s">
        <v>419</v>
      </c>
      <c r="Y98" s="964"/>
      <c r="Z98" s="992"/>
      <c r="AB98" s="89"/>
      <c r="AC98" s="216" t="s">
        <v>176</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48" t="s">
        <v>517</v>
      </c>
    </row>
    <row r="99" spans="1:65" ht="21.75" customHeight="1" x14ac:dyDescent="0.15">
      <c r="E99" s="448">
        <v>22.5</v>
      </c>
      <c r="F99" s="3" t="str" cm="1">
        <f t="array" aca="1" ref="F99" ca="1">OFFSET(E99,-1,1)</f>
        <v>2</v>
      </c>
      <c r="H99" s="38" t="s">
        <v>518</v>
      </c>
      <c r="U99" s="353" t="b" cm="1">
        <f t="array" aca="1" ref="U99" ca="1">U98</f>
        <v>1</v>
      </c>
      <c r="Y99" s="964"/>
      <c r="Z99" s="992"/>
      <c r="AB99" s="39" t="s">
        <v>519</v>
      </c>
      <c r="AC99" s="105" t="s">
        <v>520</v>
      </c>
      <c r="AD99" s="11" t="s">
        <v>510</v>
      </c>
      <c r="AE99" s="188"/>
      <c r="AF99" s="190"/>
      <c r="AG99" s="191"/>
      <c r="AH99" s="113"/>
      <c r="AI99" s="188"/>
      <c r="AJ99" s="190"/>
      <c r="AK99" s="190"/>
      <c r="AL99" s="193">
        <f>IF(AI99&lt;&gt;0,AK99/AI99,0)</f>
        <v>0</v>
      </c>
      <c r="AM99" s="192">
        <f>AK99-AJ99</f>
        <v>0</v>
      </c>
      <c r="AN99" s="113"/>
      <c r="AO99" s="825"/>
      <c r="AP99" s="825"/>
      <c r="AQ99" s="188"/>
      <c r="AR99" s="188"/>
      <c r="AS99" s="188"/>
      <c r="AT99" s="188"/>
      <c r="AU99" s="188"/>
      <c r="AV99" s="188"/>
      <c r="AW99" s="188"/>
      <c r="AX99" s="825"/>
      <c r="AY99" s="825"/>
      <c r="AZ99" s="188"/>
      <c r="BA99" s="188"/>
      <c r="BB99" s="188"/>
      <c r="BC99" s="188"/>
      <c r="BD99" s="188"/>
      <c r="BE99" s="188"/>
      <c r="BF99" s="188"/>
      <c r="BI99" s="656" t="s">
        <v>521</v>
      </c>
    </row>
    <row r="100" spans="1:65" ht="21.75" hidden="1" customHeight="1" x14ac:dyDescent="0.15">
      <c r="E100" s="448">
        <v>22.5</v>
      </c>
      <c r="F100" s="3" t="str" cm="1">
        <f t="array" aca="1" ref="F100" ca="1">OFFSET(E100,-1,1)</f>
        <v>2</v>
      </c>
      <c r="I100" s="38" cm="1">
        <f t="array" ref="I100">AC100</f>
        <v>0</v>
      </c>
      <c r="U100" s="353" t="b">
        <f ca="1">AND(F100&gt;0,--RIGHT(AB100,1)&gt;1)</f>
        <v>0</v>
      </c>
      <c r="X100" s="517" t="s">
        <v>172</v>
      </c>
      <c r="Y100" s="964"/>
      <c r="Z100" s="992"/>
      <c r="AA100" s="320" t="s">
        <v>173</v>
      </c>
      <c r="AB100" s="39" t="s">
        <v>519</v>
      </c>
      <c r="AC100" s="837"/>
      <c r="AD100" s="11" t="s">
        <v>510</v>
      </c>
      <c r="AE100" s="825"/>
      <c r="AF100" s="827"/>
      <c r="AG100" s="836"/>
      <c r="AH100" s="826"/>
      <c r="AI100" s="825"/>
      <c r="AJ100" s="827"/>
      <c r="AK100" s="827"/>
      <c r="AL100" s="193">
        <f>IF(AI100&lt;&gt;0,AK100/AI100,0)</f>
        <v>0</v>
      </c>
      <c r="AM100" s="192">
        <f>AK100-AJ100</f>
        <v>0</v>
      </c>
      <c r="AN100" s="826"/>
      <c r="AO100" s="825"/>
      <c r="AP100" s="825"/>
      <c r="AQ100" s="825"/>
      <c r="AR100" s="825"/>
      <c r="AS100" s="825"/>
      <c r="AT100" s="825"/>
      <c r="AU100" s="825"/>
      <c r="AV100" s="825"/>
      <c r="AW100" s="825"/>
      <c r="AX100" s="825"/>
      <c r="AY100" s="825"/>
      <c r="AZ100" s="825"/>
      <c r="BA100" s="825"/>
      <c r="BB100" s="825"/>
      <c r="BC100" s="825"/>
      <c r="BD100" s="825"/>
      <c r="BE100" s="825"/>
      <c r="BF100" s="825"/>
      <c r="BI100" s="656" t="s">
        <v>521</v>
      </c>
      <c r="BJ100" s="656" t="s">
        <v>522</v>
      </c>
      <c r="BK100" s="656" cm="1">
        <f t="array" ref="BK100">AC100</f>
        <v>0</v>
      </c>
      <c r="BM100" s="448" t="b">
        <v>1</v>
      </c>
    </row>
    <row r="101" spans="1:65" ht="14.25" customHeight="1" x14ac:dyDescent="0.15">
      <c r="E101" s="448">
        <v>15</v>
      </c>
      <c r="F101" s="3" t="str" cm="1">
        <f t="array" aca="1" ref="F101" ca="1">OFFSET(E101,-1,1)</f>
        <v>2</v>
      </c>
      <c r="U101" s="353" t="b">
        <f ca="1">F101&gt;0</f>
        <v>1</v>
      </c>
      <c r="X101" s="517" t="s">
        <v>419</v>
      </c>
      <c r="Y101" s="964"/>
      <c r="Z101" s="992"/>
      <c r="AB101" s="89"/>
      <c r="AC101" s="216" t="s">
        <v>176</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48" t="s">
        <v>522</v>
      </c>
    </row>
    <row r="102" spans="1:65" ht="21.75" customHeight="1" x14ac:dyDescent="0.15">
      <c r="E102" s="448">
        <v>22.5</v>
      </c>
      <c r="F102" s="3" t="str" cm="1">
        <f t="array" aca="1" ref="F102" ca="1">OFFSET(E102,-1,1)</f>
        <v>2</v>
      </c>
      <c r="H102" s="38" t="s">
        <v>523</v>
      </c>
      <c r="U102" s="353" t="b" cm="1">
        <f t="array" aca="1" ref="U102" ca="1">U101</f>
        <v>1</v>
      </c>
      <c r="Y102" s="964"/>
      <c r="Z102" s="992"/>
      <c r="AB102" s="39" t="s">
        <v>524</v>
      </c>
      <c r="AC102" s="105" t="s">
        <v>525</v>
      </c>
      <c r="AD102" s="11" t="s">
        <v>510</v>
      </c>
      <c r="AE102" s="188"/>
      <c r="AF102" s="190"/>
      <c r="AG102" s="191"/>
      <c r="AH102" s="113"/>
      <c r="AI102" s="188"/>
      <c r="AJ102" s="190"/>
      <c r="AK102" s="190"/>
      <c r="AL102" s="193">
        <f>IF(AI102&lt;&gt;0,AK102/AI102,0)</f>
        <v>0</v>
      </c>
      <c r="AM102" s="192">
        <f>AK102-AJ102</f>
        <v>0</v>
      </c>
      <c r="AN102" s="113"/>
      <c r="AO102" s="825"/>
      <c r="AP102" s="825"/>
      <c r="AQ102" s="188"/>
      <c r="AR102" s="188"/>
      <c r="AS102" s="188"/>
      <c r="AT102" s="188"/>
      <c r="AU102" s="188"/>
      <c r="AV102" s="188"/>
      <c r="AW102" s="188"/>
      <c r="AX102" s="825"/>
      <c r="AY102" s="825"/>
      <c r="AZ102" s="188"/>
      <c r="BA102" s="188"/>
      <c r="BB102" s="188"/>
      <c r="BC102" s="188"/>
      <c r="BD102" s="188"/>
      <c r="BE102" s="188"/>
      <c r="BF102" s="188"/>
      <c r="BI102" s="656" t="s">
        <v>526</v>
      </c>
    </row>
    <row r="103" spans="1:65" ht="21.75" hidden="1" customHeight="1" x14ac:dyDescent="0.15">
      <c r="E103" s="448">
        <v>22.5</v>
      </c>
      <c r="F103" s="3" t="str" cm="1">
        <f t="array" aca="1" ref="F103" ca="1">OFFSET(E103,-1,1)</f>
        <v>2</v>
      </c>
      <c r="I103" s="38" cm="1">
        <f t="array" ref="I103">AC103</f>
        <v>0</v>
      </c>
      <c r="U103" s="353" t="b">
        <f ca="1">AND(F103&gt;0,--RIGHT(AB103,1)&gt;1)</f>
        <v>0</v>
      </c>
      <c r="X103" s="517" t="s">
        <v>172</v>
      </c>
      <c r="Y103" s="964"/>
      <c r="Z103" s="992"/>
      <c r="AA103" s="320" t="s">
        <v>173</v>
      </c>
      <c r="AB103" s="39" t="s">
        <v>524</v>
      </c>
      <c r="AC103" s="837"/>
      <c r="AD103" s="11" t="s">
        <v>510</v>
      </c>
      <c r="AE103" s="825"/>
      <c r="AF103" s="827"/>
      <c r="AG103" s="836"/>
      <c r="AH103" s="826"/>
      <c r="AI103" s="825"/>
      <c r="AJ103" s="827"/>
      <c r="AK103" s="827"/>
      <c r="AL103" s="193">
        <f>IF(AI103&lt;&gt;0,AK103/AI103,0)</f>
        <v>0</v>
      </c>
      <c r="AM103" s="192">
        <f>AK103-AJ103</f>
        <v>0</v>
      </c>
      <c r="AN103" s="826"/>
      <c r="AO103" s="825"/>
      <c r="AP103" s="825"/>
      <c r="AQ103" s="825"/>
      <c r="AR103" s="825"/>
      <c r="AS103" s="825"/>
      <c r="AT103" s="825"/>
      <c r="AU103" s="825"/>
      <c r="AV103" s="825"/>
      <c r="AW103" s="825"/>
      <c r="AX103" s="825"/>
      <c r="AY103" s="825"/>
      <c r="AZ103" s="825"/>
      <c r="BA103" s="825"/>
      <c r="BB103" s="825"/>
      <c r="BC103" s="825"/>
      <c r="BD103" s="825"/>
      <c r="BE103" s="825"/>
      <c r="BF103" s="825"/>
      <c r="BI103" s="656" t="s">
        <v>526</v>
      </c>
      <c r="BJ103" s="656" t="s">
        <v>527</v>
      </c>
      <c r="BK103" s="656" cm="1">
        <f t="array" ref="BK103">AC103</f>
        <v>0</v>
      </c>
      <c r="BM103" s="448" t="b">
        <v>1</v>
      </c>
    </row>
    <row r="104" spans="1:65" ht="14.25" customHeight="1" x14ac:dyDescent="0.15">
      <c r="E104" s="448">
        <v>15</v>
      </c>
      <c r="F104" s="3" t="str" cm="1">
        <f t="array" aca="1" ref="F104" ca="1">OFFSET(E104,-1,1)</f>
        <v>2</v>
      </c>
      <c r="U104" s="353" t="b">
        <f ca="1">F104&gt;0</f>
        <v>1</v>
      </c>
      <c r="X104" s="517" t="s">
        <v>419</v>
      </c>
      <c r="Y104" s="964"/>
      <c r="Z104" s="992"/>
      <c r="AB104" s="89"/>
      <c r="AC104" s="216" t="s">
        <v>176</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48" t="s">
        <v>527</v>
      </c>
    </row>
    <row r="105" spans="1:65" ht="112.9" customHeight="1" x14ac:dyDescent="0.15">
      <c r="E105" s="448">
        <v>15</v>
      </c>
      <c r="F105" s="3" t="str" cm="1">
        <f t="array" aca="1" ref="F105" ca="1">OFFSET(E105,-1,1)</f>
        <v>2</v>
      </c>
      <c r="H105" s="38" t="s">
        <v>335</v>
      </c>
      <c r="U105" s="353" t="b" cm="1">
        <f t="array" aca="1" ref="U105" ca="1">U104</f>
        <v>1</v>
      </c>
      <c r="Y105" s="964"/>
      <c r="Z105" s="992"/>
      <c r="AB105" s="49">
        <v>3</v>
      </c>
      <c r="AC105" s="55" t="s">
        <v>528</v>
      </c>
      <c r="AD105" s="52" t="s">
        <v>476</v>
      </c>
      <c r="AE105" s="188">
        <v>2.2000000000000002</v>
      </c>
      <c r="AF105" s="190">
        <v>2.2000000000000002</v>
      </c>
      <c r="AG105" s="191">
        <v>2.2000000000000002</v>
      </c>
      <c r="AH105" s="113" t="s">
        <v>544</v>
      </c>
      <c r="AI105" s="188">
        <v>2.2000000000000002</v>
      </c>
      <c r="AJ105" s="190">
        <v>2.2000000000000002</v>
      </c>
      <c r="AK105" s="190">
        <v>2.2000000000000002</v>
      </c>
      <c r="AL105" s="193">
        <f>IF(AI105&lt;&gt;0,AK105/AI105,0)</f>
        <v>1</v>
      </c>
      <c r="AM105" s="192">
        <f>AK105-AJ105</f>
        <v>0</v>
      </c>
      <c r="AN105" s="113" t="s">
        <v>544</v>
      </c>
      <c r="AO105" s="825"/>
      <c r="AP105" s="825"/>
      <c r="AQ105" s="188"/>
      <c r="AR105" s="188"/>
      <c r="AS105" s="188"/>
      <c r="AT105" s="188"/>
      <c r="AU105" s="188"/>
      <c r="AV105" s="188"/>
      <c r="AW105" s="188"/>
      <c r="AX105" s="825"/>
      <c r="AY105" s="825"/>
      <c r="AZ105" s="188"/>
      <c r="BA105" s="188"/>
      <c r="BB105" s="188"/>
      <c r="BC105" s="188"/>
      <c r="BD105" s="188"/>
      <c r="BE105" s="188"/>
      <c r="BF105" s="188"/>
      <c r="BI105" s="656" t="s">
        <v>529</v>
      </c>
    </row>
    <row r="106" spans="1:65" ht="14.25" customHeight="1" x14ac:dyDescent="0.15">
      <c r="E106" s="448">
        <v>15</v>
      </c>
      <c r="F106" s="3" t="str" cm="1">
        <f t="array" aca="1" ref="F106" ca="1">OFFSET(E106,-1,1)</f>
        <v>2</v>
      </c>
      <c r="H106" s="38" t="s">
        <v>334</v>
      </c>
      <c r="U106" s="353" t="b" cm="1">
        <f t="array" aca="1" ref="U106" ca="1">U105</f>
        <v>1</v>
      </c>
      <c r="Y106" s="964"/>
      <c r="Z106" s="992"/>
      <c r="AB106" s="49">
        <v>4</v>
      </c>
      <c r="AC106" s="55" t="s">
        <v>530</v>
      </c>
      <c r="AD106" s="52" t="s">
        <v>476</v>
      </c>
      <c r="AE106" s="188"/>
      <c r="AF106" s="190"/>
      <c r="AG106" s="191"/>
      <c r="AH106" s="113"/>
      <c r="AI106" s="188"/>
      <c r="AJ106" s="190"/>
      <c r="AK106" s="190"/>
      <c r="AL106" s="193">
        <f>IF(AI106&lt;&gt;0,AK106/AI106,0)</f>
        <v>0</v>
      </c>
      <c r="AM106" s="192">
        <f>AK106-AJ106</f>
        <v>0</v>
      </c>
      <c r="AN106" s="113"/>
      <c r="AO106" s="825"/>
      <c r="AP106" s="825"/>
      <c r="AQ106" s="188"/>
      <c r="AR106" s="188"/>
      <c r="AS106" s="188"/>
      <c r="AT106" s="188"/>
      <c r="AU106" s="188"/>
      <c r="AV106" s="188"/>
      <c r="AW106" s="188"/>
      <c r="AX106" s="825"/>
      <c r="AY106" s="825"/>
      <c r="AZ106" s="188"/>
      <c r="BA106" s="188"/>
      <c r="BB106" s="188"/>
      <c r="BC106" s="188"/>
      <c r="BD106" s="188"/>
      <c r="BE106" s="188"/>
      <c r="BF106" s="188"/>
      <c r="BI106" s="656" t="s">
        <v>531</v>
      </c>
    </row>
    <row r="107" spans="1:65" ht="14.25" customHeight="1" x14ac:dyDescent="0.15">
      <c r="E107" s="448">
        <v>15</v>
      </c>
      <c r="F107" s="3" t="str" cm="1">
        <f t="array" aca="1" ref="F107" ca="1">OFFSET(E107,-1,1)</f>
        <v>2</v>
      </c>
      <c r="H107" s="38" t="s">
        <v>532</v>
      </c>
      <c r="U107" s="353" t="b" cm="1">
        <f t="array" aca="1" ref="U107" ca="1">U106</f>
        <v>1</v>
      </c>
      <c r="Y107" s="964"/>
      <c r="Z107" s="992"/>
      <c r="AB107" s="39" t="s">
        <v>460</v>
      </c>
      <c r="AC107" s="54" t="s">
        <v>533</v>
      </c>
      <c r="AD107" s="52"/>
      <c r="AE107" s="191"/>
      <c r="AF107" s="191"/>
      <c r="AG107" s="191"/>
      <c r="AH107" s="196"/>
      <c r="AI107" s="191"/>
      <c r="AJ107" s="191"/>
      <c r="AK107" s="191"/>
      <c r="AL107" s="193">
        <f>IF(AI107&lt;&gt;0,AK107/AI107,0)</f>
        <v>0</v>
      </c>
      <c r="AM107" s="192">
        <f>AK107-AJ107</f>
        <v>0</v>
      </c>
      <c r="AN107" s="196"/>
      <c r="AO107" s="836"/>
      <c r="AP107" s="836"/>
      <c r="AQ107" s="191"/>
      <c r="AR107" s="191"/>
      <c r="AS107" s="191"/>
      <c r="AT107" s="191"/>
      <c r="AU107" s="191"/>
      <c r="AV107" s="191"/>
      <c r="AW107" s="191"/>
      <c r="AX107" s="836"/>
      <c r="AY107" s="836"/>
      <c r="AZ107" s="191"/>
      <c r="BA107" s="191"/>
      <c r="BB107" s="191"/>
      <c r="BC107" s="191"/>
      <c r="BD107" s="191"/>
      <c r="BE107" s="191"/>
      <c r="BF107" s="191"/>
      <c r="BI107" s="656" t="s">
        <v>534</v>
      </c>
    </row>
    <row r="108" spans="1:65" ht="14.25" customHeight="1" x14ac:dyDescent="0.15">
      <c r="E108" s="448">
        <v>15</v>
      </c>
      <c r="F108" s="3" t="str" cm="1">
        <f t="array" aca="1" ref="F108" ca="1">OFFSET(E108,-1,1)</f>
        <v>2</v>
      </c>
      <c r="H108" s="38" t="s">
        <v>535</v>
      </c>
      <c r="U108" s="353" t="b" cm="1">
        <f t="array" aca="1" ref="U108" ca="1">U107</f>
        <v>1</v>
      </c>
      <c r="Y108" s="964"/>
      <c r="Z108" s="992"/>
      <c r="AB108" s="39" t="s">
        <v>536</v>
      </c>
      <c r="AC108" s="53" t="s">
        <v>537</v>
      </c>
      <c r="AD108" s="52"/>
      <c r="AE108" s="191"/>
      <c r="AF108" s="191"/>
      <c r="AG108" s="191"/>
      <c r="AH108" s="196"/>
      <c r="AI108" s="191"/>
      <c r="AJ108" s="191"/>
      <c r="AK108" s="191"/>
      <c r="AL108" s="193">
        <f>IF(AI108&lt;&gt;0,AK108/AI108,0)</f>
        <v>0</v>
      </c>
      <c r="AM108" s="192">
        <f>AK108-AJ108</f>
        <v>0</v>
      </c>
      <c r="AN108" s="196"/>
      <c r="AO108" s="836"/>
      <c r="AP108" s="836"/>
      <c r="AQ108" s="191"/>
      <c r="AR108" s="191"/>
      <c r="AS108" s="191"/>
      <c r="AT108" s="191"/>
      <c r="AU108" s="191"/>
      <c r="AV108" s="191"/>
      <c r="AW108" s="191"/>
      <c r="AX108" s="836"/>
      <c r="AY108" s="836"/>
      <c r="AZ108" s="191"/>
      <c r="BA108" s="191"/>
      <c r="BB108" s="191"/>
      <c r="BC108" s="191"/>
      <c r="BD108" s="191"/>
      <c r="BE108" s="191"/>
      <c r="BF108" s="191"/>
      <c r="BI108" s="656" t="s">
        <v>538</v>
      </c>
    </row>
    <row r="109" spans="1:65" s="838" customFormat="1" ht="26.45" customHeight="1" x14ac:dyDescent="0.15">
      <c r="A109" s="60"/>
      <c r="B109" s="326"/>
      <c r="C109" s="60"/>
      <c r="D109" s="60"/>
      <c r="E109" s="459">
        <v>15</v>
      </c>
      <c r="F109" s="275" t="str" cm="1">
        <f t="array" ref="F109">Y109</f>
        <v>3</v>
      </c>
      <c r="G109" s="60"/>
      <c r="H109" s="60"/>
      <c r="I109" s="60"/>
      <c r="J109" s="60"/>
      <c r="K109" s="60"/>
      <c r="L109" s="60"/>
      <c r="M109" s="60"/>
      <c r="N109" s="60"/>
      <c r="O109" s="60"/>
      <c r="P109" s="60"/>
      <c r="Q109" s="60"/>
      <c r="R109" s="60"/>
      <c r="S109" s="60"/>
      <c r="T109" s="60"/>
      <c r="U109" s="353" t="b">
        <f>Y109&gt;0</f>
        <v>1</v>
      </c>
      <c r="V109" s="60"/>
      <c r="W109" s="60" t="str" cm="1">
        <f t="array" ref="W109">'Список объектов'!$AB$44</f>
        <v>Тариф 3 (Водоотведение) - тариф на транспортировку сточных вод</v>
      </c>
      <c r="X109" s="60"/>
      <c r="Y109" s="964" t="s">
        <v>291</v>
      </c>
      <c r="Z109" s="992"/>
      <c r="AA109" s="60"/>
      <c r="AB109" s="97" t="str" cm="1">
        <f t="array" ref="AB109">'Список объектов'!$AB$44</f>
        <v>Тариф 3 (Водоотведение) - тариф на транспортировку сточных вод</v>
      </c>
      <c r="AC109" s="94"/>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60"/>
      <c r="BH109" s="60"/>
      <c r="BI109" s="669"/>
      <c r="BJ109" s="669"/>
      <c r="BK109" s="669"/>
      <c r="BL109" s="459"/>
      <c r="BM109" s="459"/>
    </row>
    <row r="110" spans="1:65" ht="27" customHeight="1" x14ac:dyDescent="0.15">
      <c r="E110" s="448">
        <v>15</v>
      </c>
      <c r="F110" s="3" t="str" cm="1">
        <f t="array" aca="1" ref="F110" ca="1">OFFSET(E110,-1,1)</f>
        <v>3</v>
      </c>
      <c r="G110" s="38" t="s">
        <v>479</v>
      </c>
      <c r="U110" s="353" t="b" cm="1">
        <f t="array" ref="U110">U109</f>
        <v>1</v>
      </c>
      <c r="Y110" s="964"/>
      <c r="Z110" s="992"/>
      <c r="AB110" s="182"/>
      <c r="AC110" s="183" t="s">
        <v>480</v>
      </c>
      <c r="AD110" s="184"/>
      <c r="AE110" s="184"/>
      <c r="AF110" s="184"/>
      <c r="AG110" s="184"/>
      <c r="AH110" s="184"/>
      <c r="AI110" s="213">
        <f>(1-AI111/100)*(1+AI112/100)*(1+AI114/100)</f>
        <v>1.04742</v>
      </c>
      <c r="AJ110" s="213">
        <f>(1-AJ111/100)*(1+AJ112/100)*(1+AJ114/100)</f>
        <v>1.0345499999999999</v>
      </c>
      <c r="AK110" s="213">
        <f>(1-AK111/100)*(1+AK112/100)*(1+AK114/100)</f>
        <v>1.03257</v>
      </c>
      <c r="AL110" s="184"/>
      <c r="AM110" s="184"/>
      <c r="AN110" s="184"/>
      <c r="AO110" s="213">
        <f t="shared" ref="AO110:BF110" si="5">(1-AO111/100)*(1+AO112/100)*(1+AO114/100)</f>
        <v>1</v>
      </c>
      <c r="AP110" s="213">
        <f t="shared" si="5"/>
        <v>1</v>
      </c>
      <c r="AQ110" s="213">
        <f t="shared" si="5"/>
        <v>1</v>
      </c>
      <c r="AR110" s="213">
        <f t="shared" si="5"/>
        <v>1</v>
      </c>
      <c r="AS110" s="213">
        <f t="shared" si="5"/>
        <v>1</v>
      </c>
      <c r="AT110" s="213">
        <f t="shared" si="5"/>
        <v>1</v>
      </c>
      <c r="AU110" s="213">
        <f t="shared" si="5"/>
        <v>1</v>
      </c>
      <c r="AV110" s="213">
        <f t="shared" si="5"/>
        <v>1</v>
      </c>
      <c r="AW110" s="213">
        <f t="shared" si="5"/>
        <v>1</v>
      </c>
      <c r="AX110" s="213">
        <f t="shared" si="5"/>
        <v>1</v>
      </c>
      <c r="AY110" s="213">
        <f t="shared" si="5"/>
        <v>1</v>
      </c>
      <c r="AZ110" s="213">
        <f t="shared" si="5"/>
        <v>1</v>
      </c>
      <c r="BA110" s="213">
        <f t="shared" si="5"/>
        <v>1</v>
      </c>
      <c r="BB110" s="213">
        <f t="shared" si="5"/>
        <v>1</v>
      </c>
      <c r="BC110" s="213">
        <f t="shared" si="5"/>
        <v>1</v>
      </c>
      <c r="BD110" s="213">
        <f t="shared" si="5"/>
        <v>1</v>
      </c>
      <c r="BE110" s="213">
        <f t="shared" si="5"/>
        <v>1</v>
      </c>
      <c r="BF110" s="213">
        <f t="shared" si="5"/>
        <v>1</v>
      </c>
    </row>
    <row r="111" spans="1:65" ht="71.45" customHeight="1" x14ac:dyDescent="0.15">
      <c r="B111" s="342" t="b">
        <f>method_reg&lt;&gt;"Метод экономически обоснованных расходов"</f>
        <v>1</v>
      </c>
      <c r="E111" s="448">
        <v>22.5</v>
      </c>
      <c r="F111" s="3" t="str" cm="1">
        <f t="array" aca="1" ref="F111" ca="1">OFFSET(E111,-1,1)</f>
        <v>3</v>
      </c>
      <c r="G111" s="38" t="s">
        <v>481</v>
      </c>
      <c r="H111" s="38" t="s">
        <v>482</v>
      </c>
      <c r="U111" s="353" t="b" cm="1">
        <f t="array" ref="U111">U110</f>
        <v>1</v>
      </c>
      <c r="Y111" s="964"/>
      <c r="Z111" s="992"/>
      <c r="AB111" s="49">
        <v>1</v>
      </c>
      <c r="AC111" s="50" t="s">
        <v>483</v>
      </c>
      <c r="AD111" s="52" t="s">
        <v>476</v>
      </c>
      <c r="AE111" s="188"/>
      <c r="AF111" s="188"/>
      <c r="AG111" s="188"/>
      <c r="AH111" s="113"/>
      <c r="AI111" s="188">
        <v>1</v>
      </c>
      <c r="AJ111" s="188">
        <v>1</v>
      </c>
      <c r="AK111" s="188">
        <v>1</v>
      </c>
      <c r="AL111" s="193">
        <f>IF(AI111&lt;&gt;0,AK111/AI111,0)</f>
        <v>1</v>
      </c>
      <c r="AM111" s="192">
        <f>AK111-AJ111</f>
        <v>0</v>
      </c>
      <c r="AN111" s="113" t="s">
        <v>539</v>
      </c>
      <c r="AO111" s="825"/>
      <c r="AP111" s="825"/>
      <c r="AQ111" s="188"/>
      <c r="AR111" s="188"/>
      <c r="AS111" s="188"/>
      <c r="AT111" s="188"/>
      <c r="AU111" s="188"/>
      <c r="AV111" s="188"/>
      <c r="AW111" s="188"/>
      <c r="AX111" s="825"/>
      <c r="AY111" s="825"/>
      <c r="AZ111" s="188"/>
      <c r="BA111" s="188"/>
      <c r="BB111" s="188"/>
      <c r="BC111" s="188"/>
      <c r="BD111" s="188"/>
      <c r="BE111" s="188"/>
      <c r="BF111" s="188"/>
      <c r="BI111" s="656" t="s">
        <v>484</v>
      </c>
    </row>
    <row r="112" spans="1:65" ht="65.25" customHeight="1" x14ac:dyDescent="0.15">
      <c r="E112" s="448">
        <v>15</v>
      </c>
      <c r="F112" s="3" t="str" cm="1">
        <f t="array" aca="1" ref="F112" ca="1">OFFSET(E112,-1,1)</f>
        <v>3</v>
      </c>
      <c r="G112" s="38" t="s">
        <v>485</v>
      </c>
      <c r="H112" s="38" t="s">
        <v>486</v>
      </c>
      <c r="U112" s="353" t="b" cm="1">
        <f t="array" ref="U112">U111</f>
        <v>1</v>
      </c>
      <c r="Y112" s="964"/>
      <c r="Z112" s="992"/>
      <c r="AB112" s="49">
        <f>IF(B111,2,1)</f>
        <v>2</v>
      </c>
      <c r="AC112" s="51" t="s">
        <v>487</v>
      </c>
      <c r="AD112" s="52" t="s">
        <v>476</v>
      </c>
      <c r="AE112" s="188">
        <v>7.2</v>
      </c>
      <c r="AF112" s="188"/>
      <c r="AG112" s="188">
        <v>8</v>
      </c>
      <c r="AH112" s="113" t="s">
        <v>540</v>
      </c>
      <c r="AI112" s="188">
        <v>5.8</v>
      </c>
      <c r="AJ112" s="188">
        <v>4.5</v>
      </c>
      <c r="AK112" s="188">
        <v>4.3</v>
      </c>
      <c r="AL112" s="193">
        <f>IF(AI112&lt;&gt;0,AK112/AI112,0)</f>
        <v>0.74137931034482762</v>
      </c>
      <c r="AM112" s="192">
        <f>AK112-AJ112</f>
        <v>-0.20000000000000018</v>
      </c>
      <c r="AN112" s="113" t="s">
        <v>540</v>
      </c>
      <c r="AO112" s="825"/>
      <c r="AP112" s="825"/>
      <c r="AQ112" s="188"/>
      <c r="AR112" s="188"/>
      <c r="AS112" s="188"/>
      <c r="AT112" s="188"/>
      <c r="AU112" s="188"/>
      <c r="AV112" s="188"/>
      <c r="AW112" s="188"/>
      <c r="AX112" s="825"/>
      <c r="AY112" s="825"/>
      <c r="AZ112" s="188"/>
      <c r="BA112" s="188"/>
      <c r="BB112" s="188"/>
      <c r="BC112" s="188"/>
      <c r="BD112" s="188"/>
      <c r="BE112" s="188"/>
      <c r="BF112" s="188"/>
      <c r="BI112" s="656" t="s">
        <v>488</v>
      </c>
    </row>
    <row r="113" spans="1:65" ht="63.95" customHeight="1" x14ac:dyDescent="0.15">
      <c r="E113" s="448">
        <v>15</v>
      </c>
      <c r="F113" s="3" t="str" cm="1">
        <f t="array" aca="1" ref="F113" ca="1">OFFSET(E113,-1,1)</f>
        <v>3</v>
      </c>
      <c r="H113" s="38" t="s">
        <v>489</v>
      </c>
      <c r="U113" s="353" t="b" cm="1">
        <f t="array" ref="U113">U112</f>
        <v>1</v>
      </c>
      <c r="Y113" s="964"/>
      <c r="Z113" s="992"/>
      <c r="AB113" s="49">
        <f>AB112+1</f>
        <v>3</v>
      </c>
      <c r="AC113" s="53" t="s">
        <v>490</v>
      </c>
      <c r="AD113" s="52" t="s">
        <v>476</v>
      </c>
      <c r="AE113" s="188">
        <v>5.6</v>
      </c>
      <c r="AF113" s="188"/>
      <c r="AG113" s="188">
        <v>5.0999999999999996</v>
      </c>
      <c r="AH113" s="113" t="s">
        <v>540</v>
      </c>
      <c r="AI113" s="188">
        <v>9.8000000000000007</v>
      </c>
      <c r="AJ113" s="188">
        <v>4.9000000000000004</v>
      </c>
      <c r="AK113" s="188">
        <v>4</v>
      </c>
      <c r="AL113" s="193">
        <f>IF(AI113&lt;&gt;0,AK113/AI113,0)</f>
        <v>0.4081632653061224</v>
      </c>
      <c r="AM113" s="192">
        <f>AK113-AJ113</f>
        <v>-0.90000000000000036</v>
      </c>
      <c r="AN113" s="113" t="s">
        <v>540</v>
      </c>
      <c r="AO113" s="825"/>
      <c r="AP113" s="825"/>
      <c r="AQ113" s="188"/>
      <c r="AR113" s="188"/>
      <c r="AS113" s="188"/>
      <c r="AT113" s="188"/>
      <c r="AU113" s="188"/>
      <c r="AV113" s="188"/>
      <c r="AW113" s="188"/>
      <c r="AX113" s="825"/>
      <c r="AY113" s="825"/>
      <c r="AZ113" s="188"/>
      <c r="BA113" s="188"/>
      <c r="BB113" s="188"/>
      <c r="BC113" s="188"/>
      <c r="BD113" s="188"/>
      <c r="BE113" s="188"/>
      <c r="BF113" s="188"/>
      <c r="BI113" s="656" t="s">
        <v>491</v>
      </c>
    </row>
    <row r="114" spans="1:65" ht="14.65" customHeight="1" x14ac:dyDescent="0.15">
      <c r="B114" s="342" t="b">
        <f>method_reg&lt;&gt;"Метод экономически обоснованных расходов"</f>
        <v>1</v>
      </c>
      <c r="E114" s="448">
        <v>15</v>
      </c>
      <c r="F114" s="3" t="str" cm="1">
        <f t="array" aca="1" ref="F114" ca="1">OFFSET(E114,-1,1)</f>
        <v>3</v>
      </c>
      <c r="G114" s="38" t="s">
        <v>492</v>
      </c>
      <c r="H114" s="38" t="s">
        <v>493</v>
      </c>
      <c r="U114" s="353" t="b" cm="1">
        <f t="array" ref="U114">U113</f>
        <v>1</v>
      </c>
      <c r="Y114" s="964"/>
      <c r="Z114" s="992"/>
      <c r="AB114" s="49">
        <v>4</v>
      </c>
      <c r="AC114" s="51" t="s">
        <v>494</v>
      </c>
      <c r="AD114" s="52" t="s">
        <v>476</v>
      </c>
      <c r="AE114" s="188">
        <v>0</v>
      </c>
      <c r="AF114" s="188"/>
      <c r="AG114" s="188">
        <v>0</v>
      </c>
      <c r="AH114" s="113"/>
      <c r="AI114" s="188">
        <v>0</v>
      </c>
      <c r="AJ114" s="188">
        <v>0</v>
      </c>
      <c r="AK114" s="188">
        <v>0</v>
      </c>
      <c r="AL114" s="193">
        <f>IF(AI114&lt;&gt;0,AK114/AI114,0)</f>
        <v>0</v>
      </c>
      <c r="AM114" s="192">
        <f>AK114-AJ114</f>
        <v>0</v>
      </c>
      <c r="AN114" s="113"/>
      <c r="AO114" s="825"/>
      <c r="AP114" s="825"/>
      <c r="AQ114" s="188"/>
      <c r="AR114" s="188"/>
      <c r="AS114" s="188"/>
      <c r="AT114" s="188"/>
      <c r="AU114" s="188"/>
      <c r="AV114" s="188"/>
      <c r="AW114" s="188"/>
      <c r="AX114" s="825"/>
      <c r="AY114" s="825"/>
      <c r="AZ114" s="188"/>
      <c r="BA114" s="188"/>
      <c r="BB114" s="188"/>
      <c r="BC114" s="188"/>
      <c r="BD114" s="188"/>
      <c r="BE114" s="188"/>
      <c r="BF114" s="188"/>
      <c r="BI114" s="656" t="s">
        <v>495</v>
      </c>
    </row>
    <row r="115" spans="1:65" s="4" customFormat="1" ht="14.25" customHeight="1" x14ac:dyDescent="0.15">
      <c r="A115" s="38"/>
      <c r="B115" s="342"/>
      <c r="C115" s="38"/>
      <c r="D115" s="38"/>
      <c r="E115" s="448">
        <v>15</v>
      </c>
      <c r="F115" s="267" t="str" cm="1">
        <f t="array" aca="1" ref="F115" ca="1">OFFSET(E115,-1,1)</f>
        <v>3</v>
      </c>
      <c r="G115" s="38"/>
      <c r="H115" s="38"/>
      <c r="I115" s="38"/>
      <c r="J115" s="38"/>
      <c r="K115" s="38"/>
      <c r="L115" s="38"/>
      <c r="M115" s="38"/>
      <c r="N115" s="38"/>
      <c r="O115" s="38"/>
      <c r="P115" s="38"/>
      <c r="Q115" s="38"/>
      <c r="R115" s="38"/>
      <c r="S115" s="38"/>
      <c r="T115" s="38"/>
      <c r="U115" s="353" t="b" cm="1">
        <f t="array" ref="U115">U114</f>
        <v>1</v>
      </c>
      <c r="V115" s="38"/>
      <c r="W115" s="38"/>
      <c r="X115" s="38"/>
      <c r="Y115" s="964"/>
      <c r="Z115" s="992"/>
      <c r="AA115" s="38"/>
      <c r="AB115" s="49">
        <v>5</v>
      </c>
      <c r="AC115" s="51" t="s">
        <v>496</v>
      </c>
      <c r="AD115" s="52" t="s">
        <v>476</v>
      </c>
      <c r="AE115" s="188"/>
      <c r="AF115" s="188"/>
      <c r="AG115" s="188"/>
      <c r="AH115" s="113"/>
      <c r="AI115" s="188"/>
      <c r="AJ115" s="188"/>
      <c r="AK115" s="188"/>
      <c r="AL115" s="193">
        <f>IF(AI115&lt;&gt;0,AK115/AI115,0)</f>
        <v>0</v>
      </c>
      <c r="AM115" s="192">
        <f>AK115-AJ115</f>
        <v>0</v>
      </c>
      <c r="AN115" s="113"/>
      <c r="AO115" s="825"/>
      <c r="AP115" s="825"/>
      <c r="AQ115" s="188"/>
      <c r="AR115" s="188"/>
      <c r="AS115" s="188"/>
      <c r="AT115" s="188"/>
      <c r="AU115" s="188"/>
      <c r="AV115" s="188"/>
      <c r="AW115" s="188"/>
      <c r="AX115" s="825"/>
      <c r="AY115" s="825"/>
      <c r="AZ115" s="188"/>
      <c r="BA115" s="188"/>
      <c r="BB115" s="188"/>
      <c r="BC115" s="188"/>
      <c r="BD115" s="188"/>
      <c r="BE115" s="188"/>
      <c r="BF115" s="188"/>
      <c r="BG115" s="38"/>
      <c r="BH115" s="38"/>
      <c r="BI115" s="656" t="s">
        <v>497</v>
      </c>
      <c r="BJ115" s="656"/>
      <c r="BK115" s="656"/>
      <c r="BL115" s="448"/>
      <c r="BM115" s="448"/>
    </row>
    <row r="116" spans="1:65" ht="14.25" customHeight="1" x14ac:dyDescent="0.15">
      <c r="E116" s="448">
        <v>15</v>
      </c>
      <c r="F116" s="3" t="str" cm="1">
        <f t="array" aca="1" ref="F116" ca="1">OFFSET(E116,-1,1)</f>
        <v>3</v>
      </c>
      <c r="U116" s="353" t="b" cm="1">
        <f t="array" ref="U116">U114</f>
        <v>1</v>
      </c>
      <c r="Y116" s="964"/>
      <c r="Z116" s="992"/>
      <c r="AB116" s="182"/>
      <c r="AC116" s="183" t="s">
        <v>498</v>
      </c>
      <c r="AD116" s="184"/>
      <c r="AE116" s="189"/>
      <c r="AF116" s="189"/>
      <c r="AG116" s="189"/>
      <c r="AH116" s="184"/>
      <c r="AI116" s="189"/>
      <c r="AJ116" s="189"/>
      <c r="AK116" s="189"/>
      <c r="AL116" s="194"/>
      <c r="AM116" s="189"/>
      <c r="AN116" s="184"/>
      <c r="AO116" s="189"/>
      <c r="AP116" s="189"/>
      <c r="AQ116" s="189"/>
      <c r="AR116" s="189"/>
      <c r="AS116" s="189"/>
      <c r="AT116" s="189"/>
      <c r="AU116" s="189"/>
      <c r="AV116" s="189"/>
      <c r="AW116" s="189"/>
      <c r="AX116" s="189"/>
      <c r="AY116" s="189"/>
      <c r="AZ116" s="189"/>
      <c r="BA116" s="189"/>
      <c r="BB116" s="189"/>
      <c r="BC116" s="189"/>
      <c r="BD116" s="189"/>
      <c r="BE116" s="189"/>
      <c r="BF116" s="195"/>
    </row>
    <row r="117" spans="1:65" ht="61.15" customHeight="1" x14ac:dyDescent="0.15">
      <c r="E117" s="448">
        <v>15</v>
      </c>
      <c r="F117" s="3" t="str" cm="1">
        <f t="array" aca="1" ref="F117" ca="1">OFFSET(E117,-1,1)</f>
        <v>3</v>
      </c>
      <c r="G117" s="38" t="s">
        <v>499</v>
      </c>
      <c r="H117" s="38" t="s">
        <v>500</v>
      </c>
      <c r="U117" s="353" t="b" cm="1">
        <f t="array" ref="U117">U116</f>
        <v>1</v>
      </c>
      <c r="Y117" s="964"/>
      <c r="Z117" s="992"/>
      <c r="AB117" s="49">
        <v>1</v>
      </c>
      <c r="AC117" s="51" t="s">
        <v>501</v>
      </c>
      <c r="AD117" s="52" t="s">
        <v>476</v>
      </c>
      <c r="AE117" s="190">
        <v>30.58</v>
      </c>
      <c r="AF117" s="190">
        <v>30.4353500689</v>
      </c>
      <c r="AG117" s="190">
        <v>30.58</v>
      </c>
      <c r="AH117" s="113" t="s">
        <v>541</v>
      </c>
      <c r="AI117" s="190">
        <v>30.58</v>
      </c>
      <c r="AJ117" s="190">
        <v>30.7</v>
      </c>
      <c r="AK117" s="190">
        <v>30.58</v>
      </c>
      <c r="AL117" s="193">
        <f>IF(AI117&lt;&gt;0,AK117/AI117,0)</f>
        <v>1</v>
      </c>
      <c r="AM117" s="192">
        <f>AK117-AJ117</f>
        <v>-0.12000000000000099</v>
      </c>
      <c r="AN117" s="113" t="s">
        <v>541</v>
      </c>
      <c r="AO117" s="827"/>
      <c r="AP117" s="827"/>
      <c r="AQ117" s="190"/>
      <c r="AR117" s="190"/>
      <c r="AS117" s="190"/>
      <c r="AT117" s="190"/>
      <c r="AU117" s="190"/>
      <c r="AV117" s="190"/>
      <c r="AW117" s="190"/>
      <c r="AX117" s="827"/>
      <c r="AY117" s="827"/>
      <c r="AZ117" s="190"/>
      <c r="BA117" s="190"/>
      <c r="BB117" s="190"/>
      <c r="BC117" s="190"/>
      <c r="BD117" s="190"/>
      <c r="BE117" s="190"/>
      <c r="BF117" s="190"/>
      <c r="BI117" s="656" t="s">
        <v>502</v>
      </c>
    </row>
    <row r="118" spans="1:65" ht="15" hidden="1" customHeight="1" x14ac:dyDescent="0.15">
      <c r="E118" s="448">
        <v>0</v>
      </c>
      <c r="F118" s="3" t="str" cm="1">
        <f t="array" aca="1" ref="F118" ca="1">OFFSET(E118,-1,1)</f>
        <v>3</v>
      </c>
      <c r="H118" s="38" t="s">
        <v>503</v>
      </c>
      <c r="U118" s="353" t="b" cm="1">
        <f t="array" ref="U118">U117</f>
        <v>1</v>
      </c>
      <c r="Y118" s="964"/>
      <c r="Z118" s="992"/>
      <c r="AB118" s="49">
        <v>2</v>
      </c>
      <c r="AC118" s="51" t="s">
        <v>475</v>
      </c>
      <c r="AD118" s="52" t="s">
        <v>476</v>
      </c>
      <c r="AE118" s="827"/>
      <c r="AF118" s="825"/>
      <c r="AG118" s="827"/>
      <c r="AH118" s="826"/>
      <c r="AI118" s="827"/>
      <c r="AJ118" s="827"/>
      <c r="AK118" s="827"/>
      <c r="AL118" s="193">
        <f>IF(AI118&lt;&gt;0,AK118/AI118,0)</f>
        <v>0</v>
      </c>
      <c r="AM118" s="192">
        <f>AK118-AJ118</f>
        <v>0</v>
      </c>
      <c r="AN118" s="826"/>
      <c r="AO118" s="827"/>
      <c r="AP118" s="827"/>
      <c r="AQ118" s="827"/>
      <c r="AR118" s="827"/>
      <c r="AS118" s="827"/>
      <c r="AT118" s="827"/>
      <c r="AU118" s="827"/>
      <c r="AV118" s="827"/>
      <c r="AW118" s="827"/>
      <c r="AX118" s="827"/>
      <c r="AY118" s="827"/>
      <c r="AZ118" s="827"/>
      <c r="BA118" s="827"/>
      <c r="BB118" s="827"/>
      <c r="BC118" s="827"/>
      <c r="BD118" s="827"/>
      <c r="BE118" s="827"/>
      <c r="BF118" s="827"/>
      <c r="BI118" s="656" t="s">
        <v>504</v>
      </c>
    </row>
    <row r="119" spans="1:65" ht="14.25" customHeight="1" x14ac:dyDescent="0.15">
      <c r="E119" s="448">
        <v>15</v>
      </c>
      <c r="F119" s="3" t="str" cm="1">
        <f t="array" aca="1" ref="F119" ca="1">OFFSET(E119,-1,1)</f>
        <v>3</v>
      </c>
      <c r="U119" s="353" t="b" cm="1">
        <f t="array" ref="U119">U118</f>
        <v>1</v>
      </c>
      <c r="Y119" s="964"/>
      <c r="Z119" s="992"/>
      <c r="AB119" s="436">
        <v>2</v>
      </c>
      <c r="AC119" s="437" t="s">
        <v>505</v>
      </c>
      <c r="AD119" s="13"/>
      <c r="AE119" s="438"/>
      <c r="AF119" s="439"/>
      <c r="AG119" s="440"/>
      <c r="AH119" s="441"/>
      <c r="AI119" s="438"/>
      <c r="AJ119" s="439"/>
      <c r="AK119" s="439"/>
      <c r="AL119" s="442"/>
      <c r="AM119" s="439"/>
      <c r="AN119" s="441"/>
      <c r="AO119" s="438"/>
      <c r="AP119" s="438"/>
      <c r="AQ119" s="438"/>
      <c r="AR119" s="438"/>
      <c r="AS119" s="438"/>
      <c r="AT119" s="438"/>
      <c r="AU119" s="438"/>
      <c r="AV119" s="438"/>
      <c r="AW119" s="438"/>
      <c r="AX119" s="438"/>
      <c r="AY119" s="438"/>
      <c r="AZ119" s="438"/>
      <c r="BA119" s="438"/>
      <c r="BB119" s="438"/>
      <c r="BC119" s="438"/>
      <c r="BD119" s="438"/>
      <c r="BE119" s="438"/>
      <c r="BF119" s="438"/>
      <c r="BI119" s="656" t="s">
        <v>506</v>
      </c>
    </row>
    <row r="120" spans="1:65" ht="21.75" customHeight="1" x14ac:dyDescent="0.15">
      <c r="E120" s="448">
        <v>22.5</v>
      </c>
      <c r="F120" s="3" t="str" cm="1">
        <f t="array" aca="1" ref="F120" ca="1">OFFSET(E120,-1,1)</f>
        <v>3</v>
      </c>
      <c r="H120" s="38" t="s">
        <v>507</v>
      </c>
      <c r="U120" s="353" t="b" cm="1">
        <f t="array" ref="U120">U119</f>
        <v>1</v>
      </c>
      <c r="Y120" s="964"/>
      <c r="Z120" s="992"/>
      <c r="AB120" s="133" t="s">
        <v>508</v>
      </c>
      <c r="AC120" s="127" t="s">
        <v>509</v>
      </c>
      <c r="AD120" s="10" t="s">
        <v>510</v>
      </c>
      <c r="AE120" s="215"/>
      <c r="AF120" s="443"/>
      <c r="AG120" s="444"/>
      <c r="AH120" s="217"/>
      <c r="AI120" s="215"/>
      <c r="AJ120" s="443"/>
      <c r="AK120" s="443"/>
      <c r="AL120" s="445">
        <f>IF(AI120&lt;&gt;0,AK120/AI120,0)</f>
        <v>0</v>
      </c>
      <c r="AM120" s="446">
        <f>AK120-AJ120</f>
        <v>0</v>
      </c>
      <c r="AN120" s="217"/>
      <c r="AO120" s="828"/>
      <c r="AP120" s="828"/>
      <c r="AQ120" s="215"/>
      <c r="AR120" s="215"/>
      <c r="AS120" s="215"/>
      <c r="AT120" s="215"/>
      <c r="AU120" s="215"/>
      <c r="AV120" s="215"/>
      <c r="AW120" s="215"/>
      <c r="AX120" s="828"/>
      <c r="AY120" s="828"/>
      <c r="AZ120" s="215"/>
      <c r="BA120" s="215"/>
      <c r="BB120" s="215"/>
      <c r="BC120" s="215"/>
      <c r="BD120" s="215"/>
      <c r="BE120" s="215"/>
      <c r="BF120" s="215"/>
      <c r="BI120" s="656" t="s">
        <v>511</v>
      </c>
    </row>
    <row r="121" spans="1:65" ht="21.75" hidden="1" customHeight="1" x14ac:dyDescent="0.15">
      <c r="E121" s="448">
        <v>22.5</v>
      </c>
      <c r="F121" s="3" t="str" cm="1">
        <f t="array" aca="1" ref="F121" ca="1">OFFSET(E121,-1,1)</f>
        <v>3</v>
      </c>
      <c r="I121" s="38" cm="1">
        <f t="array" ref="I121">AC121</f>
        <v>0</v>
      </c>
      <c r="U121" s="353" t="b">
        <f ca="1">AND(F121&gt;0,--RIGHT(AB121,1)&gt;1)</f>
        <v>0</v>
      </c>
      <c r="X121" s="517" t="s">
        <v>172</v>
      </c>
      <c r="Y121" s="964"/>
      <c r="Z121" s="992"/>
      <c r="AA121" s="320" t="s">
        <v>173</v>
      </c>
      <c r="AB121" s="133" t="s">
        <v>508</v>
      </c>
      <c r="AC121" s="780"/>
      <c r="AD121" s="10" t="s">
        <v>510</v>
      </c>
      <c r="AE121" s="828"/>
      <c r="AF121" s="829"/>
      <c r="AG121" s="776"/>
      <c r="AH121" s="830"/>
      <c r="AI121" s="828"/>
      <c r="AJ121" s="829"/>
      <c r="AK121" s="829"/>
      <c r="AL121" s="445">
        <f>IF(AI121&lt;&gt;0,AK121/AI121,0)</f>
        <v>0</v>
      </c>
      <c r="AM121" s="446">
        <f>AK121-AJ121</f>
        <v>0</v>
      </c>
      <c r="AN121" s="830"/>
      <c r="AO121" s="828"/>
      <c r="AP121" s="828"/>
      <c r="AQ121" s="828"/>
      <c r="AR121" s="828"/>
      <c r="AS121" s="828"/>
      <c r="AT121" s="828"/>
      <c r="AU121" s="828"/>
      <c r="AV121" s="828"/>
      <c r="AW121" s="828"/>
      <c r="AX121" s="828"/>
      <c r="AY121" s="828"/>
      <c r="AZ121" s="828"/>
      <c r="BA121" s="828"/>
      <c r="BB121" s="828"/>
      <c r="BC121" s="828"/>
      <c r="BD121" s="828"/>
      <c r="BE121" s="828"/>
      <c r="BF121" s="828"/>
      <c r="BI121" s="656" t="s">
        <v>511</v>
      </c>
      <c r="BJ121" s="656" t="s">
        <v>512</v>
      </c>
      <c r="BK121" s="656" cm="1">
        <f t="array" ref="BK121">AC121</f>
        <v>0</v>
      </c>
      <c r="BM121" s="448" t="b">
        <v>1</v>
      </c>
    </row>
    <row r="122" spans="1:65" ht="14.25" customHeight="1" x14ac:dyDescent="0.15">
      <c r="E122" s="448">
        <v>15</v>
      </c>
      <c r="F122" s="3" t="str" cm="1">
        <f t="array" aca="1" ref="F122" ca="1">OFFSET(E122,-1,1)</f>
        <v>3</v>
      </c>
      <c r="U122" s="353" t="b">
        <f ca="1">F122&gt;0</f>
        <v>1</v>
      </c>
      <c r="X122" s="517" t="s">
        <v>419</v>
      </c>
      <c r="Y122" s="964"/>
      <c r="Z122" s="992"/>
      <c r="AB122" s="89"/>
      <c r="AC122" s="216" t="s">
        <v>176</v>
      </c>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L122" s="448" t="s">
        <v>512</v>
      </c>
    </row>
    <row r="123" spans="1:65" ht="21.75" customHeight="1" x14ac:dyDescent="0.15">
      <c r="E123" s="448">
        <v>22.5</v>
      </c>
      <c r="F123" s="3" t="str" cm="1">
        <f t="array" aca="1" ref="F123" ca="1">OFFSET(E123,-1,1)</f>
        <v>3</v>
      </c>
      <c r="H123" s="38" t="s">
        <v>513</v>
      </c>
      <c r="U123" s="353" t="b" cm="1">
        <f t="array" aca="1" ref="U123" ca="1">U122</f>
        <v>1</v>
      </c>
      <c r="Y123" s="964"/>
      <c r="Z123" s="992"/>
      <c r="AB123" s="428" t="s">
        <v>514</v>
      </c>
      <c r="AC123" s="429" t="s">
        <v>515</v>
      </c>
      <c r="AD123" s="425" t="s">
        <v>510</v>
      </c>
      <c r="AE123" s="430"/>
      <c r="AF123" s="431"/>
      <c r="AG123" s="432"/>
      <c r="AH123" s="433"/>
      <c r="AI123" s="430"/>
      <c r="AJ123" s="431"/>
      <c r="AK123" s="431"/>
      <c r="AL123" s="434">
        <f>IF(AI123&lt;&gt;0,AK123/AI123,0)</f>
        <v>0</v>
      </c>
      <c r="AM123" s="435">
        <f>AK123-AJ123</f>
        <v>0</v>
      </c>
      <c r="AN123" s="433"/>
      <c r="AO123" s="831"/>
      <c r="AP123" s="831"/>
      <c r="AQ123" s="430"/>
      <c r="AR123" s="430"/>
      <c r="AS123" s="430"/>
      <c r="AT123" s="430"/>
      <c r="AU123" s="430"/>
      <c r="AV123" s="430"/>
      <c r="AW123" s="430"/>
      <c r="AX123" s="831"/>
      <c r="AY123" s="831"/>
      <c r="AZ123" s="430"/>
      <c r="BA123" s="430"/>
      <c r="BB123" s="430"/>
      <c r="BC123" s="430"/>
      <c r="BD123" s="430"/>
      <c r="BE123" s="430"/>
      <c r="BF123" s="430"/>
      <c r="BI123" s="656" t="s">
        <v>516</v>
      </c>
    </row>
    <row r="124" spans="1:65" ht="21.75" hidden="1" customHeight="1" x14ac:dyDescent="0.15">
      <c r="E124" s="448">
        <v>22.5</v>
      </c>
      <c r="F124" s="3" t="str" cm="1">
        <f t="array" aca="1" ref="F124" ca="1">OFFSET(E124,-1,1)</f>
        <v>3</v>
      </c>
      <c r="I124" s="38" cm="1">
        <f t="array" ref="I124">AC124</f>
        <v>0</v>
      </c>
      <c r="U124" s="353" t="b">
        <f ca="1">AND(F124&gt;0,--RIGHT(AB124,1)&gt;1)</f>
        <v>0</v>
      </c>
      <c r="X124" s="517" t="s">
        <v>172</v>
      </c>
      <c r="Y124" s="964"/>
      <c r="Z124" s="992"/>
      <c r="AA124" s="320" t="s">
        <v>173</v>
      </c>
      <c r="AB124" s="428" t="s">
        <v>514</v>
      </c>
      <c r="AC124" s="835"/>
      <c r="AD124" s="425" t="s">
        <v>510</v>
      </c>
      <c r="AE124" s="831"/>
      <c r="AF124" s="832"/>
      <c r="AG124" s="833"/>
      <c r="AH124" s="834"/>
      <c r="AI124" s="831"/>
      <c r="AJ124" s="832"/>
      <c r="AK124" s="832"/>
      <c r="AL124" s="434">
        <f>IF(AI124&lt;&gt;0,AK124/AI124,0)</f>
        <v>0</v>
      </c>
      <c r="AM124" s="435">
        <f>AK124-AJ124</f>
        <v>0</v>
      </c>
      <c r="AN124" s="834"/>
      <c r="AO124" s="831"/>
      <c r="AP124" s="831"/>
      <c r="AQ124" s="831"/>
      <c r="AR124" s="831"/>
      <c r="AS124" s="831"/>
      <c r="AT124" s="831"/>
      <c r="AU124" s="831"/>
      <c r="AV124" s="831"/>
      <c r="AW124" s="831"/>
      <c r="AX124" s="831"/>
      <c r="AY124" s="831"/>
      <c r="AZ124" s="831"/>
      <c r="BA124" s="831"/>
      <c r="BB124" s="831"/>
      <c r="BC124" s="831"/>
      <c r="BD124" s="831"/>
      <c r="BE124" s="831"/>
      <c r="BF124" s="831"/>
      <c r="BI124" s="656" t="s">
        <v>516</v>
      </c>
      <c r="BJ124" s="656" t="s">
        <v>517</v>
      </c>
      <c r="BK124" s="656" cm="1">
        <f t="array" ref="BK124">AC124</f>
        <v>0</v>
      </c>
      <c r="BM124" s="448" t="b">
        <v>1</v>
      </c>
    </row>
    <row r="125" spans="1:65" ht="14.25" customHeight="1" x14ac:dyDescent="0.15">
      <c r="E125" s="448">
        <v>15</v>
      </c>
      <c r="F125" s="3" t="str" cm="1">
        <f t="array" aca="1" ref="F125" ca="1">OFFSET(E125,-1,1)</f>
        <v>3</v>
      </c>
      <c r="U125" s="353" t="b">
        <f ca="1">F125&gt;0</f>
        <v>1</v>
      </c>
      <c r="X125" s="517" t="s">
        <v>419</v>
      </c>
      <c r="Y125" s="964"/>
      <c r="Z125" s="992"/>
      <c r="AB125" s="89"/>
      <c r="AC125" s="216" t="s">
        <v>176</v>
      </c>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L125" s="448" t="s">
        <v>517</v>
      </c>
    </row>
    <row r="126" spans="1:65" ht="21.75" customHeight="1" x14ac:dyDescent="0.15">
      <c r="E126" s="448">
        <v>22.5</v>
      </c>
      <c r="F126" s="3" t="str" cm="1">
        <f t="array" aca="1" ref="F126" ca="1">OFFSET(E126,-1,1)</f>
        <v>3</v>
      </c>
      <c r="H126" s="38" t="s">
        <v>518</v>
      </c>
      <c r="U126" s="353" t="b" cm="1">
        <f t="array" aca="1" ref="U126" ca="1">U125</f>
        <v>1</v>
      </c>
      <c r="Y126" s="964"/>
      <c r="Z126" s="992"/>
      <c r="AB126" s="39" t="s">
        <v>519</v>
      </c>
      <c r="AC126" s="105" t="s">
        <v>520</v>
      </c>
      <c r="AD126" s="11" t="s">
        <v>510</v>
      </c>
      <c r="AE126" s="188"/>
      <c r="AF126" s="190"/>
      <c r="AG126" s="191"/>
      <c r="AH126" s="113"/>
      <c r="AI126" s="188"/>
      <c r="AJ126" s="190"/>
      <c r="AK126" s="190"/>
      <c r="AL126" s="193">
        <f>IF(AI126&lt;&gt;0,AK126/AI126,0)</f>
        <v>0</v>
      </c>
      <c r="AM126" s="192">
        <f>AK126-AJ126</f>
        <v>0</v>
      </c>
      <c r="AN126" s="113"/>
      <c r="AO126" s="825"/>
      <c r="AP126" s="825"/>
      <c r="AQ126" s="188"/>
      <c r="AR126" s="188"/>
      <c r="AS126" s="188"/>
      <c r="AT126" s="188"/>
      <c r="AU126" s="188"/>
      <c r="AV126" s="188"/>
      <c r="AW126" s="188"/>
      <c r="AX126" s="825"/>
      <c r="AY126" s="825"/>
      <c r="AZ126" s="188"/>
      <c r="BA126" s="188"/>
      <c r="BB126" s="188"/>
      <c r="BC126" s="188"/>
      <c r="BD126" s="188"/>
      <c r="BE126" s="188"/>
      <c r="BF126" s="188"/>
      <c r="BI126" s="656" t="s">
        <v>521</v>
      </c>
    </row>
    <row r="127" spans="1:65" ht="21.75" hidden="1" customHeight="1" x14ac:dyDescent="0.15">
      <c r="E127" s="448">
        <v>22.5</v>
      </c>
      <c r="F127" s="3" t="str" cm="1">
        <f t="array" aca="1" ref="F127" ca="1">OFFSET(E127,-1,1)</f>
        <v>3</v>
      </c>
      <c r="I127" s="38" cm="1">
        <f t="array" ref="I127">AC127</f>
        <v>0</v>
      </c>
      <c r="U127" s="353" t="b">
        <f ca="1">AND(F127&gt;0,--RIGHT(AB127,1)&gt;1)</f>
        <v>0</v>
      </c>
      <c r="X127" s="517" t="s">
        <v>172</v>
      </c>
      <c r="Y127" s="964"/>
      <c r="Z127" s="992"/>
      <c r="AA127" s="320" t="s">
        <v>173</v>
      </c>
      <c r="AB127" s="39" t="s">
        <v>519</v>
      </c>
      <c r="AC127" s="837"/>
      <c r="AD127" s="11" t="s">
        <v>510</v>
      </c>
      <c r="AE127" s="825"/>
      <c r="AF127" s="827"/>
      <c r="AG127" s="836"/>
      <c r="AH127" s="826"/>
      <c r="AI127" s="825"/>
      <c r="AJ127" s="827"/>
      <c r="AK127" s="827"/>
      <c r="AL127" s="193">
        <f>IF(AI127&lt;&gt;0,AK127/AI127,0)</f>
        <v>0</v>
      </c>
      <c r="AM127" s="192">
        <f>AK127-AJ127</f>
        <v>0</v>
      </c>
      <c r="AN127" s="826"/>
      <c r="AO127" s="825"/>
      <c r="AP127" s="825"/>
      <c r="AQ127" s="825"/>
      <c r="AR127" s="825"/>
      <c r="AS127" s="825"/>
      <c r="AT127" s="825"/>
      <c r="AU127" s="825"/>
      <c r="AV127" s="825"/>
      <c r="AW127" s="825"/>
      <c r="AX127" s="825"/>
      <c r="AY127" s="825"/>
      <c r="AZ127" s="825"/>
      <c r="BA127" s="825"/>
      <c r="BB127" s="825"/>
      <c r="BC127" s="825"/>
      <c r="BD127" s="825"/>
      <c r="BE127" s="825"/>
      <c r="BF127" s="825"/>
      <c r="BI127" s="656" t="s">
        <v>521</v>
      </c>
      <c r="BJ127" s="656" t="s">
        <v>522</v>
      </c>
      <c r="BK127" s="656" cm="1">
        <f t="array" ref="BK127">AC127</f>
        <v>0</v>
      </c>
      <c r="BM127" s="448" t="b">
        <v>1</v>
      </c>
    </row>
    <row r="128" spans="1:65" ht="14.25" customHeight="1" x14ac:dyDescent="0.15">
      <c r="E128" s="448">
        <v>15</v>
      </c>
      <c r="F128" s="3" t="str" cm="1">
        <f t="array" aca="1" ref="F128" ca="1">OFFSET(E128,-1,1)</f>
        <v>3</v>
      </c>
      <c r="U128" s="353" t="b">
        <f ca="1">F128&gt;0</f>
        <v>1</v>
      </c>
      <c r="X128" s="517" t="s">
        <v>419</v>
      </c>
      <c r="Y128" s="964"/>
      <c r="Z128" s="992"/>
      <c r="AB128" s="89"/>
      <c r="AC128" s="216" t="s">
        <v>176</v>
      </c>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L128" s="448" t="s">
        <v>522</v>
      </c>
    </row>
    <row r="129" spans="5:65" ht="21.75" customHeight="1" x14ac:dyDescent="0.15">
      <c r="E129" s="448">
        <v>22.5</v>
      </c>
      <c r="F129" s="3" t="str" cm="1">
        <f t="array" aca="1" ref="F129" ca="1">OFFSET(E129,-1,1)</f>
        <v>3</v>
      </c>
      <c r="H129" s="38" t="s">
        <v>523</v>
      </c>
      <c r="U129" s="353" t="b" cm="1">
        <f t="array" aca="1" ref="U129" ca="1">U128</f>
        <v>1</v>
      </c>
      <c r="Y129" s="964"/>
      <c r="Z129" s="992"/>
      <c r="AB129" s="39" t="s">
        <v>524</v>
      </c>
      <c r="AC129" s="105" t="s">
        <v>525</v>
      </c>
      <c r="AD129" s="11" t="s">
        <v>510</v>
      </c>
      <c r="AE129" s="188"/>
      <c r="AF129" s="190"/>
      <c r="AG129" s="191"/>
      <c r="AH129" s="113"/>
      <c r="AI129" s="188"/>
      <c r="AJ129" s="190"/>
      <c r="AK129" s="190"/>
      <c r="AL129" s="193">
        <f>IF(AI129&lt;&gt;0,AK129/AI129,0)</f>
        <v>0</v>
      </c>
      <c r="AM129" s="192">
        <f>AK129-AJ129</f>
        <v>0</v>
      </c>
      <c r="AN129" s="113"/>
      <c r="AO129" s="825"/>
      <c r="AP129" s="825"/>
      <c r="AQ129" s="188"/>
      <c r="AR129" s="188"/>
      <c r="AS129" s="188"/>
      <c r="AT129" s="188"/>
      <c r="AU129" s="188"/>
      <c r="AV129" s="188"/>
      <c r="AW129" s="188"/>
      <c r="AX129" s="825"/>
      <c r="AY129" s="825"/>
      <c r="AZ129" s="188"/>
      <c r="BA129" s="188"/>
      <c r="BB129" s="188"/>
      <c r="BC129" s="188"/>
      <c r="BD129" s="188"/>
      <c r="BE129" s="188"/>
      <c r="BF129" s="188"/>
      <c r="BI129" s="656" t="s">
        <v>526</v>
      </c>
    </row>
    <row r="130" spans="5:65" ht="21.75" hidden="1" customHeight="1" x14ac:dyDescent="0.15">
      <c r="E130" s="448">
        <v>22.5</v>
      </c>
      <c r="F130" s="3" t="str" cm="1">
        <f t="array" aca="1" ref="F130" ca="1">OFFSET(E130,-1,1)</f>
        <v>3</v>
      </c>
      <c r="I130" s="38" cm="1">
        <f t="array" ref="I130">AC130</f>
        <v>0</v>
      </c>
      <c r="U130" s="353" t="b">
        <f ca="1">AND(F130&gt;0,--RIGHT(AB130,1)&gt;1)</f>
        <v>0</v>
      </c>
      <c r="X130" s="517" t="s">
        <v>172</v>
      </c>
      <c r="Y130" s="964"/>
      <c r="Z130" s="992"/>
      <c r="AA130" s="320" t="s">
        <v>173</v>
      </c>
      <c r="AB130" s="39" t="s">
        <v>524</v>
      </c>
      <c r="AC130" s="837"/>
      <c r="AD130" s="11" t="s">
        <v>510</v>
      </c>
      <c r="AE130" s="825"/>
      <c r="AF130" s="827"/>
      <c r="AG130" s="836"/>
      <c r="AH130" s="826"/>
      <c r="AI130" s="825"/>
      <c r="AJ130" s="827"/>
      <c r="AK130" s="827"/>
      <c r="AL130" s="193">
        <f>IF(AI130&lt;&gt;0,AK130/AI130,0)</f>
        <v>0</v>
      </c>
      <c r="AM130" s="192">
        <f>AK130-AJ130</f>
        <v>0</v>
      </c>
      <c r="AN130" s="826"/>
      <c r="AO130" s="825"/>
      <c r="AP130" s="825"/>
      <c r="AQ130" s="825"/>
      <c r="AR130" s="825"/>
      <c r="AS130" s="825"/>
      <c r="AT130" s="825"/>
      <c r="AU130" s="825"/>
      <c r="AV130" s="825"/>
      <c r="AW130" s="825"/>
      <c r="AX130" s="825"/>
      <c r="AY130" s="825"/>
      <c r="AZ130" s="825"/>
      <c r="BA130" s="825"/>
      <c r="BB130" s="825"/>
      <c r="BC130" s="825"/>
      <c r="BD130" s="825"/>
      <c r="BE130" s="825"/>
      <c r="BF130" s="825"/>
      <c r="BI130" s="656" t="s">
        <v>526</v>
      </c>
      <c r="BJ130" s="656" t="s">
        <v>527</v>
      </c>
      <c r="BK130" s="656" cm="1">
        <f t="array" ref="BK130">AC130</f>
        <v>0</v>
      </c>
      <c r="BM130" s="448" t="b">
        <v>1</v>
      </c>
    </row>
    <row r="131" spans="5:65" ht="14.25" customHeight="1" x14ac:dyDescent="0.15">
      <c r="E131" s="448">
        <v>15</v>
      </c>
      <c r="F131" s="3" t="str" cm="1">
        <f t="array" aca="1" ref="F131" ca="1">OFFSET(E131,-1,1)</f>
        <v>3</v>
      </c>
      <c r="U131" s="353" t="b">
        <f ca="1">F131&gt;0</f>
        <v>1</v>
      </c>
      <c r="X131" s="517" t="s">
        <v>419</v>
      </c>
      <c r="Y131" s="964"/>
      <c r="Z131" s="992"/>
      <c r="AB131" s="89"/>
      <c r="AC131" s="216" t="s">
        <v>176</v>
      </c>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L131" s="448" t="s">
        <v>527</v>
      </c>
    </row>
    <row r="132" spans="5:65" ht="119.1" customHeight="1" x14ac:dyDescent="0.15">
      <c r="E132" s="448">
        <v>15</v>
      </c>
      <c r="F132" s="3" t="str" cm="1">
        <f t="array" aca="1" ref="F132" ca="1">OFFSET(E132,-1,1)</f>
        <v>3</v>
      </c>
      <c r="H132" s="38" t="s">
        <v>335</v>
      </c>
      <c r="U132" s="353" t="b" cm="1">
        <f t="array" aca="1" ref="U132" ca="1">U131</f>
        <v>1</v>
      </c>
      <c r="Y132" s="964"/>
      <c r="Z132" s="992"/>
      <c r="AB132" s="49">
        <v>3</v>
      </c>
      <c r="AC132" s="55" t="s">
        <v>528</v>
      </c>
      <c r="AD132" s="52" t="s">
        <v>476</v>
      </c>
      <c r="AE132" s="188">
        <v>2.2000000000000002</v>
      </c>
      <c r="AF132" s="190">
        <v>2.2000000000000002</v>
      </c>
      <c r="AG132" s="191">
        <v>2.2000000000000002</v>
      </c>
      <c r="AH132" s="113" t="s">
        <v>544</v>
      </c>
      <c r="AI132" s="188">
        <v>2.2000000000000002</v>
      </c>
      <c r="AJ132" s="190">
        <v>2.2000000000000002</v>
      </c>
      <c r="AK132" s="190">
        <v>2.2000000000000002</v>
      </c>
      <c r="AL132" s="193">
        <f>IF(AI132&lt;&gt;0,AK132/AI132,0)</f>
        <v>1</v>
      </c>
      <c r="AM132" s="192">
        <f>AK132-AJ132</f>
        <v>0</v>
      </c>
      <c r="AN132" s="113" t="s">
        <v>544</v>
      </c>
      <c r="AO132" s="825"/>
      <c r="AP132" s="825"/>
      <c r="AQ132" s="188"/>
      <c r="AR132" s="188"/>
      <c r="AS132" s="188"/>
      <c r="AT132" s="188"/>
      <c r="AU132" s="188"/>
      <c r="AV132" s="188"/>
      <c r="AW132" s="188"/>
      <c r="AX132" s="825"/>
      <c r="AY132" s="825"/>
      <c r="AZ132" s="188"/>
      <c r="BA132" s="188"/>
      <c r="BB132" s="188"/>
      <c r="BC132" s="188"/>
      <c r="BD132" s="188"/>
      <c r="BE132" s="188"/>
      <c r="BF132" s="188"/>
      <c r="BI132" s="656" t="s">
        <v>529</v>
      </c>
    </row>
    <row r="133" spans="5:65" ht="14.25" customHeight="1" x14ac:dyDescent="0.15">
      <c r="E133" s="448">
        <v>15</v>
      </c>
      <c r="F133" s="3" t="str" cm="1">
        <f t="array" aca="1" ref="F133" ca="1">OFFSET(E133,-1,1)</f>
        <v>3</v>
      </c>
      <c r="H133" s="38" t="s">
        <v>334</v>
      </c>
      <c r="U133" s="353" t="b" cm="1">
        <f t="array" aca="1" ref="U133" ca="1">U132</f>
        <v>1</v>
      </c>
      <c r="Y133" s="964"/>
      <c r="Z133" s="992"/>
      <c r="AB133" s="49">
        <v>4</v>
      </c>
      <c r="AC133" s="55" t="s">
        <v>530</v>
      </c>
      <c r="AD133" s="52" t="s">
        <v>476</v>
      </c>
      <c r="AE133" s="188"/>
      <c r="AF133" s="190"/>
      <c r="AG133" s="191"/>
      <c r="AH133" s="113"/>
      <c r="AI133" s="188"/>
      <c r="AJ133" s="190"/>
      <c r="AK133" s="190"/>
      <c r="AL133" s="193">
        <f>IF(AI133&lt;&gt;0,AK133/AI133,0)</f>
        <v>0</v>
      </c>
      <c r="AM133" s="192">
        <f>AK133-AJ133</f>
        <v>0</v>
      </c>
      <c r="AN133" s="113"/>
      <c r="AO133" s="825"/>
      <c r="AP133" s="825"/>
      <c r="AQ133" s="188"/>
      <c r="AR133" s="188"/>
      <c r="AS133" s="188"/>
      <c r="AT133" s="188"/>
      <c r="AU133" s="188"/>
      <c r="AV133" s="188"/>
      <c r="AW133" s="188"/>
      <c r="AX133" s="825"/>
      <c r="AY133" s="825"/>
      <c r="AZ133" s="188"/>
      <c r="BA133" s="188"/>
      <c r="BB133" s="188"/>
      <c r="BC133" s="188"/>
      <c r="BD133" s="188"/>
      <c r="BE133" s="188"/>
      <c r="BF133" s="188"/>
      <c r="BI133" s="656" t="s">
        <v>531</v>
      </c>
    </row>
    <row r="134" spans="5:65" ht="14.25" customHeight="1" x14ac:dyDescent="0.15">
      <c r="E134" s="448">
        <v>15</v>
      </c>
      <c r="F134" s="3" t="str" cm="1">
        <f t="array" aca="1" ref="F134" ca="1">OFFSET(E134,-1,1)</f>
        <v>3</v>
      </c>
      <c r="H134" s="38" t="s">
        <v>532</v>
      </c>
      <c r="U134" s="353" t="b" cm="1">
        <f t="array" aca="1" ref="U134" ca="1">U133</f>
        <v>1</v>
      </c>
      <c r="Y134" s="964"/>
      <c r="Z134" s="992"/>
      <c r="AB134" s="39" t="s">
        <v>460</v>
      </c>
      <c r="AC134" s="54" t="s">
        <v>533</v>
      </c>
      <c r="AD134" s="52"/>
      <c r="AE134" s="191"/>
      <c r="AF134" s="191"/>
      <c r="AG134" s="191"/>
      <c r="AH134" s="196"/>
      <c r="AI134" s="191"/>
      <c r="AJ134" s="191"/>
      <c r="AK134" s="191"/>
      <c r="AL134" s="193">
        <f>IF(AI134&lt;&gt;0,AK134/AI134,0)</f>
        <v>0</v>
      </c>
      <c r="AM134" s="192">
        <f>AK134-AJ134</f>
        <v>0</v>
      </c>
      <c r="AN134" s="196"/>
      <c r="AO134" s="836"/>
      <c r="AP134" s="836"/>
      <c r="AQ134" s="191"/>
      <c r="AR134" s="191"/>
      <c r="AS134" s="191"/>
      <c r="AT134" s="191"/>
      <c r="AU134" s="191"/>
      <c r="AV134" s="191"/>
      <c r="AW134" s="191"/>
      <c r="AX134" s="836"/>
      <c r="AY134" s="836"/>
      <c r="AZ134" s="191"/>
      <c r="BA134" s="191"/>
      <c r="BB134" s="191"/>
      <c r="BC134" s="191"/>
      <c r="BD134" s="191"/>
      <c r="BE134" s="191"/>
      <c r="BF134" s="191"/>
      <c r="BI134" s="656" t="s">
        <v>534</v>
      </c>
    </row>
    <row r="135" spans="5:65" ht="14.25" customHeight="1" x14ac:dyDescent="0.15">
      <c r="E135" s="448">
        <v>15</v>
      </c>
      <c r="F135" s="3" t="str" cm="1">
        <f t="array" aca="1" ref="F135" ca="1">OFFSET(E135,-1,1)</f>
        <v>3</v>
      </c>
      <c r="H135" s="38" t="s">
        <v>535</v>
      </c>
      <c r="U135" s="353" t="b" cm="1">
        <f t="array" aca="1" ref="U135" ca="1">U134</f>
        <v>1</v>
      </c>
      <c r="Y135" s="964"/>
      <c r="Z135" s="992"/>
      <c r="AB135" s="39" t="s">
        <v>536</v>
      </c>
      <c r="AC135" s="53" t="s">
        <v>537</v>
      </c>
      <c r="AD135" s="52"/>
      <c r="AE135" s="191"/>
      <c r="AF135" s="191"/>
      <c r="AG135" s="191"/>
      <c r="AH135" s="196"/>
      <c r="AI135" s="191"/>
      <c r="AJ135" s="191"/>
      <c r="AK135" s="191"/>
      <c r="AL135" s="193">
        <f>IF(AI135&lt;&gt;0,AK135/AI135,0)</f>
        <v>0</v>
      </c>
      <c r="AM135" s="192">
        <f>AK135-AJ135</f>
        <v>0</v>
      </c>
      <c r="AN135" s="196"/>
      <c r="AO135" s="836"/>
      <c r="AP135" s="836"/>
      <c r="AQ135" s="191"/>
      <c r="AR135" s="191"/>
      <c r="AS135" s="191"/>
      <c r="AT135" s="191"/>
      <c r="AU135" s="191"/>
      <c r="AV135" s="191"/>
      <c r="AW135" s="191"/>
      <c r="AX135" s="836"/>
      <c r="AY135" s="836"/>
      <c r="AZ135" s="191"/>
      <c r="BA135" s="191"/>
      <c r="BB135" s="191"/>
      <c r="BC135" s="191"/>
      <c r="BD135" s="191"/>
      <c r="BE135" s="191"/>
      <c r="BF135" s="191"/>
      <c r="BI135" s="656" t="s">
        <v>538</v>
      </c>
    </row>
    <row r="136" spans="5:65" ht="10.9" customHeight="1" x14ac:dyDescent="0.15">
      <c r="E136" s="448">
        <v>11.25</v>
      </c>
      <c r="V136" s="38" t="s">
        <v>176</v>
      </c>
      <c r="W136" s="56" t="s">
        <v>545</v>
      </c>
    </row>
  </sheetData>
  <sheetProtection formatColumns="0" formatRows="0" insertRows="0" deleteColumns="0" deleteRows="0" sort="0" autoFilter="0"/>
  <mergeCells count="11">
    <mergeCell ref="Y55:Y81"/>
    <mergeCell ref="Z55:Z81"/>
    <mergeCell ref="Y82:Y108"/>
    <mergeCell ref="Z82:Z108"/>
    <mergeCell ref="Y109:Y135"/>
    <mergeCell ref="Z109:Z135"/>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F84:BF86 BF88 BF90:BF91 BF93:BF94 BF96:BF97 BF99:BF108 BF111:BF113 BF115 BF117:BF118 BF120:BF121 BF123:BF124 BF126:BF135 BE45:BE54 BE57:BE59 BE61 BE63:BE64 BE66:BE67 BE69:BE70 BE72:BE81 BE84:BE86 BE88 BE90:BE91 BE93:BE94 BE96:BE97 BE99:BE108 BE111:BE113 BE115 BE117:BE118 BE120:BE121 BE123:BE124 BE126:BE135 BD45:BD54 BD57:BD59 BD61 BD63:BD64 BD66:BD67 BD69:BD70 BD72:BD81 BD84:BD86 BD88 BD90:BD91 BD93:BD94 BD96:BD97 BD99:BD108 BD111:BD113 BD115 BD117:BD118 BD120:BD121 BD123:BD124 BD126:BD135 BC45:BC54 BC57:BC59 BC61 BC63:BC64 BC66:BC67 BC69:BC70 BC72:BC81 BC84:BC86 BC88 BC90:BC91 BC93:BC94 BC96:BC97 BC99:BC108 BC111:BC113 BC115 BC117:BC118 BC120:BC121 BC123:BC124 BC126:BC135 BB45:BB54 BB57:BB59 BB61 BB63:BB64 BB66:BB67 BB69:BB70 BB72:BB81 BB84:BB86 BB88 BB90:BB91 BB93:BB94 BB96:BB97 BB99:BB108 BB111:BB113 BB115 BB117:BB118 BB120:BB121 BB123:BB124 BB126:BB135 BA45:BA54 BA57:BA59 BA61 BA63:BA64 BA66:BA67 BA69:BA70 BA72:BA81 BA84:BA86 BA88 BA90:BA91 BA93:BA94 BA96:BA97 BA99:BA108 BA111:BA113 BA115 BA117:BA118 BA120:BA121 BA123:BA124 BA126:BA135 AZ45:AZ54 AZ57:AZ59 AZ61 AZ63:AZ64 AZ66:AZ67 AZ69:AZ70 AZ72:AZ81 AZ84:AZ86 AZ88 AZ90:AZ91 AZ93:AZ94 AZ96:AZ97 AZ99:AZ108 AZ111:AZ113 AZ115 AZ117:AZ118 AZ120:AZ121 AZ123:AZ124 AZ126:AZ135 AY45:AY54 AY57:AY59 AY61 AY63:AY64 AY66:AY67 AY69:AY70 AY72:AY81 AY84:AY86 AY88 AY90:AY91 AY93:AY94 AY96:AY97 AY99:AY108 AY111:AY113 AY115 AY117:AY118 AY120:AY121 AY123:AY124 AY126:AY135 AX45:AX54 AX57:AX59 AX61 AX63:AX64 AX66:AX67 AX69:AX70 AX72:AX81 AX84:AX86 AX88 AX90:AX91 AX93:AX94 AX96:AX97 AX99:AX108 AX111:AX113 AX115 AX117:AX118 AX120:AX121 AX123:AX124 AX126:AX135 AW45:AW54 AW57:AW59 AW61 AW63:AW64 AW66:AW67 AW69:AW70 AW72:AW81 AW84:AW86 AW88 AW90:AW91 AW93:AW94 AW96:AW97 AW99:AW108 AW111:AW113 AW115 AW117:AW118 AW120:AW121 AW123:AW124 AW126:AW135 AV45:AV54 AV57:AV59 AV61 AV63:AV64 AV66:AV67 AV69:AV70 AV72:AV81 AV84:AV86 AV88 AV90:AV91 AV93:AV94 AV96:AV97 AV99:AV108 AV111:AV113 AV115 AV117:AV118 AV120:AV121 AV123:AV124 AV126:AV135 AU45:AU54 AU57:AU59 AU61 AU63:AU64 AU66:AU67 AU69:AU70 AU72:AU81 AU84:AU86 AU88 AU90:AU91 AU93:AU94 AU96:AU97 AU99:AU108 AU111:AU113 AU115 AU117:AU118 AU120:AU121 AU123:AU124 AU126:AU135 AT45:AT54 AT57:AT59 AT61 AT63:AT64 AT66:AT67 AT69:AT70 AT72:AT81 AT84:AT86 AT88 AT90:AT91 AT93:AT94 AT96:AT97 AT99:AT108 AT111:AT113 AT115 AT117:AT118 AT120:AT121 AT123:AT124 AT126:AT135 AS45:AS54 AS57:AS59 AS61 AS63:AS64 AS66:AS67 AS69:AS70 AS72:AS81 AS84:AS86 AS88 AS90:AS91 AS93:AS94 AS96:AS97 AS99:AS108 AS111:AS113 AS115 AS117:AS118 AS120:AS121 AS123:AS124 AS126:AS135 AR45:AR54 AR57:AR59 AR61 AR63:AR64 AR66:AR67 AR69:AR70 AR72:AR81 AR84:AR86 AR88 AR90:AR91 AR93:AR94 AR96:AR97 AR99:AR108 AR111:AR113 AR115 AR117:AR118 AR120:AR121 AR123:AR124 AR126:AR135 AQ45:AQ54 AQ57:AQ59 AQ61 AQ63:AQ64 AQ66:AQ67 AQ69:AQ70 AQ72:AQ81 AQ84:AQ86 AQ88 AQ90:AQ91 AQ93:AQ94 AQ96:AQ97 AQ99:AQ108 AQ111:AQ113 AQ115 AQ117:AQ118 AQ120:AQ121 AQ123:AQ124 AQ126:AQ135 AP45:AP54 AP57:AP59 AP61 AP63:AP64 AP66:AP67 AP69:AP70 AP72:AP81 AP84:AP86 AP88 AP90:AP91 AP93:AP94 AP96:AP97 AP99:AP108 AP111:AP113 AP115 AP117:AP118 AP120:AP121 AP123:AP124 AP126:AP135 AO45:AO54 AO57:AO59 AO61 AO63:AO64 AO66:AO67 AO69:AO70 AO72:AO81 AO84:AO86 AO88 AO90:AO91 AO93:AO94 AO96:AO97 AO99:AO108 AO111:AO113 AO115 AO117:AO118 AO120:AO121 AO123:AO124 AO126:AO135 AG45:AG54 AG57:AG59 AG61 AG63:AG64 AG66:AG67 AG69:AG70 AG72:AG81 AG84:AG86 AG88 AG90:AG91 AG93:AG94 AG96:AG97 AG99:AG108 AG111:AG113 AG115 AG117:AG118 AG120:AG121 AG123:AG124 AG126:AG135 AF45:AF54 AF57:AF59 AF61 AF63:AF64 AF66:AF67 AF69:AF70 AF72:AF81 AF84:AF86 AF88 AF90:AF91 AF93:AF94 AF96:AF97 AF99:AF108 AF111:AF113 AF115 AF117:AF118 AF120:AF121 AF123:AF124 AF126:AF135 AE45:AE54 AE57:AE59 AE61 AE63:AE64 AE66:AE67 AE69:AE70 AE72:AE81 AE84:AE86 AE88 AE90:AE91 AE93:AE94 AE96:AE97 AE99:AE108 AE111:AE113 AE115 AE117:AE118 AE120:AE121 AE123:AE124 AE126:AE135 AK45:AK54 AK57:AK59 AK61 AK63:AK64 AK66:AK67 AK69:AK70 AK72:AK81 AK84:AK86 AK88 AK90:AK91 AK93:AK94 AK96:AK97 AK99:AK108 AK111:AK113 AK115 AK117:AK118 AK120:AK121 AK123:AK124 AK126:AK135 AJ45:AJ54 AJ57:AJ59 AJ61 AJ63:AJ64 AJ66:AJ67 AJ69:AJ70 AJ72:AJ81 AJ84:AJ86 AJ88 AJ90:AJ91 AJ93:AJ94 AJ96:AJ97 AJ99:AJ108 AJ111:AJ113 AJ115 AJ117:AJ118 AJ120:AJ121 AJ123:AJ124 AJ126:AJ135 AI45:AI54 AI57:AI59 AI61 AI63:AI64 AI66:AI67 AI69:AI70 AI72:AI81 AI84:AI86 AI88 AI90:AI91 AI93:AI94 AI96:AI97 AI99:AI108 AI111:AI113 AI115 AI117:AI118 AI120:AI121 AI123:AI124 AI126:AI135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569</vt:i4>
      </vt:variant>
    </vt:vector>
  </HeadingPairs>
  <TitlesOfParts>
    <vt:vector size="615"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Черновик 1</vt:lpstr>
      <vt:lpstr>Черновик 2</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2026-01-23T06:19:44Z</dcterms:modified>
</cp:coreProperties>
</file>